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1.xml" ContentType="application/vnd.openxmlformats-officedocument.drawing+xml"/>
  <Override PartName="/xl/drawings/drawing12.xml" ContentType="application/vnd.openxmlformats-officedocument.drawing+xml"/>
  <Override PartName="/xl/vbaProject.bin" ContentType="application/vnd.ms-office.vbaProject"/>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ctrlProps/ctrlProp3.xml" ContentType="application/vnd.ms-excel.controlproperties+xml"/>
  <Override PartName="/docProps/app.xml" ContentType="application/vnd.openxmlformats-officedocument.extended-properties+xml"/>
  <Override PartName="/xl/tables/table20.xml" ContentType="application/vnd.openxmlformats-officedocument.spreadsheetml.table+xml"/>
  <Override PartName="/xl/tables/table19.xml" ContentType="application/vnd.openxmlformats-officedocument.spreadsheetml.table+xml"/>
  <Override PartName="/xl/ctrlProps/ctrlProp4.xml" ContentType="application/vnd.ms-excel.controlproperties+xml"/>
  <Override PartName="/xl/tables/table21.xml" ContentType="application/vnd.openxmlformats-officedocument.spreadsheetml.table+xml"/>
  <Override PartName="/docProps/core.xml" ContentType="application/vnd.openxmlformats-package.core-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G:\Sales\Investment\Pricing Sheet, Sales Tools &amp; Templates\"/>
    </mc:Choice>
  </mc:AlternateContent>
  <xr:revisionPtr revIDLastSave="0" documentId="13_ncr:1_{508A6208-3CE6-48CA-A79F-5A6967C64399}" xr6:coauthVersionLast="47" xr6:coauthVersionMax="47" xr10:uidLastSave="{00000000-0000-0000-0000-000000000000}"/>
  <bookViews>
    <workbookView xWindow="28680" yWindow="-120" windowWidth="29040" windowHeight="15720" tabRatio="838" xr2:uid="{00000000-000D-0000-FFFF-FFFF00000000}"/>
  </bookViews>
  <sheets>
    <sheet name="Pricing Sheet" sheetId="12" r:id="rId1"/>
    <sheet name="Site Costs Calc" sheetId="25" r:id="rId2"/>
    <sheet name="How to Use" sheetId="26" r:id="rId3"/>
    <sheet name="Houses" sheetId="3" r:id="rId4"/>
    <sheet name="Upgrades" sheetId="11" r:id="rId5"/>
    <sheet name="GROUPS" sheetId="10" r:id="rId6"/>
    <sheet name="ESTATES" sheetId="7" r:id="rId7"/>
    <sheet name="Single Tender" sheetId="2" state="hidden" r:id="rId8"/>
    <sheet name="1B - Tender" sheetId="21" state="hidden" r:id="rId9"/>
    <sheet name="HPS - Tender (KDRB)" sheetId="18" state="hidden" r:id="rId10"/>
    <sheet name="IL - Tender (KDRB)" sheetId="19" state="hidden" r:id="rId11"/>
    <sheet name="Double Tender" sheetId="5" state="hidden" r:id="rId12"/>
    <sheet name="Site Costs" sheetId="20" state="hidden" r:id="rId13"/>
    <sheet name="KBC - Pricing Sheet" sheetId="13" r:id="rId14"/>
    <sheet name="KBC - Houses" sheetId="14" state="hidden" r:id="rId15"/>
    <sheet name="KBC - Single Tender" sheetId="15" r:id="rId16"/>
    <sheet name="KBC - Double Tender" sheetId="22" r:id="rId17"/>
    <sheet name="KTH - Tender" sheetId="24" r:id="rId18"/>
  </sheets>
  <definedNames>
    <definedName name="_xlnm._FilterDatabase" localSheetId="4" hidden="1">Upgrades!$B$131:$D$150</definedName>
    <definedName name="_xleta.CELL" hidden="1" xlm="1">#NAME?</definedName>
    <definedName name="_xleta.IFERROR" hidden="1" xlm="1">#NAME?</definedName>
    <definedName name="_xlpm.diff" hidden="1" xlm="1">#NAME?</definedName>
    <definedName name="_xlpm.result" hidden="1" xlm="1">#NAME?</definedName>
    <definedName name="comms_inc_GST">GROUPS!#REF!</definedName>
    <definedName name="ddBDM">Table10[BDM]</definedName>
    <definedName name="ddBec">Bec[Bec]</definedName>
    <definedName name="ddCaitlin">Caitlin[Caitlin]</definedName>
    <definedName name="ddGhost">Ghost[Ghost]</definedName>
    <definedName name="ddJosh">Josh[Josh]</definedName>
    <definedName name="ddKTHaddress">Table124[Address]</definedName>
    <definedName name="ddLayal">Layal[Layal]</definedName>
    <definedName name="ddMatthew">Matthew[Matthew]</definedName>
    <definedName name="ddPeter">Peter[Peter]</definedName>
    <definedName name="ddSimone">Simone[Simone]</definedName>
    <definedName name="ddUpgrades">Table4[Hermitage Homes - Upgrades]</definedName>
    <definedName name="ddUpgradesKBC">Table417[Kingsbridge Complete - Upgrades]</definedName>
    <definedName name="ddUpgradesKTH">Table22[Townhomes - Modern Living]</definedName>
    <definedName name="ddVattey">Vattey[Vattey]</definedName>
    <definedName name="ddWilliam">William[William]</definedName>
    <definedName name="HH_Stocklist">ddVattey</definedName>
    <definedName name="_xlnm.Print_Area" localSheetId="8">'1B - Tender'!$A$1:$C$259</definedName>
    <definedName name="_xlnm.Print_Area" localSheetId="11">'Double Tender'!$A$1:$C$256</definedName>
    <definedName name="_xlnm.Print_Area" localSheetId="9">'HPS - Tender (KDRB)'!$A$1:$C$292</definedName>
    <definedName name="_xlnm.Print_Area" localSheetId="10">'IL - Tender (KDRB)'!$A$1:$C$284</definedName>
    <definedName name="_xlnm.Print_Area" localSheetId="16">'KBC - Double Tender'!$A$1:$C$261</definedName>
    <definedName name="_xlnm.Print_Area" localSheetId="13">'KBC - Pricing Sheet'!$A$1:$Y$62</definedName>
    <definedName name="_xlnm.Print_Area" localSheetId="15">'KBC - Single Tender'!$A$1:$C$260</definedName>
    <definedName name="_xlnm.Print_Area" localSheetId="17">'KTH - Tender'!$A$1:$F$212</definedName>
    <definedName name="_xlnm.Print_Area" localSheetId="0">'Pricing Sheet'!$A$1:$Y$63</definedName>
    <definedName name="_xlnm.Print_Area" localSheetId="7">'Single Tender'!$A$1:$C$255</definedName>
    <definedName name="_xlnm.Print_Area" localSheetId="12">'Site Costs'!$A$1:$G$126</definedName>
    <definedName name="_xlnm.Print_Area" localSheetId="1">'Site Costs Calc'!$A$1:$G$126</definedName>
    <definedName name="qty_0_or_1">#REF!</definedName>
    <definedName name="Qty_0_to_4">#REF!</definedName>
    <definedName name="Query_from_Excel_Files" localSheetId="5" hidden="1">GROUPS!#REF!</definedName>
    <definedName name="Sales_Estimator" localSheetId="17">Table2[Sales Estimator]</definedName>
    <definedName name="Sales_Estimator">Table2[Sales Estimator]</definedName>
    <definedName name="WMR" localSheetId="5" hidden="1">GROUPS!#REF!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759" i="7" l="1"/>
  <c r="Z3759" i="7"/>
  <c r="AH3759" i="7"/>
  <c r="D3105" i="7"/>
  <c r="Z3105" i="7"/>
  <c r="D3133" i="7"/>
  <c r="Z3133" i="7"/>
  <c r="D2404" i="7"/>
  <c r="Z2404" i="7"/>
  <c r="AH2404" i="7"/>
  <c r="D403" i="7"/>
  <c r="D4378" i="7"/>
  <c r="D412" i="7"/>
  <c r="Z412" i="7"/>
  <c r="C4" i="12"/>
  <c r="D913" i="7" l="1"/>
  <c r="Z913" i="7"/>
  <c r="D2263" i="7"/>
  <c r="AJ1693" i="7"/>
  <c r="AH1693" i="7"/>
  <c r="Z1693" i="7"/>
  <c r="U1693" i="7"/>
  <c r="O1693" i="7"/>
  <c r="M1693" i="7"/>
  <c r="D1693" i="7"/>
  <c r="D3167" i="7"/>
  <c r="AJ4779" i="7"/>
  <c r="AH4779" i="7"/>
  <c r="Z4779" i="7"/>
  <c r="U4779" i="7"/>
  <c r="O4779" i="7"/>
  <c r="D4779" i="7"/>
  <c r="D1933" i="7"/>
  <c r="D56" i="7"/>
  <c r="D889" i="7"/>
  <c r="D2745" i="7"/>
  <c r="D1700" i="7"/>
  <c r="D567" i="7" l="1"/>
  <c r="D1466" i="7"/>
  <c r="D1467" i="7"/>
  <c r="D4524" i="7"/>
  <c r="T10" i="13"/>
  <c r="S10" i="13"/>
  <c r="P10" i="13" a="1"/>
  <c r="P10" i="13" s="1"/>
  <c r="O10" i="13"/>
  <c r="B4" i="25" l="1"/>
  <c r="B3" i="25"/>
  <c r="J3911" i="7"/>
  <c r="J3912" i="7"/>
  <c r="J3913" i="7"/>
  <c r="D71" i="7"/>
  <c r="D12" i="7"/>
  <c r="O12" i="7"/>
  <c r="Z12" i="7"/>
  <c r="AH3086" i="7"/>
  <c r="AF3086" i="7"/>
  <c r="AA3086" i="7"/>
  <c r="Z3086" i="7"/>
  <c r="M3086" i="7"/>
  <c r="J3086" i="7"/>
  <c r="D3086" i="7"/>
  <c r="AH3879" i="7"/>
  <c r="AF3879" i="7"/>
  <c r="Z3879" i="7"/>
  <c r="X3879" i="7"/>
  <c r="J3879" i="7"/>
  <c r="D3879" i="7"/>
  <c r="D1219" i="7"/>
  <c r="X11" i="13"/>
  <c r="X12" i="13"/>
  <c r="X13" i="13"/>
  <c r="X14" i="13"/>
  <c r="X15" i="13"/>
  <c r="X16" i="13"/>
  <c r="X17" i="13"/>
  <c r="X18" i="13"/>
  <c r="X19" i="13"/>
  <c r="W11" i="13"/>
  <c r="W12" i="13"/>
  <c r="W13" i="13"/>
  <c r="W14" i="13"/>
  <c r="W15" i="13"/>
  <c r="W16" i="13"/>
  <c r="W17" i="13"/>
  <c r="W18" i="13"/>
  <c r="W19" i="13"/>
  <c r="AH3913" i="7"/>
  <c r="Z3913" i="7"/>
  <c r="O3913" i="7"/>
  <c r="D3913" i="7"/>
  <c r="F11" i="25"/>
  <c r="O11" i="25"/>
  <c r="R11" i="25"/>
  <c r="F12" i="25"/>
  <c r="O12" i="25"/>
  <c r="R12" i="25"/>
  <c r="F13" i="25"/>
  <c r="O13" i="25"/>
  <c r="R13" i="25"/>
  <c r="F14" i="25"/>
  <c r="D18" i="25"/>
  <c r="E18" i="25"/>
  <c r="D22" i="25"/>
  <c r="E22" i="25"/>
  <c r="D23" i="25"/>
  <c r="E23" i="25"/>
  <c r="D24" i="25"/>
  <c r="E24" i="25"/>
  <c r="D25" i="25"/>
  <c r="E25" i="25"/>
  <c r="D26" i="25"/>
  <c r="E26" i="25"/>
  <c r="D27" i="25"/>
  <c r="E27" i="25"/>
  <c r="D28" i="25"/>
  <c r="E28" i="25"/>
  <c r="D29" i="25"/>
  <c r="E29" i="25"/>
  <c r="D30" i="25"/>
  <c r="E30" i="25"/>
  <c r="D31" i="25"/>
  <c r="E31" i="25"/>
  <c r="D32" i="25"/>
  <c r="E32" i="25"/>
  <c r="D33" i="25"/>
  <c r="E33" i="25"/>
  <c r="D34" i="25"/>
  <c r="E34" i="25"/>
  <c r="D35" i="25"/>
  <c r="E35" i="25"/>
  <c r="D36" i="25"/>
  <c r="E36" i="25"/>
  <c r="D37" i="25"/>
  <c r="E37" i="25"/>
  <c r="D38" i="25"/>
  <c r="E38" i="25"/>
  <c r="D39" i="25"/>
  <c r="E39" i="25"/>
  <c r="D40" i="25"/>
  <c r="E40" i="25"/>
  <c r="D41" i="25"/>
  <c r="E41" i="25"/>
  <c r="D42" i="25"/>
  <c r="E42" i="25"/>
  <c r="D43" i="25"/>
  <c r="E43" i="25"/>
  <c r="D44" i="25"/>
  <c r="E44" i="25"/>
  <c r="D45" i="25"/>
  <c r="E45" i="25"/>
  <c r="D46" i="25"/>
  <c r="E46" i="25"/>
  <c r="D47" i="25"/>
  <c r="E47" i="25"/>
  <c r="D48" i="25"/>
  <c r="E48" i="25"/>
  <c r="D49" i="25"/>
  <c r="E49" i="25"/>
  <c r="D50" i="25"/>
  <c r="E50" i="25"/>
  <c r="D51" i="25"/>
  <c r="E51" i="25"/>
  <c r="D52" i="25"/>
  <c r="E52" i="25"/>
  <c r="D53" i="25"/>
  <c r="E53" i="25"/>
  <c r="D54" i="25"/>
  <c r="E54" i="25"/>
  <c r="D55" i="25"/>
  <c r="E55" i="25"/>
  <c r="D56" i="25"/>
  <c r="E56" i="25"/>
  <c r="D57" i="25"/>
  <c r="E57" i="25"/>
  <c r="D58" i="25"/>
  <c r="E58" i="25"/>
  <c r="D59" i="25"/>
  <c r="E59" i="25"/>
  <c r="D60" i="25"/>
  <c r="E60" i="25"/>
  <c r="D61" i="25"/>
  <c r="E61" i="25"/>
  <c r="D62" i="25"/>
  <c r="E62" i="25"/>
  <c r="D63" i="25"/>
  <c r="E63" i="25"/>
  <c r="D64" i="25"/>
  <c r="E64" i="25"/>
  <c r="D65" i="25"/>
  <c r="E65" i="25"/>
  <c r="D66" i="25"/>
  <c r="E66" i="25"/>
  <c r="D67" i="25"/>
  <c r="E67" i="25"/>
  <c r="D68" i="25"/>
  <c r="E68" i="25"/>
  <c r="D69" i="25"/>
  <c r="E69" i="25"/>
  <c r="D70" i="25"/>
  <c r="E70" i="25"/>
  <c r="D71" i="25"/>
  <c r="E71" i="25"/>
  <c r="D72" i="25"/>
  <c r="E72" i="25"/>
  <c r="D73" i="25"/>
  <c r="E73" i="25"/>
  <c r="D74" i="25"/>
  <c r="E74" i="25"/>
  <c r="D75" i="25"/>
  <c r="E75" i="25"/>
  <c r="D76" i="25"/>
  <c r="E76" i="25"/>
  <c r="D77" i="25"/>
  <c r="E77" i="25"/>
  <c r="D78" i="25"/>
  <c r="E78" i="25"/>
  <c r="D80" i="25"/>
  <c r="E80" i="25"/>
  <c r="J87" i="25"/>
  <c r="K87" i="25"/>
  <c r="J88" i="25"/>
  <c r="K88" i="25"/>
  <c r="C89" i="25"/>
  <c r="E89" i="25" s="1"/>
  <c r="J90" i="25"/>
  <c r="K90" i="25"/>
  <c r="J91" i="25"/>
  <c r="K91" i="25"/>
  <c r="C92" i="25"/>
  <c r="J92" i="25"/>
  <c r="K92" i="25"/>
  <c r="C93" i="25"/>
  <c r="J93" i="25"/>
  <c r="K93" i="25"/>
  <c r="C94" i="25"/>
  <c r="J94" i="25"/>
  <c r="K94" i="25"/>
  <c r="J100" i="25"/>
  <c r="K100" i="25"/>
  <c r="J101" i="25"/>
  <c r="K101" i="25"/>
  <c r="C102" i="25"/>
  <c r="D102" i="25" s="1"/>
  <c r="J103" i="25"/>
  <c r="K103" i="25"/>
  <c r="J104" i="25"/>
  <c r="K104" i="25"/>
  <c r="C105" i="25"/>
  <c r="J105" i="25"/>
  <c r="K105" i="25"/>
  <c r="C106" i="25"/>
  <c r="J106" i="25"/>
  <c r="K106" i="25"/>
  <c r="C107" i="25"/>
  <c r="J107" i="25"/>
  <c r="K107" i="25"/>
  <c r="J112" i="25"/>
  <c r="D112" i="25" s="1"/>
  <c r="K112" i="25"/>
  <c r="E112" i="25" s="1"/>
  <c r="J113" i="25"/>
  <c r="K113" i="25"/>
  <c r="J114" i="25"/>
  <c r="K114" i="25"/>
  <c r="C115" i="25"/>
  <c r="D115" i="25" s="1"/>
  <c r="J116" i="25"/>
  <c r="K116" i="25"/>
  <c r="J117" i="25"/>
  <c r="K117" i="25"/>
  <c r="C118" i="25"/>
  <c r="J118" i="25"/>
  <c r="K118" i="25"/>
  <c r="C119" i="25"/>
  <c r="J119" i="25"/>
  <c r="K119" i="25"/>
  <c r="C120" i="25"/>
  <c r="J120" i="25"/>
  <c r="K120" i="25"/>
  <c r="J121" i="25"/>
  <c r="K121" i="25"/>
  <c r="X11" i="12"/>
  <c r="D3672" i="7"/>
  <c r="D2795" i="7"/>
  <c r="D3125" i="7"/>
  <c r="D1805" i="7"/>
  <c r="D1050" i="7"/>
  <c r="AH1978" i="7"/>
  <c r="AF1978" i="7"/>
  <c r="Z1978" i="7"/>
  <c r="U1978" i="7"/>
  <c r="L1978" i="7"/>
  <c r="J1978" i="7"/>
  <c r="D1978" i="7"/>
  <c r="D3272" i="7"/>
  <c r="Z3272" i="7"/>
  <c r="AH3272" i="7"/>
  <c r="D2199" i="7"/>
  <c r="D1289" i="7"/>
  <c r="D3365" i="7"/>
  <c r="D3363" i="7"/>
  <c r="D330" i="7"/>
  <c r="D1040" i="7"/>
  <c r="D2895" i="7"/>
  <c r="D3916" i="7"/>
  <c r="D3914" i="7"/>
  <c r="Z3914" i="7"/>
  <c r="D966" i="7"/>
  <c r="D3200" i="7"/>
  <c r="D4479" i="7"/>
  <c r="D1103" i="7"/>
  <c r="D3454" i="7"/>
  <c r="D4861" i="7"/>
  <c r="D636" i="7"/>
  <c r="D3885" i="7"/>
  <c r="D1552" i="7"/>
  <c r="D1554" i="7"/>
  <c r="D4478" i="7"/>
  <c r="D1401" i="7"/>
  <c r="D1402" i="7"/>
  <c r="D2464" i="7"/>
  <c r="D596" i="7"/>
  <c r="D4862" i="7"/>
  <c r="D1049" i="7"/>
  <c r="D3267" i="7"/>
  <c r="D3834" i="7"/>
  <c r="D4033" i="7"/>
  <c r="Z4033" i="7"/>
  <c r="D1934" i="7"/>
  <c r="D70" i="7"/>
  <c r="D999" i="7"/>
  <c r="O36" i="12"/>
  <c r="D2571" i="7"/>
  <c r="D2198" i="7"/>
  <c r="D492" i="7"/>
  <c r="D3987" i="7"/>
  <c r="D15" i="7"/>
  <c r="E92" i="25" l="1"/>
  <c r="D107" i="25"/>
  <c r="D92" i="25"/>
  <c r="D120" i="25"/>
  <c r="E115" i="25"/>
  <c r="D89" i="25"/>
  <c r="D105" i="25"/>
  <c r="E120" i="25"/>
  <c r="E94" i="25"/>
  <c r="E118" i="25"/>
  <c r="D119" i="25"/>
  <c r="D94" i="25"/>
  <c r="D118" i="25"/>
  <c r="E93" i="25"/>
  <c r="L12" i="25"/>
  <c r="K11" i="25"/>
  <c r="E106" i="25"/>
  <c r="D106" i="25"/>
  <c r="E105" i="25"/>
  <c r="K12" i="25"/>
  <c r="D93" i="25"/>
  <c r="E107" i="25"/>
  <c r="L11" i="25"/>
  <c r="E119" i="25"/>
  <c r="E102" i="25"/>
  <c r="D16" i="7"/>
  <c r="D4541" i="7"/>
  <c r="D221" i="7"/>
  <c r="D3878" i="7"/>
  <c r="D2991" i="7"/>
  <c r="D2853" i="7"/>
  <c r="D1646" i="7"/>
  <c r="D3203" i="7"/>
  <c r="D3085" i="7"/>
  <c r="X53" i="12"/>
  <c r="D4739" i="7"/>
  <c r="Z4739" i="7"/>
  <c r="D4692" i="7"/>
  <c r="D3422" i="7"/>
  <c r="D222" i="7"/>
  <c r="D3104" i="7"/>
  <c r="D1532" i="7"/>
  <c r="D2459" i="7"/>
  <c r="D3521" i="7"/>
  <c r="D3091" i="7"/>
  <c r="D3092" i="7"/>
  <c r="D3093" i="7"/>
  <c r="D4599" i="7"/>
  <c r="Z4599" i="7"/>
  <c r="D2653" i="7"/>
  <c r="D2347" i="7"/>
  <c r="D1449" i="7"/>
  <c r="D3132" i="7"/>
  <c r="D3476" i="7"/>
  <c r="D2917" i="7"/>
  <c r="D1580" i="7"/>
  <c r="D617" i="7"/>
  <c r="D1666" i="7"/>
  <c r="D2485" i="7"/>
  <c r="O2485" i="7"/>
  <c r="Z2485" i="7"/>
  <c r="O27" i="12"/>
  <c r="O31" i="12"/>
  <c r="L15" i="25" l="1"/>
  <c r="C88" i="25" s="1"/>
  <c r="K15" i="25"/>
  <c r="B13" i="25" s="1"/>
  <c r="D95" i="25" s="1"/>
  <c r="N12" i="25"/>
  <c r="C103" i="25" s="1"/>
  <c r="D103" i="25" s="1"/>
  <c r="Q12" i="25"/>
  <c r="C104" i="25" s="1"/>
  <c r="D104" i="25" s="1"/>
  <c r="Q11" i="25"/>
  <c r="C91" i="25" s="1"/>
  <c r="E91" i="25" s="1"/>
  <c r="Q13" i="25"/>
  <c r="C117" i="25" s="1"/>
  <c r="D117" i="25" s="1"/>
  <c r="N13" i="25"/>
  <c r="C116" i="25" s="1"/>
  <c r="D116" i="25" s="1"/>
  <c r="N11" i="25"/>
  <c r="C90" i="25" s="1"/>
  <c r="D90" i="25" s="1"/>
  <c r="D4189" i="7"/>
  <c r="K53" i="7"/>
  <c r="D53" i="7"/>
  <c r="Z53" i="7"/>
  <c r="AH53" i="7"/>
  <c r="D4890" i="7"/>
  <c r="D326" i="7"/>
  <c r="D3479" i="7"/>
  <c r="D106" i="7"/>
  <c r="D2790" i="7"/>
  <c r="AB3522" i="7"/>
  <c r="AB3520" i="7"/>
  <c r="AB3519" i="7"/>
  <c r="AB3518" i="7"/>
  <c r="AB3517" i="7"/>
  <c r="AB3523" i="7"/>
  <c r="AG11" i="13"/>
  <c r="AG12" i="13"/>
  <c r="AG13" i="13"/>
  <c r="AG14" i="13"/>
  <c r="AG15" i="13"/>
  <c r="AG16" i="13"/>
  <c r="AG17" i="13"/>
  <c r="AG18" i="13"/>
  <c r="AG19" i="13"/>
  <c r="AG10" i="13"/>
  <c r="S11" i="13"/>
  <c r="S12" i="13"/>
  <c r="S13" i="13"/>
  <c r="S14" i="13"/>
  <c r="S15" i="13"/>
  <c r="S16" i="13"/>
  <c r="S17" i="13"/>
  <c r="S18" i="13"/>
  <c r="S19" i="13"/>
  <c r="H4" i="14"/>
  <c r="H5" i="14"/>
  <c r="H6" i="14"/>
  <c r="H7" i="14"/>
  <c r="H8" i="14"/>
  <c r="H9" i="14"/>
  <c r="H10" i="14"/>
  <c r="H11" i="14"/>
  <c r="H12" i="14"/>
  <c r="H13" i="14"/>
  <c r="H14" i="14"/>
  <c r="H15" i="14"/>
  <c r="H16" i="14"/>
  <c r="H17" i="14"/>
  <c r="H18" i="14"/>
  <c r="H19" i="14"/>
  <c r="H20" i="14"/>
  <c r="H21" i="14"/>
  <c r="H22" i="14"/>
  <c r="H23" i="14"/>
  <c r="H24" i="14"/>
  <c r="H25" i="14"/>
  <c r="H26" i="14"/>
  <c r="H27" i="14"/>
  <c r="H28" i="14"/>
  <c r="H29" i="14"/>
  <c r="H30" i="14"/>
  <c r="H31" i="14"/>
  <c r="H32" i="14"/>
  <c r="H33" i="14"/>
  <c r="H34" i="14"/>
  <c r="H35" i="14"/>
  <c r="H36" i="14"/>
  <c r="H37" i="14"/>
  <c r="H38" i="14"/>
  <c r="H39" i="14"/>
  <c r="H40" i="14"/>
  <c r="H41" i="14"/>
  <c r="H42" i="14"/>
  <c r="H43" i="14"/>
  <c r="H44" i="14"/>
  <c r="H45" i="14"/>
  <c r="H46" i="14"/>
  <c r="H47" i="14"/>
  <c r="H4" i="3"/>
  <c r="O12" i="12"/>
  <c r="O11" i="12"/>
  <c r="C121" i="25" l="1"/>
  <c r="D121" i="25" s="1"/>
  <c r="C100" i="25"/>
  <c r="D100" i="25" s="1"/>
  <c r="C114" i="25"/>
  <c r="D114" i="25" s="1"/>
  <c r="E108" i="25"/>
  <c r="E95" i="25"/>
  <c r="E116" i="25"/>
  <c r="C101" i="25"/>
  <c r="D122" i="25"/>
  <c r="E122" i="25"/>
  <c r="C87" i="25"/>
  <c r="C113" i="25"/>
  <c r="D91" i="25"/>
  <c r="E88" i="25"/>
  <c r="D88" i="25"/>
  <c r="E104" i="25"/>
  <c r="E90" i="25"/>
  <c r="E103" i="25"/>
  <c r="E117" i="25"/>
  <c r="D108" i="25"/>
  <c r="S12" i="12"/>
  <c r="S13" i="12"/>
  <c r="S14" i="12"/>
  <c r="S15" i="12"/>
  <c r="S16" i="12"/>
  <c r="S17" i="12"/>
  <c r="S18" i="12"/>
  <c r="S19" i="12"/>
  <c r="S20" i="12"/>
  <c r="S11" i="12"/>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AH12" i="12"/>
  <c r="AH13" i="12"/>
  <c r="AH14" i="12"/>
  <c r="AH15" i="12"/>
  <c r="AH16" i="12"/>
  <c r="AH17" i="12"/>
  <c r="AH18" i="12"/>
  <c r="AH19" i="12"/>
  <c r="AH20" i="12"/>
  <c r="AH11" i="12"/>
  <c r="D3163" i="7"/>
  <c r="D1870" i="7"/>
  <c r="D1226" i="7"/>
  <c r="D565" i="7"/>
  <c r="D732" i="7"/>
  <c r="E100" i="25" l="1"/>
  <c r="E121" i="25"/>
  <c r="E114" i="25"/>
  <c r="E113" i="25"/>
  <c r="D113" i="25"/>
  <c r="E87" i="25"/>
  <c r="D87" i="25"/>
  <c r="E101" i="25"/>
  <c r="D101" i="25"/>
  <c r="AI4686" i="7"/>
  <c r="AH4686" i="7"/>
  <c r="AF4686" i="7"/>
  <c r="Z4686" i="7"/>
  <c r="M4686" i="7"/>
  <c r="D4686" i="7"/>
  <c r="D789" i="7"/>
  <c r="D1182" i="7"/>
  <c r="D3474" i="7"/>
  <c r="D2458" i="7"/>
  <c r="D4222" i="7"/>
  <c r="O4222" i="7"/>
  <c r="Z4222" i="7"/>
  <c r="AH4222" i="7"/>
  <c r="D657" i="7"/>
  <c r="D1845" i="7"/>
  <c r="D861" i="7"/>
  <c r="D1676" i="7"/>
  <c r="D3069" i="7"/>
  <c r="D1104" i="7"/>
  <c r="D2689" i="7"/>
  <c r="D2688" i="7"/>
  <c r="D4165" i="7"/>
  <c r="Z4165" i="7"/>
  <c r="D1571" i="7"/>
  <c r="D2386" i="7"/>
  <c r="D3642" i="7"/>
  <c r="Z3642" i="7"/>
  <c r="D3293" i="7"/>
  <c r="D3294" i="7"/>
  <c r="D3295" i="7"/>
  <c r="D858" i="7"/>
  <c r="AH3803" i="7"/>
  <c r="AH3802" i="7"/>
  <c r="D1448" i="7"/>
  <c r="AH3464" i="7"/>
  <c r="AF3464" i="7"/>
  <c r="Z3464" i="7"/>
  <c r="J3464" i="7"/>
  <c r="D3464" i="7"/>
  <c r="AH4435" i="7"/>
  <c r="D4435" i="7"/>
  <c r="D637" i="7" l="1"/>
  <c r="AH2702" i="7"/>
  <c r="D2702" i="7"/>
  <c r="AH4438" i="7"/>
  <c r="Z4438" i="7"/>
  <c r="D4438" i="7"/>
  <c r="AH4439" i="7"/>
  <c r="Z4439" i="7"/>
  <c r="D4439" i="7"/>
  <c r="D4815" i="7"/>
  <c r="J4815" i="7"/>
  <c r="M4815" i="7"/>
  <c r="Z4815" i="7"/>
  <c r="AF4815" i="7"/>
  <c r="AH4815" i="7"/>
  <c r="AI4815" i="7"/>
  <c r="D3277" i="7"/>
  <c r="Z3277" i="7"/>
  <c r="D4190" i="7"/>
  <c r="Z4190" i="7"/>
  <c r="AH380" i="7"/>
  <c r="J380" i="7"/>
  <c r="D380" i="7"/>
  <c r="Z380" i="7"/>
  <c r="AH1522" i="7"/>
  <c r="O1522" i="7"/>
  <c r="J1522" i="7"/>
  <c r="D1522" i="7"/>
  <c r="Z1522" i="7"/>
  <c r="J1465" i="7"/>
  <c r="AI1465" i="7"/>
  <c r="AH1465" i="7"/>
  <c r="M1465" i="7"/>
  <c r="AF1465" i="7"/>
  <c r="D1465" i="7"/>
  <c r="Z1465" i="7"/>
  <c r="D4369" i="7"/>
  <c r="D2907" i="7" l="1"/>
  <c r="O4056" i="7"/>
  <c r="D4056" i="7"/>
  <c r="Z4056" i="7"/>
  <c r="D1664" i="7"/>
  <c r="D860" i="7"/>
  <c r="D4364" i="7"/>
  <c r="D125" i="7"/>
  <c r="D126" i="7"/>
  <c r="D554" i="7"/>
  <c r="AH3438" i="7"/>
  <c r="D3438" i="7"/>
  <c r="D3833" i="7"/>
  <c r="D2521" i="7"/>
  <c r="O2521" i="7"/>
  <c r="Z2521" i="7"/>
  <c r="AH2521" i="7"/>
  <c r="AH2793" i="7"/>
  <c r="AF2793" i="7"/>
  <c r="AA2793" i="7"/>
  <c r="Z2793" i="7"/>
  <c r="J2793" i="7"/>
  <c r="D2793" i="7"/>
  <c r="AH2794" i="7"/>
  <c r="AF2794" i="7"/>
  <c r="AA2794" i="7"/>
  <c r="Z2794" i="7"/>
  <c r="J2794" i="7"/>
  <c r="D2794" i="7"/>
  <c r="T180" i="24"/>
  <c r="F180" i="24"/>
  <c r="T179" i="24"/>
  <c r="F179" i="24"/>
  <c r="S181" i="24" l="1"/>
  <c r="T160" i="24"/>
  <c r="T161" i="24"/>
  <c r="T162" i="24"/>
  <c r="T163" i="24"/>
  <c r="T164" i="24"/>
  <c r="T165" i="24"/>
  <c r="T166" i="24"/>
  <c r="T167" i="24"/>
  <c r="T168" i="24"/>
  <c r="T169" i="24"/>
  <c r="T170" i="24"/>
  <c r="T171" i="24"/>
  <c r="T172" i="24"/>
  <c r="T173" i="24"/>
  <c r="T174" i="24"/>
  <c r="T175" i="24"/>
  <c r="T176" i="24"/>
  <c r="T177" i="24"/>
  <c r="T178" i="24"/>
  <c r="T159" i="24"/>
  <c r="S195" i="24"/>
  <c r="S196" i="24"/>
  <c r="U195" i="24"/>
  <c r="U196" i="24"/>
  <c r="S3" i="24"/>
  <c r="S4"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82" i="24"/>
  <c r="S183" i="24"/>
  <c r="S184" i="24"/>
  <c r="S185" i="24"/>
  <c r="S186" i="24"/>
  <c r="S187" i="24"/>
  <c r="S188" i="24"/>
  <c r="S189" i="24"/>
  <c r="S190" i="24"/>
  <c r="S191" i="24"/>
  <c r="S192" i="24"/>
  <c r="S193" i="24"/>
  <c r="S194" i="24"/>
  <c r="S197" i="24"/>
  <c r="S198" i="24"/>
  <c r="S199" i="24"/>
  <c r="S200" i="24"/>
  <c r="S201" i="24"/>
  <c r="S202" i="24"/>
  <c r="S203" i="24"/>
  <c r="S204" i="24"/>
  <c r="S205" i="24"/>
  <c r="S206" i="24"/>
  <c r="S207" i="24"/>
  <c r="S208" i="24"/>
  <c r="S209" i="24"/>
  <c r="S210" i="24"/>
  <c r="S211" i="24"/>
  <c r="S212" i="24"/>
  <c r="AH3087" i="7"/>
  <c r="AF3087" i="7"/>
  <c r="AA3087" i="7"/>
  <c r="Z3087" i="7"/>
  <c r="M3087" i="7"/>
  <c r="J3087" i="7"/>
  <c r="D3087" i="7"/>
  <c r="D1105" i="7"/>
  <c r="F178" i="24"/>
  <c r="F177" i="24"/>
  <c r="F176" i="24"/>
  <c r="F175" i="24"/>
  <c r="F174" i="24"/>
  <c r="F173" i="24"/>
  <c r="F172" i="24"/>
  <c r="F171" i="24"/>
  <c r="F170" i="24"/>
  <c r="F169" i="24"/>
  <c r="F168" i="24"/>
  <c r="F167" i="24"/>
  <c r="F166" i="24"/>
  <c r="F165" i="24"/>
  <c r="F164" i="24"/>
  <c r="F163" i="24"/>
  <c r="F162" i="24"/>
  <c r="S2" i="24"/>
  <c r="F161" i="24"/>
  <c r="F160" i="24"/>
  <c r="F159" i="24"/>
  <c r="C19" i="24"/>
  <c r="C16" i="24"/>
  <c r="F199" i="24" l="1"/>
  <c r="D2444" i="7" l="1"/>
  <c r="D598" i="7"/>
  <c r="D3370" i="7"/>
  <c r="O28" i="12" l="1"/>
  <c r="D2290" i="7"/>
  <c r="D4538" i="7"/>
  <c r="D2433" i="7"/>
  <c r="D3523" i="7"/>
  <c r="D3084" i="7"/>
  <c r="D3477" i="7"/>
  <c r="O29" i="12"/>
  <c r="D4236" i="7"/>
  <c r="D4232" i="7"/>
  <c r="D4233" i="7"/>
  <c r="D4234" i="7"/>
  <c r="D4235" i="7"/>
  <c r="D1225" i="7"/>
  <c r="D1287" i="7"/>
  <c r="D1288" i="7"/>
  <c r="D3877" i="7"/>
  <c r="D2262" i="7"/>
  <c r="D645" i="7"/>
  <c r="D3068" i="7"/>
  <c r="D3314" i="7"/>
  <c r="O3314" i="7"/>
  <c r="Z3314" i="7"/>
  <c r="D1572" i="7"/>
  <c r="Z1572" i="7"/>
  <c r="D1538" i="7"/>
  <c r="D1530" i="7"/>
  <c r="D757" i="7"/>
  <c r="Z757" i="7"/>
  <c r="O35" i="12"/>
  <c r="O69" i="7"/>
  <c r="D69" i="7"/>
  <c r="Z69" i="7"/>
  <c r="D3356" i="7"/>
  <c r="D3357" i="7"/>
  <c r="D3358" i="7"/>
  <c r="AI3671" i="7"/>
  <c r="AH3671" i="7"/>
  <c r="Z3671" i="7"/>
  <c r="D3671" i="7"/>
  <c r="D13" i="7"/>
  <c r="O13" i="7"/>
  <c r="Z13" i="7"/>
  <c r="D3361" i="7"/>
  <c r="X53" i="13"/>
  <c r="X54" i="13"/>
  <c r="X55" i="13"/>
  <c r="X56" i="13"/>
  <c r="X57" i="13"/>
  <c r="X58" i="13"/>
  <c r="X59" i="13"/>
  <c r="X60" i="13"/>
  <c r="X61" i="13"/>
  <c r="D3577" i="7"/>
  <c r="D1342" i="7"/>
  <c r="Z1342" i="7"/>
  <c r="D1804" i="7"/>
  <c r="D4188" i="7"/>
  <c r="Z4188" i="7"/>
  <c r="D1569" i="7"/>
  <c r="D14" i="7"/>
  <c r="O14" i="7"/>
  <c r="Z14" i="7"/>
  <c r="AH14" i="7"/>
  <c r="D2529" i="7"/>
  <c r="D810" i="7"/>
  <c r="AH3629" i="7"/>
  <c r="AF3629" i="7"/>
  <c r="AE3629" i="7"/>
  <c r="AA3629" i="7"/>
  <c r="Z3629" i="7"/>
  <c r="V3629" i="7"/>
  <c r="L3629" i="7"/>
  <c r="J3629" i="7"/>
  <c r="D3629" i="7"/>
  <c r="D2652" i="7"/>
  <c r="AI1534" i="7"/>
  <c r="AH1534" i="7"/>
  <c r="Z1534" i="7"/>
  <c r="D1534" i="7"/>
  <c r="AI1533" i="7"/>
  <c r="AH1533" i="7"/>
  <c r="Z1533" i="7"/>
  <c r="D1533" i="7"/>
  <c r="D3475" i="7"/>
  <c r="D2346" i="7"/>
  <c r="AH3896" i="7"/>
  <c r="AF3896" i="7"/>
  <c r="AA3896" i="7"/>
  <c r="Z3896" i="7"/>
  <c r="T3896" i="7"/>
  <c r="O3896" i="7"/>
  <c r="D3896" i="7"/>
  <c r="D3894" i="7"/>
  <c r="D1990" i="7"/>
  <c r="Z1990" i="7"/>
  <c r="D2462" i="7"/>
  <c r="D4788" i="7"/>
  <c r="D1333" i="7"/>
  <c r="D317" i="7"/>
  <c r="AH1171" i="7"/>
  <c r="Z1171" i="7"/>
  <c r="D1171" i="7"/>
  <c r="AH1170" i="7"/>
  <c r="Z1170" i="7"/>
  <c r="D1170" i="7"/>
  <c r="AH4119" i="7"/>
  <c r="AH3641" i="7"/>
  <c r="AF3641" i="7"/>
  <c r="Z3641" i="7"/>
  <c r="M3641" i="7"/>
  <c r="D3641" i="7"/>
  <c r="D17" i="7"/>
  <c r="O17" i="7"/>
  <c r="Z17" i="7"/>
  <c r="AH17" i="7"/>
  <c r="D1989" i="7"/>
  <c r="D1986" i="7"/>
  <c r="D1987" i="7"/>
  <c r="D1988" i="7"/>
  <c r="D2271" i="7"/>
  <c r="Z4232" i="7"/>
  <c r="D1596" i="7"/>
  <c r="D1907" i="7"/>
  <c r="D4477" i="7"/>
  <c r="AH4442" i="7"/>
  <c r="Z4442" i="7"/>
  <c r="D4442" i="7"/>
  <c r="AH3876" i="7"/>
  <c r="D3876" i="7"/>
  <c r="D1477" i="7"/>
  <c r="C198" i="2"/>
  <c r="D922" i="7" l="1"/>
  <c r="D859" i="7"/>
  <c r="D4673" i="7"/>
  <c r="D3114" i="7"/>
  <c r="Z3114" i="7"/>
  <c r="D4441" i="7"/>
  <c r="Z4441" i="7"/>
  <c r="AH4441" i="7"/>
  <c r="D2333" i="7"/>
  <c r="D2457" i="7"/>
  <c r="D2456" i="7"/>
  <c r="Z2456" i="7"/>
  <c r="D3870" i="7"/>
  <c r="D2289" i="7"/>
  <c r="D3103" i="7"/>
  <c r="D1742" i="7"/>
  <c r="D2620" i="7"/>
  <c r="D1981" i="7"/>
  <c r="D4203" i="7"/>
  <c r="D3276" i="7"/>
  <c r="Z3276" i="7"/>
  <c r="D592" i="7"/>
  <c r="D18" i="7"/>
  <c r="D57" i="7"/>
  <c r="D58" i="7"/>
  <c r="D59" i="7"/>
  <c r="D60" i="7"/>
  <c r="D2222" i="7"/>
  <c r="D4202" i="7"/>
  <c r="D4205" i="7"/>
  <c r="D1881" i="7"/>
  <c r="D4823" i="7"/>
  <c r="D3316" i="7"/>
  <c r="D4612" i="7"/>
  <c r="D2345" i="7"/>
  <c r="D4475" i="7"/>
  <c r="D3591" i="7"/>
  <c r="D1481" i="7"/>
  <c r="D1480" i="7"/>
  <c r="D1479" i="7"/>
  <c r="D986" i="7"/>
  <c r="D985" i="7"/>
  <c r="D123" i="7" l="1"/>
  <c r="Z123" i="7"/>
  <c r="D4076" i="7"/>
  <c r="D4044" i="7"/>
  <c r="D3362" i="7"/>
  <c r="D1328" i="7"/>
  <c r="D739" i="7"/>
  <c r="D2242" i="7"/>
  <c r="O45" i="12"/>
  <c r="D3484" i="7"/>
  <c r="D3089" i="7"/>
  <c r="D2791" i="7"/>
  <c r="D4614" i="7"/>
  <c r="D509" i="7"/>
  <c r="O509" i="7"/>
  <c r="Z509" i="7"/>
  <c r="AH509" i="7"/>
  <c r="D2789" i="7"/>
  <c r="D2823" i="7"/>
  <c r="D4889" i="7"/>
  <c r="D165" i="7"/>
  <c r="D2736" i="7" l="1"/>
  <c r="D1662" i="7"/>
  <c r="D1663" i="7"/>
  <c r="D1665" i="7"/>
  <c r="D2577" i="7"/>
  <c r="D2578" i="7"/>
  <c r="D4221" i="7"/>
  <c r="D589" i="7"/>
  <c r="D590" i="7"/>
  <c r="D591" i="7"/>
  <c r="D593" i="7"/>
  <c r="D4622" i="7"/>
  <c r="AG4051" i="7"/>
  <c r="AG4052" i="7"/>
  <c r="AG4053" i="7"/>
  <c r="AB4051" i="7"/>
  <c r="AB4052" i="7"/>
  <c r="AB4053" i="7"/>
  <c r="AA4051" i="7"/>
  <c r="AA4052" i="7"/>
  <c r="AA4053" i="7"/>
  <c r="D2824" i="7"/>
  <c r="D402" i="7"/>
  <c r="D2028" i="7"/>
  <c r="Z2028" i="7"/>
  <c r="D2744" i="7"/>
  <c r="D1579" i="7"/>
  <c r="D4867" i="7"/>
  <c r="D4866" i="7"/>
  <c r="Z4866" i="7"/>
  <c r="AH4866" i="7"/>
  <c r="D635" i="7"/>
  <c r="D1185" i="7"/>
  <c r="D20" i="7"/>
  <c r="O20" i="7"/>
  <c r="Z20" i="7"/>
  <c r="AH20" i="7"/>
  <c r="D3364" i="7"/>
  <c r="D2732" i="7"/>
  <c r="D2733" i="7"/>
  <c r="D2734" i="7"/>
  <c r="D2465" i="7"/>
  <c r="O2465" i="7"/>
  <c r="Z2465" i="7"/>
  <c r="D2105" i="7"/>
  <c r="D2104" i="7"/>
  <c r="D2099" i="7"/>
  <c r="D2100" i="7"/>
  <c r="D2101" i="7"/>
  <c r="D2102" i="7"/>
  <c r="D2103" i="7"/>
  <c r="D3986" i="7"/>
  <c r="D2224" i="7"/>
  <c r="D3232" i="7"/>
  <c r="D603" i="7"/>
  <c r="D2385" i="7"/>
  <c r="D55" i="7" l="1"/>
  <c r="D3981" i="7"/>
  <c r="Z3981" i="7"/>
  <c r="AH3981" i="7"/>
  <c r="D1792" i="7"/>
  <c r="D41" i="7"/>
  <c r="D4613" i="7"/>
  <c r="D857" i="7"/>
  <c r="D856" i="7"/>
  <c r="D3579" i="7"/>
  <c r="D4152" i="7"/>
  <c r="Z4152" i="7"/>
  <c r="AH4152" i="7"/>
  <c r="D3797" i="7"/>
  <c r="D4026" i="7"/>
  <c r="D4027" i="7"/>
  <c r="D4028" i="7"/>
  <c r="D4025" i="7" l="1"/>
  <c r="Z4025" i="7"/>
  <c r="O34" i="12"/>
  <c r="O33" i="12"/>
  <c r="O30" i="12"/>
  <c r="D2443" i="7"/>
  <c r="D1695" i="7"/>
  <c r="O43" i="12"/>
  <c r="Y45" i="12"/>
  <c r="D172" i="7"/>
  <c r="D2403" i="7"/>
  <c r="Z2403" i="7"/>
  <c r="D3123" i="7"/>
  <c r="D2240" i="7"/>
  <c r="D2241" i="7"/>
  <c r="D2243" i="7"/>
  <c r="D3360" i="7"/>
  <c r="D3204" i="7"/>
  <c r="D1680" i="7"/>
  <c r="Z1680" i="7"/>
  <c r="D3305" i="7"/>
  <c r="D2859" i="7"/>
  <c r="D4141" i="7"/>
  <c r="D2532" i="7"/>
  <c r="D3029" i="7"/>
  <c r="T245" i="22"/>
  <c r="T244" i="22"/>
  <c r="B230" i="22"/>
  <c r="B229" i="22"/>
  <c r="B228" i="22"/>
  <c r="B227" i="22"/>
  <c r="B226" i="22"/>
  <c r="B225" i="22"/>
  <c r="B224" i="22"/>
  <c r="B223" i="22"/>
  <c r="B222" i="22"/>
  <c r="B221" i="22"/>
  <c r="B220" i="22"/>
  <c r="B219" i="22"/>
  <c r="B214" i="22"/>
  <c r="B213" i="22"/>
  <c r="B212" i="22"/>
  <c r="B211" i="22"/>
  <c r="B210" i="22"/>
  <c r="B209" i="22"/>
  <c r="B208" i="22"/>
  <c r="B207" i="22"/>
  <c r="B206" i="22"/>
  <c r="B205" i="22"/>
  <c r="A204" i="22"/>
  <c r="B23" i="22"/>
  <c r="C22" i="22"/>
  <c r="B19" i="22"/>
  <c r="D3832" i="7"/>
  <c r="D189" i="7"/>
  <c r="Z189" i="7"/>
  <c r="D1675" i="7"/>
  <c r="D4471" i="7"/>
  <c r="AE1340" i="7"/>
  <c r="AE1339" i="7"/>
  <c r="D1340" i="7"/>
  <c r="D737" i="7"/>
  <c r="D4211" i="7"/>
  <c r="Z4211" i="7"/>
  <c r="AH1553" i="7"/>
  <c r="D1553" i="7"/>
  <c r="D23" i="7"/>
  <c r="Z23" i="7"/>
  <c r="D4142" i="7" l="1"/>
  <c r="Z4142" i="7"/>
  <c r="D3124" i="7"/>
  <c r="AA670" i="7"/>
  <c r="D3522" i="7"/>
  <c r="D1674" i="7"/>
  <c r="D494" i="7"/>
  <c r="D4902" i="7"/>
  <c r="D4901" i="7"/>
  <c r="Z4901" i="7"/>
  <c r="D553" i="7" l="1"/>
  <c r="D1447" i="7"/>
  <c r="D2742" i="7"/>
  <c r="D2743" i="7"/>
  <c r="D2741" i="7"/>
  <c r="Z2741" i="7"/>
  <c r="D2371" i="7"/>
  <c r="AH19" i="7"/>
  <c r="AH21" i="7"/>
  <c r="AH22" i="7"/>
  <c r="AH24" i="7"/>
  <c r="AH25" i="7"/>
  <c r="AH26" i="7"/>
  <c r="AH27" i="7"/>
  <c r="AH28" i="7"/>
  <c r="AH29" i="7"/>
  <c r="AH30" i="7"/>
  <c r="AH31" i="7"/>
  <c r="AH32" i="7"/>
  <c r="AH33" i="7"/>
  <c r="AH34" i="7"/>
  <c r="AH35" i="7"/>
  <c r="AH36" i="7"/>
  <c r="AH37" i="7"/>
  <c r="AH38" i="7"/>
  <c r="AH39" i="7"/>
  <c r="AH40" i="7"/>
  <c r="AH42" i="7"/>
  <c r="AH43" i="7"/>
  <c r="AH44" i="7"/>
  <c r="AH45" i="7"/>
  <c r="AH46" i="7"/>
  <c r="AH47" i="7"/>
  <c r="AH48" i="7"/>
  <c r="AH49" i="7"/>
  <c r="AH50" i="7"/>
  <c r="AH51" i="7"/>
  <c r="AH52" i="7"/>
  <c r="AH61" i="7"/>
  <c r="AH62" i="7"/>
  <c r="AH63" i="7"/>
  <c r="AH64" i="7"/>
  <c r="AH65" i="7"/>
  <c r="AH66" i="7"/>
  <c r="AH67" i="7"/>
  <c r="AH68" i="7"/>
  <c r="AH72" i="7"/>
  <c r="AH73" i="7"/>
  <c r="AH74" i="7"/>
  <c r="AH75" i="7"/>
  <c r="AH76" i="7"/>
  <c r="AH77" i="7"/>
  <c r="AH78" i="7"/>
  <c r="AH79" i="7"/>
  <c r="AH80" i="7"/>
  <c r="AH81" i="7"/>
  <c r="AH82" i="7"/>
  <c r="AH83" i="7"/>
  <c r="AH84" i="7"/>
  <c r="AH85" i="7"/>
  <c r="AH86" i="7"/>
  <c r="AH87" i="7"/>
  <c r="AH88" i="7"/>
  <c r="AH89" i="7"/>
  <c r="AH90" i="7"/>
  <c r="AH91" i="7"/>
  <c r="AH92" i="7"/>
  <c r="AH93" i="7"/>
  <c r="AH94" i="7"/>
  <c r="AH95" i="7"/>
  <c r="AH96" i="7"/>
  <c r="AH97" i="7"/>
  <c r="AH98" i="7"/>
  <c r="AH99" i="7"/>
  <c r="AH100" i="7"/>
  <c r="AH101" i="7"/>
  <c r="AH102" i="7"/>
  <c r="AH103" i="7"/>
  <c r="AH104" i="7"/>
  <c r="AH105" i="7"/>
  <c r="AH107" i="7"/>
  <c r="AH108" i="7"/>
  <c r="AH109" i="7"/>
  <c r="AH110" i="7"/>
  <c r="AH111" i="7"/>
  <c r="AH112" i="7"/>
  <c r="AH113" i="7"/>
  <c r="AH114" i="7"/>
  <c r="AH115" i="7"/>
  <c r="AH116" i="7"/>
  <c r="AH117" i="7"/>
  <c r="AH118" i="7"/>
  <c r="AH119" i="7"/>
  <c r="AH120" i="7"/>
  <c r="AH121" i="7"/>
  <c r="AH122" i="7"/>
  <c r="AH124" i="7"/>
  <c r="AH127" i="7"/>
  <c r="AH128" i="7"/>
  <c r="AH129" i="7"/>
  <c r="AH130" i="7"/>
  <c r="AH131" i="7"/>
  <c r="AH132" i="7"/>
  <c r="AH133" i="7"/>
  <c r="AH134" i="7"/>
  <c r="AH135" i="7"/>
  <c r="AH136" i="7"/>
  <c r="AH137" i="7"/>
  <c r="AH138" i="7"/>
  <c r="AH139" i="7"/>
  <c r="AH140" i="7"/>
  <c r="AH141" i="7"/>
  <c r="AH142" i="7"/>
  <c r="AH143" i="7"/>
  <c r="AH144" i="7"/>
  <c r="AH145" i="7"/>
  <c r="AH146" i="7"/>
  <c r="AH147" i="7"/>
  <c r="AH148" i="7"/>
  <c r="AH149" i="7"/>
  <c r="AH150" i="7"/>
  <c r="AH151" i="7"/>
  <c r="AH152" i="7"/>
  <c r="AH153" i="7"/>
  <c r="AH154" i="7"/>
  <c r="AH155" i="7"/>
  <c r="AH156" i="7"/>
  <c r="AH157" i="7"/>
  <c r="AH158" i="7"/>
  <c r="AH159" i="7"/>
  <c r="AH160" i="7"/>
  <c r="AH161" i="7"/>
  <c r="AH162" i="7"/>
  <c r="AH163" i="7"/>
  <c r="AH164" i="7"/>
  <c r="AH166" i="7"/>
  <c r="AH167" i="7"/>
  <c r="AH168" i="7"/>
  <c r="AH169" i="7"/>
  <c r="AH170" i="7"/>
  <c r="AH171" i="7"/>
  <c r="AH173" i="7"/>
  <c r="AH174" i="7"/>
  <c r="AH175" i="7"/>
  <c r="AH176" i="7"/>
  <c r="AH177" i="7"/>
  <c r="AH178" i="7"/>
  <c r="AH179" i="7"/>
  <c r="AH180" i="7"/>
  <c r="AH181" i="7"/>
  <c r="AH182" i="7"/>
  <c r="AH183" i="7"/>
  <c r="AH184" i="7"/>
  <c r="AH185" i="7"/>
  <c r="AH186" i="7"/>
  <c r="AH187" i="7"/>
  <c r="AH188" i="7"/>
  <c r="AH190" i="7"/>
  <c r="AH191" i="7"/>
  <c r="AH192" i="7"/>
  <c r="AH193" i="7"/>
  <c r="AH194" i="7"/>
  <c r="AH196" i="7"/>
  <c r="AH197" i="7"/>
  <c r="AH198" i="7"/>
  <c r="AH199" i="7"/>
  <c r="AH200" i="7"/>
  <c r="AH201" i="7"/>
  <c r="AH202" i="7"/>
  <c r="AH203" i="7"/>
  <c r="AH204" i="7"/>
  <c r="AH205" i="7"/>
  <c r="AH206" i="7"/>
  <c r="AH207" i="7"/>
  <c r="AH208" i="7"/>
  <c r="AH209" i="7"/>
  <c r="AH210" i="7"/>
  <c r="AH211" i="7"/>
  <c r="AH212" i="7"/>
  <c r="AH213" i="7"/>
  <c r="AH214" i="7"/>
  <c r="AH215" i="7"/>
  <c r="AH216" i="7"/>
  <c r="AH217" i="7"/>
  <c r="AH218" i="7"/>
  <c r="AH219" i="7"/>
  <c r="AH220" i="7"/>
  <c r="AH223" i="7"/>
  <c r="AH224" i="7"/>
  <c r="AH225" i="7"/>
  <c r="AH226" i="7"/>
  <c r="AH227" i="7"/>
  <c r="AH228" i="7"/>
  <c r="AH229" i="7"/>
  <c r="AH230" i="7"/>
  <c r="AH231" i="7"/>
  <c r="AH232" i="7"/>
  <c r="AH233" i="7"/>
  <c r="AH234" i="7"/>
  <c r="AH235" i="7"/>
  <c r="AH236" i="7"/>
  <c r="AH237" i="7"/>
  <c r="AH238" i="7"/>
  <c r="AH239" i="7"/>
  <c r="AH240" i="7"/>
  <c r="AH241" i="7"/>
  <c r="AH242" i="7"/>
  <c r="AH243" i="7"/>
  <c r="AH244" i="7"/>
  <c r="AH245" i="7"/>
  <c r="AH246" i="7"/>
  <c r="AH247" i="7"/>
  <c r="AH248" i="7"/>
  <c r="AH249" i="7"/>
  <c r="AH250" i="7"/>
  <c r="AH251" i="7"/>
  <c r="AH252" i="7"/>
  <c r="AH253" i="7"/>
  <c r="AH254" i="7"/>
  <c r="AH255" i="7"/>
  <c r="AH256" i="7"/>
  <c r="AH257" i="7"/>
  <c r="AH258" i="7"/>
  <c r="AH259" i="7"/>
  <c r="AH260" i="7"/>
  <c r="AH261" i="7"/>
  <c r="AH262" i="7"/>
  <c r="AH263" i="7"/>
  <c r="AH264" i="7"/>
  <c r="AH265" i="7"/>
  <c r="AH266" i="7"/>
  <c r="AH267" i="7"/>
  <c r="AH268" i="7"/>
  <c r="AH269" i="7"/>
  <c r="AH270" i="7"/>
  <c r="AH271" i="7"/>
  <c r="AH272" i="7"/>
  <c r="AH273" i="7"/>
  <c r="AH274" i="7"/>
  <c r="AH275" i="7"/>
  <c r="AH276" i="7"/>
  <c r="AH277" i="7"/>
  <c r="AH278" i="7"/>
  <c r="AH279" i="7"/>
  <c r="AH280" i="7"/>
  <c r="AH281" i="7"/>
  <c r="AH282" i="7"/>
  <c r="AH283" i="7"/>
  <c r="AH284" i="7"/>
  <c r="AH285" i="7"/>
  <c r="AH286" i="7"/>
  <c r="AH287" i="7"/>
  <c r="AH288" i="7"/>
  <c r="AH289" i="7"/>
  <c r="AH290" i="7"/>
  <c r="AH291" i="7"/>
  <c r="AH292" i="7"/>
  <c r="AH293" i="7"/>
  <c r="AH294" i="7"/>
  <c r="AH295" i="7"/>
  <c r="AH296" i="7"/>
  <c r="AH297" i="7"/>
  <c r="AH298" i="7"/>
  <c r="AH299" i="7"/>
  <c r="AH300" i="7"/>
  <c r="AH301" i="7"/>
  <c r="AH302" i="7"/>
  <c r="AH303" i="7"/>
  <c r="AH304" i="7"/>
  <c r="AH305" i="7"/>
  <c r="AH306" i="7"/>
  <c r="AH307" i="7"/>
  <c r="AH308" i="7"/>
  <c r="AH309" i="7"/>
  <c r="AH310" i="7"/>
  <c r="AH311" i="7"/>
  <c r="AH312" i="7"/>
  <c r="AH313" i="7"/>
  <c r="AH314" i="7"/>
  <c r="AH315" i="7"/>
  <c r="AH316" i="7"/>
  <c r="AH318" i="7"/>
  <c r="AH319" i="7"/>
  <c r="AH320" i="7"/>
  <c r="AH321" i="7"/>
  <c r="AH322" i="7"/>
  <c r="AH323" i="7"/>
  <c r="AH324" i="7"/>
  <c r="AH325" i="7"/>
  <c r="AH327" i="7"/>
  <c r="AH328" i="7"/>
  <c r="AH329" i="7"/>
  <c r="AH331" i="7"/>
  <c r="AH332" i="7"/>
  <c r="AH333" i="7"/>
  <c r="AH334" i="7"/>
  <c r="AH335" i="7"/>
  <c r="AH336" i="7"/>
  <c r="AH337" i="7"/>
  <c r="AH338" i="7"/>
  <c r="AH339" i="7"/>
  <c r="AH340" i="7"/>
  <c r="AH341" i="7"/>
  <c r="AH342" i="7"/>
  <c r="AH343" i="7"/>
  <c r="AH344" i="7"/>
  <c r="AH345" i="7"/>
  <c r="AH346" i="7"/>
  <c r="AH347" i="7"/>
  <c r="AH348" i="7"/>
  <c r="AH349" i="7"/>
  <c r="AH350" i="7"/>
  <c r="AH351" i="7"/>
  <c r="AH352" i="7"/>
  <c r="AH353" i="7"/>
  <c r="AH354" i="7"/>
  <c r="AH355" i="7"/>
  <c r="AH356" i="7"/>
  <c r="AH357" i="7"/>
  <c r="AH358" i="7"/>
  <c r="AH359" i="7"/>
  <c r="AH360" i="7"/>
  <c r="AH361" i="7"/>
  <c r="AH362" i="7"/>
  <c r="AH363" i="7"/>
  <c r="AH364" i="7"/>
  <c r="AH365" i="7"/>
  <c r="AH366" i="7"/>
  <c r="AH367" i="7"/>
  <c r="AH368" i="7"/>
  <c r="AH369" i="7"/>
  <c r="AH370" i="7"/>
  <c r="AH371" i="7"/>
  <c r="AH372" i="7"/>
  <c r="AH373" i="7"/>
  <c r="AH374" i="7"/>
  <c r="AH375" i="7"/>
  <c r="AH376" i="7"/>
  <c r="AH377" i="7"/>
  <c r="AH378" i="7"/>
  <c r="AH379" i="7"/>
  <c r="AH381" i="7"/>
  <c r="AH382" i="7"/>
  <c r="AH383" i="7"/>
  <c r="AH384" i="7"/>
  <c r="AH385" i="7"/>
  <c r="AH386" i="7"/>
  <c r="AH387" i="7"/>
  <c r="AH388" i="7"/>
  <c r="AH389" i="7"/>
  <c r="AH390" i="7"/>
  <c r="AH391" i="7"/>
  <c r="AH392" i="7"/>
  <c r="AH393" i="7"/>
  <c r="AH394" i="7"/>
  <c r="AH395" i="7"/>
  <c r="AH396" i="7"/>
  <c r="AH397" i="7"/>
  <c r="AH398" i="7"/>
  <c r="AH399" i="7"/>
  <c r="AH400" i="7"/>
  <c r="AH401" i="7"/>
  <c r="AH404" i="7"/>
  <c r="AH405" i="7"/>
  <c r="AH406" i="7"/>
  <c r="AH407" i="7"/>
  <c r="AH408" i="7"/>
  <c r="AH409" i="7"/>
  <c r="AH410" i="7"/>
  <c r="AH411" i="7"/>
  <c r="AH413" i="7"/>
  <c r="AH414" i="7"/>
  <c r="AH415" i="7"/>
  <c r="AH416" i="7"/>
  <c r="AH417" i="7"/>
  <c r="AH418" i="7"/>
  <c r="AH419" i="7"/>
  <c r="AH420" i="7"/>
  <c r="AH421" i="7"/>
  <c r="AH422" i="7"/>
  <c r="AH423" i="7"/>
  <c r="AH424" i="7"/>
  <c r="AH425" i="7"/>
  <c r="AH426" i="7"/>
  <c r="AH427" i="7"/>
  <c r="AH428" i="7"/>
  <c r="AH429" i="7"/>
  <c r="AH430" i="7"/>
  <c r="AH431" i="7"/>
  <c r="AH432" i="7"/>
  <c r="AH433" i="7"/>
  <c r="AH434" i="7"/>
  <c r="AH435" i="7"/>
  <c r="AH436" i="7"/>
  <c r="AH437" i="7"/>
  <c r="AH438" i="7"/>
  <c r="AH439" i="7"/>
  <c r="AH440" i="7"/>
  <c r="AH441" i="7"/>
  <c r="AH442" i="7"/>
  <c r="AH443" i="7"/>
  <c r="AH444" i="7"/>
  <c r="AH445" i="7"/>
  <c r="AH446" i="7"/>
  <c r="AH447" i="7"/>
  <c r="AH448" i="7"/>
  <c r="AH449" i="7"/>
  <c r="AH450" i="7"/>
  <c r="AH451" i="7"/>
  <c r="AH452" i="7"/>
  <c r="AH453" i="7"/>
  <c r="AH454" i="7"/>
  <c r="AH455" i="7"/>
  <c r="AH456" i="7"/>
  <c r="AH457" i="7"/>
  <c r="AH458" i="7"/>
  <c r="AH459" i="7"/>
  <c r="AH460" i="7"/>
  <c r="AH461" i="7"/>
  <c r="AH462" i="7"/>
  <c r="AH463" i="7"/>
  <c r="AH464" i="7"/>
  <c r="AH465" i="7"/>
  <c r="AH466" i="7"/>
  <c r="AH467" i="7"/>
  <c r="AH468" i="7"/>
  <c r="AH469" i="7"/>
  <c r="AH470" i="7"/>
  <c r="AH471" i="7"/>
  <c r="AH472" i="7"/>
  <c r="AH473" i="7"/>
  <c r="AH474" i="7"/>
  <c r="AH475" i="7"/>
  <c r="AH476" i="7"/>
  <c r="AH477" i="7"/>
  <c r="AH478" i="7"/>
  <c r="AH479" i="7"/>
  <c r="AH480" i="7"/>
  <c r="AH481" i="7"/>
  <c r="AH482" i="7"/>
  <c r="AH483" i="7"/>
  <c r="AH484" i="7"/>
  <c r="AH485" i="7"/>
  <c r="AH486" i="7"/>
  <c r="AH487" i="7"/>
  <c r="AH488" i="7"/>
  <c r="AH489" i="7"/>
  <c r="AH490" i="7"/>
  <c r="AH491" i="7"/>
  <c r="AH493" i="7"/>
  <c r="AH495" i="7"/>
  <c r="AH496" i="7"/>
  <c r="AH497" i="7"/>
  <c r="AH498" i="7"/>
  <c r="AH499" i="7"/>
  <c r="AH500" i="7"/>
  <c r="AH501" i="7"/>
  <c r="AH502" i="7"/>
  <c r="AH503" i="7"/>
  <c r="AH504" i="7"/>
  <c r="AH505" i="7"/>
  <c r="AH506" i="7"/>
  <c r="AH507" i="7"/>
  <c r="AH508" i="7"/>
  <c r="AH510" i="7"/>
  <c r="AH511" i="7"/>
  <c r="AH512" i="7"/>
  <c r="AH513" i="7"/>
  <c r="AH514" i="7"/>
  <c r="AH515" i="7"/>
  <c r="AH516" i="7"/>
  <c r="AH517" i="7"/>
  <c r="AH518" i="7"/>
  <c r="AH519" i="7"/>
  <c r="AH520" i="7"/>
  <c r="AH521" i="7"/>
  <c r="AH522" i="7"/>
  <c r="AH523" i="7"/>
  <c r="AH524" i="7"/>
  <c r="AH525" i="7"/>
  <c r="AH526" i="7"/>
  <c r="AH527" i="7"/>
  <c r="AH528" i="7"/>
  <c r="AH529" i="7"/>
  <c r="AH530" i="7"/>
  <c r="AH531" i="7"/>
  <c r="AH532" i="7"/>
  <c r="AH533" i="7"/>
  <c r="AH534" i="7"/>
  <c r="AH535" i="7"/>
  <c r="AH536" i="7"/>
  <c r="AH537" i="7"/>
  <c r="AH538" i="7"/>
  <c r="AH539" i="7"/>
  <c r="AH540" i="7"/>
  <c r="AH541" i="7"/>
  <c r="AH542" i="7"/>
  <c r="AH543" i="7"/>
  <c r="AH544" i="7"/>
  <c r="AH545" i="7"/>
  <c r="AH546" i="7"/>
  <c r="AH547" i="7"/>
  <c r="AH548" i="7"/>
  <c r="AH549" i="7"/>
  <c r="AH550" i="7"/>
  <c r="AH551" i="7"/>
  <c r="AH552" i="7"/>
  <c r="AH555" i="7"/>
  <c r="AH556" i="7"/>
  <c r="AH557" i="7"/>
  <c r="AH558" i="7"/>
  <c r="AH559" i="7"/>
  <c r="AH560" i="7"/>
  <c r="AH561" i="7"/>
  <c r="AH562" i="7"/>
  <c r="AH563" i="7"/>
  <c r="AH564" i="7"/>
  <c r="AH566" i="7"/>
  <c r="AH568" i="7"/>
  <c r="AH569" i="7"/>
  <c r="AH570" i="7"/>
  <c r="AH571" i="7"/>
  <c r="AH572" i="7"/>
  <c r="AH573" i="7"/>
  <c r="AH574" i="7"/>
  <c r="AH575" i="7"/>
  <c r="AH576" i="7"/>
  <c r="AH577" i="7"/>
  <c r="AH578" i="7"/>
  <c r="AH579" i="7"/>
  <c r="AH580" i="7"/>
  <c r="AH581" i="7"/>
  <c r="AH582" i="7"/>
  <c r="AH583" i="7"/>
  <c r="AH584" i="7"/>
  <c r="AH585" i="7"/>
  <c r="AH586" i="7"/>
  <c r="AH587" i="7"/>
  <c r="AH588" i="7"/>
  <c r="AH589" i="7"/>
  <c r="AH590" i="7"/>
  <c r="AH591" i="7"/>
  <c r="AH594" i="7"/>
  <c r="AH595" i="7"/>
  <c r="AH597" i="7"/>
  <c r="AH599" i="7"/>
  <c r="AH600" i="7"/>
  <c r="AH601" i="7"/>
  <c r="AH602" i="7"/>
  <c r="AH604" i="7"/>
  <c r="AH605" i="7"/>
  <c r="AH606" i="7"/>
  <c r="AH607" i="7"/>
  <c r="AH608" i="7"/>
  <c r="AH609" i="7"/>
  <c r="AH610" i="7"/>
  <c r="AH611" i="7"/>
  <c r="AH612" i="7"/>
  <c r="AH613" i="7"/>
  <c r="AH614" i="7"/>
  <c r="AH615" i="7"/>
  <c r="AH616" i="7"/>
  <c r="AH618" i="7"/>
  <c r="AH619" i="7"/>
  <c r="AH620" i="7"/>
  <c r="AH621" i="7"/>
  <c r="AH622" i="7"/>
  <c r="AH623" i="7"/>
  <c r="AH624" i="7"/>
  <c r="AH625" i="7"/>
  <c r="AH626" i="7"/>
  <c r="AH627" i="7"/>
  <c r="AH628" i="7"/>
  <c r="AH629" i="7"/>
  <c r="AH630" i="7"/>
  <c r="AH631" i="7"/>
  <c r="AH632" i="7"/>
  <c r="AH633" i="7"/>
  <c r="AH634" i="7"/>
  <c r="AH638" i="7"/>
  <c r="AH639" i="7"/>
  <c r="AH640" i="7"/>
  <c r="AH641" i="7"/>
  <c r="AH642" i="7"/>
  <c r="AH643" i="7"/>
  <c r="AH644" i="7"/>
  <c r="AH646" i="7"/>
  <c r="AH647" i="7"/>
  <c r="AH648" i="7"/>
  <c r="AH649" i="7"/>
  <c r="AH650" i="7"/>
  <c r="AH651" i="7"/>
  <c r="AH652" i="7"/>
  <c r="AH653" i="7"/>
  <c r="AH654" i="7"/>
  <c r="AH655" i="7"/>
  <c r="AH656" i="7"/>
  <c r="AH658" i="7"/>
  <c r="AH659" i="7"/>
  <c r="AH660" i="7"/>
  <c r="AH661" i="7"/>
  <c r="AH662" i="7"/>
  <c r="AH663" i="7"/>
  <c r="AH664" i="7"/>
  <c r="AH665" i="7"/>
  <c r="AH666" i="7"/>
  <c r="AH667" i="7"/>
  <c r="AH668" i="7"/>
  <c r="AH669" i="7"/>
  <c r="AH670" i="7"/>
  <c r="AH671" i="7"/>
  <c r="AH672" i="7"/>
  <c r="AH673" i="7"/>
  <c r="AH674" i="7"/>
  <c r="AH675" i="7"/>
  <c r="AH676" i="7"/>
  <c r="AH677" i="7"/>
  <c r="AH678" i="7"/>
  <c r="AH679" i="7"/>
  <c r="AH680" i="7"/>
  <c r="AH681" i="7"/>
  <c r="AH682" i="7"/>
  <c r="AH683" i="7"/>
  <c r="AH684" i="7"/>
  <c r="AH685" i="7"/>
  <c r="AH686" i="7"/>
  <c r="AH687" i="7"/>
  <c r="AH688" i="7"/>
  <c r="AH689" i="7"/>
  <c r="AH690" i="7"/>
  <c r="AH691" i="7"/>
  <c r="AH692" i="7"/>
  <c r="AH693" i="7"/>
  <c r="AH694" i="7"/>
  <c r="AH695" i="7"/>
  <c r="AH696" i="7"/>
  <c r="AH697" i="7"/>
  <c r="AH698" i="7"/>
  <c r="AH699" i="7"/>
  <c r="AH700" i="7"/>
  <c r="AH701" i="7"/>
  <c r="AH702" i="7"/>
  <c r="AH703" i="7"/>
  <c r="AH704" i="7"/>
  <c r="AH705" i="7"/>
  <c r="AH706" i="7"/>
  <c r="AH707" i="7"/>
  <c r="AH708" i="7"/>
  <c r="AH709" i="7"/>
  <c r="AH710" i="7"/>
  <c r="AH711" i="7"/>
  <c r="AH712" i="7"/>
  <c r="AH713" i="7"/>
  <c r="AH714" i="7"/>
  <c r="AH715" i="7"/>
  <c r="AH716" i="7"/>
  <c r="AH717" i="7"/>
  <c r="AH718" i="7"/>
  <c r="AH719" i="7"/>
  <c r="AH720" i="7"/>
  <c r="AH721" i="7"/>
  <c r="AH722" i="7"/>
  <c r="AH723" i="7"/>
  <c r="AH724" i="7"/>
  <c r="AH725" i="7"/>
  <c r="AH726" i="7"/>
  <c r="AH727" i="7"/>
  <c r="AH728" i="7"/>
  <c r="AH729" i="7"/>
  <c r="AH730" i="7"/>
  <c r="AH731" i="7"/>
  <c r="AH733" i="7"/>
  <c r="AH734" i="7"/>
  <c r="AH735" i="7"/>
  <c r="AH736" i="7"/>
  <c r="AH738" i="7"/>
  <c r="AH740" i="7"/>
  <c r="AH741" i="7"/>
  <c r="AH742" i="7"/>
  <c r="AH743" i="7"/>
  <c r="AH744" i="7"/>
  <c r="AH745" i="7"/>
  <c r="AH746" i="7"/>
  <c r="AH747" i="7"/>
  <c r="AH748" i="7"/>
  <c r="AH749" i="7"/>
  <c r="AH750" i="7"/>
  <c r="AH751" i="7"/>
  <c r="AH752" i="7"/>
  <c r="AH753" i="7"/>
  <c r="AH754" i="7"/>
  <c r="AH755" i="7"/>
  <c r="AH756" i="7"/>
  <c r="AH758" i="7"/>
  <c r="AH759" i="7"/>
  <c r="AH760" i="7"/>
  <c r="AH761" i="7"/>
  <c r="AH762" i="7"/>
  <c r="AH763" i="7"/>
  <c r="AH764" i="7"/>
  <c r="AH765" i="7"/>
  <c r="AH766" i="7"/>
  <c r="AH767" i="7"/>
  <c r="AH768" i="7"/>
  <c r="AH769" i="7"/>
  <c r="AH770" i="7"/>
  <c r="AH771" i="7"/>
  <c r="AH772" i="7"/>
  <c r="AH773" i="7"/>
  <c r="AH774" i="7"/>
  <c r="AH775" i="7"/>
  <c r="AH776" i="7"/>
  <c r="AH777" i="7"/>
  <c r="AH778" i="7"/>
  <c r="AH779" i="7"/>
  <c r="AH780" i="7"/>
  <c r="AH781" i="7"/>
  <c r="AH782" i="7"/>
  <c r="AH783" i="7"/>
  <c r="AH784" i="7"/>
  <c r="AH785" i="7"/>
  <c r="AH786" i="7"/>
  <c r="AH787" i="7"/>
  <c r="AH788" i="7"/>
  <c r="AH790" i="7"/>
  <c r="AH791" i="7"/>
  <c r="AH792" i="7"/>
  <c r="AH793" i="7"/>
  <c r="AH794" i="7"/>
  <c r="AH795" i="7"/>
  <c r="AH796" i="7"/>
  <c r="AH797" i="7"/>
  <c r="AH798" i="7"/>
  <c r="AH799" i="7"/>
  <c r="AH800" i="7"/>
  <c r="AH801" i="7"/>
  <c r="AH802" i="7"/>
  <c r="AH803" i="7"/>
  <c r="AH804" i="7"/>
  <c r="AH805" i="7"/>
  <c r="AH806" i="7"/>
  <c r="AH807" i="7"/>
  <c r="AH808" i="7"/>
  <c r="AH809" i="7"/>
  <c r="AH811" i="7"/>
  <c r="AH812" i="7"/>
  <c r="AH813" i="7"/>
  <c r="AH814" i="7"/>
  <c r="AH815" i="7"/>
  <c r="AH816" i="7"/>
  <c r="AH817" i="7"/>
  <c r="AH818" i="7"/>
  <c r="AH819" i="7"/>
  <c r="AH820" i="7"/>
  <c r="AH821" i="7"/>
  <c r="AH822" i="7"/>
  <c r="AH823" i="7"/>
  <c r="AH824" i="7"/>
  <c r="AH825" i="7"/>
  <c r="AH826" i="7"/>
  <c r="AH827" i="7"/>
  <c r="AH828" i="7"/>
  <c r="AH829" i="7"/>
  <c r="AH830" i="7"/>
  <c r="AH831" i="7"/>
  <c r="AH832" i="7"/>
  <c r="AH833" i="7"/>
  <c r="AH834" i="7"/>
  <c r="AH835" i="7"/>
  <c r="AH836" i="7"/>
  <c r="AH837" i="7"/>
  <c r="AH838" i="7"/>
  <c r="AH839" i="7"/>
  <c r="AH840" i="7"/>
  <c r="AH841" i="7"/>
  <c r="AH842" i="7"/>
  <c r="AH843" i="7"/>
  <c r="AH844" i="7"/>
  <c r="AH845" i="7"/>
  <c r="AH846" i="7"/>
  <c r="AH847" i="7"/>
  <c r="AH848" i="7"/>
  <c r="AH849" i="7"/>
  <c r="AH850" i="7"/>
  <c r="AH851" i="7"/>
  <c r="AH852" i="7"/>
  <c r="AH853" i="7"/>
  <c r="AH854" i="7"/>
  <c r="AH855" i="7"/>
  <c r="AH862" i="7"/>
  <c r="AH863" i="7"/>
  <c r="AH864" i="7"/>
  <c r="AH865" i="7"/>
  <c r="AH866" i="7"/>
  <c r="AH867" i="7"/>
  <c r="AH868" i="7"/>
  <c r="AH869" i="7"/>
  <c r="AH870" i="7"/>
  <c r="AH871" i="7"/>
  <c r="AH872" i="7"/>
  <c r="AH873" i="7"/>
  <c r="AH874" i="7"/>
  <c r="AH875" i="7"/>
  <c r="AH876" i="7"/>
  <c r="AH877" i="7"/>
  <c r="AH878" i="7"/>
  <c r="AH879" i="7"/>
  <c r="AH880" i="7"/>
  <c r="AH881" i="7"/>
  <c r="AH882" i="7"/>
  <c r="AH883" i="7"/>
  <c r="AH884" i="7"/>
  <c r="AH885" i="7"/>
  <c r="AH886" i="7"/>
  <c r="AH887" i="7"/>
  <c r="AH888" i="7"/>
  <c r="AH890" i="7"/>
  <c r="AH891" i="7"/>
  <c r="AH892" i="7"/>
  <c r="AH893" i="7"/>
  <c r="AH894" i="7"/>
  <c r="AH895" i="7"/>
  <c r="AH896" i="7"/>
  <c r="AH897" i="7"/>
  <c r="AH898" i="7"/>
  <c r="AH899" i="7"/>
  <c r="AH900" i="7"/>
  <c r="AH901" i="7"/>
  <c r="AH902" i="7"/>
  <c r="AH903" i="7"/>
  <c r="AH904" i="7"/>
  <c r="AH905" i="7"/>
  <c r="AH906" i="7"/>
  <c r="AH907" i="7"/>
  <c r="AH908" i="7"/>
  <c r="AH909" i="7"/>
  <c r="AH910" i="7"/>
  <c r="AH911" i="7"/>
  <c r="AH912" i="7"/>
  <c r="AH914" i="7"/>
  <c r="AH915" i="7"/>
  <c r="AH916" i="7"/>
  <c r="AH917" i="7"/>
  <c r="AH918" i="7"/>
  <c r="AH919" i="7"/>
  <c r="AH920" i="7"/>
  <c r="AH921" i="7"/>
  <c r="AH923" i="7"/>
  <c r="AH924" i="7"/>
  <c r="AH925" i="7"/>
  <c r="AH926" i="7"/>
  <c r="AH927" i="7"/>
  <c r="AH928" i="7"/>
  <c r="AH929" i="7"/>
  <c r="AH930" i="7"/>
  <c r="AH931" i="7"/>
  <c r="AH932" i="7"/>
  <c r="AH933" i="7"/>
  <c r="AH934" i="7"/>
  <c r="AH935" i="7"/>
  <c r="AH936" i="7"/>
  <c r="AH937" i="7"/>
  <c r="AH938" i="7"/>
  <c r="AH939" i="7"/>
  <c r="AH940" i="7"/>
  <c r="AH941" i="7"/>
  <c r="AH942" i="7"/>
  <c r="AH943" i="7"/>
  <c r="AH944" i="7"/>
  <c r="AH945" i="7"/>
  <c r="AH946" i="7"/>
  <c r="AH947" i="7"/>
  <c r="AH948" i="7"/>
  <c r="AH949" i="7"/>
  <c r="AH950" i="7"/>
  <c r="AH951" i="7"/>
  <c r="AH952" i="7"/>
  <c r="AH953" i="7"/>
  <c r="AH954" i="7"/>
  <c r="AH955" i="7"/>
  <c r="AH956" i="7"/>
  <c r="AH957" i="7"/>
  <c r="AH958" i="7"/>
  <c r="AH959" i="7"/>
  <c r="AH960" i="7"/>
  <c r="AH961" i="7"/>
  <c r="AH962" i="7"/>
  <c r="AH963" i="7"/>
  <c r="AH964" i="7"/>
  <c r="AH965" i="7"/>
  <c r="AH967" i="7"/>
  <c r="AH968" i="7"/>
  <c r="AH969" i="7"/>
  <c r="AH970" i="7"/>
  <c r="AH971" i="7"/>
  <c r="AH972" i="7"/>
  <c r="AH973" i="7"/>
  <c r="AH974" i="7"/>
  <c r="AH975" i="7"/>
  <c r="AH976" i="7"/>
  <c r="AH977" i="7"/>
  <c r="AH978" i="7"/>
  <c r="AH979" i="7"/>
  <c r="AH980" i="7"/>
  <c r="AH981" i="7"/>
  <c r="AH982" i="7"/>
  <c r="AH983" i="7"/>
  <c r="AH984" i="7"/>
  <c r="AH987" i="7"/>
  <c r="AH988" i="7"/>
  <c r="AH989" i="7"/>
  <c r="AH990" i="7"/>
  <c r="AH991" i="7"/>
  <c r="AH992" i="7"/>
  <c r="AH993" i="7"/>
  <c r="AH994" i="7"/>
  <c r="AH995" i="7"/>
  <c r="AH996" i="7"/>
  <c r="AH997" i="7"/>
  <c r="AH998" i="7"/>
  <c r="AH1000" i="7"/>
  <c r="AH1001" i="7"/>
  <c r="AH1002" i="7"/>
  <c r="AH1003" i="7"/>
  <c r="AH1004" i="7"/>
  <c r="AH1005" i="7"/>
  <c r="AH1006" i="7"/>
  <c r="AH1007" i="7"/>
  <c r="AH1008" i="7"/>
  <c r="AH1009" i="7"/>
  <c r="AH1010" i="7"/>
  <c r="AH1011" i="7"/>
  <c r="AH1012" i="7"/>
  <c r="AH1013" i="7"/>
  <c r="AH1014" i="7"/>
  <c r="AH1015" i="7"/>
  <c r="AH1016" i="7"/>
  <c r="AH1017" i="7"/>
  <c r="AH1018" i="7"/>
  <c r="AH1019" i="7"/>
  <c r="AH1020" i="7"/>
  <c r="AH1021" i="7"/>
  <c r="AH1022" i="7"/>
  <c r="AH1023" i="7"/>
  <c r="AH1024" i="7"/>
  <c r="AH1025" i="7"/>
  <c r="AH1026" i="7"/>
  <c r="AH1027" i="7"/>
  <c r="AH1028" i="7"/>
  <c r="AH1029" i="7"/>
  <c r="AH1030" i="7"/>
  <c r="AH1031" i="7"/>
  <c r="AH1032" i="7"/>
  <c r="AH1033" i="7"/>
  <c r="AH1034" i="7"/>
  <c r="AH1035" i="7"/>
  <c r="AH1036" i="7"/>
  <c r="AH1037" i="7"/>
  <c r="AH1038" i="7"/>
  <c r="AH1039" i="7"/>
  <c r="AH1041" i="7"/>
  <c r="AH1042" i="7"/>
  <c r="AH1043" i="7"/>
  <c r="AH1044" i="7"/>
  <c r="AH1051" i="7"/>
  <c r="AH1052" i="7"/>
  <c r="AH1053" i="7"/>
  <c r="AH1054" i="7"/>
  <c r="AH1055" i="7"/>
  <c r="AH1056" i="7"/>
  <c r="AH1057" i="7"/>
  <c r="AH1058" i="7"/>
  <c r="AH1059" i="7"/>
  <c r="AH1060" i="7"/>
  <c r="AH1061" i="7"/>
  <c r="AH1062" i="7"/>
  <c r="AH1063" i="7"/>
  <c r="AH1064" i="7"/>
  <c r="AH1065" i="7"/>
  <c r="AH1066" i="7"/>
  <c r="AH1067" i="7"/>
  <c r="AH1068" i="7"/>
  <c r="AH1069" i="7"/>
  <c r="AH1070" i="7"/>
  <c r="AH1071" i="7"/>
  <c r="AH1072" i="7"/>
  <c r="AH1073" i="7"/>
  <c r="AH1074" i="7"/>
  <c r="AH1075" i="7"/>
  <c r="AH1076" i="7"/>
  <c r="AH1077" i="7"/>
  <c r="AH1078" i="7"/>
  <c r="AH1079" i="7"/>
  <c r="AH1080" i="7"/>
  <c r="AH1081" i="7"/>
  <c r="AH1082" i="7"/>
  <c r="AH1083" i="7"/>
  <c r="AH1084" i="7"/>
  <c r="AH1085" i="7"/>
  <c r="AH1086" i="7"/>
  <c r="AH1087" i="7"/>
  <c r="AH1088" i="7"/>
  <c r="AH1089" i="7"/>
  <c r="AH1090" i="7"/>
  <c r="AH1091" i="7"/>
  <c r="AH1092" i="7"/>
  <c r="AH1093" i="7"/>
  <c r="AH1094" i="7"/>
  <c r="AH1095" i="7"/>
  <c r="AH1096" i="7"/>
  <c r="AH1097" i="7"/>
  <c r="AH1098" i="7"/>
  <c r="AH1099" i="7"/>
  <c r="AH1100" i="7"/>
  <c r="AH1101" i="7"/>
  <c r="AH1102" i="7"/>
  <c r="AH1106" i="7"/>
  <c r="AH1107" i="7"/>
  <c r="AH1108" i="7"/>
  <c r="AH1109" i="7"/>
  <c r="AH1110" i="7"/>
  <c r="AH1111" i="7"/>
  <c r="AH1112" i="7"/>
  <c r="AH1113" i="7"/>
  <c r="AH1114" i="7"/>
  <c r="AH1115" i="7"/>
  <c r="AH1116" i="7"/>
  <c r="AH1117" i="7"/>
  <c r="AH1118" i="7"/>
  <c r="AH1119" i="7"/>
  <c r="AH1120" i="7"/>
  <c r="AH1121" i="7"/>
  <c r="AH1122" i="7"/>
  <c r="AH1123" i="7"/>
  <c r="AH1124" i="7"/>
  <c r="AH1125" i="7"/>
  <c r="AH1126" i="7"/>
  <c r="AH1127" i="7"/>
  <c r="AH1128" i="7"/>
  <c r="AH1129" i="7"/>
  <c r="AH1130" i="7"/>
  <c r="AH1131" i="7"/>
  <c r="AH1132" i="7"/>
  <c r="AH1133" i="7"/>
  <c r="AH1134" i="7"/>
  <c r="AH1135" i="7"/>
  <c r="AH1136" i="7"/>
  <c r="AH1137" i="7"/>
  <c r="AH1138" i="7"/>
  <c r="AH1139" i="7"/>
  <c r="AH1140" i="7"/>
  <c r="AH1141" i="7"/>
  <c r="AH1142" i="7"/>
  <c r="AH1143" i="7"/>
  <c r="AH1144" i="7"/>
  <c r="AH1145" i="7"/>
  <c r="AH1146" i="7"/>
  <c r="AH1147" i="7"/>
  <c r="AH1148" i="7"/>
  <c r="AH1149" i="7"/>
  <c r="AH1150" i="7"/>
  <c r="AH1151" i="7"/>
  <c r="AH1152" i="7"/>
  <c r="AH1153" i="7"/>
  <c r="AH1154" i="7"/>
  <c r="AH1155" i="7"/>
  <c r="AH1156" i="7"/>
  <c r="AH1157" i="7"/>
  <c r="AH1158" i="7"/>
  <c r="AH1159" i="7"/>
  <c r="AH1160" i="7"/>
  <c r="AH1161" i="7"/>
  <c r="AH1162" i="7"/>
  <c r="AH1163" i="7"/>
  <c r="AH1164" i="7"/>
  <c r="AH1165" i="7"/>
  <c r="AH1166" i="7"/>
  <c r="AH1167" i="7"/>
  <c r="AH1168" i="7"/>
  <c r="AH1169" i="7"/>
  <c r="AH1172" i="7"/>
  <c r="AH1173" i="7"/>
  <c r="AH1174" i="7"/>
  <c r="AH1175" i="7"/>
  <c r="AH1176" i="7"/>
  <c r="AH1177" i="7"/>
  <c r="AH1178" i="7"/>
  <c r="AH1179" i="7"/>
  <c r="AH1180" i="7"/>
  <c r="AH1181" i="7"/>
  <c r="AH1183" i="7"/>
  <c r="AH1184" i="7"/>
  <c r="AH1186" i="7"/>
  <c r="AH1187" i="7"/>
  <c r="AH1188" i="7"/>
  <c r="AH1189" i="7"/>
  <c r="AH1190" i="7"/>
  <c r="AH1191" i="7"/>
  <c r="AH1192" i="7"/>
  <c r="AH1193" i="7"/>
  <c r="AH1194" i="7"/>
  <c r="AH1195" i="7"/>
  <c r="AH1196" i="7"/>
  <c r="AH1197" i="7"/>
  <c r="AH1198" i="7"/>
  <c r="AH1199" i="7"/>
  <c r="AH1200" i="7"/>
  <c r="AH1201" i="7"/>
  <c r="AH1202" i="7"/>
  <c r="AH1203" i="7"/>
  <c r="AH1204" i="7"/>
  <c r="AH1205" i="7"/>
  <c r="AH1206" i="7"/>
  <c r="AH1207" i="7"/>
  <c r="AH1208" i="7"/>
  <c r="AH1209" i="7"/>
  <c r="AH1210" i="7"/>
  <c r="AH1211" i="7"/>
  <c r="AH1212" i="7"/>
  <c r="AH1213" i="7"/>
  <c r="AH1214" i="7"/>
  <c r="AH1215" i="7"/>
  <c r="AH1216" i="7"/>
  <c r="AH1217" i="7"/>
  <c r="AH1218" i="7"/>
  <c r="AH1220" i="7"/>
  <c r="AH1221" i="7"/>
  <c r="AH1222" i="7"/>
  <c r="AH1223" i="7"/>
  <c r="AH1224" i="7"/>
  <c r="AH1227" i="7"/>
  <c r="AH1228" i="7"/>
  <c r="AH1229" i="7"/>
  <c r="AH1230" i="7"/>
  <c r="AH1231" i="7"/>
  <c r="AH1232" i="7"/>
  <c r="AH1233" i="7"/>
  <c r="AH1234" i="7"/>
  <c r="AH1235" i="7"/>
  <c r="AH1236" i="7"/>
  <c r="AH1237" i="7"/>
  <c r="AH1238" i="7"/>
  <c r="AH1239" i="7"/>
  <c r="AH1240" i="7"/>
  <c r="AH1241" i="7"/>
  <c r="AH1242" i="7"/>
  <c r="AH1243" i="7"/>
  <c r="AH1244" i="7"/>
  <c r="AH1245" i="7"/>
  <c r="AH1246" i="7"/>
  <c r="AH1247" i="7"/>
  <c r="AH1248" i="7"/>
  <c r="AH1249" i="7"/>
  <c r="AH1250" i="7"/>
  <c r="AH1251" i="7"/>
  <c r="AH1252" i="7"/>
  <c r="AH1253" i="7"/>
  <c r="AH1254" i="7"/>
  <c r="AH1255" i="7"/>
  <c r="AH1256" i="7"/>
  <c r="AH1257" i="7"/>
  <c r="AH1258" i="7"/>
  <c r="AH1259" i="7"/>
  <c r="AH1260" i="7"/>
  <c r="AH1261" i="7"/>
  <c r="AH1262" i="7"/>
  <c r="AH1263" i="7"/>
  <c r="AH1264" i="7"/>
  <c r="AH1265" i="7"/>
  <c r="AH1266" i="7"/>
  <c r="AH1267" i="7"/>
  <c r="AH1268" i="7"/>
  <c r="AH1269" i="7"/>
  <c r="AH1270" i="7"/>
  <c r="AH1271" i="7"/>
  <c r="AH1272" i="7"/>
  <c r="AH1273" i="7"/>
  <c r="AH1274" i="7"/>
  <c r="AH1275" i="7"/>
  <c r="AH1276" i="7"/>
  <c r="AH1277" i="7"/>
  <c r="AH1278" i="7"/>
  <c r="AH1279" i="7"/>
  <c r="AH1280" i="7"/>
  <c r="AH1281" i="7"/>
  <c r="AH1282" i="7"/>
  <c r="AH1283" i="7"/>
  <c r="AH1284" i="7"/>
  <c r="AH1285" i="7"/>
  <c r="AH1286" i="7"/>
  <c r="AH1287" i="7"/>
  <c r="AH1290" i="7"/>
  <c r="AH1291" i="7"/>
  <c r="AH1292" i="7"/>
  <c r="AH1293" i="7"/>
  <c r="AH1294" i="7"/>
  <c r="AH1295" i="7"/>
  <c r="AH1296" i="7"/>
  <c r="AH1297" i="7"/>
  <c r="AH1298" i="7"/>
  <c r="AH1299" i="7"/>
  <c r="AH1300" i="7"/>
  <c r="AH1301" i="7"/>
  <c r="AH1302" i="7"/>
  <c r="AH1303" i="7"/>
  <c r="AH1304" i="7"/>
  <c r="AH1305" i="7"/>
  <c r="AH1306" i="7"/>
  <c r="AH1307" i="7"/>
  <c r="AH1308" i="7"/>
  <c r="AH1309" i="7"/>
  <c r="AH1310" i="7"/>
  <c r="AH1311" i="7"/>
  <c r="AH1312" i="7"/>
  <c r="AH1313" i="7"/>
  <c r="AH1314" i="7"/>
  <c r="AH1315" i="7"/>
  <c r="AH1316" i="7"/>
  <c r="AH1317" i="7"/>
  <c r="AH1318" i="7"/>
  <c r="AH1319" i="7"/>
  <c r="AH1320" i="7"/>
  <c r="AH1321" i="7"/>
  <c r="AH1322" i="7"/>
  <c r="AH1323" i="7"/>
  <c r="AH1324" i="7"/>
  <c r="AH1325" i="7"/>
  <c r="AH1326" i="7"/>
  <c r="AH1327" i="7"/>
  <c r="AH1329" i="7"/>
  <c r="AH1330" i="7"/>
  <c r="AH1331" i="7"/>
  <c r="AH1332" i="7"/>
  <c r="AH1334" i="7"/>
  <c r="AH1335" i="7"/>
  <c r="AH1336" i="7"/>
  <c r="AH1337" i="7"/>
  <c r="AH1338" i="7"/>
  <c r="AH1339" i="7"/>
  <c r="AH1341" i="7"/>
  <c r="AH1343" i="7"/>
  <c r="AH1344" i="7"/>
  <c r="AH1345" i="7"/>
  <c r="AH1346" i="7"/>
  <c r="AH1347" i="7"/>
  <c r="AH1348" i="7"/>
  <c r="AH1349" i="7"/>
  <c r="AH1350" i="7"/>
  <c r="AH1351" i="7"/>
  <c r="AH1352" i="7"/>
  <c r="AH1353" i="7"/>
  <c r="AH1354" i="7"/>
  <c r="AH1355" i="7"/>
  <c r="AH1356" i="7"/>
  <c r="AH1357" i="7"/>
  <c r="AH1358" i="7"/>
  <c r="AH1359" i="7"/>
  <c r="AH1360" i="7"/>
  <c r="AH1361" i="7"/>
  <c r="AH1362" i="7"/>
  <c r="AH1363" i="7"/>
  <c r="AH1364" i="7"/>
  <c r="AH1365" i="7"/>
  <c r="AH1366" i="7"/>
  <c r="AH1367" i="7"/>
  <c r="AH1368" i="7"/>
  <c r="AH1369" i="7"/>
  <c r="AH1370" i="7"/>
  <c r="AH1371" i="7"/>
  <c r="AH1372" i="7"/>
  <c r="AH1373" i="7"/>
  <c r="AH1374" i="7"/>
  <c r="AH1375" i="7"/>
  <c r="AH1376" i="7"/>
  <c r="AH1377" i="7"/>
  <c r="AH1378" i="7"/>
  <c r="AH1379" i="7"/>
  <c r="AH1380" i="7"/>
  <c r="AH1381" i="7"/>
  <c r="AH1382" i="7"/>
  <c r="AH1383" i="7"/>
  <c r="AH1384" i="7"/>
  <c r="AH1385" i="7"/>
  <c r="AH1386" i="7"/>
  <c r="AH1387" i="7"/>
  <c r="AH1388" i="7"/>
  <c r="AH1389" i="7"/>
  <c r="AH1390" i="7"/>
  <c r="AH1391" i="7"/>
  <c r="AH1392" i="7"/>
  <c r="AH1393" i="7"/>
  <c r="AH1394" i="7"/>
  <c r="AH1395" i="7"/>
  <c r="AH1396" i="7"/>
  <c r="AH1397" i="7"/>
  <c r="AH1398" i="7"/>
  <c r="AH1399" i="7"/>
  <c r="AH1400" i="7"/>
  <c r="AH1401" i="7"/>
  <c r="AH1403" i="7"/>
  <c r="AH1404" i="7"/>
  <c r="AH1405" i="7"/>
  <c r="AH1406" i="7"/>
  <c r="AH1407" i="7"/>
  <c r="AH1408" i="7"/>
  <c r="AH1409" i="7"/>
  <c r="AH1410" i="7"/>
  <c r="AH1411" i="7"/>
  <c r="AH1412" i="7"/>
  <c r="AH1413" i="7"/>
  <c r="AH1414" i="7"/>
  <c r="AH1415" i="7"/>
  <c r="AH1416" i="7"/>
  <c r="AH1417" i="7"/>
  <c r="AH1418" i="7"/>
  <c r="AH1419" i="7"/>
  <c r="AH1420" i="7"/>
  <c r="AH1421" i="7"/>
  <c r="AH1422" i="7"/>
  <c r="AH1423" i="7"/>
  <c r="AH1424" i="7"/>
  <c r="AH1425" i="7"/>
  <c r="AH1426" i="7"/>
  <c r="AH1427" i="7"/>
  <c r="AH1428" i="7"/>
  <c r="AH1429" i="7"/>
  <c r="AH1430" i="7"/>
  <c r="AH1431" i="7"/>
  <c r="AH1432" i="7"/>
  <c r="AH1433" i="7"/>
  <c r="AH1434" i="7"/>
  <c r="AH1435" i="7"/>
  <c r="AH1436" i="7"/>
  <c r="AH1437" i="7"/>
  <c r="AH1438" i="7"/>
  <c r="AH1439" i="7"/>
  <c r="AH1440" i="7"/>
  <c r="AH1441" i="7"/>
  <c r="AH1442" i="7"/>
  <c r="AH1443" i="7"/>
  <c r="AH1444" i="7"/>
  <c r="AH1445" i="7"/>
  <c r="AH1446" i="7"/>
  <c r="AH1450" i="7"/>
  <c r="AH1451" i="7"/>
  <c r="AH1452" i="7"/>
  <c r="AH1453" i="7"/>
  <c r="AH1454" i="7"/>
  <c r="AH1455" i="7"/>
  <c r="AH1456" i="7"/>
  <c r="AH1457" i="7"/>
  <c r="AH1458" i="7"/>
  <c r="AH1459" i="7"/>
  <c r="AH1460" i="7"/>
  <c r="AH1461" i="7"/>
  <c r="AH1462" i="7"/>
  <c r="AH1463" i="7"/>
  <c r="AH1464" i="7"/>
  <c r="AH1468" i="7"/>
  <c r="AH1469" i="7"/>
  <c r="AH1470" i="7"/>
  <c r="AH1471" i="7"/>
  <c r="AH1472" i="7"/>
  <c r="AH1473" i="7"/>
  <c r="AH1474" i="7"/>
  <c r="AH1475" i="7"/>
  <c r="AH1476" i="7"/>
  <c r="AH1478" i="7"/>
  <c r="AH1482" i="7"/>
  <c r="AH1483" i="7"/>
  <c r="AH1484" i="7"/>
  <c r="AH1485" i="7"/>
  <c r="AH1486" i="7"/>
  <c r="AH1487" i="7"/>
  <c r="AH1488" i="7"/>
  <c r="AH1489" i="7"/>
  <c r="AH1490" i="7"/>
  <c r="AH1491" i="7"/>
  <c r="AH1492" i="7"/>
  <c r="AH1493" i="7"/>
  <c r="AH1494" i="7"/>
  <c r="AH1495" i="7"/>
  <c r="AH1496" i="7"/>
  <c r="AH1497" i="7"/>
  <c r="AH1498" i="7"/>
  <c r="AH1499" i="7"/>
  <c r="AH1500" i="7"/>
  <c r="AH1501" i="7"/>
  <c r="AH1502" i="7"/>
  <c r="AH1503" i="7"/>
  <c r="AH1504" i="7"/>
  <c r="AH1505" i="7"/>
  <c r="AH1506" i="7"/>
  <c r="AH1507" i="7"/>
  <c r="AH1508" i="7"/>
  <c r="AH1509" i="7"/>
  <c r="AH1510" i="7"/>
  <c r="AH1511" i="7"/>
  <c r="AH1512" i="7"/>
  <c r="AH1513" i="7"/>
  <c r="AH1514" i="7"/>
  <c r="AH1515" i="7"/>
  <c r="AH1516" i="7"/>
  <c r="AH1517" i="7"/>
  <c r="AH1518" i="7"/>
  <c r="AH1519" i="7"/>
  <c r="AH1520" i="7"/>
  <c r="AH1521" i="7"/>
  <c r="AH1523" i="7"/>
  <c r="AH1524" i="7"/>
  <c r="AH1525" i="7"/>
  <c r="AH1526" i="7"/>
  <c r="AH1527" i="7"/>
  <c r="AH1528" i="7"/>
  <c r="AH1529" i="7"/>
  <c r="AH1531" i="7"/>
  <c r="AH1535" i="7"/>
  <c r="AH1536" i="7"/>
  <c r="AH1537" i="7"/>
  <c r="AH1539" i="7"/>
  <c r="AH1540" i="7"/>
  <c r="AH1541" i="7"/>
  <c r="AH1542" i="7"/>
  <c r="AH1543" i="7"/>
  <c r="AH1544" i="7"/>
  <c r="AH1545" i="7"/>
  <c r="AH1546" i="7"/>
  <c r="AH1547" i="7"/>
  <c r="AH1548" i="7"/>
  <c r="AH1549" i="7"/>
  <c r="AH1550" i="7"/>
  <c r="AH1551" i="7"/>
  <c r="AH1552" i="7"/>
  <c r="AH1555" i="7"/>
  <c r="AH1556" i="7"/>
  <c r="AH1557" i="7"/>
  <c r="AH1558" i="7"/>
  <c r="AH1559" i="7"/>
  <c r="AH1560" i="7"/>
  <c r="AH1561" i="7"/>
  <c r="AH1562" i="7"/>
  <c r="AH1563" i="7"/>
  <c r="AH1564" i="7"/>
  <c r="AH1565" i="7"/>
  <c r="AH1566" i="7"/>
  <c r="AH1567" i="7"/>
  <c r="AH1568" i="7"/>
  <c r="AH1570" i="7"/>
  <c r="AH1573" i="7"/>
  <c r="AH1574" i="7"/>
  <c r="AH1575" i="7"/>
  <c r="AH1576" i="7"/>
  <c r="AH1577" i="7"/>
  <c r="AH1578" i="7"/>
  <c r="AH1581" i="7"/>
  <c r="AH1582" i="7"/>
  <c r="AH1583" i="7"/>
  <c r="AH1584" i="7"/>
  <c r="AH1585" i="7"/>
  <c r="AH1586" i="7"/>
  <c r="AH1587" i="7"/>
  <c r="AH1588" i="7"/>
  <c r="AH1589" i="7"/>
  <c r="AH1590" i="7"/>
  <c r="AH1591" i="7"/>
  <c r="AH1592" i="7"/>
  <c r="AH1593" i="7"/>
  <c r="AH1594" i="7"/>
  <c r="AH1595" i="7"/>
  <c r="AH1597" i="7"/>
  <c r="AH1598" i="7"/>
  <c r="AH1599" i="7"/>
  <c r="AH1600" i="7"/>
  <c r="AH1601" i="7"/>
  <c r="AH1602" i="7"/>
  <c r="AH1603" i="7"/>
  <c r="AH1604" i="7"/>
  <c r="AH1605" i="7"/>
  <c r="AH1606" i="7"/>
  <c r="AH1607" i="7"/>
  <c r="AH1608" i="7"/>
  <c r="AH1609" i="7"/>
  <c r="AH1610" i="7"/>
  <c r="AH1611" i="7"/>
  <c r="AH1612" i="7"/>
  <c r="AH1613" i="7"/>
  <c r="AH1614" i="7"/>
  <c r="AH1615" i="7"/>
  <c r="AH1616" i="7"/>
  <c r="AH1617" i="7"/>
  <c r="AH1618" i="7"/>
  <c r="AH1619" i="7"/>
  <c r="AH1620" i="7"/>
  <c r="AH1621" i="7"/>
  <c r="AH1622" i="7"/>
  <c r="AH1623" i="7"/>
  <c r="AH1624" i="7"/>
  <c r="AH1625" i="7"/>
  <c r="AH1626" i="7"/>
  <c r="AH1627" i="7"/>
  <c r="AH1628" i="7"/>
  <c r="AH1629" i="7"/>
  <c r="AH1630" i="7"/>
  <c r="AH1631" i="7"/>
  <c r="AH1632" i="7"/>
  <c r="AH1633" i="7"/>
  <c r="AH1634" i="7"/>
  <c r="AH1635" i="7"/>
  <c r="AH1636" i="7"/>
  <c r="AH1637" i="7"/>
  <c r="AH1638" i="7"/>
  <c r="AH1639" i="7"/>
  <c r="AH1640" i="7"/>
  <c r="AH1641" i="7"/>
  <c r="AH1642" i="7"/>
  <c r="AH1643" i="7"/>
  <c r="AH1644" i="7"/>
  <c r="AH1645" i="7"/>
  <c r="AH1647" i="7"/>
  <c r="AH1648" i="7"/>
  <c r="AH1649" i="7"/>
  <c r="AH1650" i="7"/>
  <c r="AH1651" i="7"/>
  <c r="AH1652" i="7"/>
  <c r="AH1653" i="7"/>
  <c r="AH1654" i="7"/>
  <c r="AH1655" i="7"/>
  <c r="AH1656" i="7"/>
  <c r="AH1657" i="7"/>
  <c r="AH1658" i="7"/>
  <c r="AH1659" i="7"/>
  <c r="AH1660" i="7"/>
  <c r="AH1661" i="7"/>
  <c r="AH1662" i="7"/>
  <c r="AH1663" i="7"/>
  <c r="AH1667" i="7"/>
  <c r="AH1668" i="7"/>
  <c r="AH1669" i="7"/>
  <c r="AH1670" i="7"/>
  <c r="AH1671" i="7"/>
  <c r="AH1672" i="7"/>
  <c r="AH1673" i="7"/>
  <c r="AH1677" i="7"/>
  <c r="AH1678" i="7"/>
  <c r="AH1679" i="7"/>
  <c r="AH1681" i="7"/>
  <c r="AH1682" i="7"/>
  <c r="AH1683" i="7"/>
  <c r="AH1684" i="7"/>
  <c r="AH1686" i="7"/>
  <c r="AH1687" i="7"/>
  <c r="AH1688" i="7"/>
  <c r="AH1689" i="7"/>
  <c r="AH1690" i="7"/>
  <c r="AH1691" i="7"/>
  <c r="AH1692" i="7"/>
  <c r="AH1694" i="7"/>
  <c r="AH1696" i="7"/>
  <c r="AH1697" i="7"/>
  <c r="AH1698" i="7"/>
  <c r="AH1699" i="7"/>
  <c r="AH1701" i="7"/>
  <c r="AH1702" i="7"/>
  <c r="AH1703" i="7"/>
  <c r="AH1704" i="7"/>
  <c r="AH1705" i="7"/>
  <c r="AH1706" i="7"/>
  <c r="AH1707" i="7"/>
  <c r="AH1708" i="7"/>
  <c r="AH1709" i="7"/>
  <c r="AH1710" i="7"/>
  <c r="AH1711" i="7"/>
  <c r="AH1712" i="7"/>
  <c r="AH1713" i="7"/>
  <c r="AH1714" i="7"/>
  <c r="AH1715" i="7"/>
  <c r="AH1716" i="7"/>
  <c r="AH1717" i="7"/>
  <c r="AH1718" i="7"/>
  <c r="AH1719" i="7"/>
  <c r="AH1720" i="7"/>
  <c r="AH1721" i="7"/>
  <c r="AH1722" i="7"/>
  <c r="AH1723" i="7"/>
  <c r="AH1724" i="7"/>
  <c r="AH1725" i="7"/>
  <c r="AH1726" i="7"/>
  <c r="AH1727" i="7"/>
  <c r="AH1728" i="7"/>
  <c r="AH1729" i="7"/>
  <c r="AH1730" i="7"/>
  <c r="AH1731" i="7"/>
  <c r="AH1732" i="7"/>
  <c r="AH1733" i="7"/>
  <c r="AH1734" i="7"/>
  <c r="AH1735" i="7"/>
  <c r="AH1736" i="7"/>
  <c r="AH1737" i="7"/>
  <c r="AH1738" i="7"/>
  <c r="AH1739" i="7"/>
  <c r="AH1740" i="7"/>
  <c r="AH1741" i="7"/>
  <c r="AH1743" i="7"/>
  <c r="AH1744" i="7"/>
  <c r="AH1745" i="7"/>
  <c r="AH1746" i="7"/>
  <c r="AH1747" i="7"/>
  <c r="AH1748" i="7"/>
  <c r="AH1749" i="7"/>
  <c r="AH1750" i="7"/>
  <c r="AH1751" i="7"/>
  <c r="AH1752" i="7"/>
  <c r="AH1753" i="7"/>
  <c r="AH1754" i="7"/>
  <c r="AH1755" i="7"/>
  <c r="AH1756" i="7"/>
  <c r="AH1757" i="7"/>
  <c r="AH1758" i="7"/>
  <c r="AH1759" i="7"/>
  <c r="AH1760" i="7"/>
  <c r="AH1761" i="7"/>
  <c r="AH1762" i="7"/>
  <c r="AH1763" i="7"/>
  <c r="AH1764" i="7"/>
  <c r="AH1765" i="7"/>
  <c r="AH1766" i="7"/>
  <c r="AH1767" i="7"/>
  <c r="AH1768" i="7"/>
  <c r="AH1769" i="7"/>
  <c r="AH1770" i="7"/>
  <c r="AH1771" i="7"/>
  <c r="AH1772" i="7"/>
  <c r="AH1773" i="7"/>
  <c r="AH1774" i="7"/>
  <c r="AH1775" i="7"/>
  <c r="AH1776" i="7"/>
  <c r="AH1777" i="7"/>
  <c r="AH1779" i="7"/>
  <c r="AH1780" i="7"/>
  <c r="AH1781" i="7"/>
  <c r="AH1782" i="7"/>
  <c r="AH1783" i="7"/>
  <c r="AH1784" i="7"/>
  <c r="AH1785" i="7"/>
  <c r="AH1786" i="7"/>
  <c r="AH1787" i="7"/>
  <c r="AH1788" i="7"/>
  <c r="AH1789" i="7"/>
  <c r="AH1790" i="7"/>
  <c r="AH1791" i="7"/>
  <c r="AH1793" i="7"/>
  <c r="AH1794" i="7"/>
  <c r="AH1795" i="7"/>
  <c r="AH1796" i="7"/>
  <c r="AH1797" i="7"/>
  <c r="AH1798" i="7"/>
  <c r="AH1799" i="7"/>
  <c r="AH1800" i="7"/>
  <c r="AH1801" i="7"/>
  <c r="AH1802" i="7"/>
  <c r="AH1803" i="7"/>
  <c r="AH1806" i="7"/>
  <c r="AH1807" i="7"/>
  <c r="AH1808" i="7"/>
  <c r="AH1809" i="7"/>
  <c r="AH1810" i="7"/>
  <c r="AH1811" i="7"/>
  <c r="AH1812" i="7"/>
  <c r="AH1813" i="7"/>
  <c r="AH1814" i="7"/>
  <c r="AH1815" i="7"/>
  <c r="AH1816" i="7"/>
  <c r="AH1817" i="7"/>
  <c r="AH1818" i="7"/>
  <c r="AH1819" i="7"/>
  <c r="AH1820" i="7"/>
  <c r="AH1821" i="7"/>
  <c r="AH1822" i="7"/>
  <c r="AH1823" i="7"/>
  <c r="AH1824" i="7"/>
  <c r="AH1825" i="7"/>
  <c r="AH1826" i="7"/>
  <c r="AH1827" i="7"/>
  <c r="AH1828" i="7"/>
  <c r="AH1829" i="7"/>
  <c r="AH1830" i="7"/>
  <c r="AH1831" i="7"/>
  <c r="AH1832" i="7"/>
  <c r="AH1833" i="7"/>
  <c r="AH1834" i="7"/>
  <c r="AH1835" i="7"/>
  <c r="AH1836" i="7"/>
  <c r="AH1837" i="7"/>
  <c r="AH1838" i="7"/>
  <c r="AH1839" i="7"/>
  <c r="AH1840" i="7"/>
  <c r="AH1841" i="7"/>
  <c r="AH1842" i="7"/>
  <c r="AH1843" i="7"/>
  <c r="AH1844" i="7"/>
  <c r="AH1846" i="7"/>
  <c r="AH1847" i="7"/>
  <c r="AH1848" i="7"/>
  <c r="AH1849" i="7"/>
  <c r="AH1850" i="7"/>
  <c r="AH1851" i="7"/>
  <c r="AH1852" i="7"/>
  <c r="AH1853" i="7"/>
  <c r="AH1854" i="7"/>
  <c r="AH1855" i="7"/>
  <c r="AH1856" i="7"/>
  <c r="AH1857" i="7"/>
  <c r="AH1858" i="7"/>
  <c r="AH1859" i="7"/>
  <c r="AH1860" i="7"/>
  <c r="AH1861" i="7"/>
  <c r="AH1862" i="7"/>
  <c r="AH1863" i="7"/>
  <c r="AH1864" i="7"/>
  <c r="AH1865" i="7"/>
  <c r="AH1866" i="7"/>
  <c r="AH1867" i="7"/>
  <c r="AH1868" i="7"/>
  <c r="AH1869" i="7"/>
  <c r="AH1871" i="7"/>
  <c r="AH1872" i="7"/>
  <c r="AH1873" i="7"/>
  <c r="AH1874" i="7"/>
  <c r="AH1875" i="7"/>
  <c r="AH1876" i="7"/>
  <c r="AH1877" i="7"/>
  <c r="AH1878" i="7"/>
  <c r="AH1879" i="7"/>
  <c r="AH1880" i="7"/>
  <c r="AH1882" i="7"/>
  <c r="AH1883" i="7"/>
  <c r="AH1884" i="7"/>
  <c r="AH1885" i="7"/>
  <c r="AH1886" i="7"/>
  <c r="AH1887" i="7"/>
  <c r="AH1888" i="7"/>
  <c r="AH1889" i="7"/>
  <c r="AH1890" i="7"/>
  <c r="AH1891" i="7"/>
  <c r="AH1892" i="7"/>
  <c r="AH1893" i="7"/>
  <c r="AH1894" i="7"/>
  <c r="AH1895" i="7"/>
  <c r="AH1896" i="7"/>
  <c r="AH1897" i="7"/>
  <c r="AH1898" i="7"/>
  <c r="AH1899" i="7"/>
  <c r="AH1900" i="7"/>
  <c r="AH1901" i="7"/>
  <c r="AH1902" i="7"/>
  <c r="AH1903" i="7"/>
  <c r="AH1904" i="7"/>
  <c r="AH1905" i="7"/>
  <c r="AH1906" i="7"/>
  <c r="AH1908" i="7"/>
  <c r="AH1909" i="7"/>
  <c r="AH1910" i="7"/>
  <c r="AH1911" i="7"/>
  <c r="AH1912" i="7"/>
  <c r="AH1913" i="7"/>
  <c r="AH1914" i="7"/>
  <c r="AH1915" i="7"/>
  <c r="AH1916" i="7"/>
  <c r="AH1917" i="7"/>
  <c r="AH1918" i="7"/>
  <c r="AH1919" i="7"/>
  <c r="AH1920" i="7"/>
  <c r="AH1921" i="7"/>
  <c r="AH1922" i="7"/>
  <c r="AH1923" i="7"/>
  <c r="AH1924" i="7"/>
  <c r="AH1925" i="7"/>
  <c r="AH1926" i="7"/>
  <c r="AH1927" i="7"/>
  <c r="AH1928" i="7"/>
  <c r="AH1929" i="7"/>
  <c r="AH1930" i="7"/>
  <c r="AH1931" i="7"/>
  <c r="AH1932" i="7"/>
  <c r="AH1935" i="7"/>
  <c r="AH1936" i="7"/>
  <c r="AH1937" i="7"/>
  <c r="AH1938" i="7"/>
  <c r="AH1939" i="7"/>
  <c r="AH1940" i="7"/>
  <c r="AH1941" i="7"/>
  <c r="AH1942" i="7"/>
  <c r="AH1943" i="7"/>
  <c r="AH1944" i="7"/>
  <c r="AH1945" i="7"/>
  <c r="AH1946" i="7"/>
  <c r="AH1947" i="7"/>
  <c r="AH1948" i="7"/>
  <c r="AH1949" i="7"/>
  <c r="AH1950" i="7"/>
  <c r="AH1951" i="7"/>
  <c r="AH1952" i="7"/>
  <c r="AH1953" i="7"/>
  <c r="AH1954" i="7"/>
  <c r="AH1955" i="7"/>
  <c r="AH1956" i="7"/>
  <c r="AH1957" i="7"/>
  <c r="AH1958" i="7"/>
  <c r="AH1959" i="7"/>
  <c r="AH1960" i="7"/>
  <c r="AH1961" i="7"/>
  <c r="AH1962" i="7"/>
  <c r="AH1963" i="7"/>
  <c r="AH1964" i="7"/>
  <c r="AH1965" i="7"/>
  <c r="AH1966" i="7"/>
  <c r="AH1967" i="7"/>
  <c r="AH1968" i="7"/>
  <c r="AH1969" i="7"/>
  <c r="AH1970" i="7"/>
  <c r="AH1971" i="7"/>
  <c r="AH1972" i="7"/>
  <c r="AH1973" i="7"/>
  <c r="AH1974" i="7"/>
  <c r="AH1975" i="7"/>
  <c r="AH1976" i="7"/>
  <c r="AH1977" i="7"/>
  <c r="AH1979" i="7"/>
  <c r="AH1980" i="7"/>
  <c r="AH1982" i="7"/>
  <c r="AH1983" i="7"/>
  <c r="AH1984" i="7"/>
  <c r="AH1985" i="7"/>
  <c r="AH1986" i="7"/>
  <c r="AH1987" i="7"/>
  <c r="AH1991" i="7"/>
  <c r="AH1992" i="7"/>
  <c r="AH1993" i="7"/>
  <c r="AH1994" i="7"/>
  <c r="AH1995" i="7"/>
  <c r="AH1996" i="7"/>
  <c r="AH1997" i="7"/>
  <c r="AH1998" i="7"/>
  <c r="AH1999" i="7"/>
  <c r="AH2000" i="7"/>
  <c r="AH2001" i="7"/>
  <c r="AH2002" i="7"/>
  <c r="AH2003" i="7"/>
  <c r="AH2004" i="7"/>
  <c r="AH2005" i="7"/>
  <c r="AH2006" i="7"/>
  <c r="AH2007" i="7"/>
  <c r="AH2008" i="7"/>
  <c r="AH2009" i="7"/>
  <c r="AH2010" i="7"/>
  <c r="AH2011" i="7"/>
  <c r="AH2015" i="7"/>
  <c r="AH2016" i="7"/>
  <c r="AH2017" i="7"/>
  <c r="AH2018" i="7"/>
  <c r="AH2019" i="7"/>
  <c r="AH2020" i="7"/>
  <c r="AH2021" i="7"/>
  <c r="AH2022" i="7"/>
  <c r="AH2023" i="7"/>
  <c r="AH2024" i="7"/>
  <c r="AH2025" i="7"/>
  <c r="AH2026" i="7"/>
  <c r="AH2027" i="7"/>
  <c r="AH2029" i="7"/>
  <c r="AH2030" i="7"/>
  <c r="AH2031" i="7"/>
  <c r="AH2032" i="7"/>
  <c r="AH2033" i="7"/>
  <c r="AH2034" i="7"/>
  <c r="AH2035" i="7"/>
  <c r="AH2036" i="7"/>
  <c r="AH2037" i="7"/>
  <c r="AH2038" i="7"/>
  <c r="AH2039" i="7"/>
  <c r="AH2040" i="7"/>
  <c r="AH2041" i="7"/>
  <c r="AH2042" i="7"/>
  <c r="AH2043" i="7"/>
  <c r="AH2044" i="7"/>
  <c r="AH2045" i="7"/>
  <c r="AH2046" i="7"/>
  <c r="AH2047" i="7"/>
  <c r="AH2048" i="7"/>
  <c r="AH2049" i="7"/>
  <c r="AH2050" i="7"/>
  <c r="AH2051" i="7"/>
  <c r="AH2052" i="7"/>
  <c r="AH2053" i="7"/>
  <c r="AH2054" i="7"/>
  <c r="AH2055" i="7"/>
  <c r="AH2056" i="7"/>
  <c r="AH2057" i="7"/>
  <c r="AH2058" i="7"/>
  <c r="AH2059" i="7"/>
  <c r="AH2060" i="7"/>
  <c r="AH2061" i="7"/>
  <c r="AH2062" i="7"/>
  <c r="AH2063" i="7"/>
  <c r="AH2064" i="7"/>
  <c r="AH2065" i="7"/>
  <c r="AH2066" i="7"/>
  <c r="AH2067" i="7"/>
  <c r="AH2068" i="7"/>
  <c r="AH2069" i="7"/>
  <c r="AH2070" i="7"/>
  <c r="AH2071" i="7"/>
  <c r="AH2072" i="7"/>
  <c r="AH2073" i="7"/>
  <c r="AH2074" i="7"/>
  <c r="AH2075" i="7"/>
  <c r="AH2076" i="7"/>
  <c r="AH2077" i="7"/>
  <c r="AH2078" i="7"/>
  <c r="AH2079" i="7"/>
  <c r="AH2080" i="7"/>
  <c r="AH2081" i="7"/>
  <c r="AH2082" i="7"/>
  <c r="AH2083" i="7"/>
  <c r="AH2084" i="7"/>
  <c r="AH2085" i="7"/>
  <c r="AH2086" i="7"/>
  <c r="AH2087" i="7"/>
  <c r="AH2088" i="7"/>
  <c r="AH2089" i="7"/>
  <c r="AH2090" i="7"/>
  <c r="AH2091" i="7"/>
  <c r="AH2092" i="7"/>
  <c r="AH2093" i="7"/>
  <c r="AH2094" i="7"/>
  <c r="AH2095" i="7"/>
  <c r="AH2096" i="7"/>
  <c r="AH2097" i="7"/>
  <c r="AH2098" i="7"/>
  <c r="AH2099" i="7"/>
  <c r="AH2103" i="7"/>
  <c r="AH2106" i="7"/>
  <c r="AH2107" i="7"/>
  <c r="AH2108" i="7"/>
  <c r="AH2109" i="7"/>
  <c r="AH2110" i="7"/>
  <c r="AH2111" i="7"/>
  <c r="AH2112" i="7"/>
  <c r="AH2113" i="7"/>
  <c r="AH2114" i="7"/>
  <c r="AH2115" i="7"/>
  <c r="AH2116" i="7"/>
  <c r="AH2117" i="7"/>
  <c r="AH2118" i="7"/>
  <c r="AH2119" i="7"/>
  <c r="AH2120" i="7"/>
  <c r="AH2121" i="7"/>
  <c r="AH2122" i="7"/>
  <c r="AH2123" i="7"/>
  <c r="AH2124" i="7"/>
  <c r="AH2125" i="7"/>
  <c r="AH2126" i="7"/>
  <c r="AH2127" i="7"/>
  <c r="AH2128" i="7"/>
  <c r="AH2129" i="7"/>
  <c r="AH2130" i="7"/>
  <c r="AH2131" i="7"/>
  <c r="AH2132" i="7"/>
  <c r="AH2133" i="7"/>
  <c r="AH2134" i="7"/>
  <c r="AH2135" i="7"/>
  <c r="AH2136" i="7"/>
  <c r="AH2137" i="7"/>
  <c r="AH2138" i="7"/>
  <c r="AH2139" i="7"/>
  <c r="AH2140" i="7"/>
  <c r="AH2141" i="7"/>
  <c r="AH2142" i="7"/>
  <c r="AH2143" i="7"/>
  <c r="AH2144" i="7"/>
  <c r="AH2145" i="7"/>
  <c r="AH2146" i="7"/>
  <c r="AH2147" i="7"/>
  <c r="AH2148" i="7"/>
  <c r="AH2149" i="7"/>
  <c r="AH2150" i="7"/>
  <c r="AH2151" i="7"/>
  <c r="AH2152" i="7"/>
  <c r="AH2153" i="7"/>
  <c r="AH2154" i="7"/>
  <c r="AH2155" i="7"/>
  <c r="AH2156" i="7"/>
  <c r="AH2157" i="7"/>
  <c r="AH2158" i="7"/>
  <c r="AH2159" i="7"/>
  <c r="AH2160" i="7"/>
  <c r="AH2161" i="7"/>
  <c r="AH2162" i="7"/>
  <c r="AH2163" i="7"/>
  <c r="AH2164" i="7"/>
  <c r="AH2165" i="7"/>
  <c r="AH2166" i="7"/>
  <c r="AH2167" i="7"/>
  <c r="AH2168" i="7"/>
  <c r="AH2169" i="7"/>
  <c r="AH2170" i="7"/>
  <c r="AH2171" i="7"/>
  <c r="AH2172" i="7"/>
  <c r="AH2173" i="7"/>
  <c r="AH2174" i="7"/>
  <c r="AH2175" i="7"/>
  <c r="AH2176" i="7"/>
  <c r="AH2177" i="7"/>
  <c r="AH2178" i="7"/>
  <c r="AH2179" i="7"/>
  <c r="AH2180" i="7"/>
  <c r="AH2181" i="7"/>
  <c r="AH2182" i="7"/>
  <c r="AH2183" i="7"/>
  <c r="AH2184" i="7"/>
  <c r="AH2185" i="7"/>
  <c r="AH2186" i="7"/>
  <c r="AH2187" i="7"/>
  <c r="AH2188" i="7"/>
  <c r="AH2189" i="7"/>
  <c r="AH2190" i="7"/>
  <c r="AH2191" i="7"/>
  <c r="AH2192" i="7"/>
  <c r="AH2193" i="7"/>
  <c r="AH2194" i="7"/>
  <c r="AH2195" i="7"/>
  <c r="AH2196" i="7"/>
  <c r="AH2197" i="7"/>
  <c r="AH2200" i="7"/>
  <c r="AH2201" i="7"/>
  <c r="AH2202" i="7"/>
  <c r="AH2203" i="7"/>
  <c r="AH2204" i="7"/>
  <c r="AH2205" i="7"/>
  <c r="AH2206" i="7"/>
  <c r="AH2207" i="7"/>
  <c r="AH2208" i="7"/>
  <c r="AH2209" i="7"/>
  <c r="AH2210" i="7"/>
  <c r="AH2211" i="7"/>
  <c r="AH2212" i="7"/>
  <c r="AH2213" i="7"/>
  <c r="AH2214" i="7"/>
  <c r="AH2215" i="7"/>
  <c r="AH2216" i="7"/>
  <c r="AH2217" i="7"/>
  <c r="AH2218" i="7"/>
  <c r="AH2219" i="7"/>
  <c r="AH2220" i="7"/>
  <c r="AH2221" i="7"/>
  <c r="AH2223" i="7"/>
  <c r="AH2225" i="7"/>
  <c r="AH2226" i="7"/>
  <c r="AH2227" i="7"/>
  <c r="AH2228" i="7"/>
  <c r="AH2229" i="7"/>
  <c r="AH2230" i="7"/>
  <c r="AH2231" i="7"/>
  <c r="AH2232" i="7"/>
  <c r="AH2233" i="7"/>
  <c r="AH2234" i="7"/>
  <c r="AH2235" i="7"/>
  <c r="AH2236" i="7"/>
  <c r="AH2237" i="7"/>
  <c r="AH2238" i="7"/>
  <c r="AH2239" i="7"/>
  <c r="AH2240" i="7"/>
  <c r="AH2243" i="7"/>
  <c r="AH2244" i="7"/>
  <c r="AH2245" i="7"/>
  <c r="AH2246" i="7"/>
  <c r="AH2247" i="7"/>
  <c r="AH2248" i="7"/>
  <c r="AH2249" i="7"/>
  <c r="AH2250" i="7"/>
  <c r="AH2251" i="7"/>
  <c r="AH2252" i="7"/>
  <c r="AH2253" i="7"/>
  <c r="AH2254" i="7"/>
  <c r="AH2255" i="7"/>
  <c r="AH2256" i="7"/>
  <c r="AH2257" i="7"/>
  <c r="AH2258" i="7"/>
  <c r="AH2259" i="7"/>
  <c r="AH2260" i="7"/>
  <c r="AH2261" i="7"/>
  <c r="AH2264" i="7"/>
  <c r="AH2265" i="7"/>
  <c r="AH2266" i="7"/>
  <c r="AH2267" i="7"/>
  <c r="AH2268" i="7"/>
  <c r="AH2269" i="7"/>
  <c r="AH2270" i="7"/>
  <c r="AH2272" i="7"/>
  <c r="AH2273" i="7"/>
  <c r="AH2274" i="7"/>
  <c r="AH2275" i="7"/>
  <c r="AH2276" i="7"/>
  <c r="AH2277" i="7"/>
  <c r="AH2278" i="7"/>
  <c r="AH2279" i="7"/>
  <c r="AH2280" i="7"/>
  <c r="AH2281" i="7"/>
  <c r="AH2282" i="7"/>
  <c r="AH2283" i="7"/>
  <c r="AH2284" i="7"/>
  <c r="AH2285" i="7"/>
  <c r="AH2286" i="7"/>
  <c r="AH2287" i="7"/>
  <c r="AH2288" i="7"/>
  <c r="AH2291" i="7"/>
  <c r="AH2292" i="7"/>
  <c r="AH2293" i="7"/>
  <c r="AH2294" i="7"/>
  <c r="AH2295" i="7"/>
  <c r="AH2296" i="7"/>
  <c r="AH2297" i="7"/>
  <c r="AH2298" i="7"/>
  <c r="AH2299" i="7"/>
  <c r="AH2300" i="7"/>
  <c r="AH2301" i="7"/>
  <c r="AH2302" i="7"/>
  <c r="AH2303" i="7"/>
  <c r="AH2304" i="7"/>
  <c r="AH2305" i="7"/>
  <c r="AH2306" i="7"/>
  <c r="AH2307" i="7"/>
  <c r="AH2308" i="7"/>
  <c r="AH2309" i="7"/>
  <c r="AH2310" i="7"/>
  <c r="AH2311" i="7"/>
  <c r="AH2312" i="7"/>
  <c r="AH2313" i="7"/>
  <c r="AH2314" i="7"/>
  <c r="AH2315" i="7"/>
  <c r="AH2316" i="7"/>
  <c r="AH2317" i="7"/>
  <c r="AH2318" i="7"/>
  <c r="AH2319" i="7"/>
  <c r="AH2320" i="7"/>
  <c r="AH2321" i="7"/>
  <c r="AH2322" i="7"/>
  <c r="AH2323" i="7"/>
  <c r="AH2324" i="7"/>
  <c r="AH2325" i="7"/>
  <c r="AH2326" i="7"/>
  <c r="AH2327" i="7"/>
  <c r="AH2328" i="7"/>
  <c r="AH2329" i="7"/>
  <c r="AH2330" i="7"/>
  <c r="AH2331" i="7"/>
  <c r="AH2332" i="7"/>
  <c r="AH2334" i="7"/>
  <c r="AH2335" i="7"/>
  <c r="AH2336" i="7"/>
  <c r="AH2337" i="7"/>
  <c r="AH2338" i="7"/>
  <c r="AH2339" i="7"/>
  <c r="AH2340" i="7"/>
  <c r="AH2341" i="7"/>
  <c r="AH2342" i="7"/>
  <c r="AH2343" i="7"/>
  <c r="AH2344" i="7"/>
  <c r="AH2348" i="7"/>
  <c r="AH2349" i="7"/>
  <c r="AH2350" i="7"/>
  <c r="AH2351" i="7"/>
  <c r="AH2352" i="7"/>
  <c r="AH2353" i="7"/>
  <c r="AH2354" i="7"/>
  <c r="AH2355" i="7"/>
  <c r="AH2356" i="7"/>
  <c r="AH2357" i="7"/>
  <c r="AH2358" i="7"/>
  <c r="AH2359" i="7"/>
  <c r="AH2360" i="7"/>
  <c r="AH2361" i="7"/>
  <c r="AH2362" i="7"/>
  <c r="AH2363" i="7"/>
  <c r="AH2364" i="7"/>
  <c r="AH2365" i="7"/>
  <c r="AH2366" i="7"/>
  <c r="AH2367" i="7"/>
  <c r="AH2368" i="7"/>
  <c r="AH2369" i="7"/>
  <c r="AH2372" i="7"/>
  <c r="AH2373" i="7"/>
  <c r="AH2374" i="7"/>
  <c r="AH2375" i="7"/>
  <c r="AH2376" i="7"/>
  <c r="AH2377" i="7"/>
  <c r="AH2378" i="7"/>
  <c r="AH2379" i="7"/>
  <c r="AH2380" i="7"/>
  <c r="AH2381" i="7"/>
  <c r="AH2382" i="7"/>
  <c r="AH2383" i="7"/>
  <c r="AH2384" i="7"/>
  <c r="AH2387" i="7"/>
  <c r="AH2388" i="7"/>
  <c r="AH2389" i="7"/>
  <c r="AH2390" i="7"/>
  <c r="AH2391" i="7"/>
  <c r="AH2392" i="7"/>
  <c r="AH2393" i="7"/>
  <c r="AH2394" i="7"/>
  <c r="AH2395" i="7"/>
  <c r="AH2396" i="7"/>
  <c r="AH2397" i="7"/>
  <c r="AH2398" i="7"/>
  <c r="AH2399" i="7"/>
  <c r="AH2400" i="7"/>
  <c r="AH2401" i="7"/>
  <c r="AH2402" i="7"/>
  <c r="AH2405" i="7"/>
  <c r="AH2406" i="7"/>
  <c r="AH2407" i="7"/>
  <c r="AH2408" i="7"/>
  <c r="AH2409" i="7"/>
  <c r="AH2410" i="7"/>
  <c r="AH2411" i="7"/>
  <c r="AH2412" i="7"/>
  <c r="AH2413" i="7"/>
  <c r="AH2414" i="7"/>
  <c r="AH2415" i="7"/>
  <c r="AH2416" i="7"/>
  <c r="AH2417" i="7"/>
  <c r="AH2418" i="7"/>
  <c r="AH2419" i="7"/>
  <c r="AH2420" i="7"/>
  <c r="AH2421" i="7"/>
  <c r="AH2422" i="7"/>
  <c r="AH2423" i="7"/>
  <c r="AH2424" i="7"/>
  <c r="AH2425" i="7"/>
  <c r="AH2426" i="7"/>
  <c r="AH2427" i="7"/>
  <c r="AH2428" i="7"/>
  <c r="AH2429" i="7"/>
  <c r="AH2430" i="7"/>
  <c r="AH2431" i="7"/>
  <c r="AH2434" i="7"/>
  <c r="AH2435" i="7"/>
  <c r="AH2436" i="7"/>
  <c r="AH2437" i="7"/>
  <c r="AH2438" i="7"/>
  <c r="AH2439" i="7"/>
  <c r="AH2440" i="7"/>
  <c r="AH2441" i="7"/>
  <c r="AH2442" i="7"/>
  <c r="AH2445" i="7"/>
  <c r="AH2446" i="7"/>
  <c r="AH2447" i="7"/>
  <c r="AH2448" i="7"/>
  <c r="AH2449" i="7"/>
  <c r="AH2450" i="7"/>
  <c r="AH2451" i="7"/>
  <c r="AH2452" i="7"/>
  <c r="AH2453" i="7"/>
  <c r="AH2454" i="7"/>
  <c r="AH2455" i="7"/>
  <c r="AH2460" i="7"/>
  <c r="AH2461" i="7"/>
  <c r="AH2463" i="7"/>
  <c r="AH2466" i="7"/>
  <c r="AH2467" i="7"/>
  <c r="AH2468" i="7"/>
  <c r="AH2469" i="7"/>
  <c r="AH2470" i="7"/>
  <c r="AH2471" i="7"/>
  <c r="AH2472" i="7"/>
  <c r="AH2473" i="7"/>
  <c r="AH2474" i="7"/>
  <c r="AH2475" i="7"/>
  <c r="AH2476" i="7"/>
  <c r="AH2477" i="7"/>
  <c r="AH2478" i="7"/>
  <c r="AH2479" i="7"/>
  <c r="AH2480" i="7"/>
  <c r="AH2481" i="7"/>
  <c r="AH2482" i="7"/>
  <c r="AH2483" i="7"/>
  <c r="AH2484" i="7"/>
  <c r="AH2486" i="7"/>
  <c r="AH2487" i="7"/>
  <c r="AH2488" i="7"/>
  <c r="AH2489" i="7"/>
  <c r="AH2490" i="7"/>
  <c r="AH2492" i="7"/>
  <c r="AH2493" i="7"/>
  <c r="AH2494" i="7"/>
  <c r="AH2495" i="7"/>
  <c r="AH2496" i="7"/>
  <c r="AH2497" i="7"/>
  <c r="AH2498" i="7"/>
  <c r="AH2499" i="7"/>
  <c r="AH2500" i="7"/>
  <c r="AH2501" i="7"/>
  <c r="AH2502" i="7"/>
  <c r="AH2503" i="7"/>
  <c r="AH2504" i="7"/>
  <c r="AH2505" i="7"/>
  <c r="AH2506" i="7"/>
  <c r="AH2507" i="7"/>
  <c r="AH2508" i="7"/>
  <c r="AH2509" i="7"/>
  <c r="AH2510" i="7"/>
  <c r="AH2511" i="7"/>
  <c r="AH2512" i="7"/>
  <c r="AH2513" i="7"/>
  <c r="AH2514" i="7"/>
  <c r="AH2515" i="7"/>
  <c r="AH2516" i="7"/>
  <c r="AH2517" i="7"/>
  <c r="AH2518" i="7"/>
  <c r="AH2519" i="7"/>
  <c r="AH2520" i="7"/>
  <c r="AH2522" i="7"/>
  <c r="AH2523" i="7"/>
  <c r="AH2524" i="7"/>
  <c r="AH2525" i="7"/>
  <c r="AH2526" i="7"/>
  <c r="AH2527" i="7"/>
  <c r="AH2528" i="7"/>
  <c r="AH2530" i="7"/>
  <c r="AH2531" i="7"/>
  <c r="AH2533" i="7"/>
  <c r="AH2534" i="7"/>
  <c r="AH2535" i="7"/>
  <c r="AH2536" i="7"/>
  <c r="AH2537" i="7"/>
  <c r="AH2538" i="7"/>
  <c r="AH2539" i="7"/>
  <c r="AH2540" i="7"/>
  <c r="AH2541" i="7"/>
  <c r="AH2542" i="7"/>
  <c r="AH2543" i="7"/>
  <c r="AH2544" i="7"/>
  <c r="AH2545" i="7"/>
  <c r="AH2546" i="7"/>
  <c r="AH2547" i="7"/>
  <c r="AH2548" i="7"/>
  <c r="AH2549" i="7"/>
  <c r="AH2550" i="7"/>
  <c r="AH2551" i="7"/>
  <c r="AH2552" i="7"/>
  <c r="AH2553" i="7"/>
  <c r="AH2554" i="7"/>
  <c r="AH2555" i="7"/>
  <c r="AH2556" i="7"/>
  <c r="AH2557" i="7"/>
  <c r="AH2558" i="7"/>
  <c r="AH2559" i="7"/>
  <c r="AH2560" i="7"/>
  <c r="AH2561" i="7"/>
  <c r="AH2562" i="7"/>
  <c r="AH2563" i="7"/>
  <c r="AH2564" i="7"/>
  <c r="AH2565" i="7"/>
  <c r="AH2566" i="7"/>
  <c r="AH2567" i="7"/>
  <c r="AH2568" i="7"/>
  <c r="AH2569" i="7"/>
  <c r="AH2570" i="7"/>
  <c r="AH2572" i="7"/>
  <c r="AH2573" i="7"/>
  <c r="AH2574" i="7"/>
  <c r="AH2575" i="7"/>
  <c r="AH2576" i="7"/>
  <c r="AH2579" i="7"/>
  <c r="AH2580" i="7"/>
  <c r="AH2581" i="7"/>
  <c r="AH2582" i="7"/>
  <c r="AH2583" i="7"/>
  <c r="AH2584" i="7"/>
  <c r="AH2585" i="7"/>
  <c r="AH2586" i="7"/>
  <c r="AH2587" i="7"/>
  <c r="AH2588" i="7"/>
  <c r="AH2589" i="7"/>
  <c r="AH2590" i="7"/>
  <c r="AH2591" i="7"/>
  <c r="AH2592" i="7"/>
  <c r="AH2593" i="7"/>
  <c r="AH2594" i="7"/>
  <c r="AH2595" i="7"/>
  <c r="AH2596" i="7"/>
  <c r="AH2597" i="7"/>
  <c r="AH2598" i="7"/>
  <c r="AH2599" i="7"/>
  <c r="AH2600" i="7"/>
  <c r="AH2601" i="7"/>
  <c r="AH2602" i="7"/>
  <c r="AH2603" i="7"/>
  <c r="AH2604" i="7"/>
  <c r="AH2605" i="7"/>
  <c r="AH2606" i="7"/>
  <c r="AH2607" i="7"/>
  <c r="AH2608" i="7"/>
  <c r="AH2609" i="7"/>
  <c r="AH2610" i="7"/>
  <c r="AH2611" i="7"/>
  <c r="AH2612" i="7"/>
  <c r="AH2613" i="7"/>
  <c r="AH2614" i="7"/>
  <c r="AH2615" i="7"/>
  <c r="AH2616" i="7"/>
  <c r="AH2617" i="7"/>
  <c r="AH2618" i="7"/>
  <c r="AH2619" i="7"/>
  <c r="AH2621" i="7"/>
  <c r="AH2622" i="7"/>
  <c r="AH2623" i="7"/>
  <c r="AH2624" i="7"/>
  <c r="AH2625" i="7"/>
  <c r="AH2626" i="7"/>
  <c r="AH2627" i="7"/>
  <c r="AH2628" i="7"/>
  <c r="AH2629" i="7"/>
  <c r="AH2630" i="7"/>
  <c r="AH2631" i="7"/>
  <c r="AH2632" i="7"/>
  <c r="AH2633" i="7"/>
  <c r="AH2634" i="7"/>
  <c r="AH2635" i="7"/>
  <c r="AH2636" i="7"/>
  <c r="AH2637" i="7"/>
  <c r="AH2638" i="7"/>
  <c r="AH2639" i="7"/>
  <c r="AH2640" i="7"/>
  <c r="AH2641" i="7"/>
  <c r="AH2642" i="7"/>
  <c r="AH2643" i="7"/>
  <c r="AH2644" i="7"/>
  <c r="AH2645" i="7"/>
  <c r="AH2646" i="7"/>
  <c r="AH2647" i="7"/>
  <c r="AH2648" i="7"/>
  <c r="AH2649" i="7"/>
  <c r="AH2650" i="7"/>
  <c r="AH2651" i="7"/>
  <c r="AH2654" i="7"/>
  <c r="AH2655" i="7"/>
  <c r="AH2656" i="7"/>
  <c r="AH2657" i="7"/>
  <c r="AH2658" i="7"/>
  <c r="AH2659" i="7"/>
  <c r="AH2660" i="7"/>
  <c r="AH2661" i="7"/>
  <c r="AH2662" i="7"/>
  <c r="AH2663" i="7"/>
  <c r="AH2664" i="7"/>
  <c r="AH2665" i="7"/>
  <c r="AH2666" i="7"/>
  <c r="AH2667" i="7"/>
  <c r="AH2668" i="7"/>
  <c r="AH2669" i="7"/>
  <c r="AH2670" i="7"/>
  <c r="AH2671" i="7"/>
  <c r="AH2672" i="7"/>
  <c r="AH2673" i="7"/>
  <c r="AH2674" i="7"/>
  <c r="AH2675" i="7"/>
  <c r="AH2676" i="7"/>
  <c r="AH2677" i="7"/>
  <c r="AH2678" i="7"/>
  <c r="AH2679" i="7"/>
  <c r="AH2680" i="7"/>
  <c r="AH2681" i="7"/>
  <c r="AH2682" i="7"/>
  <c r="AH2683" i="7"/>
  <c r="AH2684" i="7"/>
  <c r="AH2685" i="7"/>
  <c r="AH2686" i="7"/>
  <c r="AH2687" i="7"/>
  <c r="AH2690" i="7"/>
  <c r="AH2691" i="7"/>
  <c r="AH2692" i="7"/>
  <c r="AH2693" i="7"/>
  <c r="AH2694" i="7"/>
  <c r="AH2695" i="7"/>
  <c r="AH2696" i="7"/>
  <c r="AH2697" i="7"/>
  <c r="AH2698" i="7"/>
  <c r="AH2699" i="7"/>
  <c r="AH2700" i="7"/>
  <c r="AH2701" i="7"/>
  <c r="AH2703" i="7"/>
  <c r="AH2704" i="7"/>
  <c r="AH2705" i="7"/>
  <c r="AH2706" i="7"/>
  <c r="AH2707" i="7"/>
  <c r="AH2708" i="7"/>
  <c r="AH2709" i="7"/>
  <c r="AH2710" i="7"/>
  <c r="AH2711" i="7"/>
  <c r="AH2712" i="7"/>
  <c r="AH2713" i="7"/>
  <c r="AH2714" i="7"/>
  <c r="AH2715" i="7"/>
  <c r="AH2716" i="7"/>
  <c r="AH2717" i="7"/>
  <c r="AH2718" i="7"/>
  <c r="AH2719" i="7"/>
  <c r="AH2720" i="7"/>
  <c r="AH2721" i="7"/>
  <c r="AH2722" i="7"/>
  <c r="AH2723" i="7"/>
  <c r="AH2724" i="7"/>
  <c r="AH2725" i="7"/>
  <c r="AH2726" i="7"/>
  <c r="AH2727" i="7"/>
  <c r="AH2728" i="7"/>
  <c r="AH2729" i="7"/>
  <c r="AH2730" i="7"/>
  <c r="AH2731" i="7"/>
  <c r="AH2732" i="7"/>
  <c r="AH2734" i="7"/>
  <c r="AH2735" i="7"/>
  <c r="AH2737" i="7"/>
  <c r="AH2738" i="7"/>
  <c r="AH2739" i="7"/>
  <c r="AH2740" i="7"/>
  <c r="AH2746" i="7"/>
  <c r="AH2747" i="7"/>
  <c r="AH2748" i="7"/>
  <c r="AH2749" i="7"/>
  <c r="AH2750" i="7"/>
  <c r="AH2751" i="7"/>
  <c r="AH2752" i="7"/>
  <c r="AH2753" i="7"/>
  <c r="AH2754" i="7"/>
  <c r="AH2755" i="7"/>
  <c r="AH2756" i="7"/>
  <c r="AH2757" i="7"/>
  <c r="AH2758" i="7"/>
  <c r="AH2759" i="7"/>
  <c r="AH2760" i="7"/>
  <c r="AH2761" i="7"/>
  <c r="AH2762" i="7"/>
  <c r="AH2763" i="7"/>
  <c r="AH2764" i="7"/>
  <c r="AH2765" i="7"/>
  <c r="AH2766" i="7"/>
  <c r="AH2767" i="7"/>
  <c r="AH2768" i="7"/>
  <c r="AH2769" i="7"/>
  <c r="AH2770" i="7"/>
  <c r="AH2771" i="7"/>
  <c r="AH2772" i="7"/>
  <c r="AH2773" i="7"/>
  <c r="AH2774" i="7"/>
  <c r="AH2775" i="7"/>
  <c r="AH2776" i="7"/>
  <c r="AH2777" i="7"/>
  <c r="AH2778" i="7"/>
  <c r="AH2779" i="7"/>
  <c r="AH2780" i="7"/>
  <c r="AH2781" i="7"/>
  <c r="AH2782" i="7"/>
  <c r="AH2783" i="7"/>
  <c r="AH2784" i="7"/>
  <c r="AH2785" i="7"/>
  <c r="AH2786" i="7"/>
  <c r="AH2787" i="7"/>
  <c r="AH2788" i="7"/>
  <c r="AH2792" i="7"/>
  <c r="AH2796" i="7"/>
  <c r="AH2797" i="7"/>
  <c r="AH2798" i="7"/>
  <c r="AH2799" i="7"/>
  <c r="AH2800" i="7"/>
  <c r="AH2801" i="7"/>
  <c r="AH2802" i="7"/>
  <c r="AH2803" i="7"/>
  <c r="AH2804" i="7"/>
  <c r="AH2805" i="7"/>
  <c r="AH2806" i="7"/>
  <c r="AH2807" i="7"/>
  <c r="AH2808" i="7"/>
  <c r="AH2809" i="7"/>
  <c r="AH2810" i="7"/>
  <c r="AH2811" i="7"/>
  <c r="AH2812" i="7"/>
  <c r="AH2813" i="7"/>
  <c r="AH2814" i="7"/>
  <c r="AH2815" i="7"/>
  <c r="AH2816" i="7"/>
  <c r="AH2817" i="7"/>
  <c r="AH2818" i="7"/>
  <c r="AH2819" i="7"/>
  <c r="AH2820" i="7"/>
  <c r="AH2821" i="7"/>
  <c r="AH2822" i="7"/>
  <c r="AH2825" i="7"/>
  <c r="AH2826" i="7"/>
  <c r="AH2827" i="7"/>
  <c r="AH2828" i="7"/>
  <c r="AH2829" i="7"/>
  <c r="AH2830" i="7"/>
  <c r="AH2831" i="7"/>
  <c r="AH2832" i="7"/>
  <c r="AH2833" i="7"/>
  <c r="AH2834" i="7"/>
  <c r="AH2835" i="7"/>
  <c r="AH2836" i="7"/>
  <c r="AH2837" i="7"/>
  <c r="AH2838" i="7"/>
  <c r="AH2839" i="7"/>
  <c r="AH2840" i="7"/>
  <c r="AH2841" i="7"/>
  <c r="AH2842" i="7"/>
  <c r="AH2843" i="7"/>
  <c r="AH2844" i="7"/>
  <c r="AH2845" i="7"/>
  <c r="AH2846" i="7"/>
  <c r="AH2847" i="7"/>
  <c r="AH2848" i="7"/>
  <c r="AH2849" i="7"/>
  <c r="AH2850" i="7"/>
  <c r="AH2851" i="7"/>
  <c r="AH2852" i="7"/>
  <c r="AH2854" i="7"/>
  <c r="AH2855" i="7"/>
  <c r="AH2856" i="7"/>
  <c r="AH2857" i="7"/>
  <c r="AH2858" i="7"/>
  <c r="AH2860" i="7"/>
  <c r="AH2861" i="7"/>
  <c r="AH2862" i="7"/>
  <c r="AH2863" i="7"/>
  <c r="AH2864" i="7"/>
  <c r="AH2865" i="7"/>
  <c r="AH2866" i="7"/>
  <c r="AH2867" i="7"/>
  <c r="AH2868" i="7"/>
  <c r="AH2869" i="7"/>
  <c r="AH2870" i="7"/>
  <c r="AH2871" i="7"/>
  <c r="AH2872" i="7"/>
  <c r="AH2873" i="7"/>
  <c r="AH2874" i="7"/>
  <c r="AH2875" i="7"/>
  <c r="AH2876" i="7"/>
  <c r="AH2877" i="7"/>
  <c r="AH2878" i="7"/>
  <c r="AH2879" i="7"/>
  <c r="AH2880" i="7"/>
  <c r="AH2881" i="7"/>
  <c r="AH2882" i="7"/>
  <c r="AH2883" i="7"/>
  <c r="AH2884" i="7"/>
  <c r="AH2885" i="7"/>
  <c r="AH2886" i="7"/>
  <c r="AH2887" i="7"/>
  <c r="AH2888" i="7"/>
  <c r="AH2889" i="7"/>
  <c r="AH2890" i="7"/>
  <c r="AH2891" i="7"/>
  <c r="AH2892" i="7"/>
  <c r="AH2893" i="7"/>
  <c r="AH2894" i="7"/>
  <c r="AH2896" i="7"/>
  <c r="AH2897" i="7"/>
  <c r="AH2898" i="7"/>
  <c r="AH2899" i="7"/>
  <c r="AH2900" i="7"/>
  <c r="AH2901" i="7"/>
  <c r="AH2902" i="7"/>
  <c r="AH2903" i="7"/>
  <c r="AH2904" i="7"/>
  <c r="AH2905" i="7"/>
  <c r="AH2906" i="7"/>
  <c r="AH2908" i="7"/>
  <c r="AH2909" i="7"/>
  <c r="AH2910" i="7"/>
  <c r="AH2911" i="7"/>
  <c r="AH2912" i="7"/>
  <c r="AH2913" i="7"/>
  <c r="AH2914" i="7"/>
  <c r="AH2915" i="7"/>
  <c r="AH2916" i="7"/>
  <c r="AH2918" i="7"/>
  <c r="AH2919" i="7"/>
  <c r="AH2920" i="7"/>
  <c r="AH2921" i="7"/>
  <c r="AH2922" i="7"/>
  <c r="AH2923" i="7"/>
  <c r="AH2924" i="7"/>
  <c r="AH2925" i="7"/>
  <c r="AH2926" i="7"/>
  <c r="AH2927" i="7"/>
  <c r="AH2928" i="7"/>
  <c r="AH2929" i="7"/>
  <c r="AH2930" i="7"/>
  <c r="AH2931" i="7"/>
  <c r="AH2932" i="7"/>
  <c r="AH2933" i="7"/>
  <c r="AH2934" i="7"/>
  <c r="AH2935" i="7"/>
  <c r="AH2936" i="7"/>
  <c r="AH2937" i="7"/>
  <c r="AH2938" i="7"/>
  <c r="AH2939" i="7"/>
  <c r="AH2940" i="7"/>
  <c r="AH2941" i="7"/>
  <c r="AH2942" i="7"/>
  <c r="AH2943" i="7"/>
  <c r="AH2944" i="7"/>
  <c r="AH2945" i="7"/>
  <c r="AH2946" i="7"/>
  <c r="AH2947" i="7"/>
  <c r="AH2948" i="7"/>
  <c r="AH2949" i="7"/>
  <c r="AH2950" i="7"/>
  <c r="AH2951" i="7"/>
  <c r="AH2952" i="7"/>
  <c r="AH2953" i="7"/>
  <c r="AH2954" i="7"/>
  <c r="AH2955" i="7"/>
  <c r="AH2956" i="7"/>
  <c r="AH2957" i="7"/>
  <c r="AH2958" i="7"/>
  <c r="AH2959" i="7"/>
  <c r="AH2960" i="7"/>
  <c r="AH2961" i="7"/>
  <c r="AH2962" i="7"/>
  <c r="AH2963" i="7"/>
  <c r="AH2964" i="7"/>
  <c r="AH2965" i="7"/>
  <c r="AH2966" i="7"/>
  <c r="AH2967" i="7"/>
  <c r="AH2968" i="7"/>
  <c r="AH2969" i="7"/>
  <c r="AH2970" i="7"/>
  <c r="AH2971" i="7"/>
  <c r="AH2972" i="7"/>
  <c r="AH2973" i="7"/>
  <c r="AH2974" i="7"/>
  <c r="AH2975" i="7"/>
  <c r="AH2976" i="7"/>
  <c r="AH2977" i="7"/>
  <c r="AH2978" i="7"/>
  <c r="AH2979" i="7"/>
  <c r="AH2980" i="7"/>
  <c r="AH2981" i="7"/>
  <c r="AH2982" i="7"/>
  <c r="AH2983" i="7"/>
  <c r="AH2984" i="7"/>
  <c r="AH2985" i="7"/>
  <c r="AH2986" i="7"/>
  <c r="AH2987" i="7"/>
  <c r="AH2988" i="7"/>
  <c r="AH2989" i="7"/>
  <c r="AH2990" i="7"/>
  <c r="AH2992" i="7"/>
  <c r="AH2993" i="7"/>
  <c r="AH2994" i="7"/>
  <c r="AH2995" i="7"/>
  <c r="AH2996" i="7"/>
  <c r="AH2997" i="7"/>
  <c r="AH2998" i="7"/>
  <c r="AH2999" i="7"/>
  <c r="AH3000" i="7"/>
  <c r="AH3001" i="7"/>
  <c r="AH3002" i="7"/>
  <c r="AH3003" i="7"/>
  <c r="AH3004" i="7"/>
  <c r="AH3005" i="7"/>
  <c r="AH3006" i="7"/>
  <c r="AH3007" i="7"/>
  <c r="AH3008" i="7"/>
  <c r="AH3009" i="7"/>
  <c r="AH3010" i="7"/>
  <c r="AH3011" i="7"/>
  <c r="AH3012" i="7"/>
  <c r="AH3013" i="7"/>
  <c r="AH3014" i="7"/>
  <c r="AH3015" i="7"/>
  <c r="AH3016" i="7"/>
  <c r="AH3017" i="7"/>
  <c r="AH3018" i="7"/>
  <c r="AH3019" i="7"/>
  <c r="AH3020" i="7"/>
  <c r="AH3021" i="7"/>
  <c r="AH3022" i="7"/>
  <c r="AH3023" i="7"/>
  <c r="AH3024" i="7"/>
  <c r="AH3025" i="7"/>
  <c r="AH3026" i="7"/>
  <c r="AH3027" i="7"/>
  <c r="AH3028" i="7"/>
  <c r="AH3030" i="7"/>
  <c r="AH3031" i="7"/>
  <c r="AH3032" i="7"/>
  <c r="AH3033" i="7"/>
  <c r="AH3034" i="7"/>
  <c r="AH3035" i="7"/>
  <c r="AH3036" i="7"/>
  <c r="AH3037" i="7"/>
  <c r="AH3038" i="7"/>
  <c r="AH3039" i="7"/>
  <c r="AH3040" i="7"/>
  <c r="AH3041" i="7"/>
  <c r="AH3042" i="7"/>
  <c r="AH3043" i="7"/>
  <c r="AH3044" i="7"/>
  <c r="AH3045" i="7"/>
  <c r="AH3046" i="7"/>
  <c r="AH3047" i="7"/>
  <c r="AH3048" i="7"/>
  <c r="AH3049" i="7"/>
  <c r="AH3050" i="7"/>
  <c r="AH3051" i="7"/>
  <c r="AH3052" i="7"/>
  <c r="AH3053" i="7"/>
  <c r="AH3054" i="7"/>
  <c r="AH3055" i="7"/>
  <c r="AH3056" i="7"/>
  <c r="AH3057" i="7"/>
  <c r="AH3058" i="7"/>
  <c r="AH3059" i="7"/>
  <c r="AH3060" i="7"/>
  <c r="AH3061" i="7"/>
  <c r="AH3062" i="7"/>
  <c r="AH3063" i="7"/>
  <c r="AH3064" i="7"/>
  <c r="AH3065" i="7"/>
  <c r="AH3066" i="7"/>
  <c r="AH3067" i="7"/>
  <c r="AH3070" i="7"/>
  <c r="AH3071" i="7"/>
  <c r="AH3072" i="7"/>
  <c r="AH3073" i="7"/>
  <c r="AH3074" i="7"/>
  <c r="AH3075" i="7"/>
  <c r="AH3076" i="7"/>
  <c r="AH3077" i="7"/>
  <c r="AH3078" i="7"/>
  <c r="AH3079" i="7"/>
  <c r="AH3080" i="7"/>
  <c r="AH3081" i="7"/>
  <c r="AH3082" i="7"/>
  <c r="AH3083" i="7"/>
  <c r="AH3088" i="7"/>
  <c r="AH3090" i="7"/>
  <c r="AH3091" i="7"/>
  <c r="AH3094" i="7"/>
  <c r="AH3095" i="7"/>
  <c r="AH3096" i="7"/>
  <c r="AH3097" i="7"/>
  <c r="AH3098" i="7"/>
  <c r="AH3099" i="7"/>
  <c r="AH3100" i="7"/>
  <c r="AH3101" i="7"/>
  <c r="AH3102" i="7"/>
  <c r="AH3106" i="7"/>
  <c r="AH3107" i="7"/>
  <c r="AH3108" i="7"/>
  <c r="AH3109" i="7"/>
  <c r="AH3110" i="7"/>
  <c r="AH3111" i="7"/>
  <c r="AH3112" i="7"/>
  <c r="AH3113" i="7"/>
  <c r="AH3115" i="7"/>
  <c r="AH3116" i="7"/>
  <c r="AH3117" i="7"/>
  <c r="AH3118" i="7"/>
  <c r="AH3119" i="7"/>
  <c r="AH3120" i="7"/>
  <c r="AH3121" i="7"/>
  <c r="AH3122" i="7"/>
  <c r="AH3126" i="7"/>
  <c r="AH3127" i="7"/>
  <c r="AH3128" i="7"/>
  <c r="AH3129" i="7"/>
  <c r="AH3130" i="7"/>
  <c r="AH3131" i="7"/>
  <c r="AH3134" i="7"/>
  <c r="AH3135" i="7"/>
  <c r="AH3136" i="7"/>
  <c r="AH3137" i="7"/>
  <c r="AH3138" i="7"/>
  <c r="AH3139" i="7"/>
  <c r="AH3140" i="7"/>
  <c r="AH3141" i="7"/>
  <c r="AH3142" i="7"/>
  <c r="AH3143" i="7"/>
  <c r="AH3144" i="7"/>
  <c r="AH3145" i="7"/>
  <c r="AH3146" i="7"/>
  <c r="AH3147" i="7"/>
  <c r="AH3148" i="7"/>
  <c r="AH3149" i="7"/>
  <c r="AH3150" i="7"/>
  <c r="AH3151" i="7"/>
  <c r="AH3152" i="7"/>
  <c r="AH3153" i="7"/>
  <c r="AH3154" i="7"/>
  <c r="AH3155" i="7"/>
  <c r="AH3156" i="7"/>
  <c r="AH3157" i="7"/>
  <c r="AH3158" i="7"/>
  <c r="AH3159" i="7"/>
  <c r="AH3160" i="7"/>
  <c r="AH3161" i="7"/>
  <c r="AH3162" i="7"/>
  <c r="AH3164" i="7"/>
  <c r="AH3165" i="7"/>
  <c r="AH3166" i="7"/>
  <c r="AH3168" i="7"/>
  <c r="AH3169" i="7"/>
  <c r="AH3170" i="7"/>
  <c r="AH3171" i="7"/>
  <c r="AH3172" i="7"/>
  <c r="AH3173" i="7"/>
  <c r="AH3174" i="7"/>
  <c r="AH3175" i="7"/>
  <c r="AH3176" i="7"/>
  <c r="AH3177" i="7"/>
  <c r="AH3178" i="7"/>
  <c r="AH3179" i="7"/>
  <c r="AH3180" i="7"/>
  <c r="AH3181" i="7"/>
  <c r="AH3182" i="7"/>
  <c r="AH3183" i="7"/>
  <c r="AH3184" i="7"/>
  <c r="AH3185" i="7"/>
  <c r="AH3186" i="7"/>
  <c r="AH3187" i="7"/>
  <c r="AH3188" i="7"/>
  <c r="AH3189" i="7"/>
  <c r="AH3190" i="7"/>
  <c r="AH3191" i="7"/>
  <c r="AH3192" i="7"/>
  <c r="AH3193" i="7"/>
  <c r="AH3194" i="7"/>
  <c r="AH3195" i="7"/>
  <c r="AH3196" i="7"/>
  <c r="AH3197" i="7"/>
  <c r="AH3198" i="7"/>
  <c r="AH3199" i="7"/>
  <c r="AH3201" i="7"/>
  <c r="AH3202" i="7"/>
  <c r="AH3205" i="7"/>
  <c r="AH3206" i="7"/>
  <c r="AH3207" i="7"/>
  <c r="AH3208" i="7"/>
  <c r="AH3209" i="7"/>
  <c r="AH3210" i="7"/>
  <c r="AH3211" i="7"/>
  <c r="AH3212" i="7"/>
  <c r="AH3213" i="7"/>
  <c r="AH3214" i="7"/>
  <c r="AH3215" i="7"/>
  <c r="AH3216" i="7"/>
  <c r="AH3217" i="7"/>
  <c r="AH3218" i="7"/>
  <c r="AH3219" i="7"/>
  <c r="AH3220" i="7"/>
  <c r="AH3221" i="7"/>
  <c r="AH3222" i="7"/>
  <c r="AH3223" i="7"/>
  <c r="AH3224" i="7"/>
  <c r="AH3225" i="7"/>
  <c r="AH3226" i="7"/>
  <c r="AH3227" i="7"/>
  <c r="AH3228" i="7"/>
  <c r="AH3229" i="7"/>
  <c r="AH3230" i="7"/>
  <c r="AH3231" i="7"/>
  <c r="AH3233" i="7"/>
  <c r="AH3234" i="7"/>
  <c r="AH3235" i="7"/>
  <c r="AH3236" i="7"/>
  <c r="AH3237" i="7"/>
  <c r="AH3238" i="7"/>
  <c r="AH3239" i="7"/>
  <c r="AH3240" i="7"/>
  <c r="AH3241" i="7"/>
  <c r="AH3242" i="7"/>
  <c r="AH3243" i="7"/>
  <c r="AH3244" i="7"/>
  <c r="AH3245" i="7"/>
  <c r="AH3246" i="7"/>
  <c r="AH3247" i="7"/>
  <c r="AH3248" i="7"/>
  <c r="AH3249" i="7"/>
  <c r="AH3250" i="7"/>
  <c r="AH3251" i="7"/>
  <c r="AH3252" i="7"/>
  <c r="AH3253" i="7"/>
  <c r="AH3254" i="7"/>
  <c r="AH3255" i="7"/>
  <c r="AH3256" i="7"/>
  <c r="AH3257" i="7"/>
  <c r="AH3258" i="7"/>
  <c r="AH3259" i="7"/>
  <c r="AH3260" i="7"/>
  <c r="AH3261" i="7"/>
  <c r="AH3262" i="7"/>
  <c r="AH3263" i="7"/>
  <c r="AH3264" i="7"/>
  <c r="AH3265" i="7"/>
  <c r="AH3266" i="7"/>
  <c r="AH3268" i="7"/>
  <c r="AH3269" i="7"/>
  <c r="AH3270" i="7"/>
  <c r="AH3271" i="7"/>
  <c r="AH3273" i="7"/>
  <c r="AH3274" i="7"/>
  <c r="AH3275" i="7"/>
  <c r="AH3278" i="7"/>
  <c r="AH3279" i="7"/>
  <c r="AH3280" i="7"/>
  <c r="AH3281" i="7"/>
  <c r="AH3282" i="7"/>
  <c r="AH3283" i="7"/>
  <c r="AH3284" i="7"/>
  <c r="AH3285" i="7"/>
  <c r="AH3286" i="7"/>
  <c r="AH3287" i="7"/>
  <c r="AH3288" i="7"/>
  <c r="AH3289" i="7"/>
  <c r="AH3290" i="7"/>
  <c r="AH3291" i="7"/>
  <c r="AH3292" i="7"/>
  <c r="AH3293" i="7"/>
  <c r="AH3294" i="7"/>
  <c r="AH3296" i="7"/>
  <c r="AH3297" i="7"/>
  <c r="AH3298" i="7"/>
  <c r="AH3299" i="7"/>
  <c r="AH3300" i="7"/>
  <c r="AH3301" i="7"/>
  <c r="AH3302" i="7"/>
  <c r="AH3303" i="7"/>
  <c r="AH3304" i="7"/>
  <c r="AH3306" i="7"/>
  <c r="AH3307" i="7"/>
  <c r="AH3308" i="7"/>
  <c r="AH3309" i="7"/>
  <c r="AH3310" i="7"/>
  <c r="AH3311" i="7"/>
  <c r="AH3312" i="7"/>
  <c r="AH3313" i="7"/>
  <c r="AH3315" i="7"/>
  <c r="AH3317" i="7"/>
  <c r="AH3318" i="7"/>
  <c r="AH3319" i="7"/>
  <c r="AH3320" i="7"/>
  <c r="AH3321" i="7"/>
  <c r="AH3322" i="7"/>
  <c r="AH3323" i="7"/>
  <c r="AH3324" i="7"/>
  <c r="AH3325" i="7"/>
  <c r="AH3326" i="7"/>
  <c r="AH3327" i="7"/>
  <c r="AH3328" i="7"/>
  <c r="AH3329" i="7"/>
  <c r="AH3330" i="7"/>
  <c r="AH3331" i="7"/>
  <c r="AH3332" i="7"/>
  <c r="AH3333" i="7"/>
  <c r="AH3334" i="7"/>
  <c r="AH3335" i="7"/>
  <c r="AH3336" i="7"/>
  <c r="AH3337" i="7"/>
  <c r="AH3338" i="7"/>
  <c r="AH3339" i="7"/>
  <c r="AH3340" i="7"/>
  <c r="AH3341" i="7"/>
  <c r="AH3342" i="7"/>
  <c r="AH3343" i="7"/>
  <c r="AH3344" i="7"/>
  <c r="AH3345" i="7"/>
  <c r="AH3346" i="7"/>
  <c r="AH3347" i="7"/>
  <c r="AH3348" i="7"/>
  <c r="AH3349" i="7"/>
  <c r="AH3350" i="7"/>
  <c r="AH3351" i="7"/>
  <c r="AH3352" i="7"/>
  <c r="AH3353" i="7"/>
  <c r="AH3354" i="7"/>
  <c r="AH3355" i="7"/>
  <c r="AH3356" i="7"/>
  <c r="AH3358" i="7"/>
  <c r="AH3359" i="7"/>
  <c r="AH3366" i="7"/>
  <c r="AH3367" i="7"/>
  <c r="AH3368" i="7"/>
  <c r="AH3369" i="7"/>
  <c r="AH3371" i="7"/>
  <c r="AH3372" i="7"/>
  <c r="AH3373" i="7"/>
  <c r="AH3374" i="7"/>
  <c r="AH3375" i="7"/>
  <c r="AH3376" i="7"/>
  <c r="AH3377" i="7"/>
  <c r="AH3378" i="7"/>
  <c r="AH3379" i="7"/>
  <c r="AH3380" i="7"/>
  <c r="AH3381" i="7"/>
  <c r="AH3382" i="7"/>
  <c r="AH3383" i="7"/>
  <c r="AH3384" i="7"/>
  <c r="AH3385" i="7"/>
  <c r="AH3386" i="7"/>
  <c r="AH3387" i="7"/>
  <c r="AH3388" i="7"/>
  <c r="AH3389" i="7"/>
  <c r="AH3390" i="7"/>
  <c r="AH3391" i="7"/>
  <c r="AH3392" i="7"/>
  <c r="AH3393" i="7"/>
  <c r="AH3394" i="7"/>
  <c r="AH3395" i="7"/>
  <c r="AH3396" i="7"/>
  <c r="AH3397" i="7"/>
  <c r="AH3398" i="7"/>
  <c r="AH3399" i="7"/>
  <c r="AH3400" i="7"/>
  <c r="AH3401" i="7"/>
  <c r="AH3402" i="7"/>
  <c r="AH3403" i="7"/>
  <c r="AH3404" i="7"/>
  <c r="AH3405" i="7"/>
  <c r="AH3406" i="7"/>
  <c r="AH3407" i="7"/>
  <c r="AH3408" i="7"/>
  <c r="AH3409" i="7"/>
  <c r="AH3410" i="7"/>
  <c r="AH3411" i="7"/>
  <c r="AH3412" i="7"/>
  <c r="AH3413" i="7"/>
  <c r="AH3414" i="7"/>
  <c r="AH3415" i="7"/>
  <c r="AH3416" i="7"/>
  <c r="AH3417" i="7"/>
  <c r="AH3418" i="7"/>
  <c r="AH3419" i="7"/>
  <c r="AH3420" i="7"/>
  <c r="AH3421" i="7"/>
  <c r="AH3423" i="7"/>
  <c r="AH3424" i="7"/>
  <c r="AH3425" i="7"/>
  <c r="AH3426" i="7"/>
  <c r="AH3427" i="7"/>
  <c r="AH3428" i="7"/>
  <c r="AH3429" i="7"/>
  <c r="AH3430" i="7"/>
  <c r="AH3431" i="7"/>
  <c r="AH3432" i="7"/>
  <c r="AH3433" i="7"/>
  <c r="AH3434" i="7"/>
  <c r="AH3435" i="7"/>
  <c r="AH3436" i="7"/>
  <c r="AH3437" i="7"/>
  <c r="AH3439" i="7"/>
  <c r="AH3440" i="7"/>
  <c r="AH3441" i="7"/>
  <c r="AH3442" i="7"/>
  <c r="AH3443" i="7"/>
  <c r="AH3444" i="7"/>
  <c r="AH3445" i="7"/>
  <c r="AH3446" i="7"/>
  <c r="AH3447" i="7"/>
  <c r="AH3448" i="7"/>
  <c r="AH3449" i="7"/>
  <c r="AH3450" i="7"/>
  <c r="AH3451" i="7"/>
  <c r="AH3452" i="7"/>
  <c r="AH3453" i="7"/>
  <c r="AH3455" i="7"/>
  <c r="AH3456" i="7"/>
  <c r="AH3457" i="7"/>
  <c r="AH3458" i="7"/>
  <c r="AH3459" i="7"/>
  <c r="AH3460" i="7"/>
  <c r="AH3461" i="7"/>
  <c r="AH3462" i="7"/>
  <c r="AH3463" i="7"/>
  <c r="AH3465" i="7"/>
  <c r="AH3466" i="7"/>
  <c r="AH3467" i="7"/>
  <c r="AH3468" i="7"/>
  <c r="AH3469" i="7"/>
  <c r="AH3470" i="7"/>
  <c r="AH3471" i="7"/>
  <c r="AH3472" i="7"/>
  <c r="AH3473" i="7"/>
  <c r="AH3478" i="7"/>
  <c r="AH3480" i="7"/>
  <c r="AH3481" i="7"/>
  <c r="AH3482" i="7"/>
  <c r="AH3483" i="7"/>
  <c r="AH3485" i="7"/>
  <c r="AH3486" i="7"/>
  <c r="AH3487" i="7"/>
  <c r="AH3488" i="7"/>
  <c r="AH3489" i="7"/>
  <c r="AH3490" i="7"/>
  <c r="AH3491" i="7"/>
  <c r="AH3492" i="7"/>
  <c r="AH3493" i="7"/>
  <c r="AH3494" i="7"/>
  <c r="AH3495" i="7"/>
  <c r="AH3496" i="7"/>
  <c r="AH3497" i="7"/>
  <c r="AH3498" i="7"/>
  <c r="AH3499" i="7"/>
  <c r="AH3500" i="7"/>
  <c r="AH3501" i="7"/>
  <c r="AH3502" i="7"/>
  <c r="AH3503" i="7"/>
  <c r="AH3504" i="7"/>
  <c r="AH3505" i="7"/>
  <c r="AH3506" i="7"/>
  <c r="AH3507" i="7"/>
  <c r="AH3508" i="7"/>
  <c r="AH3509" i="7"/>
  <c r="AH3510" i="7"/>
  <c r="AH3511" i="7"/>
  <c r="AH3512" i="7"/>
  <c r="AH3513" i="7"/>
  <c r="AH3514" i="7"/>
  <c r="AH3515" i="7"/>
  <c r="AH3516" i="7"/>
  <c r="AH3517" i="7"/>
  <c r="AH3518" i="7"/>
  <c r="AH3519" i="7"/>
  <c r="AH3520" i="7"/>
  <c r="AH3524" i="7"/>
  <c r="AH3525" i="7"/>
  <c r="AH3526" i="7"/>
  <c r="AH3527" i="7"/>
  <c r="AH3528" i="7"/>
  <c r="AH3529" i="7"/>
  <c r="AH3530" i="7"/>
  <c r="AH3531" i="7"/>
  <c r="AH3532" i="7"/>
  <c r="AH3533" i="7"/>
  <c r="AH3534" i="7"/>
  <c r="AH3535" i="7"/>
  <c r="AH3536" i="7"/>
  <c r="AH3537" i="7"/>
  <c r="AH3538" i="7"/>
  <c r="AH3539" i="7"/>
  <c r="AH3540" i="7"/>
  <c r="AH3541" i="7"/>
  <c r="AH3542" i="7"/>
  <c r="AH3543" i="7"/>
  <c r="AH3544" i="7"/>
  <c r="AH3545" i="7"/>
  <c r="AH3546" i="7"/>
  <c r="AH3547" i="7"/>
  <c r="AH3548" i="7"/>
  <c r="AH3549" i="7"/>
  <c r="AH3550" i="7"/>
  <c r="AH3551" i="7"/>
  <c r="AH3552" i="7"/>
  <c r="AH3553" i="7"/>
  <c r="AH3554" i="7"/>
  <c r="AH3555" i="7"/>
  <c r="AH3556" i="7"/>
  <c r="AH3557" i="7"/>
  <c r="AH3558" i="7"/>
  <c r="AH3559" i="7"/>
  <c r="AH3560" i="7"/>
  <c r="AH3561" i="7"/>
  <c r="AH3562" i="7"/>
  <c r="AH3563" i="7"/>
  <c r="AH3564" i="7"/>
  <c r="AH3565" i="7"/>
  <c r="AH3566" i="7"/>
  <c r="AH3567" i="7"/>
  <c r="AH3568" i="7"/>
  <c r="AH3569" i="7"/>
  <c r="AH3570" i="7"/>
  <c r="AH3571" i="7"/>
  <c r="AH3572" i="7"/>
  <c r="AH3573" i="7"/>
  <c r="AH3574" i="7"/>
  <c r="AH3575" i="7"/>
  <c r="AH3576" i="7"/>
  <c r="AH3578" i="7"/>
  <c r="AH3580" i="7"/>
  <c r="AH3581" i="7"/>
  <c r="AH3582" i="7"/>
  <c r="AH3583" i="7"/>
  <c r="AH3584" i="7"/>
  <c r="AH3585" i="7"/>
  <c r="AH3586" i="7"/>
  <c r="AH3587" i="7"/>
  <c r="AH3588" i="7"/>
  <c r="AH3589" i="7"/>
  <c r="AH3590" i="7"/>
  <c r="AH3592" i="7"/>
  <c r="AH3593" i="7"/>
  <c r="AH3594" i="7"/>
  <c r="AH3595" i="7"/>
  <c r="AH3596" i="7"/>
  <c r="AH3597" i="7"/>
  <c r="AH3598" i="7"/>
  <c r="AH3599" i="7"/>
  <c r="AH3600" i="7"/>
  <c r="AH3601" i="7"/>
  <c r="AH3602" i="7"/>
  <c r="AH3603" i="7"/>
  <c r="AH3604" i="7"/>
  <c r="AH3605" i="7"/>
  <c r="AH3606" i="7"/>
  <c r="AH3607" i="7"/>
  <c r="AH3608" i="7"/>
  <c r="AH3609" i="7"/>
  <c r="AH3610" i="7"/>
  <c r="AH3611" i="7"/>
  <c r="AH3612" i="7"/>
  <c r="AH3613" i="7"/>
  <c r="AH3614" i="7"/>
  <c r="AH3615" i="7"/>
  <c r="AH3616" i="7"/>
  <c r="AH3617" i="7"/>
  <c r="AH3618" i="7"/>
  <c r="AH3619" i="7"/>
  <c r="AH3620" i="7"/>
  <c r="AH3621" i="7"/>
  <c r="AH3622" i="7"/>
  <c r="AH3623" i="7"/>
  <c r="AH3624" i="7"/>
  <c r="AH3625" i="7"/>
  <c r="AH3626" i="7"/>
  <c r="AH3627" i="7"/>
  <c r="AH3628" i="7"/>
  <c r="AH3630" i="7"/>
  <c r="AH3631" i="7"/>
  <c r="AH3632" i="7"/>
  <c r="AH3633" i="7"/>
  <c r="AH3634" i="7"/>
  <c r="AH3635" i="7"/>
  <c r="AH3636" i="7"/>
  <c r="AH3637" i="7"/>
  <c r="AH3638" i="7"/>
  <c r="AH3639" i="7"/>
  <c r="AH3640" i="7"/>
  <c r="AH3643" i="7"/>
  <c r="AH3644" i="7"/>
  <c r="AH3645" i="7"/>
  <c r="AH3646" i="7"/>
  <c r="AH3647" i="7"/>
  <c r="AH3648" i="7"/>
  <c r="AH3649" i="7"/>
  <c r="AH3650" i="7"/>
  <c r="AH3651" i="7"/>
  <c r="AH3652" i="7"/>
  <c r="AH3653" i="7"/>
  <c r="AH3654" i="7"/>
  <c r="AH3655" i="7"/>
  <c r="AH3656" i="7"/>
  <c r="AH3657" i="7"/>
  <c r="AH3658" i="7"/>
  <c r="AH3659" i="7"/>
  <c r="AH3660" i="7"/>
  <c r="AH3661" i="7"/>
  <c r="AH3662" i="7"/>
  <c r="AH3663" i="7"/>
  <c r="AH3664" i="7"/>
  <c r="AH3665" i="7"/>
  <c r="AH3666" i="7"/>
  <c r="AH3667" i="7"/>
  <c r="AH3668" i="7"/>
  <c r="AH3669" i="7"/>
  <c r="AH3670" i="7"/>
  <c r="AH3673" i="7"/>
  <c r="AH3674" i="7"/>
  <c r="AH3675" i="7"/>
  <c r="AH3676" i="7"/>
  <c r="AH3677" i="7"/>
  <c r="AH3678" i="7"/>
  <c r="AH3679" i="7"/>
  <c r="AH3680" i="7"/>
  <c r="AH3681" i="7"/>
  <c r="AH3682" i="7"/>
  <c r="AH3683" i="7"/>
  <c r="AH3684" i="7"/>
  <c r="AH3685" i="7"/>
  <c r="AH3686" i="7"/>
  <c r="AH3687" i="7"/>
  <c r="AH3688" i="7"/>
  <c r="AH3689" i="7"/>
  <c r="AH3690" i="7"/>
  <c r="AH3691" i="7"/>
  <c r="AH3692" i="7"/>
  <c r="AH3693" i="7"/>
  <c r="AH3694" i="7"/>
  <c r="AH3695" i="7"/>
  <c r="AH3696" i="7"/>
  <c r="AH3697" i="7"/>
  <c r="AH3698" i="7"/>
  <c r="AH3699" i="7"/>
  <c r="AH3700" i="7"/>
  <c r="AH3701" i="7"/>
  <c r="AH3702" i="7"/>
  <c r="AH3703" i="7"/>
  <c r="AH3704" i="7"/>
  <c r="AH3705" i="7"/>
  <c r="AH3706" i="7"/>
  <c r="AH3707" i="7"/>
  <c r="AH3708" i="7"/>
  <c r="AH3709" i="7"/>
  <c r="AH3710" i="7"/>
  <c r="AH3711" i="7"/>
  <c r="AH3712" i="7"/>
  <c r="AH3713" i="7"/>
  <c r="AH3714" i="7"/>
  <c r="AH3715" i="7"/>
  <c r="AH3716" i="7"/>
  <c r="AH3717" i="7"/>
  <c r="AH3718" i="7"/>
  <c r="AH3719" i="7"/>
  <c r="AH3720" i="7"/>
  <c r="AH3721" i="7"/>
  <c r="AH3722" i="7"/>
  <c r="AH3723" i="7"/>
  <c r="AH3724" i="7"/>
  <c r="AH3725" i="7"/>
  <c r="AH3726" i="7"/>
  <c r="AH3727" i="7"/>
  <c r="AH3728" i="7"/>
  <c r="AH3729" i="7"/>
  <c r="AH3730" i="7"/>
  <c r="AH3731" i="7"/>
  <c r="AH3732" i="7"/>
  <c r="AH3733" i="7"/>
  <c r="AH3734" i="7"/>
  <c r="AH3735" i="7"/>
  <c r="AH3736" i="7"/>
  <c r="AH3737" i="7"/>
  <c r="AH3738" i="7"/>
  <c r="AH3739" i="7"/>
  <c r="AH3740" i="7"/>
  <c r="AH3741" i="7"/>
  <c r="AH3742" i="7"/>
  <c r="AH3743" i="7"/>
  <c r="AH3744" i="7"/>
  <c r="AH3745" i="7"/>
  <c r="AH3746" i="7"/>
  <c r="AH3747" i="7"/>
  <c r="AH3748" i="7"/>
  <c r="AH3749" i="7"/>
  <c r="AH3750" i="7"/>
  <c r="AH3751" i="7"/>
  <c r="AH3752" i="7"/>
  <c r="AH3753" i="7"/>
  <c r="AH3754" i="7"/>
  <c r="AH3755" i="7"/>
  <c r="AH3756" i="7"/>
  <c r="AH3757" i="7"/>
  <c r="AH3758" i="7"/>
  <c r="AH3760" i="7"/>
  <c r="AH3761" i="7"/>
  <c r="AH3762" i="7"/>
  <c r="AH3763" i="7"/>
  <c r="AH3764" i="7"/>
  <c r="AH3765" i="7"/>
  <c r="AH3766" i="7"/>
  <c r="AH3767" i="7"/>
  <c r="AH3768" i="7"/>
  <c r="AH3769" i="7"/>
  <c r="AH3770" i="7"/>
  <c r="AH3771" i="7"/>
  <c r="AH3772" i="7"/>
  <c r="AH3773" i="7"/>
  <c r="AH3774" i="7"/>
  <c r="AH3775" i="7"/>
  <c r="AH3776" i="7"/>
  <c r="AH3777" i="7"/>
  <c r="AH3778" i="7"/>
  <c r="AH3779" i="7"/>
  <c r="AH3780" i="7"/>
  <c r="AH3781" i="7"/>
  <c r="AH3782" i="7"/>
  <c r="AH3783" i="7"/>
  <c r="AH3784" i="7"/>
  <c r="AH3785" i="7"/>
  <c r="AH3786" i="7"/>
  <c r="AH3787" i="7"/>
  <c r="AH3788" i="7"/>
  <c r="AH3789" i="7"/>
  <c r="AH3790" i="7"/>
  <c r="AH3791" i="7"/>
  <c r="AH3792" i="7"/>
  <c r="AH3793" i="7"/>
  <c r="AH3794" i="7"/>
  <c r="AH3795" i="7"/>
  <c r="AH3796" i="7"/>
  <c r="AH3798" i="7"/>
  <c r="AH3799" i="7"/>
  <c r="AH3800" i="7"/>
  <c r="AH3801" i="7"/>
  <c r="AH3804" i="7"/>
  <c r="AH3805" i="7"/>
  <c r="AH3806" i="7"/>
  <c r="AH3807" i="7"/>
  <c r="AH3808" i="7"/>
  <c r="AH3809" i="7"/>
  <c r="AH3810" i="7"/>
  <c r="AH3811" i="7"/>
  <c r="AH3812" i="7"/>
  <c r="AH3813" i="7"/>
  <c r="AH3814" i="7"/>
  <c r="AH3815" i="7"/>
  <c r="AH3816" i="7"/>
  <c r="AH3817" i="7"/>
  <c r="AH3818" i="7"/>
  <c r="AH3819" i="7"/>
  <c r="AH3820" i="7"/>
  <c r="AH3821" i="7"/>
  <c r="AH3822" i="7"/>
  <c r="AH3823" i="7"/>
  <c r="AH3824" i="7"/>
  <c r="AH3825" i="7"/>
  <c r="AH3826" i="7"/>
  <c r="AH3827" i="7"/>
  <c r="AH3828" i="7"/>
  <c r="AH3829" i="7"/>
  <c r="AH3830" i="7"/>
  <c r="AH3831" i="7"/>
  <c r="AH3835" i="7"/>
  <c r="AH3836" i="7"/>
  <c r="AH3837" i="7"/>
  <c r="AH3838" i="7"/>
  <c r="AH3839" i="7"/>
  <c r="AH3840" i="7"/>
  <c r="AH3841" i="7"/>
  <c r="AH3842" i="7"/>
  <c r="AH3843" i="7"/>
  <c r="AH3844" i="7"/>
  <c r="AH3845" i="7"/>
  <c r="AH3846" i="7"/>
  <c r="AH3847" i="7"/>
  <c r="AH3848" i="7"/>
  <c r="AH3849" i="7"/>
  <c r="AH3850" i="7"/>
  <c r="AH3851" i="7"/>
  <c r="AH3852" i="7"/>
  <c r="AH3853" i="7"/>
  <c r="AH3854" i="7"/>
  <c r="AH3855" i="7"/>
  <c r="AH3856" i="7"/>
  <c r="AH3857" i="7"/>
  <c r="AH3858" i="7"/>
  <c r="AH3859" i="7"/>
  <c r="AH3860" i="7"/>
  <c r="AH3861" i="7"/>
  <c r="AH3862" i="7"/>
  <c r="AH3863" i="7"/>
  <c r="AH3864" i="7"/>
  <c r="AH3865" i="7"/>
  <c r="AH3866" i="7"/>
  <c r="AH3867" i="7"/>
  <c r="AH3868" i="7"/>
  <c r="AH3869" i="7"/>
  <c r="AH3871" i="7"/>
  <c r="AH3872" i="7"/>
  <c r="AH3873" i="7"/>
  <c r="AH3874" i="7"/>
  <c r="AH3875" i="7"/>
  <c r="AH3880" i="7"/>
  <c r="AH3881" i="7"/>
  <c r="AH3882" i="7"/>
  <c r="AH3883" i="7"/>
  <c r="AH3884" i="7"/>
  <c r="AH3886" i="7"/>
  <c r="AH3887" i="7"/>
  <c r="AH3888" i="7"/>
  <c r="AH3889" i="7"/>
  <c r="AH3890" i="7"/>
  <c r="AH3891" i="7"/>
  <c r="AH3892" i="7"/>
  <c r="AH3893" i="7"/>
  <c r="AH3895" i="7"/>
  <c r="AH3897" i="7"/>
  <c r="AH3898" i="7"/>
  <c r="AH3899" i="7"/>
  <c r="AH3900" i="7"/>
  <c r="AH3901" i="7"/>
  <c r="AH3902" i="7"/>
  <c r="AH3903" i="7"/>
  <c r="AH3904" i="7"/>
  <c r="AH3905" i="7"/>
  <c r="AH3906" i="7"/>
  <c r="AH3907" i="7"/>
  <c r="AH3908" i="7"/>
  <c r="AH3909" i="7"/>
  <c r="AH3910" i="7"/>
  <c r="AH3911" i="7"/>
  <c r="AH3912" i="7"/>
  <c r="AH3915" i="7"/>
  <c r="AH3917" i="7"/>
  <c r="AH3918" i="7"/>
  <c r="AH3919" i="7"/>
  <c r="AH3920" i="7"/>
  <c r="AH3921" i="7"/>
  <c r="AH3922" i="7"/>
  <c r="AH3923" i="7"/>
  <c r="AH3924" i="7"/>
  <c r="AH3925" i="7"/>
  <c r="AH3926" i="7"/>
  <c r="AH3927" i="7"/>
  <c r="AH3928" i="7"/>
  <c r="AH3929" i="7"/>
  <c r="AH3930" i="7"/>
  <c r="AH3931" i="7"/>
  <c r="AH3932" i="7"/>
  <c r="AH3933" i="7"/>
  <c r="AH3934" i="7"/>
  <c r="AH3935" i="7"/>
  <c r="AH3936" i="7"/>
  <c r="AH3937" i="7"/>
  <c r="AH3938" i="7"/>
  <c r="AH3939" i="7"/>
  <c r="AH3940" i="7"/>
  <c r="AH3941" i="7"/>
  <c r="AH3942" i="7"/>
  <c r="AH3943" i="7"/>
  <c r="AH3944" i="7"/>
  <c r="AH3945" i="7"/>
  <c r="AH3946" i="7"/>
  <c r="AH3947" i="7"/>
  <c r="AH3948" i="7"/>
  <c r="AH3949" i="7"/>
  <c r="AH3950" i="7"/>
  <c r="AH3951" i="7"/>
  <c r="AH3952" i="7"/>
  <c r="AH3953" i="7"/>
  <c r="AH3954" i="7"/>
  <c r="AH3955" i="7"/>
  <c r="AH3956" i="7"/>
  <c r="AH3957" i="7"/>
  <c r="AH3958" i="7"/>
  <c r="AH3959" i="7"/>
  <c r="AH3960" i="7"/>
  <c r="AH3961" i="7"/>
  <c r="AH3962" i="7"/>
  <c r="AH3963" i="7"/>
  <c r="AH3964" i="7"/>
  <c r="AH3965" i="7"/>
  <c r="AH3966" i="7"/>
  <c r="AH3967" i="7"/>
  <c r="AH3968" i="7"/>
  <c r="AH3969" i="7"/>
  <c r="AH3970" i="7"/>
  <c r="AH3971" i="7"/>
  <c r="AH3972" i="7"/>
  <c r="AH3973" i="7"/>
  <c r="AH3974" i="7"/>
  <c r="AH3975" i="7"/>
  <c r="AH3976" i="7"/>
  <c r="AH3977" i="7"/>
  <c r="AH3978" i="7"/>
  <c r="AH3979" i="7"/>
  <c r="AH3980" i="7"/>
  <c r="AH3982" i="7"/>
  <c r="AH3983" i="7"/>
  <c r="AH3984" i="7"/>
  <c r="AH3985" i="7"/>
  <c r="AH3988" i="7"/>
  <c r="AH3989" i="7"/>
  <c r="AH3990" i="7"/>
  <c r="AH3991" i="7"/>
  <c r="AH3992" i="7"/>
  <c r="AH3993" i="7"/>
  <c r="AH3994" i="7"/>
  <c r="AH3995" i="7"/>
  <c r="AH3996" i="7"/>
  <c r="AH3997" i="7"/>
  <c r="AH3998" i="7"/>
  <c r="AH3999" i="7"/>
  <c r="AH4000" i="7"/>
  <c r="AH4001" i="7"/>
  <c r="AH4002" i="7"/>
  <c r="AH4003" i="7"/>
  <c r="AH4004" i="7"/>
  <c r="AH4005" i="7"/>
  <c r="AH4006" i="7"/>
  <c r="AH4007" i="7"/>
  <c r="AH4008" i="7"/>
  <c r="AH4009" i="7"/>
  <c r="AH4010" i="7"/>
  <c r="AH4011" i="7"/>
  <c r="AH4012" i="7"/>
  <c r="AH4013" i="7"/>
  <c r="AH4014" i="7"/>
  <c r="AH4015" i="7"/>
  <c r="AH4016" i="7"/>
  <c r="AH4017" i="7"/>
  <c r="AH4018" i="7"/>
  <c r="AH4019" i="7"/>
  <c r="AH4020" i="7"/>
  <c r="AH4021" i="7"/>
  <c r="AH4022" i="7"/>
  <c r="AH4023" i="7"/>
  <c r="AH4024" i="7"/>
  <c r="AH4029" i="7"/>
  <c r="AH4030" i="7"/>
  <c r="AH4031" i="7"/>
  <c r="AH4032" i="7"/>
  <c r="AH4034" i="7"/>
  <c r="AH4035" i="7"/>
  <c r="AH4036" i="7"/>
  <c r="AH4037" i="7"/>
  <c r="AH4038" i="7"/>
  <c r="AH4039" i="7"/>
  <c r="AH4040" i="7"/>
  <c r="AH4041" i="7"/>
  <c r="AH4042" i="7"/>
  <c r="AH4043" i="7"/>
  <c r="AH4045" i="7"/>
  <c r="AH4046" i="7"/>
  <c r="AH4047" i="7"/>
  <c r="AH4048" i="7"/>
  <c r="AH4049" i="7"/>
  <c r="AH4050" i="7"/>
  <c r="AH4051" i="7"/>
  <c r="AH4052" i="7"/>
  <c r="AH4053" i="7"/>
  <c r="AH4054" i="7"/>
  <c r="AH4055" i="7"/>
  <c r="AH4057" i="7"/>
  <c r="AH4058" i="7"/>
  <c r="AH4059" i="7"/>
  <c r="AH4060" i="7"/>
  <c r="AH4061" i="7"/>
  <c r="AH4062" i="7"/>
  <c r="AH4063" i="7"/>
  <c r="AH4064" i="7"/>
  <c r="AH4065" i="7"/>
  <c r="AH4066" i="7"/>
  <c r="AH4067" i="7"/>
  <c r="AH4068" i="7"/>
  <c r="AH4069" i="7"/>
  <c r="AH4070" i="7"/>
  <c r="AH4071" i="7"/>
  <c r="AH4072" i="7"/>
  <c r="AH4073" i="7"/>
  <c r="AH4074" i="7"/>
  <c r="AH4075" i="7"/>
  <c r="AH4077" i="7"/>
  <c r="AH4078" i="7"/>
  <c r="AH4079" i="7"/>
  <c r="AH4080" i="7"/>
  <c r="AH4081" i="7"/>
  <c r="AH4082" i="7"/>
  <c r="AH4083" i="7"/>
  <c r="AH4084" i="7"/>
  <c r="AH4085" i="7"/>
  <c r="AH4086" i="7"/>
  <c r="AH4087" i="7"/>
  <c r="AH4088" i="7"/>
  <c r="AH4089" i="7"/>
  <c r="AH4090" i="7"/>
  <c r="AH4091" i="7"/>
  <c r="AH4092" i="7"/>
  <c r="AH4093" i="7"/>
  <c r="AH4094" i="7"/>
  <c r="AH4095" i="7"/>
  <c r="AH4096" i="7"/>
  <c r="AH4097" i="7"/>
  <c r="AH4098" i="7"/>
  <c r="AH4099" i="7"/>
  <c r="AH4100" i="7"/>
  <c r="AH4101" i="7"/>
  <c r="AH4102" i="7"/>
  <c r="AH4103" i="7"/>
  <c r="AH4104" i="7"/>
  <c r="AH4105" i="7"/>
  <c r="AH4106" i="7"/>
  <c r="AH4107" i="7"/>
  <c r="AH4108" i="7"/>
  <c r="AH4109" i="7"/>
  <c r="AH4110" i="7"/>
  <c r="AH4111" i="7"/>
  <c r="AH4112" i="7"/>
  <c r="AH4113" i="7"/>
  <c r="AH4114" i="7"/>
  <c r="AH4115" i="7"/>
  <c r="AH4116" i="7"/>
  <c r="AH4117" i="7"/>
  <c r="AH4118" i="7"/>
  <c r="AH4120" i="7"/>
  <c r="AH4121" i="7"/>
  <c r="AH4122" i="7"/>
  <c r="AH4123" i="7"/>
  <c r="AH4124" i="7"/>
  <c r="AH4125" i="7"/>
  <c r="AH4126" i="7"/>
  <c r="AH4127" i="7"/>
  <c r="AH4128" i="7"/>
  <c r="AH4129" i="7"/>
  <c r="AH4130" i="7"/>
  <c r="AH4131" i="7"/>
  <c r="AH4132" i="7"/>
  <c r="AH4133" i="7"/>
  <c r="AH4134" i="7"/>
  <c r="AH4135" i="7"/>
  <c r="AH4136" i="7"/>
  <c r="AH4137" i="7"/>
  <c r="AH4138" i="7"/>
  <c r="AH4139" i="7"/>
  <c r="AH4140" i="7"/>
  <c r="AH4143" i="7"/>
  <c r="AH4144" i="7"/>
  <c r="AH4145" i="7"/>
  <c r="AH4146" i="7"/>
  <c r="AH4147" i="7"/>
  <c r="AH4148" i="7"/>
  <c r="AH4149" i="7"/>
  <c r="AH4150" i="7"/>
  <c r="AH4151" i="7"/>
  <c r="AH4153" i="7"/>
  <c r="AH4154" i="7"/>
  <c r="AH4155" i="7"/>
  <c r="AH4156" i="7"/>
  <c r="AH4157" i="7"/>
  <c r="AH4158" i="7"/>
  <c r="AH4159" i="7"/>
  <c r="AH4160" i="7"/>
  <c r="AH4161" i="7"/>
  <c r="AH4162" i="7"/>
  <c r="AH4163" i="7"/>
  <c r="AH4164" i="7"/>
  <c r="AH4166" i="7"/>
  <c r="AH4167" i="7"/>
  <c r="AH4168" i="7"/>
  <c r="AH4169" i="7"/>
  <c r="AH4170" i="7"/>
  <c r="AH4171" i="7"/>
  <c r="AH4172" i="7"/>
  <c r="AH4173" i="7"/>
  <c r="AH4174" i="7"/>
  <c r="AH4175" i="7"/>
  <c r="AH4176" i="7"/>
  <c r="AH4177" i="7"/>
  <c r="AH4178" i="7"/>
  <c r="AH4179" i="7"/>
  <c r="AH4180" i="7"/>
  <c r="AH4181" i="7"/>
  <c r="AH4182" i="7"/>
  <c r="AH4183" i="7"/>
  <c r="AH4184" i="7"/>
  <c r="AH4185" i="7"/>
  <c r="AH4186" i="7"/>
  <c r="AH4187" i="7"/>
  <c r="AH4191" i="7"/>
  <c r="AH4192" i="7"/>
  <c r="AH4193" i="7"/>
  <c r="AH4194" i="7"/>
  <c r="AH4195" i="7"/>
  <c r="AH4196" i="7"/>
  <c r="AH4197" i="7"/>
  <c r="AH4198" i="7"/>
  <c r="AH4199" i="7"/>
  <c r="AH4200" i="7"/>
  <c r="AH4201" i="7"/>
  <c r="AH4204" i="7"/>
  <c r="AH4206" i="7"/>
  <c r="AH4207" i="7"/>
  <c r="AH4208" i="7"/>
  <c r="AH4209" i="7"/>
  <c r="AH4210" i="7"/>
  <c r="AH4212" i="7"/>
  <c r="AH4213" i="7"/>
  <c r="AH4214" i="7"/>
  <c r="AH4215" i="7"/>
  <c r="AH4216" i="7"/>
  <c r="AH4217" i="7"/>
  <c r="AH4218" i="7"/>
  <c r="AH4219" i="7"/>
  <c r="AH4220" i="7"/>
  <c r="AH4223" i="7"/>
  <c r="AH4224" i="7"/>
  <c r="AH4225" i="7"/>
  <c r="AH4226" i="7"/>
  <c r="AH4227" i="7"/>
  <c r="AH4228" i="7"/>
  <c r="AH4229" i="7"/>
  <c r="AH4230" i="7"/>
  <c r="AH4231" i="7"/>
  <c r="AH4237" i="7"/>
  <c r="AH4238" i="7"/>
  <c r="AH4239" i="7"/>
  <c r="AH4240" i="7"/>
  <c r="AH4241" i="7"/>
  <c r="AH4242" i="7"/>
  <c r="AH4243" i="7"/>
  <c r="AH4244" i="7"/>
  <c r="AH4245" i="7"/>
  <c r="AH4246" i="7"/>
  <c r="AH4247" i="7"/>
  <c r="AH4248" i="7"/>
  <c r="AH4249" i="7"/>
  <c r="AH4250" i="7"/>
  <c r="AH4251" i="7"/>
  <c r="AH4252" i="7"/>
  <c r="AH4253" i="7"/>
  <c r="AH4254" i="7"/>
  <c r="AH4255" i="7"/>
  <c r="AH4256" i="7"/>
  <c r="AH4257" i="7"/>
  <c r="AH4258" i="7"/>
  <c r="AH4259" i="7"/>
  <c r="AH4260" i="7"/>
  <c r="AH4261" i="7"/>
  <c r="AH4262" i="7"/>
  <c r="AH4263" i="7"/>
  <c r="AH4264" i="7"/>
  <c r="AH4265" i="7"/>
  <c r="AH4266" i="7"/>
  <c r="AH4267" i="7"/>
  <c r="AH4268" i="7"/>
  <c r="AH4269" i="7"/>
  <c r="AH4270" i="7"/>
  <c r="AH4271" i="7"/>
  <c r="AH4272" i="7"/>
  <c r="AH4273" i="7"/>
  <c r="AH4274" i="7"/>
  <c r="AH4275" i="7"/>
  <c r="AH4276" i="7"/>
  <c r="AH4277" i="7"/>
  <c r="AH4278" i="7"/>
  <c r="AH4279" i="7"/>
  <c r="AH4280" i="7"/>
  <c r="AH4281" i="7"/>
  <c r="AH4282" i="7"/>
  <c r="AH4283" i="7"/>
  <c r="AH4284" i="7"/>
  <c r="AH4285" i="7"/>
  <c r="AH4286" i="7"/>
  <c r="AH4287" i="7"/>
  <c r="AH4288" i="7"/>
  <c r="AH4289" i="7"/>
  <c r="AH4290" i="7"/>
  <c r="AH4291" i="7"/>
  <c r="AH4292" i="7"/>
  <c r="AH4293" i="7"/>
  <c r="AH4294" i="7"/>
  <c r="AH4295" i="7"/>
  <c r="AH4296" i="7"/>
  <c r="AH4297" i="7"/>
  <c r="AH4298" i="7"/>
  <c r="AH4299" i="7"/>
  <c r="AH4300" i="7"/>
  <c r="AH4301" i="7"/>
  <c r="AH4302" i="7"/>
  <c r="AH4303" i="7"/>
  <c r="AH4304" i="7"/>
  <c r="AH4305" i="7"/>
  <c r="AH4306" i="7"/>
  <c r="AH4307" i="7"/>
  <c r="AH4308" i="7"/>
  <c r="AH4309" i="7"/>
  <c r="AH4310" i="7"/>
  <c r="AH4311" i="7"/>
  <c r="AH4312" i="7"/>
  <c r="AH4313" i="7"/>
  <c r="AH4314" i="7"/>
  <c r="AH4315" i="7"/>
  <c r="AH4316" i="7"/>
  <c r="AH4317" i="7"/>
  <c r="AH4318" i="7"/>
  <c r="AH4319" i="7"/>
  <c r="AH4320" i="7"/>
  <c r="AH4321" i="7"/>
  <c r="AH4322" i="7"/>
  <c r="AH4323" i="7"/>
  <c r="AH4324" i="7"/>
  <c r="AH4325" i="7"/>
  <c r="AH4326" i="7"/>
  <c r="AH4327" i="7"/>
  <c r="AH4328" i="7"/>
  <c r="AH4329" i="7"/>
  <c r="AH4330" i="7"/>
  <c r="AH4331" i="7"/>
  <c r="AH4332" i="7"/>
  <c r="AH4333" i="7"/>
  <c r="AH4334" i="7"/>
  <c r="AH4335" i="7"/>
  <c r="AH4336" i="7"/>
  <c r="AH4337" i="7"/>
  <c r="AH4338" i="7"/>
  <c r="AH4339" i="7"/>
  <c r="AH4340" i="7"/>
  <c r="AH4341" i="7"/>
  <c r="AH4342" i="7"/>
  <c r="AH4343" i="7"/>
  <c r="AH4344" i="7"/>
  <c r="AH4345" i="7"/>
  <c r="AH4346" i="7"/>
  <c r="AH4347" i="7"/>
  <c r="AH4348" i="7"/>
  <c r="AH4349" i="7"/>
  <c r="AH4350" i="7"/>
  <c r="AH4351" i="7"/>
  <c r="AH4352" i="7"/>
  <c r="AH4353" i="7"/>
  <c r="AH4354" i="7"/>
  <c r="AH4355" i="7"/>
  <c r="AH4356" i="7"/>
  <c r="AH4357" i="7"/>
  <c r="AH4358" i="7"/>
  <c r="AH4359" i="7"/>
  <c r="AH4360" i="7"/>
  <c r="AH4361" i="7"/>
  <c r="AH4362" i="7"/>
  <c r="AH4363" i="7"/>
  <c r="AH4365" i="7"/>
  <c r="AH4366" i="7"/>
  <c r="AH4367" i="7"/>
  <c r="AH4368" i="7"/>
  <c r="AH4370" i="7"/>
  <c r="AH4371" i="7"/>
  <c r="AH4372" i="7"/>
  <c r="AH4373" i="7"/>
  <c r="AH4374" i="7"/>
  <c r="AH4375" i="7"/>
  <c r="AH4376" i="7"/>
  <c r="AH4377" i="7"/>
  <c r="AH4379" i="7"/>
  <c r="AH4380" i="7"/>
  <c r="AH4381" i="7"/>
  <c r="AH4382" i="7"/>
  <c r="AH4383" i="7"/>
  <c r="AH4384" i="7"/>
  <c r="AH4385" i="7"/>
  <c r="AH4386" i="7"/>
  <c r="AH4387" i="7"/>
  <c r="AH4388" i="7"/>
  <c r="AH4389" i="7"/>
  <c r="AH4390" i="7"/>
  <c r="AH4391" i="7"/>
  <c r="AH4392" i="7"/>
  <c r="AH4393" i="7"/>
  <c r="AH4394" i="7"/>
  <c r="AH4395" i="7"/>
  <c r="AH4396" i="7"/>
  <c r="AH4397" i="7"/>
  <c r="AH4398" i="7"/>
  <c r="AH4399" i="7"/>
  <c r="AH4400" i="7"/>
  <c r="AH4401" i="7"/>
  <c r="AH4402" i="7"/>
  <c r="AH4403" i="7"/>
  <c r="AH4404" i="7"/>
  <c r="AH4405" i="7"/>
  <c r="AH4406" i="7"/>
  <c r="AH4407" i="7"/>
  <c r="AH4408" i="7"/>
  <c r="AH4409" i="7"/>
  <c r="AH4410" i="7"/>
  <c r="AH4411" i="7"/>
  <c r="AH4412" i="7"/>
  <c r="AH4413" i="7"/>
  <c r="AH4414" i="7"/>
  <c r="AH4415" i="7"/>
  <c r="AH4416" i="7"/>
  <c r="AH4417" i="7"/>
  <c r="AH4418" i="7"/>
  <c r="AH4419" i="7"/>
  <c r="AH4420" i="7"/>
  <c r="AH4421" i="7"/>
  <c r="AH4422" i="7"/>
  <c r="AH4423" i="7"/>
  <c r="AH4424" i="7"/>
  <c r="AH4425" i="7"/>
  <c r="AH4426" i="7"/>
  <c r="AH4427" i="7"/>
  <c r="AH4428" i="7"/>
  <c r="AH4429" i="7"/>
  <c r="AH4430" i="7"/>
  <c r="AH4431" i="7"/>
  <c r="AH4432" i="7"/>
  <c r="AH4433" i="7"/>
  <c r="AH4434" i="7"/>
  <c r="AH4436" i="7"/>
  <c r="AH4437" i="7"/>
  <c r="AH4440" i="7"/>
  <c r="AH4443" i="7"/>
  <c r="AH4444" i="7"/>
  <c r="AH4445" i="7"/>
  <c r="AH4446" i="7"/>
  <c r="AH4447" i="7"/>
  <c r="AH4448" i="7"/>
  <c r="AH4449" i="7"/>
  <c r="AH4450" i="7"/>
  <c r="AH4451" i="7"/>
  <c r="AH4452" i="7"/>
  <c r="AH4453" i="7"/>
  <c r="AH4454" i="7"/>
  <c r="AH4455" i="7"/>
  <c r="AH4456" i="7"/>
  <c r="AH4457" i="7"/>
  <c r="AH4458" i="7"/>
  <c r="AH4459" i="7"/>
  <c r="AH4460" i="7"/>
  <c r="AH4461" i="7"/>
  <c r="AH4462" i="7"/>
  <c r="AH4463" i="7"/>
  <c r="AH4464" i="7"/>
  <c r="AH4465" i="7"/>
  <c r="AH4466" i="7"/>
  <c r="AH4467" i="7"/>
  <c r="AH4468" i="7"/>
  <c r="AH4469" i="7"/>
  <c r="AH4470" i="7"/>
  <c r="AH4472" i="7"/>
  <c r="AH4473" i="7"/>
  <c r="AH4474" i="7"/>
  <c r="AH4476" i="7"/>
  <c r="AH4480" i="7"/>
  <c r="AH4481" i="7"/>
  <c r="AH4482" i="7"/>
  <c r="AH4483" i="7"/>
  <c r="AH4484" i="7"/>
  <c r="AH4485" i="7"/>
  <c r="AH4486" i="7"/>
  <c r="AH4487" i="7"/>
  <c r="AH4488" i="7"/>
  <c r="AH4489" i="7"/>
  <c r="AH4490" i="7"/>
  <c r="AH4491" i="7"/>
  <c r="AH4492" i="7"/>
  <c r="AH4493" i="7"/>
  <c r="AH4494" i="7"/>
  <c r="AH4495" i="7"/>
  <c r="AH4496" i="7"/>
  <c r="AH4497" i="7"/>
  <c r="AH4498" i="7"/>
  <c r="AH4499" i="7"/>
  <c r="AH4500" i="7"/>
  <c r="AH4501" i="7"/>
  <c r="AH4502" i="7"/>
  <c r="AH4503" i="7"/>
  <c r="AH4504" i="7"/>
  <c r="AH4505" i="7"/>
  <c r="AH4506" i="7"/>
  <c r="AH4507" i="7"/>
  <c r="AH4508" i="7"/>
  <c r="AH4509" i="7"/>
  <c r="AH4510" i="7"/>
  <c r="AH4511" i="7"/>
  <c r="AH4512" i="7"/>
  <c r="AH4513" i="7"/>
  <c r="AH4514" i="7"/>
  <c r="AH4515" i="7"/>
  <c r="AH4516" i="7"/>
  <c r="AH4517" i="7"/>
  <c r="AH4518" i="7"/>
  <c r="AH4519" i="7"/>
  <c r="AH4520" i="7"/>
  <c r="AH4521" i="7"/>
  <c r="AH4522" i="7"/>
  <c r="AH4523" i="7"/>
  <c r="AH4525" i="7"/>
  <c r="AH4526" i="7"/>
  <c r="AH4527" i="7"/>
  <c r="AH4528" i="7"/>
  <c r="AH4529" i="7"/>
  <c r="AH4530" i="7"/>
  <c r="AH4531" i="7"/>
  <c r="AH4532" i="7"/>
  <c r="AH4533" i="7"/>
  <c r="AH4534" i="7"/>
  <c r="AH4535" i="7"/>
  <c r="AH4536" i="7"/>
  <c r="AH4537" i="7"/>
  <c r="AH4539" i="7"/>
  <c r="AH4540" i="7"/>
  <c r="AH4542" i="7"/>
  <c r="AH4543" i="7"/>
  <c r="AH4544" i="7"/>
  <c r="AH4545" i="7"/>
  <c r="AH4546" i="7"/>
  <c r="AH4547" i="7"/>
  <c r="AH4548" i="7"/>
  <c r="AH4549" i="7"/>
  <c r="AH4550" i="7"/>
  <c r="AH4551" i="7"/>
  <c r="AH4552" i="7"/>
  <c r="AH4553" i="7"/>
  <c r="AH4554" i="7"/>
  <c r="AH4555" i="7"/>
  <c r="AH4556" i="7"/>
  <c r="AH4557" i="7"/>
  <c r="AH4558" i="7"/>
  <c r="AH4559" i="7"/>
  <c r="AH4560" i="7"/>
  <c r="AH4561" i="7"/>
  <c r="AH4562" i="7"/>
  <c r="AH4563" i="7"/>
  <c r="AH4564" i="7"/>
  <c r="AH4565" i="7"/>
  <c r="AH4566" i="7"/>
  <c r="AH4567" i="7"/>
  <c r="AH4568" i="7"/>
  <c r="AH4569" i="7"/>
  <c r="AH4570" i="7"/>
  <c r="AH4571" i="7"/>
  <c r="AH4572" i="7"/>
  <c r="AH4573" i="7"/>
  <c r="AH4574" i="7"/>
  <c r="AH4575" i="7"/>
  <c r="AH4576" i="7"/>
  <c r="AH4577" i="7"/>
  <c r="AH4578" i="7"/>
  <c r="AH4579" i="7"/>
  <c r="AH4580" i="7"/>
  <c r="AH4581" i="7"/>
  <c r="AH4582" i="7"/>
  <c r="AH4583" i="7"/>
  <c r="AH4584" i="7"/>
  <c r="AH4585" i="7"/>
  <c r="AH4586" i="7"/>
  <c r="AH4587" i="7"/>
  <c r="AH4588" i="7"/>
  <c r="AH4589" i="7"/>
  <c r="AH4590" i="7"/>
  <c r="AH4591" i="7"/>
  <c r="AH4592" i="7"/>
  <c r="AH4593" i="7"/>
  <c r="AH4594" i="7"/>
  <c r="AH4595" i="7"/>
  <c r="AH4596" i="7"/>
  <c r="AH4597" i="7"/>
  <c r="AH4598" i="7"/>
  <c r="AH4600" i="7"/>
  <c r="AH4601" i="7"/>
  <c r="AH4602" i="7"/>
  <c r="AH4603" i="7"/>
  <c r="AH4604" i="7"/>
  <c r="AH4605" i="7"/>
  <c r="AH4606" i="7"/>
  <c r="AH4607" i="7"/>
  <c r="AH4608" i="7"/>
  <c r="AH4609" i="7"/>
  <c r="AH4610" i="7"/>
  <c r="AH4611" i="7"/>
  <c r="AH4615" i="7"/>
  <c r="AH4616" i="7"/>
  <c r="AH4617" i="7"/>
  <c r="AH4618" i="7"/>
  <c r="AH4619" i="7"/>
  <c r="AH4620" i="7"/>
  <c r="AH4621" i="7"/>
  <c r="AH4623" i="7"/>
  <c r="AH4624" i="7"/>
  <c r="AH4625" i="7"/>
  <c r="AH4626" i="7"/>
  <c r="AH4627" i="7"/>
  <c r="AH4628" i="7"/>
  <c r="AH4629" i="7"/>
  <c r="AH4630" i="7"/>
  <c r="AH4631" i="7"/>
  <c r="AH4632" i="7"/>
  <c r="AH4633" i="7"/>
  <c r="AH4634" i="7"/>
  <c r="AH4635" i="7"/>
  <c r="AH4636" i="7"/>
  <c r="AH4637" i="7"/>
  <c r="AH4638" i="7"/>
  <c r="AH4639" i="7"/>
  <c r="AH4640" i="7"/>
  <c r="AH4641" i="7"/>
  <c r="AH4642" i="7"/>
  <c r="AH4643" i="7"/>
  <c r="AH4644" i="7"/>
  <c r="AH4645" i="7"/>
  <c r="AH4646" i="7"/>
  <c r="AH4647" i="7"/>
  <c r="AH4648" i="7"/>
  <c r="AH4649" i="7"/>
  <c r="AH4650" i="7"/>
  <c r="AH4651" i="7"/>
  <c r="AH4652" i="7"/>
  <c r="AH4653" i="7"/>
  <c r="AH4654" i="7"/>
  <c r="AH4655" i="7"/>
  <c r="AH4656" i="7"/>
  <c r="AH4657" i="7"/>
  <c r="AH4658" i="7"/>
  <c r="AH4659" i="7"/>
  <c r="AH4660" i="7"/>
  <c r="AH4661" i="7"/>
  <c r="AH4662" i="7"/>
  <c r="AH4663" i="7"/>
  <c r="AH4664" i="7"/>
  <c r="AH4665" i="7"/>
  <c r="AH4666" i="7"/>
  <c r="AH4667" i="7"/>
  <c r="AH4668" i="7"/>
  <c r="AH4669" i="7"/>
  <c r="AH4670" i="7"/>
  <c r="AH4671" i="7"/>
  <c r="AH4672" i="7"/>
  <c r="AH4674" i="7"/>
  <c r="AH4675" i="7"/>
  <c r="AH4676" i="7"/>
  <c r="AH4677" i="7"/>
  <c r="AH4678" i="7"/>
  <c r="AH4679" i="7"/>
  <c r="AH4680" i="7"/>
  <c r="AH4681" i="7"/>
  <c r="AH4682" i="7"/>
  <c r="AH4683" i="7"/>
  <c r="AH4684" i="7"/>
  <c r="AH4685" i="7"/>
  <c r="AH4687" i="7"/>
  <c r="AH4688" i="7"/>
  <c r="AH4689" i="7"/>
  <c r="AH4690" i="7"/>
  <c r="AH4691" i="7"/>
  <c r="AH4693" i="7"/>
  <c r="AH4694" i="7"/>
  <c r="AH4695" i="7"/>
  <c r="AH4696" i="7"/>
  <c r="AH4697" i="7"/>
  <c r="AH4698" i="7"/>
  <c r="AH4699" i="7"/>
  <c r="AH4700" i="7"/>
  <c r="AH4701" i="7"/>
  <c r="AH4702" i="7"/>
  <c r="AH4703" i="7"/>
  <c r="AH4704" i="7"/>
  <c r="AH4705" i="7"/>
  <c r="AH4706" i="7"/>
  <c r="AH4707" i="7"/>
  <c r="AH4708" i="7"/>
  <c r="AH4709" i="7"/>
  <c r="AH4710" i="7"/>
  <c r="AH4711" i="7"/>
  <c r="AH4712" i="7"/>
  <c r="AH4713" i="7"/>
  <c r="AH4714" i="7"/>
  <c r="AH4715" i="7"/>
  <c r="AH4716" i="7"/>
  <c r="AH4717" i="7"/>
  <c r="AH4718" i="7"/>
  <c r="AH4719" i="7"/>
  <c r="AH4720" i="7"/>
  <c r="AH4721" i="7"/>
  <c r="AH4722" i="7"/>
  <c r="AH4723" i="7"/>
  <c r="AH4724" i="7"/>
  <c r="AH4725" i="7"/>
  <c r="AH4726" i="7"/>
  <c r="AH4727" i="7"/>
  <c r="AH4728" i="7"/>
  <c r="AH4729" i="7"/>
  <c r="AH4730" i="7"/>
  <c r="AH4731" i="7"/>
  <c r="AH4732" i="7"/>
  <c r="AH4733" i="7"/>
  <c r="AH4734" i="7"/>
  <c r="AH4735" i="7"/>
  <c r="AH4736" i="7"/>
  <c r="AH4737" i="7"/>
  <c r="AH4738" i="7"/>
  <c r="AH4740" i="7"/>
  <c r="AH4741" i="7"/>
  <c r="AH4742" i="7"/>
  <c r="AH4743" i="7"/>
  <c r="AH4744" i="7"/>
  <c r="AH4745" i="7"/>
  <c r="AH4746" i="7"/>
  <c r="AH4747" i="7"/>
  <c r="AH4748" i="7"/>
  <c r="AH4749" i="7"/>
  <c r="AH4750" i="7"/>
  <c r="AH4751" i="7"/>
  <c r="AH4752" i="7"/>
  <c r="AH4753" i="7"/>
  <c r="AH4754" i="7"/>
  <c r="AH4755" i="7"/>
  <c r="AH4756" i="7"/>
  <c r="AH4757" i="7"/>
  <c r="AH4758" i="7"/>
  <c r="AH4759" i="7"/>
  <c r="AH4760" i="7"/>
  <c r="AH4761" i="7"/>
  <c r="AH4762" i="7"/>
  <c r="AH4763" i="7"/>
  <c r="AH4764" i="7"/>
  <c r="AH4765" i="7"/>
  <c r="AH4766" i="7"/>
  <c r="AH4767" i="7"/>
  <c r="AH4768" i="7"/>
  <c r="AH4769" i="7"/>
  <c r="AH4770" i="7"/>
  <c r="AH4771" i="7"/>
  <c r="AH4772" i="7"/>
  <c r="AH4773" i="7"/>
  <c r="AH4774" i="7"/>
  <c r="AH4775" i="7"/>
  <c r="AH4776" i="7"/>
  <c r="AH4777" i="7"/>
  <c r="AH4778" i="7"/>
  <c r="AH4780" i="7"/>
  <c r="AH4781" i="7"/>
  <c r="AH4782" i="7"/>
  <c r="AH4783" i="7"/>
  <c r="AH4784" i="7"/>
  <c r="AH4785" i="7"/>
  <c r="AH4786" i="7"/>
  <c r="AH4787" i="7"/>
  <c r="AH4789" i="7"/>
  <c r="AH4790" i="7"/>
  <c r="AH4791" i="7"/>
  <c r="AH4792" i="7"/>
  <c r="AH4793" i="7"/>
  <c r="AH4794" i="7"/>
  <c r="AH4795" i="7"/>
  <c r="AH4796" i="7"/>
  <c r="AH4797" i="7"/>
  <c r="AH4798" i="7"/>
  <c r="AH4799" i="7"/>
  <c r="AH4800" i="7"/>
  <c r="AH4801" i="7"/>
  <c r="AH4802" i="7"/>
  <c r="AH4803" i="7"/>
  <c r="AH4804" i="7"/>
  <c r="AH4805" i="7"/>
  <c r="AH4806" i="7"/>
  <c r="AH4807" i="7"/>
  <c r="AH4808" i="7"/>
  <c r="AH4809" i="7"/>
  <c r="AH4810" i="7"/>
  <c r="AH4811" i="7"/>
  <c r="AH4812" i="7"/>
  <c r="AH4813" i="7"/>
  <c r="AH4814" i="7"/>
  <c r="AH4816" i="7"/>
  <c r="AH4817" i="7"/>
  <c r="AH4818" i="7"/>
  <c r="AH4819" i="7"/>
  <c r="AH4820" i="7"/>
  <c r="AH4821" i="7"/>
  <c r="AH4822" i="7"/>
  <c r="AH4824" i="7"/>
  <c r="AH4825" i="7"/>
  <c r="AH4826" i="7"/>
  <c r="AH4827" i="7"/>
  <c r="AH4828" i="7"/>
  <c r="AH4829" i="7"/>
  <c r="AH4830" i="7"/>
  <c r="AH4831" i="7"/>
  <c r="AH4832" i="7"/>
  <c r="AH4833" i="7"/>
  <c r="AH4834" i="7"/>
  <c r="AH4835" i="7"/>
  <c r="AH4836" i="7"/>
  <c r="AH4837" i="7"/>
  <c r="AH4838" i="7"/>
  <c r="AH4839" i="7"/>
  <c r="AH4840" i="7"/>
  <c r="AH4841" i="7"/>
  <c r="AH4842" i="7"/>
  <c r="AH4843" i="7"/>
  <c r="AH4844" i="7"/>
  <c r="AH4845" i="7"/>
  <c r="AH4846" i="7"/>
  <c r="AH4847" i="7"/>
  <c r="AH4848" i="7"/>
  <c r="AH4849" i="7"/>
  <c r="AH4850" i="7"/>
  <c r="AH4851" i="7"/>
  <c r="AH4852" i="7"/>
  <c r="AH4853" i="7"/>
  <c r="AH4854" i="7"/>
  <c r="AH4855" i="7"/>
  <c r="AH4856" i="7"/>
  <c r="AH4857" i="7"/>
  <c r="AH4858" i="7"/>
  <c r="AH4859" i="7"/>
  <c r="AH4860" i="7"/>
  <c r="AH4863" i="7"/>
  <c r="AH4864" i="7"/>
  <c r="AH4865" i="7"/>
  <c r="AH4868" i="7"/>
  <c r="AH4869" i="7"/>
  <c r="AH4870" i="7"/>
  <c r="AH4871" i="7"/>
  <c r="AH4872" i="7"/>
  <c r="AH4873" i="7"/>
  <c r="AH4874" i="7"/>
  <c r="AH4875" i="7"/>
  <c r="AH4876" i="7"/>
  <c r="AH4877" i="7"/>
  <c r="AH4878" i="7"/>
  <c r="AH4879" i="7"/>
  <c r="AH4880" i="7"/>
  <c r="AH4881" i="7"/>
  <c r="AH4882" i="7"/>
  <c r="AH4883" i="7"/>
  <c r="AH4884" i="7"/>
  <c r="AH4885" i="7"/>
  <c r="AH4886" i="7"/>
  <c r="AH4887" i="7"/>
  <c r="AH4888" i="7"/>
  <c r="AH4891" i="7"/>
  <c r="AH4892" i="7"/>
  <c r="AH4893" i="7"/>
  <c r="AH4894" i="7"/>
  <c r="AH4895" i="7"/>
  <c r="AH4896" i="7"/>
  <c r="AH4897" i="7"/>
  <c r="AH4898" i="7"/>
  <c r="AH4899" i="7"/>
  <c r="AH4900" i="7"/>
  <c r="AH11" i="7"/>
  <c r="D22" i="7" l="1"/>
  <c r="D21" i="7"/>
  <c r="Z21" i="7"/>
  <c r="D24" i="7"/>
  <c r="D400" i="7"/>
  <c r="D399" i="7"/>
  <c r="D52" i="7"/>
  <c r="Z52" i="7"/>
  <c r="D3421" i="7"/>
  <c r="D1536" i="7"/>
  <c r="D4010" i="7"/>
  <c r="D4009" i="7"/>
  <c r="O4009" i="7"/>
  <c r="Z4009" i="7"/>
  <c r="D2384" i="7"/>
  <c r="D1886" i="7"/>
  <c r="D1018" i="7"/>
  <c r="D3083" i="7"/>
  <c r="D1027" i="7"/>
  <c r="Z1027" i="7"/>
  <c r="D4476" i="7"/>
  <c r="D1102" i="7"/>
  <c r="P12" i="12" l="1" a="1"/>
  <c r="P12" i="12" s="1"/>
  <c r="O13" i="12"/>
  <c r="P13" i="12" a="1"/>
  <c r="P13" i="12" s="1"/>
  <c r="O14" i="12"/>
  <c r="P14" i="12" a="1"/>
  <c r="P14" i="12" s="1"/>
  <c r="O15" i="12"/>
  <c r="P15" i="12" a="1"/>
  <c r="P15" i="12" s="1"/>
  <c r="O16" i="12"/>
  <c r="P16" i="12" a="1"/>
  <c r="P16" i="12" s="1"/>
  <c r="O17" i="12"/>
  <c r="P17" i="12" a="1"/>
  <c r="P17" i="12" s="1"/>
  <c r="O18" i="12"/>
  <c r="P18" i="12" a="1"/>
  <c r="P18" i="12" s="1"/>
  <c r="O19" i="12"/>
  <c r="P19" i="12" a="1"/>
  <c r="P19" i="12" s="1"/>
  <c r="O20" i="12"/>
  <c r="P20" i="12" a="1"/>
  <c r="P20" i="12" s="1"/>
  <c r="Y16" i="12"/>
  <c r="Y15" i="12"/>
  <c r="Y20" i="12"/>
  <c r="Y14" i="12"/>
  <c r="Y18" i="12"/>
  <c r="Y12" i="12"/>
  <c r="Y19" i="12"/>
  <c r="Y17" i="12"/>
  <c r="Y13" i="12"/>
  <c r="D738" i="7" l="1"/>
  <c r="D4199" i="7"/>
  <c r="D3369" i="7"/>
  <c r="O3369" i="7"/>
  <c r="Z3369" i="7"/>
  <c r="D4434" i="7"/>
  <c r="Z3313" i="7"/>
  <c r="D3313" i="7"/>
  <c r="D124" i="7"/>
  <c r="Z124" i="7"/>
  <c r="D4626" i="7"/>
  <c r="Z4626" i="7"/>
  <c r="Z1644" i="7"/>
  <c r="D1644" i="7"/>
  <c r="D809" i="7"/>
  <c r="D656" i="7"/>
  <c r="O44" i="12"/>
  <c r="D613" i="7"/>
  <c r="D2451" i="7"/>
  <c r="D2450" i="7"/>
  <c r="D2449" i="7"/>
  <c r="D2446" i="7"/>
  <c r="D2442" i="7"/>
  <c r="Z2442" i="7"/>
  <c r="D615" i="7"/>
  <c r="C4" i="13"/>
  <c r="U10" i="13" s="1"/>
  <c r="AF1880" i="7"/>
  <c r="AC1880" i="7"/>
  <c r="Z1880" i="7"/>
  <c r="L1880" i="7"/>
  <c r="J1880" i="7"/>
  <c r="D1880" i="7"/>
  <c r="Z3304" i="7"/>
  <c r="D3304" i="7"/>
  <c r="D3473" i="7"/>
  <c r="D4472" i="7"/>
  <c r="O26" i="12" l="1"/>
  <c r="Y26" i="12" s="1"/>
  <c r="U19" i="12"/>
  <c r="U15" i="12"/>
  <c r="U16" i="12"/>
  <c r="U13" i="12"/>
  <c r="U14" i="12"/>
  <c r="U17" i="12"/>
  <c r="U20" i="12"/>
  <c r="U12" i="12"/>
  <c r="U18" i="12"/>
  <c r="AF1037" i="7"/>
  <c r="Z1037" i="7"/>
  <c r="J1037" i="7"/>
  <c r="D1037" i="7"/>
  <c r="D1701" i="7"/>
  <c r="O1701" i="7"/>
  <c r="Z1701" i="7"/>
  <c r="D2701" i="7"/>
  <c r="AF2792" i="7"/>
  <c r="AA2792" i="7"/>
  <c r="Z2792" i="7"/>
  <c r="J2792" i="7"/>
  <c r="D2792" i="7"/>
  <c r="Z2149" i="7" l="1"/>
  <c r="O2149" i="7"/>
  <c r="D2149" i="7"/>
  <c r="D2148" i="7"/>
  <c r="O2148" i="7"/>
  <c r="Z2148" i="7"/>
  <c r="AI401" i="7"/>
  <c r="AF401" i="7"/>
  <c r="AE401" i="7"/>
  <c r="Z401" i="7"/>
  <c r="X401" i="7"/>
  <c r="V401" i="7"/>
  <c r="M401" i="7"/>
  <c r="J401" i="7"/>
  <c r="D401" i="7"/>
  <c r="Z768" i="7"/>
  <c r="J768" i="7"/>
  <c r="D768" i="7"/>
  <c r="AA776" i="7"/>
  <c r="AA775" i="7"/>
  <c r="AA774" i="7"/>
  <c r="AA773" i="7"/>
  <c r="AC776" i="7"/>
  <c r="AC775" i="7"/>
  <c r="AC774" i="7"/>
  <c r="AC773" i="7"/>
  <c r="AI563" i="7"/>
  <c r="Z563" i="7"/>
  <c r="J563" i="7"/>
  <c r="D563" i="7"/>
  <c r="Z4473" i="7"/>
  <c r="D4473" i="7"/>
  <c r="AI3478" i="7"/>
  <c r="AF3478" i="7"/>
  <c r="Z3478" i="7"/>
  <c r="M3478" i="7"/>
  <c r="D3478" i="7"/>
  <c r="Z2138" i="7"/>
  <c r="D2138" i="7"/>
  <c r="AF195" i="7"/>
  <c r="AC195" i="7"/>
  <c r="AA195" i="7"/>
  <c r="Z195" i="7"/>
  <c r="X195" i="7"/>
  <c r="M195" i="7"/>
  <c r="D195" i="7"/>
  <c r="L44" i="7"/>
  <c r="J44" i="7"/>
  <c r="D44" i="7"/>
  <c r="Z44" i="7"/>
  <c r="AF1986" i="7"/>
  <c r="AA1986" i="7"/>
  <c r="Z1986" i="7"/>
  <c r="J1986" i="7"/>
  <c r="D2922" i="7"/>
  <c r="AJ1482" i="7"/>
  <c r="D1310" i="7"/>
  <c r="D1309" i="7"/>
  <c r="D1308" i="7"/>
  <c r="D1307" i="7"/>
  <c r="D1306" i="7"/>
  <c r="D1305" i="7"/>
  <c r="D1304" i="7"/>
  <c r="D1303" i="7"/>
  <c r="D1302" i="7"/>
  <c r="D1301" i="7"/>
  <c r="D1300" i="7"/>
  <c r="D1299" i="7"/>
  <c r="D1298" i="7"/>
  <c r="D1297" i="7"/>
  <c r="D1296" i="7"/>
  <c r="D1295" i="7"/>
  <c r="D1294" i="7"/>
  <c r="D1293" i="7"/>
  <c r="D1292" i="7"/>
  <c r="D1291" i="7"/>
  <c r="D1290" i="7"/>
  <c r="D1286" i="7"/>
  <c r="D1285" i="7"/>
  <c r="D1284" i="7"/>
  <c r="D1283" i="7"/>
  <c r="D1282" i="7"/>
  <c r="D1281" i="7"/>
  <c r="D1280" i="7"/>
  <c r="D1279" i="7"/>
  <c r="D1278" i="7"/>
  <c r="D1277" i="7"/>
  <c r="D1276" i="7"/>
  <c r="D1275" i="7"/>
  <c r="D1274" i="7"/>
  <c r="D1273" i="7"/>
  <c r="D1272" i="7"/>
  <c r="D1271" i="7"/>
  <c r="D1270" i="7"/>
  <c r="D1269" i="7"/>
  <c r="D1268" i="7"/>
  <c r="D1267" i="7"/>
  <c r="D1266" i="7"/>
  <c r="D1265" i="7"/>
  <c r="D1264" i="7"/>
  <c r="D1263" i="7"/>
  <c r="D1262" i="7"/>
  <c r="D1261" i="7"/>
  <c r="D1260" i="7"/>
  <c r="D1259" i="7"/>
  <c r="D1258" i="7"/>
  <c r="D1257" i="7"/>
  <c r="D1256" i="7"/>
  <c r="D1255" i="7"/>
  <c r="D1254" i="7"/>
  <c r="D1253" i="7"/>
  <c r="D1252" i="7"/>
  <c r="D1251" i="7"/>
  <c r="D1250" i="7"/>
  <c r="D1249" i="7"/>
  <c r="D1248" i="7"/>
  <c r="D1247" i="7"/>
  <c r="D1246" i="7"/>
  <c r="D1245" i="7"/>
  <c r="D1244" i="7"/>
  <c r="D1243" i="7"/>
  <c r="D1242" i="7"/>
  <c r="D1241" i="7"/>
  <c r="D1240" i="7"/>
  <c r="D1239" i="7"/>
  <c r="D1238" i="7"/>
  <c r="D1237" i="7"/>
  <c r="D1236" i="7"/>
  <c r="D1235" i="7"/>
  <c r="D1234" i="7"/>
  <c r="D1233" i="7"/>
  <c r="D1232" i="7"/>
  <c r="D1231" i="7"/>
  <c r="D1230" i="7"/>
  <c r="D1229" i="7"/>
  <c r="D1228" i="7"/>
  <c r="D1227" i="7"/>
  <c r="D1224" i="7"/>
  <c r="D1223" i="7"/>
  <c r="D1222" i="7"/>
  <c r="D1221" i="7"/>
  <c r="D1220" i="7"/>
  <c r="D1218" i="7"/>
  <c r="D1217" i="7"/>
  <c r="D1216" i="7"/>
  <c r="D1215" i="7"/>
  <c r="D1214" i="7"/>
  <c r="D1213" i="7"/>
  <c r="D1212" i="7"/>
  <c r="D1211" i="7"/>
  <c r="D1210" i="7"/>
  <c r="D1209" i="7"/>
  <c r="D1208" i="7"/>
  <c r="D1207" i="7"/>
  <c r="D1206" i="7"/>
  <c r="D1205" i="7"/>
  <c r="D1204" i="7"/>
  <c r="D1203" i="7"/>
  <c r="D1202" i="7"/>
  <c r="D1201" i="7"/>
  <c r="D1200" i="7"/>
  <c r="D1199" i="7"/>
  <c r="D1198" i="7"/>
  <c r="D1197" i="7"/>
  <c r="D1196" i="7"/>
  <c r="D1195" i="7"/>
  <c r="D1194" i="7"/>
  <c r="D1193" i="7"/>
  <c r="D1192" i="7"/>
  <c r="D1191" i="7"/>
  <c r="D1190" i="7"/>
  <c r="D1189" i="7"/>
  <c r="D1188" i="7"/>
  <c r="D1187" i="7"/>
  <c r="D1186" i="7"/>
  <c r="D1184" i="7"/>
  <c r="D1183" i="7"/>
  <c r="D1181" i="7"/>
  <c r="D1180" i="7"/>
  <c r="D1179" i="7"/>
  <c r="D1178" i="7"/>
  <c r="D1177" i="7"/>
  <c r="D1176" i="7"/>
  <c r="D1175" i="7"/>
  <c r="D1174" i="7"/>
  <c r="D1173" i="7"/>
  <c r="D1172" i="7"/>
  <c r="D1169" i="7"/>
  <c r="D1168" i="7"/>
  <c r="D1167" i="7"/>
  <c r="D1166" i="7"/>
  <c r="D1165" i="7"/>
  <c r="D1164" i="7"/>
  <c r="D1163" i="7"/>
  <c r="D1162" i="7"/>
  <c r="D1161" i="7"/>
  <c r="D1160" i="7"/>
  <c r="D1159" i="7"/>
  <c r="D1158" i="7"/>
  <c r="D1157" i="7"/>
  <c r="D1156" i="7"/>
  <c r="D1155" i="7"/>
  <c r="D1154" i="7"/>
  <c r="D1153" i="7"/>
  <c r="D1152" i="7"/>
  <c r="D1151" i="7"/>
  <c r="D1150" i="7"/>
  <c r="D1149" i="7"/>
  <c r="D1148" i="7"/>
  <c r="D1147" i="7"/>
  <c r="D1146" i="7"/>
  <c r="D1145" i="7"/>
  <c r="D1144" i="7"/>
  <c r="D1143" i="7"/>
  <c r="D1142" i="7"/>
  <c r="D1141" i="7"/>
  <c r="D1140" i="7"/>
  <c r="D1139" i="7"/>
  <c r="D1138" i="7"/>
  <c r="D1137" i="7"/>
  <c r="D1136" i="7"/>
  <c r="D1135" i="7"/>
  <c r="D1134" i="7"/>
  <c r="D1133" i="7"/>
  <c r="D1132" i="7"/>
  <c r="D1131" i="7"/>
  <c r="D1130" i="7"/>
  <c r="D1129" i="7"/>
  <c r="D1128" i="7"/>
  <c r="D1127" i="7"/>
  <c r="D1126" i="7"/>
  <c r="D1125" i="7"/>
  <c r="D1124" i="7"/>
  <c r="D1123" i="7"/>
  <c r="D1122" i="7"/>
  <c r="D1121" i="7"/>
  <c r="D1120" i="7"/>
  <c r="D1119" i="7"/>
  <c r="D1118" i="7"/>
  <c r="D1117" i="7"/>
  <c r="D1116" i="7"/>
  <c r="D1115" i="7"/>
  <c r="D1114" i="7"/>
  <c r="D1113" i="7"/>
  <c r="D1112" i="7"/>
  <c r="D1111" i="7"/>
  <c r="D1110" i="7"/>
  <c r="D1109" i="7"/>
  <c r="D1108" i="7"/>
  <c r="D1106" i="7"/>
  <c r="D1101" i="7"/>
  <c r="D1100" i="7"/>
  <c r="D1099" i="7"/>
  <c r="D1098" i="7"/>
  <c r="D1097" i="7"/>
  <c r="D1096" i="7"/>
  <c r="D1095" i="7"/>
  <c r="D1094" i="7"/>
  <c r="D1093" i="7"/>
  <c r="D1092" i="7"/>
  <c r="D1091" i="7"/>
  <c r="D1090" i="7"/>
  <c r="D1089" i="7"/>
  <c r="D1088" i="7"/>
  <c r="D1087" i="7"/>
  <c r="D1086" i="7"/>
  <c r="D1085" i="7"/>
  <c r="D1084" i="7"/>
  <c r="D1083" i="7"/>
  <c r="D1082" i="7"/>
  <c r="D1081" i="7"/>
  <c r="D1080" i="7"/>
  <c r="D1079" i="7"/>
  <c r="D1078" i="7"/>
  <c r="D1077" i="7"/>
  <c r="D1076" i="7"/>
  <c r="D1075" i="7"/>
  <c r="D1074" i="7"/>
  <c r="D1073" i="7"/>
  <c r="D1072" i="7"/>
  <c r="D1071" i="7"/>
  <c r="D1070" i="7"/>
  <c r="D1069" i="7"/>
  <c r="D1068" i="7"/>
  <c r="D1067" i="7"/>
  <c r="D1066" i="7"/>
  <c r="D1065" i="7"/>
  <c r="D1064" i="7"/>
  <c r="D1063" i="7"/>
  <c r="D1062" i="7"/>
  <c r="D1061" i="7"/>
  <c r="D1060" i="7"/>
  <c r="D1059" i="7"/>
  <c r="D1058" i="7"/>
  <c r="D1057" i="7"/>
  <c r="D1056" i="7"/>
  <c r="D1055" i="7"/>
  <c r="D1054" i="7"/>
  <c r="D1053" i="7"/>
  <c r="D1052" i="7"/>
  <c r="D1051" i="7"/>
  <c r="D1048" i="7"/>
  <c r="D1047" i="7"/>
  <c r="D1046" i="7"/>
  <c r="D1045" i="7"/>
  <c r="D1044" i="7"/>
  <c r="D1043" i="7"/>
  <c r="D1042" i="7"/>
  <c r="D1041" i="7"/>
  <c r="D1039" i="7"/>
  <c r="D1038" i="7"/>
  <c r="D1036" i="7"/>
  <c r="D1035" i="7"/>
  <c r="D1034" i="7"/>
  <c r="D1033" i="7"/>
  <c r="D1032" i="7"/>
  <c r="D1031" i="7"/>
  <c r="D1030" i="7"/>
  <c r="D1029" i="7"/>
  <c r="D1028" i="7"/>
  <c r="D1026" i="7"/>
  <c r="D1025" i="7"/>
  <c r="D1024" i="7"/>
  <c r="D1023" i="7"/>
  <c r="D1022" i="7"/>
  <c r="D1021" i="7"/>
  <c r="D1020" i="7"/>
  <c r="D1019" i="7"/>
  <c r="D1017" i="7"/>
  <c r="D1016" i="7"/>
  <c r="D1015" i="7"/>
  <c r="D1014" i="7"/>
  <c r="D1013" i="7"/>
  <c r="D1012" i="7"/>
  <c r="D1011" i="7"/>
  <c r="D1010" i="7"/>
  <c r="D1009" i="7"/>
  <c r="D1008" i="7"/>
  <c r="D1007" i="7"/>
  <c r="D1006" i="7"/>
  <c r="D1005" i="7"/>
  <c r="D1004" i="7"/>
  <c r="D1003" i="7"/>
  <c r="D1002" i="7"/>
  <c r="D1001" i="7"/>
  <c r="D1000" i="7"/>
  <c r="D998" i="7"/>
  <c r="D997" i="7"/>
  <c r="D996" i="7"/>
  <c r="D995" i="7"/>
  <c r="D994" i="7"/>
  <c r="D993" i="7"/>
  <c r="D992" i="7"/>
  <c r="D991" i="7"/>
  <c r="D990" i="7"/>
  <c r="D989" i="7"/>
  <c r="D988" i="7"/>
  <c r="D987" i="7"/>
  <c r="D984" i="7"/>
  <c r="D983" i="7"/>
  <c r="D982" i="7"/>
  <c r="D981" i="7"/>
  <c r="D980" i="7"/>
  <c r="D979" i="7"/>
  <c r="D978" i="7"/>
  <c r="D977" i="7"/>
  <c r="D976" i="7"/>
  <c r="D975" i="7"/>
  <c r="D974" i="7"/>
  <c r="D973" i="7"/>
  <c r="D972" i="7"/>
  <c r="D971" i="7"/>
  <c r="D970" i="7"/>
  <c r="D969" i="7"/>
  <c r="D968" i="7"/>
  <c r="D967" i="7"/>
  <c r="D965" i="7"/>
  <c r="D964" i="7"/>
  <c r="D963" i="7"/>
  <c r="D962" i="7"/>
  <c r="D961" i="7"/>
  <c r="D960" i="7"/>
  <c r="D959" i="7"/>
  <c r="D958" i="7"/>
  <c r="D957" i="7"/>
  <c r="D956" i="7"/>
  <c r="D955" i="7"/>
  <c r="D954" i="7"/>
  <c r="D953" i="7"/>
  <c r="D952" i="7"/>
  <c r="D951" i="7"/>
  <c r="D950" i="7"/>
  <c r="D949" i="7"/>
  <c r="D948" i="7"/>
  <c r="D947" i="7"/>
  <c r="D946" i="7"/>
  <c r="D945" i="7"/>
  <c r="D944" i="7"/>
  <c r="D943" i="7"/>
  <c r="D942" i="7"/>
  <c r="D941" i="7"/>
  <c r="D940" i="7"/>
  <c r="D939" i="7"/>
  <c r="D938" i="7"/>
  <c r="D937" i="7"/>
  <c r="D936" i="7"/>
  <c r="D935" i="7"/>
  <c r="D934" i="7"/>
  <c r="D933" i="7"/>
  <c r="D932" i="7"/>
  <c r="D931" i="7"/>
  <c r="D930" i="7"/>
  <c r="D929" i="7"/>
  <c r="D928" i="7"/>
  <c r="D927" i="7"/>
  <c r="D926" i="7"/>
  <c r="D925" i="7"/>
  <c r="D924" i="7"/>
  <c r="D923" i="7"/>
  <c r="D921" i="7"/>
  <c r="D920" i="7"/>
  <c r="D919" i="7"/>
  <c r="D918" i="7"/>
  <c r="D917" i="7"/>
  <c r="D916" i="7"/>
  <c r="D915" i="7"/>
  <c r="D914" i="7"/>
  <c r="D912" i="7"/>
  <c r="D911" i="7"/>
  <c r="D910" i="7"/>
  <c r="D909" i="7"/>
  <c r="D908" i="7"/>
  <c r="D907" i="7"/>
  <c r="D906" i="7"/>
  <c r="D905" i="7"/>
  <c r="D904" i="7"/>
  <c r="D903" i="7"/>
  <c r="D902" i="7"/>
  <c r="D901" i="7"/>
  <c r="D900" i="7"/>
  <c r="D899" i="7"/>
  <c r="D898" i="7"/>
  <c r="D897" i="7"/>
  <c r="D896" i="7"/>
  <c r="D895" i="7"/>
  <c r="D894" i="7"/>
  <c r="D893" i="7"/>
  <c r="D892" i="7"/>
  <c r="D891" i="7"/>
  <c r="D890" i="7"/>
  <c r="D888" i="7"/>
  <c r="D887" i="7"/>
  <c r="D886" i="7"/>
  <c r="D885" i="7"/>
  <c r="D884" i="7"/>
  <c r="D883" i="7"/>
  <c r="D882" i="7"/>
  <c r="D881" i="7"/>
  <c r="D880" i="7"/>
  <c r="D879" i="7"/>
  <c r="D878" i="7"/>
  <c r="D877" i="7"/>
  <c r="D876" i="7"/>
  <c r="D875" i="7"/>
  <c r="D874" i="7"/>
  <c r="D873" i="7"/>
  <c r="D872" i="7"/>
  <c r="D871" i="7"/>
  <c r="D870" i="7"/>
  <c r="D869" i="7"/>
  <c r="D868" i="7"/>
  <c r="D867" i="7"/>
  <c r="D866" i="7"/>
  <c r="D865" i="7"/>
  <c r="D864" i="7"/>
  <c r="D863" i="7"/>
  <c r="D862" i="7"/>
  <c r="D855" i="7"/>
  <c r="D854" i="7"/>
  <c r="D853" i="7"/>
  <c r="D852" i="7"/>
  <c r="D851" i="7"/>
  <c r="D850" i="7"/>
  <c r="D849" i="7"/>
  <c r="D848" i="7"/>
  <c r="D847" i="7"/>
  <c r="D846" i="7"/>
  <c r="D845" i="7"/>
  <c r="D844" i="7"/>
  <c r="D843" i="7"/>
  <c r="D842" i="7"/>
  <c r="D841" i="7"/>
  <c r="D840" i="7"/>
  <c r="D839" i="7"/>
  <c r="D838" i="7"/>
  <c r="D837" i="7"/>
  <c r="D836" i="7"/>
  <c r="D835" i="7"/>
  <c r="D834" i="7"/>
  <c r="D833" i="7"/>
  <c r="D832" i="7"/>
  <c r="D831" i="7"/>
  <c r="D830" i="7"/>
  <c r="D829" i="7"/>
  <c r="D828" i="7"/>
  <c r="D827" i="7"/>
  <c r="D826" i="7"/>
  <c r="D825" i="7"/>
  <c r="D824" i="7"/>
  <c r="D823" i="7"/>
  <c r="D822" i="7"/>
  <c r="D821" i="7"/>
  <c r="D820" i="7"/>
  <c r="D819" i="7"/>
  <c r="D818" i="7"/>
  <c r="D817" i="7"/>
  <c r="D816" i="7"/>
  <c r="D815" i="7"/>
  <c r="D814" i="7"/>
  <c r="D813" i="7"/>
  <c r="D812" i="7"/>
  <c r="D811" i="7"/>
  <c r="D808" i="7"/>
  <c r="D807" i="7"/>
  <c r="D806" i="7"/>
  <c r="D805" i="7"/>
  <c r="D804" i="7"/>
  <c r="D803" i="7"/>
  <c r="D802" i="7"/>
  <c r="D801" i="7"/>
  <c r="D800" i="7"/>
  <c r="D799" i="7"/>
  <c r="D798" i="7"/>
  <c r="D797" i="7"/>
  <c r="D796" i="7"/>
  <c r="D795" i="7"/>
  <c r="D794" i="7"/>
  <c r="D793" i="7"/>
  <c r="D792" i="7"/>
  <c r="D791" i="7"/>
  <c r="D790" i="7"/>
  <c r="D788" i="7"/>
  <c r="D787" i="7"/>
  <c r="D786" i="7"/>
  <c r="D785" i="7"/>
  <c r="D784" i="7"/>
  <c r="D783" i="7"/>
  <c r="D782" i="7"/>
  <c r="D781" i="7"/>
  <c r="D780" i="7"/>
  <c r="D779" i="7"/>
  <c r="D778" i="7"/>
  <c r="D777" i="7"/>
  <c r="D776" i="7"/>
  <c r="D775" i="7"/>
  <c r="D774" i="7"/>
  <c r="D773" i="7"/>
  <c r="D772" i="7"/>
  <c r="D771" i="7"/>
  <c r="D770" i="7"/>
  <c r="D769" i="7"/>
  <c r="D767" i="7"/>
  <c r="D766" i="7"/>
  <c r="D765" i="7"/>
  <c r="D764" i="7"/>
  <c r="D763" i="7"/>
  <c r="D762" i="7"/>
  <c r="D761" i="7"/>
  <c r="D760" i="7"/>
  <c r="D759" i="7"/>
  <c r="D758" i="7"/>
  <c r="D756" i="7"/>
  <c r="D755" i="7"/>
  <c r="D754" i="7"/>
  <c r="D753" i="7"/>
  <c r="D752" i="7"/>
  <c r="D751" i="7"/>
  <c r="D750" i="7"/>
  <c r="D749" i="7"/>
  <c r="D748" i="7"/>
  <c r="D747" i="7"/>
  <c r="D746" i="7"/>
  <c r="D745" i="7"/>
  <c r="D744" i="7"/>
  <c r="D743" i="7"/>
  <c r="D742" i="7"/>
  <c r="D741" i="7"/>
  <c r="D740" i="7"/>
  <c r="D736" i="7"/>
  <c r="D735" i="7"/>
  <c r="D734" i="7"/>
  <c r="D733" i="7"/>
  <c r="D731" i="7"/>
  <c r="D730" i="7"/>
  <c r="D729" i="7"/>
  <c r="D728" i="7"/>
  <c r="D727" i="7"/>
  <c r="D726" i="7"/>
  <c r="D725" i="7"/>
  <c r="D724" i="7"/>
  <c r="D723" i="7"/>
  <c r="D722" i="7"/>
  <c r="D721" i="7"/>
  <c r="D720" i="7"/>
  <c r="D719" i="7"/>
  <c r="D718" i="7"/>
  <c r="D717" i="7"/>
  <c r="D716" i="7"/>
  <c r="D715" i="7"/>
  <c r="D714" i="7"/>
  <c r="D713" i="7"/>
  <c r="D712" i="7"/>
  <c r="D711" i="7"/>
  <c r="D710" i="7"/>
  <c r="D709" i="7"/>
  <c r="D708" i="7"/>
  <c r="D707" i="7"/>
  <c r="D706" i="7"/>
  <c r="D705" i="7"/>
  <c r="D704" i="7"/>
  <c r="D703" i="7"/>
  <c r="D702" i="7"/>
  <c r="D701" i="7"/>
  <c r="D700" i="7"/>
  <c r="D699" i="7"/>
  <c r="D698" i="7"/>
  <c r="D697" i="7"/>
  <c r="D696" i="7"/>
  <c r="D695" i="7"/>
  <c r="D694" i="7"/>
  <c r="D693" i="7"/>
  <c r="D692" i="7"/>
  <c r="D691" i="7"/>
  <c r="D690" i="7"/>
  <c r="D689" i="7"/>
  <c r="D688" i="7"/>
  <c r="D687" i="7"/>
  <c r="D686" i="7"/>
  <c r="D685" i="7"/>
  <c r="D684" i="7"/>
  <c r="D683" i="7"/>
  <c r="D682" i="7"/>
  <c r="D681" i="7"/>
  <c r="D680" i="7"/>
  <c r="D679" i="7"/>
  <c r="D678" i="7"/>
  <c r="D677" i="7"/>
  <c r="D676" i="7"/>
  <c r="D675" i="7"/>
  <c r="D674" i="7"/>
  <c r="D673" i="7"/>
  <c r="D672" i="7"/>
  <c r="D671" i="7"/>
  <c r="D670" i="7"/>
  <c r="D669" i="7"/>
  <c r="D668" i="7"/>
  <c r="D667" i="7"/>
  <c r="D666" i="7"/>
  <c r="D665" i="7"/>
  <c r="D664" i="7"/>
  <c r="D663" i="7"/>
  <c r="D662" i="7"/>
  <c r="D661" i="7"/>
  <c r="D660" i="7"/>
  <c r="D659" i="7"/>
  <c r="D658" i="7"/>
  <c r="D655" i="7"/>
  <c r="D654" i="7"/>
  <c r="D653" i="7"/>
  <c r="D652" i="7"/>
  <c r="D651" i="7"/>
  <c r="D650" i="7"/>
  <c r="D649" i="7"/>
  <c r="D648" i="7"/>
  <c r="D647" i="7"/>
  <c r="D646" i="7"/>
  <c r="D644" i="7"/>
  <c r="D643" i="7"/>
  <c r="D642" i="7"/>
  <c r="D641" i="7"/>
  <c r="D640" i="7"/>
  <c r="D639" i="7"/>
  <c r="D638" i="7"/>
  <c r="D634" i="7"/>
  <c r="D633" i="7"/>
  <c r="D632" i="7"/>
  <c r="D631" i="7"/>
  <c r="D630" i="7"/>
  <c r="D629" i="7"/>
  <c r="D628" i="7"/>
  <c r="D627" i="7"/>
  <c r="D626" i="7"/>
  <c r="D625" i="7"/>
  <c r="D624" i="7"/>
  <c r="D623" i="7"/>
  <c r="D622" i="7"/>
  <c r="D621" i="7"/>
  <c r="D620" i="7"/>
  <c r="D619" i="7"/>
  <c r="D618" i="7"/>
  <c r="D616" i="7"/>
  <c r="D614" i="7"/>
  <c r="D612" i="7"/>
  <c r="D611" i="7"/>
  <c r="D610" i="7"/>
  <c r="D609" i="7"/>
  <c r="D608" i="7"/>
  <c r="D607" i="7"/>
  <c r="D606" i="7"/>
  <c r="D605" i="7"/>
  <c r="D604" i="7"/>
  <c r="D602" i="7"/>
  <c r="D601" i="7"/>
  <c r="D600" i="7"/>
  <c r="D599" i="7"/>
  <c r="D597" i="7"/>
  <c r="D595" i="7"/>
  <c r="D594" i="7"/>
  <c r="D588" i="7"/>
  <c r="D587" i="7"/>
  <c r="D586" i="7"/>
  <c r="D585" i="7"/>
  <c r="D584" i="7"/>
  <c r="D583" i="7"/>
  <c r="D582" i="7"/>
  <c r="D581" i="7"/>
  <c r="D580" i="7"/>
  <c r="D579" i="7"/>
  <c r="D578" i="7"/>
  <c r="D577" i="7"/>
  <c r="D576" i="7"/>
  <c r="D575" i="7"/>
  <c r="D574" i="7"/>
  <c r="D573" i="7"/>
  <c r="D572" i="7"/>
  <c r="D571" i="7"/>
  <c r="D570" i="7"/>
  <c r="D569" i="7"/>
  <c r="D568" i="7"/>
  <c r="D566" i="7"/>
  <c r="D564" i="7"/>
  <c r="D562" i="7"/>
  <c r="D561" i="7"/>
  <c r="D560" i="7"/>
  <c r="D559" i="7"/>
  <c r="D558" i="7"/>
  <c r="D557" i="7"/>
  <c r="D556" i="7"/>
  <c r="D555" i="7"/>
  <c r="D552" i="7"/>
  <c r="D551" i="7"/>
  <c r="D550" i="7"/>
  <c r="D549" i="7"/>
  <c r="D548" i="7"/>
  <c r="D547" i="7"/>
  <c r="D546" i="7"/>
  <c r="D545" i="7"/>
  <c r="D544" i="7"/>
  <c r="D543" i="7"/>
  <c r="D542" i="7"/>
  <c r="D541" i="7"/>
  <c r="D540" i="7"/>
  <c r="D539" i="7"/>
  <c r="D538" i="7"/>
  <c r="D537" i="7"/>
  <c r="D536" i="7"/>
  <c r="D535" i="7"/>
  <c r="D534" i="7"/>
  <c r="D533" i="7"/>
  <c r="D532" i="7"/>
  <c r="D531" i="7"/>
  <c r="D530" i="7"/>
  <c r="D529" i="7"/>
  <c r="D528" i="7"/>
  <c r="D527" i="7"/>
  <c r="D526" i="7"/>
  <c r="D525" i="7"/>
  <c r="D524" i="7"/>
  <c r="D523" i="7"/>
  <c r="D522" i="7"/>
  <c r="D521" i="7"/>
  <c r="D520" i="7"/>
  <c r="D519" i="7"/>
  <c r="D518" i="7"/>
  <c r="D517" i="7"/>
  <c r="D516" i="7"/>
  <c r="D515" i="7"/>
  <c r="D514" i="7"/>
  <c r="D513" i="7"/>
  <c r="D512" i="7"/>
  <c r="D511" i="7"/>
  <c r="D510" i="7"/>
  <c r="D508" i="7"/>
  <c r="D507" i="7"/>
  <c r="D506" i="7"/>
  <c r="D505" i="7"/>
  <c r="D504" i="7"/>
  <c r="D503" i="7"/>
  <c r="D502" i="7"/>
  <c r="D501" i="7"/>
  <c r="D500" i="7"/>
  <c r="D499" i="7"/>
  <c r="D498" i="7"/>
  <c r="D497" i="7"/>
  <c r="D496" i="7"/>
  <c r="D495" i="7"/>
  <c r="D493" i="7"/>
  <c r="D491" i="7"/>
  <c r="D490" i="7"/>
  <c r="D489" i="7"/>
  <c r="D488" i="7"/>
  <c r="D487" i="7"/>
  <c r="D486" i="7"/>
  <c r="D485" i="7"/>
  <c r="D484" i="7"/>
  <c r="D483" i="7"/>
  <c r="D482" i="7"/>
  <c r="D481" i="7"/>
  <c r="D480" i="7"/>
  <c r="D479" i="7"/>
  <c r="D478" i="7"/>
  <c r="D477" i="7"/>
  <c r="D476" i="7"/>
  <c r="D475" i="7"/>
  <c r="D474" i="7"/>
  <c r="D473" i="7"/>
  <c r="D472" i="7"/>
  <c r="D471" i="7"/>
  <c r="D470" i="7"/>
  <c r="D469" i="7"/>
  <c r="D468" i="7"/>
  <c r="D467" i="7"/>
  <c r="D466" i="7"/>
  <c r="D465" i="7"/>
  <c r="D464" i="7"/>
  <c r="D463" i="7"/>
  <c r="D462" i="7"/>
  <c r="D461" i="7"/>
  <c r="D460" i="7"/>
  <c r="D459" i="7"/>
  <c r="D458" i="7"/>
  <c r="D457" i="7"/>
  <c r="D456" i="7"/>
  <c r="D455" i="7"/>
  <c r="D454" i="7"/>
  <c r="D453" i="7"/>
  <c r="D452" i="7"/>
  <c r="D451" i="7"/>
  <c r="D450" i="7"/>
  <c r="D449" i="7"/>
  <c r="D448" i="7"/>
  <c r="D447" i="7"/>
  <c r="D446" i="7"/>
  <c r="D445" i="7"/>
  <c r="D444" i="7"/>
  <c r="D443" i="7"/>
  <c r="D442" i="7"/>
  <c r="D441" i="7"/>
  <c r="D440" i="7"/>
  <c r="D439" i="7"/>
  <c r="D438" i="7"/>
  <c r="D437" i="7"/>
  <c r="D436" i="7"/>
  <c r="D435" i="7"/>
  <c r="D434" i="7"/>
  <c r="D433" i="7"/>
  <c r="D432" i="7"/>
  <c r="D431" i="7"/>
  <c r="D430" i="7"/>
  <c r="D429" i="7"/>
  <c r="D428" i="7"/>
  <c r="D427" i="7"/>
  <c r="D426" i="7"/>
  <c r="D425" i="7"/>
  <c r="D424" i="7"/>
  <c r="D423" i="7"/>
  <c r="D422" i="7"/>
  <c r="D421" i="7"/>
  <c r="D420" i="7"/>
  <c r="D419" i="7"/>
  <c r="D418" i="7"/>
  <c r="D417" i="7"/>
  <c r="D416" i="7"/>
  <c r="D415" i="7"/>
  <c r="D414" i="7"/>
  <c r="D413" i="7"/>
  <c r="D411" i="7"/>
  <c r="D410" i="7"/>
  <c r="D409" i="7"/>
  <c r="D408" i="7"/>
  <c r="D407" i="7"/>
  <c r="D406" i="7"/>
  <c r="D405" i="7"/>
  <c r="D404" i="7"/>
  <c r="D398" i="7"/>
  <c r="D397" i="7"/>
  <c r="D396" i="7"/>
  <c r="D395" i="7"/>
  <c r="D394" i="7"/>
  <c r="D393" i="7"/>
  <c r="D392" i="7"/>
  <c r="D391" i="7"/>
  <c r="D390" i="7"/>
  <c r="D389" i="7"/>
  <c r="D388" i="7"/>
  <c r="D387" i="7"/>
  <c r="D386" i="7"/>
  <c r="D385" i="7"/>
  <c r="D384" i="7"/>
  <c r="D383" i="7"/>
  <c r="D382" i="7"/>
  <c r="D381"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8" i="7"/>
  <c r="D337" i="7"/>
  <c r="D336" i="7"/>
  <c r="D335" i="7"/>
  <c r="D334" i="7"/>
  <c r="D333" i="7"/>
  <c r="D332" i="7"/>
  <c r="D331" i="7"/>
  <c r="D329" i="7"/>
  <c r="D328" i="7"/>
  <c r="D327" i="7"/>
  <c r="D325" i="7"/>
  <c r="D324" i="7"/>
  <c r="D323" i="7"/>
  <c r="D322" i="7"/>
  <c r="D321" i="7"/>
  <c r="D320" i="7"/>
  <c r="D319" i="7"/>
  <c r="D318" i="7"/>
  <c r="D316" i="7"/>
  <c r="D315" i="7"/>
  <c r="D314" i="7"/>
  <c r="D313" i="7"/>
  <c r="D312" i="7"/>
  <c r="D311" i="7"/>
  <c r="D310" i="7"/>
  <c r="D309" i="7"/>
  <c r="D308" i="7"/>
  <c r="D307" i="7"/>
  <c r="D306" i="7"/>
  <c r="D305" i="7"/>
  <c r="D304" i="7"/>
  <c r="D303" i="7"/>
  <c r="D302" i="7"/>
  <c r="D301" i="7"/>
  <c r="D300" i="7"/>
  <c r="D299" i="7"/>
  <c r="D298" i="7"/>
  <c r="D297" i="7"/>
  <c r="D296" i="7"/>
  <c r="D295" i="7"/>
  <c r="D294" i="7"/>
  <c r="D293" i="7"/>
  <c r="D292" i="7"/>
  <c r="D291" i="7"/>
  <c r="D290" i="7"/>
  <c r="D289" i="7"/>
  <c r="D288" i="7"/>
  <c r="D287" i="7"/>
  <c r="D286" i="7"/>
  <c r="D285" i="7"/>
  <c r="D284" i="7"/>
  <c r="D283" i="7"/>
  <c r="D282" i="7"/>
  <c r="D281" i="7"/>
  <c r="D280" i="7"/>
  <c r="D279" i="7"/>
  <c r="D278" i="7"/>
  <c r="D277"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4" i="7"/>
  <c r="D193" i="7"/>
  <c r="D192" i="7"/>
  <c r="D191" i="7"/>
  <c r="D190" i="7"/>
  <c r="D188" i="7"/>
  <c r="D187" i="7"/>
  <c r="D186" i="7"/>
  <c r="D185" i="7"/>
  <c r="D184" i="7"/>
  <c r="D183" i="7"/>
  <c r="D182" i="7"/>
  <c r="D181" i="7"/>
  <c r="D180" i="7"/>
  <c r="D179" i="7"/>
  <c r="D178" i="7"/>
  <c r="D177" i="7"/>
  <c r="D176" i="7"/>
  <c r="D175" i="7"/>
  <c r="D174" i="7"/>
  <c r="D173" i="7"/>
  <c r="D171" i="7"/>
  <c r="D170" i="7"/>
  <c r="D169" i="7"/>
  <c r="D168" i="7"/>
  <c r="D167" i="7"/>
  <c r="D166"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2" i="7"/>
  <c r="D121" i="7"/>
  <c r="D120" i="7"/>
  <c r="D119" i="7"/>
  <c r="D118" i="7"/>
  <c r="D117" i="7"/>
  <c r="D116" i="7"/>
  <c r="D115" i="7"/>
  <c r="D114" i="7"/>
  <c r="D113" i="7"/>
  <c r="D112" i="7"/>
  <c r="D111" i="7"/>
  <c r="D110" i="7"/>
  <c r="D109" i="7"/>
  <c r="D108" i="7"/>
  <c r="D107"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68" i="7"/>
  <c r="D67" i="7"/>
  <c r="D66" i="7"/>
  <c r="D65" i="7"/>
  <c r="D64" i="7"/>
  <c r="D63" i="7"/>
  <c r="D62" i="7"/>
  <c r="D61" i="7"/>
  <c r="D54" i="7"/>
  <c r="D51" i="7"/>
  <c r="D50" i="7"/>
  <c r="D49" i="7"/>
  <c r="D48" i="7"/>
  <c r="D47" i="7"/>
  <c r="D46" i="7"/>
  <c r="D45" i="7"/>
  <c r="D43" i="7"/>
  <c r="D42" i="7"/>
  <c r="D40" i="7"/>
  <c r="D39" i="7"/>
  <c r="D38" i="7"/>
  <c r="D37" i="7"/>
  <c r="D36" i="7"/>
  <c r="D35" i="7"/>
  <c r="D34" i="7"/>
  <c r="D33" i="7"/>
  <c r="D32" i="7"/>
  <c r="D31" i="7"/>
  <c r="D30" i="7"/>
  <c r="D29" i="7"/>
  <c r="D28" i="7"/>
  <c r="D27" i="7"/>
  <c r="D26" i="7"/>
  <c r="D25" i="7"/>
  <c r="D19" i="7"/>
  <c r="D3871" i="7"/>
  <c r="D3874" i="7"/>
  <c r="D3875" i="7"/>
  <c r="J1482" i="7" l="1"/>
  <c r="D1482" i="7"/>
  <c r="Z1482" i="7"/>
  <c r="Z659" i="7"/>
  <c r="AF659" i="7"/>
  <c r="AF597" i="7"/>
  <c r="Z597" i="7"/>
  <c r="M597" i="7"/>
  <c r="AF612" i="7"/>
  <c r="Z612" i="7"/>
  <c r="L612" i="7"/>
  <c r="J612" i="7"/>
  <c r="AI2651" i="7"/>
  <c r="AF2651" i="7"/>
  <c r="AE2651" i="7"/>
  <c r="AA2651" i="7"/>
  <c r="Z2651" i="7"/>
  <c r="M2651" i="7"/>
  <c r="J2651" i="7"/>
  <c r="D2651" i="7"/>
  <c r="AF2576" i="7"/>
  <c r="L2576" i="7"/>
  <c r="J2576" i="7"/>
  <c r="D2576" i="7"/>
  <c r="O32" i="7"/>
  <c r="Z32" i="7"/>
  <c r="AF2734" i="7"/>
  <c r="AA2734" i="7"/>
  <c r="Z2734" i="7"/>
  <c r="L2734" i="7"/>
  <c r="J2734" i="7"/>
  <c r="Z1048" i="7"/>
  <c r="O1048" i="7"/>
  <c r="Z1047" i="7"/>
  <c r="O1047" i="7"/>
  <c r="AF2984" i="7"/>
  <c r="AE2984" i="7"/>
  <c r="Z2984" i="7"/>
  <c r="M2984" i="7"/>
  <c r="J2984" i="7"/>
  <c r="D2984" i="7"/>
  <c r="AF2335" i="7"/>
  <c r="X2335" i="7"/>
  <c r="M2335" i="7"/>
  <c r="D2335" i="7"/>
  <c r="Z2335" i="7"/>
  <c r="AF14" i="12"/>
  <c r="AF15" i="12"/>
  <c r="AF16" i="12"/>
  <c r="AF17" i="12"/>
  <c r="AF18" i="12"/>
  <c r="AF19" i="12"/>
  <c r="AF20" i="12"/>
  <c r="AF12" i="12"/>
  <c r="AF11" i="12"/>
  <c r="AE19" i="13"/>
  <c r="AE18" i="13"/>
  <c r="AE17" i="13"/>
  <c r="AE16" i="13"/>
  <c r="AE15" i="13"/>
  <c r="AE14" i="13"/>
  <c r="AE13" i="13"/>
  <c r="AE12" i="13"/>
  <c r="AE11" i="13"/>
  <c r="AE10" i="13"/>
  <c r="AF13" i="12"/>
  <c r="J2687" i="7"/>
  <c r="Z2687" i="7"/>
  <c r="AA2687" i="7"/>
  <c r="AF2687" i="7"/>
  <c r="D2687" i="7"/>
  <c r="D3359" i="7"/>
  <c r="M1025" i="7"/>
  <c r="AA1025" i="7"/>
  <c r="AF1025" i="7"/>
  <c r="AF3294" i="7"/>
  <c r="Z3294" i="7"/>
  <c r="L3294" i="7"/>
  <c r="J3294" i="7"/>
  <c r="Z3338" i="7"/>
  <c r="J3338" i="7"/>
  <c r="D3338" i="7"/>
  <c r="Z2382" i="7"/>
  <c r="D2382" i="7"/>
  <c r="AI397" i="7"/>
  <c r="AF397" i="7"/>
  <c r="AE397" i="7"/>
  <c r="Z397" i="7"/>
  <c r="X397" i="7"/>
  <c r="V397" i="7"/>
  <c r="M397" i="7"/>
  <c r="J397" i="7"/>
  <c r="AF4198" i="7"/>
  <c r="Z4198" i="7"/>
  <c r="L4198" i="7"/>
  <c r="J4198" i="7"/>
  <c r="D4198" i="7"/>
  <c r="D3763" i="7"/>
  <c r="Z3763" i="7"/>
  <c r="M2927" i="7"/>
  <c r="D2927" i="7"/>
  <c r="O2927" i="7"/>
  <c r="Z2927" i="7"/>
  <c r="R2269" i="7"/>
  <c r="AF2269" i="7"/>
  <c r="M2269" i="7"/>
  <c r="J2269" i="7"/>
  <c r="D2269" i="7"/>
  <c r="O2269" i="7"/>
  <c r="Z2269" i="7"/>
  <c r="M2358" i="7"/>
  <c r="D2358" i="7"/>
  <c r="Z3412" i="7"/>
  <c r="J3412" i="7"/>
  <c r="D3412" i="7"/>
  <c r="Z731" i="7"/>
  <c r="AF731" i="7"/>
  <c r="Z730" i="7"/>
  <c r="AF730" i="7"/>
  <c r="Z658" i="7"/>
  <c r="AF658" i="7"/>
  <c r="Z573" i="7"/>
  <c r="AI573" i="7"/>
  <c r="AI3670" i="7"/>
  <c r="Z3670" i="7"/>
  <c r="D3670" i="7"/>
  <c r="D1404" i="7"/>
  <c r="O171" i="7"/>
  <c r="Z171" i="7"/>
  <c r="D3166" i="7"/>
  <c r="J3166" i="7"/>
  <c r="X3166" i="7"/>
  <c r="Z3166" i="7"/>
  <c r="AF3166" i="7"/>
  <c r="AF1036" i="7"/>
  <c r="J1036" i="7"/>
  <c r="Z1036" i="7"/>
  <c r="M3619" i="7"/>
  <c r="D3619" i="7"/>
  <c r="O2479" i="7"/>
  <c r="Z2479" i="7"/>
  <c r="AF2479" i="7"/>
  <c r="AJ2479" i="7"/>
  <c r="D2479" i="7"/>
  <c r="O54" i="7" l="1"/>
  <c r="Z54" i="7"/>
  <c r="AI1181" i="7"/>
  <c r="Z1181" i="7"/>
  <c r="J1181" i="7"/>
  <c r="J2735" i="7"/>
  <c r="L2735" i="7"/>
  <c r="Z2735" i="7"/>
  <c r="AA2735" i="7"/>
  <c r="AF2735" i="7"/>
  <c r="D2735" i="7"/>
  <c r="D3646" i="7"/>
  <c r="Z3646" i="7"/>
  <c r="D3707" i="7" l="1"/>
  <c r="N3707" i="7"/>
  <c r="Z3707" i="7"/>
  <c r="AC3707" i="7"/>
  <c r="AF3707" i="7"/>
  <c r="D3708" i="7"/>
  <c r="N3708" i="7"/>
  <c r="Z3708" i="7"/>
  <c r="AC3708" i="7"/>
  <c r="AF3708" i="7"/>
  <c r="Z1262" i="7"/>
  <c r="AF1262" i="7"/>
  <c r="D3302" i="7"/>
  <c r="J3302" i="7"/>
  <c r="Z3302" i="7"/>
  <c r="AF3302" i="7"/>
  <c r="AF1520" i="7"/>
  <c r="Z1520" i="7"/>
  <c r="W1520" i="7"/>
  <c r="L1520" i="7"/>
  <c r="D1520" i="7"/>
  <c r="AC4" i="3" a="1"/>
  <c r="AC4" i="3" s="1"/>
  <c r="Z1045" i="7"/>
  <c r="D4213" i="7"/>
  <c r="L4213" i="7"/>
  <c r="W4213" i="7"/>
  <c r="Z4213" i="7"/>
  <c r="AF4213" i="7"/>
  <c r="AI1186" i="7"/>
  <c r="Z1186" i="7"/>
  <c r="J1186" i="7"/>
  <c r="Z774" i="7"/>
  <c r="O774" i="7"/>
  <c r="M774" i="7"/>
  <c r="M3700" i="7"/>
  <c r="O587" i="7"/>
  <c r="O586" i="7"/>
  <c r="N600" i="7" l="1"/>
  <c r="D1683" i="7"/>
  <c r="O1683" i="7"/>
  <c r="Z1683" i="7"/>
  <c r="D2921" i="7"/>
  <c r="D2920" i="7"/>
  <c r="J2537" i="7"/>
  <c r="D2537" i="7"/>
  <c r="M3718" i="7"/>
  <c r="M3717" i="7"/>
  <c r="D3718" i="7"/>
  <c r="O3718" i="7"/>
  <c r="Z3718" i="7"/>
  <c r="D3717" i="7"/>
  <c r="O3717" i="7"/>
  <c r="Z3717" i="7"/>
  <c r="AC1618" i="7"/>
  <c r="Z1618" i="7"/>
  <c r="X1618" i="7"/>
  <c r="L1618" i="7"/>
  <c r="J1618" i="7"/>
  <c r="D1618" i="7"/>
  <c r="AA3131" i="7"/>
  <c r="D3131" i="7"/>
  <c r="J3131" i="7"/>
  <c r="M3131" i="7"/>
  <c r="Z3131" i="7"/>
  <c r="AF3131" i="7"/>
  <c r="M2463" i="7"/>
  <c r="D2463" i="7"/>
  <c r="O2463" i="7"/>
  <c r="Z2463" i="7"/>
  <c r="D3024" i="7"/>
  <c r="O3024" i="7"/>
  <c r="Z3024" i="7"/>
  <c r="D2461" i="7"/>
  <c r="O2461" i="7"/>
  <c r="Z2461" i="7"/>
  <c r="D3416" i="7"/>
  <c r="Z3416" i="7"/>
  <c r="Z1169" i="7" l="1"/>
  <c r="T243" i="21" l="1"/>
  <c r="T242" i="21"/>
  <c r="B214" i="21"/>
  <c r="B212" i="21"/>
  <c r="B211" i="21"/>
  <c r="B210" i="21"/>
  <c r="B209" i="21"/>
  <c r="B208" i="21"/>
  <c r="A203" i="21"/>
  <c r="B27" i="21"/>
  <c r="C26" i="21"/>
  <c r="B23" i="21"/>
  <c r="O2376" i="7"/>
  <c r="Z2817" i="7"/>
  <c r="L2817" i="7"/>
  <c r="J2817" i="7"/>
  <c r="D2817" i="7"/>
  <c r="AF3292" i="7"/>
  <c r="Z3292" i="7"/>
  <c r="L3292" i="7"/>
  <c r="J3292" i="7"/>
  <c r="D3292" i="7"/>
  <c r="J4283" i="7"/>
  <c r="J4284" i="7"/>
  <c r="J4285" i="7"/>
  <c r="J4286" i="7"/>
  <c r="J4287" i="7"/>
  <c r="D2376" i="7"/>
  <c r="Z2376" i="7"/>
  <c r="D3510" i="7"/>
  <c r="Z3510" i="7"/>
  <c r="L2619" i="7"/>
  <c r="D2619" i="7"/>
  <c r="Z2619" i="7"/>
  <c r="D3134" i="7"/>
  <c r="Z3134" i="7"/>
  <c r="T4087" i="7"/>
  <c r="X4087" i="7"/>
  <c r="M4087" i="7"/>
  <c r="AF4087" i="7"/>
  <c r="AA4087" i="7"/>
  <c r="J4668" i="7"/>
  <c r="J4669" i="7"/>
  <c r="D4087" i="7"/>
  <c r="O4087" i="7"/>
  <c r="Z1931" i="7"/>
  <c r="X1931" i="7"/>
  <c r="L1931" i="7"/>
  <c r="J1931" i="7"/>
  <c r="D1931" i="7"/>
  <c r="D3912" i="7"/>
  <c r="O3912" i="7"/>
  <c r="Z3912" i="7"/>
  <c r="AI4537" i="7"/>
  <c r="AF4537" i="7"/>
  <c r="AA4537" i="7"/>
  <c r="Z4537" i="7"/>
  <c r="M4537" i="7"/>
  <c r="J4537" i="7"/>
  <c r="D4537" i="7"/>
  <c r="AF4043" i="7"/>
  <c r="J4043" i="7"/>
  <c r="D4043" i="7"/>
  <c r="Z4043" i="7"/>
  <c r="D1505" i="7"/>
  <c r="J1505" i="7"/>
  <c r="Z1505" i="7"/>
  <c r="AA1505" i="7"/>
  <c r="AC2200" i="7"/>
  <c r="Z2200" i="7"/>
  <c r="L2200" i="7"/>
  <c r="J2200" i="7"/>
  <c r="D2200" i="7"/>
  <c r="AA4602" i="7"/>
  <c r="Z4602" i="7"/>
  <c r="M4602" i="7"/>
  <c r="J4602" i="7"/>
  <c r="D4602" i="7"/>
  <c r="J1246" i="7"/>
  <c r="D1980" i="7"/>
  <c r="J1980" i="7"/>
  <c r="L1980" i="7"/>
  <c r="Z1980" i="7"/>
  <c r="AF1980" i="7"/>
  <c r="J35" i="7"/>
  <c r="M35" i="7"/>
  <c r="Z35" i="7"/>
  <c r="Z1246" i="7"/>
  <c r="D2819" i="7"/>
  <c r="J2819" i="7"/>
  <c r="L2819" i="7"/>
  <c r="Z2819" i="7"/>
  <c r="D4150" i="7"/>
  <c r="J4150" i="7"/>
  <c r="M4150" i="7"/>
  <c r="Z4150" i="7"/>
  <c r="AF4150" i="7"/>
  <c r="AI4150" i="7"/>
  <c r="Z2863" i="7"/>
  <c r="L2863" i="7"/>
  <c r="J2863" i="7"/>
  <c r="D2863" i="7"/>
  <c r="Z3315" i="7" l="1"/>
  <c r="J3315" i="7"/>
  <c r="D3315" i="7"/>
  <c r="Z2916" i="7"/>
  <c r="X2916" i="7"/>
  <c r="M2916" i="7"/>
  <c r="J2916" i="7"/>
  <c r="D2916" i="7"/>
  <c r="AF4864" i="7"/>
  <c r="AA4864" i="7"/>
  <c r="Z4864" i="7"/>
  <c r="M4864" i="7"/>
  <c r="J4864" i="7"/>
  <c r="D4864" i="7"/>
  <c r="J40" i="7"/>
  <c r="Z40" i="7"/>
  <c r="AI4424" i="7"/>
  <c r="AF4424" i="7"/>
  <c r="Z4424" i="7"/>
  <c r="L4424" i="7"/>
  <c r="J4424" i="7"/>
  <c r="D4424" i="7"/>
  <c r="AF654" i="7"/>
  <c r="AA654" i="7"/>
  <c r="Z654" i="7"/>
  <c r="L654" i="7"/>
  <c r="J654" i="7"/>
  <c r="D2531" i="7"/>
  <c r="J2531" i="7"/>
  <c r="M2531" i="7"/>
  <c r="Z2531" i="7"/>
  <c r="AF2531" i="7"/>
  <c r="AF3231" i="7"/>
  <c r="Z3231" i="7"/>
  <c r="M3231" i="7"/>
  <c r="J3231" i="7"/>
  <c r="D3231" i="7"/>
  <c r="J3088" i="7"/>
  <c r="AA3088" i="7"/>
  <c r="AF3088" i="7"/>
  <c r="M3088" i="7"/>
  <c r="D3088" i="7"/>
  <c r="Z3088" i="7"/>
  <c r="AI2650" i="7"/>
  <c r="AF2650" i="7"/>
  <c r="AE2650" i="7"/>
  <c r="AA2650" i="7"/>
  <c r="Z2650" i="7"/>
  <c r="M2650" i="7"/>
  <c r="J2650" i="7"/>
  <c r="D2650" i="7"/>
  <c r="AF3165" i="7"/>
  <c r="Z3165" i="7"/>
  <c r="X3165" i="7"/>
  <c r="J3165" i="7"/>
  <c r="D3165" i="7"/>
  <c r="Z2572" i="7"/>
  <c r="J2572" i="7"/>
  <c r="D2572" i="7"/>
  <c r="AM11" i="7" a="1"/>
  <c r="AM11" i="7" s="1"/>
  <c r="AL11" i="7" a="1"/>
  <c r="AL11" i="7" s="1"/>
  <c r="Z2013" i="7" l="1"/>
  <c r="O2013" i="7"/>
  <c r="D2013" i="7"/>
  <c r="AF3082" i="7"/>
  <c r="AA3082" i="7"/>
  <c r="Z3082" i="7"/>
  <c r="J3082" i="7"/>
  <c r="D3082" i="7"/>
  <c r="AF2773" i="7"/>
  <c r="AA2773" i="7"/>
  <c r="Z2773" i="7"/>
  <c r="L2773" i="7"/>
  <c r="J2773" i="7"/>
  <c r="D2773" i="7"/>
  <c r="AI4292" i="7"/>
  <c r="Z4292" i="7"/>
  <c r="D4292" i="7"/>
  <c r="J2573" i="7"/>
  <c r="J2574" i="7"/>
  <c r="J2575" i="7"/>
  <c r="AF2575" i="7"/>
  <c r="AF2574" i="7"/>
  <c r="AF2573" i="7"/>
  <c r="L2573" i="7"/>
  <c r="L2574" i="7"/>
  <c r="L2575" i="7"/>
  <c r="D2573" i="7"/>
  <c r="D2574" i="7"/>
  <c r="D2575" i="7"/>
  <c r="Z4621" i="7"/>
  <c r="D4621" i="7"/>
  <c r="O1257" i="7"/>
  <c r="Z1257" i="7"/>
  <c r="AF2730" i="7"/>
  <c r="AA2730" i="7"/>
  <c r="Z2730" i="7"/>
  <c r="L2730" i="7"/>
  <c r="D2730" i="7"/>
  <c r="D1682" i="7"/>
  <c r="Z1682" i="7"/>
  <c r="D1681" i="7"/>
  <c r="Z1681" i="7"/>
  <c r="D4328" i="7" l="1"/>
  <c r="Z4328" i="7"/>
  <c r="M4863" i="7"/>
  <c r="AF4863" i="7"/>
  <c r="AA4863" i="7"/>
  <c r="J4863" i="7"/>
  <c r="D4863" i="7"/>
  <c r="Z4863" i="7"/>
  <c r="AF1673" i="7"/>
  <c r="Z1673" i="7"/>
  <c r="J1673" i="7"/>
  <c r="D1673" i="7"/>
  <c r="AE105" i="7"/>
  <c r="AE104" i="7"/>
  <c r="AE103" i="7"/>
  <c r="AE102" i="7"/>
  <c r="AE101" i="7"/>
  <c r="AE100" i="7"/>
  <c r="AE99" i="7"/>
  <c r="AE98" i="7"/>
  <c r="AE97" i="7"/>
  <c r="AE96" i="7"/>
  <c r="AE95" i="7"/>
  <c r="AE94" i="7"/>
  <c r="AE93" i="7"/>
  <c r="AI104" i="7"/>
  <c r="AF104" i="7"/>
  <c r="Z104" i="7"/>
  <c r="J104" i="7"/>
  <c r="Z4859" i="7"/>
  <c r="J4859" i="7"/>
  <c r="D4859" i="7"/>
  <c r="AF2545" i="7"/>
  <c r="AF2546" i="7"/>
  <c r="D4151" i="7"/>
  <c r="Z4151" i="7"/>
  <c r="P1330" i="7"/>
  <c r="D1330" i="7"/>
  <c r="Z1330" i="7"/>
  <c r="D4440" i="7"/>
  <c r="Z4440" i="7"/>
  <c r="D4437" i="7"/>
  <c r="Z4437" i="7"/>
  <c r="AF2292" i="7"/>
  <c r="AF2291" i="7"/>
  <c r="D2292" i="7"/>
  <c r="D2291" i="7"/>
  <c r="Z4116" i="7"/>
  <c r="M4116" i="7"/>
  <c r="J4116" i="7"/>
  <c r="D4116" i="7"/>
  <c r="D2542" i="7"/>
  <c r="O2542" i="7"/>
  <c r="Z2542" i="7"/>
  <c r="D2142" i="7"/>
  <c r="O2142" i="7"/>
  <c r="Z2142" i="7"/>
  <c r="J4764" i="7"/>
  <c r="D4764" i="7"/>
  <c r="Z4764" i="7"/>
  <c r="AF1339" i="7"/>
  <c r="M1339" i="7"/>
  <c r="X1339" i="7"/>
  <c r="J1339" i="7"/>
  <c r="D1339" i="7"/>
  <c r="Z1339" i="7"/>
  <c r="AI4811" i="7"/>
  <c r="AF4811" i="7"/>
  <c r="Z4811" i="7"/>
  <c r="M4811" i="7"/>
  <c r="J4811" i="7"/>
  <c r="D4811" i="7"/>
  <c r="Z2918" i="7"/>
  <c r="X2918" i="7"/>
  <c r="M2918" i="7"/>
  <c r="J2918" i="7"/>
  <c r="D2918" i="7"/>
  <c r="Z4825" i="7"/>
  <c r="J4825" i="7"/>
  <c r="D4825" i="7"/>
  <c r="B228" i="21" l="1"/>
  <c r="Z2098" i="7"/>
  <c r="M2098" i="7"/>
  <c r="J2098" i="7"/>
  <c r="D2098" i="7"/>
  <c r="D2519" i="7"/>
  <c r="O2519" i="7"/>
  <c r="Z2519" i="7"/>
  <c r="AF3578" i="7"/>
  <c r="AA3578" i="7"/>
  <c r="Z3578" i="7"/>
  <c r="L3578" i="7"/>
  <c r="J3578" i="7"/>
  <c r="D3578" i="7"/>
  <c r="AF2206" i="7"/>
  <c r="AC2206" i="7"/>
  <c r="Z2206" i="7"/>
  <c r="O2206" i="7"/>
  <c r="L2206" i="7"/>
  <c r="J2206" i="7"/>
  <c r="D2206" i="7"/>
  <c r="AF1255" i="7"/>
  <c r="AB1255" i="7"/>
  <c r="AA1255" i="7"/>
  <c r="Z1255" i="7"/>
  <c r="X1255" i="7"/>
  <c r="M1255" i="7"/>
  <c r="J1255" i="7"/>
  <c r="AF2788" i="7"/>
  <c r="AA2788" i="7"/>
  <c r="Z2788" i="7"/>
  <c r="J2788" i="7"/>
  <c r="D2788" i="7"/>
  <c r="B227" i="21"/>
  <c r="B225" i="21"/>
  <c r="B224" i="21"/>
  <c r="B226" i="21"/>
  <c r="B221" i="21"/>
  <c r="B219" i="21"/>
  <c r="O25" i="12"/>
  <c r="B217" i="21" s="1"/>
  <c r="B220" i="21"/>
  <c r="B222" i="21"/>
  <c r="AF633" i="7"/>
  <c r="Z633" i="7"/>
  <c r="M633" i="7"/>
  <c r="J633" i="7"/>
  <c r="Y31" i="12" l="1"/>
  <c r="B223" i="21"/>
  <c r="O1256" i="7"/>
  <c r="Z1256" i="7"/>
  <c r="Z4856" i="7"/>
  <c r="J4856" i="7"/>
  <c r="D4856" i="7"/>
  <c r="AF2988" i="7" l="1"/>
  <c r="Z2988" i="7"/>
  <c r="M2988" i="7"/>
  <c r="J2988" i="7"/>
  <c r="D2988" i="7"/>
  <c r="AF808" i="7"/>
  <c r="AB808" i="7"/>
  <c r="AA808" i="7"/>
  <c r="Z808" i="7"/>
  <c r="J808" i="7"/>
  <c r="Z4855" i="7"/>
  <c r="J4855" i="7"/>
  <c r="D4855" i="7"/>
  <c r="AF3122" i="7"/>
  <c r="Z3122" i="7"/>
  <c r="M3122" i="7"/>
  <c r="J3122" i="7"/>
  <c r="D3122" i="7"/>
  <c r="J50" i="7"/>
  <c r="Z1555" i="7"/>
  <c r="M1555" i="7"/>
  <c r="J1555" i="7"/>
  <c r="D1555" i="7"/>
  <c r="J3156" i="7"/>
  <c r="X3156" i="7"/>
  <c r="Z3156" i="7"/>
  <c r="AF3156" i="7"/>
  <c r="D3156" i="7"/>
  <c r="D2919" i="7"/>
  <c r="O2919" i="7"/>
  <c r="Z2919" i="7"/>
  <c r="AF594" i="7"/>
  <c r="Z594" i="7"/>
  <c r="M594" i="7"/>
  <c r="AF4433" i="7"/>
  <c r="AA4433" i="7"/>
  <c r="Z4433" i="7"/>
  <c r="X4433" i="7"/>
  <c r="M4433" i="7"/>
  <c r="J4433" i="7"/>
  <c r="D4433" i="7"/>
  <c r="AJ3831" i="7"/>
  <c r="AJ3830" i="7"/>
  <c r="AJ3829" i="7"/>
  <c r="AI3660" i="7" l="1"/>
  <c r="Z3660" i="7"/>
  <c r="L3660" i="7"/>
  <c r="D3660" i="7"/>
  <c r="J2711" i="7"/>
  <c r="J2712" i="7"/>
  <c r="J2713" i="7"/>
  <c r="J2714" i="7"/>
  <c r="J2715" i="7"/>
  <c r="J2716" i="7"/>
  <c r="J2717" i="7"/>
  <c r="J2718" i="7"/>
  <c r="J2719" i="7"/>
  <c r="J2720" i="7"/>
  <c r="J2721" i="7"/>
  <c r="J2722" i="7"/>
  <c r="J2723" i="7"/>
  <c r="B207" i="21"/>
  <c r="AF4609" i="7"/>
  <c r="Z4609" i="7"/>
  <c r="M4609" i="7"/>
  <c r="J4609" i="7"/>
  <c r="D4609" i="7"/>
  <c r="J4820" i="7"/>
  <c r="V4820" i="7"/>
  <c r="AE4820" i="7"/>
  <c r="AA4820" i="7"/>
  <c r="AB4820" i="7"/>
  <c r="M4820" i="7"/>
  <c r="AF4820" i="7"/>
  <c r="Z1751" i="7"/>
  <c r="D4820" i="7"/>
  <c r="Z4820" i="7"/>
  <c r="J1750" i="7"/>
  <c r="M1750" i="7"/>
  <c r="X1750" i="7"/>
  <c r="AF1750" i="7"/>
  <c r="D1750" i="7"/>
  <c r="Z1750" i="7"/>
  <c r="AF3181" i="7"/>
  <c r="AA3181" i="7"/>
  <c r="Z3181" i="7"/>
  <c r="L3181" i="7"/>
  <c r="J3181" i="7"/>
  <c r="D3181" i="7"/>
  <c r="AI1531" i="7"/>
  <c r="Z1531" i="7"/>
  <c r="D1531" i="7"/>
  <c r="Z1139" i="7"/>
  <c r="J1139" i="7"/>
  <c r="Z1138" i="7"/>
  <c r="J1138" i="7"/>
  <c r="J3081" i="7" l="1"/>
  <c r="AA3081" i="7"/>
  <c r="AF3081" i="7"/>
  <c r="D3081" i="7"/>
  <c r="Z3081" i="7"/>
  <c r="AF3230" i="7"/>
  <c r="Z3230" i="7"/>
  <c r="M3230" i="7"/>
  <c r="J3230" i="7"/>
  <c r="D3230" i="7"/>
  <c r="W3817" i="7"/>
  <c r="W3816" i="7"/>
  <c r="W3815" i="7"/>
  <c r="W3814" i="7"/>
  <c r="W3813" i="7"/>
  <c r="AI3817" i="7"/>
  <c r="AI3816" i="7"/>
  <c r="AI3815" i="7"/>
  <c r="AI3814" i="7"/>
  <c r="AI3813" i="7"/>
  <c r="AI3812" i="7"/>
  <c r="AF3817" i="7"/>
  <c r="Z3817" i="7"/>
  <c r="O3817" i="7"/>
  <c r="J3817" i="7"/>
  <c r="D3817" i="7"/>
  <c r="AF3816" i="7"/>
  <c r="Z3816" i="7"/>
  <c r="O3816" i="7"/>
  <c r="J3816" i="7"/>
  <c r="D3816" i="7"/>
  <c r="AF3815" i="7"/>
  <c r="Z3815" i="7"/>
  <c r="O3815" i="7"/>
  <c r="J3815" i="7"/>
  <c r="D3815" i="7"/>
  <c r="AF3814" i="7"/>
  <c r="Z3814" i="7"/>
  <c r="O3814" i="7"/>
  <c r="J3814" i="7"/>
  <c r="D3814" i="7"/>
  <c r="AF3813" i="7"/>
  <c r="Z3813" i="7"/>
  <c r="O3813" i="7"/>
  <c r="J3813" i="7"/>
  <c r="D3813" i="7"/>
  <c r="J3812" i="7"/>
  <c r="W3812" i="7"/>
  <c r="AF3812" i="7"/>
  <c r="D3812" i="7"/>
  <c r="O3812" i="7"/>
  <c r="Z3812" i="7"/>
  <c r="D4275" i="7"/>
  <c r="Z4275" i="7"/>
  <c r="R6" i="12"/>
  <c r="D4036" i="7"/>
  <c r="O4036" i="7"/>
  <c r="Z4036" i="7"/>
  <c r="AA1506" i="7"/>
  <c r="Z1506" i="7"/>
  <c r="J1506" i="7"/>
  <c r="D1506" i="7"/>
  <c r="Z46" i="7"/>
  <c r="J46" i="7"/>
  <c r="J45" i="7"/>
  <c r="Z45" i="7"/>
  <c r="D4870" i="7"/>
  <c r="Z4870" i="7"/>
  <c r="D4869" i="7"/>
  <c r="Z4869" i="7"/>
  <c r="AF2989" i="7"/>
  <c r="AE2989" i="7"/>
  <c r="Z2989" i="7"/>
  <c r="M2989" i="7"/>
  <c r="J2989" i="7"/>
  <c r="D2989" i="7"/>
  <c r="Z2014" i="7"/>
  <c r="O2014" i="7"/>
  <c r="D2014" i="7"/>
  <c r="D2012" i="7"/>
  <c r="O2012" i="7"/>
  <c r="Z2012" i="7"/>
  <c r="AJ2019" i="7"/>
  <c r="AF2019" i="7"/>
  <c r="Z2019" i="7"/>
  <c r="O2019" i="7"/>
  <c r="L2019" i="7"/>
  <c r="D2019" i="7"/>
  <c r="AF3648" i="7"/>
  <c r="AA3648" i="7"/>
  <c r="Z3648" i="7"/>
  <c r="M3648" i="7"/>
  <c r="J3648" i="7"/>
  <c r="D3648" i="7"/>
  <c r="AC2194" i="7"/>
  <c r="Z2194" i="7"/>
  <c r="L2194" i="7"/>
  <c r="J2194" i="7"/>
  <c r="D2194" i="7"/>
  <c r="AJ4792" i="7"/>
  <c r="AF4792" i="7"/>
  <c r="AA4792" i="7"/>
  <c r="Z4792" i="7"/>
  <c r="O4792" i="7"/>
  <c r="L4792" i="7"/>
  <c r="D4792" i="7"/>
  <c r="J2540" i="7"/>
  <c r="D2540" i="7"/>
  <c r="Z316" i="7"/>
  <c r="J316" i="7"/>
  <c r="AF4001" i="7"/>
  <c r="Z4001" i="7"/>
  <c r="X4001" i="7"/>
  <c r="D4001" i="7"/>
  <c r="AF3066" i="7"/>
  <c r="Z3066" i="7"/>
  <c r="M3066" i="7"/>
  <c r="J3066" i="7"/>
  <c r="D3066" i="7"/>
  <c r="D2700" i="7"/>
  <c r="J2700" i="7"/>
  <c r="L2700" i="7"/>
  <c r="Z2700" i="7"/>
  <c r="AF2700" i="7"/>
  <c r="D4148" i="7" l="1"/>
  <c r="J4148" i="7"/>
  <c r="M4148" i="7"/>
  <c r="Z4148" i="7"/>
  <c r="AF4148" i="7"/>
  <c r="AI4148" i="7"/>
  <c r="D3873" i="7"/>
  <c r="J3873" i="7"/>
  <c r="X3873" i="7"/>
  <c r="Z3873" i="7"/>
  <c r="AF3873" i="7"/>
  <c r="D2690" i="7"/>
  <c r="J2690" i="7"/>
  <c r="Z2690" i="7"/>
  <c r="AA2690" i="7"/>
  <c r="AF2690" i="7"/>
  <c r="K121" i="20"/>
  <c r="J121" i="20"/>
  <c r="K120" i="20"/>
  <c r="J120" i="20"/>
  <c r="C120" i="20"/>
  <c r="K119" i="20"/>
  <c r="J119" i="20"/>
  <c r="C119" i="20"/>
  <c r="K118" i="20"/>
  <c r="J118" i="20"/>
  <c r="C118" i="20"/>
  <c r="K117" i="20"/>
  <c r="J117" i="20"/>
  <c r="K116" i="20"/>
  <c r="J116" i="20"/>
  <c r="C115" i="20"/>
  <c r="E115" i="20" s="1"/>
  <c r="K114" i="20"/>
  <c r="J114" i="20"/>
  <c r="K113" i="20"/>
  <c r="J113" i="20"/>
  <c r="K112" i="20"/>
  <c r="E112" i="20" s="1"/>
  <c r="J112" i="20"/>
  <c r="D112" i="20" s="1"/>
  <c r="K107" i="20"/>
  <c r="J107" i="20"/>
  <c r="C107" i="20"/>
  <c r="K106" i="20"/>
  <c r="J106" i="20"/>
  <c r="C106" i="20"/>
  <c r="K105" i="20"/>
  <c r="J105" i="20"/>
  <c r="C105" i="20"/>
  <c r="K104" i="20"/>
  <c r="J104" i="20"/>
  <c r="K103" i="20"/>
  <c r="J103" i="20"/>
  <c r="C102" i="20"/>
  <c r="E102" i="20" s="1"/>
  <c r="K101" i="20"/>
  <c r="J101" i="20"/>
  <c r="K100" i="20"/>
  <c r="J100" i="20"/>
  <c r="K94" i="20"/>
  <c r="J94" i="20"/>
  <c r="C94" i="20"/>
  <c r="K93" i="20"/>
  <c r="J93" i="20"/>
  <c r="C93" i="20"/>
  <c r="K92" i="20"/>
  <c r="J92" i="20"/>
  <c r="C92" i="20"/>
  <c r="K91" i="20"/>
  <c r="J91" i="20"/>
  <c r="K90" i="20"/>
  <c r="J90" i="20"/>
  <c r="C89" i="20"/>
  <c r="E89" i="20" s="1"/>
  <c r="K88" i="20"/>
  <c r="J88" i="20"/>
  <c r="K87" i="20"/>
  <c r="J87" i="20"/>
  <c r="E80" i="20"/>
  <c r="D80" i="20"/>
  <c r="E78" i="20"/>
  <c r="D78" i="20"/>
  <c r="E77" i="20"/>
  <c r="D77" i="20"/>
  <c r="E76" i="20"/>
  <c r="D76" i="20"/>
  <c r="E75" i="20"/>
  <c r="D75" i="20"/>
  <c r="E74" i="20"/>
  <c r="D74" i="20"/>
  <c r="E73" i="20"/>
  <c r="D73" i="20"/>
  <c r="E72" i="20"/>
  <c r="D72" i="20"/>
  <c r="E71" i="20"/>
  <c r="D71" i="20"/>
  <c r="E70" i="20"/>
  <c r="D70" i="20"/>
  <c r="E69" i="20"/>
  <c r="D69" i="20"/>
  <c r="E68" i="20"/>
  <c r="D68" i="20"/>
  <c r="E67" i="20"/>
  <c r="D67" i="20"/>
  <c r="E66" i="20"/>
  <c r="D66" i="20"/>
  <c r="E65" i="20"/>
  <c r="D65" i="20"/>
  <c r="E64" i="20"/>
  <c r="D64" i="20"/>
  <c r="E63" i="20"/>
  <c r="D63" i="20"/>
  <c r="E62" i="20"/>
  <c r="D62" i="20"/>
  <c r="E61" i="20"/>
  <c r="D61" i="20"/>
  <c r="E60" i="20"/>
  <c r="D60" i="20"/>
  <c r="E59" i="20"/>
  <c r="D59" i="20"/>
  <c r="E58" i="20"/>
  <c r="D58" i="20"/>
  <c r="E57" i="20"/>
  <c r="D57" i="20"/>
  <c r="E56" i="20"/>
  <c r="D56" i="20"/>
  <c r="E55" i="20"/>
  <c r="D55" i="20"/>
  <c r="E54" i="20"/>
  <c r="D54" i="20"/>
  <c r="E53" i="20"/>
  <c r="D53" i="20"/>
  <c r="E52" i="20"/>
  <c r="D52" i="20"/>
  <c r="E51" i="20"/>
  <c r="D51" i="20"/>
  <c r="E50" i="20"/>
  <c r="D50" i="20"/>
  <c r="E49" i="20"/>
  <c r="D49" i="20"/>
  <c r="E48" i="20"/>
  <c r="D48" i="20"/>
  <c r="E47" i="20"/>
  <c r="D47" i="20"/>
  <c r="E46" i="20"/>
  <c r="D46" i="20"/>
  <c r="E45" i="20"/>
  <c r="D45" i="20"/>
  <c r="E44" i="20"/>
  <c r="D44" i="20"/>
  <c r="E43" i="20"/>
  <c r="D43" i="20"/>
  <c r="E42" i="20"/>
  <c r="D42" i="20"/>
  <c r="E41" i="20"/>
  <c r="D41" i="20"/>
  <c r="E40" i="20"/>
  <c r="D40" i="20"/>
  <c r="E39" i="20"/>
  <c r="D39" i="20"/>
  <c r="E38" i="20"/>
  <c r="D38" i="20"/>
  <c r="E37" i="20"/>
  <c r="D37" i="20"/>
  <c r="E36" i="20"/>
  <c r="D36" i="20"/>
  <c r="E35" i="20"/>
  <c r="D35" i="20"/>
  <c r="E34" i="20"/>
  <c r="D34" i="20"/>
  <c r="E33" i="20"/>
  <c r="D33" i="20"/>
  <c r="E32" i="20"/>
  <c r="D32" i="20"/>
  <c r="E31" i="20"/>
  <c r="D31" i="20"/>
  <c r="E30" i="20"/>
  <c r="D30" i="20"/>
  <c r="E29" i="20"/>
  <c r="D29" i="20"/>
  <c r="E28" i="20"/>
  <c r="D28" i="20"/>
  <c r="E27" i="20"/>
  <c r="D27" i="20"/>
  <c r="E26" i="20"/>
  <c r="D26" i="20"/>
  <c r="E25" i="20"/>
  <c r="D25" i="20"/>
  <c r="E24" i="20"/>
  <c r="D24" i="20"/>
  <c r="E23" i="20"/>
  <c r="D23" i="20"/>
  <c r="E22" i="20"/>
  <c r="D22" i="20"/>
  <c r="E18" i="20"/>
  <c r="D18" i="20"/>
  <c r="F14" i="20"/>
  <c r="R13" i="20"/>
  <c r="Q13" i="20"/>
  <c r="O13" i="20"/>
  <c r="N13" i="20"/>
  <c r="F13" i="20"/>
  <c r="R12" i="20"/>
  <c r="Q12" i="20"/>
  <c r="O12" i="20"/>
  <c r="N12" i="20"/>
  <c r="F12" i="20"/>
  <c r="R11" i="20"/>
  <c r="Q11" i="20"/>
  <c r="O11" i="20"/>
  <c r="N11" i="20"/>
  <c r="F11" i="20"/>
  <c r="X3893" i="7"/>
  <c r="X3892" i="7"/>
  <c r="X3891" i="7"/>
  <c r="X3890" i="7"/>
  <c r="X3889" i="7"/>
  <c r="X3888" i="7"/>
  <c r="X3887" i="7"/>
  <c r="X3886" i="7"/>
  <c r="L4558" i="7"/>
  <c r="D4558" i="7"/>
  <c r="O4558" i="7"/>
  <c r="Z4558" i="7"/>
  <c r="AA2370" i="7"/>
  <c r="AF2370" i="7"/>
  <c r="L2370" i="7"/>
  <c r="D2370" i="7"/>
  <c r="O2370" i="7"/>
  <c r="Z2370" i="7"/>
  <c r="O1046" i="7"/>
  <c r="Z1046" i="7"/>
  <c r="AF4" i="3" a="1"/>
  <c r="AF4" i="3" s="1"/>
  <c r="AI574" i="7"/>
  <c r="Z574" i="7"/>
  <c r="D1751" i="7"/>
  <c r="AF1696" i="7"/>
  <c r="Z1696" i="7"/>
  <c r="X1696" i="7"/>
  <c r="M1696" i="7"/>
  <c r="J1696" i="7"/>
  <c r="D1696" i="7"/>
  <c r="AF631" i="7"/>
  <c r="Z631" i="7"/>
  <c r="M631" i="7"/>
  <c r="J631" i="7"/>
  <c r="AA3189" i="7"/>
  <c r="Z3189" i="7"/>
  <c r="J3189" i="7"/>
  <c r="D3189" i="7"/>
  <c r="AF630" i="7"/>
  <c r="Z630" i="7"/>
  <c r="M630" i="7"/>
  <c r="J630" i="7"/>
  <c r="Z1556" i="7"/>
  <c r="M1556" i="7"/>
  <c r="J1556" i="7"/>
  <c r="D1556" i="7"/>
  <c r="AF417" i="7"/>
  <c r="AA417" i="7"/>
  <c r="Z417" i="7"/>
  <c r="M417" i="7"/>
  <c r="C103" i="20" l="1"/>
  <c r="E103" i="20" s="1"/>
  <c r="E106" i="20"/>
  <c r="L11" i="20"/>
  <c r="D105" i="20"/>
  <c r="E92" i="20"/>
  <c r="E107" i="20"/>
  <c r="C90" i="20"/>
  <c r="E90" i="20" s="1"/>
  <c r="D93" i="20"/>
  <c r="C116" i="20"/>
  <c r="E116" i="20" s="1"/>
  <c r="E120" i="20"/>
  <c r="E119" i="20"/>
  <c r="D119" i="20"/>
  <c r="C117" i="20"/>
  <c r="E117" i="20" s="1"/>
  <c r="D102" i="20"/>
  <c r="C104" i="20"/>
  <c r="E104" i="20" s="1"/>
  <c r="E118" i="20"/>
  <c r="D92" i="20"/>
  <c r="K12" i="20"/>
  <c r="L12" i="20"/>
  <c r="K11" i="20"/>
  <c r="E93" i="20"/>
  <c r="D106" i="20"/>
  <c r="D89" i="20"/>
  <c r="E105" i="20"/>
  <c r="C91" i="20"/>
  <c r="D91" i="20" s="1"/>
  <c r="E94" i="20"/>
  <c r="D94" i="20"/>
  <c r="D107" i="20"/>
  <c r="D118" i="20"/>
  <c r="D120" i="20"/>
  <c r="D115" i="20"/>
  <c r="AF3160" i="7"/>
  <c r="Z3160" i="7"/>
  <c r="X3160" i="7"/>
  <c r="J3160" i="7"/>
  <c r="D3160" i="7"/>
  <c r="AF655" i="7"/>
  <c r="AA655" i="7"/>
  <c r="Z655" i="7"/>
  <c r="L655" i="7"/>
  <c r="J655" i="7"/>
  <c r="AF3140" i="7"/>
  <c r="AA3140" i="7"/>
  <c r="Z3140" i="7"/>
  <c r="L3140" i="7"/>
  <c r="D3140" i="7"/>
  <c r="Z3263" i="7"/>
  <c r="D3263" i="7"/>
  <c r="AC2201" i="7"/>
  <c r="Z2201" i="7"/>
  <c r="L2201" i="7"/>
  <c r="J2201" i="7"/>
  <c r="D2201" i="7"/>
  <c r="AC2170" i="7"/>
  <c r="Z2170" i="7"/>
  <c r="L2170" i="7"/>
  <c r="J2170" i="7"/>
  <c r="D2170" i="7"/>
  <c r="Z3262" i="7"/>
  <c r="D3262" i="7"/>
  <c r="L127" i="7"/>
  <c r="J127" i="7"/>
  <c r="Z127" i="7"/>
  <c r="Z1051" i="7"/>
  <c r="J1051" i="7"/>
  <c r="AA3355" i="7"/>
  <c r="Z3355" i="7"/>
  <c r="M3355" i="7"/>
  <c r="J3355" i="7"/>
  <c r="D3355" i="7"/>
  <c r="AJ2020" i="7"/>
  <c r="AF2020" i="7"/>
  <c r="Z2020" i="7"/>
  <c r="O2020" i="7"/>
  <c r="L2020" i="7"/>
  <c r="D2020" i="7"/>
  <c r="AF4274" i="7"/>
  <c r="AA4274" i="7"/>
  <c r="Z4274" i="7"/>
  <c r="L4274" i="7"/>
  <c r="J4274" i="7"/>
  <c r="D4274" i="7"/>
  <c r="D3194" i="7"/>
  <c r="J3194" i="7"/>
  <c r="Z3194" i="7"/>
  <c r="AA3194" i="7"/>
  <c r="AI569" i="7"/>
  <c r="Z569" i="7"/>
  <c r="AF2686" i="7"/>
  <c r="AA2686" i="7"/>
  <c r="Z2686" i="7"/>
  <c r="J2686" i="7"/>
  <c r="D2686" i="7"/>
  <c r="Z3306" i="7"/>
  <c r="D3306" i="7"/>
  <c r="Z4579" i="7"/>
  <c r="D4579" i="7"/>
  <c r="AI105" i="7"/>
  <c r="AF105" i="7"/>
  <c r="Z105" i="7"/>
  <c r="J105" i="7"/>
  <c r="Z1332" i="7"/>
  <c r="O1332" i="7"/>
  <c r="M1332" i="7"/>
  <c r="J1332" i="7"/>
  <c r="D1332" i="7"/>
  <c r="AA3199" i="7"/>
  <c r="Z3199" i="7"/>
  <c r="J3199" i="7"/>
  <c r="D3199" i="7"/>
  <c r="J2536" i="7"/>
  <c r="D2536" i="7"/>
  <c r="AF1741" i="7"/>
  <c r="Z1741" i="7"/>
  <c r="L1741" i="7"/>
  <c r="J1741" i="7"/>
  <c r="D1741" i="7"/>
  <c r="AF628" i="7"/>
  <c r="Z628" i="7"/>
  <c r="M628" i="7"/>
  <c r="J628" i="7"/>
  <c r="AF2299" i="7"/>
  <c r="AA2299" i="7"/>
  <c r="Z2299" i="7"/>
  <c r="X2299" i="7"/>
  <c r="M2299" i="7"/>
  <c r="J2299" i="7"/>
  <c r="D2299" i="7"/>
  <c r="J2534" i="7"/>
  <c r="D2534" i="7"/>
  <c r="AA3895" i="7"/>
  <c r="AF3895" i="7"/>
  <c r="D3895" i="7"/>
  <c r="O3895" i="7"/>
  <c r="Z3895" i="7"/>
  <c r="AF1803" i="7"/>
  <c r="Z1803" i="7"/>
  <c r="M1803" i="7"/>
  <c r="J1803" i="7"/>
  <c r="D1803" i="7"/>
  <c r="D2270" i="7"/>
  <c r="Z2270" i="7"/>
  <c r="Z2816" i="7"/>
  <c r="L2816" i="7"/>
  <c r="J2816" i="7"/>
  <c r="D2816" i="7"/>
  <c r="AF3229" i="7"/>
  <c r="Z3229" i="7"/>
  <c r="M3229" i="7"/>
  <c r="J3229" i="7"/>
  <c r="D3229" i="7"/>
  <c r="P11" i="12" a="1"/>
  <c r="P11" i="12" s="1"/>
  <c r="AA4348" i="7"/>
  <c r="M4348" i="7"/>
  <c r="J4348" i="7"/>
  <c r="D4348" i="7"/>
  <c r="O4348" i="7"/>
  <c r="Z4348" i="7"/>
  <c r="O4777" i="7"/>
  <c r="Z4777" i="7"/>
  <c r="AJ4777" i="7"/>
  <c r="D4777" i="7"/>
  <c r="T268" i="19"/>
  <c r="T267" i="19"/>
  <c r="B248" i="19"/>
  <c r="B247" i="19"/>
  <c r="B238" i="19"/>
  <c r="B236" i="19"/>
  <c r="B235" i="19"/>
  <c r="B234" i="19"/>
  <c r="B233" i="19"/>
  <c r="B232" i="19"/>
  <c r="A227" i="19"/>
  <c r="B27" i="19"/>
  <c r="C26" i="19"/>
  <c r="B23" i="19"/>
  <c r="Y11" i="12"/>
  <c r="L15" i="20" l="1"/>
  <c r="C101" i="20" s="1"/>
  <c r="E101" i="20" s="1"/>
  <c r="D103" i="20"/>
  <c r="D116" i="20"/>
  <c r="E91" i="20"/>
  <c r="D90" i="20"/>
  <c r="D117" i="20"/>
  <c r="D104" i="20"/>
  <c r="K15" i="20"/>
  <c r="B13" i="20" s="1"/>
  <c r="E122" i="20" s="1"/>
  <c r="T276" i="18"/>
  <c r="T275" i="18"/>
  <c r="B256" i="18"/>
  <c r="B255" i="18"/>
  <c r="B246" i="18"/>
  <c r="B244" i="18"/>
  <c r="B243" i="18"/>
  <c r="B242" i="18"/>
  <c r="B241" i="18"/>
  <c r="B240" i="18"/>
  <c r="A235" i="18"/>
  <c r="B27" i="18"/>
  <c r="C26" i="18"/>
  <c r="B23" i="18"/>
  <c r="AB4" i="3" a="1"/>
  <c r="AB4" i="3" s="1"/>
  <c r="Z2258" i="7"/>
  <c r="M2258" i="7"/>
  <c r="J2258" i="7"/>
  <c r="D2258" i="7"/>
  <c r="L2729" i="7"/>
  <c r="AA2729" i="7"/>
  <c r="AF2729" i="7"/>
  <c r="Z1098" i="7"/>
  <c r="J1098" i="7"/>
  <c r="O23" i="13"/>
  <c r="AI585" i="7"/>
  <c r="AI4492" i="7"/>
  <c r="AF4492" i="7"/>
  <c r="AA4492" i="7"/>
  <c r="Z4492" i="7"/>
  <c r="M4492" i="7"/>
  <c r="J4492" i="7"/>
  <c r="D4492" i="7"/>
  <c r="AI3700" i="7"/>
  <c r="D2729" i="7"/>
  <c r="Z2729" i="7"/>
  <c r="Y23" i="13" l="1"/>
  <c r="B218" i="22"/>
  <c r="C114" i="20"/>
  <c r="D114" i="20" s="1"/>
  <c r="C88" i="20"/>
  <c r="E88" i="20" s="1"/>
  <c r="D108" i="20"/>
  <c r="C113" i="20"/>
  <c r="E113" i="20" s="1"/>
  <c r="E95" i="20"/>
  <c r="C100" i="20"/>
  <c r="C87" i="20"/>
  <c r="D122" i="20"/>
  <c r="E108" i="20"/>
  <c r="D95" i="20"/>
  <c r="C121" i="20"/>
  <c r="D101" i="20"/>
  <c r="O1230" i="7"/>
  <c r="J1230" i="7"/>
  <c r="Z1230" i="7"/>
  <c r="AF1230" i="7"/>
  <c r="AI1230" i="7"/>
  <c r="O2205" i="7"/>
  <c r="AC2205" i="7"/>
  <c r="AF2205" i="7"/>
  <c r="J2205" i="7"/>
  <c r="L2205" i="7"/>
  <c r="D2205" i="7"/>
  <c r="Z2205" i="7"/>
  <c r="M3620" i="7"/>
  <c r="D3620" i="7"/>
  <c r="N3936" i="7"/>
  <c r="P3936" i="7"/>
  <c r="D3936" i="7"/>
  <c r="J339" i="7"/>
  <c r="Z339" i="7"/>
  <c r="J911" i="7"/>
  <c r="Z911" i="7"/>
  <c r="Z1266" i="7"/>
  <c r="AF1266" i="7"/>
  <c r="Z1265" i="7"/>
  <c r="AF1265" i="7"/>
  <c r="Z1264" i="7"/>
  <c r="AF1264" i="7"/>
  <c r="Z1263" i="7"/>
  <c r="AF1263" i="7"/>
  <c r="Z1261" i="7"/>
  <c r="AF1261" i="7"/>
  <c r="Z4296" i="7"/>
  <c r="J4296" i="7"/>
  <c r="D4296" i="7"/>
  <c r="J4295" i="7"/>
  <c r="D4295" i="7"/>
  <c r="Z4295" i="7"/>
  <c r="AI2649" i="7"/>
  <c r="AF2649" i="7"/>
  <c r="AE2649" i="7"/>
  <c r="AA2649" i="7"/>
  <c r="Z2649" i="7"/>
  <c r="M2649" i="7"/>
  <c r="J2649" i="7"/>
  <c r="D2649" i="7"/>
  <c r="B206" i="21"/>
  <c r="E114" i="20" l="1"/>
  <c r="D88" i="20"/>
  <c r="D113" i="20"/>
  <c r="E87" i="20"/>
  <c r="D87" i="20"/>
  <c r="E121" i="20"/>
  <c r="D121" i="20"/>
  <c r="E100" i="20"/>
  <c r="D100" i="20"/>
  <c r="B230" i="19"/>
  <c r="B238" i="18"/>
  <c r="AJ2018" i="7"/>
  <c r="L2018" i="7"/>
  <c r="AF2018" i="7"/>
  <c r="D2018" i="7"/>
  <c r="O2018" i="7"/>
  <c r="Z2018" i="7"/>
  <c r="Z2261" i="7"/>
  <c r="M2261" i="7"/>
  <c r="J2261" i="7"/>
  <c r="D2261" i="7"/>
  <c r="Z2260" i="7"/>
  <c r="M2260" i="7"/>
  <c r="J2260" i="7"/>
  <c r="D2260" i="7"/>
  <c r="O24" i="12"/>
  <c r="B216" i="21" s="1"/>
  <c r="T11" i="13"/>
  <c r="T12" i="13"/>
  <c r="T13" i="13"/>
  <c r="T14" i="13"/>
  <c r="T16" i="13"/>
  <c r="T17" i="13"/>
  <c r="T18" i="13"/>
  <c r="T19" i="13"/>
  <c r="O49" i="13"/>
  <c r="M3618" i="7"/>
  <c r="M3617" i="7"/>
  <c r="M3616" i="7"/>
  <c r="M3615" i="7"/>
  <c r="M3614" i="7"/>
  <c r="M3613" i="7"/>
  <c r="M3612" i="7"/>
  <c r="M3611" i="7"/>
  <c r="B218" i="21"/>
  <c r="Z338" i="7"/>
  <c r="J338" i="7"/>
  <c r="J2533" i="7"/>
  <c r="D2533" i="7"/>
  <c r="J2223" i="7"/>
  <c r="D2223" i="7"/>
  <c r="D3911" i="7"/>
  <c r="O3911" i="7"/>
  <c r="Z3911" i="7"/>
  <c r="AA1352" i="7"/>
  <c r="AF1352" i="7"/>
  <c r="D1352" i="7"/>
  <c r="O1352" i="7"/>
  <c r="Z1352" i="7"/>
  <c r="AF4729" i="7"/>
  <c r="Z4729" i="7"/>
  <c r="L4729" i="7"/>
  <c r="D4729" i="7"/>
  <c r="AI3661" i="7"/>
  <c r="Z3661" i="7"/>
  <c r="L3661" i="7"/>
  <c r="D3661" i="7"/>
  <c r="Z629" i="7"/>
  <c r="Z632" i="7"/>
  <c r="Z634" i="7"/>
  <c r="AF632" i="7"/>
  <c r="M632" i="7"/>
  <c r="J632" i="7"/>
  <c r="AI3168" i="7"/>
  <c r="AI3169" i="7"/>
  <c r="AI3170" i="7"/>
  <c r="AF3168" i="7"/>
  <c r="AF3169" i="7"/>
  <c r="AF3170" i="7"/>
  <c r="Z3169" i="7"/>
  <c r="M3169" i="7"/>
  <c r="D3169" i="7"/>
  <c r="AF3574" i="7"/>
  <c r="AA3574" i="7"/>
  <c r="Z3574" i="7"/>
  <c r="L3574" i="7"/>
  <c r="J3574" i="7"/>
  <c r="D3574" i="7"/>
  <c r="Y49" i="13" l="1"/>
  <c r="B215" i="22"/>
  <c r="U11" i="12"/>
  <c r="Y25" i="12"/>
  <c r="B241" i="19"/>
  <c r="B249" i="18"/>
  <c r="Y24" i="12"/>
  <c r="B240" i="19"/>
  <c r="B248" i="18"/>
  <c r="B251" i="19"/>
  <c r="B259" i="18"/>
  <c r="B243" i="19"/>
  <c r="B251" i="18"/>
  <c r="D3735" i="7"/>
  <c r="J3735" i="7"/>
  <c r="Z3735" i="7"/>
  <c r="D1570" i="7"/>
  <c r="J1570" i="7"/>
  <c r="M1570" i="7"/>
  <c r="Z1570" i="7"/>
  <c r="J2145" i="7"/>
  <c r="D2145" i="7"/>
  <c r="Z2145" i="7"/>
  <c r="AJ2145" i="7"/>
  <c r="M3501" i="7"/>
  <c r="AI3501" i="7"/>
  <c r="D3501" i="7"/>
  <c r="Z3501" i="7"/>
  <c r="AF1760" i="7"/>
  <c r="AA1760" i="7"/>
  <c r="Z1760" i="7"/>
  <c r="J1760" i="7"/>
  <c r="D1760" i="7"/>
  <c r="Y44" i="12"/>
  <c r="J3293" i="7"/>
  <c r="L3293" i="7"/>
  <c r="Z3293" i="7"/>
  <c r="AF3293" i="7"/>
  <c r="D3492" i="7"/>
  <c r="M3492" i="7"/>
  <c r="Z3492" i="7"/>
  <c r="AF3492" i="7"/>
  <c r="AI3492" i="7"/>
  <c r="AJ1325" i="7"/>
  <c r="Z1325" i="7"/>
  <c r="L1325" i="7"/>
  <c r="D1325" i="7"/>
  <c r="D4663" i="7"/>
  <c r="J4663" i="7"/>
  <c r="M4663" i="7"/>
  <c r="Z4663" i="7"/>
  <c r="AF4663" i="7"/>
  <c r="D1993" i="7"/>
  <c r="J1993" i="7"/>
  <c r="L1993" i="7"/>
  <c r="Z1993" i="7"/>
  <c r="AF1993" i="7"/>
  <c r="M3170" i="7"/>
  <c r="M3168" i="7"/>
  <c r="D3170" i="7"/>
  <c r="Z3170" i="7"/>
  <c r="D3168" i="7"/>
  <c r="Z3168" i="7"/>
  <c r="J512" i="7"/>
  <c r="M512" i="7"/>
  <c r="Z512" i="7"/>
  <c r="AA512" i="7"/>
  <c r="AB512" i="7"/>
  <c r="AF512" i="7"/>
  <c r="J103" i="7"/>
  <c r="Z103" i="7"/>
  <c r="AF103" i="7"/>
  <c r="AI103" i="7"/>
  <c r="D4655" i="7"/>
  <c r="J4655" i="7"/>
  <c r="M4655" i="7"/>
  <c r="Z4655" i="7"/>
  <c r="AF4655" i="7"/>
  <c r="J2726" i="7"/>
  <c r="M2726" i="7"/>
  <c r="Z2726" i="7"/>
  <c r="D2726" i="7"/>
  <c r="D1610" i="7"/>
  <c r="D1611" i="7"/>
  <c r="J1611" i="7"/>
  <c r="X1611" i="7"/>
  <c r="Z1611" i="7"/>
  <c r="AC1611" i="7"/>
  <c r="AE1611" i="7"/>
  <c r="M956" i="7"/>
  <c r="Z956" i="7"/>
  <c r="AB956" i="7"/>
  <c r="AF956" i="7"/>
  <c r="Z4559" i="7"/>
  <c r="D4559" i="7"/>
  <c r="D1446" i="7"/>
  <c r="J1446" i="7"/>
  <c r="L1446" i="7"/>
  <c r="Z1446" i="7"/>
  <c r="AA1446" i="7"/>
  <c r="AF1446" i="7"/>
  <c r="D2852" i="7"/>
  <c r="B23" i="15"/>
  <c r="B27" i="2"/>
  <c r="B27" i="5"/>
  <c r="C22" i="15"/>
  <c r="C26" i="5"/>
  <c r="C26" i="2"/>
  <c r="B19" i="15"/>
  <c r="B23" i="5"/>
  <c r="B23" i="2"/>
  <c r="AF1762" i="7"/>
  <c r="AA1762" i="7"/>
  <c r="Z1762" i="7"/>
  <c r="J1762" i="7"/>
  <c r="D1762" i="7"/>
  <c r="AF1761" i="7"/>
  <c r="AA1761" i="7"/>
  <c r="Z1761" i="7"/>
  <c r="J1761" i="7"/>
  <c r="D1761" i="7"/>
  <c r="B204" i="15"/>
  <c r="C204" i="15" s="1"/>
  <c r="B205" i="15"/>
  <c r="C205" i="15" s="1"/>
  <c r="B206" i="15"/>
  <c r="C206" i="15" s="1"/>
  <c r="B207" i="15"/>
  <c r="C207" i="15" s="1"/>
  <c r="B208" i="15"/>
  <c r="C208" i="15" s="1"/>
  <c r="B209" i="15"/>
  <c r="C209" i="15" s="1"/>
  <c r="B210" i="15"/>
  <c r="C210" i="15" s="1"/>
  <c r="B211" i="15"/>
  <c r="C211" i="15" s="1"/>
  <c r="B212" i="15"/>
  <c r="C212" i="15" s="1"/>
  <c r="B213" i="15"/>
  <c r="C213" i="15" s="1"/>
  <c r="B229" i="15"/>
  <c r="C229" i="15" s="1"/>
  <c r="B228" i="15"/>
  <c r="C228" i="15" s="1"/>
  <c r="B227" i="15"/>
  <c r="C227" i="15" s="1"/>
  <c r="B226" i="15"/>
  <c r="C226" i="15" s="1"/>
  <c r="B225" i="15"/>
  <c r="C225" i="15" s="1"/>
  <c r="B224" i="15"/>
  <c r="C224" i="15" s="1"/>
  <c r="B223" i="15"/>
  <c r="C223" i="15" s="1"/>
  <c r="B222" i="15"/>
  <c r="C222" i="15" s="1"/>
  <c r="B221" i="15"/>
  <c r="C221" i="15" s="1"/>
  <c r="B220" i="15"/>
  <c r="C220" i="15" s="1"/>
  <c r="B219" i="15"/>
  <c r="C219" i="15" s="1"/>
  <c r="B218" i="15"/>
  <c r="C218" i="15" s="1"/>
  <c r="B214" i="15"/>
  <c r="C214" i="15" s="1"/>
  <c r="A203" i="15"/>
  <c r="U4" i="14" a="1"/>
  <c r="U4" i="14" s="1"/>
  <c r="AF2725" i="7"/>
  <c r="AA2725" i="7"/>
  <c r="Z2725" i="7"/>
  <c r="O2725" i="7"/>
  <c r="M2725" i="7"/>
  <c r="J2725" i="7"/>
  <c r="D2725" i="7"/>
  <c r="AF4728" i="7"/>
  <c r="Z4728" i="7"/>
  <c r="L4728" i="7"/>
  <c r="D4728" i="7"/>
  <c r="L3815" i="7" l="1"/>
  <c r="L3814" i="7"/>
  <c r="L3813" i="7"/>
  <c r="L3816" i="7"/>
  <c r="L3817" i="7"/>
  <c r="L3812" i="7"/>
  <c r="B242" i="19"/>
  <c r="B250" i="18"/>
  <c r="B231" i="19"/>
  <c r="B239" i="18"/>
  <c r="T244" i="15"/>
  <c r="T243" i="15"/>
  <c r="Y24" i="13"/>
  <c r="Y25" i="13"/>
  <c r="Y26" i="13"/>
  <c r="Y27" i="13"/>
  <c r="Y28" i="13"/>
  <c r="Y29" i="13"/>
  <c r="Y30" i="13"/>
  <c r="Y31" i="13"/>
  <c r="Y32" i="13"/>
  <c r="Y33" i="13"/>
  <c r="Y34" i="13"/>
  <c r="Y35" i="13"/>
  <c r="Y32" i="12"/>
  <c r="AF2671" i="7" l="1"/>
  <c r="AA2671" i="7"/>
  <c r="Z2671" i="7"/>
  <c r="X2671" i="7"/>
  <c r="J2671" i="7"/>
  <c r="D2671" i="7"/>
  <c r="D3872" i="7"/>
  <c r="J3872" i="7"/>
  <c r="X3872" i="7"/>
  <c r="Z3872" i="7"/>
  <c r="AF3872" i="7"/>
  <c r="D4737" i="7"/>
  <c r="J4737" i="7"/>
  <c r="L4737" i="7"/>
  <c r="Z4737" i="7"/>
  <c r="AF4737" i="7"/>
  <c r="R11" i="13"/>
  <c r="R12" i="13"/>
  <c r="R13" i="13"/>
  <c r="R14" i="13"/>
  <c r="R15" i="13"/>
  <c r="R16" i="13"/>
  <c r="R17" i="13"/>
  <c r="R18" i="13"/>
  <c r="R19" i="13"/>
  <c r="O11" i="13"/>
  <c r="P11" i="13" a="1"/>
  <c r="P11" i="13" s="1"/>
  <c r="O12" i="13"/>
  <c r="P12" i="13" a="1"/>
  <c r="P12" i="13" s="1"/>
  <c r="O13" i="13"/>
  <c r="P13" i="13" a="1"/>
  <c r="P13" i="13" s="1"/>
  <c r="O14" i="13"/>
  <c r="P14" i="13" a="1"/>
  <c r="P14" i="13" s="1"/>
  <c r="O15" i="13"/>
  <c r="P15" i="13" a="1"/>
  <c r="P15" i="13" s="1"/>
  <c r="O16" i="13"/>
  <c r="P16" i="13" a="1"/>
  <c r="P16" i="13" s="1"/>
  <c r="O17" i="13"/>
  <c r="P17" i="13" a="1"/>
  <c r="P17" i="13" s="1"/>
  <c r="O18" i="13"/>
  <c r="P18" i="13" a="1"/>
  <c r="P18" i="13" s="1"/>
  <c r="O19" i="13"/>
  <c r="P19" i="13" a="1"/>
  <c r="P19" i="13" s="1"/>
  <c r="X52" i="13"/>
  <c r="B252" i="19" l="1"/>
  <c r="B260" i="18"/>
  <c r="B217" i="15"/>
  <c r="C217" i="15" s="1"/>
  <c r="Y36" i="12"/>
  <c r="Y35" i="12"/>
  <c r="AF3235" i="7"/>
  <c r="Z3235" i="7"/>
  <c r="M3235" i="7"/>
  <c r="L3235" i="7"/>
  <c r="J3235" i="7"/>
  <c r="D3235" i="7"/>
  <c r="AF3881" i="7"/>
  <c r="Z3881" i="7"/>
  <c r="X3881" i="7"/>
  <c r="J3881" i="7"/>
  <c r="D3881" i="7"/>
  <c r="T15" i="13" l="1"/>
  <c r="AJ4" i="14" a="1"/>
  <c r="AJ4" i="14" s="1"/>
  <c r="AI4" i="14" a="1"/>
  <c r="AI4" i="14" s="1"/>
  <c r="AH4" i="14" a="1"/>
  <c r="AH4" i="14" s="1"/>
  <c r="AG4" i="14" a="1"/>
  <c r="AG4" i="14" s="1"/>
  <c r="AF4" i="14" a="1"/>
  <c r="AF4" i="14" s="1"/>
  <c r="AE4" i="14" a="1"/>
  <c r="AE4" i="14" s="1"/>
  <c r="AD4" i="14" a="1"/>
  <c r="AD4" i="14" s="1"/>
  <c r="AB4" i="14" a="1"/>
  <c r="AB4" i="14" s="1"/>
  <c r="AC4" i="14" a="1"/>
  <c r="AC4" i="14" s="1"/>
  <c r="AA4" i="14" a="1"/>
  <c r="AA4" i="14" s="1"/>
  <c r="T4" i="14" a="1"/>
  <c r="T4" i="14" s="1"/>
  <c r="AF4040" i="7"/>
  <c r="AB4040" i="7"/>
  <c r="AA4040" i="7"/>
  <c r="Z4040" i="7"/>
  <c r="M4040" i="7"/>
  <c r="J4040" i="7"/>
  <c r="D4040" i="7"/>
  <c r="D3185" i="7"/>
  <c r="J3185" i="7"/>
  <c r="L3185" i="7"/>
  <c r="Z3185" i="7"/>
  <c r="AA3185" i="7"/>
  <c r="AF3185" i="7"/>
  <c r="AI1184" i="7"/>
  <c r="Z1184" i="7"/>
  <c r="J1184" i="7"/>
  <c r="J1331" i="7"/>
  <c r="D3843" i="7" l="1"/>
  <c r="O3843" i="7"/>
  <c r="Z3843" i="7"/>
  <c r="D3844" i="7"/>
  <c r="M3844" i="7"/>
  <c r="Z3844" i="7"/>
  <c r="AF3844" i="7"/>
  <c r="M1331" i="7"/>
  <c r="D1331" i="7"/>
  <c r="O1331" i="7"/>
  <c r="Z1331" i="7"/>
  <c r="AF4077" i="7"/>
  <c r="Z4077" i="7"/>
  <c r="M4077" i="7"/>
  <c r="D4077" i="7"/>
  <c r="D2144" i="7"/>
  <c r="Z2144" i="7"/>
  <c r="AI2646" i="7"/>
  <c r="AF2646" i="7"/>
  <c r="AE2646" i="7"/>
  <c r="AA2646" i="7"/>
  <c r="Z2646" i="7"/>
  <c r="M2646" i="7"/>
  <c r="J2646" i="7"/>
  <c r="D2646" i="7"/>
  <c r="AJ663" i="7"/>
  <c r="Z663" i="7"/>
  <c r="M663" i="7"/>
  <c r="Z1657" i="7"/>
  <c r="J1657" i="7"/>
  <c r="D1657" i="7"/>
  <c r="Z1656" i="7"/>
  <c r="J1656" i="7"/>
  <c r="D1656" i="7"/>
  <c r="AI1178" i="7"/>
  <c r="Z1178" i="7"/>
  <c r="J1178" i="7"/>
  <c r="V53" i="13"/>
  <c r="V54" i="13"/>
  <c r="V55" i="13"/>
  <c r="V56" i="13"/>
  <c r="V57" i="13"/>
  <c r="V58" i="13"/>
  <c r="V59" i="13"/>
  <c r="V60" i="13"/>
  <c r="V61" i="13"/>
  <c r="Z2881" i="7"/>
  <c r="M2881" i="7"/>
  <c r="L2881" i="7"/>
  <c r="J2881" i="7"/>
  <c r="D2881" i="7"/>
  <c r="Z2885" i="7"/>
  <c r="M2885" i="7"/>
  <c r="J2885" i="7"/>
  <c r="D2885" i="7"/>
  <c r="D3280" i="7"/>
  <c r="J3280" i="7"/>
  <c r="Z3280" i="7"/>
  <c r="AA3280" i="7"/>
  <c r="AC3280" i="7"/>
  <c r="B250" i="19" l="1"/>
  <c r="B258" i="18"/>
  <c r="Y27" i="12"/>
  <c r="Y34" i="12"/>
  <c r="D3279" i="7"/>
  <c r="J3279" i="7"/>
  <c r="Z3279" i="7"/>
  <c r="AA3279" i="7"/>
  <c r="AC3279" i="7"/>
  <c r="AF2980" i="7"/>
  <c r="AE2980" i="7"/>
  <c r="Z2980" i="7"/>
  <c r="M2980" i="7"/>
  <c r="J2980" i="7"/>
  <c r="D2980" i="7"/>
  <c r="AE2089" i="7"/>
  <c r="Z2089" i="7"/>
  <c r="M2089" i="7"/>
  <c r="J2089" i="7"/>
  <c r="D2089" i="7"/>
  <c r="Z2383" i="7"/>
  <c r="D2383" i="7"/>
  <c r="AF4608" i="7"/>
  <c r="Z4608" i="7"/>
  <c r="M4608" i="7"/>
  <c r="J4608" i="7"/>
  <c r="D4608" i="7"/>
  <c r="D2154" i="7"/>
  <c r="J2154" i="7"/>
  <c r="M2154" i="7"/>
  <c r="X2154" i="7"/>
  <c r="Z2154" i="7"/>
  <c r="AA2154" i="7"/>
  <c r="AF2154" i="7"/>
  <c r="AF1267" i="7"/>
  <c r="AA1267" i="7"/>
  <c r="Z1267" i="7"/>
  <c r="L1267" i="7"/>
  <c r="J1267" i="7"/>
  <c r="Z4" i="14" a="1"/>
  <c r="Z4" i="14" s="1"/>
  <c r="X4" i="14" a="1"/>
  <c r="X4" i="14" s="1"/>
  <c r="W4" i="14" a="1"/>
  <c r="W4" i="14" s="1"/>
  <c r="AI2" i="14"/>
  <c r="AH2" i="14"/>
  <c r="AG2" i="14"/>
  <c r="AF2" i="14"/>
  <c r="AE2" i="14"/>
  <c r="AD2" i="14"/>
  <c r="AC2" i="14"/>
  <c r="AB2" i="14"/>
  <c r="AA2" i="14"/>
  <c r="Z2" i="14"/>
  <c r="V52" i="13"/>
  <c r="K5" i="13"/>
  <c r="C5" i="13"/>
  <c r="K4" i="13"/>
  <c r="K3" i="13"/>
  <c r="J2539" i="7"/>
  <c r="D2539" i="7"/>
  <c r="Z2710" i="7"/>
  <c r="J2710" i="7"/>
  <c r="D2710" i="7"/>
  <c r="Z1566" i="7"/>
  <c r="M1566" i="7"/>
  <c r="J1566" i="7"/>
  <c r="D1566" i="7"/>
  <c r="AI2718" i="7"/>
  <c r="AF2718" i="7"/>
  <c r="AA2718" i="7"/>
  <c r="Z2718" i="7"/>
  <c r="L2718" i="7"/>
  <c r="D2718" i="7"/>
  <c r="D4111" i="7"/>
  <c r="J4111" i="7"/>
  <c r="M4111" i="7"/>
  <c r="Z4111" i="7"/>
  <c r="D3065" i="7"/>
  <c r="J3065" i="7"/>
  <c r="M3065" i="7"/>
  <c r="Z3065" i="7"/>
  <c r="AF3065" i="7"/>
  <c r="AI572" i="7"/>
  <c r="Z572" i="7"/>
  <c r="Z3009" i="7"/>
  <c r="M3009" i="7"/>
  <c r="J3009" i="7"/>
  <c r="D3009" i="7"/>
  <c r="D4689" i="7"/>
  <c r="M4689" i="7"/>
  <c r="Z4689" i="7"/>
  <c r="AF4689" i="7"/>
  <c r="AI4689" i="7"/>
  <c r="D3519" i="7"/>
  <c r="J3519" i="7"/>
  <c r="M3519" i="7"/>
  <c r="Z3519" i="7"/>
  <c r="AA3519" i="7"/>
  <c r="AF3519" i="7"/>
  <c r="AI3519" i="7"/>
  <c r="J2732" i="7"/>
  <c r="L2732" i="7"/>
  <c r="Z2732" i="7"/>
  <c r="AA2732" i="7"/>
  <c r="AF2732" i="7"/>
  <c r="O1025" i="7"/>
  <c r="Z1025" i="7"/>
  <c r="J634" i="7"/>
  <c r="M634" i="7"/>
  <c r="AF634" i="7"/>
  <c r="D3617" i="7"/>
  <c r="AF1672" i="7"/>
  <c r="Z1672" i="7"/>
  <c r="J1672" i="7"/>
  <c r="D1672" i="7"/>
  <c r="D1817" i="7"/>
  <c r="J1817" i="7"/>
  <c r="Z1817" i="7"/>
  <c r="D2092" i="7"/>
  <c r="J2092" i="7"/>
  <c r="M2092" i="7"/>
  <c r="Z2092" i="7"/>
  <c r="AE2092" i="7"/>
  <c r="J3529" i="7"/>
  <c r="D3537" i="7"/>
  <c r="O3537" i="7"/>
  <c r="Z3537" i="7"/>
  <c r="AF3102" i="7"/>
  <c r="D2982" i="7"/>
  <c r="J2982" i="7"/>
  <c r="M2982" i="7"/>
  <c r="Z2982" i="7"/>
  <c r="AE2982" i="7"/>
  <c r="AF2982" i="7"/>
  <c r="J1080" i="7"/>
  <c r="Z1080" i="7"/>
  <c r="J3700" i="7"/>
  <c r="D3700" i="7"/>
  <c r="Z3700" i="7"/>
  <c r="D2698" i="7"/>
  <c r="J2698" i="7"/>
  <c r="L2698" i="7"/>
  <c r="Z2698" i="7"/>
  <c r="AF2698" i="7"/>
  <c r="M3102" i="7"/>
  <c r="D3102" i="7"/>
  <c r="Z3102" i="7"/>
  <c r="Z1568" i="7"/>
  <c r="M1568" i="7"/>
  <c r="J1568" i="7"/>
  <c r="D1568" i="7"/>
  <c r="Z1567" i="7"/>
  <c r="M1567" i="7"/>
  <c r="J1567" i="7"/>
  <c r="D1567" i="7"/>
  <c r="AF2344" i="7"/>
  <c r="Z2344" i="7"/>
  <c r="X2344" i="7"/>
  <c r="M2344" i="7"/>
  <c r="D2344" i="7"/>
  <c r="M776" i="7"/>
  <c r="M775" i="7"/>
  <c r="L771" i="7"/>
  <c r="L772" i="7"/>
  <c r="O776" i="7"/>
  <c r="Z776" i="7"/>
  <c r="O775" i="7"/>
  <c r="Z775" i="7"/>
  <c r="AE2093" i="7"/>
  <c r="Z2093" i="7"/>
  <c r="M2093" i="7"/>
  <c r="J2093" i="7"/>
  <c r="D2093" i="7"/>
  <c r="D2432" i="7"/>
  <c r="M2432" i="7"/>
  <c r="O2432" i="7"/>
  <c r="X2432" i="7"/>
  <c r="Z2432" i="7"/>
  <c r="AA2432" i="7"/>
  <c r="AF2432" i="7"/>
  <c r="AI2432" i="7"/>
  <c r="AF3228" i="7"/>
  <c r="Z3228" i="7"/>
  <c r="M3228" i="7"/>
  <c r="J3228" i="7"/>
  <c r="D3228" i="7"/>
  <c r="AF2990" i="7"/>
  <c r="AE2990" i="7"/>
  <c r="Z2990" i="7"/>
  <c r="M2990" i="7"/>
  <c r="J2990" i="7"/>
  <c r="D2990" i="7"/>
  <c r="AF2987" i="7"/>
  <c r="Z2987" i="7"/>
  <c r="M2987" i="7"/>
  <c r="J2987" i="7"/>
  <c r="D2987" i="7"/>
  <c r="J1074" i="7"/>
  <c r="Z1074" i="7"/>
  <c r="Z1841" i="7"/>
  <c r="J1841" i="7"/>
  <c r="D1841" i="7"/>
  <c r="D1504" i="7"/>
  <c r="J1504" i="7"/>
  <c r="Z1504" i="7"/>
  <c r="AA1504" i="7"/>
  <c r="D4071" i="7"/>
  <c r="J4071" i="7"/>
  <c r="Z4071" i="7"/>
  <c r="AF4071" i="7"/>
  <c r="Z1145" i="7"/>
  <c r="M1145" i="7"/>
  <c r="AI3437" i="7"/>
  <c r="AF3437" i="7"/>
  <c r="Z3437" i="7"/>
  <c r="N3437" i="7"/>
  <c r="L3437" i="7"/>
  <c r="J3437" i="7"/>
  <c r="D3437" i="7"/>
  <c r="AF1806" i="7"/>
  <c r="Z1806" i="7"/>
  <c r="M1806" i="7"/>
  <c r="J1806" i="7"/>
  <c r="D1806" i="7"/>
  <c r="J440" i="7"/>
  <c r="Z440" i="7"/>
  <c r="AF440" i="7"/>
  <c r="Z2893" i="7"/>
  <c r="M2893" i="7"/>
  <c r="J2893" i="7"/>
  <c r="D2893" i="7"/>
  <c r="Z4620" i="7"/>
  <c r="D4620" i="7"/>
  <c r="D4619" i="7"/>
  <c r="Z4619" i="7"/>
  <c r="AF4865" i="7"/>
  <c r="J4865" i="7"/>
  <c r="D4865" i="7"/>
  <c r="O4865" i="7"/>
  <c r="Z4865" i="7"/>
  <c r="AA1321" i="7"/>
  <c r="Z1321" i="7"/>
  <c r="J1321" i="7"/>
  <c r="D1321" i="7"/>
  <c r="D2259" i="7"/>
  <c r="J2259" i="7"/>
  <c r="M2259" i="7"/>
  <c r="Z2259" i="7"/>
  <c r="V54" i="12"/>
  <c r="V55" i="12"/>
  <c r="V56" i="12"/>
  <c r="V57" i="12"/>
  <c r="V58" i="12"/>
  <c r="V59" i="12"/>
  <c r="V60" i="12"/>
  <c r="V61" i="12"/>
  <c r="V62" i="12"/>
  <c r="V53" i="12"/>
  <c r="AI562" i="7"/>
  <c r="J562" i="7"/>
  <c r="Z562" i="7"/>
  <c r="D3801" i="7"/>
  <c r="L188" i="7"/>
  <c r="O188" i="7"/>
  <c r="X188" i="7"/>
  <c r="Z188" i="7"/>
  <c r="AA188" i="7"/>
  <c r="AB188" i="7"/>
  <c r="AF188" i="7"/>
  <c r="AJ188" i="7"/>
  <c r="J190" i="7"/>
  <c r="M190" i="7"/>
  <c r="Z190" i="7"/>
  <c r="D2097" i="7"/>
  <c r="J2097" i="7"/>
  <c r="M2097" i="7"/>
  <c r="Z2097" i="7"/>
  <c r="AA1423" i="7"/>
  <c r="Z1423" i="7"/>
  <c r="X1423" i="7"/>
  <c r="M1423" i="7"/>
  <c r="J1423" i="7"/>
  <c r="D1423" i="7"/>
  <c r="J891" i="7"/>
  <c r="Z891" i="7"/>
  <c r="D2787" i="7"/>
  <c r="J2787" i="7"/>
  <c r="Z2787" i="7"/>
  <c r="AA2787" i="7"/>
  <c r="AF2787" i="7"/>
  <c r="N4282" i="7"/>
  <c r="J4282" i="7"/>
  <c r="D4282" i="7"/>
  <c r="Z4282" i="7"/>
  <c r="D4577" i="7"/>
  <c r="Z4577" i="7"/>
  <c r="D1670" i="7"/>
  <c r="J1670" i="7"/>
  <c r="Z1670" i="7"/>
  <c r="AF1670" i="7"/>
  <c r="D3869" i="7"/>
  <c r="J3869" i="7"/>
  <c r="X3869" i="7"/>
  <c r="Z3869" i="7"/>
  <c r="AF3869" i="7"/>
  <c r="D3067" i="7"/>
  <c r="J3067" i="7"/>
  <c r="M3067" i="7"/>
  <c r="Z3067" i="7"/>
  <c r="AF3067" i="7"/>
  <c r="D4432" i="7"/>
  <c r="J4432" i="7"/>
  <c r="M4432" i="7"/>
  <c r="X4432" i="7"/>
  <c r="Z4432" i="7"/>
  <c r="AA4432" i="7"/>
  <c r="AF4432" i="7"/>
  <c r="AF3120" i="7"/>
  <c r="AF3121" i="7"/>
  <c r="Z3120" i="7"/>
  <c r="Z3121" i="7"/>
  <c r="M3119" i="7"/>
  <c r="M3120" i="7"/>
  <c r="M3121" i="7"/>
  <c r="J3119" i="7"/>
  <c r="J3120" i="7"/>
  <c r="J3121" i="7"/>
  <c r="D3120" i="7"/>
  <c r="D3121" i="7"/>
  <c r="D2286" i="7"/>
  <c r="M2286" i="7"/>
  <c r="Z2286" i="7"/>
  <c r="AA2286" i="7"/>
  <c r="AF2286" i="7"/>
  <c r="J937" i="7"/>
  <c r="Z937" i="7"/>
  <c r="AA937" i="7"/>
  <c r="AF937" i="7"/>
  <c r="AI937" i="7"/>
  <c r="D3576" i="7"/>
  <c r="J3576" i="7"/>
  <c r="L3576" i="7"/>
  <c r="Z3576" i="7"/>
  <c r="AA3576" i="7"/>
  <c r="AF3576" i="7"/>
  <c r="D2750" i="7"/>
  <c r="D4210" i="7"/>
  <c r="J4210" i="7"/>
  <c r="L4210" i="7"/>
  <c r="Z4210" i="7"/>
  <c r="D1889" i="7"/>
  <c r="M1889" i="7"/>
  <c r="O1889" i="7"/>
  <c r="Z1889" i="7"/>
  <c r="AF1889" i="7"/>
  <c r="J1220" i="7"/>
  <c r="M1220" i="7"/>
  <c r="Z1220" i="7"/>
  <c r="J491" i="7"/>
  <c r="M491" i="7"/>
  <c r="Z491" i="7"/>
  <c r="AB491" i="7"/>
  <c r="AF491" i="7"/>
  <c r="D3520" i="7"/>
  <c r="J3520" i="7"/>
  <c r="M3520" i="7"/>
  <c r="Z3520" i="7"/>
  <c r="AA3520" i="7"/>
  <c r="AF3520" i="7"/>
  <c r="AI3520" i="7"/>
  <c r="AF1698" i="7"/>
  <c r="AA1698" i="7"/>
  <c r="Z1698" i="7"/>
  <c r="X1698" i="7"/>
  <c r="M1698" i="7"/>
  <c r="J1698" i="7"/>
  <c r="D1698" i="7"/>
  <c r="D2095" i="7"/>
  <c r="J2095" i="7"/>
  <c r="M2095" i="7"/>
  <c r="Z2095" i="7"/>
  <c r="D3650" i="7"/>
  <c r="J3650" i="7"/>
  <c r="M3650" i="7"/>
  <c r="Z3650" i="7"/>
  <c r="AA3650" i="7"/>
  <c r="AF3650" i="7"/>
  <c r="D2096" i="7"/>
  <c r="J2096" i="7"/>
  <c r="M2096" i="7"/>
  <c r="Z2096" i="7"/>
  <c r="D1589" i="7"/>
  <c r="J1589" i="7"/>
  <c r="Z1589" i="7"/>
  <c r="AF1589" i="7"/>
  <c r="AI1589" i="7"/>
  <c r="D2306" i="7"/>
  <c r="J2306" i="7"/>
  <c r="M2306" i="7"/>
  <c r="X2306" i="7"/>
  <c r="Z2306" i="7"/>
  <c r="AA2306" i="7"/>
  <c r="AF2306" i="7"/>
  <c r="J742" i="7"/>
  <c r="Z742" i="7"/>
  <c r="AF742" i="7"/>
  <c r="J162" i="7"/>
  <c r="M162" i="7"/>
  <c r="X162" i="7"/>
  <c r="Z162" i="7"/>
  <c r="AA162" i="7"/>
  <c r="AF162" i="7"/>
  <c r="D3867" i="7"/>
  <c r="J3867" i="7"/>
  <c r="X3867" i="7"/>
  <c r="Z3867" i="7"/>
  <c r="AF3867" i="7"/>
  <c r="D2851" i="7"/>
  <c r="D2844" i="7"/>
  <c r="J2844" i="7"/>
  <c r="L2844" i="7"/>
  <c r="Z2844" i="7"/>
  <c r="J2901" i="7"/>
  <c r="D2901" i="7"/>
  <c r="Z2901" i="7"/>
  <c r="B246" i="19" l="1"/>
  <c r="B254" i="18"/>
  <c r="B244" i="19"/>
  <c r="B252" i="18"/>
  <c r="Y28" i="12"/>
  <c r="Y30" i="12"/>
  <c r="U11" i="13"/>
  <c r="U12" i="13"/>
  <c r="U13" i="13"/>
  <c r="U14" i="13"/>
  <c r="U15" i="13"/>
  <c r="U16" i="13"/>
  <c r="U17" i="13"/>
  <c r="U18" i="13"/>
  <c r="U19" i="13"/>
  <c r="W60" i="13"/>
  <c r="W59" i="13"/>
  <c r="W53" i="13"/>
  <c r="W55" i="13"/>
  <c r="W58" i="13"/>
  <c r="W56" i="13"/>
  <c r="W61" i="13"/>
  <c r="W54" i="13"/>
  <c r="W57" i="13"/>
  <c r="AI2748" i="7"/>
  <c r="M2748" i="7"/>
  <c r="AA2748" i="7"/>
  <c r="X2748" i="7"/>
  <c r="AF2748" i="7"/>
  <c r="D2748" i="7"/>
  <c r="J2748" i="7"/>
  <c r="Z2748" i="7"/>
  <c r="D4115" i="7"/>
  <c r="J4115" i="7"/>
  <c r="M4115" i="7"/>
  <c r="Z4115" i="7"/>
  <c r="Z1401" i="7"/>
  <c r="AF1401" i="7"/>
  <c r="D4072" i="7"/>
  <c r="J4072" i="7"/>
  <c r="Z4072" i="7"/>
  <c r="AF4072" i="7"/>
  <c r="D4073" i="7"/>
  <c r="M4073" i="7"/>
  <c r="Z4073" i="7"/>
  <c r="AF4073" i="7"/>
  <c r="D2530" i="7"/>
  <c r="J2530" i="7"/>
  <c r="M2530" i="7"/>
  <c r="Z2530" i="7"/>
  <c r="AF2530" i="7"/>
  <c r="Y61" i="13" l="1"/>
  <c r="Z61" i="13" s="1"/>
  <c r="Y59" i="13"/>
  <c r="Z59" i="13" s="1"/>
  <c r="Y56" i="13"/>
  <c r="Z56" i="13" s="1"/>
  <c r="Y55" i="13"/>
  <c r="Z55" i="13" s="1"/>
  <c r="Y54" i="13"/>
  <c r="Z54" i="13" s="1"/>
  <c r="Y53" i="13"/>
  <c r="Z53" i="13" s="1"/>
  <c r="Y57" i="13"/>
  <c r="Z57" i="13" s="1"/>
  <c r="Y58" i="13"/>
  <c r="Z58" i="13" s="1"/>
  <c r="Y60" i="13"/>
  <c r="Z60" i="13" s="1"/>
  <c r="B245" i="19" l="1"/>
  <c r="B253" i="18"/>
  <c r="Y29" i="12"/>
  <c r="X3631" i="7"/>
  <c r="X3632" i="7"/>
  <c r="X3633" i="7"/>
  <c r="X3634" i="7"/>
  <c r="X3635" i="7"/>
  <c r="X3636" i="7"/>
  <c r="X3637" i="7"/>
  <c r="X3638" i="7"/>
  <c r="X3630" i="7"/>
  <c r="D1801" i="7"/>
  <c r="J1801" i="7"/>
  <c r="M1801" i="7"/>
  <c r="Z1801" i="7"/>
  <c r="AF1801" i="7"/>
  <c r="O42" i="12"/>
  <c r="B205" i="21" s="1"/>
  <c r="D3866" i="7"/>
  <c r="J3866" i="7"/>
  <c r="X3866" i="7"/>
  <c r="Z3866" i="7"/>
  <c r="AF3866" i="7"/>
  <c r="Z644" i="7"/>
  <c r="AC644" i="7"/>
  <c r="AF644" i="7"/>
  <c r="O41" i="12"/>
  <c r="B204" i="21" s="1"/>
  <c r="D4642" i="7"/>
  <c r="J4642" i="7"/>
  <c r="M4642" i="7"/>
  <c r="Z4642" i="7"/>
  <c r="AF4642" i="7"/>
  <c r="D4611" i="7"/>
  <c r="J4611" i="7"/>
  <c r="M4611" i="7"/>
  <c r="Z4611" i="7"/>
  <c r="AF4611" i="7"/>
  <c r="D4812" i="7"/>
  <c r="J4812" i="7"/>
  <c r="M4812" i="7"/>
  <c r="Z4812" i="7"/>
  <c r="AF4812" i="7"/>
  <c r="AI4812" i="7"/>
  <c r="D4147" i="7"/>
  <c r="J4147" i="7"/>
  <c r="M4147" i="7"/>
  <c r="Z4147" i="7"/>
  <c r="AF4147" i="7"/>
  <c r="AI4147" i="7"/>
  <c r="Z3" i="7"/>
  <c r="X3" i="7"/>
  <c r="Q7" i="7"/>
  <c r="Q2" i="7"/>
  <c r="R7" i="7"/>
  <c r="Q380" i="7" l="1"/>
  <c r="Q3879" i="7"/>
  <c r="Q3629" i="7"/>
  <c r="Q1465" i="7"/>
  <c r="Q2138" i="7"/>
  <c r="Q3304" i="7"/>
  <c r="Q1025" i="7"/>
  <c r="Q1986" i="7"/>
  <c r="Q3763" i="7"/>
  <c r="Q3338" i="7"/>
  <c r="Q1262" i="7"/>
  <c r="Q3412" i="7"/>
  <c r="Q774" i="7"/>
  <c r="Q2376" i="7"/>
  <c r="Q1618" i="7"/>
  <c r="Q3134" i="7"/>
  <c r="Q3510" i="7"/>
  <c r="Q4043" i="7"/>
  <c r="Q4537" i="7"/>
  <c r="Q4150" i="7"/>
  <c r="Q1246" i="7"/>
  <c r="Q40" i="7"/>
  <c r="Q3315" i="7"/>
  <c r="Q4292" i="7"/>
  <c r="Q42" i="7"/>
  <c r="Q43" i="7"/>
  <c r="Q45" i="7"/>
  <c r="Q46" i="7"/>
  <c r="Q2519" i="7"/>
  <c r="Q4151" i="7"/>
  <c r="Q633" i="7"/>
  <c r="Q2019" i="7"/>
  <c r="Q4148" i="7"/>
  <c r="Q3648" i="7"/>
  <c r="Q631" i="7"/>
  <c r="Q3873" i="7"/>
  <c r="Q3263" i="7"/>
  <c r="Q630" i="7"/>
  <c r="Q2020" i="7"/>
  <c r="Q3262" i="7"/>
  <c r="Q628" i="7"/>
  <c r="Q3306" i="7"/>
  <c r="B228" i="19"/>
  <c r="B236" i="18"/>
  <c r="B229" i="19"/>
  <c r="B237" i="18"/>
  <c r="Q3700" i="7"/>
  <c r="Q4492" i="7"/>
  <c r="Q911" i="7"/>
  <c r="Q3936" i="7"/>
  <c r="Q1265" i="7"/>
  <c r="Q1266" i="7"/>
  <c r="Q1263" i="7"/>
  <c r="Q1264" i="7"/>
  <c r="Q2018" i="7"/>
  <c r="Q1261" i="7"/>
  <c r="Q632" i="7"/>
  <c r="Q3617" i="7"/>
  <c r="Q3616" i="7"/>
  <c r="Q1993" i="7"/>
  <c r="Q3735" i="7"/>
  <c r="Q3872" i="7"/>
  <c r="Q1611" i="7"/>
  <c r="Y42" i="12"/>
  <c r="Y41" i="12"/>
  <c r="Y43" i="12"/>
  <c r="Q663" i="7"/>
  <c r="Q3881" i="7"/>
  <c r="Q1656" i="7"/>
  <c r="Q1657" i="7"/>
  <c r="Q2710" i="7"/>
  <c r="Q1267" i="7"/>
  <c r="Q634" i="7"/>
  <c r="Q3009" i="7"/>
  <c r="Q776" i="7"/>
  <c r="Q775" i="7"/>
  <c r="Q770" i="7" s="1"/>
  <c r="Q4071" i="7"/>
  <c r="Q1841" i="7"/>
  <c r="Q3869" i="7"/>
  <c r="Q1423" i="7"/>
  <c r="Q3867" i="7"/>
  <c r="Q3650" i="7"/>
  <c r="Q4147" i="7"/>
  <c r="Q4072" i="7"/>
  <c r="Q3866" i="7"/>
  <c r="Z4" i="7"/>
  <c r="R8" i="7"/>
  <c r="R2" i="7" s="1"/>
  <c r="R3086" i="7" s="1"/>
  <c r="X4" i="7"/>
  <c r="Z5" i="7" s="1"/>
  <c r="AF4212" i="7"/>
  <c r="W4212" i="7"/>
  <c r="D4212" i="7"/>
  <c r="L4212" i="7"/>
  <c r="Z4212" i="7"/>
  <c r="J1084" i="7"/>
  <c r="Z1084" i="7"/>
  <c r="D4230" i="7"/>
  <c r="M4230" i="7"/>
  <c r="Z4230" i="7"/>
  <c r="AA4230" i="7"/>
  <c r="AE4230" i="7"/>
  <c r="AF4230" i="7"/>
  <c r="D2570" i="7"/>
  <c r="J2570" i="7"/>
  <c r="Z2570" i="7"/>
  <c r="R3087" i="7" l="1"/>
  <c r="R4439" i="7"/>
  <c r="R401" i="7"/>
  <c r="R1171" i="7"/>
  <c r="R1170" i="7"/>
  <c r="R2651" i="7"/>
  <c r="R597" i="7"/>
  <c r="R397" i="7"/>
  <c r="R2335" i="7"/>
  <c r="R1169" i="7"/>
  <c r="R4213" i="7"/>
  <c r="R4864" i="7"/>
  <c r="R4602" i="7"/>
  <c r="R3088" i="7"/>
  <c r="R4424" i="7"/>
  <c r="R4863" i="7"/>
  <c r="R2650" i="7"/>
  <c r="R4440" i="7"/>
  <c r="R1255" i="7"/>
  <c r="R1339" i="7"/>
  <c r="R1696" i="7"/>
  <c r="R594" i="7"/>
  <c r="R2649" i="7"/>
  <c r="R417" i="7"/>
  <c r="R2671" i="7"/>
  <c r="R956" i="7"/>
  <c r="R3844" i="7"/>
  <c r="R4040" i="7"/>
  <c r="R3102" i="7"/>
  <c r="R2646" i="7"/>
  <c r="R2344" i="7"/>
  <c r="R1698" i="7"/>
  <c r="R4210" i="7"/>
  <c r="X5" i="7"/>
  <c r="D2351" i="7"/>
  <c r="L2351" i="7"/>
  <c r="X2351" i="7"/>
  <c r="Z2351" i="7"/>
  <c r="AF2351" i="7"/>
  <c r="D2352" i="7"/>
  <c r="L2352" i="7"/>
  <c r="X2352" i="7"/>
  <c r="Z2352" i="7"/>
  <c r="AF2352" i="7"/>
  <c r="J651" i="7"/>
  <c r="L651" i="7"/>
  <c r="Z651" i="7"/>
  <c r="AA651" i="7"/>
  <c r="AF651" i="7"/>
  <c r="D4667" i="7"/>
  <c r="J4667" i="7"/>
  <c r="Z4667" i="7"/>
  <c r="AA4667" i="7"/>
  <c r="AB4667" i="7"/>
  <c r="AC4667" i="7"/>
  <c r="AE4667" i="7"/>
  <c r="AI4284" i="7"/>
  <c r="AI4285" i="7"/>
  <c r="AI4286" i="7"/>
  <c r="AI4287" i="7"/>
  <c r="AI4288" i="7"/>
  <c r="AI4289" i="7"/>
  <c r="AI4290" i="7"/>
  <c r="AI4291" i="7"/>
  <c r="AI4283" i="7"/>
  <c r="D2897" i="7"/>
  <c r="J2897" i="7"/>
  <c r="M2897" i="7"/>
  <c r="V2897" i="7"/>
  <c r="Z2897" i="7"/>
  <c r="AE2897" i="7"/>
  <c r="D3614" i="7"/>
  <c r="J3614" i="7"/>
  <c r="V3614" i="7"/>
  <c r="Z3614" i="7"/>
  <c r="AA3614" i="7"/>
  <c r="AE3614" i="7"/>
  <c r="AF3614" i="7"/>
  <c r="D3615" i="7"/>
  <c r="J3615" i="7"/>
  <c r="V3615" i="7"/>
  <c r="Z3615" i="7"/>
  <c r="AA3615" i="7"/>
  <c r="AE3615" i="7"/>
  <c r="AF3615" i="7"/>
  <c r="D3616" i="7"/>
  <c r="D3618" i="7"/>
  <c r="M2153" i="7"/>
  <c r="X2153" i="7"/>
  <c r="AA2153" i="7"/>
  <c r="AF2153" i="7"/>
  <c r="J2153" i="7"/>
  <c r="D2153" i="7"/>
  <c r="Z2153" i="7"/>
  <c r="D1799" i="7"/>
  <c r="J1799" i="7"/>
  <c r="M1799" i="7"/>
  <c r="Z1799" i="7"/>
  <c r="AF1799" i="7"/>
  <c r="O818" i="7" l="1"/>
  <c r="Z818" i="7"/>
  <c r="AJ818" i="7"/>
  <c r="AA2281" i="7"/>
  <c r="AA2282" i="7"/>
  <c r="AA2283" i="7"/>
  <c r="AA2284" i="7"/>
  <c r="AA2285" i="7"/>
  <c r="AA2280" i="7"/>
  <c r="J1141" i="7"/>
  <c r="M1141" i="7"/>
  <c r="Z1141" i="7"/>
  <c r="AA1141" i="7"/>
  <c r="J1142" i="7"/>
  <c r="M1142" i="7"/>
  <c r="Z1142" i="7"/>
  <c r="AA1142" i="7"/>
  <c r="J1143" i="7"/>
  <c r="M1143" i="7"/>
  <c r="Z1143" i="7"/>
  <c r="AA1143" i="7"/>
  <c r="AA1140" i="7"/>
  <c r="M1140" i="7"/>
  <c r="M1144" i="7"/>
  <c r="J1140" i="7"/>
  <c r="Z1140" i="7"/>
  <c r="D1890" i="7"/>
  <c r="M1890" i="7"/>
  <c r="O1890" i="7"/>
  <c r="Z1890" i="7"/>
  <c r="AF1890" i="7"/>
  <c r="O3271" i="7"/>
  <c r="O3270" i="7"/>
  <c r="J3271" i="7"/>
  <c r="Z3271" i="7"/>
  <c r="D3271" i="7"/>
  <c r="D3126" i="7"/>
  <c r="J3126" i="7"/>
  <c r="M3126" i="7"/>
  <c r="Z3126" i="7"/>
  <c r="AF3126" i="7"/>
  <c r="J1663" i="7"/>
  <c r="Z1663" i="7"/>
  <c r="AF1663" i="7"/>
  <c r="M2137" i="7"/>
  <c r="X2137" i="7"/>
  <c r="J2137" i="7"/>
  <c r="D2137" i="7"/>
  <c r="Z2137" i="7"/>
  <c r="X113" i="7"/>
  <c r="X114" i="7"/>
  <c r="X115" i="7"/>
  <c r="X116" i="7"/>
  <c r="X117" i="7"/>
  <c r="X118" i="7"/>
  <c r="X119" i="7"/>
  <c r="X120" i="7"/>
  <c r="X121" i="7"/>
  <c r="X122" i="7"/>
  <c r="X112" i="7"/>
  <c r="O113" i="7"/>
  <c r="O114" i="7"/>
  <c r="O115" i="7"/>
  <c r="O116" i="7"/>
  <c r="O117" i="7"/>
  <c r="O118" i="7"/>
  <c r="O119" i="7"/>
  <c r="O120" i="7"/>
  <c r="O121" i="7"/>
  <c r="O122" i="7"/>
  <c r="O112" i="7"/>
  <c r="X4806" i="7"/>
  <c r="D4806" i="7"/>
  <c r="J4806" i="7"/>
  <c r="L4806" i="7"/>
  <c r="Z4806" i="7"/>
  <c r="AF4806" i="7"/>
  <c r="D3282" i="7"/>
  <c r="J3282" i="7"/>
  <c r="Z3282" i="7"/>
  <c r="D3283" i="7"/>
  <c r="J3283" i="7"/>
  <c r="Z3283" i="7"/>
  <c r="J3281" i="7"/>
  <c r="D3281" i="7"/>
  <c r="Z3281" i="7"/>
  <c r="D1939" i="7"/>
  <c r="L1939" i="7"/>
  <c r="Z1939" i="7"/>
  <c r="AE1939" i="7"/>
  <c r="AF1939" i="7"/>
  <c r="AI1939" i="7"/>
  <c r="AI583" i="7" l="1"/>
  <c r="AI584" i="7"/>
  <c r="D2986" i="7"/>
  <c r="J2986" i="7"/>
  <c r="M2986" i="7"/>
  <c r="Z2986" i="7"/>
  <c r="AE2986" i="7"/>
  <c r="AF2986" i="7"/>
  <c r="L2313" i="7"/>
  <c r="AA1754" i="7"/>
  <c r="AA1755" i="7"/>
  <c r="AA1756" i="7"/>
  <c r="AA1757" i="7"/>
  <c r="AA1758" i="7"/>
  <c r="AA1759" i="7"/>
  <c r="AA1753" i="7"/>
  <c r="AF1754" i="7"/>
  <c r="AF1755" i="7"/>
  <c r="AF1756" i="7"/>
  <c r="AF1757" i="7"/>
  <c r="AF1758" i="7"/>
  <c r="AF1759" i="7"/>
  <c r="AF1753" i="7"/>
  <c r="D1759" i="7"/>
  <c r="J1759" i="7"/>
  <c r="Z1759" i="7"/>
  <c r="X2727" i="7"/>
  <c r="AF2727" i="7"/>
  <c r="L2727" i="7"/>
  <c r="J2727" i="7"/>
  <c r="AI2727" i="7"/>
  <c r="AC2727" i="7"/>
  <c r="D2727" i="7"/>
  <c r="Z2727" i="7"/>
  <c r="J304" i="7"/>
  <c r="J305" i="7"/>
  <c r="J306" i="7"/>
  <c r="J303" i="7"/>
  <c r="J434" i="7"/>
  <c r="Z434" i="7"/>
  <c r="AF434" i="7"/>
  <c r="AA942" i="7"/>
  <c r="AF942" i="7"/>
  <c r="M942" i="7"/>
  <c r="M1039" i="7"/>
  <c r="Z1039" i="7"/>
  <c r="AA1039" i="7"/>
  <c r="AF1039" i="7"/>
  <c r="M1038" i="7"/>
  <c r="AA1038" i="7"/>
  <c r="AF1038" i="7"/>
  <c r="Z1038" i="7"/>
  <c r="D3100" i="7"/>
  <c r="M3100" i="7"/>
  <c r="W3100" i="7"/>
  <c r="Z3100" i="7"/>
  <c r="AI3100" i="7"/>
  <c r="D2567" i="7"/>
  <c r="J2567" i="7"/>
  <c r="Z2567" i="7"/>
  <c r="D4231" i="7"/>
  <c r="M4231" i="7"/>
  <c r="Z4231" i="7"/>
  <c r="AA4231" i="7"/>
  <c r="AE4231" i="7"/>
  <c r="AF4231" i="7"/>
  <c r="M950" i="7"/>
  <c r="M951" i="7"/>
  <c r="M952" i="7"/>
  <c r="M953" i="7"/>
  <c r="M954" i="7"/>
  <c r="M955" i="7"/>
  <c r="M957" i="7"/>
  <c r="M949" i="7"/>
  <c r="Z954" i="7"/>
  <c r="AB954" i="7"/>
  <c r="AF954" i="7"/>
  <c r="D1501" i="7"/>
  <c r="J1501" i="7"/>
  <c r="Z1501" i="7"/>
  <c r="AA1501" i="7"/>
  <c r="D1671" i="7"/>
  <c r="J1671" i="7"/>
  <c r="Z1671" i="7"/>
  <c r="AF1671" i="7"/>
  <c r="B249" i="19" l="1"/>
  <c r="B257" i="18"/>
  <c r="Y33" i="12"/>
  <c r="J1852" i="7"/>
  <c r="D1852" i="7"/>
  <c r="Z1852" i="7"/>
  <c r="D3227" i="7"/>
  <c r="J3227" i="7"/>
  <c r="M3227" i="7"/>
  <c r="Z3227" i="7"/>
  <c r="AF3227" i="7"/>
  <c r="D3198" i="7"/>
  <c r="J3198" i="7"/>
  <c r="Z3198" i="7"/>
  <c r="AA3198" i="7"/>
  <c r="J163" i="7"/>
  <c r="J164" i="7"/>
  <c r="D1786" i="7"/>
  <c r="J1786" i="7"/>
  <c r="M1786" i="7"/>
  <c r="Z1786" i="7"/>
  <c r="AF1786" i="7"/>
  <c r="D3893" i="7"/>
  <c r="J3893" i="7"/>
  <c r="Z3893" i="7"/>
  <c r="AF3893" i="7"/>
  <c r="J787" i="7"/>
  <c r="M787" i="7"/>
  <c r="Z787" i="7"/>
  <c r="AA787" i="7"/>
  <c r="AF787" i="7"/>
  <c r="D3101" i="7"/>
  <c r="M3101" i="7"/>
  <c r="W3101" i="7"/>
  <c r="Z3101" i="7"/>
  <c r="AI3101" i="7"/>
  <c r="D3778" i="7"/>
  <c r="Z3778" i="7"/>
  <c r="AA3778" i="7"/>
  <c r="AB3778" i="7"/>
  <c r="AC3778" i="7"/>
  <c r="J1232" i="7"/>
  <c r="Z1232" i="7"/>
  <c r="AF1232" i="7"/>
  <c r="AI1232" i="7"/>
  <c r="Z3733" i="7"/>
  <c r="J3733" i="7"/>
  <c r="D3733" i="7"/>
  <c r="Z3734" i="7"/>
  <c r="J3734" i="7"/>
  <c r="D3734" i="7"/>
  <c r="J1101" i="7"/>
  <c r="Z1101" i="7"/>
  <c r="J903" i="7"/>
  <c r="Z903" i="7"/>
  <c r="AF3639" i="7"/>
  <c r="Z3639" i="7"/>
  <c r="M3639" i="7"/>
  <c r="D3639" i="7"/>
  <c r="AJ4776" i="7"/>
  <c r="Z4776" i="7"/>
  <c r="O4776" i="7"/>
  <c r="D4776" i="7"/>
  <c r="M416" i="7"/>
  <c r="Z416" i="7"/>
  <c r="AA416" i="7"/>
  <c r="AF416" i="7"/>
  <c r="D1559" i="7"/>
  <c r="J1559" i="7"/>
  <c r="M1559" i="7"/>
  <c r="Z1559" i="7"/>
  <c r="D2975" i="7"/>
  <c r="D2976" i="7"/>
  <c r="D1787" i="7"/>
  <c r="J1787" i="7"/>
  <c r="M1787" i="7"/>
  <c r="Z1787" i="7"/>
  <c r="AF1787" i="7"/>
  <c r="J618" i="7"/>
  <c r="L618" i="7"/>
  <c r="Z618" i="7"/>
  <c r="AF618" i="7"/>
  <c r="D2221" i="7"/>
  <c r="J2221" i="7"/>
  <c r="M2221" i="7"/>
  <c r="Z2221" i="7"/>
  <c r="AF4153" i="7"/>
  <c r="AA4153" i="7"/>
  <c r="D4153" i="7" l="1"/>
  <c r="J4153" i="7"/>
  <c r="M4153" i="7"/>
  <c r="Z4153" i="7"/>
  <c r="D3078" i="7"/>
  <c r="L3078" i="7"/>
  <c r="Z3078" i="7"/>
  <c r="AF3078" i="7"/>
  <c r="AF1891" i="7" l="1"/>
  <c r="Z1891" i="7"/>
  <c r="O1891" i="7"/>
  <c r="M1891" i="7"/>
  <c r="D1891" i="7"/>
  <c r="D1793" i="7"/>
  <c r="J1793" i="7"/>
  <c r="M1793" i="7"/>
  <c r="Z1793" i="7"/>
  <c r="AF1793" i="7"/>
  <c r="AA370" i="7"/>
  <c r="Z370" i="7"/>
  <c r="M370" i="7"/>
  <c r="J370" i="7"/>
  <c r="AJ817" i="7"/>
  <c r="D2985" i="7"/>
  <c r="J2985" i="7"/>
  <c r="M2985" i="7"/>
  <c r="Z2985" i="7"/>
  <c r="AE2985" i="7"/>
  <c r="AF2985" i="7"/>
  <c r="Z1144" i="7"/>
  <c r="D2568" i="7"/>
  <c r="J2568" i="7"/>
  <c r="Z2568" i="7"/>
  <c r="AG4046" i="7"/>
  <c r="AG4047" i="7"/>
  <c r="AG4048" i="7"/>
  <c r="AG4049" i="7"/>
  <c r="AG4050" i="7"/>
  <c r="AG4054" i="7"/>
  <c r="AG4055" i="7"/>
  <c r="AG4045" i="7"/>
  <c r="AA4046" i="7"/>
  <c r="AB4046" i="7"/>
  <c r="AA4047" i="7"/>
  <c r="AB4047" i="7"/>
  <c r="AA4048" i="7"/>
  <c r="AB4048" i="7"/>
  <c r="AA4049" i="7"/>
  <c r="AB4049" i="7"/>
  <c r="AA4050" i="7"/>
  <c r="AB4050" i="7"/>
  <c r="AA4054" i="7"/>
  <c r="AB4054" i="7"/>
  <c r="AA4055" i="7"/>
  <c r="AB4055" i="7"/>
  <c r="AB4045" i="7"/>
  <c r="AA4045" i="7"/>
  <c r="O817" i="7"/>
  <c r="Z817" i="7"/>
  <c r="D2336" i="7"/>
  <c r="M2336" i="7"/>
  <c r="X2336" i="7"/>
  <c r="Z2336" i="7"/>
  <c r="AF2336" i="7"/>
  <c r="AF4038" i="7"/>
  <c r="AB4038" i="7"/>
  <c r="AA4038" i="7"/>
  <c r="Z4038" i="7"/>
  <c r="M4038" i="7"/>
  <c r="J4038" i="7"/>
  <c r="D4038" i="7"/>
  <c r="D1979" i="7"/>
  <c r="J1979" i="7"/>
  <c r="L1979" i="7"/>
  <c r="Z1979" i="7"/>
  <c r="AF1979" i="7"/>
  <c r="D1599" i="7"/>
  <c r="J1599" i="7"/>
  <c r="Z1599" i="7"/>
  <c r="AF1599" i="7"/>
  <c r="AI1599" i="7"/>
  <c r="AI2722" i="7"/>
  <c r="AF2722" i="7"/>
  <c r="AA2722" i="7"/>
  <c r="Z2722" i="7"/>
  <c r="L2722" i="7"/>
  <c r="D2722" i="7"/>
  <c r="AF456" i="7"/>
  <c r="AF457" i="7"/>
  <c r="AF458" i="7"/>
  <c r="AF459" i="7"/>
  <c r="AF460" i="7"/>
  <c r="AF461" i="7"/>
  <c r="AF462" i="7"/>
  <c r="AF463" i="7"/>
  <c r="AF464" i="7"/>
  <c r="AF465" i="7"/>
  <c r="AF466" i="7"/>
  <c r="AF467" i="7"/>
  <c r="AF468" i="7"/>
  <c r="AF469" i="7"/>
  <c r="AF470" i="7"/>
  <c r="AF471" i="7"/>
  <c r="AF472" i="7"/>
  <c r="AF473" i="7"/>
  <c r="AF474" i="7"/>
  <c r="AF475" i="7"/>
  <c r="AF476" i="7"/>
  <c r="AF477" i="7"/>
  <c r="AF478" i="7"/>
  <c r="AF479" i="7"/>
  <c r="AF480" i="7"/>
  <c r="AF481" i="7"/>
  <c r="AF482" i="7"/>
  <c r="AF483" i="7"/>
  <c r="AF484" i="7"/>
  <c r="AF485" i="7"/>
  <c r="AF486" i="7"/>
  <c r="AF487" i="7"/>
  <c r="AF488" i="7"/>
  <c r="AF489" i="7"/>
  <c r="AF490" i="7"/>
  <c r="AF493" i="7"/>
  <c r="AF495" i="7"/>
  <c r="AF496" i="7"/>
  <c r="AF497" i="7"/>
  <c r="AF498" i="7"/>
  <c r="AF499" i="7"/>
  <c r="AF500" i="7"/>
  <c r="AF501" i="7"/>
  <c r="AF502" i="7"/>
  <c r="AF503" i="7"/>
  <c r="AF504" i="7"/>
  <c r="AF505" i="7"/>
  <c r="AF506" i="7"/>
  <c r="AF455" i="7"/>
  <c r="J493" i="7"/>
  <c r="M493" i="7"/>
  <c r="Z493" i="7"/>
  <c r="AB493" i="7"/>
  <c r="D2892" i="7"/>
  <c r="J2892" i="7"/>
  <c r="M2892" i="7"/>
  <c r="Z2892" i="7"/>
  <c r="J432" i="7"/>
  <c r="Z432" i="7"/>
  <c r="AF432" i="7"/>
  <c r="D4294" i="7"/>
  <c r="Z4294" i="7"/>
  <c r="D4293" i="7"/>
  <c r="Z4293" i="7"/>
  <c r="AA4791" i="7"/>
  <c r="AF4791" i="7"/>
  <c r="L4791" i="7"/>
  <c r="D4791" i="7"/>
  <c r="O4791" i="7"/>
  <c r="Z4791" i="7"/>
  <c r="AJ4791" i="7"/>
  <c r="AI1231" i="7"/>
  <c r="AF1231" i="7"/>
  <c r="Z1231" i="7"/>
  <c r="J1231" i="7"/>
  <c r="J1233" i="7"/>
  <c r="Z1233" i="7"/>
  <c r="AF1233" i="7"/>
  <c r="AI1233" i="7"/>
  <c r="J847" i="7"/>
  <c r="Z847" i="7"/>
  <c r="AA847" i="7"/>
  <c r="AB847" i="7"/>
  <c r="AF847" i="7"/>
  <c r="D3868" i="7"/>
  <c r="J3868" i="7"/>
  <c r="X3868" i="7"/>
  <c r="Z3868" i="7"/>
  <c r="AF3868" i="7"/>
  <c r="D2648" i="7"/>
  <c r="J2648" i="7"/>
  <c r="M2648" i="7"/>
  <c r="Z2648" i="7"/>
  <c r="AA2648" i="7"/>
  <c r="AE2648" i="7"/>
  <c r="AF2648" i="7"/>
  <c r="AI2648" i="7"/>
  <c r="AF1846" i="7"/>
  <c r="AF1844" i="7"/>
  <c r="D1846" i="7" l="1"/>
  <c r="Z1846" i="7"/>
  <c r="Z1843" i="7"/>
  <c r="Z1844" i="7"/>
  <c r="D1843" i="7"/>
  <c r="D1844" i="7"/>
  <c r="X3884" i="7"/>
  <c r="X3883" i="7"/>
  <c r="X3882" i="7"/>
  <c r="X3880" i="7"/>
  <c r="X3865" i="7"/>
  <c r="X3864" i="7"/>
  <c r="X3863" i="7"/>
  <c r="X3862" i="7"/>
  <c r="X3861" i="7"/>
  <c r="X3860" i="7"/>
  <c r="X3859" i="7"/>
  <c r="X3858" i="7"/>
  <c r="X3857" i="7"/>
  <c r="X3856" i="7"/>
  <c r="X3855" i="7"/>
  <c r="X3854" i="7"/>
  <c r="X3853" i="7"/>
  <c r="X3852" i="7"/>
  <c r="X3851" i="7"/>
  <c r="X3850" i="7"/>
  <c r="X3849" i="7"/>
  <c r="X3848" i="7"/>
  <c r="D3158" i="7"/>
  <c r="J3158" i="7"/>
  <c r="X3158" i="7"/>
  <c r="Z3158" i="7"/>
  <c r="AF3158" i="7"/>
  <c r="AF1725" i="7"/>
  <c r="Z1725" i="7"/>
  <c r="V1725" i="7"/>
  <c r="L1725" i="7"/>
  <c r="D1725" i="7"/>
  <c r="Z4474" i="7"/>
  <c r="D4474" i="7"/>
  <c r="Z3403" i="7"/>
  <c r="D3403" i="7"/>
  <c r="J233" i="7"/>
  <c r="M233" i="7"/>
  <c r="Z233" i="7"/>
  <c r="AF233" i="7"/>
  <c r="D1775" i="7"/>
  <c r="J1775" i="7"/>
  <c r="L1775" i="7"/>
  <c r="Z1775" i="7"/>
  <c r="AA1775" i="7"/>
  <c r="AF1775" i="7"/>
  <c r="D3164" i="7"/>
  <c r="J3164" i="7"/>
  <c r="X3164" i="7"/>
  <c r="Z3164" i="7"/>
  <c r="AF3164" i="7"/>
  <c r="J220" i="7"/>
  <c r="M220" i="7"/>
  <c r="Z220" i="7"/>
  <c r="AF220" i="7"/>
  <c r="AF629" i="7"/>
  <c r="M629" i="7"/>
  <c r="J629" i="7"/>
  <c r="AA627" i="7"/>
  <c r="AA625" i="7"/>
  <c r="AA626" i="7"/>
  <c r="Z626" i="7"/>
  <c r="Z627" i="7"/>
  <c r="M626" i="7"/>
  <c r="M627" i="7"/>
  <c r="M526" i="7"/>
  <c r="Z526" i="7"/>
  <c r="D4826" i="7"/>
  <c r="J4826" i="7"/>
  <c r="Z4826" i="7"/>
  <c r="D4431" i="7" l="1"/>
  <c r="J4431" i="7"/>
  <c r="M4431" i="7"/>
  <c r="X4431" i="7"/>
  <c r="Z4431" i="7"/>
  <c r="AA4431" i="7"/>
  <c r="AF4431" i="7"/>
  <c r="D2281" i="7"/>
  <c r="M2281" i="7"/>
  <c r="Z2281" i="7"/>
  <c r="AF2281" i="7"/>
  <c r="AF1223" i="7"/>
  <c r="AA1223" i="7"/>
  <c r="Z1223" i="7"/>
  <c r="X1223" i="7"/>
  <c r="L1223" i="7"/>
  <c r="J1223" i="7"/>
  <c r="D4857" i="7"/>
  <c r="J4857" i="7"/>
  <c r="Z4857" i="7"/>
  <c r="AF4610" i="7"/>
  <c r="M4610" i="7"/>
  <c r="J4610" i="7"/>
  <c r="D4610" i="7"/>
  <c r="Z4610" i="7"/>
  <c r="O995" i="7"/>
  <c r="Z995" i="7"/>
  <c r="AJ995" i="7"/>
  <c r="L187" i="7"/>
  <c r="O187" i="7"/>
  <c r="X187" i="7"/>
  <c r="Z187" i="7"/>
  <c r="AA187" i="7"/>
  <c r="AB187" i="7"/>
  <c r="AF187" i="7"/>
  <c r="AJ187" i="7"/>
  <c r="AF3028" i="7"/>
  <c r="AA3028" i="7"/>
  <c r="Z3028" i="7"/>
  <c r="X3028" i="7"/>
  <c r="L3028" i="7"/>
  <c r="J3028" i="7"/>
  <c r="D3028" i="7"/>
  <c r="D2694" i="7"/>
  <c r="J2694" i="7"/>
  <c r="L2694" i="7"/>
  <c r="Z2694" i="7"/>
  <c r="AF2694" i="7"/>
  <c r="D4053" i="7"/>
  <c r="Z4053" i="7"/>
  <c r="AC4053" i="7"/>
  <c r="AI4053" i="7"/>
  <c r="D2094" i="7"/>
  <c r="J2094" i="7"/>
  <c r="M2094" i="7"/>
  <c r="Z2094" i="7"/>
  <c r="D2862" i="7"/>
  <c r="J2862" i="7"/>
  <c r="L2862" i="7"/>
  <c r="Z2862" i="7"/>
  <c r="Z1362" i="7"/>
  <c r="M1362" i="7"/>
  <c r="J1362" i="7"/>
  <c r="D1362" i="7"/>
  <c r="D1363" i="7"/>
  <c r="J1363" i="7"/>
  <c r="M1363" i="7"/>
  <c r="Z1363" i="7"/>
  <c r="AJ2477" i="7"/>
  <c r="AF2477" i="7"/>
  <c r="D2481" i="7"/>
  <c r="O2481" i="7"/>
  <c r="Z2481" i="7"/>
  <c r="AF2481" i="7"/>
  <c r="AJ2481" i="7"/>
  <c r="D2480" i="7"/>
  <c r="O2480" i="7"/>
  <c r="Z2480" i="7"/>
  <c r="AF2480" i="7"/>
  <c r="AJ2480" i="7"/>
  <c r="J1020" i="7"/>
  <c r="Z1020" i="7"/>
  <c r="AF1224" i="7"/>
  <c r="X1224" i="7"/>
  <c r="AA1224" i="7"/>
  <c r="L1224" i="7"/>
  <c r="J1224" i="7"/>
  <c r="Z1224" i="7"/>
  <c r="AF4371" i="7"/>
  <c r="AA4371" i="7"/>
  <c r="Z4371" i="7"/>
  <c r="M4371" i="7"/>
  <c r="J4371" i="7"/>
  <c r="D4371" i="7"/>
  <c r="AB3420" i="7"/>
  <c r="AA3420" i="7"/>
  <c r="J3420" i="7"/>
  <c r="AF3420" i="7"/>
  <c r="D3420" i="7"/>
  <c r="M3420" i="7"/>
  <c r="Z3420" i="7"/>
  <c r="D3991" i="7"/>
  <c r="J3991" i="7"/>
  <c r="Z3991" i="7"/>
  <c r="M3472" i="7"/>
  <c r="Z3472" i="7"/>
  <c r="AF3472" i="7"/>
  <c r="AI3472" i="7"/>
  <c r="D3472" i="7"/>
  <c r="AC1879" i="7"/>
  <c r="L1879" i="7"/>
  <c r="AF1879" i="7"/>
  <c r="J1879" i="7"/>
  <c r="D1879" i="7"/>
  <c r="Z1879" i="7"/>
  <c r="Z1537" i="7"/>
  <c r="AI1537" i="7"/>
  <c r="D1537" i="7"/>
  <c r="D4576" i="7"/>
  <c r="Z4576" i="7"/>
  <c r="D3260" i="7"/>
  <c r="Z3260" i="7"/>
  <c r="D4051" i="7"/>
  <c r="Z4051" i="7"/>
  <c r="AC4051" i="7"/>
  <c r="AI4051" i="7"/>
  <c r="D4110" i="7"/>
  <c r="J4110" i="7"/>
  <c r="M4110" i="7"/>
  <c r="Z4110" i="7"/>
  <c r="D4219" i="7"/>
  <c r="J4219" i="7"/>
  <c r="Z4219" i="7"/>
  <c r="AA4219" i="7"/>
  <c r="AF4219" i="7"/>
  <c r="AI4219" i="7"/>
  <c r="D4488" i="7"/>
  <c r="J4488" i="7"/>
  <c r="M4488" i="7"/>
  <c r="Z4488" i="7"/>
  <c r="AA4488" i="7"/>
  <c r="AF4488" i="7"/>
  <c r="AI4488" i="7"/>
  <c r="L122" i="7"/>
  <c r="Z122" i="7"/>
  <c r="AA122" i="7"/>
  <c r="AF122" i="7"/>
  <c r="J830" i="7"/>
  <c r="M830" i="7"/>
  <c r="Z830" i="7"/>
  <c r="AF830" i="7"/>
  <c r="J1079" i="7"/>
  <c r="Z1079" i="7"/>
  <c r="O888" i="7"/>
  <c r="AF888" i="7"/>
  <c r="M888" i="7"/>
  <c r="X888" i="7"/>
  <c r="AA888" i="7"/>
  <c r="Z888" i="7"/>
  <c r="D2786" i="7"/>
  <c r="J2786" i="7"/>
  <c r="Z2786" i="7"/>
  <c r="AA2786" i="7"/>
  <c r="AF2786" i="7"/>
  <c r="J936" i="7"/>
  <c r="Z936" i="7"/>
  <c r="AA936" i="7"/>
  <c r="AF936" i="7"/>
  <c r="AI936" i="7"/>
  <c r="J938" i="7"/>
  <c r="Z938" i="7"/>
  <c r="AA938" i="7"/>
  <c r="AF938" i="7"/>
  <c r="AI938" i="7"/>
  <c r="AF2350" i="7"/>
  <c r="AF2353" i="7"/>
  <c r="AF2349" i="7"/>
  <c r="L2350" i="7"/>
  <c r="L2353" i="7"/>
  <c r="L2349" i="7"/>
  <c r="D2740" i="7"/>
  <c r="J2740" i="7"/>
  <c r="L2740" i="7"/>
  <c r="Z2740" i="7"/>
  <c r="AA2740" i="7"/>
  <c r="AF2740" i="7"/>
  <c r="A200" i="5"/>
  <c r="A199" i="2"/>
  <c r="AA3982" i="7"/>
  <c r="AA3983" i="7"/>
  <c r="AA3984" i="7"/>
  <c r="Z582" i="7" l="1"/>
  <c r="AI582" i="7"/>
  <c r="L3178" i="7"/>
  <c r="L3179" i="7"/>
  <c r="L3180" i="7"/>
  <c r="D3177" i="7"/>
  <c r="J3177" i="7"/>
  <c r="L3177" i="7"/>
  <c r="Z3177" i="7"/>
  <c r="AA3177" i="7"/>
  <c r="AF3177" i="7"/>
  <c r="AF3575" i="7"/>
  <c r="AA3575" i="7"/>
  <c r="Z3575" i="7"/>
  <c r="L3575" i="7"/>
  <c r="J3575" i="7"/>
  <c r="D3575" i="7"/>
  <c r="D4149" i="7" l="1"/>
  <c r="J4149" i="7"/>
  <c r="M4149" i="7"/>
  <c r="Z4149" i="7"/>
  <c r="AF4149" i="7"/>
  <c r="AI4149" i="7"/>
  <c r="D1578" i="7"/>
  <c r="J1578" i="7"/>
  <c r="M1578" i="7"/>
  <c r="Z1578" i="7"/>
  <c r="AF1578" i="7"/>
  <c r="D2854" i="7"/>
  <c r="D3299" i="7"/>
  <c r="J3299" i="7"/>
  <c r="Z3299" i="7"/>
  <c r="AF3299" i="7"/>
  <c r="D3573" i="7"/>
  <c r="J3573" i="7"/>
  <c r="L3573" i="7"/>
  <c r="Z3573" i="7"/>
  <c r="AA3573" i="7"/>
  <c r="AF3573" i="7"/>
  <c r="D2601" i="7"/>
  <c r="J2601" i="7"/>
  <c r="L2601" i="7"/>
  <c r="Z2601" i="7"/>
  <c r="AC2601" i="7"/>
  <c r="Z50" i="7"/>
  <c r="J653" i="7"/>
  <c r="L653" i="7"/>
  <c r="Z653" i="7"/>
  <c r="AA653" i="7"/>
  <c r="AF653" i="7"/>
  <c r="J1090" i="7"/>
  <c r="Z1090" i="7"/>
  <c r="D2973" i="7"/>
  <c r="D2538" i="7"/>
  <c r="J2538" i="7"/>
  <c r="D4159" i="7"/>
  <c r="M4159" i="7"/>
  <c r="X4159" i="7"/>
  <c r="Z4159" i="7"/>
  <c r="AA4159" i="7"/>
  <c r="D3226" i="7"/>
  <c r="J3226" i="7"/>
  <c r="M3226" i="7"/>
  <c r="Z3226" i="7"/>
  <c r="AF3226" i="7"/>
  <c r="D2490" i="7"/>
  <c r="O2490" i="7"/>
  <c r="Z2490" i="7"/>
  <c r="AF2490" i="7"/>
  <c r="AJ2490" i="7"/>
  <c r="D1797" i="7"/>
  <c r="J1797" i="7"/>
  <c r="M1797" i="7"/>
  <c r="Z1797" i="7"/>
  <c r="AF1797" i="7"/>
  <c r="D2512" i="7"/>
  <c r="O2512" i="7"/>
  <c r="Z2512" i="7"/>
  <c r="AF2512" i="7"/>
  <c r="AJ2512" i="7"/>
  <c r="AA302" i="7"/>
  <c r="M302" i="7"/>
  <c r="AF302" i="7"/>
  <c r="T240" i="5"/>
  <c r="T239" i="5"/>
  <c r="T239" i="2"/>
  <c r="T238" i="2"/>
  <c r="D2979" i="7"/>
  <c r="J2979" i="7"/>
  <c r="M2979" i="7"/>
  <c r="Z2979" i="7"/>
  <c r="AE2979" i="7"/>
  <c r="AF2979" i="7"/>
  <c r="M4720" i="7"/>
  <c r="M4721" i="7"/>
  <c r="M4722" i="7"/>
  <c r="M4719" i="7"/>
  <c r="D1796" i="7"/>
  <c r="J1796" i="7"/>
  <c r="M1796" i="7"/>
  <c r="Z1796" i="7"/>
  <c r="AF1796" i="7"/>
  <c r="D3518" i="7"/>
  <c r="J3518" i="7"/>
  <c r="M3518" i="7"/>
  <c r="Z3518" i="7"/>
  <c r="AA3518" i="7"/>
  <c r="AF3518" i="7"/>
  <c r="AI3518" i="7"/>
  <c r="D2699" i="7"/>
  <c r="J2699" i="7"/>
  <c r="L2699" i="7"/>
  <c r="Z2699" i="7"/>
  <c r="AF2699" i="7"/>
  <c r="J1180" i="7"/>
  <c r="Z1180" i="7"/>
  <c r="AI1180" i="7"/>
  <c r="AF1259" i="7"/>
  <c r="Z1259" i="7"/>
  <c r="J855" i="7"/>
  <c r="L855" i="7"/>
  <c r="Z855" i="7"/>
  <c r="AA855" i="7"/>
  <c r="AB855" i="7"/>
  <c r="AF855" i="7"/>
  <c r="M599" i="7"/>
  <c r="Z599" i="7"/>
  <c r="AF599" i="7"/>
  <c r="Z957" i="7"/>
  <c r="AB957" i="7"/>
  <c r="AF957" i="7"/>
  <c r="D2778" i="7" l="1"/>
  <c r="J2778" i="7"/>
  <c r="L2778" i="7"/>
  <c r="Z2778" i="7"/>
  <c r="AA2778" i="7"/>
  <c r="AF2778" i="7"/>
  <c r="J293" i="7"/>
  <c r="Z293" i="7"/>
  <c r="AA293" i="7"/>
  <c r="C5" i="12"/>
  <c r="D1513" i="7"/>
  <c r="Z1513" i="7"/>
  <c r="D2477" i="7"/>
  <c r="O2477" i="7"/>
  <c r="Z2477" i="7"/>
  <c r="D3858" i="7"/>
  <c r="J3858" i="7"/>
  <c r="Z3858" i="7"/>
  <c r="AF3858" i="7"/>
  <c r="AF1400" i="7"/>
  <c r="AF1399" i="7"/>
  <c r="AJ30" i="7" l="1"/>
  <c r="J30" i="7"/>
  <c r="Z30" i="7"/>
  <c r="D4654" i="7"/>
  <c r="J4654" i="7"/>
  <c r="M4654" i="7"/>
  <c r="Z4654" i="7"/>
  <c r="AF4654" i="7"/>
  <c r="AJ4900" i="7"/>
  <c r="AJ4899" i="7"/>
  <c r="AJ4898" i="7"/>
  <c r="AJ4897" i="7"/>
  <c r="AJ4896" i="7"/>
  <c r="AJ4895" i="7"/>
  <c r="AJ4894" i="7"/>
  <c r="AJ4893" i="7"/>
  <c r="AJ4892" i="7"/>
  <c r="AJ4891" i="7"/>
  <c r="AJ4790" i="7"/>
  <c r="AJ4789" i="7"/>
  <c r="AJ4787" i="7"/>
  <c r="AJ4786" i="7"/>
  <c r="AJ4785" i="7"/>
  <c r="AJ4784" i="7"/>
  <c r="AJ4783" i="7"/>
  <c r="AJ4782" i="7"/>
  <c r="AJ4781" i="7"/>
  <c r="AJ4780" i="7"/>
  <c r="AJ4778" i="7"/>
  <c r="AJ4775" i="7"/>
  <c r="AJ4774" i="7"/>
  <c r="AJ4773" i="7"/>
  <c r="AJ4772" i="7"/>
  <c r="AJ4771" i="7"/>
  <c r="AJ4770" i="7"/>
  <c r="AJ4769" i="7"/>
  <c r="AJ4768" i="7"/>
  <c r="AJ4618" i="7"/>
  <c r="AJ4617" i="7"/>
  <c r="AJ3638" i="7"/>
  <c r="AJ3637" i="7"/>
  <c r="AJ3636" i="7"/>
  <c r="AJ3635" i="7"/>
  <c r="AJ3634" i="7"/>
  <c r="AJ3633" i="7"/>
  <c r="AJ3632" i="7"/>
  <c r="AJ3631" i="7"/>
  <c r="AJ3630" i="7"/>
  <c r="AJ3419" i="7"/>
  <c r="AJ3418" i="7"/>
  <c r="AJ3417" i="7"/>
  <c r="AJ3411" i="7"/>
  <c r="AJ3410" i="7"/>
  <c r="AJ3409" i="7"/>
  <c r="AJ3408" i="7"/>
  <c r="AJ3407" i="7"/>
  <c r="AJ3406" i="7"/>
  <c r="AJ3384" i="7"/>
  <c r="AJ3383" i="7"/>
  <c r="AJ3382" i="7"/>
  <c r="AJ3381" i="7"/>
  <c r="AJ3380" i="7"/>
  <c r="AJ3379" i="7"/>
  <c r="AJ3378" i="7"/>
  <c r="AJ3377" i="7"/>
  <c r="AJ3376" i="7"/>
  <c r="AJ3375" i="7"/>
  <c r="AJ3374" i="7"/>
  <c r="AJ3373" i="7"/>
  <c r="AJ3074" i="7"/>
  <c r="AJ3073" i="7"/>
  <c r="AJ3072" i="7"/>
  <c r="AJ3071" i="7"/>
  <c r="AJ2864" i="7"/>
  <c r="AJ2691" i="7"/>
  <c r="AJ2692" i="7"/>
  <c r="AJ2518" i="7"/>
  <c r="AJ2517" i="7"/>
  <c r="AJ2516" i="7"/>
  <c r="AJ2515" i="7"/>
  <c r="AJ2514" i="7"/>
  <c r="AJ2513" i="7"/>
  <c r="AJ2511" i="7"/>
  <c r="AJ2510" i="7"/>
  <c r="AJ2509" i="7"/>
  <c r="AJ2508" i="7"/>
  <c r="AJ2507" i="7"/>
  <c r="AJ2505" i="7"/>
  <c r="AJ2504" i="7"/>
  <c r="AJ2503" i="7"/>
  <c r="AJ2502" i="7"/>
  <c r="AJ2501" i="7"/>
  <c r="AJ2500" i="7"/>
  <c r="AJ2499" i="7"/>
  <c r="AJ2498" i="7"/>
  <c r="AJ2497" i="7"/>
  <c r="AJ2496" i="7"/>
  <c r="AJ2495" i="7"/>
  <c r="AJ2494" i="7"/>
  <c r="AJ2493" i="7"/>
  <c r="AJ2492" i="7"/>
  <c r="AJ2489" i="7"/>
  <c r="AJ2488" i="7"/>
  <c r="AJ2487" i="7"/>
  <c r="AJ2486" i="7"/>
  <c r="AJ2484" i="7"/>
  <c r="AJ2483" i="7"/>
  <c r="AJ2482" i="7"/>
  <c r="AJ2467" i="7"/>
  <c r="AJ2478" i="7"/>
  <c r="AJ2476" i="7"/>
  <c r="AJ2475" i="7"/>
  <c r="AJ2474" i="7"/>
  <c r="AJ2473" i="7"/>
  <c r="AJ2472" i="7"/>
  <c r="AJ2471" i="7"/>
  <c r="AJ2470" i="7"/>
  <c r="AJ2469" i="7"/>
  <c r="AJ2466" i="7"/>
  <c r="AJ2360" i="7"/>
  <c r="AJ2359" i="7"/>
  <c r="AJ2160" i="7"/>
  <c r="AJ2159" i="7"/>
  <c r="AJ2158" i="7"/>
  <c r="AJ1838" i="7"/>
  <c r="AJ1752" i="7"/>
  <c r="AJ1692" i="7"/>
  <c r="AJ1691" i="7"/>
  <c r="AJ1690" i="7"/>
  <c r="AJ1689" i="7"/>
  <c r="AJ1688" i="7"/>
  <c r="AJ1687" i="7"/>
  <c r="AJ1686" i="7"/>
  <c r="AJ1518" i="7"/>
  <c r="AJ1517" i="7"/>
  <c r="AJ1338" i="7"/>
  <c r="AJ1327" i="7"/>
  <c r="AJ1326" i="7"/>
  <c r="AJ1162" i="7"/>
  <c r="AJ1161" i="7"/>
  <c r="AJ1160" i="7"/>
  <c r="AJ1159" i="7"/>
  <c r="AJ1158" i="7"/>
  <c r="AJ1157" i="7"/>
  <c r="AJ1156" i="7"/>
  <c r="AJ1155" i="7"/>
  <c r="AJ1154" i="7"/>
  <c r="AJ1023" i="7"/>
  <c r="AJ1022" i="7"/>
  <c r="AJ996" i="7"/>
  <c r="AJ994" i="7"/>
  <c r="AJ993" i="7"/>
  <c r="AJ992" i="7"/>
  <c r="AJ971" i="7"/>
  <c r="AJ970" i="7"/>
  <c r="AJ969" i="7"/>
  <c r="AJ968" i="7"/>
  <c r="AJ967" i="7"/>
  <c r="AJ965" i="7"/>
  <c r="AJ964" i="7"/>
  <c r="AJ963" i="7"/>
  <c r="AJ925" i="7"/>
  <c r="AJ924" i="7"/>
  <c r="AJ923" i="7"/>
  <c r="AJ611" i="7"/>
  <c r="AJ610" i="7"/>
  <c r="AJ609" i="7"/>
  <c r="AJ608" i="7"/>
  <c r="AJ607" i="7"/>
  <c r="AJ606" i="7"/>
  <c r="AJ605" i="7"/>
  <c r="AJ604" i="7"/>
  <c r="AJ602" i="7"/>
  <c r="AJ374" i="7"/>
  <c r="AJ373" i="7"/>
  <c r="AJ372" i="7"/>
  <c r="AJ194" i="7"/>
  <c r="AJ193" i="7"/>
  <c r="AJ192" i="7"/>
  <c r="AJ191" i="7"/>
  <c r="AJ186" i="7"/>
  <c r="AJ185" i="7"/>
  <c r="AJ184" i="7"/>
  <c r="AJ183" i="7"/>
  <c r="AJ170" i="7"/>
  <c r="AJ34" i="7"/>
  <c r="AJ33" i="7"/>
  <c r="D2518" i="7"/>
  <c r="O2518" i="7"/>
  <c r="Z2518" i="7"/>
  <c r="AF2518" i="7"/>
  <c r="D2253" i="7"/>
  <c r="J2253" i="7"/>
  <c r="M2253" i="7"/>
  <c r="Z2253" i="7"/>
  <c r="D2255" i="7"/>
  <c r="J2255" i="7"/>
  <c r="M2255" i="7"/>
  <c r="Z2255" i="7"/>
  <c r="Z836" i="7"/>
  <c r="D2566" i="7" l="1"/>
  <c r="J2566" i="7"/>
  <c r="Z2566" i="7"/>
  <c r="J1015" i="7"/>
  <c r="Z1015" i="7"/>
  <c r="J129" i="7"/>
  <c r="L129" i="7"/>
  <c r="W129" i="7"/>
  <c r="Z129" i="7"/>
  <c r="AA129" i="7"/>
  <c r="AB129" i="7"/>
  <c r="AF129" i="7"/>
  <c r="AI129" i="7"/>
  <c r="D1930" i="7"/>
  <c r="J1930" i="7"/>
  <c r="L1930" i="7"/>
  <c r="X1930" i="7"/>
  <c r="Z1930" i="7"/>
  <c r="D3635" i="7"/>
  <c r="J3635" i="7"/>
  <c r="M3635" i="7"/>
  <c r="Z3635" i="7"/>
  <c r="AA3635" i="7"/>
  <c r="AC3635" i="7"/>
  <c r="AF3635" i="7"/>
  <c r="D2343" i="7"/>
  <c r="M2343" i="7"/>
  <c r="X2343" i="7"/>
  <c r="Z2343" i="7"/>
  <c r="AF2343" i="7"/>
  <c r="AF1260" i="7"/>
  <c r="Z1260" i="7"/>
  <c r="J2011" i="7"/>
  <c r="D2011" i="7"/>
  <c r="Z2011" i="7"/>
  <c r="J1992" i="7"/>
  <c r="J1991" i="7"/>
  <c r="D2350" i="7"/>
  <c r="X2350" i="7"/>
  <c r="Z2350" i="7"/>
  <c r="AF1992" i="7"/>
  <c r="AF1991" i="7"/>
  <c r="L1992" i="7"/>
  <c r="L1991" i="7"/>
  <c r="D1992" i="7"/>
  <c r="Z1992" i="7"/>
  <c r="D1991" i="7"/>
  <c r="Z1991" i="7"/>
  <c r="D2784" i="7"/>
  <c r="J2784" i="7"/>
  <c r="Z2784" i="7"/>
  <c r="AA2784" i="7"/>
  <c r="AF2784" i="7"/>
  <c r="D2467" i="7"/>
  <c r="O2467" i="7"/>
  <c r="Z2467" i="7"/>
  <c r="AF2467" i="7"/>
  <c r="D4273" i="7"/>
  <c r="J4273" i="7"/>
  <c r="L4273" i="7"/>
  <c r="Z4273" i="7"/>
  <c r="AA4273" i="7"/>
  <c r="AF4273" i="7"/>
  <c r="D4209" i="7"/>
  <c r="J4209" i="7"/>
  <c r="L4209" i="7"/>
  <c r="Z4209" i="7"/>
  <c r="D4208" i="7"/>
  <c r="J4208" i="7"/>
  <c r="L4208" i="7"/>
  <c r="Z4208" i="7"/>
  <c r="Z72" i="7"/>
  <c r="Z73" i="7"/>
  <c r="Z74" i="7"/>
  <c r="Z75" i="7"/>
  <c r="Z76" i="7"/>
  <c r="Z77" i="7"/>
  <c r="Z78" i="7"/>
  <c r="Z79" i="7"/>
  <c r="Z80" i="7"/>
  <c r="Z81" i="7"/>
  <c r="Z82" i="7"/>
  <c r="Z83" i="7"/>
  <c r="Z84" i="7"/>
  <c r="Z85" i="7"/>
  <c r="Z86" i="7"/>
  <c r="Z87" i="7"/>
  <c r="J81" i="7"/>
  <c r="L81" i="7"/>
  <c r="O81" i="7"/>
  <c r="AA81" i="7"/>
  <c r="AF81" i="7"/>
  <c r="D1473" i="7"/>
  <c r="Z1473" i="7"/>
  <c r="J935" i="7"/>
  <c r="Z935" i="7"/>
  <c r="AA935" i="7"/>
  <c r="AF935" i="7"/>
  <c r="AI935" i="7"/>
  <c r="J430" i="7"/>
  <c r="Z430" i="7"/>
  <c r="AF430" i="7"/>
  <c r="Z643" i="7"/>
  <c r="AC643" i="7"/>
  <c r="AF643" i="7"/>
  <c r="AF4352" i="7"/>
  <c r="AF4353" i="7"/>
  <c r="AF4354" i="7"/>
  <c r="AF4355" i="7"/>
  <c r="AF4356" i="7"/>
  <c r="AF4357" i="7"/>
  <c r="AF4358" i="7"/>
  <c r="AF4359" i="7"/>
  <c r="AF4360" i="7"/>
  <c r="AF4361" i="7"/>
  <c r="AF4362" i="7"/>
  <c r="AF4363" i="7"/>
  <c r="AF4365" i="7"/>
  <c r="AF4366" i="7"/>
  <c r="AF4367" i="7"/>
  <c r="AF4368" i="7"/>
  <c r="AF4351" i="7"/>
  <c r="J2244" i="7"/>
  <c r="J2245" i="7"/>
  <c r="J2246" i="7"/>
  <c r="J2247" i="7"/>
  <c r="J2248" i="7"/>
  <c r="J2249" i="7"/>
  <c r="J2250" i="7"/>
  <c r="J2251" i="7"/>
  <c r="J2252" i="7"/>
  <c r="J2254" i="7"/>
  <c r="J2256" i="7"/>
  <c r="J2257" i="7"/>
  <c r="AB482" i="7"/>
  <c r="Z482" i="7"/>
  <c r="M482" i="7"/>
  <c r="J482" i="7"/>
  <c r="Z1563" i="7"/>
  <c r="Z1564" i="7"/>
  <c r="Z1565" i="7"/>
  <c r="D1565" i="7"/>
  <c r="J1565" i="7"/>
  <c r="M1565" i="7"/>
  <c r="D3098" i="7"/>
  <c r="M3098" i="7"/>
  <c r="W3098" i="7"/>
  <c r="Z3098" i="7"/>
  <c r="AI3098" i="7"/>
  <c r="J341" i="7"/>
  <c r="Z341" i="7"/>
  <c r="AF341" i="7"/>
  <c r="AA4272" i="7"/>
  <c r="AA4271" i="7"/>
  <c r="D4272" i="7"/>
  <c r="J4272" i="7"/>
  <c r="L4272" i="7"/>
  <c r="Z4272" i="7"/>
  <c r="AF4272" i="7"/>
  <c r="J3580" i="7" l="1"/>
  <c r="J3581" i="7"/>
  <c r="J3582" i="7"/>
  <c r="J3584" i="7"/>
  <c r="J3585" i="7"/>
  <c r="J3586" i="7"/>
  <c r="D3586" i="7"/>
  <c r="O3586" i="7"/>
  <c r="Z3586" i="7"/>
  <c r="AF3586" i="7"/>
  <c r="AI3586" i="7"/>
  <c r="AF2691" i="7" l="1"/>
  <c r="AA2691" i="7"/>
  <c r="AA2692" i="7"/>
  <c r="M2691" i="7"/>
  <c r="D2691" i="7"/>
  <c r="O2691" i="7"/>
  <c r="Z2691" i="7"/>
  <c r="D3261" i="7"/>
  <c r="Z3261" i="7"/>
  <c r="Z639" i="7"/>
  <c r="D1502" i="7"/>
  <c r="J1502" i="7"/>
  <c r="Z1502" i="7"/>
  <c r="AA1502" i="7"/>
  <c r="J43" i="7"/>
  <c r="J42" i="7"/>
  <c r="Z43" i="7"/>
  <c r="Z42" i="7"/>
  <c r="J747" i="7" l="1"/>
  <c r="Z747" i="7"/>
  <c r="D2091" i="7"/>
  <c r="J2091" i="7"/>
  <c r="M2091" i="7"/>
  <c r="Z2091" i="7"/>
  <c r="AE2091" i="7"/>
  <c r="D1613" i="7"/>
  <c r="J1613" i="7"/>
  <c r="L1613" i="7"/>
  <c r="X1613" i="7"/>
  <c r="Z1613" i="7"/>
  <c r="AC1613" i="7"/>
  <c r="AA875" i="7"/>
  <c r="AA876" i="7"/>
  <c r="AA877" i="7"/>
  <c r="AA878" i="7"/>
  <c r="AA879" i="7"/>
  <c r="AA880" i="7"/>
  <c r="AA881" i="7"/>
  <c r="AA882" i="7"/>
  <c r="AA883" i="7"/>
  <c r="AA884" i="7"/>
  <c r="AA885" i="7"/>
  <c r="AA886" i="7"/>
  <c r="AA874" i="7"/>
  <c r="M875" i="7"/>
  <c r="M876" i="7"/>
  <c r="M877" i="7"/>
  <c r="M878" i="7"/>
  <c r="M879" i="7"/>
  <c r="M880" i="7"/>
  <c r="M881" i="7"/>
  <c r="M882" i="7"/>
  <c r="M883" i="7"/>
  <c r="M884" i="7"/>
  <c r="M885" i="7"/>
  <c r="M886" i="7"/>
  <c r="M874" i="7"/>
  <c r="AF874" i="7"/>
  <c r="AF875" i="7"/>
  <c r="AF876" i="7"/>
  <c r="AF877" i="7"/>
  <c r="AF878" i="7"/>
  <c r="AF879" i="7"/>
  <c r="AF880" i="7"/>
  <c r="AF881" i="7"/>
  <c r="AF882" i="7"/>
  <c r="AF883" i="7"/>
  <c r="AF884" i="7"/>
  <c r="AF885" i="7"/>
  <c r="AF886" i="7"/>
  <c r="D3180" i="7"/>
  <c r="J3180" i="7"/>
  <c r="Z3180" i="7"/>
  <c r="AA3180" i="7"/>
  <c r="AF3180" i="7"/>
  <c r="D3572" i="7"/>
  <c r="J3572" i="7"/>
  <c r="L3572" i="7"/>
  <c r="Z3572" i="7"/>
  <c r="AA3572" i="7"/>
  <c r="AF3572" i="7"/>
  <c r="D1564" i="7"/>
  <c r="J1564" i="7"/>
  <c r="M1564" i="7"/>
  <c r="D2647" i="7"/>
  <c r="J2647" i="7"/>
  <c r="M2647" i="7"/>
  <c r="Z2647" i="7"/>
  <c r="AA2647" i="7"/>
  <c r="AE2647" i="7"/>
  <c r="AF2647" i="7"/>
  <c r="AI2647" i="7"/>
  <c r="D4683" i="7"/>
  <c r="M4683" i="7"/>
  <c r="Z4683" i="7"/>
  <c r="AF4683" i="7"/>
  <c r="AI4683" i="7"/>
  <c r="D2926" i="7"/>
  <c r="L2926" i="7"/>
  <c r="Z2926" i="7"/>
  <c r="AE2926" i="7"/>
  <c r="AF2926" i="7"/>
  <c r="D4207" i="7"/>
  <c r="J4207" i="7"/>
  <c r="L4207" i="7"/>
  <c r="Z4207" i="7"/>
  <c r="D3567" i="7"/>
  <c r="J3567" i="7"/>
  <c r="L3567" i="7"/>
  <c r="Z3567" i="7"/>
  <c r="AA3567" i="7"/>
  <c r="AF3567" i="7"/>
  <c r="D2780" i="7"/>
  <c r="J2780" i="7"/>
  <c r="L2780" i="7"/>
  <c r="Z2780" i="7"/>
  <c r="AA2780" i="7"/>
  <c r="AF2780" i="7"/>
  <c r="D4853" i="7"/>
  <c r="J4853" i="7"/>
  <c r="Z4853" i="7"/>
  <c r="D4653" i="7"/>
  <c r="J4653" i="7"/>
  <c r="M4653" i="7"/>
  <c r="Z4653" i="7"/>
  <c r="AF4653" i="7"/>
  <c r="D2005" i="7"/>
  <c r="J2005" i="7"/>
  <c r="M2005" i="7"/>
  <c r="Z2005" i="7"/>
  <c r="AA2005" i="7"/>
  <c r="AB2005" i="7"/>
  <c r="AF2005" i="7"/>
  <c r="D2978" i="7"/>
  <c r="J2978" i="7"/>
  <c r="M2978" i="7"/>
  <c r="Z2978" i="7"/>
  <c r="AE2978" i="7"/>
  <c r="AF2978" i="7"/>
  <c r="D2970" i="7"/>
  <c r="AA1985" i="7"/>
  <c r="AF1985" i="7"/>
  <c r="J1985" i="7"/>
  <c r="D1985" i="7"/>
  <c r="Z1985" i="7"/>
  <c r="D1561" i="7" l="1"/>
  <c r="J1561" i="7"/>
  <c r="M1561" i="7"/>
  <c r="Z1561" i="7"/>
  <c r="D1563" i="7"/>
  <c r="J1563" i="7"/>
  <c r="M1563" i="7"/>
  <c r="J472" i="7"/>
  <c r="M472" i="7"/>
  <c r="Z472" i="7"/>
  <c r="AB472" i="7"/>
  <c r="D2781" i="7" l="1"/>
  <c r="J2781" i="7"/>
  <c r="L2781" i="7"/>
  <c r="Z2781" i="7"/>
  <c r="AA2781" i="7"/>
  <c r="AF2781" i="7"/>
  <c r="J1100" i="7"/>
  <c r="Z1100" i="7"/>
  <c r="J1078" i="7"/>
  <c r="Z1078" i="7"/>
  <c r="J1662" i="7"/>
  <c r="Z1662" i="7"/>
  <c r="AF1662" i="7"/>
  <c r="D3259" i="7"/>
  <c r="Z3259" i="7"/>
  <c r="D3419" i="7"/>
  <c r="M3419" i="7"/>
  <c r="O3419" i="7"/>
  <c r="Z3419" i="7"/>
  <c r="D3668" i="7"/>
  <c r="L3668" i="7"/>
  <c r="Z3668" i="7"/>
  <c r="AI3668" i="7"/>
  <c r="AI1243" i="7"/>
  <c r="AI2642" i="7"/>
  <c r="AI3583" i="7"/>
  <c r="AI3669" i="7"/>
  <c r="AE1323" i="7"/>
  <c r="AF508" i="7"/>
  <c r="AF235" i="7"/>
  <c r="AF640" i="7"/>
  <c r="AF1323" i="7"/>
  <c r="AF1243" i="7"/>
  <c r="AE2642" i="7"/>
  <c r="AF2783" i="7"/>
  <c r="AF2685" i="7"/>
  <c r="AF2642" i="7"/>
  <c r="AF1885" i="7"/>
  <c r="AF3583" i="7"/>
  <c r="AF3234" i="7"/>
  <c r="AF3179" i="7"/>
  <c r="AF3178" i="7"/>
  <c r="AF4372" i="7"/>
  <c r="AF4021" i="7"/>
  <c r="AF4020" i="7"/>
  <c r="AA4372" i="7"/>
  <c r="AA4021" i="7"/>
  <c r="AA4020" i="7"/>
  <c r="AA3179" i="7"/>
  <c r="AA3178" i="7"/>
  <c r="AA2783" i="7"/>
  <c r="AA2685" i="7"/>
  <c r="AA2642" i="7"/>
  <c r="AA1323" i="7"/>
  <c r="AC640" i="7"/>
  <c r="AA508" i="7"/>
  <c r="Z235" i="7"/>
  <c r="Z508" i="7"/>
  <c r="Z640" i="7"/>
  <c r="Z942" i="7"/>
  <c r="Z1162" i="7"/>
  <c r="Z1243" i="7"/>
  <c r="Z1323" i="7"/>
  <c r="Z1885" i="7"/>
  <c r="Z2642" i="7"/>
  <c r="Z2685" i="7"/>
  <c r="Z2783" i="7"/>
  <c r="Z2880" i="7"/>
  <c r="Z3178" i="7"/>
  <c r="Z3179" i="7"/>
  <c r="Z3234" i="7"/>
  <c r="Z3583" i="7"/>
  <c r="Z3669" i="7"/>
  <c r="Z4008" i="7"/>
  <c r="Z4020" i="7"/>
  <c r="Z4021" i="7"/>
  <c r="Z4372" i="7"/>
  <c r="Z194" i="7"/>
  <c r="P4008" i="7"/>
  <c r="O1162" i="7"/>
  <c r="O508" i="7"/>
  <c r="O194" i="7"/>
  <c r="M1323" i="7"/>
  <c r="M4372" i="7"/>
  <c r="M3234" i="7"/>
  <c r="M2880" i="7"/>
  <c r="M2642" i="7"/>
  <c r="M508" i="7"/>
  <c r="M235" i="7"/>
  <c r="M194" i="7"/>
  <c r="L3234" i="7"/>
  <c r="L2880" i="7"/>
  <c r="L1885" i="7"/>
  <c r="L1243" i="7"/>
  <c r="J4372" i="7"/>
  <c r="J4021" i="7"/>
  <c r="J4020" i="7"/>
  <c r="J1323" i="7"/>
  <c r="J1885" i="7"/>
  <c r="J2642" i="7"/>
  <c r="J2685" i="7"/>
  <c r="J2783" i="7"/>
  <c r="J2880" i="7"/>
  <c r="J3178" i="7"/>
  <c r="J3179" i="7"/>
  <c r="J3234" i="7"/>
  <c r="J3583" i="7"/>
  <c r="J1243" i="7"/>
  <c r="J942" i="7"/>
  <c r="J235" i="7"/>
  <c r="D4372" i="7"/>
  <c r="D4020" i="7"/>
  <c r="D4021" i="7"/>
  <c r="D4008" i="7"/>
  <c r="D3669" i="7"/>
  <c r="D3583" i="7"/>
  <c r="D3234" i="7"/>
  <c r="D3179" i="7"/>
  <c r="D3178" i="7"/>
  <c r="D2880" i="7"/>
  <c r="D2783" i="7"/>
  <c r="D2685" i="7"/>
  <c r="D2642" i="7"/>
  <c r="D1885" i="7"/>
  <c r="D1323" i="7"/>
  <c r="B216" i="5" l="1"/>
  <c r="B214" i="5"/>
  <c r="B213" i="5"/>
  <c r="B211" i="5"/>
  <c r="B209" i="5"/>
  <c r="B208" i="5"/>
  <c r="B207" i="5"/>
  <c r="B206" i="5"/>
  <c r="B205" i="5"/>
  <c r="B204" i="5"/>
  <c r="B203" i="5"/>
  <c r="B202" i="5"/>
  <c r="B201" i="5"/>
  <c r="B201" i="2"/>
  <c r="C201" i="2" s="1"/>
  <c r="B202" i="2"/>
  <c r="C202" i="2" s="1"/>
  <c r="B203" i="2"/>
  <c r="C203" i="2" s="1"/>
  <c r="B204" i="2"/>
  <c r="C204" i="2" s="1"/>
  <c r="B205" i="2"/>
  <c r="C205" i="2" s="1"/>
  <c r="B206" i="2"/>
  <c r="C206" i="2" s="1"/>
  <c r="B207" i="2"/>
  <c r="C207" i="2" s="1"/>
  <c r="B208" i="2"/>
  <c r="C208" i="2" s="1"/>
  <c r="B200" i="2"/>
  <c r="C200" i="2" s="1"/>
  <c r="B213" i="2"/>
  <c r="C213" i="2" s="1"/>
  <c r="B215" i="2"/>
  <c r="C215" i="2" s="1"/>
  <c r="B212" i="2"/>
  <c r="C212" i="2" s="1"/>
  <c r="B225" i="5" l="1"/>
  <c r="B224" i="2"/>
  <c r="C224" i="2" s="1"/>
  <c r="B220" i="5"/>
  <c r="B219" i="2"/>
  <c r="C219" i="2" s="1"/>
  <c r="B210" i="2"/>
  <c r="C210" i="2" s="1"/>
  <c r="B218" i="5" l="1"/>
  <c r="B217" i="2"/>
  <c r="C217" i="2" s="1"/>
  <c r="B217" i="5"/>
  <c r="B216" i="2"/>
  <c r="C216" i="2" s="1"/>
  <c r="B218" i="2"/>
  <c r="C218" i="2" s="1"/>
  <c r="B219" i="5"/>
  <c r="B220" i="2"/>
  <c r="C220" i="2" s="1"/>
  <c r="B221" i="5"/>
  <c r="B221" i="2"/>
  <c r="C221" i="2" s="1"/>
  <c r="B222" i="5"/>
  <c r="B223" i="5"/>
  <c r="B222" i="2"/>
  <c r="C222" i="2" s="1"/>
  <c r="B224" i="5"/>
  <c r="B223" i="2"/>
  <c r="C223" i="2" s="1"/>
  <c r="AR4" i="3" l="1" a="1"/>
  <c r="AR4" i="3" s="1"/>
  <c r="AR2" i="3"/>
  <c r="AQ2" i="3"/>
  <c r="AP2" i="3"/>
  <c r="AO2" i="3"/>
  <c r="AN2" i="3"/>
  <c r="AM2" i="3"/>
  <c r="AL2" i="3"/>
  <c r="AK2" i="3"/>
  <c r="AJ2" i="3"/>
  <c r="AI2" i="3"/>
  <c r="AQ4" i="3" a="1"/>
  <c r="AQ4" i="3" s="1"/>
  <c r="AP4" i="3" a="1"/>
  <c r="AP4" i="3" s="1"/>
  <c r="AO4" i="3" a="1"/>
  <c r="AO4" i="3" s="1"/>
  <c r="AN4" i="3" a="1"/>
  <c r="AN4" i="3" s="1"/>
  <c r="AM4" i="3" a="1"/>
  <c r="AM4" i="3" s="1"/>
  <c r="AL4" i="3" a="1"/>
  <c r="AL4" i="3" s="1"/>
  <c r="AK4" i="3" a="1"/>
  <c r="AK4" i="3" s="1"/>
  <c r="AJ4" i="3" a="1"/>
  <c r="AJ4" i="3" s="1"/>
  <c r="AI4" i="3" a="1"/>
  <c r="AI4" i="3" s="1"/>
  <c r="AH4" i="3" a="1"/>
  <c r="AH4" i="3" s="1"/>
  <c r="K5" i="12"/>
  <c r="K4" i="12" l="1"/>
  <c r="K3" i="12"/>
  <c r="O50" i="12" l="1"/>
  <c r="B213" i="21" s="1"/>
  <c r="B215" i="5"/>
  <c r="X54" i="12"/>
  <c r="X62" i="12"/>
  <c r="X55" i="12"/>
  <c r="X61" i="12"/>
  <c r="X56" i="12"/>
  <c r="X57" i="12"/>
  <c r="X60" i="12"/>
  <c r="X58" i="12"/>
  <c r="X59" i="12"/>
  <c r="B237" i="19" l="1"/>
  <c r="B245" i="18"/>
  <c r="Y50" i="12"/>
  <c r="B214" i="2"/>
  <c r="C214" i="2" s="1"/>
  <c r="B210" i="5"/>
  <c r="B209" i="2"/>
  <c r="C209" i="2" s="1"/>
  <c r="Z4900" i="7"/>
  <c r="D4900" i="7"/>
  <c r="Z4899" i="7"/>
  <c r="O4899" i="7"/>
  <c r="D4899" i="7"/>
  <c r="Z4898" i="7"/>
  <c r="O4898" i="7"/>
  <c r="D4898" i="7"/>
  <c r="Z4897" i="7"/>
  <c r="O4897" i="7"/>
  <c r="D4897" i="7"/>
  <c r="Z4896" i="7"/>
  <c r="O4896" i="7"/>
  <c r="D4896" i="7"/>
  <c r="Z4895" i="7"/>
  <c r="O4895" i="7"/>
  <c r="D4895" i="7"/>
  <c r="Z4894" i="7"/>
  <c r="O4894" i="7"/>
  <c r="D4894" i="7"/>
  <c r="Z4893" i="7"/>
  <c r="O4893" i="7"/>
  <c r="D4893" i="7"/>
  <c r="Z4892" i="7"/>
  <c r="O4892" i="7"/>
  <c r="D4892" i="7"/>
  <c r="Z4891" i="7"/>
  <c r="O4891" i="7"/>
  <c r="D4891" i="7"/>
  <c r="AF4888" i="7"/>
  <c r="AA4888" i="7"/>
  <c r="Z4888" i="7"/>
  <c r="L4888" i="7"/>
  <c r="J4888" i="7"/>
  <c r="D4888" i="7"/>
  <c r="AF4887" i="7"/>
  <c r="AA4887" i="7"/>
  <c r="Z4887" i="7"/>
  <c r="L4887" i="7"/>
  <c r="J4887" i="7"/>
  <c r="D4887" i="7"/>
  <c r="AF4886" i="7"/>
  <c r="AA4886" i="7"/>
  <c r="Z4886" i="7"/>
  <c r="L4886" i="7"/>
  <c r="J4886" i="7"/>
  <c r="D4886" i="7"/>
  <c r="AF4885" i="7"/>
  <c r="AA4885" i="7"/>
  <c r="Z4885" i="7"/>
  <c r="L4885" i="7"/>
  <c r="J4885" i="7"/>
  <c r="D4885" i="7"/>
  <c r="AI4884" i="7"/>
  <c r="AF4884" i="7"/>
  <c r="Z4884" i="7"/>
  <c r="J4884" i="7"/>
  <c r="D4884" i="7"/>
  <c r="AI4883" i="7"/>
  <c r="AF4883" i="7"/>
  <c r="Z4883" i="7"/>
  <c r="J4883" i="7"/>
  <c r="D4883" i="7"/>
  <c r="AI4882" i="7"/>
  <c r="AF4882" i="7"/>
  <c r="Z4882" i="7"/>
  <c r="J4882" i="7"/>
  <c r="D4882" i="7"/>
  <c r="AI4881" i="7"/>
  <c r="AF4881" i="7"/>
  <c r="Z4881" i="7"/>
  <c r="J4881" i="7"/>
  <c r="D4881" i="7"/>
  <c r="AI4880" i="7"/>
  <c r="AF4880" i="7"/>
  <c r="Z4880" i="7"/>
  <c r="J4880" i="7"/>
  <c r="D4880" i="7"/>
  <c r="AI4879" i="7"/>
  <c r="AF4879" i="7"/>
  <c r="Z4879" i="7"/>
  <c r="J4879" i="7"/>
  <c r="D4879" i="7"/>
  <c r="AI4878" i="7"/>
  <c r="AF4878" i="7"/>
  <c r="Z4878" i="7"/>
  <c r="J4878" i="7"/>
  <c r="D4878" i="7"/>
  <c r="AI4877" i="7"/>
  <c r="AF4877" i="7"/>
  <c r="Z4877" i="7"/>
  <c r="J4877" i="7"/>
  <c r="D4877" i="7"/>
  <c r="AI4876" i="7"/>
  <c r="AF4876" i="7"/>
  <c r="Z4876" i="7"/>
  <c r="J4876" i="7"/>
  <c r="D4876" i="7"/>
  <c r="AI4875" i="7"/>
  <c r="AF4875" i="7"/>
  <c r="Z4875" i="7"/>
  <c r="J4875" i="7"/>
  <c r="D4875" i="7"/>
  <c r="AI4874" i="7"/>
  <c r="AF4874" i="7"/>
  <c r="Z4874" i="7"/>
  <c r="J4874" i="7"/>
  <c r="D4874" i="7"/>
  <c r="AI4873" i="7"/>
  <c r="AF4873" i="7"/>
  <c r="Z4873" i="7"/>
  <c r="J4873" i="7"/>
  <c r="D4873" i="7"/>
  <c r="AI4872" i="7"/>
  <c r="AF4872" i="7"/>
  <c r="Z4872" i="7"/>
  <c r="J4872" i="7"/>
  <c r="D4872" i="7"/>
  <c r="Z4871" i="7"/>
  <c r="J4871" i="7"/>
  <c r="D4871" i="7"/>
  <c r="AF4868" i="7"/>
  <c r="AC4868" i="7"/>
  <c r="Z4868" i="7"/>
  <c r="N4868" i="7"/>
  <c r="J4868" i="7"/>
  <c r="D4868" i="7"/>
  <c r="Z4860" i="7"/>
  <c r="J4860" i="7"/>
  <c r="D4860" i="7"/>
  <c r="Z4858" i="7"/>
  <c r="J4858" i="7"/>
  <c r="D4858" i="7"/>
  <c r="Z4854" i="7"/>
  <c r="J4854" i="7"/>
  <c r="D4854" i="7"/>
  <c r="Z4852" i="7"/>
  <c r="J4852" i="7"/>
  <c r="D4852" i="7"/>
  <c r="Z4851" i="7"/>
  <c r="J4851" i="7"/>
  <c r="D4851" i="7"/>
  <c r="Z4850" i="7"/>
  <c r="J4850" i="7"/>
  <c r="D4850" i="7"/>
  <c r="Z4849" i="7"/>
  <c r="J4849" i="7"/>
  <c r="D4849" i="7"/>
  <c r="Z4848" i="7"/>
  <c r="J4848" i="7"/>
  <c r="D4848" i="7"/>
  <c r="Z4847" i="7"/>
  <c r="J4847" i="7"/>
  <c r="D4847" i="7"/>
  <c r="Z4846" i="7"/>
  <c r="J4846" i="7"/>
  <c r="D4846" i="7"/>
  <c r="Z4845" i="7"/>
  <c r="J4845" i="7"/>
  <c r="D4845" i="7"/>
  <c r="Z4844" i="7"/>
  <c r="J4844" i="7"/>
  <c r="D4844" i="7"/>
  <c r="Z4843" i="7"/>
  <c r="J4843" i="7"/>
  <c r="D4843" i="7"/>
  <c r="Z4842" i="7"/>
  <c r="J4842" i="7"/>
  <c r="D4842" i="7"/>
  <c r="Z4841" i="7"/>
  <c r="J4841" i="7"/>
  <c r="D4841" i="7"/>
  <c r="Z4840" i="7"/>
  <c r="J4840" i="7"/>
  <c r="D4840" i="7"/>
  <c r="Z4839" i="7"/>
  <c r="J4839" i="7"/>
  <c r="D4839" i="7"/>
  <c r="Z4838" i="7"/>
  <c r="J4838" i="7"/>
  <c r="D4838" i="7"/>
  <c r="Z4837" i="7"/>
  <c r="J4837" i="7"/>
  <c r="D4837" i="7"/>
  <c r="Z4836" i="7"/>
  <c r="J4836" i="7"/>
  <c r="D4836" i="7"/>
  <c r="Z4835" i="7"/>
  <c r="J4835" i="7"/>
  <c r="D4835" i="7"/>
  <c r="Z4834" i="7"/>
  <c r="J4834" i="7"/>
  <c r="D4834" i="7"/>
  <c r="Z4833" i="7"/>
  <c r="J4833" i="7"/>
  <c r="D4833" i="7"/>
  <c r="Z4832" i="7"/>
  <c r="J4832" i="7"/>
  <c r="D4832" i="7"/>
  <c r="Z4831" i="7"/>
  <c r="J4831" i="7"/>
  <c r="D4831" i="7"/>
  <c r="Z4830" i="7"/>
  <c r="J4830" i="7"/>
  <c r="D4830" i="7"/>
  <c r="Z4829" i="7"/>
  <c r="J4829" i="7"/>
  <c r="D4829" i="7"/>
  <c r="Z4828" i="7"/>
  <c r="J4828" i="7"/>
  <c r="D4828" i="7"/>
  <c r="Z4827" i="7"/>
  <c r="J4827" i="7"/>
  <c r="D4827" i="7"/>
  <c r="Z4824" i="7"/>
  <c r="J4824" i="7"/>
  <c r="D4824" i="7"/>
  <c r="Z4822" i="7"/>
  <c r="J4822" i="7"/>
  <c r="D4822" i="7"/>
  <c r="Z4821" i="7"/>
  <c r="J4821" i="7"/>
  <c r="D4821" i="7"/>
  <c r="Z4819" i="7"/>
  <c r="J4819" i="7"/>
  <c r="D4819" i="7"/>
  <c r="Z4818" i="7"/>
  <c r="J4818" i="7"/>
  <c r="D4818" i="7"/>
  <c r="Z4817" i="7"/>
  <c r="J4817" i="7"/>
  <c r="D4817" i="7"/>
  <c r="AI4816" i="7"/>
  <c r="AF4816" i="7"/>
  <c r="Z4816" i="7"/>
  <c r="M4816" i="7"/>
  <c r="J4816" i="7"/>
  <c r="D4816" i="7"/>
  <c r="AI4814" i="7"/>
  <c r="AF4814" i="7"/>
  <c r="Z4814" i="7"/>
  <c r="M4814" i="7"/>
  <c r="J4814" i="7"/>
  <c r="D4814" i="7"/>
  <c r="AI4813" i="7"/>
  <c r="AF4813" i="7"/>
  <c r="Z4813" i="7"/>
  <c r="M4813" i="7"/>
  <c r="J4813" i="7"/>
  <c r="D4813" i="7"/>
  <c r="AI4810" i="7"/>
  <c r="AF4810" i="7"/>
  <c r="Z4810" i="7"/>
  <c r="M4810" i="7"/>
  <c r="J4810" i="7"/>
  <c r="D4810" i="7"/>
  <c r="AF4807" i="7"/>
  <c r="Z4807" i="7"/>
  <c r="X4807" i="7"/>
  <c r="L4807" i="7"/>
  <c r="J4807" i="7"/>
  <c r="D4807" i="7"/>
  <c r="AF4805" i="7"/>
  <c r="Z4805" i="7"/>
  <c r="X4805" i="7"/>
  <c r="L4805" i="7"/>
  <c r="J4805" i="7"/>
  <c r="D4805" i="7"/>
  <c r="AF4809" i="7"/>
  <c r="Z4809" i="7"/>
  <c r="X4809" i="7"/>
  <c r="L4809" i="7"/>
  <c r="J4809" i="7"/>
  <c r="D4809" i="7"/>
  <c r="AF4808" i="7"/>
  <c r="Z4808" i="7"/>
  <c r="X4808" i="7"/>
  <c r="L4808" i="7"/>
  <c r="J4808" i="7"/>
  <c r="D4808" i="7"/>
  <c r="AF4804" i="7"/>
  <c r="Z4804" i="7"/>
  <c r="X4804" i="7"/>
  <c r="L4804" i="7"/>
  <c r="J4804" i="7"/>
  <c r="D4804" i="7"/>
  <c r="AF4803" i="7"/>
  <c r="Z4803" i="7"/>
  <c r="X4803" i="7"/>
  <c r="L4803" i="7"/>
  <c r="J4803" i="7"/>
  <c r="D4803" i="7"/>
  <c r="AI4802" i="7"/>
  <c r="AF4802" i="7"/>
  <c r="Z4802" i="7"/>
  <c r="O4802" i="7"/>
  <c r="M4802" i="7"/>
  <c r="D4802" i="7"/>
  <c r="AI4801" i="7"/>
  <c r="AF4801" i="7"/>
  <c r="Z4801" i="7"/>
  <c r="O4801" i="7"/>
  <c r="M4801" i="7"/>
  <c r="D4801" i="7"/>
  <c r="AI4800" i="7"/>
  <c r="AF4800" i="7"/>
  <c r="Z4800" i="7"/>
  <c r="O4800" i="7"/>
  <c r="M4800" i="7"/>
  <c r="D4800" i="7"/>
  <c r="AI4799" i="7"/>
  <c r="AF4799" i="7"/>
  <c r="Z4799" i="7"/>
  <c r="O4799" i="7"/>
  <c r="M4799" i="7"/>
  <c r="D4799" i="7"/>
  <c r="AI4798" i="7"/>
  <c r="AF4798" i="7"/>
  <c r="Z4798" i="7"/>
  <c r="O4798" i="7"/>
  <c r="M4798" i="7"/>
  <c r="D4798" i="7"/>
  <c r="AI4797" i="7"/>
  <c r="AF4797" i="7"/>
  <c r="Z4797" i="7"/>
  <c r="O4797" i="7"/>
  <c r="M4797" i="7"/>
  <c r="D4797" i="7"/>
  <c r="AI4796" i="7"/>
  <c r="AF4796" i="7"/>
  <c r="Z4796" i="7"/>
  <c r="O4796" i="7"/>
  <c r="M4796" i="7"/>
  <c r="D4796" i="7"/>
  <c r="AF4795" i="7"/>
  <c r="AA4795" i="7"/>
  <c r="Z4795" i="7"/>
  <c r="L4795" i="7"/>
  <c r="J4795" i="7"/>
  <c r="D4795" i="7"/>
  <c r="AF4794" i="7"/>
  <c r="AA4794" i="7"/>
  <c r="Z4794" i="7"/>
  <c r="L4794" i="7"/>
  <c r="J4794" i="7"/>
  <c r="D4794" i="7"/>
  <c r="AF4793" i="7"/>
  <c r="AA4793" i="7"/>
  <c r="Z4793" i="7"/>
  <c r="L4793" i="7"/>
  <c r="J4793" i="7"/>
  <c r="D4793" i="7"/>
  <c r="Z4790" i="7"/>
  <c r="O4790" i="7"/>
  <c r="D4790" i="7"/>
  <c r="Z4789" i="7"/>
  <c r="O4789" i="7"/>
  <c r="D4789" i="7"/>
  <c r="Z4787" i="7"/>
  <c r="O4787" i="7"/>
  <c r="D4787" i="7"/>
  <c r="Z4786" i="7"/>
  <c r="O4786" i="7"/>
  <c r="D4786" i="7"/>
  <c r="Z4785" i="7"/>
  <c r="O4785" i="7"/>
  <c r="D4785" i="7"/>
  <c r="Z4784" i="7"/>
  <c r="O4784" i="7"/>
  <c r="D4784" i="7"/>
  <c r="Z4783" i="7"/>
  <c r="O4783" i="7"/>
  <c r="D4783" i="7"/>
  <c r="Z4782" i="7"/>
  <c r="O4782" i="7"/>
  <c r="D4782" i="7"/>
  <c r="Z4781" i="7"/>
  <c r="O4781" i="7"/>
  <c r="D4781" i="7"/>
  <c r="Z4780" i="7"/>
  <c r="O4780" i="7"/>
  <c r="D4780" i="7"/>
  <c r="Z4778" i="7"/>
  <c r="O4778" i="7"/>
  <c r="D4778" i="7"/>
  <c r="Z4770" i="7"/>
  <c r="O4770" i="7"/>
  <c r="D4770" i="7"/>
  <c r="Z4775" i="7"/>
  <c r="O4775" i="7"/>
  <c r="D4775" i="7"/>
  <c r="Z4774" i="7"/>
  <c r="O4774" i="7"/>
  <c r="D4774" i="7"/>
  <c r="Z4773" i="7"/>
  <c r="O4773" i="7"/>
  <c r="D4773" i="7"/>
  <c r="Z4772" i="7"/>
  <c r="O4772" i="7"/>
  <c r="D4772" i="7"/>
  <c r="Z4771" i="7"/>
  <c r="O4771" i="7"/>
  <c r="D4771" i="7"/>
  <c r="Z4769" i="7"/>
  <c r="O4769" i="7"/>
  <c r="D4769" i="7"/>
  <c r="Z4768" i="7"/>
  <c r="O4768" i="7"/>
  <c r="D4768" i="7"/>
  <c r="AF4767" i="7"/>
  <c r="AA4767" i="7"/>
  <c r="Z4767" i="7"/>
  <c r="M4767" i="7"/>
  <c r="J4767" i="7"/>
  <c r="D4767" i="7"/>
  <c r="AF4766" i="7"/>
  <c r="Z4766" i="7"/>
  <c r="J4766" i="7"/>
  <c r="D4766" i="7"/>
  <c r="AF4765" i="7"/>
  <c r="Z4765" i="7"/>
  <c r="J4765" i="7"/>
  <c r="D4765" i="7"/>
  <c r="AF4762" i="7"/>
  <c r="Z4762" i="7"/>
  <c r="X4762" i="7"/>
  <c r="L4762" i="7"/>
  <c r="J4762" i="7"/>
  <c r="D4762" i="7"/>
  <c r="AF4761" i="7"/>
  <c r="Z4761" i="7"/>
  <c r="X4761" i="7"/>
  <c r="L4761" i="7"/>
  <c r="J4761" i="7"/>
  <c r="D4761" i="7"/>
  <c r="AF4760" i="7"/>
  <c r="Z4760" i="7"/>
  <c r="X4760" i="7"/>
  <c r="L4760" i="7"/>
  <c r="J4760" i="7"/>
  <c r="D4760" i="7"/>
  <c r="AF4759" i="7"/>
  <c r="Z4759" i="7"/>
  <c r="X4759" i="7"/>
  <c r="L4759" i="7"/>
  <c r="J4759" i="7"/>
  <c r="D4759" i="7"/>
  <c r="AF4758" i="7"/>
  <c r="Z4758" i="7"/>
  <c r="X4758" i="7"/>
  <c r="L4758" i="7"/>
  <c r="J4758" i="7"/>
  <c r="D4758" i="7"/>
  <c r="AF4757" i="7"/>
  <c r="Z4757" i="7"/>
  <c r="X4757" i="7"/>
  <c r="L4757" i="7"/>
  <c r="J4757" i="7"/>
  <c r="D4757" i="7"/>
  <c r="AF4756" i="7"/>
  <c r="Z4756" i="7"/>
  <c r="X4756" i="7"/>
  <c r="L4756" i="7"/>
  <c r="J4756" i="7"/>
  <c r="D4756" i="7"/>
  <c r="AF4755" i="7"/>
  <c r="Z4755" i="7"/>
  <c r="X4755" i="7"/>
  <c r="L4755" i="7"/>
  <c r="J4755" i="7"/>
  <c r="D4755" i="7"/>
  <c r="AF4754" i="7"/>
  <c r="Z4754" i="7"/>
  <c r="X4754" i="7"/>
  <c r="L4754" i="7"/>
  <c r="J4754" i="7"/>
  <c r="D4754" i="7"/>
  <c r="AF4753" i="7"/>
  <c r="Z4753" i="7"/>
  <c r="X4753" i="7"/>
  <c r="L4753" i="7"/>
  <c r="J4753" i="7"/>
  <c r="D4753" i="7"/>
  <c r="AF4752" i="7"/>
  <c r="Z4752" i="7"/>
  <c r="X4752" i="7"/>
  <c r="L4752" i="7"/>
  <c r="J4752" i="7"/>
  <c r="D4752" i="7"/>
  <c r="AF4751" i="7"/>
  <c r="Z4751" i="7"/>
  <c r="X4751" i="7"/>
  <c r="L4751" i="7"/>
  <c r="J4751" i="7"/>
  <c r="D4751" i="7"/>
  <c r="AF4750" i="7"/>
  <c r="Z4750" i="7"/>
  <c r="X4750" i="7"/>
  <c r="L4750" i="7"/>
  <c r="J4750" i="7"/>
  <c r="D4750" i="7"/>
  <c r="AF4749" i="7"/>
  <c r="Z4749" i="7"/>
  <c r="X4749" i="7"/>
  <c r="L4749" i="7"/>
  <c r="J4749" i="7"/>
  <c r="D4749" i="7"/>
  <c r="AF4748" i="7"/>
  <c r="Z4748" i="7"/>
  <c r="X4748" i="7"/>
  <c r="L4748" i="7"/>
  <c r="J4748" i="7"/>
  <c r="D4748" i="7"/>
  <c r="AF4747" i="7"/>
  <c r="Z4747" i="7"/>
  <c r="X4747" i="7"/>
  <c r="L4747" i="7"/>
  <c r="J4747" i="7"/>
  <c r="D4747" i="7"/>
  <c r="AF4746" i="7"/>
  <c r="Z4746" i="7"/>
  <c r="X4746" i="7"/>
  <c r="L4746" i="7"/>
  <c r="J4746" i="7"/>
  <c r="D4746" i="7"/>
  <c r="AF4745" i="7"/>
  <c r="Z4745" i="7"/>
  <c r="X4745" i="7"/>
  <c r="L4745" i="7"/>
  <c r="J4745" i="7"/>
  <c r="D4745" i="7"/>
  <c r="AF4744" i="7"/>
  <c r="Z4744" i="7"/>
  <c r="X4744" i="7"/>
  <c r="L4744" i="7"/>
  <c r="J4744" i="7"/>
  <c r="D4744" i="7"/>
  <c r="AF4743" i="7"/>
  <c r="Z4743" i="7"/>
  <c r="X4743" i="7"/>
  <c r="L4743" i="7"/>
  <c r="J4743" i="7"/>
  <c r="D4743" i="7"/>
  <c r="AF4742" i="7"/>
  <c r="Z4742" i="7"/>
  <c r="X4742" i="7"/>
  <c r="L4742" i="7"/>
  <c r="J4742" i="7"/>
  <c r="D4742" i="7"/>
  <c r="AF4741" i="7"/>
  <c r="Z4741" i="7"/>
  <c r="X4741" i="7"/>
  <c r="L4741" i="7"/>
  <c r="J4741" i="7"/>
  <c r="D4741" i="7"/>
  <c r="AF4740" i="7"/>
  <c r="Z4740" i="7"/>
  <c r="X4740" i="7"/>
  <c r="J4740" i="7"/>
  <c r="D4740" i="7"/>
  <c r="AF4738" i="7"/>
  <c r="Z4738" i="7"/>
  <c r="L4738" i="7"/>
  <c r="J4738" i="7"/>
  <c r="D4738" i="7"/>
  <c r="AF4736" i="7"/>
  <c r="Z4736" i="7"/>
  <c r="L4736" i="7"/>
  <c r="J4736" i="7"/>
  <c r="D4736" i="7"/>
  <c r="AF4735" i="7"/>
  <c r="Z4735" i="7"/>
  <c r="L4735" i="7"/>
  <c r="J4735" i="7"/>
  <c r="D4735" i="7"/>
  <c r="AF4734" i="7"/>
  <c r="Z4734" i="7"/>
  <c r="X4734" i="7"/>
  <c r="M4734" i="7"/>
  <c r="J4734" i="7"/>
  <c r="D4734" i="7"/>
  <c r="AF4733" i="7"/>
  <c r="Z4733" i="7"/>
  <c r="X4733" i="7"/>
  <c r="M4733" i="7"/>
  <c r="J4733" i="7"/>
  <c r="D4733" i="7"/>
  <c r="AF4732" i="7"/>
  <c r="Z4732" i="7"/>
  <c r="L4732" i="7"/>
  <c r="D4732" i="7"/>
  <c r="AF4730" i="7"/>
  <c r="Z4730" i="7"/>
  <c r="L4730" i="7"/>
  <c r="D4730" i="7"/>
  <c r="AF4727" i="7"/>
  <c r="Z4727" i="7"/>
  <c r="L4727" i="7"/>
  <c r="D4727" i="7"/>
  <c r="AF4726" i="7"/>
  <c r="Z4726" i="7"/>
  <c r="L4726" i="7"/>
  <c r="D4726" i="7"/>
  <c r="AF4725" i="7"/>
  <c r="Z4725" i="7"/>
  <c r="L4725" i="7"/>
  <c r="D4725" i="7"/>
  <c r="AF4724" i="7"/>
  <c r="Z4724" i="7"/>
  <c r="L4724" i="7"/>
  <c r="D4724" i="7"/>
  <c r="AF4723" i="7"/>
  <c r="Z4723" i="7"/>
  <c r="L4723" i="7"/>
  <c r="D4723" i="7"/>
  <c r="AF4722" i="7"/>
  <c r="Z4722" i="7"/>
  <c r="D4722" i="7"/>
  <c r="AF4721" i="7"/>
  <c r="Z4721" i="7"/>
  <c r="D4721" i="7"/>
  <c r="AF4720" i="7"/>
  <c r="Z4720" i="7"/>
  <c r="D4720" i="7"/>
  <c r="AF4719" i="7"/>
  <c r="Z4719" i="7"/>
  <c r="D4719" i="7"/>
  <c r="AG4718" i="7"/>
  <c r="AC4718" i="7"/>
  <c r="AA4718" i="7"/>
  <c r="Z4718" i="7"/>
  <c r="X4718" i="7"/>
  <c r="J4718" i="7"/>
  <c r="D4718" i="7"/>
  <c r="AG4717" i="7"/>
  <c r="AC4717" i="7"/>
  <c r="AA4717" i="7"/>
  <c r="Z4717" i="7"/>
  <c r="X4717" i="7"/>
  <c r="J4717" i="7"/>
  <c r="D4717" i="7"/>
  <c r="AG4716" i="7"/>
  <c r="AC4716" i="7"/>
  <c r="AA4716" i="7"/>
  <c r="Z4716" i="7"/>
  <c r="X4716" i="7"/>
  <c r="J4716" i="7"/>
  <c r="D4716" i="7"/>
  <c r="AG4715" i="7"/>
  <c r="AC4715" i="7"/>
  <c r="AA4715" i="7"/>
  <c r="Z4715" i="7"/>
  <c r="X4715" i="7"/>
  <c r="J4715" i="7"/>
  <c r="D4715" i="7"/>
  <c r="AG4714" i="7"/>
  <c r="AC4714" i="7"/>
  <c r="AA4714" i="7"/>
  <c r="Z4714" i="7"/>
  <c r="X4714" i="7"/>
  <c r="J4714" i="7"/>
  <c r="D4714" i="7"/>
  <c r="AG4713" i="7"/>
  <c r="AC4713" i="7"/>
  <c r="AA4713" i="7"/>
  <c r="Z4713" i="7"/>
  <c r="X4713" i="7"/>
  <c r="J4713" i="7"/>
  <c r="D4713" i="7"/>
  <c r="AG4712" i="7"/>
  <c r="AC4712" i="7"/>
  <c r="AA4712" i="7"/>
  <c r="Z4712" i="7"/>
  <c r="X4712" i="7"/>
  <c r="J4712" i="7"/>
  <c r="D4712" i="7"/>
  <c r="AG4711" i="7"/>
  <c r="AC4711" i="7"/>
  <c r="AA4711" i="7"/>
  <c r="Z4711" i="7"/>
  <c r="X4711" i="7"/>
  <c r="J4711" i="7"/>
  <c r="D4711" i="7"/>
  <c r="AG4710" i="7"/>
  <c r="AC4710" i="7"/>
  <c r="AA4710" i="7"/>
  <c r="Z4710" i="7"/>
  <c r="X4710" i="7"/>
  <c r="J4710" i="7"/>
  <c r="D4710" i="7"/>
  <c r="AG4709" i="7"/>
  <c r="AC4709" i="7"/>
  <c r="AA4709" i="7"/>
  <c r="Z4709" i="7"/>
  <c r="X4709" i="7"/>
  <c r="J4709" i="7"/>
  <c r="D4709" i="7"/>
  <c r="AG4708" i="7"/>
  <c r="AC4708" i="7"/>
  <c r="AA4708" i="7"/>
  <c r="Z4708" i="7"/>
  <c r="X4708" i="7"/>
  <c r="J4708" i="7"/>
  <c r="D4708" i="7"/>
  <c r="AG4707" i="7"/>
  <c r="AC4707" i="7"/>
  <c r="AA4707" i="7"/>
  <c r="Z4707" i="7"/>
  <c r="X4707" i="7"/>
  <c r="J4707" i="7"/>
  <c r="D4707" i="7"/>
  <c r="AG4706" i="7"/>
  <c r="AC4706" i="7"/>
  <c r="AA4706" i="7"/>
  <c r="Z4706" i="7"/>
  <c r="X4706" i="7"/>
  <c r="J4706" i="7"/>
  <c r="D4706" i="7"/>
  <c r="AG4705" i="7"/>
  <c r="AC4705" i="7"/>
  <c r="AA4705" i="7"/>
  <c r="Z4705" i="7"/>
  <c r="X4705" i="7"/>
  <c r="J4705" i="7"/>
  <c r="D4705" i="7"/>
  <c r="AG4704" i="7"/>
  <c r="AC4704" i="7"/>
  <c r="AA4704" i="7"/>
  <c r="Z4704" i="7"/>
  <c r="X4704" i="7"/>
  <c r="J4704" i="7"/>
  <c r="D4704" i="7"/>
  <c r="AG4703" i="7"/>
  <c r="AC4703" i="7"/>
  <c r="AA4703" i="7"/>
  <c r="Z4703" i="7"/>
  <c r="X4703" i="7"/>
  <c r="J4703" i="7"/>
  <c r="D4703" i="7"/>
  <c r="AG4702" i="7"/>
  <c r="AC4702" i="7"/>
  <c r="AA4702" i="7"/>
  <c r="Z4702" i="7"/>
  <c r="X4702" i="7"/>
  <c r="J4702" i="7"/>
  <c r="D4702" i="7"/>
  <c r="AG4701" i="7"/>
  <c r="AC4701" i="7"/>
  <c r="AA4701" i="7"/>
  <c r="Z4701" i="7"/>
  <c r="X4701" i="7"/>
  <c r="J4701" i="7"/>
  <c r="D4701" i="7"/>
  <c r="AF4700" i="7"/>
  <c r="Z4700" i="7"/>
  <c r="X4700" i="7"/>
  <c r="L4700" i="7"/>
  <c r="D4700" i="7"/>
  <c r="AF4699" i="7"/>
  <c r="Z4699" i="7"/>
  <c r="X4699" i="7"/>
  <c r="L4699" i="7"/>
  <c r="D4699" i="7"/>
  <c r="AF4698" i="7"/>
  <c r="Z4698" i="7"/>
  <c r="X4698" i="7"/>
  <c r="L4698" i="7"/>
  <c r="D4698" i="7"/>
  <c r="AF4697" i="7"/>
  <c r="Z4697" i="7"/>
  <c r="X4697" i="7"/>
  <c r="L4697" i="7"/>
  <c r="D4697" i="7"/>
  <c r="AF4696" i="7"/>
  <c r="Z4696" i="7"/>
  <c r="X4696" i="7"/>
  <c r="L4696" i="7"/>
  <c r="D4696" i="7"/>
  <c r="AF4695" i="7"/>
  <c r="Z4695" i="7"/>
  <c r="X4695" i="7"/>
  <c r="L4695" i="7"/>
  <c r="D4695" i="7"/>
  <c r="AF4694" i="7"/>
  <c r="Z4694" i="7"/>
  <c r="X4694" i="7"/>
  <c r="L4694" i="7"/>
  <c r="D4694" i="7"/>
  <c r="Z4693" i="7"/>
  <c r="J4693" i="7"/>
  <c r="D4693" i="7"/>
  <c r="AI4674" i="7"/>
  <c r="AF4674" i="7"/>
  <c r="AA4674" i="7"/>
  <c r="Z4674" i="7"/>
  <c r="M4674" i="7"/>
  <c r="J4674" i="7"/>
  <c r="D4674" i="7"/>
  <c r="AI4672" i="7"/>
  <c r="AF4672" i="7"/>
  <c r="AA4672" i="7"/>
  <c r="Z4672" i="7"/>
  <c r="M4672" i="7"/>
  <c r="J4672" i="7"/>
  <c r="D4672" i="7"/>
  <c r="AI4671" i="7"/>
  <c r="AF4671" i="7"/>
  <c r="AA4671" i="7"/>
  <c r="Z4671" i="7"/>
  <c r="M4671" i="7"/>
  <c r="J4671" i="7"/>
  <c r="D4671" i="7"/>
  <c r="AI4670" i="7"/>
  <c r="AF4670" i="7"/>
  <c r="AA4670" i="7"/>
  <c r="Z4670" i="7"/>
  <c r="M4670" i="7"/>
  <c r="J4670" i="7"/>
  <c r="D4670" i="7"/>
  <c r="AI4691" i="7"/>
  <c r="AF4691" i="7"/>
  <c r="Z4691" i="7"/>
  <c r="M4691" i="7"/>
  <c r="D4691" i="7"/>
  <c r="AI4690" i="7"/>
  <c r="AF4690" i="7"/>
  <c r="Z4690" i="7"/>
  <c r="M4690" i="7"/>
  <c r="D4690" i="7"/>
  <c r="AI4688" i="7"/>
  <c r="AF4688" i="7"/>
  <c r="Z4688" i="7"/>
  <c r="M4688" i="7"/>
  <c r="D4688" i="7"/>
  <c r="AI4685" i="7"/>
  <c r="AF4685" i="7"/>
  <c r="Z4685" i="7"/>
  <c r="M4685" i="7"/>
  <c r="D4685" i="7"/>
  <c r="AI4687" i="7"/>
  <c r="AF4687" i="7"/>
  <c r="Z4687" i="7"/>
  <c r="M4687" i="7"/>
  <c r="D4687" i="7"/>
  <c r="AI4684" i="7"/>
  <c r="AF4684" i="7"/>
  <c r="Z4684" i="7"/>
  <c r="M4684" i="7"/>
  <c r="D4684" i="7"/>
  <c r="AI4682" i="7"/>
  <c r="AF4682" i="7"/>
  <c r="Z4682" i="7"/>
  <c r="M4682" i="7"/>
  <c r="D4682" i="7"/>
  <c r="AI4681" i="7"/>
  <c r="AF4681" i="7"/>
  <c r="Z4681" i="7"/>
  <c r="M4681" i="7"/>
  <c r="D4681" i="7"/>
  <c r="AI4680" i="7"/>
  <c r="AF4680" i="7"/>
  <c r="Z4680" i="7"/>
  <c r="M4680" i="7"/>
  <c r="D4680" i="7"/>
  <c r="AI4679" i="7"/>
  <c r="AF4679" i="7"/>
  <c r="Z4679" i="7"/>
  <c r="M4679" i="7"/>
  <c r="D4679" i="7"/>
  <c r="AI4678" i="7"/>
  <c r="AF4678" i="7"/>
  <c r="Z4678" i="7"/>
  <c r="M4678" i="7"/>
  <c r="D4678" i="7"/>
  <c r="AI4677" i="7"/>
  <c r="AF4677" i="7"/>
  <c r="Z4677" i="7"/>
  <c r="M4677" i="7"/>
  <c r="D4677" i="7"/>
  <c r="AI4676" i="7"/>
  <c r="AF4676" i="7"/>
  <c r="Z4676" i="7"/>
  <c r="M4676" i="7"/>
  <c r="D4676" i="7"/>
  <c r="AI4675" i="7"/>
  <c r="AF4675" i="7"/>
  <c r="Z4675" i="7"/>
  <c r="M4675" i="7"/>
  <c r="D4675" i="7"/>
  <c r="Z4669" i="7"/>
  <c r="M4669" i="7"/>
  <c r="D4669" i="7"/>
  <c r="Z4668" i="7"/>
  <c r="M4668" i="7"/>
  <c r="D4668" i="7"/>
  <c r="AF4657" i="7"/>
  <c r="Z4657" i="7"/>
  <c r="M4657" i="7"/>
  <c r="J4657" i="7"/>
  <c r="D4657" i="7"/>
  <c r="AF4652" i="7"/>
  <c r="Z4652" i="7"/>
  <c r="M4652" i="7"/>
  <c r="J4652" i="7"/>
  <c r="D4652" i="7"/>
  <c r="AF4651" i="7"/>
  <c r="Z4651" i="7"/>
  <c r="M4651" i="7"/>
  <c r="J4651" i="7"/>
  <c r="D4651" i="7"/>
  <c r="AF4650" i="7"/>
  <c r="Z4650" i="7"/>
  <c r="M4650" i="7"/>
  <c r="J4650" i="7"/>
  <c r="D4650" i="7"/>
  <c r="AF4649" i="7"/>
  <c r="Z4649" i="7"/>
  <c r="M4649" i="7"/>
  <c r="J4649" i="7"/>
  <c r="D4649" i="7"/>
  <c r="AE4666" i="7"/>
  <c r="AC4666" i="7"/>
  <c r="AB4666" i="7"/>
  <c r="AA4666" i="7"/>
  <c r="Z4666" i="7"/>
  <c r="J4666" i="7"/>
  <c r="D4666" i="7"/>
  <c r="AF4648" i="7"/>
  <c r="Z4648" i="7"/>
  <c r="M4648" i="7"/>
  <c r="J4648" i="7"/>
  <c r="D4648" i="7"/>
  <c r="AF4647" i="7"/>
  <c r="Z4647" i="7"/>
  <c r="M4647" i="7"/>
  <c r="J4647" i="7"/>
  <c r="D4647" i="7"/>
  <c r="AE4665" i="7"/>
  <c r="AC4665" i="7"/>
  <c r="AB4665" i="7"/>
  <c r="AA4665" i="7"/>
  <c r="Z4665" i="7"/>
  <c r="J4665" i="7"/>
  <c r="D4665" i="7"/>
  <c r="AF4646" i="7"/>
  <c r="Z4646" i="7"/>
  <c r="M4646" i="7"/>
  <c r="J4646" i="7"/>
  <c r="D4646" i="7"/>
  <c r="AF4645" i="7"/>
  <c r="Z4645" i="7"/>
  <c r="M4645" i="7"/>
  <c r="J4645" i="7"/>
  <c r="D4645" i="7"/>
  <c r="AF4644" i="7"/>
  <c r="Z4644" i="7"/>
  <c r="M4644" i="7"/>
  <c r="J4644" i="7"/>
  <c r="D4644" i="7"/>
  <c r="AF4643" i="7"/>
  <c r="Z4643" i="7"/>
  <c r="M4643" i="7"/>
  <c r="J4643" i="7"/>
  <c r="D4643" i="7"/>
  <c r="AF4641" i="7"/>
  <c r="Z4641" i="7"/>
  <c r="M4641" i="7"/>
  <c r="J4641" i="7"/>
  <c r="D4641" i="7"/>
  <c r="AF4640" i="7"/>
  <c r="Z4640" i="7"/>
  <c r="M4640" i="7"/>
  <c r="J4640" i="7"/>
  <c r="D4640" i="7"/>
  <c r="AF4639" i="7"/>
  <c r="Z4639" i="7"/>
  <c r="M4639" i="7"/>
  <c r="J4639" i="7"/>
  <c r="D4639" i="7"/>
  <c r="AF4638" i="7"/>
  <c r="Z4638" i="7"/>
  <c r="M4638" i="7"/>
  <c r="J4638" i="7"/>
  <c r="D4638" i="7"/>
  <c r="AF4637" i="7"/>
  <c r="Z4637" i="7"/>
  <c r="M4637" i="7"/>
  <c r="J4637" i="7"/>
  <c r="D4637" i="7"/>
  <c r="AF4636" i="7"/>
  <c r="Z4636" i="7"/>
  <c r="M4636" i="7"/>
  <c r="J4636" i="7"/>
  <c r="D4636" i="7"/>
  <c r="AF4635" i="7"/>
  <c r="Z4635" i="7"/>
  <c r="M4635" i="7"/>
  <c r="J4635" i="7"/>
  <c r="D4635" i="7"/>
  <c r="AF4634" i="7"/>
  <c r="Z4634" i="7"/>
  <c r="M4634" i="7"/>
  <c r="J4634" i="7"/>
  <c r="D4634" i="7"/>
  <c r="AF4633" i="7"/>
  <c r="Z4633" i="7"/>
  <c r="M4633" i="7"/>
  <c r="J4633" i="7"/>
  <c r="D4633" i="7"/>
  <c r="AF4632" i="7"/>
  <c r="Z4632" i="7"/>
  <c r="M4632" i="7"/>
  <c r="J4632" i="7"/>
  <c r="D4632" i="7"/>
  <c r="AF4631" i="7"/>
  <c r="Z4631" i="7"/>
  <c r="M4631" i="7"/>
  <c r="J4631" i="7"/>
  <c r="D4631" i="7"/>
  <c r="AF4630" i="7"/>
  <c r="Z4630" i="7"/>
  <c r="M4630" i="7"/>
  <c r="J4630" i="7"/>
  <c r="D4630" i="7"/>
  <c r="AF4629" i="7"/>
  <c r="Z4629" i="7"/>
  <c r="M4629" i="7"/>
  <c r="J4629" i="7"/>
  <c r="D4629" i="7"/>
  <c r="AF4628" i="7"/>
  <c r="Z4628" i="7"/>
  <c r="M4628" i="7"/>
  <c r="J4628" i="7"/>
  <c r="D4628" i="7"/>
  <c r="AF4627" i="7"/>
  <c r="Z4627" i="7"/>
  <c r="M4627" i="7"/>
  <c r="J4627" i="7"/>
  <c r="D4627" i="7"/>
  <c r="AF4664" i="7"/>
  <c r="Z4664" i="7"/>
  <c r="M4664" i="7"/>
  <c r="J4664" i="7"/>
  <c r="D4664" i="7"/>
  <c r="AF4662" i="7"/>
  <c r="Z4662" i="7"/>
  <c r="M4662" i="7"/>
  <c r="J4662" i="7"/>
  <c r="D4662" i="7"/>
  <c r="AF4661" i="7"/>
  <c r="Z4661" i="7"/>
  <c r="M4661" i="7"/>
  <c r="J4661" i="7"/>
  <c r="D4661" i="7"/>
  <c r="AF4660" i="7"/>
  <c r="Z4660" i="7"/>
  <c r="M4660" i="7"/>
  <c r="J4660" i="7"/>
  <c r="D4660" i="7"/>
  <c r="AF4659" i="7"/>
  <c r="Z4659" i="7"/>
  <c r="M4659" i="7"/>
  <c r="J4659" i="7"/>
  <c r="D4659" i="7"/>
  <c r="AF4658" i="7"/>
  <c r="Z4658" i="7"/>
  <c r="M4658" i="7"/>
  <c r="J4658" i="7"/>
  <c r="D4658" i="7"/>
  <c r="Z4625" i="7"/>
  <c r="D4625" i="7"/>
  <c r="Z4624" i="7"/>
  <c r="D4624" i="7"/>
  <c r="Z4623" i="7"/>
  <c r="D4623" i="7"/>
  <c r="Z4618" i="7"/>
  <c r="D4618" i="7"/>
  <c r="Z4617" i="7"/>
  <c r="D4617" i="7"/>
  <c r="AF4616" i="7"/>
  <c r="Z4616" i="7"/>
  <c r="X4616" i="7"/>
  <c r="J4616" i="7"/>
  <c r="D4616" i="7"/>
  <c r="Z4607" i="7"/>
  <c r="D4607" i="7"/>
  <c r="Z4606" i="7"/>
  <c r="D4606" i="7"/>
  <c r="Z4605" i="7"/>
  <c r="D4605" i="7"/>
  <c r="Z4604" i="7"/>
  <c r="D4604" i="7"/>
  <c r="Z4603" i="7"/>
  <c r="D4603" i="7"/>
  <c r="Z4615" i="7"/>
  <c r="X4615" i="7"/>
  <c r="O4615" i="7"/>
  <c r="D4615" i="7"/>
  <c r="AA4601" i="7"/>
  <c r="Z4601" i="7"/>
  <c r="M4601" i="7"/>
  <c r="J4601" i="7"/>
  <c r="D4601" i="7"/>
  <c r="AA4600" i="7"/>
  <c r="Z4600" i="7"/>
  <c r="M4600" i="7"/>
  <c r="J4600" i="7"/>
  <c r="D4600" i="7"/>
  <c r="AF4598" i="7"/>
  <c r="Z4598" i="7"/>
  <c r="M4598" i="7"/>
  <c r="D4598" i="7"/>
  <c r="AF4597" i="7"/>
  <c r="Z4597" i="7"/>
  <c r="M4597" i="7"/>
  <c r="D4597" i="7"/>
  <c r="Z4596" i="7"/>
  <c r="L4596" i="7"/>
  <c r="J4596" i="7"/>
  <c r="D4596" i="7"/>
  <c r="Z4595" i="7"/>
  <c r="L4595" i="7"/>
  <c r="J4595" i="7"/>
  <c r="D4595" i="7"/>
  <c r="Z4594" i="7"/>
  <c r="L4594" i="7"/>
  <c r="J4594" i="7"/>
  <c r="D4594" i="7"/>
  <c r="Z4593" i="7"/>
  <c r="L4593" i="7"/>
  <c r="J4593" i="7"/>
  <c r="D4593" i="7"/>
  <c r="Z4592" i="7"/>
  <c r="L4592" i="7"/>
  <c r="J4592" i="7"/>
  <c r="D4592" i="7"/>
  <c r="Z4591" i="7"/>
  <c r="L4591" i="7"/>
  <c r="J4591" i="7"/>
  <c r="D4591" i="7"/>
  <c r="Z4590" i="7"/>
  <c r="L4590" i="7"/>
  <c r="J4590" i="7"/>
  <c r="D4590" i="7"/>
  <c r="Z4589" i="7"/>
  <c r="L4589" i="7"/>
  <c r="J4589" i="7"/>
  <c r="D4589" i="7"/>
  <c r="Z4588" i="7"/>
  <c r="L4588" i="7"/>
  <c r="J4588" i="7"/>
  <c r="D4588" i="7"/>
  <c r="Z4587" i="7"/>
  <c r="L4587" i="7"/>
  <c r="J4587" i="7"/>
  <c r="D4587" i="7"/>
  <c r="Z4586" i="7"/>
  <c r="L4586" i="7"/>
  <c r="J4586" i="7"/>
  <c r="D4586" i="7"/>
  <c r="Z4585" i="7"/>
  <c r="L4585" i="7"/>
  <c r="J4585" i="7"/>
  <c r="D4585" i="7"/>
  <c r="AC4584" i="7"/>
  <c r="Z4584" i="7"/>
  <c r="D4584" i="7"/>
  <c r="AC4583" i="7"/>
  <c r="Z4583" i="7"/>
  <c r="D4583" i="7"/>
  <c r="Z4582" i="7"/>
  <c r="J4582" i="7"/>
  <c r="D4582" i="7"/>
  <c r="Z4581" i="7"/>
  <c r="J4581" i="7"/>
  <c r="D4581" i="7"/>
  <c r="Z4580" i="7"/>
  <c r="J4580" i="7"/>
  <c r="D4580" i="7"/>
  <c r="Z4578" i="7"/>
  <c r="D4578" i="7"/>
  <c r="Z4575" i="7"/>
  <c r="D4575" i="7"/>
  <c r="Z4574" i="7"/>
  <c r="D4574" i="7"/>
  <c r="Z4573" i="7"/>
  <c r="D4573" i="7"/>
  <c r="Z4572" i="7"/>
  <c r="D4572" i="7"/>
  <c r="Z4571" i="7"/>
  <c r="D4571" i="7"/>
  <c r="Z4570" i="7"/>
  <c r="D4570" i="7"/>
  <c r="Z4569" i="7"/>
  <c r="D4569" i="7"/>
  <c r="Z4568" i="7"/>
  <c r="D4568" i="7"/>
  <c r="Z4567" i="7"/>
  <c r="D4567" i="7"/>
  <c r="Z4566" i="7"/>
  <c r="D4566" i="7"/>
  <c r="Z4565" i="7"/>
  <c r="D4565" i="7"/>
  <c r="Z4564" i="7"/>
  <c r="D4564" i="7"/>
  <c r="Z4563" i="7"/>
  <c r="D4563" i="7"/>
  <c r="Z4562" i="7"/>
  <c r="D4562" i="7"/>
  <c r="Z4561" i="7"/>
  <c r="D4561" i="7"/>
  <c r="Z4560" i="7"/>
  <c r="D4560" i="7"/>
  <c r="Z4557" i="7"/>
  <c r="J4557" i="7"/>
  <c r="D4557" i="7"/>
  <c r="Z4556" i="7"/>
  <c r="J4556" i="7"/>
  <c r="D4556" i="7"/>
  <c r="Z4555" i="7"/>
  <c r="O4555" i="7"/>
  <c r="L4555" i="7"/>
  <c r="J4555" i="7"/>
  <c r="D4555" i="7"/>
  <c r="Z4554" i="7"/>
  <c r="O4554" i="7"/>
  <c r="L4554" i="7"/>
  <c r="J4554" i="7"/>
  <c r="D4554" i="7"/>
  <c r="Z4553" i="7"/>
  <c r="O4553" i="7"/>
  <c r="L4553" i="7"/>
  <c r="J4553" i="7"/>
  <c r="D4553" i="7"/>
  <c r="AI4552" i="7"/>
  <c r="AF4552" i="7"/>
  <c r="AA4552" i="7"/>
  <c r="Z4552" i="7"/>
  <c r="M4552" i="7"/>
  <c r="J4552" i="7"/>
  <c r="D4552" i="7"/>
  <c r="AI4551" i="7"/>
  <c r="AF4551" i="7"/>
  <c r="AA4551" i="7"/>
  <c r="Z4551" i="7"/>
  <c r="M4551" i="7"/>
  <c r="J4551" i="7"/>
  <c r="D4551" i="7"/>
  <c r="AI4550" i="7"/>
  <c r="AF4550" i="7"/>
  <c r="AA4550" i="7"/>
  <c r="Z4550" i="7"/>
  <c r="M4550" i="7"/>
  <c r="J4550" i="7"/>
  <c r="D4550" i="7"/>
  <c r="AI4546" i="7"/>
  <c r="AF4546" i="7"/>
  <c r="AA4546" i="7"/>
  <c r="Z4546" i="7"/>
  <c r="M4546" i="7"/>
  <c r="J4546" i="7"/>
  <c r="D4546" i="7"/>
  <c r="AI4540" i="7"/>
  <c r="AF4540" i="7"/>
  <c r="AA4540" i="7"/>
  <c r="Z4540" i="7"/>
  <c r="M4540" i="7"/>
  <c r="J4540" i="7"/>
  <c r="D4540" i="7"/>
  <c r="AI4539" i="7"/>
  <c r="AF4539" i="7"/>
  <c r="AA4539" i="7"/>
  <c r="Z4539" i="7"/>
  <c r="M4539" i="7"/>
  <c r="J4539" i="7"/>
  <c r="AI4536" i="7"/>
  <c r="AF4536" i="7"/>
  <c r="AA4536" i="7"/>
  <c r="Z4536" i="7"/>
  <c r="M4536" i="7"/>
  <c r="J4536" i="7"/>
  <c r="D4536" i="7"/>
  <c r="AI4535" i="7"/>
  <c r="AF4535" i="7"/>
  <c r="AA4535" i="7"/>
  <c r="Z4535" i="7"/>
  <c r="M4535" i="7"/>
  <c r="J4535" i="7"/>
  <c r="D4535" i="7"/>
  <c r="AI4534" i="7"/>
  <c r="AF4534" i="7"/>
  <c r="AA4534" i="7"/>
  <c r="Z4534" i="7"/>
  <c r="M4534" i="7"/>
  <c r="J4534" i="7"/>
  <c r="D4534" i="7"/>
  <c r="AI4533" i="7"/>
  <c r="AF4533" i="7"/>
  <c r="AA4533" i="7"/>
  <c r="Z4533" i="7"/>
  <c r="M4533" i="7"/>
  <c r="J4533" i="7"/>
  <c r="D4533" i="7"/>
  <c r="AI4532" i="7"/>
  <c r="AF4532" i="7"/>
  <c r="AA4532" i="7"/>
  <c r="Z4532" i="7"/>
  <c r="M4532" i="7"/>
  <c r="J4532" i="7"/>
  <c r="D4532" i="7"/>
  <c r="AI4531" i="7"/>
  <c r="AF4531" i="7"/>
  <c r="AA4531" i="7"/>
  <c r="Z4531" i="7"/>
  <c r="M4531" i="7"/>
  <c r="J4531" i="7"/>
  <c r="D4531" i="7"/>
  <c r="AI4543" i="7"/>
  <c r="AF4543" i="7"/>
  <c r="AA4543" i="7"/>
  <c r="Z4543" i="7"/>
  <c r="M4543" i="7"/>
  <c r="J4543" i="7"/>
  <c r="D4543" i="7"/>
  <c r="AI4530" i="7"/>
  <c r="AF4530" i="7"/>
  <c r="AA4530" i="7"/>
  <c r="Z4530" i="7"/>
  <c r="M4530" i="7"/>
  <c r="J4530" i="7"/>
  <c r="D4530" i="7"/>
  <c r="AI4529" i="7"/>
  <c r="AF4529" i="7"/>
  <c r="AA4529" i="7"/>
  <c r="Z4529" i="7"/>
  <c r="M4529" i="7"/>
  <c r="J4529" i="7"/>
  <c r="D4529" i="7"/>
  <c r="AI4528" i="7"/>
  <c r="AF4528" i="7"/>
  <c r="AA4528" i="7"/>
  <c r="Z4528" i="7"/>
  <c r="M4528" i="7"/>
  <c r="J4528" i="7"/>
  <c r="D4528" i="7"/>
  <c r="AI4527" i="7"/>
  <c r="AF4527" i="7"/>
  <c r="AA4527" i="7"/>
  <c r="Z4527" i="7"/>
  <c r="M4527" i="7"/>
  <c r="J4527" i="7"/>
  <c r="D4527" i="7"/>
  <c r="AI4526" i="7"/>
  <c r="AF4526" i="7"/>
  <c r="AA4526" i="7"/>
  <c r="Z4526" i="7"/>
  <c r="M4526" i="7"/>
  <c r="J4526" i="7"/>
  <c r="D4526" i="7"/>
  <c r="AI4525" i="7"/>
  <c r="AF4525" i="7"/>
  <c r="AA4525" i="7"/>
  <c r="Z4525" i="7"/>
  <c r="M4525" i="7"/>
  <c r="J4525" i="7"/>
  <c r="D4525" i="7"/>
  <c r="AI4523" i="7"/>
  <c r="AF4523" i="7"/>
  <c r="AA4523" i="7"/>
  <c r="Z4523" i="7"/>
  <c r="M4523" i="7"/>
  <c r="J4523" i="7"/>
  <c r="D4523" i="7"/>
  <c r="AI4522" i="7"/>
  <c r="AF4522" i="7"/>
  <c r="AA4522" i="7"/>
  <c r="Z4522" i="7"/>
  <c r="M4522" i="7"/>
  <c r="J4522" i="7"/>
  <c r="D4522" i="7"/>
  <c r="AI4521" i="7"/>
  <c r="AF4521" i="7"/>
  <c r="AA4521" i="7"/>
  <c r="Z4521" i="7"/>
  <c r="M4521" i="7"/>
  <c r="J4521" i="7"/>
  <c r="D4521" i="7"/>
  <c r="AI4520" i="7"/>
  <c r="AF4520" i="7"/>
  <c r="AA4520" i="7"/>
  <c r="Z4520" i="7"/>
  <c r="M4520" i="7"/>
  <c r="J4520" i="7"/>
  <c r="D4520" i="7"/>
  <c r="AI4519" i="7"/>
  <c r="AF4519" i="7"/>
  <c r="AA4519" i="7"/>
  <c r="Z4519" i="7"/>
  <c r="M4519" i="7"/>
  <c r="J4519" i="7"/>
  <c r="D4519" i="7"/>
  <c r="AI4518" i="7"/>
  <c r="AF4518" i="7"/>
  <c r="AA4518" i="7"/>
  <c r="Z4518" i="7"/>
  <c r="M4518" i="7"/>
  <c r="J4518" i="7"/>
  <c r="D4518" i="7"/>
  <c r="AI4517" i="7"/>
  <c r="AF4517" i="7"/>
  <c r="AA4517" i="7"/>
  <c r="Z4517" i="7"/>
  <c r="M4517" i="7"/>
  <c r="J4517" i="7"/>
  <c r="D4517" i="7"/>
  <c r="AI4516" i="7"/>
  <c r="AF4516" i="7"/>
  <c r="AA4516" i="7"/>
  <c r="Z4516" i="7"/>
  <c r="M4516" i="7"/>
  <c r="J4516" i="7"/>
  <c r="D4516" i="7"/>
  <c r="AI4515" i="7"/>
  <c r="AF4515" i="7"/>
  <c r="AA4515" i="7"/>
  <c r="Z4515" i="7"/>
  <c r="M4515" i="7"/>
  <c r="J4515" i="7"/>
  <c r="D4515" i="7"/>
  <c r="AI4514" i="7"/>
  <c r="AF4514" i="7"/>
  <c r="AA4514" i="7"/>
  <c r="Z4514" i="7"/>
  <c r="M4514" i="7"/>
  <c r="J4514" i="7"/>
  <c r="D4514" i="7"/>
  <c r="AI4513" i="7"/>
  <c r="AF4513" i="7"/>
  <c r="AA4513" i="7"/>
  <c r="Z4513" i="7"/>
  <c r="M4513" i="7"/>
  <c r="J4513" i="7"/>
  <c r="D4513" i="7"/>
  <c r="AI4512" i="7"/>
  <c r="AF4512" i="7"/>
  <c r="AA4512" i="7"/>
  <c r="Z4512" i="7"/>
  <c r="M4512" i="7"/>
  <c r="J4512" i="7"/>
  <c r="D4512" i="7"/>
  <c r="AI4511" i="7"/>
  <c r="AF4511" i="7"/>
  <c r="AA4511" i="7"/>
  <c r="Z4511" i="7"/>
  <c r="M4511" i="7"/>
  <c r="J4511" i="7"/>
  <c r="D4511" i="7"/>
  <c r="AI4510" i="7"/>
  <c r="AF4510" i="7"/>
  <c r="AA4510" i="7"/>
  <c r="Z4510" i="7"/>
  <c r="M4510" i="7"/>
  <c r="J4510" i="7"/>
  <c r="D4510" i="7"/>
  <c r="AI4509" i="7"/>
  <c r="AF4509" i="7"/>
  <c r="AA4509" i="7"/>
  <c r="Z4509" i="7"/>
  <c r="M4509" i="7"/>
  <c r="J4509" i="7"/>
  <c r="D4509" i="7"/>
  <c r="AI4508" i="7"/>
  <c r="AF4508" i="7"/>
  <c r="AA4508" i="7"/>
  <c r="Z4508" i="7"/>
  <c r="M4508" i="7"/>
  <c r="J4508" i="7"/>
  <c r="D4508" i="7"/>
  <c r="AI4549" i="7"/>
  <c r="AF4549" i="7"/>
  <c r="AA4549" i="7"/>
  <c r="Z4549" i="7"/>
  <c r="M4549" i="7"/>
  <c r="J4549" i="7"/>
  <c r="D4549" i="7"/>
  <c r="AI4507" i="7"/>
  <c r="AF4507" i="7"/>
  <c r="AA4507" i="7"/>
  <c r="Z4507" i="7"/>
  <c r="M4507" i="7"/>
  <c r="J4507" i="7"/>
  <c r="D4507" i="7"/>
  <c r="AI4506" i="7"/>
  <c r="AF4506" i="7"/>
  <c r="AA4506" i="7"/>
  <c r="Z4506" i="7"/>
  <c r="M4506" i="7"/>
  <c r="J4506" i="7"/>
  <c r="D4506" i="7"/>
  <c r="AI4505" i="7"/>
  <c r="AF4505" i="7"/>
  <c r="AA4505" i="7"/>
  <c r="Z4505" i="7"/>
  <c r="M4505" i="7"/>
  <c r="J4505" i="7"/>
  <c r="D4505" i="7"/>
  <c r="AI4504" i="7"/>
  <c r="AF4504" i="7"/>
  <c r="AA4504" i="7"/>
  <c r="Z4504" i="7"/>
  <c r="M4504" i="7"/>
  <c r="J4504" i="7"/>
  <c r="D4504" i="7"/>
  <c r="AI4503" i="7"/>
  <c r="AF4503" i="7"/>
  <c r="AA4503" i="7"/>
  <c r="Z4503" i="7"/>
  <c r="M4503" i="7"/>
  <c r="J4503" i="7"/>
  <c r="D4503" i="7"/>
  <c r="AI4502" i="7"/>
  <c r="AF4502" i="7"/>
  <c r="AA4502" i="7"/>
  <c r="Z4502" i="7"/>
  <c r="M4502" i="7"/>
  <c r="J4502" i="7"/>
  <c r="D4502" i="7"/>
  <c r="AI4501" i="7"/>
  <c r="AF4501" i="7"/>
  <c r="AA4501" i="7"/>
  <c r="Z4501" i="7"/>
  <c r="M4501" i="7"/>
  <c r="J4501" i="7"/>
  <c r="D4501" i="7"/>
  <c r="AI4548" i="7"/>
  <c r="AF4548" i="7"/>
  <c r="AA4548" i="7"/>
  <c r="Z4548" i="7"/>
  <c r="M4548" i="7"/>
  <c r="J4548" i="7"/>
  <c r="D4548" i="7"/>
  <c r="AI4500" i="7"/>
  <c r="AF4500" i="7"/>
  <c r="AA4500" i="7"/>
  <c r="Z4500" i="7"/>
  <c r="M4500" i="7"/>
  <c r="J4500" i="7"/>
  <c r="D4500" i="7"/>
  <c r="AI4547" i="7"/>
  <c r="AF4547" i="7"/>
  <c r="AA4547" i="7"/>
  <c r="Z4547" i="7"/>
  <c r="M4547" i="7"/>
  <c r="J4547" i="7"/>
  <c r="D4547" i="7"/>
  <c r="AI4545" i="7"/>
  <c r="AF4545" i="7"/>
  <c r="AA4545" i="7"/>
  <c r="Z4545" i="7"/>
  <c r="M4545" i="7"/>
  <c r="J4545" i="7"/>
  <c r="D4545" i="7"/>
  <c r="AI4499" i="7"/>
  <c r="AF4499" i="7"/>
  <c r="AA4499" i="7"/>
  <c r="Z4499" i="7"/>
  <c r="M4499" i="7"/>
  <c r="J4499" i="7"/>
  <c r="D4499" i="7"/>
  <c r="AI4498" i="7"/>
  <c r="AF4498" i="7"/>
  <c r="AA4498" i="7"/>
  <c r="Z4498" i="7"/>
  <c r="M4498" i="7"/>
  <c r="J4498" i="7"/>
  <c r="D4498" i="7"/>
  <c r="AI4497" i="7"/>
  <c r="AF4497" i="7"/>
  <c r="AA4497" i="7"/>
  <c r="Z4497" i="7"/>
  <c r="M4497" i="7"/>
  <c r="J4497" i="7"/>
  <c r="D4497" i="7"/>
  <c r="AI4544" i="7"/>
  <c r="AF4544" i="7"/>
  <c r="AA4544" i="7"/>
  <c r="Z4544" i="7"/>
  <c r="M4544" i="7"/>
  <c r="J4544" i="7"/>
  <c r="D4544" i="7"/>
  <c r="AI4496" i="7"/>
  <c r="AF4496" i="7"/>
  <c r="AA4496" i="7"/>
  <c r="Z4496" i="7"/>
  <c r="M4496" i="7"/>
  <c r="J4496" i="7"/>
  <c r="D4496" i="7"/>
  <c r="AI4495" i="7"/>
  <c r="AF4495" i="7"/>
  <c r="AA4495" i="7"/>
  <c r="Z4495" i="7"/>
  <c r="M4495" i="7"/>
  <c r="J4495" i="7"/>
  <c r="D4495" i="7"/>
  <c r="AI4494" i="7"/>
  <c r="AF4494" i="7"/>
  <c r="AA4494" i="7"/>
  <c r="Z4494" i="7"/>
  <c r="M4494" i="7"/>
  <c r="J4494" i="7"/>
  <c r="D4494" i="7"/>
  <c r="AI4493" i="7"/>
  <c r="AF4493" i="7"/>
  <c r="AA4493" i="7"/>
  <c r="Z4493" i="7"/>
  <c r="M4493" i="7"/>
  <c r="J4493" i="7"/>
  <c r="D4493" i="7"/>
  <c r="AI4491" i="7"/>
  <c r="AF4491" i="7"/>
  <c r="AA4491" i="7"/>
  <c r="Z4491" i="7"/>
  <c r="M4491" i="7"/>
  <c r="J4491" i="7"/>
  <c r="D4491" i="7"/>
  <c r="AI4490" i="7"/>
  <c r="AF4490" i="7"/>
  <c r="AA4490" i="7"/>
  <c r="Z4490" i="7"/>
  <c r="M4490" i="7"/>
  <c r="J4490" i="7"/>
  <c r="D4490" i="7"/>
  <c r="AI4489" i="7"/>
  <c r="AF4489" i="7"/>
  <c r="AA4489" i="7"/>
  <c r="Z4489" i="7"/>
  <c r="M4489" i="7"/>
  <c r="J4489" i="7"/>
  <c r="D4489" i="7"/>
  <c r="AI4487" i="7"/>
  <c r="AF4487" i="7"/>
  <c r="AA4487" i="7"/>
  <c r="Z4487" i="7"/>
  <c r="M4487" i="7"/>
  <c r="J4487" i="7"/>
  <c r="D4487" i="7"/>
  <c r="AI4486" i="7"/>
  <c r="AF4486" i="7"/>
  <c r="AA4486" i="7"/>
  <c r="Z4486" i="7"/>
  <c r="M4486" i="7"/>
  <c r="J4486" i="7"/>
  <c r="D4486" i="7"/>
  <c r="AI4485" i="7"/>
  <c r="AF4485" i="7"/>
  <c r="AA4485" i="7"/>
  <c r="Z4485" i="7"/>
  <c r="M4485" i="7"/>
  <c r="J4485" i="7"/>
  <c r="D4485" i="7"/>
  <c r="AI4484" i="7"/>
  <c r="AF4484" i="7"/>
  <c r="AA4484" i="7"/>
  <c r="Z4484" i="7"/>
  <c r="M4484" i="7"/>
  <c r="J4484" i="7"/>
  <c r="D4484" i="7"/>
  <c r="AI4483" i="7"/>
  <c r="AF4483" i="7"/>
  <c r="AA4483" i="7"/>
  <c r="Z4483" i="7"/>
  <c r="M4483" i="7"/>
  <c r="J4483" i="7"/>
  <c r="D4483" i="7"/>
  <c r="AI4482" i="7"/>
  <c r="AF4482" i="7"/>
  <c r="AA4482" i="7"/>
  <c r="Z4482" i="7"/>
  <c r="M4482" i="7"/>
  <c r="J4482" i="7"/>
  <c r="D4482" i="7"/>
  <c r="AI4481" i="7"/>
  <c r="AF4481" i="7"/>
  <c r="AA4481" i="7"/>
  <c r="Z4481" i="7"/>
  <c r="M4481" i="7"/>
  <c r="J4481" i="7"/>
  <c r="D4481" i="7"/>
  <c r="AI4480" i="7"/>
  <c r="AF4480" i="7"/>
  <c r="AA4480" i="7"/>
  <c r="Z4480" i="7"/>
  <c r="M4480" i="7"/>
  <c r="J4480" i="7"/>
  <c r="D4480" i="7"/>
  <c r="AI4542" i="7"/>
  <c r="AF4542" i="7"/>
  <c r="AA4542" i="7"/>
  <c r="Z4542" i="7"/>
  <c r="M4542" i="7"/>
  <c r="J4542" i="7"/>
  <c r="D4542" i="7"/>
  <c r="Z4470" i="7"/>
  <c r="D4470" i="7"/>
  <c r="Z4469" i="7"/>
  <c r="D4469" i="7"/>
  <c r="Z4468" i="7"/>
  <c r="D4468" i="7"/>
  <c r="AF4467" i="7"/>
  <c r="Z4467" i="7"/>
  <c r="J4467" i="7"/>
  <c r="D4467" i="7"/>
  <c r="AF4466" i="7"/>
  <c r="Z4466" i="7"/>
  <c r="J4466" i="7"/>
  <c r="D4466" i="7"/>
  <c r="AF4465" i="7"/>
  <c r="Z4465" i="7"/>
  <c r="J4465" i="7"/>
  <c r="D4465" i="7"/>
  <c r="Z4464" i="7"/>
  <c r="J4464" i="7"/>
  <c r="D4464" i="7"/>
  <c r="Z4461" i="7"/>
  <c r="J4461" i="7"/>
  <c r="D4461" i="7"/>
  <c r="Z4460" i="7"/>
  <c r="J4460" i="7"/>
  <c r="D4460" i="7"/>
  <c r="Z4459" i="7"/>
  <c r="J4459" i="7"/>
  <c r="D4459" i="7"/>
  <c r="Z4458" i="7"/>
  <c r="J4458" i="7"/>
  <c r="D4458" i="7"/>
  <c r="Z4463" i="7"/>
  <c r="J4463" i="7"/>
  <c r="D4463" i="7"/>
  <c r="Z4462" i="7"/>
  <c r="J4462" i="7"/>
  <c r="D4462" i="7"/>
  <c r="Z4457" i="7"/>
  <c r="J4457" i="7"/>
  <c r="D4457" i="7"/>
  <c r="Z4456" i="7"/>
  <c r="J4456" i="7"/>
  <c r="D4456" i="7"/>
  <c r="Z4455" i="7"/>
  <c r="J4455" i="7"/>
  <c r="D4455" i="7"/>
  <c r="Z4454" i="7"/>
  <c r="J4454" i="7"/>
  <c r="D4454" i="7"/>
  <c r="Z4453" i="7"/>
  <c r="J4453" i="7"/>
  <c r="D4453" i="7"/>
  <c r="Z4452" i="7"/>
  <c r="J4452" i="7"/>
  <c r="D4452" i="7"/>
  <c r="Z4451" i="7"/>
  <c r="J4451" i="7"/>
  <c r="D4451" i="7"/>
  <c r="Z4450" i="7"/>
  <c r="J4450" i="7"/>
  <c r="D4450" i="7"/>
  <c r="Z4449" i="7"/>
  <c r="J4449" i="7"/>
  <c r="D4449" i="7"/>
  <c r="Z4448" i="7"/>
  <c r="J4448" i="7"/>
  <c r="D4448" i="7"/>
  <c r="Z4447" i="7"/>
  <c r="J4447" i="7"/>
  <c r="D4447" i="7"/>
  <c r="Z4446" i="7"/>
  <c r="J4446" i="7"/>
  <c r="D4446" i="7"/>
  <c r="AF4444" i="7"/>
  <c r="Z4444" i="7"/>
  <c r="D4444" i="7"/>
  <c r="AF4445" i="7"/>
  <c r="Z4445" i="7"/>
  <c r="J4445" i="7"/>
  <c r="D4445" i="7"/>
  <c r="AF4443" i="7"/>
  <c r="AA4443" i="7"/>
  <c r="Z4443" i="7"/>
  <c r="X4443" i="7"/>
  <c r="J4443" i="7"/>
  <c r="D4443" i="7"/>
  <c r="Z4436" i="7"/>
  <c r="J4436" i="7"/>
  <c r="D4436" i="7"/>
  <c r="AF4430" i="7"/>
  <c r="AA4430" i="7"/>
  <c r="Z4430" i="7"/>
  <c r="X4430" i="7"/>
  <c r="M4430" i="7"/>
  <c r="J4430" i="7"/>
  <c r="D4430" i="7"/>
  <c r="AI4429" i="7"/>
  <c r="AF4429" i="7"/>
  <c r="Z4429" i="7"/>
  <c r="L4429" i="7"/>
  <c r="J4429" i="7"/>
  <c r="D4429" i="7"/>
  <c r="AI4427" i="7"/>
  <c r="AF4427" i="7"/>
  <c r="Z4427" i="7"/>
  <c r="L4427" i="7"/>
  <c r="J4427" i="7"/>
  <c r="D4427" i="7"/>
  <c r="AI4426" i="7"/>
  <c r="AF4426" i="7"/>
  <c r="Z4426" i="7"/>
  <c r="L4426" i="7"/>
  <c r="J4426" i="7"/>
  <c r="D4426" i="7"/>
  <c r="AI4423" i="7"/>
  <c r="AF4423" i="7"/>
  <c r="Z4423" i="7"/>
  <c r="L4423" i="7"/>
  <c r="J4423" i="7"/>
  <c r="D4423" i="7"/>
  <c r="AI4422" i="7"/>
  <c r="AF4422" i="7"/>
  <c r="Z4422" i="7"/>
  <c r="L4422" i="7"/>
  <c r="J4422" i="7"/>
  <c r="D4422" i="7"/>
  <c r="AI4421" i="7"/>
  <c r="AF4421" i="7"/>
  <c r="Z4421" i="7"/>
  <c r="L4421" i="7"/>
  <c r="J4421" i="7"/>
  <c r="D4421" i="7"/>
  <c r="AI4420" i="7"/>
  <c r="AF4420" i="7"/>
  <c r="Z4420" i="7"/>
  <c r="L4420" i="7"/>
  <c r="J4420" i="7"/>
  <c r="D4420" i="7"/>
  <c r="AI4419" i="7"/>
  <c r="AF4419" i="7"/>
  <c r="Z4419" i="7"/>
  <c r="L4419" i="7"/>
  <c r="J4419" i="7"/>
  <c r="D4419" i="7"/>
  <c r="AI4428" i="7"/>
  <c r="AF4428" i="7"/>
  <c r="Z4428" i="7"/>
  <c r="L4428" i="7"/>
  <c r="J4428" i="7"/>
  <c r="D4428" i="7"/>
  <c r="AI4418" i="7"/>
  <c r="AF4418" i="7"/>
  <c r="Z4418" i="7"/>
  <c r="L4418" i="7"/>
  <c r="J4418" i="7"/>
  <c r="D4418" i="7"/>
  <c r="AI4417" i="7"/>
  <c r="AF4417" i="7"/>
  <c r="Z4417" i="7"/>
  <c r="L4417" i="7"/>
  <c r="J4417" i="7"/>
  <c r="D4417" i="7"/>
  <c r="AI4416" i="7"/>
  <c r="AF4416" i="7"/>
  <c r="Z4416" i="7"/>
  <c r="L4416" i="7"/>
  <c r="J4416" i="7"/>
  <c r="D4416" i="7"/>
  <c r="AI4415" i="7"/>
  <c r="AF4415" i="7"/>
  <c r="Z4415" i="7"/>
  <c r="L4415" i="7"/>
  <c r="J4415" i="7"/>
  <c r="D4415" i="7"/>
  <c r="AI4414" i="7"/>
  <c r="AF4414" i="7"/>
  <c r="Z4414" i="7"/>
  <c r="L4414" i="7"/>
  <c r="J4414" i="7"/>
  <c r="D4414" i="7"/>
  <c r="AF4413" i="7"/>
  <c r="AB4413" i="7"/>
  <c r="AA4413" i="7"/>
  <c r="Z4413" i="7"/>
  <c r="M4413" i="7"/>
  <c r="J4413" i="7"/>
  <c r="D4413" i="7"/>
  <c r="Z4412" i="7"/>
  <c r="D4412" i="7"/>
  <c r="Z4411" i="7"/>
  <c r="D4411" i="7"/>
  <c r="Z4410" i="7"/>
  <c r="D4410" i="7"/>
  <c r="Z4409" i="7"/>
  <c r="D4409" i="7"/>
  <c r="AA4408" i="7"/>
  <c r="Z4408" i="7"/>
  <c r="J4408" i="7"/>
  <c r="D4408" i="7"/>
  <c r="AA4407" i="7"/>
  <c r="Z4407" i="7"/>
  <c r="J4407" i="7"/>
  <c r="D4407" i="7"/>
  <c r="AA4406" i="7"/>
  <c r="Z4406" i="7"/>
  <c r="J4406" i="7"/>
  <c r="D4406" i="7"/>
  <c r="AA4405" i="7"/>
  <c r="Z4405" i="7"/>
  <c r="J4405" i="7"/>
  <c r="D4405" i="7"/>
  <c r="AA4404" i="7"/>
  <c r="Z4404" i="7"/>
  <c r="J4404" i="7"/>
  <c r="D4404" i="7"/>
  <c r="AA4403" i="7"/>
  <c r="Z4403" i="7"/>
  <c r="J4403" i="7"/>
  <c r="D4403" i="7"/>
  <c r="AA4402" i="7"/>
  <c r="Z4402" i="7"/>
  <c r="J4402" i="7"/>
  <c r="D4402" i="7"/>
  <c r="AA4401" i="7"/>
  <c r="Z4401" i="7"/>
  <c r="J4401" i="7"/>
  <c r="D4401" i="7"/>
  <c r="AA4400" i="7"/>
  <c r="Z4400" i="7"/>
  <c r="J4400" i="7"/>
  <c r="D4400" i="7"/>
  <c r="AA4399" i="7"/>
  <c r="Z4399" i="7"/>
  <c r="J4399" i="7"/>
  <c r="D4399" i="7"/>
  <c r="AA4398" i="7"/>
  <c r="Z4398" i="7"/>
  <c r="J4398" i="7"/>
  <c r="D4398" i="7"/>
  <c r="AA4397" i="7"/>
  <c r="Z4397" i="7"/>
  <c r="J4397" i="7"/>
  <c r="D4397" i="7"/>
  <c r="AA4396" i="7"/>
  <c r="Z4396" i="7"/>
  <c r="J4396" i="7"/>
  <c r="D4396" i="7"/>
  <c r="AA4395" i="7"/>
  <c r="Z4395" i="7"/>
  <c r="J4395" i="7"/>
  <c r="D4395" i="7"/>
  <c r="AA4394" i="7"/>
  <c r="Z4394" i="7"/>
  <c r="J4394" i="7"/>
  <c r="D4394" i="7"/>
  <c r="AA4393" i="7"/>
  <c r="Z4393" i="7"/>
  <c r="J4393" i="7"/>
  <c r="D4393" i="7"/>
  <c r="AA4392" i="7"/>
  <c r="Z4392" i="7"/>
  <c r="J4392" i="7"/>
  <c r="D4392" i="7"/>
  <c r="AA4391" i="7"/>
  <c r="Z4391" i="7"/>
  <c r="J4391" i="7"/>
  <c r="D4391" i="7"/>
  <c r="AA4390" i="7"/>
  <c r="Z4390" i="7"/>
  <c r="J4390" i="7"/>
  <c r="D4390" i="7"/>
  <c r="AA4389" i="7"/>
  <c r="Z4389" i="7"/>
  <c r="J4389" i="7"/>
  <c r="D4389" i="7"/>
  <c r="AA4388" i="7"/>
  <c r="Z4388" i="7"/>
  <c r="J4388" i="7"/>
  <c r="D4388" i="7"/>
  <c r="AA4387" i="7"/>
  <c r="Z4387" i="7"/>
  <c r="J4387" i="7"/>
  <c r="D4387" i="7"/>
  <c r="AA4386" i="7"/>
  <c r="Z4386" i="7"/>
  <c r="J4386" i="7"/>
  <c r="D4386" i="7"/>
  <c r="AA4385" i="7"/>
  <c r="Z4385" i="7"/>
  <c r="J4385" i="7"/>
  <c r="D4385" i="7"/>
  <c r="AA4384" i="7"/>
  <c r="Z4384" i="7"/>
  <c r="J4384" i="7"/>
  <c r="D4384" i="7"/>
  <c r="AA4383" i="7"/>
  <c r="Z4383" i="7"/>
  <c r="J4383" i="7"/>
  <c r="D4383" i="7"/>
  <c r="AA4382" i="7"/>
  <c r="Z4382" i="7"/>
  <c r="J4382" i="7"/>
  <c r="D4382" i="7"/>
  <c r="AA4381" i="7"/>
  <c r="Z4381" i="7"/>
  <c r="J4381" i="7"/>
  <c r="D4381" i="7"/>
  <c r="AA4380" i="7"/>
  <c r="Z4380" i="7"/>
  <c r="J4380" i="7"/>
  <c r="D4380" i="7"/>
  <c r="AA4379" i="7"/>
  <c r="Z4379" i="7"/>
  <c r="J4379" i="7"/>
  <c r="D4379" i="7"/>
  <c r="AF4377" i="7"/>
  <c r="AA4377" i="7"/>
  <c r="Z4377" i="7"/>
  <c r="M4377" i="7"/>
  <c r="J4377" i="7"/>
  <c r="D4377" i="7"/>
  <c r="AF4375" i="7"/>
  <c r="AA4375" i="7"/>
  <c r="Z4375" i="7"/>
  <c r="M4375" i="7"/>
  <c r="J4375" i="7"/>
  <c r="D4375" i="7"/>
  <c r="AF4374" i="7"/>
  <c r="AA4374" i="7"/>
  <c r="Z4374" i="7"/>
  <c r="M4374" i="7"/>
  <c r="J4374" i="7"/>
  <c r="D4374" i="7"/>
  <c r="Z4367" i="7"/>
  <c r="D4367" i="7"/>
  <c r="Z4366" i="7"/>
  <c r="D4366" i="7"/>
  <c r="Z4365" i="7"/>
  <c r="D4365" i="7"/>
  <c r="Z4363" i="7"/>
  <c r="D4363" i="7"/>
  <c r="Z4362" i="7"/>
  <c r="D4362" i="7"/>
  <c r="Z4361" i="7"/>
  <c r="D4361" i="7"/>
  <c r="Z4360" i="7"/>
  <c r="D4360" i="7"/>
  <c r="Z4359" i="7"/>
  <c r="D4359" i="7"/>
  <c r="Z4358" i="7"/>
  <c r="D4358" i="7"/>
  <c r="Z4357" i="7"/>
  <c r="D4357" i="7"/>
  <c r="Z4356" i="7"/>
  <c r="D4356" i="7"/>
  <c r="Z4355" i="7"/>
  <c r="D4355" i="7"/>
  <c r="Z4354" i="7"/>
  <c r="D4354" i="7"/>
  <c r="Z4368" i="7"/>
  <c r="D4368" i="7"/>
  <c r="Z4353" i="7"/>
  <c r="D4353" i="7"/>
  <c r="Z4352" i="7"/>
  <c r="D4352" i="7"/>
  <c r="Z4351" i="7"/>
  <c r="D4351" i="7"/>
  <c r="AF4350" i="7"/>
  <c r="Z4350" i="7"/>
  <c r="D4350" i="7"/>
  <c r="AF4349" i="7"/>
  <c r="Z4349" i="7"/>
  <c r="D4349" i="7"/>
  <c r="AI4346" i="7"/>
  <c r="AA4346" i="7"/>
  <c r="Z4346" i="7"/>
  <c r="X4346" i="7"/>
  <c r="M4346" i="7"/>
  <c r="J4346" i="7"/>
  <c r="D4346" i="7"/>
  <c r="AI4345" i="7"/>
  <c r="AA4345" i="7"/>
  <c r="Z4345" i="7"/>
  <c r="X4345" i="7"/>
  <c r="M4345" i="7"/>
  <c r="J4345" i="7"/>
  <c r="D4345" i="7"/>
  <c r="AI4344" i="7"/>
  <c r="AA4344" i="7"/>
  <c r="Z4344" i="7"/>
  <c r="X4344" i="7"/>
  <c r="M4344" i="7"/>
  <c r="J4344" i="7"/>
  <c r="D4344" i="7"/>
  <c r="AI4343" i="7"/>
  <c r="AA4343" i="7"/>
  <c r="Z4343" i="7"/>
  <c r="X4343" i="7"/>
  <c r="M4343" i="7"/>
  <c r="J4343" i="7"/>
  <c r="D4343" i="7"/>
  <c r="AI4342" i="7"/>
  <c r="AA4342" i="7"/>
  <c r="Z4342" i="7"/>
  <c r="X4342" i="7"/>
  <c r="M4342" i="7"/>
  <c r="J4342" i="7"/>
  <c r="D4342" i="7"/>
  <c r="AI4341" i="7"/>
  <c r="AA4341" i="7"/>
  <c r="Z4341" i="7"/>
  <c r="X4341" i="7"/>
  <c r="M4341" i="7"/>
  <c r="J4341" i="7"/>
  <c r="D4341" i="7"/>
  <c r="AI4340" i="7"/>
  <c r="AA4340" i="7"/>
  <c r="Z4340" i="7"/>
  <c r="X4340" i="7"/>
  <c r="M4340" i="7"/>
  <c r="J4340" i="7"/>
  <c r="D4340" i="7"/>
  <c r="AI4339" i="7"/>
  <c r="AA4339" i="7"/>
  <c r="Z4339" i="7"/>
  <c r="X4339" i="7"/>
  <c r="M4339" i="7"/>
  <c r="J4339" i="7"/>
  <c r="D4339" i="7"/>
  <c r="AI4338" i="7"/>
  <c r="AA4338" i="7"/>
  <c r="Z4338" i="7"/>
  <c r="X4338" i="7"/>
  <c r="M4338" i="7"/>
  <c r="J4338" i="7"/>
  <c r="D4338" i="7"/>
  <c r="AI4337" i="7"/>
  <c r="AA4337" i="7"/>
  <c r="Z4337" i="7"/>
  <c r="X4337" i="7"/>
  <c r="M4337" i="7"/>
  <c r="J4337" i="7"/>
  <c r="D4337" i="7"/>
  <c r="AI4336" i="7"/>
  <c r="AF4336" i="7"/>
  <c r="AA4336" i="7"/>
  <c r="Z4336" i="7"/>
  <c r="X4336" i="7"/>
  <c r="M4336" i="7"/>
  <c r="J4336" i="7"/>
  <c r="D4336" i="7"/>
  <c r="AI4335" i="7"/>
  <c r="AF4335" i="7"/>
  <c r="AA4335" i="7"/>
  <c r="Z4335" i="7"/>
  <c r="X4335" i="7"/>
  <c r="M4335" i="7"/>
  <c r="J4335" i="7"/>
  <c r="D4335" i="7"/>
  <c r="AF4333" i="7"/>
  <c r="AC4333" i="7"/>
  <c r="AA4333" i="7"/>
  <c r="Z4333" i="7"/>
  <c r="X4333" i="7"/>
  <c r="J4333" i="7"/>
  <c r="D4333" i="7"/>
  <c r="AF4334" i="7"/>
  <c r="AC4334" i="7"/>
  <c r="AA4334" i="7"/>
  <c r="Z4334" i="7"/>
  <c r="X4334" i="7"/>
  <c r="J4334" i="7"/>
  <c r="D4334" i="7"/>
  <c r="AF4332" i="7"/>
  <c r="AC4332" i="7"/>
  <c r="AA4332" i="7"/>
  <c r="Z4332" i="7"/>
  <c r="X4332" i="7"/>
  <c r="J4332" i="7"/>
  <c r="D4332" i="7"/>
  <c r="AF4331" i="7"/>
  <c r="AC4331" i="7"/>
  <c r="AA4331" i="7"/>
  <c r="Z4331" i="7"/>
  <c r="X4331" i="7"/>
  <c r="J4331" i="7"/>
  <c r="D4331" i="7"/>
  <c r="AF4330" i="7"/>
  <c r="AC4330" i="7"/>
  <c r="AA4330" i="7"/>
  <c r="Z4330" i="7"/>
  <c r="X4330" i="7"/>
  <c r="J4330" i="7"/>
  <c r="D4330" i="7"/>
  <c r="AF4329" i="7"/>
  <c r="AC4329" i="7"/>
  <c r="AA4329" i="7"/>
  <c r="Z4329" i="7"/>
  <c r="X4329" i="7"/>
  <c r="J4329" i="7"/>
  <c r="D4329" i="7"/>
  <c r="Z4327" i="7"/>
  <c r="D4327" i="7"/>
  <c r="Z4326" i="7"/>
  <c r="D4326" i="7"/>
  <c r="Z4325" i="7"/>
  <c r="D4325" i="7"/>
  <c r="Z4324" i="7"/>
  <c r="D4324" i="7"/>
  <c r="Z4323" i="7"/>
  <c r="D4323" i="7"/>
  <c r="Z4322" i="7"/>
  <c r="D4322" i="7"/>
  <c r="Z4321" i="7"/>
  <c r="D4321" i="7"/>
  <c r="Z4320" i="7"/>
  <c r="D4320" i="7"/>
  <c r="Z4319" i="7"/>
  <c r="D4319" i="7"/>
  <c r="Z4318" i="7"/>
  <c r="D4318" i="7"/>
  <c r="Z4317" i="7"/>
  <c r="D4317" i="7"/>
  <c r="Z4316" i="7"/>
  <c r="D4316" i="7"/>
  <c r="Z4315" i="7"/>
  <c r="D4315" i="7"/>
  <c r="Z4314" i="7"/>
  <c r="D4314" i="7"/>
  <c r="Z4313" i="7"/>
  <c r="D4313" i="7"/>
  <c r="Z4312" i="7"/>
  <c r="J4312" i="7"/>
  <c r="D4312" i="7"/>
  <c r="Z4311" i="7"/>
  <c r="J4311" i="7"/>
  <c r="D4311" i="7"/>
  <c r="AF4310" i="7"/>
  <c r="Z4310" i="7"/>
  <c r="J4310" i="7"/>
  <c r="D4310" i="7"/>
  <c r="AF4309" i="7"/>
  <c r="Z4309" i="7"/>
  <c r="J4309" i="7"/>
  <c r="D4309" i="7"/>
  <c r="AF4308" i="7"/>
  <c r="Z4308" i="7"/>
  <c r="J4308" i="7"/>
  <c r="D4308" i="7"/>
  <c r="AF4307" i="7"/>
  <c r="Z4307" i="7"/>
  <c r="J4307" i="7"/>
  <c r="D4307" i="7"/>
  <c r="AF4306" i="7"/>
  <c r="Z4306" i="7"/>
  <c r="J4306" i="7"/>
  <c r="D4306" i="7"/>
  <c r="AF4305" i="7"/>
  <c r="Z4305" i="7"/>
  <c r="J4305" i="7"/>
  <c r="D4305" i="7"/>
  <c r="AF4304" i="7"/>
  <c r="Z4304" i="7"/>
  <c r="J4304" i="7"/>
  <c r="D4304" i="7"/>
  <c r="AF4303" i="7"/>
  <c r="Z4303" i="7"/>
  <c r="J4303" i="7"/>
  <c r="D4303" i="7"/>
  <c r="AF4302" i="7"/>
  <c r="Z4302" i="7"/>
  <c r="J4302" i="7"/>
  <c r="D4302" i="7"/>
  <c r="AF4301" i="7"/>
  <c r="Z4301" i="7"/>
  <c r="J4301" i="7"/>
  <c r="D4301" i="7"/>
  <c r="AF4300" i="7"/>
  <c r="Z4300" i="7"/>
  <c r="J4300" i="7"/>
  <c r="D4300" i="7"/>
  <c r="AF4299" i="7"/>
  <c r="Z4299" i="7"/>
  <c r="J4299" i="7"/>
  <c r="D4299" i="7"/>
  <c r="AF4298" i="7"/>
  <c r="Z4298" i="7"/>
  <c r="J4298" i="7"/>
  <c r="D4298" i="7"/>
  <c r="AF4297" i="7"/>
  <c r="Z4297" i="7"/>
  <c r="J4297" i="7"/>
  <c r="D4297" i="7"/>
  <c r="Z4291" i="7"/>
  <c r="D4291" i="7"/>
  <c r="Z4290" i="7"/>
  <c r="D4290" i="7"/>
  <c r="Z4289" i="7"/>
  <c r="D4289" i="7"/>
  <c r="Z4288" i="7"/>
  <c r="D4288" i="7"/>
  <c r="Z4287" i="7"/>
  <c r="D4287" i="7"/>
  <c r="Z4286" i="7"/>
  <c r="D4286" i="7"/>
  <c r="Z4285" i="7"/>
  <c r="D4285" i="7"/>
  <c r="Z4284" i="7"/>
  <c r="D4284" i="7"/>
  <c r="Z4283" i="7"/>
  <c r="D4283" i="7"/>
  <c r="Z4281" i="7"/>
  <c r="J4281" i="7"/>
  <c r="D4281" i="7"/>
  <c r="Z4280" i="7"/>
  <c r="J4280" i="7"/>
  <c r="D4280" i="7"/>
  <c r="Z4279" i="7"/>
  <c r="J4279" i="7"/>
  <c r="D4279" i="7"/>
  <c r="Z4278" i="7"/>
  <c r="J4278" i="7"/>
  <c r="D4278" i="7"/>
  <c r="Z4277" i="7"/>
  <c r="J4277" i="7"/>
  <c r="D4277" i="7"/>
  <c r="AF4276" i="7"/>
  <c r="Z4276" i="7"/>
  <c r="D4276" i="7"/>
  <c r="AF4271" i="7"/>
  <c r="Z4271" i="7"/>
  <c r="L4271" i="7"/>
  <c r="J4271" i="7"/>
  <c r="D4271" i="7"/>
  <c r="Z4269" i="7"/>
  <c r="D4269" i="7"/>
  <c r="Z4268" i="7"/>
  <c r="D4268" i="7"/>
  <c r="AI4267" i="7"/>
  <c r="AA4267" i="7"/>
  <c r="Z4267" i="7"/>
  <c r="M4267" i="7"/>
  <c r="J4267" i="7"/>
  <c r="D4267" i="7"/>
  <c r="AI4266" i="7"/>
  <c r="AA4266" i="7"/>
  <c r="Z4266" i="7"/>
  <c r="M4266" i="7"/>
  <c r="J4266" i="7"/>
  <c r="D4266" i="7"/>
  <c r="AI4265" i="7"/>
  <c r="AA4265" i="7"/>
  <c r="Z4265" i="7"/>
  <c r="M4265" i="7"/>
  <c r="J4265" i="7"/>
  <c r="D4265" i="7"/>
  <c r="AI4264" i="7"/>
  <c r="AA4264" i="7"/>
  <c r="Z4264" i="7"/>
  <c r="M4264" i="7"/>
  <c r="J4264" i="7"/>
  <c r="D4264" i="7"/>
  <c r="AI4263" i="7"/>
  <c r="AA4263" i="7"/>
  <c r="Z4263" i="7"/>
  <c r="M4263" i="7"/>
  <c r="J4263" i="7"/>
  <c r="D4263" i="7"/>
  <c r="AI4262" i="7"/>
  <c r="AA4262" i="7"/>
  <c r="Z4262" i="7"/>
  <c r="M4262" i="7"/>
  <c r="J4262" i="7"/>
  <c r="D4262" i="7"/>
  <c r="AI4261" i="7"/>
  <c r="AA4261" i="7"/>
  <c r="Z4261" i="7"/>
  <c r="M4261" i="7"/>
  <c r="J4261" i="7"/>
  <c r="D4261" i="7"/>
  <c r="AI4260" i="7"/>
  <c r="AA4260" i="7"/>
  <c r="Z4260" i="7"/>
  <c r="M4260" i="7"/>
  <c r="J4260" i="7"/>
  <c r="D4260" i="7"/>
  <c r="AI4259" i="7"/>
  <c r="AA4259" i="7"/>
  <c r="Z4259" i="7"/>
  <c r="M4259" i="7"/>
  <c r="J4259" i="7"/>
  <c r="D4259" i="7"/>
  <c r="AI4258" i="7"/>
  <c r="AA4258" i="7"/>
  <c r="Z4258" i="7"/>
  <c r="M4258" i="7"/>
  <c r="J4258" i="7"/>
  <c r="D4258" i="7"/>
  <c r="AI4257" i="7"/>
  <c r="AA4257" i="7"/>
  <c r="Z4257" i="7"/>
  <c r="M4257" i="7"/>
  <c r="J4257" i="7"/>
  <c r="D4257" i="7"/>
  <c r="AI4256" i="7"/>
  <c r="AA4256" i="7"/>
  <c r="Z4256" i="7"/>
  <c r="M4256" i="7"/>
  <c r="J4256" i="7"/>
  <c r="D4256" i="7"/>
  <c r="AI4255" i="7"/>
  <c r="AA4255" i="7"/>
  <c r="Z4255" i="7"/>
  <c r="M4255" i="7"/>
  <c r="J4255" i="7"/>
  <c r="D4255" i="7"/>
  <c r="AI4254" i="7"/>
  <c r="AA4254" i="7"/>
  <c r="Z4254" i="7"/>
  <c r="M4254" i="7"/>
  <c r="J4254" i="7"/>
  <c r="D4254" i="7"/>
  <c r="AI4253" i="7"/>
  <c r="AA4253" i="7"/>
  <c r="Z4253" i="7"/>
  <c r="M4253" i="7"/>
  <c r="J4253" i="7"/>
  <c r="D4253" i="7"/>
  <c r="AI4252" i="7"/>
  <c r="AA4252" i="7"/>
  <c r="Z4252" i="7"/>
  <c r="M4252" i="7"/>
  <c r="J4252" i="7"/>
  <c r="D4252" i="7"/>
  <c r="AI4251" i="7"/>
  <c r="AA4251" i="7"/>
  <c r="Z4251" i="7"/>
  <c r="M4251" i="7"/>
  <c r="J4251" i="7"/>
  <c r="D4251" i="7"/>
  <c r="AI4250" i="7"/>
  <c r="AA4250" i="7"/>
  <c r="Z4250" i="7"/>
  <c r="M4250" i="7"/>
  <c r="J4250" i="7"/>
  <c r="D4250" i="7"/>
  <c r="AI4249" i="7"/>
  <c r="AA4249" i="7"/>
  <c r="Z4249" i="7"/>
  <c r="M4249" i="7"/>
  <c r="J4249" i="7"/>
  <c r="D4249" i="7"/>
  <c r="AI4248" i="7"/>
  <c r="AA4248" i="7"/>
  <c r="Z4248" i="7"/>
  <c r="M4248" i="7"/>
  <c r="J4248" i="7"/>
  <c r="D4248" i="7"/>
  <c r="AI4247" i="7"/>
  <c r="AA4247" i="7"/>
  <c r="Z4247" i="7"/>
  <c r="M4247" i="7"/>
  <c r="J4247" i="7"/>
  <c r="D4247" i="7"/>
  <c r="AI4246" i="7"/>
  <c r="AA4246" i="7"/>
  <c r="Z4246" i="7"/>
  <c r="M4246" i="7"/>
  <c r="J4246" i="7"/>
  <c r="D4246" i="7"/>
  <c r="AI4245" i="7"/>
  <c r="AA4245" i="7"/>
  <c r="Z4245" i="7"/>
  <c r="M4245" i="7"/>
  <c r="J4245" i="7"/>
  <c r="D4245" i="7"/>
  <c r="AI4244" i="7"/>
  <c r="AA4244" i="7"/>
  <c r="Z4244" i="7"/>
  <c r="M4244" i="7"/>
  <c r="J4244" i="7"/>
  <c r="D4244" i="7"/>
  <c r="AI4243" i="7"/>
  <c r="AA4243" i="7"/>
  <c r="Z4243" i="7"/>
  <c r="M4243" i="7"/>
  <c r="J4243" i="7"/>
  <c r="D4243" i="7"/>
  <c r="AI4242" i="7"/>
  <c r="AA4242" i="7"/>
  <c r="Z4242" i="7"/>
  <c r="M4242" i="7"/>
  <c r="J4242" i="7"/>
  <c r="D4242" i="7"/>
  <c r="AI4241" i="7"/>
  <c r="AA4241" i="7"/>
  <c r="Z4241" i="7"/>
  <c r="M4241" i="7"/>
  <c r="J4241" i="7"/>
  <c r="D4241" i="7"/>
  <c r="AI4240" i="7"/>
  <c r="AA4240" i="7"/>
  <c r="Z4240" i="7"/>
  <c r="M4240" i="7"/>
  <c r="J4240" i="7"/>
  <c r="D4240" i="7"/>
  <c r="AI4239" i="7"/>
  <c r="AA4239" i="7"/>
  <c r="Z4239" i="7"/>
  <c r="M4239" i="7"/>
  <c r="J4239" i="7"/>
  <c r="D4239" i="7"/>
  <c r="AI4238" i="7"/>
  <c r="AA4238" i="7"/>
  <c r="Z4238" i="7"/>
  <c r="M4238" i="7"/>
  <c r="J4238" i="7"/>
  <c r="D4238" i="7"/>
  <c r="AI4237" i="7"/>
  <c r="AA4237" i="7"/>
  <c r="Z4237" i="7"/>
  <c r="M4237" i="7"/>
  <c r="J4237" i="7"/>
  <c r="D4237" i="7"/>
  <c r="AF4229" i="7"/>
  <c r="AE4229" i="7"/>
  <c r="AA4229" i="7"/>
  <c r="Z4229" i="7"/>
  <c r="M4229" i="7"/>
  <c r="D4229" i="7"/>
  <c r="AF4228" i="7"/>
  <c r="AA4228" i="7"/>
  <c r="Z4228" i="7"/>
  <c r="J4228" i="7"/>
  <c r="D4228" i="7"/>
  <c r="AF4227" i="7"/>
  <c r="Z4227" i="7"/>
  <c r="J4227" i="7"/>
  <c r="D4227" i="7"/>
  <c r="AF4226" i="7"/>
  <c r="Z4226" i="7"/>
  <c r="J4226" i="7"/>
  <c r="D4226" i="7"/>
  <c r="AF4225" i="7"/>
  <c r="Z4225" i="7"/>
  <c r="J4225" i="7"/>
  <c r="D4225" i="7"/>
  <c r="AF4224" i="7"/>
  <c r="Z4224" i="7"/>
  <c r="J4224" i="7"/>
  <c r="D4224" i="7"/>
  <c r="AF4223" i="7"/>
  <c r="Z4223" i="7"/>
  <c r="J4223" i="7"/>
  <c r="D4223" i="7"/>
  <c r="AF4220" i="7"/>
  <c r="Z4220" i="7"/>
  <c r="L4220" i="7"/>
  <c r="J4220" i="7"/>
  <c r="D4220" i="7"/>
  <c r="AI4217" i="7"/>
  <c r="AF4217" i="7"/>
  <c r="AA4217" i="7"/>
  <c r="Z4217" i="7"/>
  <c r="J4217" i="7"/>
  <c r="D4217" i="7"/>
  <c r="AI4216" i="7"/>
  <c r="AF4216" i="7"/>
  <c r="AA4216" i="7"/>
  <c r="Z4216" i="7"/>
  <c r="J4216" i="7"/>
  <c r="D4216" i="7"/>
  <c r="AI4215" i="7"/>
  <c r="AF4215" i="7"/>
  <c r="AA4215" i="7"/>
  <c r="Z4215" i="7"/>
  <c r="J4215" i="7"/>
  <c r="D4215" i="7"/>
  <c r="AI4214" i="7"/>
  <c r="AF4214" i="7"/>
  <c r="AA4214" i="7"/>
  <c r="Z4214" i="7"/>
  <c r="J4214" i="7"/>
  <c r="D4214" i="7"/>
  <c r="Z4206" i="7"/>
  <c r="L4206" i="7"/>
  <c r="J4206" i="7"/>
  <c r="D4206" i="7"/>
  <c r="Z4204" i="7"/>
  <c r="D4204" i="7"/>
  <c r="AF4201" i="7"/>
  <c r="Z4201" i="7"/>
  <c r="L4201" i="7"/>
  <c r="J4201" i="7"/>
  <c r="D4201" i="7"/>
  <c r="AF4200" i="7"/>
  <c r="Z4200" i="7"/>
  <c r="L4200" i="7"/>
  <c r="J4200" i="7"/>
  <c r="D4200" i="7"/>
  <c r="AF4197" i="7"/>
  <c r="Z4197" i="7"/>
  <c r="L4197" i="7"/>
  <c r="J4197" i="7"/>
  <c r="D4197" i="7"/>
  <c r="AF4196" i="7"/>
  <c r="Z4196" i="7"/>
  <c r="L4196" i="7"/>
  <c r="J4196" i="7"/>
  <c r="D4196" i="7"/>
  <c r="AF4195" i="7"/>
  <c r="Z4195" i="7"/>
  <c r="L4195" i="7"/>
  <c r="J4195" i="7"/>
  <c r="D4195" i="7"/>
  <c r="Z4194" i="7"/>
  <c r="J4194" i="7"/>
  <c r="D4194" i="7"/>
  <c r="Z4193" i="7"/>
  <c r="J4193" i="7"/>
  <c r="D4193" i="7"/>
  <c r="Z4192" i="7"/>
  <c r="J4192" i="7"/>
  <c r="D4192" i="7"/>
  <c r="Z4191" i="7"/>
  <c r="J4191" i="7"/>
  <c r="D4191" i="7"/>
  <c r="Z4187" i="7"/>
  <c r="X4187" i="7"/>
  <c r="V4187" i="7"/>
  <c r="O4187" i="7"/>
  <c r="M4187" i="7"/>
  <c r="D4187" i="7"/>
  <c r="Z4186" i="7"/>
  <c r="X4186" i="7"/>
  <c r="V4186" i="7"/>
  <c r="O4186" i="7"/>
  <c r="M4186" i="7"/>
  <c r="D4186" i="7"/>
  <c r="Z4185" i="7"/>
  <c r="X4185" i="7"/>
  <c r="V4185" i="7"/>
  <c r="O4185" i="7"/>
  <c r="M4185" i="7"/>
  <c r="D4185" i="7"/>
  <c r="Z4184" i="7"/>
  <c r="X4184" i="7"/>
  <c r="V4184" i="7"/>
  <c r="O4184" i="7"/>
  <c r="M4184" i="7"/>
  <c r="D4184" i="7"/>
  <c r="Z4183" i="7"/>
  <c r="X4183" i="7"/>
  <c r="V4183" i="7"/>
  <c r="O4183" i="7"/>
  <c r="M4183" i="7"/>
  <c r="D4183" i="7"/>
  <c r="Z4182" i="7"/>
  <c r="X4182" i="7"/>
  <c r="V4182" i="7"/>
  <c r="O4182" i="7"/>
  <c r="M4182" i="7"/>
  <c r="D4182" i="7"/>
  <c r="Z4181" i="7"/>
  <c r="X4181" i="7"/>
  <c r="V4181" i="7"/>
  <c r="O4181" i="7"/>
  <c r="M4181" i="7"/>
  <c r="D4181" i="7"/>
  <c r="AI4179" i="7"/>
  <c r="AF4179" i="7"/>
  <c r="AE4179" i="7"/>
  <c r="Z4179" i="7"/>
  <c r="X4179" i="7"/>
  <c r="V4179" i="7"/>
  <c r="M4179" i="7"/>
  <c r="J4179" i="7"/>
  <c r="D4179" i="7"/>
  <c r="AI4178" i="7"/>
  <c r="AF4178" i="7"/>
  <c r="AE4178" i="7"/>
  <c r="Z4178" i="7"/>
  <c r="X4178" i="7"/>
  <c r="V4178" i="7"/>
  <c r="M4178" i="7"/>
  <c r="J4178" i="7"/>
  <c r="D4178" i="7"/>
  <c r="AI4180" i="7"/>
  <c r="AF4180" i="7"/>
  <c r="AE4180" i="7"/>
  <c r="Z4180" i="7"/>
  <c r="X4180" i="7"/>
  <c r="V4180" i="7"/>
  <c r="M4180" i="7"/>
  <c r="J4180" i="7"/>
  <c r="D4180" i="7"/>
  <c r="AI4177" i="7"/>
  <c r="AF4177" i="7"/>
  <c r="AE4177" i="7"/>
  <c r="Z4177" i="7"/>
  <c r="X4177" i="7"/>
  <c r="V4177" i="7"/>
  <c r="M4177" i="7"/>
  <c r="J4177" i="7"/>
  <c r="D4177" i="7"/>
  <c r="AI4176" i="7"/>
  <c r="AF4176" i="7"/>
  <c r="AE4176" i="7"/>
  <c r="Z4176" i="7"/>
  <c r="X4176" i="7"/>
  <c r="V4176" i="7"/>
  <c r="M4176" i="7"/>
  <c r="J4176" i="7"/>
  <c r="D4176" i="7"/>
  <c r="AI4175" i="7"/>
  <c r="AF4175" i="7"/>
  <c r="AE4175" i="7"/>
  <c r="Z4175" i="7"/>
  <c r="X4175" i="7"/>
  <c r="V4175" i="7"/>
  <c r="M4175" i="7"/>
  <c r="J4175" i="7"/>
  <c r="D4175" i="7"/>
  <c r="AI4174" i="7"/>
  <c r="AF4174" i="7"/>
  <c r="AE4174" i="7"/>
  <c r="Z4174" i="7"/>
  <c r="X4174" i="7"/>
  <c r="V4174" i="7"/>
  <c r="M4174" i="7"/>
  <c r="J4174" i="7"/>
  <c r="D4174" i="7"/>
  <c r="AI4173" i="7"/>
  <c r="AF4173" i="7"/>
  <c r="AE4173" i="7"/>
  <c r="Z4173" i="7"/>
  <c r="X4173" i="7"/>
  <c r="V4173" i="7"/>
  <c r="M4173" i="7"/>
  <c r="J4173" i="7"/>
  <c r="D4173" i="7"/>
  <c r="AI4172" i="7"/>
  <c r="AF4172" i="7"/>
  <c r="AE4172" i="7"/>
  <c r="Z4172" i="7"/>
  <c r="X4172" i="7"/>
  <c r="V4172" i="7"/>
  <c r="M4172" i="7"/>
  <c r="J4172" i="7"/>
  <c r="D4172" i="7"/>
  <c r="Z4171" i="7"/>
  <c r="J4171" i="7"/>
  <c r="D4171" i="7"/>
  <c r="Z4170" i="7"/>
  <c r="J4170" i="7"/>
  <c r="D4170" i="7"/>
  <c r="Z4169" i="7"/>
  <c r="J4169" i="7"/>
  <c r="D4169" i="7"/>
  <c r="Z4168" i="7"/>
  <c r="J4168" i="7"/>
  <c r="D4168" i="7"/>
  <c r="Z4167" i="7"/>
  <c r="J4167" i="7"/>
  <c r="D4167" i="7"/>
  <c r="Z4166" i="7"/>
  <c r="J4166" i="7"/>
  <c r="D4166" i="7"/>
  <c r="AA4164" i="7"/>
  <c r="Z4164" i="7"/>
  <c r="X4164" i="7"/>
  <c r="M4164" i="7"/>
  <c r="D4164" i="7"/>
  <c r="AA4163" i="7"/>
  <c r="Z4163" i="7"/>
  <c r="X4163" i="7"/>
  <c r="M4163" i="7"/>
  <c r="D4163" i="7"/>
  <c r="AA4162" i="7"/>
  <c r="Z4162" i="7"/>
  <c r="X4162" i="7"/>
  <c r="M4162" i="7"/>
  <c r="D4162" i="7"/>
  <c r="AA4161" i="7"/>
  <c r="Z4161" i="7"/>
  <c r="X4161" i="7"/>
  <c r="M4161" i="7"/>
  <c r="D4161" i="7"/>
  <c r="AA4160" i="7"/>
  <c r="Z4160" i="7"/>
  <c r="X4160" i="7"/>
  <c r="M4160" i="7"/>
  <c r="D4160" i="7"/>
  <c r="AA4158" i="7"/>
  <c r="Z4158" i="7"/>
  <c r="X4158" i="7"/>
  <c r="M4158" i="7"/>
  <c r="D4158" i="7"/>
  <c r="AA4157" i="7"/>
  <c r="Z4157" i="7"/>
  <c r="X4157" i="7"/>
  <c r="M4157" i="7"/>
  <c r="D4157" i="7"/>
  <c r="AA4156" i="7"/>
  <c r="Z4156" i="7"/>
  <c r="X4156" i="7"/>
  <c r="M4156" i="7"/>
  <c r="D4156" i="7"/>
  <c r="AA4155" i="7"/>
  <c r="Z4155" i="7"/>
  <c r="X4155" i="7"/>
  <c r="M4155" i="7"/>
  <c r="D4155" i="7"/>
  <c r="AA4154" i="7"/>
  <c r="Z4154" i="7"/>
  <c r="X4154" i="7"/>
  <c r="M4154" i="7"/>
  <c r="D4154" i="7"/>
  <c r="AI4144" i="7"/>
  <c r="AF4144" i="7"/>
  <c r="Z4144" i="7"/>
  <c r="M4144" i="7"/>
  <c r="J4144" i="7"/>
  <c r="D4144" i="7"/>
  <c r="AI4146" i="7"/>
  <c r="AF4146" i="7"/>
  <c r="Z4146" i="7"/>
  <c r="M4146" i="7"/>
  <c r="J4146" i="7"/>
  <c r="D4146" i="7"/>
  <c r="AI4145" i="7"/>
  <c r="AF4145" i="7"/>
  <c r="Z4145" i="7"/>
  <c r="M4145" i="7"/>
  <c r="J4145" i="7"/>
  <c r="D4145" i="7"/>
  <c r="AI4143" i="7"/>
  <c r="AF4143" i="7"/>
  <c r="Z4143" i="7"/>
  <c r="M4143" i="7"/>
  <c r="J4143" i="7"/>
  <c r="D4143" i="7"/>
  <c r="D4140" i="7"/>
  <c r="AF4139" i="7"/>
  <c r="Z4139" i="7"/>
  <c r="J4139" i="7"/>
  <c r="D4139" i="7"/>
  <c r="AF4138" i="7"/>
  <c r="Z4138" i="7"/>
  <c r="J4138" i="7"/>
  <c r="D4138" i="7"/>
  <c r="AF4137" i="7"/>
  <c r="Z4137" i="7"/>
  <c r="J4137" i="7"/>
  <c r="D4137" i="7"/>
  <c r="AF4136" i="7"/>
  <c r="Z4136" i="7"/>
  <c r="J4136" i="7"/>
  <c r="D4136" i="7"/>
  <c r="AF4135" i="7"/>
  <c r="Z4135" i="7"/>
  <c r="J4135" i="7"/>
  <c r="D4135" i="7"/>
  <c r="AF4134" i="7"/>
  <c r="Z4134" i="7"/>
  <c r="J4134" i="7"/>
  <c r="D4134" i="7"/>
  <c r="AF4133" i="7"/>
  <c r="Z4133" i="7"/>
  <c r="X4133" i="7"/>
  <c r="M4133" i="7"/>
  <c r="D4133" i="7"/>
  <c r="AF4132" i="7"/>
  <c r="Z4132" i="7"/>
  <c r="X4132" i="7"/>
  <c r="M4132" i="7"/>
  <c r="D4132" i="7"/>
  <c r="AF4131" i="7"/>
  <c r="Z4131" i="7"/>
  <c r="X4131" i="7"/>
  <c r="M4131" i="7"/>
  <c r="D4131" i="7"/>
  <c r="AF4130" i="7"/>
  <c r="Z4130" i="7"/>
  <c r="X4130" i="7"/>
  <c r="M4130" i="7"/>
  <c r="D4130" i="7"/>
  <c r="AF4129" i="7"/>
  <c r="Z4129" i="7"/>
  <c r="X4129" i="7"/>
  <c r="M4129" i="7"/>
  <c r="D4129" i="7"/>
  <c r="AF4128" i="7"/>
  <c r="Z4128" i="7"/>
  <c r="X4128" i="7"/>
  <c r="M4128" i="7"/>
  <c r="D4128" i="7"/>
  <c r="AE4127" i="7"/>
  <c r="Z4127" i="7"/>
  <c r="M4127" i="7"/>
  <c r="D4127" i="7"/>
  <c r="Z4125" i="7"/>
  <c r="M4125" i="7"/>
  <c r="J4125" i="7"/>
  <c r="D4125" i="7"/>
  <c r="Z4124" i="7"/>
  <c r="M4124" i="7"/>
  <c r="J4124" i="7"/>
  <c r="D4124" i="7"/>
  <c r="Z4123" i="7"/>
  <c r="M4123" i="7"/>
  <c r="J4123" i="7"/>
  <c r="D4123" i="7"/>
  <c r="Z4122" i="7"/>
  <c r="M4122" i="7"/>
  <c r="J4122" i="7"/>
  <c r="D4122" i="7"/>
  <c r="Z4121" i="7"/>
  <c r="M4121" i="7"/>
  <c r="J4121" i="7"/>
  <c r="D4121" i="7"/>
  <c r="Z4120" i="7"/>
  <c r="M4120" i="7"/>
  <c r="J4120" i="7"/>
  <c r="D4120" i="7"/>
  <c r="Z4114" i="7"/>
  <c r="M4114" i="7"/>
  <c r="J4114" i="7"/>
  <c r="D4114" i="7"/>
  <c r="Z4113" i="7"/>
  <c r="M4113" i="7"/>
  <c r="J4113" i="7"/>
  <c r="D4113" i="7"/>
  <c r="Z4112" i="7"/>
  <c r="M4112" i="7"/>
  <c r="J4112" i="7"/>
  <c r="D4112" i="7"/>
  <c r="Z4109" i="7"/>
  <c r="M4109" i="7"/>
  <c r="J4109" i="7"/>
  <c r="D4109" i="7"/>
  <c r="Z4108" i="7"/>
  <c r="M4108" i="7"/>
  <c r="J4108" i="7"/>
  <c r="D4108" i="7"/>
  <c r="Z4126" i="7"/>
  <c r="M4126" i="7"/>
  <c r="J4126" i="7"/>
  <c r="D4126" i="7"/>
  <c r="Z4107" i="7"/>
  <c r="M4107" i="7"/>
  <c r="J4107" i="7"/>
  <c r="D4107" i="7"/>
  <c r="Z4106" i="7"/>
  <c r="M4106" i="7"/>
  <c r="J4106" i="7"/>
  <c r="D4106" i="7"/>
  <c r="Z4105" i="7"/>
  <c r="M4105" i="7"/>
  <c r="J4105" i="7"/>
  <c r="D4105" i="7"/>
  <c r="Z4104" i="7"/>
  <c r="M4104" i="7"/>
  <c r="J4104" i="7"/>
  <c r="D4104" i="7"/>
  <c r="Z4103" i="7"/>
  <c r="M4103" i="7"/>
  <c r="J4103" i="7"/>
  <c r="D4103" i="7"/>
  <c r="Z4102" i="7"/>
  <c r="M4102" i="7"/>
  <c r="J4102" i="7"/>
  <c r="D4102" i="7"/>
  <c r="Z4101" i="7"/>
  <c r="M4101" i="7"/>
  <c r="J4101" i="7"/>
  <c r="D4101" i="7"/>
  <c r="Z4100" i="7"/>
  <c r="M4100" i="7"/>
  <c r="J4100" i="7"/>
  <c r="D4100" i="7"/>
  <c r="Z4099" i="7"/>
  <c r="M4099" i="7"/>
  <c r="J4099" i="7"/>
  <c r="D4099" i="7"/>
  <c r="Z4098" i="7"/>
  <c r="M4098" i="7"/>
  <c r="J4098" i="7"/>
  <c r="D4098" i="7"/>
  <c r="Z4097" i="7"/>
  <c r="M4097" i="7"/>
  <c r="J4097" i="7"/>
  <c r="D4097" i="7"/>
  <c r="Z4096" i="7"/>
  <c r="M4096" i="7"/>
  <c r="J4096" i="7"/>
  <c r="D4096" i="7"/>
  <c r="Z4095" i="7"/>
  <c r="M4095" i="7"/>
  <c r="J4095" i="7"/>
  <c r="D4095" i="7"/>
  <c r="Z4094" i="7"/>
  <c r="M4094" i="7"/>
  <c r="J4094" i="7"/>
  <c r="D4094" i="7"/>
  <c r="Z4093" i="7"/>
  <c r="M4093" i="7"/>
  <c r="J4093" i="7"/>
  <c r="D4093" i="7"/>
  <c r="Z4092" i="7"/>
  <c r="M4092" i="7"/>
  <c r="J4092" i="7"/>
  <c r="D4092" i="7"/>
  <c r="Z4091" i="7"/>
  <c r="M4091" i="7"/>
  <c r="J4091" i="7"/>
  <c r="D4091" i="7"/>
  <c r="Z4090" i="7"/>
  <c r="M4090" i="7"/>
  <c r="J4090" i="7"/>
  <c r="D4090" i="7"/>
  <c r="Z4089" i="7"/>
  <c r="M4089" i="7"/>
  <c r="J4089" i="7"/>
  <c r="D4089" i="7"/>
  <c r="Z4088" i="7"/>
  <c r="J4088" i="7"/>
  <c r="D4088" i="7"/>
  <c r="AF4079" i="7"/>
  <c r="Z4079" i="7"/>
  <c r="D4079" i="7"/>
  <c r="Z4078" i="7"/>
  <c r="D4078" i="7"/>
  <c r="Z4086" i="7"/>
  <c r="J4086" i="7"/>
  <c r="D4086" i="7"/>
  <c r="Z4085" i="7"/>
  <c r="J4085" i="7"/>
  <c r="D4085" i="7"/>
  <c r="Z4084" i="7"/>
  <c r="J4084" i="7"/>
  <c r="D4084" i="7"/>
  <c r="Z4083" i="7"/>
  <c r="J4083" i="7"/>
  <c r="D4083" i="7"/>
  <c r="Z4082" i="7"/>
  <c r="J4082" i="7"/>
  <c r="D4082" i="7"/>
  <c r="Z4081" i="7"/>
  <c r="J4081" i="7"/>
  <c r="D4081" i="7"/>
  <c r="Z4080" i="7"/>
  <c r="J4080" i="7"/>
  <c r="D4080" i="7"/>
  <c r="AF4075" i="7"/>
  <c r="Z4075" i="7"/>
  <c r="M4075" i="7"/>
  <c r="D4075" i="7"/>
  <c r="AF4074" i="7"/>
  <c r="Z4074" i="7"/>
  <c r="M4074" i="7"/>
  <c r="D4074" i="7"/>
  <c r="AF4070" i="7"/>
  <c r="Z4070" i="7"/>
  <c r="J4070" i="7"/>
  <c r="D4070" i="7"/>
  <c r="AC4069" i="7"/>
  <c r="Z4069" i="7"/>
  <c r="J4069" i="7"/>
  <c r="D4069" i="7"/>
  <c r="AC4068" i="7"/>
  <c r="Z4068" i="7"/>
  <c r="J4068" i="7"/>
  <c r="D4068" i="7"/>
  <c r="AC4067" i="7"/>
  <c r="Z4067" i="7"/>
  <c r="J4067" i="7"/>
  <c r="D4067" i="7"/>
  <c r="AC4066" i="7"/>
  <c r="Z4066" i="7"/>
  <c r="J4066" i="7"/>
  <c r="D4066" i="7"/>
  <c r="Z4065" i="7"/>
  <c r="J4065" i="7"/>
  <c r="D4065" i="7"/>
  <c r="AA4064" i="7"/>
  <c r="Z4064" i="7"/>
  <c r="L4064" i="7"/>
  <c r="J4064" i="7"/>
  <c r="D4064" i="7"/>
  <c r="AA4063" i="7"/>
  <c r="Z4063" i="7"/>
  <c r="L4063" i="7"/>
  <c r="J4063" i="7"/>
  <c r="D4063" i="7"/>
  <c r="AA4062" i="7"/>
  <c r="Z4062" i="7"/>
  <c r="L4062" i="7"/>
  <c r="J4062" i="7"/>
  <c r="D4062" i="7"/>
  <c r="AA4061" i="7"/>
  <c r="Z4061" i="7"/>
  <c r="L4061" i="7"/>
  <c r="J4061" i="7"/>
  <c r="D4061" i="7"/>
  <c r="AA4060" i="7"/>
  <c r="Z4060" i="7"/>
  <c r="L4060" i="7"/>
  <c r="J4060" i="7"/>
  <c r="D4060" i="7"/>
  <c r="AA4059" i="7"/>
  <c r="Z4059" i="7"/>
  <c r="L4059" i="7"/>
  <c r="J4059" i="7"/>
  <c r="D4059" i="7"/>
  <c r="Z4058" i="7"/>
  <c r="D4058" i="7"/>
  <c r="Z4057" i="7"/>
  <c r="D4057" i="7"/>
  <c r="AI4050" i="7"/>
  <c r="AC4050" i="7"/>
  <c r="Z4050" i="7"/>
  <c r="D4050" i="7"/>
  <c r="AI4049" i="7"/>
  <c r="AC4049" i="7"/>
  <c r="Z4049" i="7"/>
  <c r="D4049" i="7"/>
  <c r="AI4055" i="7"/>
  <c r="AC4055" i="7"/>
  <c r="Z4055" i="7"/>
  <c r="D4055" i="7"/>
  <c r="AI4048" i="7"/>
  <c r="AC4048" i="7"/>
  <c r="Z4048" i="7"/>
  <c r="D4048" i="7"/>
  <c r="AI4047" i="7"/>
  <c r="AC4047" i="7"/>
  <c r="Z4047" i="7"/>
  <c r="D4047" i="7"/>
  <c r="AI4046" i="7"/>
  <c r="AC4046" i="7"/>
  <c r="Z4046" i="7"/>
  <c r="D4046" i="7"/>
  <c r="AI4045" i="7"/>
  <c r="AC4045" i="7"/>
  <c r="Z4045" i="7"/>
  <c r="D4045" i="7"/>
  <c r="AI4054" i="7"/>
  <c r="AC4054" i="7"/>
  <c r="Z4054" i="7"/>
  <c r="D4054" i="7"/>
  <c r="AF4042" i="7"/>
  <c r="AE4042" i="7"/>
  <c r="Z4042" i="7"/>
  <c r="M4042" i="7"/>
  <c r="J4042" i="7"/>
  <c r="D4042" i="7"/>
  <c r="Z4041" i="7"/>
  <c r="J4041" i="7"/>
  <c r="D4041" i="7"/>
  <c r="AF4039" i="7"/>
  <c r="AB4039" i="7"/>
  <c r="AA4039" i="7"/>
  <c r="Z4039" i="7"/>
  <c r="M4039" i="7"/>
  <c r="J4039" i="7"/>
  <c r="D4039" i="7"/>
  <c r="Z4037" i="7"/>
  <c r="J4037" i="7"/>
  <c r="D4037" i="7"/>
  <c r="AF4035" i="7"/>
  <c r="Z4035" i="7"/>
  <c r="M4035" i="7"/>
  <c r="J4035" i="7"/>
  <c r="D4035" i="7"/>
  <c r="AF4034" i="7"/>
  <c r="Z4034" i="7"/>
  <c r="M4034" i="7"/>
  <c r="J4034" i="7"/>
  <c r="D4034" i="7"/>
  <c r="Z4032" i="7"/>
  <c r="D4032" i="7"/>
  <c r="Z4031" i="7"/>
  <c r="D4031" i="7"/>
  <c r="Z4030" i="7"/>
  <c r="D4030" i="7"/>
  <c r="Z4029" i="7"/>
  <c r="O4029" i="7"/>
  <c r="L4029" i="7"/>
  <c r="D4029" i="7"/>
  <c r="Z4024" i="7"/>
  <c r="O4024" i="7"/>
  <c r="D4024" i="7"/>
  <c r="Z4023" i="7"/>
  <c r="O4023" i="7"/>
  <c r="D4023" i="7"/>
  <c r="Z4022" i="7"/>
  <c r="O4022" i="7"/>
  <c r="D4022" i="7"/>
  <c r="AF4016" i="7"/>
  <c r="Z4016" i="7"/>
  <c r="J4016" i="7"/>
  <c r="D4016" i="7"/>
  <c r="AF4018" i="7"/>
  <c r="AA4018" i="7"/>
  <c r="Z4018" i="7"/>
  <c r="J4018" i="7"/>
  <c r="D4018" i="7"/>
  <c r="AF4019" i="7"/>
  <c r="AA4019" i="7"/>
  <c r="Z4019" i="7"/>
  <c r="J4019" i="7"/>
  <c r="D4019" i="7"/>
  <c r="AF4017" i="7"/>
  <c r="AA4017" i="7"/>
  <c r="Z4017" i="7"/>
  <c r="J4017" i="7"/>
  <c r="D4017" i="7"/>
  <c r="Z4012" i="7"/>
  <c r="D4012" i="7"/>
  <c r="Z4011" i="7"/>
  <c r="D4011" i="7"/>
  <c r="Z4013" i="7"/>
  <c r="D4013" i="7"/>
  <c r="Z4014" i="7"/>
  <c r="D4014" i="7"/>
  <c r="Z4015" i="7"/>
  <c r="D4015" i="7"/>
  <c r="AB4007" i="7"/>
  <c r="AA4007" i="7"/>
  <c r="Z4007" i="7"/>
  <c r="X4007" i="7"/>
  <c r="D4007" i="7"/>
  <c r="AB4006" i="7"/>
  <c r="AA4006" i="7"/>
  <c r="Z4006" i="7"/>
  <c r="X4006" i="7"/>
  <c r="D4006" i="7"/>
  <c r="AF4002" i="7"/>
  <c r="Z4002" i="7"/>
  <c r="X4002" i="7"/>
  <c r="D4002" i="7"/>
  <c r="AF4005" i="7"/>
  <c r="Z4005" i="7"/>
  <c r="X4005" i="7"/>
  <c r="D4005" i="7"/>
  <c r="AF4004" i="7"/>
  <c r="Z4004" i="7"/>
  <c r="X4004" i="7"/>
  <c r="D4004" i="7"/>
  <c r="AF4003" i="7"/>
  <c r="Z4003" i="7"/>
  <c r="X4003" i="7"/>
  <c r="D4003" i="7"/>
  <c r="AF4000" i="7"/>
  <c r="Z4000" i="7"/>
  <c r="X4000" i="7"/>
  <c r="D4000" i="7"/>
  <c r="AF3999" i="7"/>
  <c r="Z3999" i="7"/>
  <c r="X3999" i="7"/>
  <c r="D3999" i="7"/>
  <c r="AF3998" i="7"/>
  <c r="Z3998" i="7"/>
  <c r="X3998" i="7"/>
  <c r="D3998" i="7"/>
  <c r="AF3997" i="7"/>
  <c r="Z3997" i="7"/>
  <c r="X3997" i="7"/>
  <c r="D3997" i="7"/>
  <c r="AF3996" i="7"/>
  <c r="Z3996" i="7"/>
  <c r="X3996" i="7"/>
  <c r="D3996" i="7"/>
  <c r="AF3995" i="7"/>
  <c r="Z3995" i="7"/>
  <c r="X3995" i="7"/>
  <c r="D3995" i="7"/>
  <c r="AF3994" i="7"/>
  <c r="Z3994" i="7"/>
  <c r="X3994" i="7"/>
  <c r="D3994" i="7"/>
  <c r="AF3993" i="7"/>
  <c r="Z3993" i="7"/>
  <c r="X3993" i="7"/>
  <c r="D3993" i="7"/>
  <c r="AF3992" i="7"/>
  <c r="Z3992" i="7"/>
  <c r="X3992" i="7"/>
  <c r="D3992" i="7"/>
  <c r="Z3990" i="7"/>
  <c r="J3990" i="7"/>
  <c r="D3990" i="7"/>
  <c r="Z3989" i="7"/>
  <c r="J3989" i="7"/>
  <c r="D3989" i="7"/>
  <c r="Z3988" i="7"/>
  <c r="D3988" i="7"/>
  <c r="AF3985" i="7"/>
  <c r="Z3985" i="7"/>
  <c r="J3985" i="7"/>
  <c r="D3985" i="7"/>
  <c r="AA3980" i="7"/>
  <c r="Z3980" i="7"/>
  <c r="M3980" i="7"/>
  <c r="J3980" i="7"/>
  <c r="D3980" i="7"/>
  <c r="AA3979" i="7"/>
  <c r="Z3979" i="7"/>
  <c r="M3979" i="7"/>
  <c r="J3979" i="7"/>
  <c r="D3979" i="7"/>
  <c r="AA3978" i="7"/>
  <c r="Z3978" i="7"/>
  <c r="M3978" i="7"/>
  <c r="J3978" i="7"/>
  <c r="D3978" i="7"/>
  <c r="AA3977" i="7"/>
  <c r="Z3977" i="7"/>
  <c r="M3977" i="7"/>
  <c r="J3977" i="7"/>
  <c r="D3977" i="7"/>
  <c r="AA3976" i="7"/>
  <c r="Z3976" i="7"/>
  <c r="M3976" i="7"/>
  <c r="J3976" i="7"/>
  <c r="D3976" i="7"/>
  <c r="AA3975" i="7"/>
  <c r="Z3975" i="7"/>
  <c r="M3975" i="7"/>
  <c r="J3975" i="7"/>
  <c r="D3975" i="7"/>
  <c r="AA3974" i="7"/>
  <c r="Z3974" i="7"/>
  <c r="M3974" i="7"/>
  <c r="J3974" i="7"/>
  <c r="D3974" i="7"/>
  <c r="AA3973" i="7"/>
  <c r="Z3973" i="7"/>
  <c r="M3973" i="7"/>
  <c r="J3973" i="7"/>
  <c r="D3973" i="7"/>
  <c r="AA3972" i="7"/>
  <c r="Z3972" i="7"/>
  <c r="M3972" i="7"/>
  <c r="J3972" i="7"/>
  <c r="D3972" i="7"/>
  <c r="AA3971" i="7"/>
  <c r="Z3971" i="7"/>
  <c r="M3971" i="7"/>
  <c r="J3971" i="7"/>
  <c r="D3971" i="7"/>
  <c r="AA3970" i="7"/>
  <c r="Z3970" i="7"/>
  <c r="M3970" i="7"/>
  <c r="J3970" i="7"/>
  <c r="D3970" i="7"/>
  <c r="AA3969" i="7"/>
  <c r="Z3969" i="7"/>
  <c r="M3969" i="7"/>
  <c r="J3969" i="7"/>
  <c r="D3969" i="7"/>
  <c r="AA3968" i="7"/>
  <c r="Z3968" i="7"/>
  <c r="M3968" i="7"/>
  <c r="J3968" i="7"/>
  <c r="D3968" i="7"/>
  <c r="AA3967" i="7"/>
  <c r="Z3967" i="7"/>
  <c r="M3967" i="7"/>
  <c r="J3967" i="7"/>
  <c r="D3967" i="7"/>
  <c r="AA3966" i="7"/>
  <c r="Z3966" i="7"/>
  <c r="M3966" i="7"/>
  <c r="J3966" i="7"/>
  <c r="D3966" i="7"/>
  <c r="AA3965" i="7"/>
  <c r="Z3965" i="7"/>
  <c r="M3965" i="7"/>
  <c r="J3965" i="7"/>
  <c r="D3965" i="7"/>
  <c r="AA3964" i="7"/>
  <c r="Z3964" i="7"/>
  <c r="M3964" i="7"/>
  <c r="J3964" i="7"/>
  <c r="D3964" i="7"/>
  <c r="AA3963" i="7"/>
  <c r="Z3963" i="7"/>
  <c r="M3963" i="7"/>
  <c r="J3963" i="7"/>
  <c r="D3963" i="7"/>
  <c r="AA3962" i="7"/>
  <c r="Z3962" i="7"/>
  <c r="M3962" i="7"/>
  <c r="J3962" i="7"/>
  <c r="D3962" i="7"/>
  <c r="AA3961" i="7"/>
  <c r="Z3961" i="7"/>
  <c r="M3961" i="7"/>
  <c r="J3961" i="7"/>
  <c r="D3961" i="7"/>
  <c r="AA3960" i="7"/>
  <c r="Z3960" i="7"/>
  <c r="M3960" i="7"/>
  <c r="J3960" i="7"/>
  <c r="D3960" i="7"/>
  <c r="AA3959" i="7"/>
  <c r="Z3959" i="7"/>
  <c r="M3959" i="7"/>
  <c r="J3959" i="7"/>
  <c r="D3959" i="7"/>
  <c r="AA3958" i="7"/>
  <c r="Z3958" i="7"/>
  <c r="M3958" i="7"/>
  <c r="J3958" i="7"/>
  <c r="D3958" i="7"/>
  <c r="AA3957" i="7"/>
  <c r="Z3957" i="7"/>
  <c r="M3957" i="7"/>
  <c r="J3957" i="7"/>
  <c r="D3957" i="7"/>
  <c r="AA3956" i="7"/>
  <c r="Z3956" i="7"/>
  <c r="M3956" i="7"/>
  <c r="J3956" i="7"/>
  <c r="D3956" i="7"/>
  <c r="AI3955" i="7"/>
  <c r="AA3955" i="7"/>
  <c r="Z3955" i="7"/>
  <c r="L3955" i="7"/>
  <c r="J3955" i="7"/>
  <c r="D3955" i="7"/>
  <c r="AI3954" i="7"/>
  <c r="AA3954" i="7"/>
  <c r="Z3954" i="7"/>
  <c r="L3954" i="7"/>
  <c r="J3954" i="7"/>
  <c r="D3954" i="7"/>
  <c r="AI3953" i="7"/>
  <c r="AA3953" i="7"/>
  <c r="Z3953" i="7"/>
  <c r="L3953" i="7"/>
  <c r="J3953" i="7"/>
  <c r="D3953" i="7"/>
  <c r="AI3952" i="7"/>
  <c r="AA3952" i="7"/>
  <c r="Z3952" i="7"/>
  <c r="L3952" i="7"/>
  <c r="J3952" i="7"/>
  <c r="D3952" i="7"/>
  <c r="AI3951" i="7"/>
  <c r="AA3951" i="7"/>
  <c r="Z3951" i="7"/>
  <c r="L3951" i="7"/>
  <c r="J3951" i="7"/>
  <c r="D3951" i="7"/>
  <c r="AI3950" i="7"/>
  <c r="AA3950" i="7"/>
  <c r="Z3950" i="7"/>
  <c r="L3950" i="7"/>
  <c r="J3950" i="7"/>
  <c r="D3950" i="7"/>
  <c r="Z3949" i="7"/>
  <c r="D3949" i="7"/>
  <c r="AF3984" i="7"/>
  <c r="Z3984" i="7"/>
  <c r="L3984" i="7"/>
  <c r="J3984" i="7"/>
  <c r="D3984" i="7"/>
  <c r="AF3983" i="7"/>
  <c r="Z3983" i="7"/>
  <c r="L3983" i="7"/>
  <c r="J3983" i="7"/>
  <c r="D3983" i="7"/>
  <c r="AF3982" i="7"/>
  <c r="Z3982" i="7"/>
  <c r="L3982" i="7"/>
  <c r="J3982" i="7"/>
  <c r="D3982" i="7"/>
  <c r="P3935" i="7"/>
  <c r="N3935" i="7"/>
  <c r="D3935" i="7"/>
  <c r="P3934" i="7"/>
  <c r="N3934" i="7"/>
  <c r="D3934" i="7"/>
  <c r="P3933" i="7"/>
  <c r="N3933" i="7"/>
  <c r="D3933" i="7"/>
  <c r="P3932" i="7"/>
  <c r="N3932" i="7"/>
  <c r="D3932" i="7"/>
  <c r="P3931" i="7"/>
  <c r="N3931" i="7"/>
  <c r="D3931" i="7"/>
  <c r="P3948" i="7"/>
  <c r="N3948" i="7"/>
  <c r="D3948" i="7"/>
  <c r="P3947" i="7"/>
  <c r="N3947" i="7"/>
  <c r="D3947" i="7"/>
  <c r="P3946" i="7"/>
  <c r="N3946" i="7"/>
  <c r="D3946" i="7"/>
  <c r="P3945" i="7"/>
  <c r="N3945" i="7"/>
  <c r="D3945" i="7"/>
  <c r="P3944" i="7"/>
  <c r="N3944" i="7"/>
  <c r="D3944" i="7"/>
  <c r="P3943" i="7"/>
  <c r="N3943" i="7"/>
  <c r="D3943" i="7"/>
  <c r="P3942" i="7"/>
  <c r="N3942" i="7"/>
  <c r="D3942" i="7"/>
  <c r="P3941" i="7"/>
  <c r="N3941" i="7"/>
  <c r="D3941" i="7"/>
  <c r="P3940" i="7"/>
  <c r="N3940" i="7"/>
  <c r="D3940" i="7"/>
  <c r="P3939" i="7"/>
  <c r="N3939" i="7"/>
  <c r="D3939" i="7"/>
  <c r="P3938" i="7"/>
  <c r="N3938" i="7"/>
  <c r="D3938" i="7"/>
  <c r="P3937" i="7"/>
  <c r="N3937" i="7"/>
  <c r="D3937" i="7"/>
  <c r="P3930" i="7"/>
  <c r="N3930" i="7"/>
  <c r="D3930" i="7"/>
  <c r="P3929" i="7"/>
  <c r="N3929" i="7"/>
  <c r="D3929" i="7"/>
  <c r="Z3928" i="7"/>
  <c r="D3928" i="7"/>
  <c r="AI3927" i="7"/>
  <c r="AF3927" i="7"/>
  <c r="Z3927" i="7"/>
  <c r="D3927" i="7"/>
  <c r="AI3926" i="7"/>
  <c r="Z3926" i="7"/>
  <c r="J3926" i="7"/>
  <c r="D3926" i="7"/>
  <c r="AI3925" i="7"/>
  <c r="Z3925" i="7"/>
  <c r="J3925" i="7"/>
  <c r="D3925" i="7"/>
  <c r="AF3924" i="7"/>
  <c r="Z3924" i="7"/>
  <c r="O3924" i="7"/>
  <c r="M3924" i="7"/>
  <c r="D3924" i="7"/>
  <c r="AF3923" i="7"/>
  <c r="Z3923" i="7"/>
  <c r="O3923" i="7"/>
  <c r="M3923" i="7"/>
  <c r="D3923" i="7"/>
  <c r="AF3922" i="7"/>
  <c r="Z3922" i="7"/>
  <c r="O3922" i="7"/>
  <c r="M3922" i="7"/>
  <c r="D3922" i="7"/>
  <c r="AF3921" i="7"/>
  <c r="Z3921" i="7"/>
  <c r="O3921" i="7"/>
  <c r="M3921" i="7"/>
  <c r="D3921" i="7"/>
  <c r="Z3920" i="7"/>
  <c r="J3920" i="7"/>
  <c r="D3920" i="7"/>
  <c r="Z3919" i="7"/>
  <c r="J3919" i="7"/>
  <c r="D3919" i="7"/>
  <c r="AF3918" i="7"/>
  <c r="Z3918" i="7"/>
  <c r="V3918" i="7"/>
  <c r="M3918" i="7"/>
  <c r="J3918" i="7"/>
  <c r="D3918" i="7"/>
  <c r="Z3917" i="7"/>
  <c r="J3917" i="7"/>
  <c r="D3917" i="7"/>
  <c r="AF3915" i="7"/>
  <c r="Z3915" i="7"/>
  <c r="M3915" i="7"/>
  <c r="J3915" i="7"/>
  <c r="D3915" i="7"/>
  <c r="AC3910" i="7"/>
  <c r="Z3910" i="7"/>
  <c r="X3910" i="7"/>
  <c r="J3910" i="7"/>
  <c r="D3910" i="7"/>
  <c r="AC3909" i="7"/>
  <c r="Z3909" i="7"/>
  <c r="X3909" i="7"/>
  <c r="J3909" i="7"/>
  <c r="D3909" i="7"/>
  <c r="AC3908" i="7"/>
  <c r="Z3908" i="7"/>
  <c r="X3908" i="7"/>
  <c r="J3908" i="7"/>
  <c r="D3908" i="7"/>
  <c r="AC3907" i="7"/>
  <c r="Z3907" i="7"/>
  <c r="X3907" i="7"/>
  <c r="J3907" i="7"/>
  <c r="D3907" i="7"/>
  <c r="AC3906" i="7"/>
  <c r="Z3906" i="7"/>
  <c r="X3906" i="7"/>
  <c r="J3906" i="7"/>
  <c r="D3906" i="7"/>
  <c r="AC3905" i="7"/>
  <c r="Z3905" i="7"/>
  <c r="X3905" i="7"/>
  <c r="J3905" i="7"/>
  <c r="D3905" i="7"/>
  <c r="AC3904" i="7"/>
  <c r="Z3904" i="7"/>
  <c r="X3904" i="7"/>
  <c r="J3904" i="7"/>
  <c r="D3904" i="7"/>
  <c r="AC3903" i="7"/>
  <c r="Z3903" i="7"/>
  <c r="X3903" i="7"/>
  <c r="J3903" i="7"/>
  <c r="D3903" i="7"/>
  <c r="AC3902" i="7"/>
  <c r="Z3902" i="7"/>
  <c r="X3902" i="7"/>
  <c r="J3902" i="7"/>
  <c r="D3902" i="7"/>
  <c r="Z3899" i="7"/>
  <c r="J3899" i="7"/>
  <c r="D3899" i="7"/>
  <c r="Z3898" i="7"/>
  <c r="J3898" i="7"/>
  <c r="D3898" i="7"/>
  <c r="Z3897" i="7"/>
  <c r="J3897" i="7"/>
  <c r="D3897" i="7"/>
  <c r="Z3901" i="7"/>
  <c r="J3901" i="7"/>
  <c r="D3901" i="7"/>
  <c r="Z3900" i="7"/>
  <c r="J3900" i="7"/>
  <c r="D3900" i="7"/>
  <c r="AF3892" i="7"/>
  <c r="Z3892" i="7"/>
  <c r="J3892" i="7"/>
  <c r="D3892" i="7"/>
  <c r="AF3891" i="7"/>
  <c r="Z3891" i="7"/>
  <c r="J3891" i="7"/>
  <c r="D3891" i="7"/>
  <c r="AF3890" i="7"/>
  <c r="Z3890" i="7"/>
  <c r="J3890" i="7"/>
  <c r="D3890" i="7"/>
  <c r="AF3889" i="7"/>
  <c r="Z3889" i="7"/>
  <c r="J3889" i="7"/>
  <c r="D3889" i="7"/>
  <c r="AF3888" i="7"/>
  <c r="Z3888" i="7"/>
  <c r="J3888" i="7"/>
  <c r="D3888" i="7"/>
  <c r="AF3887" i="7"/>
  <c r="Z3887" i="7"/>
  <c r="J3887" i="7"/>
  <c r="D3887" i="7"/>
  <c r="AF3886" i="7"/>
  <c r="Z3886" i="7"/>
  <c r="J3886" i="7"/>
  <c r="D3886" i="7"/>
  <c r="AF3884" i="7"/>
  <c r="Z3884" i="7"/>
  <c r="J3884" i="7"/>
  <c r="D3884" i="7"/>
  <c r="AF3883" i="7"/>
  <c r="Z3883" i="7"/>
  <c r="J3883" i="7"/>
  <c r="D3883" i="7"/>
  <c r="AF3882" i="7"/>
  <c r="Z3882" i="7"/>
  <c r="J3882" i="7"/>
  <c r="D3882" i="7"/>
  <c r="AF3880" i="7"/>
  <c r="Z3880" i="7"/>
  <c r="J3880" i="7"/>
  <c r="D3880" i="7"/>
  <c r="AF3865" i="7"/>
  <c r="Z3865" i="7"/>
  <c r="J3865" i="7"/>
  <c r="D3865" i="7"/>
  <c r="AF3864" i="7"/>
  <c r="Z3864" i="7"/>
  <c r="J3864" i="7"/>
  <c r="D3864" i="7"/>
  <c r="AF3863" i="7"/>
  <c r="Z3863" i="7"/>
  <c r="J3863" i="7"/>
  <c r="D3863" i="7"/>
  <c r="AF3862" i="7"/>
  <c r="Z3862" i="7"/>
  <c r="J3862" i="7"/>
  <c r="D3862" i="7"/>
  <c r="AF3861" i="7"/>
  <c r="Z3861" i="7"/>
  <c r="J3861" i="7"/>
  <c r="D3861" i="7"/>
  <c r="AF3860" i="7"/>
  <c r="Z3860" i="7"/>
  <c r="J3860" i="7"/>
  <c r="D3860" i="7"/>
  <c r="AF3859" i="7"/>
  <c r="Z3859" i="7"/>
  <c r="J3859" i="7"/>
  <c r="D3859" i="7"/>
  <c r="AF3857" i="7"/>
  <c r="Z3857" i="7"/>
  <c r="J3857" i="7"/>
  <c r="D3857" i="7"/>
  <c r="AF3856" i="7"/>
  <c r="Z3856" i="7"/>
  <c r="J3856" i="7"/>
  <c r="D3856" i="7"/>
  <c r="AF3855" i="7"/>
  <c r="Z3855" i="7"/>
  <c r="J3855" i="7"/>
  <c r="D3855" i="7"/>
  <c r="AF3854" i="7"/>
  <c r="Z3854" i="7"/>
  <c r="J3854" i="7"/>
  <c r="D3854" i="7"/>
  <c r="AF3853" i="7"/>
  <c r="Z3853" i="7"/>
  <c r="J3853" i="7"/>
  <c r="D3853" i="7"/>
  <c r="AF3852" i="7"/>
  <c r="Z3852" i="7"/>
  <c r="J3852" i="7"/>
  <c r="D3852" i="7"/>
  <c r="AF3851" i="7"/>
  <c r="Z3851" i="7"/>
  <c r="J3851" i="7"/>
  <c r="D3851" i="7"/>
  <c r="AF3850" i="7"/>
  <c r="Z3850" i="7"/>
  <c r="J3850" i="7"/>
  <c r="D3850" i="7"/>
  <c r="AF3849" i="7"/>
  <c r="Z3849" i="7"/>
  <c r="J3849" i="7"/>
  <c r="D3849" i="7"/>
  <c r="AF3848" i="7"/>
  <c r="Z3848" i="7"/>
  <c r="J3848" i="7"/>
  <c r="D3848" i="7"/>
  <c r="AF3846" i="7"/>
  <c r="Z3846" i="7"/>
  <c r="M3846" i="7"/>
  <c r="D3846" i="7"/>
  <c r="AF3847" i="7"/>
  <c r="Z3847" i="7"/>
  <c r="M3847" i="7"/>
  <c r="D3847" i="7"/>
  <c r="AF3845" i="7"/>
  <c r="Z3845" i="7"/>
  <c r="M3845" i="7"/>
  <c r="D3845" i="7"/>
  <c r="AF3842" i="7"/>
  <c r="Z3842" i="7"/>
  <c r="M3842" i="7"/>
  <c r="D3842" i="7"/>
  <c r="AF3841" i="7"/>
  <c r="Z3841" i="7"/>
  <c r="M3841" i="7"/>
  <c r="D3841" i="7"/>
  <c r="AF3840" i="7"/>
  <c r="Z3840" i="7"/>
  <c r="M3840" i="7"/>
  <c r="D3840" i="7"/>
  <c r="AF3839" i="7"/>
  <c r="Z3839" i="7"/>
  <c r="M3839" i="7"/>
  <c r="D3839" i="7"/>
  <c r="AF3838" i="7"/>
  <c r="Z3838" i="7"/>
  <c r="M3838" i="7"/>
  <c r="D3838" i="7"/>
  <c r="AI3837" i="7"/>
  <c r="AF3837" i="7"/>
  <c r="Z3837" i="7"/>
  <c r="M3837" i="7"/>
  <c r="J3837" i="7"/>
  <c r="D3837" i="7"/>
  <c r="AI3836" i="7"/>
  <c r="AF3836" i="7"/>
  <c r="Z3836" i="7"/>
  <c r="M3836" i="7"/>
  <c r="J3836" i="7"/>
  <c r="D3836" i="7"/>
  <c r="AI3835" i="7"/>
  <c r="AF3835" i="7"/>
  <c r="Z3835" i="7"/>
  <c r="M3835" i="7"/>
  <c r="J3835" i="7"/>
  <c r="D3835" i="7"/>
  <c r="AF3831" i="7"/>
  <c r="AA3831" i="7"/>
  <c r="Z3831" i="7"/>
  <c r="L3831" i="7"/>
  <c r="D3831" i="7"/>
  <c r="AF3830" i="7"/>
  <c r="AA3830" i="7"/>
  <c r="Z3830" i="7"/>
  <c r="L3830" i="7"/>
  <c r="D3830" i="7"/>
  <c r="AF3829" i="7"/>
  <c r="AA3829" i="7"/>
  <c r="Z3829" i="7"/>
  <c r="L3829" i="7"/>
  <c r="D3829" i="7"/>
  <c r="Z3828" i="7"/>
  <c r="D3828" i="7"/>
  <c r="Z3827" i="7"/>
  <c r="M3827" i="7"/>
  <c r="J3827" i="7"/>
  <c r="D3827" i="7"/>
  <c r="Z3826" i="7"/>
  <c r="M3826" i="7"/>
  <c r="J3826" i="7"/>
  <c r="D3826" i="7"/>
  <c r="Z3825" i="7"/>
  <c r="M3825" i="7"/>
  <c r="J3825" i="7"/>
  <c r="D3825" i="7"/>
  <c r="Z3824" i="7"/>
  <c r="M3824" i="7"/>
  <c r="J3824" i="7"/>
  <c r="D3824" i="7"/>
  <c r="Z3823" i="7"/>
  <c r="M3823" i="7"/>
  <c r="J3823" i="7"/>
  <c r="D3823" i="7"/>
  <c r="AF3822" i="7"/>
  <c r="Z3822" i="7"/>
  <c r="M3822" i="7"/>
  <c r="J3822" i="7"/>
  <c r="D3822" i="7"/>
  <c r="AF3821" i="7"/>
  <c r="Z3821" i="7"/>
  <c r="M3821" i="7"/>
  <c r="J3821" i="7"/>
  <c r="D3821" i="7"/>
  <c r="AF3820" i="7"/>
  <c r="Z3820" i="7"/>
  <c r="M3820" i="7"/>
  <c r="J3820" i="7"/>
  <c r="D3820" i="7"/>
  <c r="AF3819" i="7"/>
  <c r="Z3819" i="7"/>
  <c r="M3819" i="7"/>
  <c r="J3819" i="7"/>
  <c r="D3819" i="7"/>
  <c r="Z3818" i="7"/>
  <c r="L3818" i="7"/>
  <c r="J3818" i="7"/>
  <c r="D3818" i="7"/>
  <c r="D3800" i="7"/>
  <c r="Z3799" i="7"/>
  <c r="M3799" i="7"/>
  <c r="D3799" i="7"/>
  <c r="Z3798" i="7"/>
  <c r="M3798" i="7"/>
  <c r="D3798" i="7"/>
  <c r="Z3796" i="7"/>
  <c r="M3796" i="7"/>
  <c r="D3796" i="7"/>
  <c r="Z3795" i="7"/>
  <c r="M3795" i="7"/>
  <c r="D3795" i="7"/>
  <c r="Z3794" i="7"/>
  <c r="M3794" i="7"/>
  <c r="D3794" i="7"/>
  <c r="Z3793" i="7"/>
  <c r="M3793" i="7"/>
  <c r="D3793" i="7"/>
  <c r="Z3792" i="7"/>
  <c r="M3792" i="7"/>
  <c r="D3792" i="7"/>
  <c r="Z3811" i="7"/>
  <c r="M3811" i="7"/>
  <c r="D3811" i="7"/>
  <c r="Z3810" i="7"/>
  <c r="M3810" i="7"/>
  <c r="D3810" i="7"/>
  <c r="Z3809" i="7"/>
  <c r="M3809" i="7"/>
  <c r="D3809" i="7"/>
  <c r="Z3808" i="7"/>
  <c r="M3808" i="7"/>
  <c r="D3808" i="7"/>
  <c r="Z3807" i="7"/>
  <c r="M3807" i="7"/>
  <c r="D3807" i="7"/>
  <c r="Z3806" i="7"/>
  <c r="M3806" i="7"/>
  <c r="D3806" i="7"/>
  <c r="Z3805" i="7"/>
  <c r="M3805" i="7"/>
  <c r="D3805" i="7"/>
  <c r="Z3804" i="7"/>
  <c r="M3804" i="7"/>
  <c r="D3804" i="7"/>
  <c r="Z3791" i="7"/>
  <c r="M3791" i="7"/>
  <c r="D3791" i="7"/>
  <c r="Z3790" i="7"/>
  <c r="M3790" i="7"/>
  <c r="D3790" i="7"/>
  <c r="Z3789" i="7"/>
  <c r="M3789" i="7"/>
  <c r="D3789" i="7"/>
  <c r="Z3788" i="7"/>
  <c r="M3788" i="7"/>
  <c r="D3788" i="7"/>
  <c r="AF3787" i="7"/>
  <c r="Z3787" i="7"/>
  <c r="J3787" i="7"/>
  <c r="D3787" i="7"/>
  <c r="AF3786" i="7"/>
  <c r="Z3786" i="7"/>
  <c r="J3786" i="7"/>
  <c r="D3786" i="7"/>
  <c r="AF3785" i="7"/>
  <c r="Z3785" i="7"/>
  <c r="J3785" i="7"/>
  <c r="D3785" i="7"/>
  <c r="AF3784" i="7"/>
  <c r="Z3784" i="7"/>
  <c r="J3784" i="7"/>
  <c r="D3784" i="7"/>
  <c r="Z3783" i="7"/>
  <c r="J3783" i="7"/>
  <c r="D3783" i="7"/>
  <c r="Z3782" i="7"/>
  <c r="J3782" i="7"/>
  <c r="D3782" i="7"/>
  <c r="Z3781" i="7"/>
  <c r="J3781" i="7"/>
  <c r="D3781" i="7"/>
  <c r="Z3780" i="7"/>
  <c r="J3780" i="7"/>
  <c r="D3780" i="7"/>
  <c r="Z3779" i="7"/>
  <c r="J3779" i="7"/>
  <c r="D3779" i="7"/>
  <c r="AC3777" i="7"/>
  <c r="AB3777" i="7"/>
  <c r="AA3777" i="7"/>
  <c r="Z3777" i="7"/>
  <c r="D3777" i="7"/>
  <c r="AC3776" i="7"/>
  <c r="AB3776" i="7"/>
  <c r="AA3776" i="7"/>
  <c r="Z3776" i="7"/>
  <c r="D3776" i="7"/>
  <c r="Z3775" i="7"/>
  <c r="D3775" i="7"/>
  <c r="Z3774" i="7"/>
  <c r="D3774" i="7"/>
  <c r="Z3773" i="7"/>
  <c r="D3773" i="7"/>
  <c r="Z3772" i="7"/>
  <c r="D3772" i="7"/>
  <c r="Z3771" i="7"/>
  <c r="D3771" i="7"/>
  <c r="Z3770" i="7"/>
  <c r="D3770" i="7"/>
  <c r="Z3769" i="7"/>
  <c r="D3769" i="7"/>
  <c r="Z3768" i="7"/>
  <c r="D3768" i="7"/>
  <c r="Z3767" i="7"/>
  <c r="D3767" i="7"/>
  <c r="Z3766" i="7"/>
  <c r="D3766" i="7"/>
  <c r="Z3765" i="7"/>
  <c r="D3765" i="7"/>
  <c r="Z3764" i="7"/>
  <c r="D3764" i="7"/>
  <c r="AC3761" i="7"/>
  <c r="Z3761" i="7"/>
  <c r="D3761" i="7"/>
  <c r="AC3760" i="7"/>
  <c r="Z3760" i="7"/>
  <c r="D3760" i="7"/>
  <c r="Z3762" i="7"/>
  <c r="D3762" i="7"/>
  <c r="AF3757" i="7"/>
  <c r="AA3757" i="7"/>
  <c r="Z3757" i="7"/>
  <c r="M3757" i="7"/>
  <c r="D3757" i="7"/>
  <c r="AF3756" i="7"/>
  <c r="AA3756" i="7"/>
  <c r="Z3756" i="7"/>
  <c r="M3756" i="7"/>
  <c r="D3756" i="7"/>
  <c r="AF3753" i="7"/>
  <c r="AA3753" i="7"/>
  <c r="Z3753" i="7"/>
  <c r="M3753" i="7"/>
  <c r="D3753" i="7"/>
  <c r="AF3752" i="7"/>
  <c r="AA3752" i="7"/>
  <c r="Z3752" i="7"/>
  <c r="M3752" i="7"/>
  <c r="D3752" i="7"/>
  <c r="AF3751" i="7"/>
  <c r="AA3751" i="7"/>
  <c r="Z3751" i="7"/>
  <c r="M3751" i="7"/>
  <c r="D3751" i="7"/>
  <c r="AF3754" i="7"/>
  <c r="AA3754" i="7"/>
  <c r="Z3754" i="7"/>
  <c r="M3754" i="7"/>
  <c r="D3754" i="7"/>
  <c r="AF3750" i="7"/>
  <c r="AA3750" i="7"/>
  <c r="Z3750" i="7"/>
  <c r="M3750" i="7"/>
  <c r="D3750" i="7"/>
  <c r="AF3749" i="7"/>
  <c r="AA3749" i="7"/>
  <c r="Z3749" i="7"/>
  <c r="M3749" i="7"/>
  <c r="D3749" i="7"/>
  <c r="AF3758" i="7"/>
  <c r="AA3758" i="7"/>
  <c r="Z3758" i="7"/>
  <c r="M3758" i="7"/>
  <c r="D3758" i="7"/>
  <c r="AF3748" i="7"/>
  <c r="AA3748" i="7"/>
  <c r="Z3748" i="7"/>
  <c r="M3748" i="7"/>
  <c r="D3748" i="7"/>
  <c r="AF3747" i="7"/>
  <c r="AA3747" i="7"/>
  <c r="Z3747" i="7"/>
  <c r="M3747" i="7"/>
  <c r="D3747" i="7"/>
  <c r="AF3746" i="7"/>
  <c r="AA3746" i="7"/>
  <c r="Z3746" i="7"/>
  <c r="M3746" i="7"/>
  <c r="D3746" i="7"/>
  <c r="AF3745" i="7"/>
  <c r="AA3745" i="7"/>
  <c r="Z3745" i="7"/>
  <c r="M3745" i="7"/>
  <c r="D3745" i="7"/>
  <c r="AF3744" i="7"/>
  <c r="AA3744" i="7"/>
  <c r="Z3744" i="7"/>
  <c r="M3744" i="7"/>
  <c r="D3744" i="7"/>
  <c r="AF3743" i="7"/>
  <c r="AA3743" i="7"/>
  <c r="Z3743" i="7"/>
  <c r="M3743" i="7"/>
  <c r="D3743" i="7"/>
  <c r="AF3742" i="7"/>
  <c r="AA3742" i="7"/>
  <c r="Z3742" i="7"/>
  <c r="M3742" i="7"/>
  <c r="D3742" i="7"/>
  <c r="AF3741" i="7"/>
  <c r="AA3741" i="7"/>
  <c r="Z3741" i="7"/>
  <c r="M3741" i="7"/>
  <c r="D3741" i="7"/>
  <c r="Z3740" i="7"/>
  <c r="D3740" i="7"/>
  <c r="Z3739" i="7"/>
  <c r="D3739" i="7"/>
  <c r="Z3738" i="7"/>
  <c r="D3738" i="7"/>
  <c r="Z3737" i="7"/>
  <c r="D3737" i="7"/>
  <c r="Z3736" i="7"/>
  <c r="D3736" i="7"/>
  <c r="Z3732" i="7"/>
  <c r="J3732" i="7"/>
  <c r="D3732" i="7"/>
  <c r="Z3728" i="7"/>
  <c r="D3728" i="7"/>
  <c r="Z3727" i="7"/>
  <c r="D3727" i="7"/>
  <c r="AI3725" i="7"/>
  <c r="AF3725" i="7"/>
  <c r="Z3725" i="7"/>
  <c r="J3725" i="7"/>
  <c r="D3725" i="7"/>
  <c r="AI3726" i="7"/>
  <c r="AF3726" i="7"/>
  <c r="Z3726" i="7"/>
  <c r="J3726" i="7"/>
  <c r="D3726" i="7"/>
  <c r="AI3724" i="7"/>
  <c r="AF3724" i="7"/>
  <c r="Z3724" i="7"/>
  <c r="J3724" i="7"/>
  <c r="D3724" i="7"/>
  <c r="AI3723" i="7"/>
  <c r="AF3723" i="7"/>
  <c r="Z3723" i="7"/>
  <c r="J3723" i="7"/>
  <c r="D3723" i="7"/>
  <c r="AI3722" i="7"/>
  <c r="AF3722" i="7"/>
  <c r="Z3722" i="7"/>
  <c r="J3722" i="7"/>
  <c r="D3722" i="7"/>
  <c r="AI3721" i="7"/>
  <c r="AF3721" i="7"/>
  <c r="Z3721" i="7"/>
  <c r="J3721" i="7"/>
  <c r="D3721" i="7"/>
  <c r="AI3720" i="7"/>
  <c r="Z3720" i="7"/>
  <c r="D3720" i="7"/>
  <c r="D3731" i="7"/>
  <c r="D3730" i="7"/>
  <c r="D3729" i="7"/>
  <c r="AI3716" i="7"/>
  <c r="AF3716" i="7"/>
  <c r="AC3716" i="7"/>
  <c r="Z3716" i="7"/>
  <c r="N3716" i="7"/>
  <c r="D3716" i="7"/>
  <c r="AF3715" i="7"/>
  <c r="AC3715" i="7"/>
  <c r="Z3715" i="7"/>
  <c r="N3715" i="7"/>
  <c r="D3715" i="7"/>
  <c r="AF3714" i="7"/>
  <c r="AC3714" i="7"/>
  <c r="Z3714" i="7"/>
  <c r="N3714" i="7"/>
  <c r="D3714" i="7"/>
  <c r="AF3713" i="7"/>
  <c r="AC3713" i="7"/>
  <c r="Z3713" i="7"/>
  <c r="N3713" i="7"/>
  <c r="D3713" i="7"/>
  <c r="AF3712" i="7"/>
  <c r="AC3712" i="7"/>
  <c r="Z3712" i="7"/>
  <c r="N3712" i="7"/>
  <c r="D3712" i="7"/>
  <c r="AF3711" i="7"/>
  <c r="AC3711" i="7"/>
  <c r="Z3711" i="7"/>
  <c r="N3711" i="7"/>
  <c r="D3711" i="7"/>
  <c r="AF3710" i="7"/>
  <c r="AC3710" i="7"/>
  <c r="Z3710" i="7"/>
  <c r="N3710" i="7"/>
  <c r="D3710" i="7"/>
  <c r="AF3709" i="7"/>
  <c r="AC3709" i="7"/>
  <c r="Z3709" i="7"/>
  <c r="N3709" i="7"/>
  <c r="D3709" i="7"/>
  <c r="AF3706" i="7"/>
  <c r="AC3706" i="7"/>
  <c r="Z3706" i="7"/>
  <c r="N3706" i="7"/>
  <c r="D3706" i="7"/>
  <c r="AF3705" i="7"/>
  <c r="AC3705" i="7"/>
  <c r="Z3705" i="7"/>
  <c r="N3705" i="7"/>
  <c r="D3705" i="7"/>
  <c r="AF3704" i="7"/>
  <c r="AC3704" i="7"/>
  <c r="Z3704" i="7"/>
  <c r="N3704" i="7"/>
  <c r="D3704" i="7"/>
  <c r="AF3703" i="7"/>
  <c r="AC3703" i="7"/>
  <c r="Z3703" i="7"/>
  <c r="N3703" i="7"/>
  <c r="D3703" i="7"/>
  <c r="AF3702" i="7"/>
  <c r="AC3702" i="7"/>
  <c r="Z3702" i="7"/>
  <c r="N3702" i="7"/>
  <c r="D3702" i="7"/>
  <c r="AF3699" i="7"/>
  <c r="Z3699" i="7"/>
  <c r="J3699" i="7"/>
  <c r="D3699" i="7"/>
  <c r="AF3698" i="7"/>
  <c r="Z3698" i="7"/>
  <c r="J3698" i="7"/>
  <c r="D3698" i="7"/>
  <c r="AF3697" i="7"/>
  <c r="Z3697" i="7"/>
  <c r="J3697" i="7"/>
  <c r="D3697" i="7"/>
  <c r="AF3696" i="7"/>
  <c r="Z3696" i="7"/>
  <c r="J3696" i="7"/>
  <c r="D3696" i="7"/>
  <c r="AF3695" i="7"/>
  <c r="Z3695" i="7"/>
  <c r="J3695" i="7"/>
  <c r="D3695" i="7"/>
  <c r="AF3694" i="7"/>
  <c r="Z3694" i="7"/>
  <c r="J3694" i="7"/>
  <c r="D3694" i="7"/>
  <c r="AF3693" i="7"/>
  <c r="Z3693" i="7"/>
  <c r="J3693" i="7"/>
  <c r="D3693" i="7"/>
  <c r="AF3692" i="7"/>
  <c r="Z3692" i="7"/>
  <c r="J3692" i="7"/>
  <c r="D3692" i="7"/>
  <c r="AF3691" i="7"/>
  <c r="Z3691" i="7"/>
  <c r="J3691" i="7"/>
  <c r="D3691" i="7"/>
  <c r="AF3690" i="7"/>
  <c r="Z3690" i="7"/>
  <c r="J3690" i="7"/>
  <c r="D3690" i="7"/>
  <c r="AF3689" i="7"/>
  <c r="Z3689" i="7"/>
  <c r="J3689" i="7"/>
  <c r="D3689" i="7"/>
  <c r="AF3688" i="7"/>
  <c r="Z3688" i="7"/>
  <c r="J3688" i="7"/>
  <c r="D3688" i="7"/>
  <c r="AF3687" i="7"/>
  <c r="Z3687" i="7"/>
  <c r="J3687" i="7"/>
  <c r="D3687" i="7"/>
  <c r="AF3685" i="7"/>
  <c r="Z3685" i="7"/>
  <c r="O3685" i="7"/>
  <c r="M3685" i="7"/>
  <c r="D3685" i="7"/>
  <c r="AF3684" i="7"/>
  <c r="Z3684" i="7"/>
  <c r="O3684" i="7"/>
  <c r="M3684" i="7"/>
  <c r="D3684" i="7"/>
  <c r="AF3683" i="7"/>
  <c r="Z3683" i="7"/>
  <c r="O3683" i="7"/>
  <c r="M3683" i="7"/>
  <c r="D3683" i="7"/>
  <c r="AF3682" i="7"/>
  <c r="Z3682" i="7"/>
  <c r="O3682" i="7"/>
  <c r="M3682" i="7"/>
  <c r="D3682" i="7"/>
  <c r="AF3681" i="7"/>
  <c r="Z3681" i="7"/>
  <c r="O3681" i="7"/>
  <c r="M3681" i="7"/>
  <c r="D3681" i="7"/>
  <c r="AF3686" i="7"/>
  <c r="Z3686" i="7"/>
  <c r="O3686" i="7"/>
  <c r="M3686" i="7"/>
  <c r="D3686" i="7"/>
  <c r="Z3680" i="7"/>
  <c r="M3680" i="7"/>
  <c r="J3680" i="7"/>
  <c r="D3680" i="7"/>
  <c r="Z3679" i="7"/>
  <c r="M3679" i="7"/>
  <c r="J3679" i="7"/>
  <c r="D3679" i="7"/>
  <c r="Z3678" i="7"/>
  <c r="M3678" i="7"/>
  <c r="J3678" i="7"/>
  <c r="D3678" i="7"/>
  <c r="Z3677" i="7"/>
  <c r="M3677" i="7"/>
  <c r="J3677" i="7"/>
  <c r="D3677" i="7"/>
  <c r="AI3675" i="7"/>
  <c r="Z3675" i="7"/>
  <c r="L3675" i="7"/>
  <c r="D3675" i="7"/>
  <c r="AI3674" i="7"/>
  <c r="Z3674" i="7"/>
  <c r="L3674" i="7"/>
  <c r="D3674" i="7"/>
  <c r="AI3673" i="7"/>
  <c r="Z3673" i="7"/>
  <c r="L3673" i="7"/>
  <c r="D3673" i="7"/>
  <c r="AI3676" i="7"/>
  <c r="Z3676" i="7"/>
  <c r="L3676" i="7"/>
  <c r="D3676" i="7"/>
  <c r="AI3662" i="7"/>
  <c r="Z3662" i="7"/>
  <c r="L3662" i="7"/>
  <c r="D3662" i="7"/>
  <c r="AI3666" i="7"/>
  <c r="Z3666" i="7"/>
  <c r="L3666" i="7"/>
  <c r="D3666" i="7"/>
  <c r="AI3665" i="7"/>
  <c r="Z3665" i="7"/>
  <c r="L3665" i="7"/>
  <c r="D3665" i="7"/>
  <c r="AI3664" i="7"/>
  <c r="Z3664" i="7"/>
  <c r="L3664" i="7"/>
  <c r="D3664" i="7"/>
  <c r="AI3663" i="7"/>
  <c r="Z3663" i="7"/>
  <c r="L3663" i="7"/>
  <c r="D3663" i="7"/>
  <c r="AI3659" i="7"/>
  <c r="Z3659" i="7"/>
  <c r="L3659" i="7"/>
  <c r="D3659" i="7"/>
  <c r="AI3658" i="7"/>
  <c r="Z3658" i="7"/>
  <c r="L3658" i="7"/>
  <c r="D3658" i="7"/>
  <c r="AI3657" i="7"/>
  <c r="Z3657" i="7"/>
  <c r="L3657" i="7"/>
  <c r="D3657" i="7"/>
  <c r="AI3656" i="7"/>
  <c r="Z3656" i="7"/>
  <c r="L3656" i="7"/>
  <c r="D3656" i="7"/>
  <c r="AI3655" i="7"/>
  <c r="Z3655" i="7"/>
  <c r="L3655" i="7"/>
  <c r="D3655" i="7"/>
  <c r="AI3654" i="7"/>
  <c r="Z3654" i="7"/>
  <c r="L3654" i="7"/>
  <c r="D3654" i="7"/>
  <c r="AI3653" i="7"/>
  <c r="Z3653" i="7"/>
  <c r="L3653" i="7"/>
  <c r="D3653" i="7"/>
  <c r="AI3652" i="7"/>
  <c r="Z3652" i="7"/>
  <c r="L3652" i="7"/>
  <c r="D3652" i="7"/>
  <c r="AF3649" i="7"/>
  <c r="AA3649" i="7"/>
  <c r="Z3649" i="7"/>
  <c r="M3649" i="7"/>
  <c r="J3649" i="7"/>
  <c r="D3649" i="7"/>
  <c r="AF3647" i="7"/>
  <c r="AA3647" i="7"/>
  <c r="Z3647" i="7"/>
  <c r="M3647" i="7"/>
  <c r="J3647" i="7"/>
  <c r="D3647" i="7"/>
  <c r="AI3645" i="7"/>
  <c r="AF3645" i="7"/>
  <c r="Z3645" i="7"/>
  <c r="J3645" i="7"/>
  <c r="D3645" i="7"/>
  <c r="AI3644" i="7"/>
  <c r="AF3644" i="7"/>
  <c r="Z3644" i="7"/>
  <c r="J3644" i="7"/>
  <c r="D3644" i="7"/>
  <c r="AI3643" i="7"/>
  <c r="AF3643" i="7"/>
  <c r="Z3643" i="7"/>
  <c r="J3643" i="7"/>
  <c r="D3643" i="7"/>
  <c r="AF3640" i="7"/>
  <c r="Z3640" i="7"/>
  <c r="M3640" i="7"/>
  <c r="D3640" i="7"/>
  <c r="AF3638" i="7"/>
  <c r="AC3638" i="7"/>
  <c r="AA3638" i="7"/>
  <c r="Z3638" i="7"/>
  <c r="M3638" i="7"/>
  <c r="J3638" i="7"/>
  <c r="D3638" i="7"/>
  <c r="AF3637" i="7"/>
  <c r="AC3637" i="7"/>
  <c r="AA3637" i="7"/>
  <c r="Z3637" i="7"/>
  <c r="M3637" i="7"/>
  <c r="J3637" i="7"/>
  <c r="D3637" i="7"/>
  <c r="AF3636" i="7"/>
  <c r="AC3636" i="7"/>
  <c r="AA3636" i="7"/>
  <c r="Z3636" i="7"/>
  <c r="M3636" i="7"/>
  <c r="J3636" i="7"/>
  <c r="D3636" i="7"/>
  <c r="AF3634" i="7"/>
  <c r="AC3634" i="7"/>
  <c r="AA3634" i="7"/>
  <c r="Z3634" i="7"/>
  <c r="M3634" i="7"/>
  <c r="J3634" i="7"/>
  <c r="D3634" i="7"/>
  <c r="AF3633" i="7"/>
  <c r="AC3633" i="7"/>
  <c r="AA3633" i="7"/>
  <c r="Z3633" i="7"/>
  <c r="M3633" i="7"/>
  <c r="J3633" i="7"/>
  <c r="D3633" i="7"/>
  <c r="AF3632" i="7"/>
  <c r="AC3632" i="7"/>
  <c r="AA3632" i="7"/>
  <c r="Z3632" i="7"/>
  <c r="M3632" i="7"/>
  <c r="J3632" i="7"/>
  <c r="D3632" i="7"/>
  <c r="AF3631" i="7"/>
  <c r="AC3631" i="7"/>
  <c r="AA3631" i="7"/>
  <c r="Z3631" i="7"/>
  <c r="M3631" i="7"/>
  <c r="J3631" i="7"/>
  <c r="D3631" i="7"/>
  <c r="AF3630" i="7"/>
  <c r="AC3630" i="7"/>
  <c r="AA3630" i="7"/>
  <c r="Z3630" i="7"/>
  <c r="M3630" i="7"/>
  <c r="J3630" i="7"/>
  <c r="D3630" i="7"/>
  <c r="Z3532" i="7"/>
  <c r="J3532" i="7"/>
  <c r="D3532" i="7"/>
  <c r="Z3531" i="7"/>
  <c r="J3531" i="7"/>
  <c r="D3531" i="7"/>
  <c r="Z3530" i="7"/>
  <c r="J3530" i="7"/>
  <c r="D3530" i="7"/>
  <c r="AF3626" i="7"/>
  <c r="AA3626" i="7"/>
  <c r="Z3626" i="7"/>
  <c r="L3626" i="7"/>
  <c r="J3626" i="7"/>
  <c r="D3626" i="7"/>
  <c r="AF3625" i="7"/>
  <c r="AA3625" i="7"/>
  <c r="Z3625" i="7"/>
  <c r="L3625" i="7"/>
  <c r="J3625" i="7"/>
  <c r="D3625" i="7"/>
  <c r="AF3621" i="7"/>
  <c r="AE3621" i="7"/>
  <c r="AA3621" i="7"/>
  <c r="Z3621" i="7"/>
  <c r="X3621" i="7"/>
  <c r="L3621" i="7"/>
  <c r="J3621" i="7"/>
  <c r="D3621" i="7"/>
  <c r="AF3628" i="7"/>
  <c r="AE3628" i="7"/>
  <c r="AA3628" i="7"/>
  <c r="Z3628" i="7"/>
  <c r="V3628" i="7"/>
  <c r="L3628" i="7"/>
  <c r="J3628" i="7"/>
  <c r="D3628" i="7"/>
  <c r="AF3613" i="7"/>
  <c r="AE3613" i="7"/>
  <c r="AA3613" i="7"/>
  <c r="Z3613" i="7"/>
  <c r="V3613" i="7"/>
  <c r="J3613" i="7"/>
  <c r="D3613" i="7"/>
  <c r="AF3612" i="7"/>
  <c r="AE3612" i="7"/>
  <c r="AA3612" i="7"/>
  <c r="Z3612" i="7"/>
  <c r="V3612" i="7"/>
  <c r="J3612" i="7"/>
  <c r="D3612" i="7"/>
  <c r="AF3611" i="7"/>
  <c r="AA3611" i="7"/>
  <c r="Z3611" i="7"/>
  <c r="J3611" i="7"/>
  <c r="D3611" i="7"/>
  <c r="AF3610" i="7"/>
  <c r="AA3610" i="7"/>
  <c r="Z3610" i="7"/>
  <c r="L3610" i="7"/>
  <c r="J3610" i="7"/>
  <c r="D3610" i="7"/>
  <c r="AF3609" i="7"/>
  <c r="AA3609" i="7"/>
  <c r="Z3609" i="7"/>
  <c r="L3609" i="7"/>
  <c r="J3609" i="7"/>
  <c r="D3609" i="7"/>
  <c r="AF3627" i="7"/>
  <c r="AA3627" i="7"/>
  <c r="Z3627" i="7"/>
  <c r="L3627" i="7"/>
  <c r="J3627" i="7"/>
  <c r="D3627" i="7"/>
  <c r="AF3608" i="7"/>
  <c r="AA3608" i="7"/>
  <c r="Z3608" i="7"/>
  <c r="L3608" i="7"/>
  <c r="J3608" i="7"/>
  <c r="D3608" i="7"/>
  <c r="AF3607" i="7"/>
  <c r="AA3607" i="7"/>
  <c r="Z3607" i="7"/>
  <c r="L3607" i="7"/>
  <c r="J3607" i="7"/>
  <c r="D3607" i="7"/>
  <c r="AF3624" i="7"/>
  <c r="AA3624" i="7"/>
  <c r="Z3624" i="7"/>
  <c r="L3624" i="7"/>
  <c r="J3624" i="7"/>
  <c r="D3624" i="7"/>
  <c r="AF3623" i="7"/>
  <c r="AA3623" i="7"/>
  <c r="Z3623" i="7"/>
  <c r="L3623" i="7"/>
  <c r="J3623" i="7"/>
  <c r="D3623" i="7"/>
  <c r="AF3622" i="7"/>
  <c r="AA3622" i="7"/>
  <c r="Z3622" i="7"/>
  <c r="L3622" i="7"/>
  <c r="J3622" i="7"/>
  <c r="D3622" i="7"/>
  <c r="AF3606" i="7"/>
  <c r="AA3606" i="7"/>
  <c r="Z3606" i="7"/>
  <c r="L3606" i="7"/>
  <c r="J3606" i="7"/>
  <c r="D3606" i="7"/>
  <c r="AF3605" i="7"/>
  <c r="AA3605" i="7"/>
  <c r="Z3605" i="7"/>
  <c r="L3605" i="7"/>
  <c r="J3605" i="7"/>
  <c r="D3605" i="7"/>
  <c r="AF3604" i="7"/>
  <c r="AA3604" i="7"/>
  <c r="Z3604" i="7"/>
  <c r="L3604" i="7"/>
  <c r="J3604" i="7"/>
  <c r="D3604" i="7"/>
  <c r="AF3603" i="7"/>
  <c r="AA3603" i="7"/>
  <c r="Z3603" i="7"/>
  <c r="L3603" i="7"/>
  <c r="J3603" i="7"/>
  <c r="D3603" i="7"/>
  <c r="AF3602" i="7"/>
  <c r="AA3602" i="7"/>
  <c r="Z3602" i="7"/>
  <c r="L3602" i="7"/>
  <c r="J3602" i="7"/>
  <c r="D3602" i="7"/>
  <c r="AF3601" i="7"/>
  <c r="AA3601" i="7"/>
  <c r="Z3601" i="7"/>
  <c r="L3601" i="7"/>
  <c r="J3601" i="7"/>
  <c r="D3601" i="7"/>
  <c r="AF3600" i="7"/>
  <c r="AA3600" i="7"/>
  <c r="Z3600" i="7"/>
  <c r="L3600" i="7"/>
  <c r="J3600" i="7"/>
  <c r="D3600" i="7"/>
  <c r="AF3599" i="7"/>
  <c r="AA3599" i="7"/>
  <c r="Z3599" i="7"/>
  <c r="L3599" i="7"/>
  <c r="J3599" i="7"/>
  <c r="D3599" i="7"/>
  <c r="AF3598" i="7"/>
  <c r="AA3598" i="7"/>
  <c r="Z3598" i="7"/>
  <c r="L3598" i="7"/>
  <c r="J3598" i="7"/>
  <c r="D3598" i="7"/>
  <c r="AF3597" i="7"/>
  <c r="AA3597" i="7"/>
  <c r="Z3597" i="7"/>
  <c r="L3597" i="7"/>
  <c r="J3597" i="7"/>
  <c r="D3597" i="7"/>
  <c r="AF3596" i="7"/>
  <c r="AA3596" i="7"/>
  <c r="Z3596" i="7"/>
  <c r="L3596" i="7"/>
  <c r="J3596" i="7"/>
  <c r="D3596" i="7"/>
  <c r="AF3595" i="7"/>
  <c r="AA3595" i="7"/>
  <c r="Z3595" i="7"/>
  <c r="L3595" i="7"/>
  <c r="J3595" i="7"/>
  <c r="D3595" i="7"/>
  <c r="AF3594" i="7"/>
  <c r="AE3594" i="7"/>
  <c r="AA3594" i="7"/>
  <c r="Z3594" i="7"/>
  <c r="X3594" i="7"/>
  <c r="L3594" i="7"/>
  <c r="J3594" i="7"/>
  <c r="D3594" i="7"/>
  <c r="AF3593" i="7"/>
  <c r="AE3593" i="7"/>
  <c r="AA3593" i="7"/>
  <c r="Z3593" i="7"/>
  <c r="X3593" i="7"/>
  <c r="L3593" i="7"/>
  <c r="J3593" i="7"/>
  <c r="D3593" i="7"/>
  <c r="AF3592" i="7"/>
  <c r="AE3592" i="7"/>
  <c r="AA3592" i="7"/>
  <c r="Z3592" i="7"/>
  <c r="X3592" i="7"/>
  <c r="L3592" i="7"/>
  <c r="J3592" i="7"/>
  <c r="D3592" i="7"/>
  <c r="AF3590" i="7"/>
  <c r="Z3590" i="7"/>
  <c r="D3590" i="7"/>
  <c r="AA3589" i="7"/>
  <c r="Z3589" i="7"/>
  <c r="J3589" i="7"/>
  <c r="D3589" i="7"/>
  <c r="Z3588" i="7"/>
  <c r="D3588" i="7"/>
  <c r="Z3587" i="7"/>
  <c r="D3587" i="7"/>
  <c r="AF3536" i="7"/>
  <c r="Z3536" i="7"/>
  <c r="D3536" i="7"/>
  <c r="AF3535" i="7"/>
  <c r="Z3535" i="7"/>
  <c r="D3535" i="7"/>
  <c r="AF3534" i="7"/>
  <c r="Z3534" i="7"/>
  <c r="D3534" i="7"/>
  <c r="AF3533" i="7"/>
  <c r="Z3533" i="7"/>
  <c r="D3533" i="7"/>
  <c r="AI3585" i="7"/>
  <c r="AF3585" i="7"/>
  <c r="Z3585" i="7"/>
  <c r="O3585" i="7"/>
  <c r="D3585" i="7"/>
  <c r="AI3584" i="7"/>
  <c r="AF3584" i="7"/>
  <c r="Z3584" i="7"/>
  <c r="O3584" i="7"/>
  <c r="D3584" i="7"/>
  <c r="AI3582" i="7"/>
  <c r="AF3582" i="7"/>
  <c r="Z3582" i="7"/>
  <c r="O3582" i="7"/>
  <c r="D3582" i="7"/>
  <c r="AI3581" i="7"/>
  <c r="AF3581" i="7"/>
  <c r="Z3581" i="7"/>
  <c r="O3581" i="7"/>
  <c r="D3581" i="7"/>
  <c r="AI3580" i="7"/>
  <c r="AF3580" i="7"/>
  <c r="Z3580" i="7"/>
  <c r="O3580" i="7"/>
  <c r="D3580" i="7"/>
  <c r="AF3571" i="7"/>
  <c r="AA3571" i="7"/>
  <c r="Z3571" i="7"/>
  <c r="L3571" i="7"/>
  <c r="J3571" i="7"/>
  <c r="D3571" i="7"/>
  <c r="AF3570" i="7"/>
  <c r="AA3570" i="7"/>
  <c r="Z3570" i="7"/>
  <c r="L3570" i="7"/>
  <c r="J3570" i="7"/>
  <c r="D3570" i="7"/>
  <c r="AF3569" i="7"/>
  <c r="AA3569" i="7"/>
  <c r="Z3569" i="7"/>
  <c r="L3569" i="7"/>
  <c r="J3569" i="7"/>
  <c r="D3569" i="7"/>
  <c r="AF3568" i="7"/>
  <c r="AA3568" i="7"/>
  <c r="Z3568" i="7"/>
  <c r="L3568" i="7"/>
  <c r="J3568" i="7"/>
  <c r="D3568" i="7"/>
  <c r="AF3566" i="7"/>
  <c r="AA3566" i="7"/>
  <c r="Z3566" i="7"/>
  <c r="L3566" i="7"/>
  <c r="J3566" i="7"/>
  <c r="D3566" i="7"/>
  <c r="AF3565" i="7"/>
  <c r="AA3565" i="7"/>
  <c r="Z3565" i="7"/>
  <c r="L3565" i="7"/>
  <c r="J3565" i="7"/>
  <c r="D3565" i="7"/>
  <c r="AF3564" i="7"/>
  <c r="AA3564" i="7"/>
  <c r="Z3564" i="7"/>
  <c r="L3564" i="7"/>
  <c r="J3564" i="7"/>
  <c r="D3564" i="7"/>
  <c r="AF3563" i="7"/>
  <c r="AA3563" i="7"/>
  <c r="Z3563" i="7"/>
  <c r="L3563" i="7"/>
  <c r="J3563" i="7"/>
  <c r="D3563" i="7"/>
  <c r="Z3561" i="7"/>
  <c r="L3561" i="7"/>
  <c r="J3561" i="7"/>
  <c r="D3561" i="7"/>
  <c r="Z3560" i="7"/>
  <c r="L3560" i="7"/>
  <c r="J3560" i="7"/>
  <c r="D3560" i="7"/>
  <c r="Z3556" i="7"/>
  <c r="L3556" i="7"/>
  <c r="J3556" i="7"/>
  <c r="D3556" i="7"/>
  <c r="Z3555" i="7"/>
  <c r="L3555" i="7"/>
  <c r="J3555" i="7"/>
  <c r="D3555" i="7"/>
  <c r="Z3554" i="7"/>
  <c r="L3554" i="7"/>
  <c r="J3554" i="7"/>
  <c r="D3554" i="7"/>
  <c r="Z3559" i="7"/>
  <c r="L3559" i="7"/>
  <c r="J3559" i="7"/>
  <c r="D3559" i="7"/>
  <c r="Z3557" i="7"/>
  <c r="L3557" i="7"/>
  <c r="J3557" i="7"/>
  <c r="D3557" i="7"/>
  <c r="Z3558" i="7"/>
  <c r="L3558" i="7"/>
  <c r="J3558" i="7"/>
  <c r="D3558" i="7"/>
  <c r="Z3553" i="7"/>
  <c r="L3553" i="7"/>
  <c r="J3553" i="7"/>
  <c r="D3553" i="7"/>
  <c r="Z3552" i="7"/>
  <c r="L3552" i="7"/>
  <c r="J3552" i="7"/>
  <c r="D3552" i="7"/>
  <c r="Z3551" i="7"/>
  <c r="L3551" i="7"/>
  <c r="J3551" i="7"/>
  <c r="D3551" i="7"/>
  <c r="Z3550" i="7"/>
  <c r="L3550" i="7"/>
  <c r="J3550" i="7"/>
  <c r="D3550" i="7"/>
  <c r="Z3549" i="7"/>
  <c r="L3549" i="7"/>
  <c r="J3549" i="7"/>
  <c r="D3549" i="7"/>
  <c r="Z3548" i="7"/>
  <c r="L3548" i="7"/>
  <c r="J3548" i="7"/>
  <c r="D3548" i="7"/>
  <c r="Z3547" i="7"/>
  <c r="L3547" i="7"/>
  <c r="J3547" i="7"/>
  <c r="D3547" i="7"/>
  <c r="Z3546" i="7"/>
  <c r="L3546" i="7"/>
  <c r="J3546" i="7"/>
  <c r="D3546" i="7"/>
  <c r="Z3545" i="7"/>
  <c r="L3545" i="7"/>
  <c r="J3545" i="7"/>
  <c r="D3545" i="7"/>
  <c r="Z3544" i="7"/>
  <c r="L3544" i="7"/>
  <c r="J3544" i="7"/>
  <c r="D3544" i="7"/>
  <c r="Z3543" i="7"/>
  <c r="L3543" i="7"/>
  <c r="J3543" i="7"/>
  <c r="D3543" i="7"/>
  <c r="Z3542" i="7"/>
  <c r="L3542" i="7"/>
  <c r="J3542" i="7"/>
  <c r="D3542" i="7"/>
  <c r="Z3541" i="7"/>
  <c r="L3541" i="7"/>
  <c r="J3541" i="7"/>
  <c r="D3541" i="7"/>
  <c r="Z3540" i="7"/>
  <c r="L3540" i="7"/>
  <c r="J3540" i="7"/>
  <c r="D3540" i="7"/>
  <c r="Z3539" i="7"/>
  <c r="L3539" i="7"/>
  <c r="J3539" i="7"/>
  <c r="D3539" i="7"/>
  <c r="Z3538" i="7"/>
  <c r="L3538" i="7"/>
  <c r="J3538" i="7"/>
  <c r="D3538" i="7"/>
  <c r="Z3529" i="7"/>
  <c r="J3537" i="7"/>
  <c r="D3529" i="7"/>
  <c r="Z3528" i="7"/>
  <c r="J3528" i="7"/>
  <c r="D3528" i="7"/>
  <c r="Z3527" i="7"/>
  <c r="J3527" i="7"/>
  <c r="D3527" i="7"/>
  <c r="Z3526" i="7"/>
  <c r="J3526" i="7"/>
  <c r="D3526" i="7"/>
  <c r="Z3525" i="7"/>
  <c r="J3525" i="7"/>
  <c r="D3525" i="7"/>
  <c r="Z3524" i="7"/>
  <c r="J3524" i="7"/>
  <c r="D3524" i="7"/>
  <c r="AI3517" i="7"/>
  <c r="AF3517" i="7"/>
  <c r="AA3517" i="7"/>
  <c r="Z3517" i="7"/>
  <c r="M3517" i="7"/>
  <c r="J3517" i="7"/>
  <c r="D3517" i="7"/>
  <c r="Z3516" i="7"/>
  <c r="J3516" i="7"/>
  <c r="D3516" i="7"/>
  <c r="Z3515" i="7"/>
  <c r="J3515" i="7"/>
  <c r="D3515" i="7"/>
  <c r="Z3514" i="7"/>
  <c r="J3514" i="7"/>
  <c r="D3514" i="7"/>
  <c r="AF3513" i="7"/>
  <c r="Z3513" i="7"/>
  <c r="X3513" i="7"/>
  <c r="M3513" i="7"/>
  <c r="D3513" i="7"/>
  <c r="AF3512" i="7"/>
  <c r="Z3512" i="7"/>
  <c r="X3512" i="7"/>
  <c r="M3512" i="7"/>
  <c r="D3512" i="7"/>
  <c r="Z3511" i="7"/>
  <c r="J3511" i="7"/>
  <c r="D3511" i="7"/>
  <c r="AI3483" i="7"/>
  <c r="AF3483" i="7"/>
  <c r="Z3483" i="7"/>
  <c r="M3483" i="7"/>
  <c r="D3483" i="7"/>
  <c r="AI3482" i="7"/>
  <c r="AF3482" i="7"/>
  <c r="Z3482" i="7"/>
  <c r="M3482" i="7"/>
  <c r="D3482" i="7"/>
  <c r="AI3481" i="7"/>
  <c r="AF3481" i="7"/>
  <c r="Z3481" i="7"/>
  <c r="M3481" i="7"/>
  <c r="D3481" i="7"/>
  <c r="AI3480" i="7"/>
  <c r="AF3480" i="7"/>
  <c r="Z3480" i="7"/>
  <c r="M3480" i="7"/>
  <c r="D3480" i="7"/>
  <c r="AI3500" i="7"/>
  <c r="AF3500" i="7"/>
  <c r="AC3500" i="7"/>
  <c r="Z3500" i="7"/>
  <c r="M3500" i="7"/>
  <c r="D3500" i="7"/>
  <c r="AI3499" i="7"/>
  <c r="AF3499" i="7"/>
  <c r="AC3499" i="7"/>
  <c r="Z3499" i="7"/>
  <c r="M3499" i="7"/>
  <c r="D3499" i="7"/>
  <c r="AI3498" i="7"/>
  <c r="AF3498" i="7"/>
  <c r="AC3498" i="7"/>
  <c r="Z3498" i="7"/>
  <c r="M3498" i="7"/>
  <c r="D3498" i="7"/>
  <c r="AI3497" i="7"/>
  <c r="AF3497" i="7"/>
  <c r="AC3497" i="7"/>
  <c r="Z3497" i="7"/>
  <c r="M3497" i="7"/>
  <c r="D3497" i="7"/>
  <c r="AI3509" i="7"/>
  <c r="AF3509" i="7"/>
  <c r="AC3509" i="7"/>
  <c r="Z3509" i="7"/>
  <c r="M3509" i="7"/>
  <c r="D3509" i="7"/>
  <c r="AI3508" i="7"/>
  <c r="AF3508" i="7"/>
  <c r="AC3508" i="7"/>
  <c r="Z3508" i="7"/>
  <c r="M3508" i="7"/>
  <c r="D3508" i="7"/>
  <c r="AI3507" i="7"/>
  <c r="AF3507" i="7"/>
  <c r="AC3507" i="7"/>
  <c r="Z3507" i="7"/>
  <c r="M3507" i="7"/>
  <c r="D3507" i="7"/>
  <c r="AI3506" i="7"/>
  <c r="AF3506" i="7"/>
  <c r="AC3506" i="7"/>
  <c r="Z3506" i="7"/>
  <c r="M3506" i="7"/>
  <c r="D3506" i="7"/>
  <c r="AI3471" i="7"/>
  <c r="AF3471" i="7"/>
  <c r="Z3471" i="7"/>
  <c r="M3471" i="7"/>
  <c r="D3471" i="7"/>
  <c r="AI3470" i="7"/>
  <c r="AF3470" i="7"/>
  <c r="Z3470" i="7"/>
  <c r="M3470" i="7"/>
  <c r="D3470" i="7"/>
  <c r="AI3469" i="7"/>
  <c r="AF3469" i="7"/>
  <c r="Z3469" i="7"/>
  <c r="M3469" i="7"/>
  <c r="D3469" i="7"/>
  <c r="AI3468" i="7"/>
  <c r="AF3468" i="7"/>
  <c r="Z3468" i="7"/>
  <c r="M3468" i="7"/>
  <c r="D3468" i="7"/>
  <c r="AI3505" i="7"/>
  <c r="AF3505" i="7"/>
  <c r="Z3505" i="7"/>
  <c r="M3505" i="7"/>
  <c r="D3505" i="7"/>
  <c r="AI3504" i="7"/>
  <c r="AF3504" i="7"/>
  <c r="Z3504" i="7"/>
  <c r="M3504" i="7"/>
  <c r="D3504" i="7"/>
  <c r="AI3503" i="7"/>
  <c r="AF3503" i="7"/>
  <c r="Z3503" i="7"/>
  <c r="M3503" i="7"/>
  <c r="D3503" i="7"/>
  <c r="AI3502" i="7"/>
  <c r="AF3502" i="7"/>
  <c r="Z3502" i="7"/>
  <c r="M3502" i="7"/>
  <c r="D3502" i="7"/>
  <c r="AI3493" i="7"/>
  <c r="AF3493" i="7"/>
  <c r="Z3493" i="7"/>
  <c r="M3493" i="7"/>
  <c r="D3493" i="7"/>
  <c r="AI3496" i="7"/>
  <c r="AF3496" i="7"/>
  <c r="Z3496" i="7"/>
  <c r="M3496" i="7"/>
  <c r="D3496" i="7"/>
  <c r="AI3491" i="7"/>
  <c r="AF3491" i="7"/>
  <c r="Z3491" i="7"/>
  <c r="M3491" i="7"/>
  <c r="D3491" i="7"/>
  <c r="AI3490" i="7"/>
  <c r="AF3490" i="7"/>
  <c r="Z3490" i="7"/>
  <c r="M3490" i="7"/>
  <c r="D3490" i="7"/>
  <c r="AI3489" i="7"/>
  <c r="AF3489" i="7"/>
  <c r="Z3489" i="7"/>
  <c r="M3489" i="7"/>
  <c r="D3489" i="7"/>
  <c r="AI3495" i="7"/>
  <c r="AF3495" i="7"/>
  <c r="Z3495" i="7"/>
  <c r="M3495" i="7"/>
  <c r="D3495" i="7"/>
  <c r="AI3494" i="7"/>
  <c r="AF3494" i="7"/>
  <c r="Z3494" i="7"/>
  <c r="M3494" i="7"/>
  <c r="D3494" i="7"/>
  <c r="AI3488" i="7"/>
  <c r="AF3488" i="7"/>
  <c r="Z3488" i="7"/>
  <c r="M3488" i="7"/>
  <c r="D3488" i="7"/>
  <c r="AI3487" i="7"/>
  <c r="AF3487" i="7"/>
  <c r="Z3487" i="7"/>
  <c r="M3487" i="7"/>
  <c r="D3487" i="7"/>
  <c r="AI3486" i="7"/>
  <c r="AF3486" i="7"/>
  <c r="Z3486" i="7"/>
  <c r="M3486" i="7"/>
  <c r="D3486" i="7"/>
  <c r="AI3485" i="7"/>
  <c r="AF3485" i="7"/>
  <c r="Z3485" i="7"/>
  <c r="M3485" i="7"/>
  <c r="D3485" i="7"/>
  <c r="Z3467" i="7"/>
  <c r="J3467" i="7"/>
  <c r="D3467" i="7"/>
  <c r="Z3466" i="7"/>
  <c r="J3466" i="7"/>
  <c r="D3466" i="7"/>
  <c r="Z3465" i="7"/>
  <c r="J3465" i="7"/>
  <c r="D3465" i="7"/>
  <c r="AF3463" i="7"/>
  <c r="Z3463" i="7"/>
  <c r="J3463" i="7"/>
  <c r="D3463" i="7"/>
  <c r="AF3462" i="7"/>
  <c r="Z3462" i="7"/>
  <c r="J3462" i="7"/>
  <c r="D3462" i="7"/>
  <c r="AF3461" i="7"/>
  <c r="Z3461" i="7"/>
  <c r="J3461" i="7"/>
  <c r="D3461" i="7"/>
  <c r="AF3460" i="7"/>
  <c r="Z3460" i="7"/>
  <c r="J3460" i="7"/>
  <c r="D3460" i="7"/>
  <c r="AF3459" i="7"/>
  <c r="Z3459" i="7"/>
  <c r="J3459" i="7"/>
  <c r="D3459" i="7"/>
  <c r="AF3458" i="7"/>
  <c r="Z3458" i="7"/>
  <c r="J3458" i="7"/>
  <c r="D3458" i="7"/>
  <c r="AF3457" i="7"/>
  <c r="Z3457" i="7"/>
  <c r="J3457" i="7"/>
  <c r="D3457" i="7"/>
  <c r="AF3456" i="7"/>
  <c r="Z3456" i="7"/>
  <c r="J3456" i="7"/>
  <c r="D3456" i="7"/>
  <c r="AF3455" i="7"/>
  <c r="Z3455" i="7"/>
  <c r="J3455" i="7"/>
  <c r="D3455" i="7"/>
  <c r="AF3453" i="7"/>
  <c r="Z3453" i="7"/>
  <c r="J3453" i="7"/>
  <c r="D3453" i="7"/>
  <c r="AF3452" i="7"/>
  <c r="Z3452" i="7"/>
  <c r="J3452" i="7"/>
  <c r="D3452" i="7"/>
  <c r="AF3451" i="7"/>
  <c r="Z3451" i="7"/>
  <c r="J3451" i="7"/>
  <c r="D3451" i="7"/>
  <c r="AF3450" i="7"/>
  <c r="Z3450" i="7"/>
  <c r="J3450" i="7"/>
  <c r="D3450" i="7"/>
  <c r="AF3449" i="7"/>
  <c r="Z3449" i="7"/>
  <c r="J3449" i="7"/>
  <c r="D3449" i="7"/>
  <c r="AF3448" i="7"/>
  <c r="Z3448" i="7"/>
  <c r="J3448" i="7"/>
  <c r="D3448" i="7"/>
  <c r="Z3446" i="7"/>
  <c r="L3446" i="7"/>
  <c r="J3446" i="7"/>
  <c r="D3446" i="7"/>
  <c r="Z3445" i="7"/>
  <c r="L3445" i="7"/>
  <c r="J3445" i="7"/>
  <c r="D3445" i="7"/>
  <c r="Z3444" i="7"/>
  <c r="L3444" i="7"/>
  <c r="J3444" i="7"/>
  <c r="D3444" i="7"/>
  <c r="Z3443" i="7"/>
  <c r="L3443" i="7"/>
  <c r="J3443" i="7"/>
  <c r="D3443" i="7"/>
  <c r="Z3442" i="7"/>
  <c r="L3442" i="7"/>
  <c r="J3442" i="7"/>
  <c r="D3442" i="7"/>
  <c r="Z3441" i="7"/>
  <c r="L3441" i="7"/>
  <c r="J3441" i="7"/>
  <c r="D3441" i="7"/>
  <c r="Z3440" i="7"/>
  <c r="L3440" i="7"/>
  <c r="J3440" i="7"/>
  <c r="D3440" i="7"/>
  <c r="Z3439" i="7"/>
  <c r="L3439" i="7"/>
  <c r="J3439" i="7"/>
  <c r="D3439" i="7"/>
  <c r="AI3434" i="7"/>
  <c r="AF3434" i="7"/>
  <c r="Z3434" i="7"/>
  <c r="N3434" i="7"/>
  <c r="L3434" i="7"/>
  <c r="J3434" i="7"/>
  <c r="D3434" i="7"/>
  <c r="AI3435" i="7"/>
  <c r="AF3435" i="7"/>
  <c r="Z3435" i="7"/>
  <c r="N3435" i="7"/>
  <c r="L3435" i="7"/>
  <c r="J3435" i="7"/>
  <c r="D3435" i="7"/>
  <c r="AI3436" i="7"/>
  <c r="AF3436" i="7"/>
  <c r="Z3436" i="7"/>
  <c r="N3436" i="7"/>
  <c r="L3436" i="7"/>
  <c r="J3436" i="7"/>
  <c r="D3436" i="7"/>
  <c r="AI3433" i="7"/>
  <c r="AF3433" i="7"/>
  <c r="Z3433" i="7"/>
  <c r="N3433" i="7"/>
  <c r="L3433" i="7"/>
  <c r="J3433" i="7"/>
  <c r="D3433" i="7"/>
  <c r="AI3432" i="7"/>
  <c r="AF3432" i="7"/>
  <c r="Z3432" i="7"/>
  <c r="X3432" i="7"/>
  <c r="J3432" i="7"/>
  <c r="D3432" i="7"/>
  <c r="AI3431" i="7"/>
  <c r="AF3431" i="7"/>
  <c r="Z3431" i="7"/>
  <c r="X3431" i="7"/>
  <c r="J3431" i="7"/>
  <c r="D3431" i="7"/>
  <c r="AI3430" i="7"/>
  <c r="AF3430" i="7"/>
  <c r="Z3430" i="7"/>
  <c r="X3430" i="7"/>
  <c r="J3430" i="7"/>
  <c r="D3430" i="7"/>
  <c r="AI3429" i="7"/>
  <c r="AF3429" i="7"/>
  <c r="Z3429" i="7"/>
  <c r="X3429" i="7"/>
  <c r="J3429" i="7"/>
  <c r="D3429" i="7"/>
  <c r="Z3428" i="7"/>
  <c r="X3428" i="7"/>
  <c r="J3428" i="7"/>
  <c r="D3428" i="7"/>
  <c r="AA3427" i="7"/>
  <c r="Z3427" i="7"/>
  <c r="D3427" i="7"/>
  <c r="AA3426" i="7"/>
  <c r="Z3426" i="7"/>
  <c r="D3426" i="7"/>
  <c r="AA3425" i="7"/>
  <c r="Z3425" i="7"/>
  <c r="D3425" i="7"/>
  <c r="AA3424" i="7"/>
  <c r="Z3424" i="7"/>
  <c r="D3424" i="7"/>
  <c r="AA3423" i="7"/>
  <c r="Z3423" i="7"/>
  <c r="D3423" i="7"/>
  <c r="Z3418" i="7"/>
  <c r="O3418" i="7"/>
  <c r="M3418" i="7"/>
  <c r="D3418" i="7"/>
  <c r="Z3417" i="7"/>
  <c r="O3417" i="7"/>
  <c r="M3417" i="7"/>
  <c r="D3417" i="7"/>
  <c r="Z3415" i="7"/>
  <c r="D3415" i="7"/>
  <c r="Z3414" i="7"/>
  <c r="J3414" i="7"/>
  <c r="D3414" i="7"/>
  <c r="Z3413" i="7"/>
  <c r="J3413" i="7"/>
  <c r="D3413" i="7"/>
  <c r="Z3411" i="7"/>
  <c r="O3411" i="7"/>
  <c r="J3411" i="7"/>
  <c r="D3411" i="7"/>
  <c r="Z3410" i="7"/>
  <c r="O3410" i="7"/>
  <c r="J3410" i="7"/>
  <c r="D3410" i="7"/>
  <c r="Z3409" i="7"/>
  <c r="O3409" i="7"/>
  <c r="J3409" i="7"/>
  <c r="D3409" i="7"/>
  <c r="Z3408" i="7"/>
  <c r="O3408" i="7"/>
  <c r="J3408" i="7"/>
  <c r="D3408" i="7"/>
  <c r="Z3407" i="7"/>
  <c r="O3407" i="7"/>
  <c r="J3407" i="7"/>
  <c r="D3407" i="7"/>
  <c r="Z3406" i="7"/>
  <c r="O3406" i="7"/>
  <c r="J3406" i="7"/>
  <c r="D3406" i="7"/>
  <c r="Z3402" i="7"/>
  <c r="D3402" i="7"/>
  <c r="Z3405" i="7"/>
  <c r="J3405" i="7"/>
  <c r="D3405" i="7"/>
  <c r="Z3404" i="7"/>
  <c r="J3404" i="7"/>
  <c r="D3404" i="7"/>
  <c r="Z3401" i="7"/>
  <c r="D3401" i="7"/>
  <c r="Z3400" i="7"/>
  <c r="D3400" i="7"/>
  <c r="Z3399" i="7"/>
  <c r="D3399" i="7"/>
  <c r="Z3398" i="7"/>
  <c r="D3398" i="7"/>
  <c r="Z3397" i="7"/>
  <c r="D3397" i="7"/>
  <c r="AI3392" i="7"/>
  <c r="AG3392" i="7"/>
  <c r="Z3392" i="7"/>
  <c r="J3392" i="7"/>
  <c r="D3392" i="7"/>
  <c r="AI3396" i="7"/>
  <c r="AG3396" i="7"/>
  <c r="Z3396" i="7"/>
  <c r="J3396" i="7"/>
  <c r="D3396" i="7"/>
  <c r="AI3391" i="7"/>
  <c r="AG3391" i="7"/>
  <c r="Z3391" i="7"/>
  <c r="J3391" i="7"/>
  <c r="D3391" i="7"/>
  <c r="AI3390" i="7"/>
  <c r="AG3390" i="7"/>
  <c r="Z3390" i="7"/>
  <c r="J3390" i="7"/>
  <c r="D3390" i="7"/>
  <c r="AI3395" i="7"/>
  <c r="AG3395" i="7"/>
  <c r="Z3395" i="7"/>
  <c r="J3395" i="7"/>
  <c r="D3395" i="7"/>
  <c r="AI3389" i="7"/>
  <c r="AG3389" i="7"/>
  <c r="Z3389" i="7"/>
  <c r="J3389" i="7"/>
  <c r="D3389" i="7"/>
  <c r="AI3394" i="7"/>
  <c r="AG3394" i="7"/>
  <c r="Z3394" i="7"/>
  <c r="J3394" i="7"/>
  <c r="D3394" i="7"/>
  <c r="AI3393" i="7"/>
  <c r="AG3393" i="7"/>
  <c r="Z3393" i="7"/>
  <c r="J3393" i="7"/>
  <c r="D3393" i="7"/>
  <c r="AI3388" i="7"/>
  <c r="AG3388" i="7"/>
  <c r="Z3388" i="7"/>
  <c r="J3388" i="7"/>
  <c r="D3388" i="7"/>
  <c r="AI3387" i="7"/>
  <c r="AG3387" i="7"/>
  <c r="Z3387" i="7"/>
  <c r="J3387" i="7"/>
  <c r="D3387" i="7"/>
  <c r="AI3386" i="7"/>
  <c r="AG3386" i="7"/>
  <c r="Z3386" i="7"/>
  <c r="J3386" i="7"/>
  <c r="D3386" i="7"/>
  <c r="AI3385" i="7"/>
  <c r="AG3385" i="7"/>
  <c r="Z3385" i="7"/>
  <c r="J3385" i="7"/>
  <c r="D3385" i="7"/>
  <c r="AF3380" i="7"/>
  <c r="AA3380" i="7"/>
  <c r="Z3380" i="7"/>
  <c r="O3380" i="7"/>
  <c r="M3380" i="7"/>
  <c r="D3380" i="7"/>
  <c r="AF3381" i="7"/>
  <c r="AA3381" i="7"/>
  <c r="Z3381" i="7"/>
  <c r="O3381" i="7"/>
  <c r="M3381" i="7"/>
  <c r="D3381" i="7"/>
  <c r="AF3379" i="7"/>
  <c r="AA3379" i="7"/>
  <c r="Z3379" i="7"/>
  <c r="O3379" i="7"/>
  <c r="M3379" i="7"/>
  <c r="D3379" i="7"/>
  <c r="AF3378" i="7"/>
  <c r="AA3378" i="7"/>
  <c r="Z3378" i="7"/>
  <c r="O3378" i="7"/>
  <c r="M3378" i="7"/>
  <c r="D3378" i="7"/>
  <c r="AF3384" i="7"/>
  <c r="AA3384" i="7"/>
  <c r="Z3384" i="7"/>
  <c r="O3384" i="7"/>
  <c r="M3384" i="7"/>
  <c r="D3384" i="7"/>
  <c r="AF3383" i="7"/>
  <c r="AA3383" i="7"/>
  <c r="Z3383" i="7"/>
  <c r="O3383" i="7"/>
  <c r="M3383" i="7"/>
  <c r="D3383" i="7"/>
  <c r="AF3382" i="7"/>
  <c r="AA3382" i="7"/>
  <c r="Z3382" i="7"/>
  <c r="O3382" i="7"/>
  <c r="M3382" i="7"/>
  <c r="D3382" i="7"/>
  <c r="AF3377" i="7"/>
  <c r="AA3377" i="7"/>
  <c r="Z3377" i="7"/>
  <c r="O3377" i="7"/>
  <c r="M3377" i="7"/>
  <c r="D3377" i="7"/>
  <c r="AF3376" i="7"/>
  <c r="AA3376" i="7"/>
  <c r="Z3376" i="7"/>
  <c r="O3376" i="7"/>
  <c r="M3376" i="7"/>
  <c r="D3376" i="7"/>
  <c r="AF3375" i="7"/>
  <c r="AA3375" i="7"/>
  <c r="Z3375" i="7"/>
  <c r="O3375" i="7"/>
  <c r="M3375" i="7"/>
  <c r="D3375" i="7"/>
  <c r="AF3374" i="7"/>
  <c r="AA3374" i="7"/>
  <c r="Z3374" i="7"/>
  <c r="O3374" i="7"/>
  <c r="M3374" i="7"/>
  <c r="D3374" i="7"/>
  <c r="AF3373" i="7"/>
  <c r="AA3373" i="7"/>
  <c r="Z3373" i="7"/>
  <c r="O3373" i="7"/>
  <c r="M3373" i="7"/>
  <c r="D3373" i="7"/>
  <c r="Z3372" i="7"/>
  <c r="D3372" i="7"/>
  <c r="Z3371" i="7"/>
  <c r="D3371" i="7"/>
  <c r="Z3368" i="7"/>
  <c r="D3368" i="7"/>
  <c r="Z3367" i="7"/>
  <c r="D3367" i="7"/>
  <c r="Z3366" i="7"/>
  <c r="D3366" i="7"/>
  <c r="AA3354" i="7"/>
  <c r="Z3354" i="7"/>
  <c r="M3354" i="7"/>
  <c r="J3354" i="7"/>
  <c r="D3354" i="7"/>
  <c r="AA3353" i="7"/>
  <c r="Z3353" i="7"/>
  <c r="M3353" i="7"/>
  <c r="J3353" i="7"/>
  <c r="D3353" i="7"/>
  <c r="AA3352" i="7"/>
  <c r="Z3352" i="7"/>
  <c r="M3352" i="7"/>
  <c r="J3352" i="7"/>
  <c r="D3352" i="7"/>
  <c r="AA3351" i="7"/>
  <c r="Z3351" i="7"/>
  <c r="M3351" i="7"/>
  <c r="J3351" i="7"/>
  <c r="D3351" i="7"/>
  <c r="AA3350" i="7"/>
  <c r="Z3350" i="7"/>
  <c r="M3350" i="7"/>
  <c r="J3350" i="7"/>
  <c r="D3350" i="7"/>
  <c r="AA3349" i="7"/>
  <c r="Z3349" i="7"/>
  <c r="M3349" i="7"/>
  <c r="J3349" i="7"/>
  <c r="D3349" i="7"/>
  <c r="AA3348" i="7"/>
  <c r="Z3348" i="7"/>
  <c r="M3348" i="7"/>
  <c r="J3348" i="7"/>
  <c r="D3348" i="7"/>
  <c r="AA3347" i="7"/>
  <c r="Z3347" i="7"/>
  <c r="D3347" i="7"/>
  <c r="AA3346" i="7"/>
  <c r="Z3346" i="7"/>
  <c r="D3346" i="7"/>
  <c r="AA3345" i="7"/>
  <c r="Z3345" i="7"/>
  <c r="D3345" i="7"/>
  <c r="AA3344" i="7"/>
  <c r="Z3344" i="7"/>
  <c r="D3344" i="7"/>
  <c r="AA3343" i="7"/>
  <c r="Z3343" i="7"/>
  <c r="D3343" i="7"/>
  <c r="AA3342" i="7"/>
  <c r="Z3342" i="7"/>
  <c r="D3342" i="7"/>
  <c r="AF3341" i="7"/>
  <c r="AC3341" i="7"/>
  <c r="Z3341" i="7"/>
  <c r="M3341" i="7"/>
  <c r="J3341" i="7"/>
  <c r="D3341" i="7"/>
  <c r="AF3340" i="7"/>
  <c r="AC3340" i="7"/>
  <c r="Z3340" i="7"/>
  <c r="M3340" i="7"/>
  <c r="J3340" i="7"/>
  <c r="D3340" i="7"/>
  <c r="Z3339" i="7"/>
  <c r="J3339" i="7"/>
  <c r="D3339" i="7"/>
  <c r="Z3337" i="7"/>
  <c r="J3337" i="7"/>
  <c r="D3337" i="7"/>
  <c r="AI3335" i="7"/>
  <c r="AF3335" i="7"/>
  <c r="AC3335" i="7"/>
  <c r="Z3335" i="7"/>
  <c r="X3335" i="7"/>
  <c r="M3335" i="7"/>
  <c r="J3335" i="7"/>
  <c r="D3335" i="7"/>
  <c r="AI3334" i="7"/>
  <c r="AF3334" i="7"/>
  <c r="AC3334" i="7"/>
  <c r="Z3334" i="7"/>
  <c r="X3334" i="7"/>
  <c r="M3334" i="7"/>
  <c r="J3334" i="7"/>
  <c r="D3334" i="7"/>
  <c r="AI3336" i="7"/>
  <c r="AF3336" i="7"/>
  <c r="AC3336" i="7"/>
  <c r="Z3336" i="7"/>
  <c r="X3336" i="7"/>
  <c r="M3336" i="7"/>
  <c r="J3336" i="7"/>
  <c r="D3336" i="7"/>
  <c r="AI3333" i="7"/>
  <c r="AF3333" i="7"/>
  <c r="AC3333" i="7"/>
  <c r="Z3333" i="7"/>
  <c r="X3333" i="7"/>
  <c r="M3333" i="7"/>
  <c r="J3333" i="7"/>
  <c r="D3333" i="7"/>
  <c r="AI3332" i="7"/>
  <c r="AF3332" i="7"/>
  <c r="AC3332" i="7"/>
  <c r="Z3332" i="7"/>
  <c r="X3332" i="7"/>
  <c r="M3332" i="7"/>
  <c r="J3332" i="7"/>
  <c r="D3332" i="7"/>
  <c r="AI3331" i="7"/>
  <c r="AF3331" i="7"/>
  <c r="AC3331" i="7"/>
  <c r="Z3331" i="7"/>
  <c r="X3331" i="7"/>
  <c r="M3331" i="7"/>
  <c r="J3331" i="7"/>
  <c r="D3331" i="7"/>
  <c r="AI3330" i="7"/>
  <c r="AF3330" i="7"/>
  <c r="AC3330" i="7"/>
  <c r="Z3330" i="7"/>
  <c r="X3330" i="7"/>
  <c r="M3330" i="7"/>
  <c r="J3330" i="7"/>
  <c r="D3330" i="7"/>
  <c r="AI3329" i="7"/>
  <c r="AF3329" i="7"/>
  <c r="AC3329" i="7"/>
  <c r="Z3329" i="7"/>
  <c r="X3329" i="7"/>
  <c r="M3329" i="7"/>
  <c r="J3329" i="7"/>
  <c r="D3329" i="7"/>
  <c r="AI3328" i="7"/>
  <c r="AF3328" i="7"/>
  <c r="AC3328" i="7"/>
  <c r="Z3328" i="7"/>
  <c r="X3328" i="7"/>
  <c r="M3328" i="7"/>
  <c r="J3328" i="7"/>
  <c r="D3328" i="7"/>
  <c r="AI3327" i="7"/>
  <c r="AF3327" i="7"/>
  <c r="AC3327" i="7"/>
  <c r="Z3327" i="7"/>
  <c r="X3327" i="7"/>
  <c r="M3327" i="7"/>
  <c r="J3327" i="7"/>
  <c r="D3327" i="7"/>
  <c r="AI3326" i="7"/>
  <c r="AF3326" i="7"/>
  <c r="AC3326" i="7"/>
  <c r="Z3326" i="7"/>
  <c r="X3326" i="7"/>
  <c r="M3326" i="7"/>
  <c r="J3326" i="7"/>
  <c r="D3326" i="7"/>
  <c r="Z3286" i="7"/>
  <c r="M3286" i="7"/>
  <c r="D3286" i="7"/>
  <c r="Z3325" i="7"/>
  <c r="J3325" i="7"/>
  <c r="D3325" i="7"/>
  <c r="Z3324" i="7"/>
  <c r="J3324" i="7"/>
  <c r="D3324" i="7"/>
  <c r="Z3323" i="7"/>
  <c r="J3323" i="7"/>
  <c r="D3323" i="7"/>
  <c r="Z3322" i="7"/>
  <c r="J3322" i="7"/>
  <c r="D3322" i="7"/>
  <c r="Z3321" i="7"/>
  <c r="J3321" i="7"/>
  <c r="D3321" i="7"/>
  <c r="Z3320" i="7"/>
  <c r="J3320" i="7"/>
  <c r="D3320" i="7"/>
  <c r="Z3319" i="7"/>
  <c r="J3319" i="7"/>
  <c r="D3319" i="7"/>
  <c r="Z3318" i="7"/>
  <c r="J3318" i="7"/>
  <c r="D3318" i="7"/>
  <c r="Z3317" i="7"/>
  <c r="J3317" i="7"/>
  <c r="D3317" i="7"/>
  <c r="Z3312" i="7"/>
  <c r="J3312" i="7"/>
  <c r="D3312" i="7"/>
  <c r="Z3311" i="7"/>
  <c r="J3311" i="7"/>
  <c r="D3311" i="7"/>
  <c r="Z3310" i="7"/>
  <c r="J3310" i="7"/>
  <c r="D3310" i="7"/>
  <c r="AA3303" i="7"/>
  <c r="Z3303" i="7"/>
  <c r="X3303" i="7"/>
  <c r="J3303" i="7"/>
  <c r="D3303" i="7"/>
  <c r="Z3309" i="7"/>
  <c r="D3309" i="7"/>
  <c r="Z3308" i="7"/>
  <c r="D3308" i="7"/>
  <c r="Z3307" i="7"/>
  <c r="D3307" i="7"/>
  <c r="AF3301" i="7"/>
  <c r="Z3301" i="7"/>
  <c r="J3301" i="7"/>
  <c r="D3301" i="7"/>
  <c r="AF3300" i="7"/>
  <c r="Z3300" i="7"/>
  <c r="J3300" i="7"/>
  <c r="D3300" i="7"/>
  <c r="AF3298" i="7"/>
  <c r="Z3298" i="7"/>
  <c r="J3298" i="7"/>
  <c r="D3298" i="7"/>
  <c r="AF3297" i="7"/>
  <c r="Z3297" i="7"/>
  <c r="V3297" i="7"/>
  <c r="M3297" i="7"/>
  <c r="J3297" i="7"/>
  <c r="D3297" i="7"/>
  <c r="AF3296" i="7"/>
  <c r="Z3296" i="7"/>
  <c r="V3296" i="7"/>
  <c r="M3296" i="7"/>
  <c r="J3296" i="7"/>
  <c r="D3296" i="7"/>
  <c r="AF3291" i="7"/>
  <c r="Z3291" i="7"/>
  <c r="L3291" i="7"/>
  <c r="J3291" i="7"/>
  <c r="D3291" i="7"/>
  <c r="AF3290" i="7"/>
  <c r="Z3290" i="7"/>
  <c r="L3290" i="7"/>
  <c r="J3290" i="7"/>
  <c r="D3290" i="7"/>
  <c r="AF3289" i="7"/>
  <c r="Z3289" i="7"/>
  <c r="L3289" i="7"/>
  <c r="J3289" i="7"/>
  <c r="D3289" i="7"/>
  <c r="AF3288" i="7"/>
  <c r="Z3288" i="7"/>
  <c r="L3288" i="7"/>
  <c r="J3288" i="7"/>
  <c r="D3288" i="7"/>
  <c r="Z3287" i="7"/>
  <c r="X3287" i="7"/>
  <c r="J3287" i="7"/>
  <c r="D3287" i="7"/>
  <c r="AC3285" i="7"/>
  <c r="Z3285" i="7"/>
  <c r="O3285" i="7"/>
  <c r="D3285" i="7"/>
  <c r="AC3284" i="7"/>
  <c r="Z3284" i="7"/>
  <c r="O3284" i="7"/>
  <c r="D3284" i="7"/>
  <c r="AC3278" i="7"/>
  <c r="AA3278" i="7"/>
  <c r="Z3278" i="7"/>
  <c r="J3278" i="7"/>
  <c r="D3278" i="7"/>
  <c r="AF3275" i="7"/>
  <c r="Z3275" i="7"/>
  <c r="X3275" i="7"/>
  <c r="D3275" i="7"/>
  <c r="Z3274" i="7"/>
  <c r="J3274" i="7"/>
  <c r="D3274" i="7"/>
  <c r="Z3273" i="7"/>
  <c r="J3273" i="7"/>
  <c r="D3273" i="7"/>
  <c r="Z3270" i="7"/>
  <c r="J3270" i="7"/>
  <c r="D3270" i="7"/>
  <c r="Z3269" i="7"/>
  <c r="D3269" i="7"/>
  <c r="Z3268" i="7"/>
  <c r="D3268" i="7"/>
  <c r="Z3264" i="7"/>
  <c r="D3264" i="7"/>
  <c r="Z3258" i="7"/>
  <c r="D3258" i="7"/>
  <c r="Z3257" i="7"/>
  <c r="D3257" i="7"/>
  <c r="Z3256" i="7"/>
  <c r="D3256" i="7"/>
  <c r="Z3255" i="7"/>
  <c r="D3255" i="7"/>
  <c r="Z3266" i="7"/>
  <c r="D3266" i="7"/>
  <c r="Z3265" i="7"/>
  <c r="D3265" i="7"/>
  <c r="Z3254" i="7"/>
  <c r="D3254" i="7"/>
  <c r="Z3253" i="7"/>
  <c r="D3253" i="7"/>
  <c r="Z3252" i="7"/>
  <c r="D3252" i="7"/>
  <c r="Z3251" i="7"/>
  <c r="D3251" i="7"/>
  <c r="AF3250" i="7"/>
  <c r="Z3250" i="7"/>
  <c r="M3250" i="7"/>
  <c r="J3250" i="7"/>
  <c r="D3250" i="7"/>
  <c r="AF3249" i="7"/>
  <c r="Z3249" i="7"/>
  <c r="M3249" i="7"/>
  <c r="J3249" i="7"/>
  <c r="D3249" i="7"/>
  <c r="AF3248" i="7"/>
  <c r="Z3248" i="7"/>
  <c r="M3248" i="7"/>
  <c r="J3248" i="7"/>
  <c r="D3248" i="7"/>
  <c r="AF3247" i="7"/>
  <c r="Z3247" i="7"/>
  <c r="M3247" i="7"/>
  <c r="J3247" i="7"/>
  <c r="D3247" i="7"/>
  <c r="AF3246" i="7"/>
  <c r="Z3246" i="7"/>
  <c r="M3246" i="7"/>
  <c r="J3246" i="7"/>
  <c r="D3246" i="7"/>
  <c r="AF3245" i="7"/>
  <c r="Z3245" i="7"/>
  <c r="M3245" i="7"/>
  <c r="J3245" i="7"/>
  <c r="D3245" i="7"/>
  <c r="AF3244" i="7"/>
  <c r="Z3244" i="7"/>
  <c r="M3244" i="7"/>
  <c r="J3244" i="7"/>
  <c r="D3244" i="7"/>
  <c r="AF3243" i="7"/>
  <c r="Z3243" i="7"/>
  <c r="M3243" i="7"/>
  <c r="J3243" i="7"/>
  <c r="D3243" i="7"/>
  <c r="AF3242" i="7"/>
  <c r="Z3242" i="7"/>
  <c r="M3242" i="7"/>
  <c r="J3242" i="7"/>
  <c r="D3242" i="7"/>
  <c r="AF3241" i="7"/>
  <c r="Z3241" i="7"/>
  <c r="M3241" i="7"/>
  <c r="J3241" i="7"/>
  <c r="D3241" i="7"/>
  <c r="AF3240" i="7"/>
  <c r="Z3240" i="7"/>
  <c r="M3240" i="7"/>
  <c r="J3240" i="7"/>
  <c r="D3240" i="7"/>
  <c r="AF3239" i="7"/>
  <c r="Z3239" i="7"/>
  <c r="M3239" i="7"/>
  <c r="J3239" i="7"/>
  <c r="D3239" i="7"/>
  <c r="AF3238" i="7"/>
  <c r="Z3238" i="7"/>
  <c r="M3238" i="7"/>
  <c r="J3238" i="7"/>
  <c r="D3238" i="7"/>
  <c r="AF3237" i="7"/>
  <c r="Z3237" i="7"/>
  <c r="M3237" i="7"/>
  <c r="J3237" i="7"/>
  <c r="D3237" i="7"/>
  <c r="AF3236" i="7"/>
  <c r="Z3236" i="7"/>
  <c r="M3236" i="7"/>
  <c r="J3236" i="7"/>
  <c r="D3236" i="7"/>
  <c r="AF3233" i="7"/>
  <c r="Z3233" i="7"/>
  <c r="M3233" i="7"/>
  <c r="J3233" i="7"/>
  <c r="D3233" i="7"/>
  <c r="AF3225" i="7"/>
  <c r="Z3225" i="7"/>
  <c r="M3225" i="7"/>
  <c r="J3225" i="7"/>
  <c r="D3225" i="7"/>
  <c r="AF3224" i="7"/>
  <c r="Z3224" i="7"/>
  <c r="M3224" i="7"/>
  <c r="J3224" i="7"/>
  <c r="D3224" i="7"/>
  <c r="AF3222" i="7"/>
  <c r="Z3222" i="7"/>
  <c r="M3222" i="7"/>
  <c r="J3222" i="7"/>
  <c r="D3222" i="7"/>
  <c r="AF3221" i="7"/>
  <c r="Z3221" i="7"/>
  <c r="M3221" i="7"/>
  <c r="J3221" i="7"/>
  <c r="D3221" i="7"/>
  <c r="AF3220" i="7"/>
  <c r="Z3220" i="7"/>
  <c r="M3220" i="7"/>
  <c r="J3220" i="7"/>
  <c r="D3220" i="7"/>
  <c r="AF3219" i="7"/>
  <c r="Z3219" i="7"/>
  <c r="M3219" i="7"/>
  <c r="J3219" i="7"/>
  <c r="D3219" i="7"/>
  <c r="AF3218" i="7"/>
  <c r="Z3218" i="7"/>
  <c r="M3218" i="7"/>
  <c r="J3218" i="7"/>
  <c r="D3218" i="7"/>
  <c r="AF3214" i="7"/>
  <c r="AA3214" i="7"/>
  <c r="Z3214" i="7"/>
  <c r="M3214" i="7"/>
  <c r="J3214" i="7"/>
  <c r="D3214" i="7"/>
  <c r="AF3215" i="7"/>
  <c r="AA3215" i="7"/>
  <c r="Z3215" i="7"/>
  <c r="M3215" i="7"/>
  <c r="J3215" i="7"/>
  <c r="D3215" i="7"/>
  <c r="Z3212" i="7"/>
  <c r="O3212" i="7"/>
  <c r="M3212" i="7"/>
  <c r="J3212" i="7"/>
  <c r="D3212" i="7"/>
  <c r="Z3211" i="7"/>
  <c r="O3211" i="7"/>
  <c r="M3211" i="7"/>
  <c r="J3211" i="7"/>
  <c r="D3211" i="7"/>
  <c r="Z3210" i="7"/>
  <c r="O3210" i="7"/>
  <c r="M3210" i="7"/>
  <c r="J3210" i="7"/>
  <c r="D3210" i="7"/>
  <c r="Z3209" i="7"/>
  <c r="O3209" i="7"/>
  <c r="M3209" i="7"/>
  <c r="J3209" i="7"/>
  <c r="D3209" i="7"/>
  <c r="Z3208" i="7"/>
  <c r="O3208" i="7"/>
  <c r="M3208" i="7"/>
  <c r="J3208" i="7"/>
  <c r="D3208" i="7"/>
  <c r="Z3207" i="7"/>
  <c r="O3207" i="7"/>
  <c r="M3207" i="7"/>
  <c r="J3207" i="7"/>
  <c r="D3207" i="7"/>
  <c r="Z3213" i="7"/>
  <c r="O3213" i="7"/>
  <c r="M3213" i="7"/>
  <c r="J3213" i="7"/>
  <c r="D3213" i="7"/>
  <c r="Z3206" i="7"/>
  <c r="O3206" i="7"/>
  <c r="M3206" i="7"/>
  <c r="J3206" i="7"/>
  <c r="D3206" i="7"/>
  <c r="Z3205" i="7"/>
  <c r="O3205" i="7"/>
  <c r="M3205" i="7"/>
  <c r="J3205" i="7"/>
  <c r="D3205" i="7"/>
  <c r="AA3201" i="7"/>
  <c r="Z3201" i="7"/>
  <c r="J3201" i="7"/>
  <c r="D3201" i="7"/>
  <c r="AA3197" i="7"/>
  <c r="Z3197" i="7"/>
  <c r="J3197" i="7"/>
  <c r="D3197" i="7"/>
  <c r="AA3195" i="7"/>
  <c r="Z3195" i="7"/>
  <c r="J3195" i="7"/>
  <c r="D3195" i="7"/>
  <c r="AA3193" i="7"/>
  <c r="Z3193" i="7"/>
  <c r="J3193" i="7"/>
  <c r="D3193" i="7"/>
  <c r="AA3192" i="7"/>
  <c r="Z3192" i="7"/>
  <c r="J3192" i="7"/>
  <c r="D3192" i="7"/>
  <c r="AA3202" i="7"/>
  <c r="Z3202" i="7"/>
  <c r="J3202" i="7"/>
  <c r="D3202" i="7"/>
  <c r="AA3191" i="7"/>
  <c r="Z3191" i="7"/>
  <c r="J3191" i="7"/>
  <c r="D3191" i="7"/>
  <c r="AA3190" i="7"/>
  <c r="Z3190" i="7"/>
  <c r="J3190" i="7"/>
  <c r="D3190" i="7"/>
  <c r="AF3188" i="7"/>
  <c r="AA3188" i="7"/>
  <c r="Z3188" i="7"/>
  <c r="L3188" i="7"/>
  <c r="J3188" i="7"/>
  <c r="D3188" i="7"/>
  <c r="AF3187" i="7"/>
  <c r="AA3187" i="7"/>
  <c r="Z3187" i="7"/>
  <c r="L3187" i="7"/>
  <c r="J3187" i="7"/>
  <c r="D3187" i="7"/>
  <c r="AF3186" i="7"/>
  <c r="AA3186" i="7"/>
  <c r="Z3186" i="7"/>
  <c r="L3186" i="7"/>
  <c r="J3186" i="7"/>
  <c r="D3186" i="7"/>
  <c r="AF3184" i="7"/>
  <c r="AA3184" i="7"/>
  <c r="Z3184" i="7"/>
  <c r="L3184" i="7"/>
  <c r="J3184" i="7"/>
  <c r="D3184" i="7"/>
  <c r="AF3183" i="7"/>
  <c r="AA3183" i="7"/>
  <c r="Z3183" i="7"/>
  <c r="L3183" i="7"/>
  <c r="J3183" i="7"/>
  <c r="D3183" i="7"/>
  <c r="AF3182" i="7"/>
  <c r="AA3182" i="7"/>
  <c r="Z3182" i="7"/>
  <c r="L3182" i="7"/>
  <c r="J3182" i="7"/>
  <c r="D3182" i="7"/>
  <c r="AF3176" i="7"/>
  <c r="AA3176" i="7"/>
  <c r="Z3176" i="7"/>
  <c r="L3176" i="7"/>
  <c r="J3176" i="7"/>
  <c r="D3176" i="7"/>
  <c r="AF3175" i="7"/>
  <c r="AA3175" i="7"/>
  <c r="Z3175" i="7"/>
  <c r="L3175" i="7"/>
  <c r="J3175" i="7"/>
  <c r="D3175" i="7"/>
  <c r="AI3173" i="7"/>
  <c r="AF3173" i="7"/>
  <c r="Z3173" i="7"/>
  <c r="L3173" i="7"/>
  <c r="D3173" i="7"/>
  <c r="AI3172" i="7"/>
  <c r="AF3172" i="7"/>
  <c r="Z3172" i="7"/>
  <c r="L3172" i="7"/>
  <c r="D3172" i="7"/>
  <c r="AI3171" i="7"/>
  <c r="AF3171" i="7"/>
  <c r="Z3171" i="7"/>
  <c r="L3171" i="7"/>
  <c r="D3171" i="7"/>
  <c r="AF3162" i="7"/>
  <c r="Z3162" i="7"/>
  <c r="X3162" i="7"/>
  <c r="J3162" i="7"/>
  <c r="D3162" i="7"/>
  <c r="AF3161" i="7"/>
  <c r="Z3161" i="7"/>
  <c r="X3161" i="7"/>
  <c r="J3161" i="7"/>
  <c r="D3161" i="7"/>
  <c r="AF3159" i="7"/>
  <c r="Z3159" i="7"/>
  <c r="X3159" i="7"/>
  <c r="J3159" i="7"/>
  <c r="D3159" i="7"/>
  <c r="AF3157" i="7"/>
  <c r="Z3157" i="7"/>
  <c r="X3157" i="7"/>
  <c r="J3157" i="7"/>
  <c r="D3157" i="7"/>
  <c r="AF3155" i="7"/>
  <c r="Z3155" i="7"/>
  <c r="X3155" i="7"/>
  <c r="J3155" i="7"/>
  <c r="D3155" i="7"/>
  <c r="AF3154" i="7"/>
  <c r="Z3154" i="7"/>
  <c r="X3154" i="7"/>
  <c r="J3154" i="7"/>
  <c r="D3154" i="7"/>
  <c r="AF3153" i="7"/>
  <c r="Z3153" i="7"/>
  <c r="X3153" i="7"/>
  <c r="J3153" i="7"/>
  <c r="D3153" i="7"/>
  <c r="AF3152" i="7"/>
  <c r="Z3152" i="7"/>
  <c r="X3152" i="7"/>
  <c r="J3152" i="7"/>
  <c r="D3152" i="7"/>
  <c r="AF3151" i="7"/>
  <c r="Z3151" i="7"/>
  <c r="X3151" i="7"/>
  <c r="J3151" i="7"/>
  <c r="D3151" i="7"/>
  <c r="AF3150" i="7"/>
  <c r="Z3150" i="7"/>
  <c r="X3150" i="7"/>
  <c r="J3150" i="7"/>
  <c r="D3150" i="7"/>
  <c r="AF3149" i="7"/>
  <c r="Z3149" i="7"/>
  <c r="X3149" i="7"/>
  <c r="J3149" i="7"/>
  <c r="D3149" i="7"/>
  <c r="AF3148" i="7"/>
  <c r="Z3148" i="7"/>
  <c r="X3148" i="7"/>
  <c r="J3148" i="7"/>
  <c r="D3148" i="7"/>
  <c r="AF3147" i="7"/>
  <c r="Z3147" i="7"/>
  <c r="X3147" i="7"/>
  <c r="J3147" i="7"/>
  <c r="D3147" i="7"/>
  <c r="AF3146" i="7"/>
  <c r="Z3146" i="7"/>
  <c r="X3146" i="7"/>
  <c r="J3146" i="7"/>
  <c r="D3146" i="7"/>
  <c r="AF3145" i="7"/>
  <c r="Z3145" i="7"/>
  <c r="X3145" i="7"/>
  <c r="J3145" i="7"/>
  <c r="D3145" i="7"/>
  <c r="AF3144" i="7"/>
  <c r="AA3144" i="7"/>
  <c r="Z3144" i="7"/>
  <c r="L3144" i="7"/>
  <c r="D3144" i="7"/>
  <c r="AF3143" i="7"/>
  <c r="AA3143" i="7"/>
  <c r="Z3143" i="7"/>
  <c r="L3143" i="7"/>
  <c r="D3143" i="7"/>
  <c r="AF3142" i="7"/>
  <c r="AA3142" i="7"/>
  <c r="Z3142" i="7"/>
  <c r="L3142" i="7"/>
  <c r="D3142" i="7"/>
  <c r="AF3139" i="7"/>
  <c r="AA3139" i="7"/>
  <c r="Z3139" i="7"/>
  <c r="L3139" i="7"/>
  <c r="D3139" i="7"/>
  <c r="AF3138" i="7"/>
  <c r="AA3138" i="7"/>
  <c r="Z3138" i="7"/>
  <c r="L3138" i="7"/>
  <c r="D3138" i="7"/>
  <c r="AF3137" i="7"/>
  <c r="AA3137" i="7"/>
  <c r="Z3137" i="7"/>
  <c r="L3137" i="7"/>
  <c r="D3137" i="7"/>
  <c r="AF3136" i="7"/>
  <c r="AA3136" i="7"/>
  <c r="Z3136" i="7"/>
  <c r="L3136" i="7"/>
  <c r="D3136" i="7"/>
  <c r="AF3135" i="7"/>
  <c r="AA3135" i="7"/>
  <c r="Z3135" i="7"/>
  <c r="L3135" i="7"/>
  <c r="D3135" i="7"/>
  <c r="AF3130" i="7"/>
  <c r="Z3130" i="7"/>
  <c r="M3130" i="7"/>
  <c r="J3130" i="7"/>
  <c r="D3130" i="7"/>
  <c r="AF3129" i="7"/>
  <c r="Z3129" i="7"/>
  <c r="M3129" i="7"/>
  <c r="J3129" i="7"/>
  <c r="D3129" i="7"/>
  <c r="AF3127" i="7"/>
  <c r="Z3127" i="7"/>
  <c r="M3127" i="7"/>
  <c r="J3127" i="7"/>
  <c r="D3127" i="7"/>
  <c r="AF3119" i="7"/>
  <c r="Z3119" i="7"/>
  <c r="D3119" i="7"/>
  <c r="AF3118" i="7"/>
  <c r="Z3118" i="7"/>
  <c r="M3118" i="7"/>
  <c r="J3118" i="7"/>
  <c r="D3118" i="7"/>
  <c r="AF3117" i="7"/>
  <c r="Z3117" i="7"/>
  <c r="M3117" i="7"/>
  <c r="J3117" i="7"/>
  <c r="D3117" i="7"/>
  <c r="AF3116" i="7"/>
  <c r="Z3116" i="7"/>
  <c r="M3116" i="7"/>
  <c r="J3116" i="7"/>
  <c r="D3116" i="7"/>
  <c r="AF3115" i="7"/>
  <c r="Z3115" i="7"/>
  <c r="M3115" i="7"/>
  <c r="J3115" i="7"/>
  <c r="D3115" i="7"/>
  <c r="AI3110" i="7"/>
  <c r="AF3110" i="7"/>
  <c r="AE3110" i="7"/>
  <c r="Z3110" i="7"/>
  <c r="X3110" i="7"/>
  <c r="L3110" i="7"/>
  <c r="J3110" i="7"/>
  <c r="D3110" i="7"/>
  <c r="AI3109" i="7"/>
  <c r="AF3109" i="7"/>
  <c r="AE3109" i="7"/>
  <c r="Z3109" i="7"/>
  <c r="X3109" i="7"/>
  <c r="L3109" i="7"/>
  <c r="J3109" i="7"/>
  <c r="D3109" i="7"/>
  <c r="AI3108" i="7"/>
  <c r="AF3108" i="7"/>
  <c r="AE3108" i="7"/>
  <c r="Z3108" i="7"/>
  <c r="X3108" i="7"/>
  <c r="L3108" i="7"/>
  <c r="J3108" i="7"/>
  <c r="D3108" i="7"/>
  <c r="AI3107" i="7"/>
  <c r="AF3107" i="7"/>
  <c r="AE3107" i="7"/>
  <c r="Z3107" i="7"/>
  <c r="X3107" i="7"/>
  <c r="L3107" i="7"/>
  <c r="J3107" i="7"/>
  <c r="D3107" i="7"/>
  <c r="AI3106" i="7"/>
  <c r="AF3106" i="7"/>
  <c r="AE3106" i="7"/>
  <c r="Z3106" i="7"/>
  <c r="X3106" i="7"/>
  <c r="L3106" i="7"/>
  <c r="J3106" i="7"/>
  <c r="D3106" i="7"/>
  <c r="AI3113" i="7"/>
  <c r="AF3113" i="7"/>
  <c r="AE3113" i="7"/>
  <c r="Z3113" i="7"/>
  <c r="X3113" i="7"/>
  <c r="L3113" i="7"/>
  <c r="J3113" i="7"/>
  <c r="D3113" i="7"/>
  <c r="AI3112" i="7"/>
  <c r="AF3112" i="7"/>
  <c r="AE3112" i="7"/>
  <c r="Z3112" i="7"/>
  <c r="X3112" i="7"/>
  <c r="L3112" i="7"/>
  <c r="J3112" i="7"/>
  <c r="D3112" i="7"/>
  <c r="AI3111" i="7"/>
  <c r="AF3111" i="7"/>
  <c r="AE3111" i="7"/>
  <c r="Z3111" i="7"/>
  <c r="X3111" i="7"/>
  <c r="L3111" i="7"/>
  <c r="J3111" i="7"/>
  <c r="D3111" i="7"/>
  <c r="Z3091" i="7"/>
  <c r="J3091" i="7"/>
  <c r="Z3090" i="7"/>
  <c r="J3090" i="7"/>
  <c r="D3090" i="7"/>
  <c r="AI3099" i="7"/>
  <c r="Z3099" i="7"/>
  <c r="W3099" i="7"/>
  <c r="M3099" i="7"/>
  <c r="D3099" i="7"/>
  <c r="AI3097" i="7"/>
  <c r="Z3097" i="7"/>
  <c r="W3097" i="7"/>
  <c r="M3097" i="7"/>
  <c r="D3097" i="7"/>
  <c r="AI3096" i="7"/>
  <c r="Z3096" i="7"/>
  <c r="W3096" i="7"/>
  <c r="M3096" i="7"/>
  <c r="D3096" i="7"/>
  <c r="AI3095" i="7"/>
  <c r="Z3095" i="7"/>
  <c r="W3095" i="7"/>
  <c r="M3095" i="7"/>
  <c r="D3095" i="7"/>
  <c r="AI3094" i="7"/>
  <c r="Z3094" i="7"/>
  <c r="W3094" i="7"/>
  <c r="M3094" i="7"/>
  <c r="D3094" i="7"/>
  <c r="AF3079" i="7"/>
  <c r="Z3079" i="7"/>
  <c r="L3079" i="7"/>
  <c r="J3079" i="7"/>
  <c r="D3079" i="7"/>
  <c r="AF3080" i="7"/>
  <c r="Z3080" i="7"/>
  <c r="M3080" i="7"/>
  <c r="J3080" i="7"/>
  <c r="D3080" i="7"/>
  <c r="AI3027" i="7"/>
  <c r="AF3027" i="7"/>
  <c r="Z3027" i="7"/>
  <c r="D3027" i="7"/>
  <c r="AI3026" i="7"/>
  <c r="AF3026" i="7"/>
  <c r="Z3026" i="7"/>
  <c r="D3026" i="7"/>
  <c r="Z3074" i="7"/>
  <c r="O3074" i="7"/>
  <c r="J3074" i="7"/>
  <c r="D3074" i="7"/>
  <c r="Z3073" i="7"/>
  <c r="O3073" i="7"/>
  <c r="J3073" i="7"/>
  <c r="D3073" i="7"/>
  <c r="AF3072" i="7"/>
  <c r="Z3072" i="7"/>
  <c r="O3072" i="7"/>
  <c r="J3072" i="7"/>
  <c r="D3072" i="7"/>
  <c r="AF3071" i="7"/>
  <c r="Z3071" i="7"/>
  <c r="O3071" i="7"/>
  <c r="J3071" i="7"/>
  <c r="D3071" i="7"/>
  <c r="AF3064" i="7"/>
  <c r="Z3064" i="7"/>
  <c r="M3064" i="7"/>
  <c r="J3064" i="7"/>
  <c r="D3064" i="7"/>
  <c r="AF3063" i="7"/>
  <c r="Z3063" i="7"/>
  <c r="M3063" i="7"/>
  <c r="J3063" i="7"/>
  <c r="D3063" i="7"/>
  <c r="AF3062" i="7"/>
  <c r="Z3062" i="7"/>
  <c r="M3062" i="7"/>
  <c r="J3062" i="7"/>
  <c r="D3062" i="7"/>
  <c r="AF3061" i="7"/>
  <c r="Z3061" i="7"/>
  <c r="M3061" i="7"/>
  <c r="J3061" i="7"/>
  <c r="D3061" i="7"/>
  <c r="AF3060" i="7"/>
  <c r="Z3060" i="7"/>
  <c r="M3060" i="7"/>
  <c r="J3060" i="7"/>
  <c r="D3060" i="7"/>
  <c r="AF3059" i="7"/>
  <c r="Z3059" i="7"/>
  <c r="M3059" i="7"/>
  <c r="J3059" i="7"/>
  <c r="D3059" i="7"/>
  <c r="AF3058" i="7"/>
  <c r="Z3058" i="7"/>
  <c r="M3058" i="7"/>
  <c r="J3058" i="7"/>
  <c r="D3058" i="7"/>
  <c r="AF3057" i="7"/>
  <c r="Z3057" i="7"/>
  <c r="M3057" i="7"/>
  <c r="J3057" i="7"/>
  <c r="D3057" i="7"/>
  <c r="AF3056" i="7"/>
  <c r="Z3056" i="7"/>
  <c r="M3056" i="7"/>
  <c r="J3056" i="7"/>
  <c r="D3056" i="7"/>
  <c r="AF3055" i="7"/>
  <c r="Z3055" i="7"/>
  <c r="M3055" i="7"/>
  <c r="J3055" i="7"/>
  <c r="D3055" i="7"/>
  <c r="AF3054" i="7"/>
  <c r="Z3054" i="7"/>
  <c r="M3054" i="7"/>
  <c r="J3054" i="7"/>
  <c r="D3054" i="7"/>
  <c r="AF3053" i="7"/>
  <c r="Z3053" i="7"/>
  <c r="M3053" i="7"/>
  <c r="J3053" i="7"/>
  <c r="D3053" i="7"/>
  <c r="AF3052" i="7"/>
  <c r="Z3052" i="7"/>
  <c r="M3052" i="7"/>
  <c r="J3052" i="7"/>
  <c r="D3052" i="7"/>
  <c r="AF3051" i="7"/>
  <c r="Z3051" i="7"/>
  <c r="M3051" i="7"/>
  <c r="J3051" i="7"/>
  <c r="D3051" i="7"/>
  <c r="AF3070" i="7"/>
  <c r="Z3070" i="7"/>
  <c r="M3070" i="7"/>
  <c r="J3070" i="7"/>
  <c r="D3070" i="7"/>
  <c r="AF3050" i="7"/>
  <c r="Z3050" i="7"/>
  <c r="M3050" i="7"/>
  <c r="J3050" i="7"/>
  <c r="D3050" i="7"/>
  <c r="AF3049" i="7"/>
  <c r="Z3049" i="7"/>
  <c r="M3049" i="7"/>
  <c r="J3049" i="7"/>
  <c r="D3049" i="7"/>
  <c r="AF3048" i="7"/>
  <c r="Z3048" i="7"/>
  <c r="M3048" i="7"/>
  <c r="J3048" i="7"/>
  <c r="D3048" i="7"/>
  <c r="AF3047" i="7"/>
  <c r="Z3047" i="7"/>
  <c r="M3047" i="7"/>
  <c r="J3047" i="7"/>
  <c r="D3047" i="7"/>
  <c r="AF3046" i="7"/>
  <c r="Z3046" i="7"/>
  <c r="M3046" i="7"/>
  <c r="J3046" i="7"/>
  <c r="D3046" i="7"/>
  <c r="AF3045" i="7"/>
  <c r="Z3045" i="7"/>
  <c r="M3045" i="7"/>
  <c r="J3045" i="7"/>
  <c r="D3045" i="7"/>
  <c r="AF3044" i="7"/>
  <c r="AE3044" i="7"/>
  <c r="Z3044" i="7"/>
  <c r="M3044" i="7"/>
  <c r="J3044" i="7"/>
  <c r="D3044" i="7"/>
  <c r="AF3043" i="7"/>
  <c r="AE3043" i="7"/>
  <c r="Z3043" i="7"/>
  <c r="M3043" i="7"/>
  <c r="J3043" i="7"/>
  <c r="D3043" i="7"/>
  <c r="AF3042" i="7"/>
  <c r="AE3042" i="7"/>
  <c r="Z3042" i="7"/>
  <c r="M3042" i="7"/>
  <c r="J3042" i="7"/>
  <c r="D3042" i="7"/>
  <c r="AF3041" i="7"/>
  <c r="AE3041" i="7"/>
  <c r="Z3041" i="7"/>
  <c r="M3041" i="7"/>
  <c r="J3041" i="7"/>
  <c r="D3041" i="7"/>
  <c r="AF3040" i="7"/>
  <c r="AE3040" i="7"/>
  <c r="Z3040" i="7"/>
  <c r="M3040" i="7"/>
  <c r="J3040" i="7"/>
  <c r="D3040" i="7"/>
  <c r="AF3039" i="7"/>
  <c r="AE3039" i="7"/>
  <c r="Z3039" i="7"/>
  <c r="M3039" i="7"/>
  <c r="J3039" i="7"/>
  <c r="D3039" i="7"/>
  <c r="AF3038" i="7"/>
  <c r="AE3038" i="7"/>
  <c r="Z3038" i="7"/>
  <c r="M3038" i="7"/>
  <c r="J3038" i="7"/>
  <c r="D3038" i="7"/>
  <c r="AF3037" i="7"/>
  <c r="AE3037" i="7"/>
  <c r="Z3037" i="7"/>
  <c r="M3037" i="7"/>
  <c r="J3037" i="7"/>
  <c r="D3037" i="7"/>
  <c r="AF3036" i="7"/>
  <c r="AE3036" i="7"/>
  <c r="Z3036" i="7"/>
  <c r="M3036" i="7"/>
  <c r="J3036" i="7"/>
  <c r="D3036" i="7"/>
  <c r="AF3035" i="7"/>
  <c r="AE3035" i="7"/>
  <c r="Z3035" i="7"/>
  <c r="M3035" i="7"/>
  <c r="J3035" i="7"/>
  <c r="D3035" i="7"/>
  <c r="AF3034" i="7"/>
  <c r="AE3034" i="7"/>
  <c r="Z3034" i="7"/>
  <c r="M3034" i="7"/>
  <c r="J3034" i="7"/>
  <c r="D3034" i="7"/>
  <c r="AF3033" i="7"/>
  <c r="AE3033" i="7"/>
  <c r="Z3033" i="7"/>
  <c r="M3033" i="7"/>
  <c r="J3033" i="7"/>
  <c r="D3033" i="7"/>
  <c r="AF3032" i="7"/>
  <c r="AE3032" i="7"/>
  <c r="Z3032" i="7"/>
  <c r="M3032" i="7"/>
  <c r="J3032" i="7"/>
  <c r="D3032" i="7"/>
  <c r="AF3031" i="7"/>
  <c r="AE3031" i="7"/>
  <c r="Z3031" i="7"/>
  <c r="M3031" i="7"/>
  <c r="J3031" i="7"/>
  <c r="D3031" i="7"/>
  <c r="AF3030" i="7"/>
  <c r="AA3030" i="7"/>
  <c r="Z3030" i="7"/>
  <c r="X3030" i="7"/>
  <c r="L3030" i="7"/>
  <c r="J3030" i="7"/>
  <c r="D3030" i="7"/>
  <c r="Z3025" i="7"/>
  <c r="J3025" i="7"/>
  <c r="D3025" i="7"/>
  <c r="Z3022" i="7"/>
  <c r="D3022" i="7"/>
  <c r="D3021" i="7"/>
  <c r="D3020" i="7"/>
  <c r="D3019" i="7"/>
  <c r="AB3018" i="7"/>
  <c r="AA3018" i="7"/>
  <c r="Z3018" i="7"/>
  <c r="J3018" i="7"/>
  <c r="D3018" i="7"/>
  <c r="AB3017" i="7"/>
  <c r="AA3017" i="7"/>
  <c r="Z3017" i="7"/>
  <c r="J3017" i="7"/>
  <c r="D3017" i="7"/>
  <c r="AB3016" i="7"/>
  <c r="AA3016" i="7"/>
  <c r="Z3016" i="7"/>
  <c r="J3016" i="7"/>
  <c r="D3016" i="7"/>
  <c r="AB3015" i="7"/>
  <c r="AA3015" i="7"/>
  <c r="Z3015" i="7"/>
  <c r="J3015" i="7"/>
  <c r="D3015" i="7"/>
  <c r="AB3014" i="7"/>
  <c r="AA3014" i="7"/>
  <c r="Z3014" i="7"/>
  <c r="J3014" i="7"/>
  <c r="D3014" i="7"/>
  <c r="AB3013" i="7"/>
  <c r="AA3013" i="7"/>
  <c r="Z3013" i="7"/>
  <c r="J3013" i="7"/>
  <c r="D3013" i="7"/>
  <c r="AB3012" i="7"/>
  <c r="AA3012" i="7"/>
  <c r="Z3012" i="7"/>
  <c r="J3012" i="7"/>
  <c r="D3012" i="7"/>
  <c r="AB3011" i="7"/>
  <c r="AA3011" i="7"/>
  <c r="Z3011" i="7"/>
  <c r="J3011" i="7"/>
  <c r="D3011" i="7"/>
  <c r="AB3006" i="7"/>
  <c r="AA3006" i="7"/>
  <c r="Z3006" i="7"/>
  <c r="J3006" i="7"/>
  <c r="D3006" i="7"/>
  <c r="AB3005" i="7"/>
  <c r="AA3005" i="7"/>
  <c r="Z3005" i="7"/>
  <c r="J3005" i="7"/>
  <c r="D3005" i="7"/>
  <c r="AB3004" i="7"/>
  <c r="AA3004" i="7"/>
  <c r="Z3004" i="7"/>
  <c r="J3004" i="7"/>
  <c r="D3004" i="7"/>
  <c r="Z3003" i="7"/>
  <c r="M3003" i="7"/>
  <c r="J3003" i="7"/>
  <c r="D3003" i="7"/>
  <c r="Z3002" i="7"/>
  <c r="M3002" i="7"/>
  <c r="J3002" i="7"/>
  <c r="D3002" i="7"/>
  <c r="Z2999" i="7"/>
  <c r="M2999" i="7"/>
  <c r="J2999" i="7"/>
  <c r="D2999" i="7"/>
  <c r="Z2998" i="7"/>
  <c r="M2998" i="7"/>
  <c r="J2998" i="7"/>
  <c r="D2998" i="7"/>
  <c r="Z3001" i="7"/>
  <c r="M3001" i="7"/>
  <c r="J3001" i="7"/>
  <c r="D3001" i="7"/>
  <c r="Z2997" i="7"/>
  <c r="M2997" i="7"/>
  <c r="J2997" i="7"/>
  <c r="D2997" i="7"/>
  <c r="Z3000" i="7"/>
  <c r="M3000" i="7"/>
  <c r="J3000" i="7"/>
  <c r="D3000" i="7"/>
  <c r="Z2996" i="7"/>
  <c r="M2996" i="7"/>
  <c r="J2996" i="7"/>
  <c r="D2996" i="7"/>
  <c r="Z2995" i="7"/>
  <c r="M2995" i="7"/>
  <c r="J2995" i="7"/>
  <c r="D2995" i="7"/>
  <c r="Z3008" i="7"/>
  <c r="M3008" i="7"/>
  <c r="J3008" i="7"/>
  <c r="D3008" i="7"/>
  <c r="Z3007" i="7"/>
  <c r="M3007" i="7"/>
  <c r="J3007" i="7"/>
  <c r="D3007" i="7"/>
  <c r="AI2994" i="7"/>
  <c r="Z2994" i="7"/>
  <c r="J2994" i="7"/>
  <c r="D2994" i="7"/>
  <c r="AI2993" i="7"/>
  <c r="Z2993" i="7"/>
  <c r="J2993" i="7"/>
  <c r="D2993" i="7"/>
  <c r="AF2983" i="7"/>
  <c r="AE2983" i="7"/>
  <c r="Z2983" i="7"/>
  <c r="M2983" i="7"/>
  <c r="J2983" i="7"/>
  <c r="D2983" i="7"/>
  <c r="AF2981" i="7"/>
  <c r="AE2981" i="7"/>
  <c r="Z2981" i="7"/>
  <c r="M2981" i="7"/>
  <c r="J2981" i="7"/>
  <c r="D2981" i="7"/>
  <c r="AF2977" i="7"/>
  <c r="AE2977" i="7"/>
  <c r="Z2977" i="7"/>
  <c r="M2977" i="7"/>
  <c r="J2977" i="7"/>
  <c r="D2977" i="7"/>
  <c r="D2974" i="7"/>
  <c r="D2972" i="7"/>
  <c r="D2971" i="7"/>
  <c r="D2969" i="7"/>
  <c r="Z2968" i="7"/>
  <c r="M2968" i="7"/>
  <c r="J2968" i="7"/>
  <c r="D2968" i="7"/>
  <c r="Z2967" i="7"/>
  <c r="M2967" i="7"/>
  <c r="J2967" i="7"/>
  <c r="D2967" i="7"/>
  <c r="AF2966" i="7"/>
  <c r="Z2966" i="7"/>
  <c r="M2966" i="7"/>
  <c r="J2966" i="7"/>
  <c r="D2966" i="7"/>
  <c r="AF2965" i="7"/>
  <c r="Z2965" i="7"/>
  <c r="M2965" i="7"/>
  <c r="J2965" i="7"/>
  <c r="D2965" i="7"/>
  <c r="AF2964" i="7"/>
  <c r="Z2964" i="7"/>
  <c r="M2964" i="7"/>
  <c r="J2964" i="7"/>
  <c r="D2964" i="7"/>
  <c r="AF2963" i="7"/>
  <c r="Z2963" i="7"/>
  <c r="M2963" i="7"/>
  <c r="J2963" i="7"/>
  <c r="D2963" i="7"/>
  <c r="AF2962" i="7"/>
  <c r="Z2962" i="7"/>
  <c r="M2962" i="7"/>
  <c r="J2962" i="7"/>
  <c r="D2962" i="7"/>
  <c r="Z2961" i="7"/>
  <c r="M2961" i="7"/>
  <c r="J2961" i="7"/>
  <c r="D2961" i="7"/>
  <c r="Z2960" i="7"/>
  <c r="M2960" i="7"/>
  <c r="J2960" i="7"/>
  <c r="D2960" i="7"/>
  <c r="Z2959" i="7"/>
  <c r="M2959" i="7"/>
  <c r="J2959" i="7"/>
  <c r="D2959" i="7"/>
  <c r="Z2958" i="7"/>
  <c r="M2958" i="7"/>
  <c r="J2958" i="7"/>
  <c r="D2958" i="7"/>
  <c r="Z2957" i="7"/>
  <c r="M2957" i="7"/>
  <c r="J2957" i="7"/>
  <c r="D2957" i="7"/>
  <c r="Z2992" i="7"/>
  <c r="M2992" i="7"/>
  <c r="J2992" i="7"/>
  <c r="D2992" i="7"/>
  <c r="Z2956" i="7"/>
  <c r="M2956" i="7"/>
  <c r="J2956" i="7"/>
  <c r="D2956" i="7"/>
  <c r="Z2955" i="7"/>
  <c r="M2955" i="7"/>
  <c r="J2955" i="7"/>
  <c r="D2955" i="7"/>
  <c r="Z2954" i="7"/>
  <c r="M2954" i="7"/>
  <c r="J2954" i="7"/>
  <c r="D2954" i="7"/>
  <c r="Z2953" i="7"/>
  <c r="M2953" i="7"/>
  <c r="J2953" i="7"/>
  <c r="D2953" i="7"/>
  <c r="Z2952" i="7"/>
  <c r="M2952" i="7"/>
  <c r="J2952" i="7"/>
  <c r="D2952" i="7"/>
  <c r="Z2951" i="7"/>
  <c r="M2951" i="7"/>
  <c r="J2951" i="7"/>
  <c r="D2951" i="7"/>
  <c r="Z2950" i="7"/>
  <c r="M2950" i="7"/>
  <c r="J2950" i="7"/>
  <c r="D2950" i="7"/>
  <c r="Z2949" i="7"/>
  <c r="M2949" i="7"/>
  <c r="J2949" i="7"/>
  <c r="D2949" i="7"/>
  <c r="Z2948" i="7"/>
  <c r="M2948" i="7"/>
  <c r="J2948" i="7"/>
  <c r="D2948" i="7"/>
  <c r="Z2947" i="7"/>
  <c r="M2947" i="7"/>
  <c r="J2947" i="7"/>
  <c r="D2947" i="7"/>
  <c r="Z2946" i="7"/>
  <c r="M2946" i="7"/>
  <c r="J2946" i="7"/>
  <c r="D2946" i="7"/>
  <c r="Z2945" i="7"/>
  <c r="M2945" i="7"/>
  <c r="J2945" i="7"/>
  <c r="D2945" i="7"/>
  <c r="AF2944" i="7"/>
  <c r="Z2944" i="7"/>
  <c r="X2944" i="7"/>
  <c r="J2944" i="7"/>
  <c r="D2944" i="7"/>
  <c r="AF2943" i="7"/>
  <c r="Z2943" i="7"/>
  <c r="X2943" i="7"/>
  <c r="J2943" i="7"/>
  <c r="D2943" i="7"/>
  <c r="Z3010" i="7"/>
  <c r="D3010" i="7"/>
  <c r="AF2942" i="7"/>
  <c r="AB2942" i="7"/>
  <c r="AA2942" i="7"/>
  <c r="Z2942" i="7"/>
  <c r="X2942" i="7"/>
  <c r="O2942" i="7"/>
  <c r="D2942" i="7"/>
  <c r="AF2941" i="7"/>
  <c r="AA2941" i="7"/>
  <c r="Z2941" i="7"/>
  <c r="O2941" i="7"/>
  <c r="L2941" i="7"/>
  <c r="D2941" i="7"/>
  <c r="AF2940" i="7"/>
  <c r="AA2940" i="7"/>
  <c r="Z2940" i="7"/>
  <c r="O2940" i="7"/>
  <c r="L2940" i="7"/>
  <c r="D2940" i="7"/>
  <c r="AF2939" i="7"/>
  <c r="AA2939" i="7"/>
  <c r="Z2939" i="7"/>
  <c r="O2939" i="7"/>
  <c r="L2939" i="7"/>
  <c r="D2939" i="7"/>
  <c r="AF2938" i="7"/>
  <c r="AA2938" i="7"/>
  <c r="Z2938" i="7"/>
  <c r="O2938" i="7"/>
  <c r="L2938" i="7"/>
  <c r="D2938" i="7"/>
  <c r="AF2937" i="7"/>
  <c r="AA2937" i="7"/>
  <c r="Z2937" i="7"/>
  <c r="O2937" i="7"/>
  <c r="L2937" i="7"/>
  <c r="D2937" i="7"/>
  <c r="AF2936" i="7"/>
  <c r="AA2936" i="7"/>
  <c r="Z2936" i="7"/>
  <c r="O2936" i="7"/>
  <c r="L2936" i="7"/>
  <c r="D2936" i="7"/>
  <c r="AF2935" i="7"/>
  <c r="AA2935" i="7"/>
  <c r="Z2935" i="7"/>
  <c r="O2935" i="7"/>
  <c r="L2935" i="7"/>
  <c r="D2935" i="7"/>
  <c r="AF2934" i="7"/>
  <c r="AA2934" i="7"/>
  <c r="Z2934" i="7"/>
  <c r="O2934" i="7"/>
  <c r="L2934" i="7"/>
  <c r="D2934" i="7"/>
  <c r="AF2933" i="7"/>
  <c r="AA2933" i="7"/>
  <c r="Z2933" i="7"/>
  <c r="O2933" i="7"/>
  <c r="L2933" i="7"/>
  <c r="D2933" i="7"/>
  <c r="AF2932" i="7"/>
  <c r="AA2932" i="7"/>
  <c r="Z2932" i="7"/>
  <c r="O2932" i="7"/>
  <c r="L2932" i="7"/>
  <c r="D2932" i="7"/>
  <c r="AF2931" i="7"/>
  <c r="AA2931" i="7"/>
  <c r="Z2931" i="7"/>
  <c r="O2931" i="7"/>
  <c r="L2931" i="7"/>
  <c r="D2931" i="7"/>
  <c r="AF2930" i="7"/>
  <c r="AA2930" i="7"/>
  <c r="Z2930" i="7"/>
  <c r="O2930" i="7"/>
  <c r="L2930" i="7"/>
  <c r="D2930" i="7"/>
  <c r="AF2929" i="7"/>
  <c r="AA2929" i="7"/>
  <c r="Z2929" i="7"/>
  <c r="O2929" i="7"/>
  <c r="L2929" i="7"/>
  <c r="D2929" i="7"/>
  <c r="AF2928" i="7"/>
  <c r="AA2928" i="7"/>
  <c r="Z2928" i="7"/>
  <c r="O2928" i="7"/>
  <c r="L2928" i="7"/>
  <c r="D2928" i="7"/>
  <c r="AF2925" i="7"/>
  <c r="AE2925" i="7"/>
  <c r="Z2925" i="7"/>
  <c r="L2925" i="7"/>
  <c r="D2925" i="7"/>
  <c r="Z2924" i="7"/>
  <c r="L2924" i="7"/>
  <c r="D2924" i="7"/>
  <c r="Z2923" i="7"/>
  <c r="L2923" i="7"/>
  <c r="D2923" i="7"/>
  <c r="Z2915" i="7"/>
  <c r="X2915" i="7"/>
  <c r="M2915" i="7"/>
  <c r="J2915" i="7"/>
  <c r="D2915" i="7"/>
  <c r="Z2914" i="7"/>
  <c r="X2914" i="7"/>
  <c r="M2914" i="7"/>
  <c r="J2914" i="7"/>
  <c r="D2914" i="7"/>
  <c r="Z2913" i="7"/>
  <c r="X2913" i="7"/>
  <c r="M2913" i="7"/>
  <c r="J2913" i="7"/>
  <c r="D2913" i="7"/>
  <c r="Z2912" i="7"/>
  <c r="X2912" i="7"/>
  <c r="M2912" i="7"/>
  <c r="J2912" i="7"/>
  <c r="D2912" i="7"/>
  <c r="Z2911" i="7"/>
  <c r="X2911" i="7"/>
  <c r="M2911" i="7"/>
  <c r="J2911" i="7"/>
  <c r="D2911" i="7"/>
  <c r="Z2908" i="7"/>
  <c r="X2908" i="7"/>
  <c r="M2908" i="7"/>
  <c r="J2908" i="7"/>
  <c r="D2908" i="7"/>
  <c r="Z2906" i="7"/>
  <c r="D2906" i="7"/>
  <c r="Z2905" i="7"/>
  <c r="D2905" i="7"/>
  <c r="Z2904" i="7"/>
  <c r="D2904" i="7"/>
  <c r="AF2900" i="7"/>
  <c r="AA2900" i="7"/>
  <c r="Z2900" i="7"/>
  <c r="L2900" i="7"/>
  <c r="J2900" i="7"/>
  <c r="D2900" i="7"/>
  <c r="AF2899" i="7"/>
  <c r="AA2899" i="7"/>
  <c r="Z2899" i="7"/>
  <c r="L2899" i="7"/>
  <c r="J2899" i="7"/>
  <c r="D2899" i="7"/>
  <c r="Z2894" i="7"/>
  <c r="M2894" i="7"/>
  <c r="J2894" i="7"/>
  <c r="D2894" i="7"/>
  <c r="Z2891" i="7"/>
  <c r="M2891" i="7"/>
  <c r="J2891" i="7"/>
  <c r="D2891" i="7"/>
  <c r="Z2890" i="7"/>
  <c r="M2890" i="7"/>
  <c r="J2890" i="7"/>
  <c r="D2890" i="7"/>
  <c r="Z2889" i="7"/>
  <c r="M2889" i="7"/>
  <c r="J2889" i="7"/>
  <c r="D2889" i="7"/>
  <c r="Z2888" i="7"/>
  <c r="M2888" i="7"/>
  <c r="J2888" i="7"/>
  <c r="D2888" i="7"/>
  <c r="Z2887" i="7"/>
  <c r="M2887" i="7"/>
  <c r="J2887" i="7"/>
  <c r="D2887" i="7"/>
  <c r="Z2886" i="7"/>
  <c r="M2886" i="7"/>
  <c r="J2886" i="7"/>
  <c r="D2886" i="7"/>
  <c r="AE2896" i="7"/>
  <c r="Z2896" i="7"/>
  <c r="V2896" i="7"/>
  <c r="M2896" i="7"/>
  <c r="J2896" i="7"/>
  <c r="D2896" i="7"/>
  <c r="Z2884" i="7"/>
  <c r="M2884" i="7"/>
  <c r="J2884" i="7"/>
  <c r="D2884" i="7"/>
  <c r="Z2883" i="7"/>
  <c r="M2883" i="7"/>
  <c r="J2883" i="7"/>
  <c r="D2883" i="7"/>
  <c r="Z2882" i="7"/>
  <c r="M2882" i="7"/>
  <c r="J2882" i="7"/>
  <c r="D2882" i="7"/>
  <c r="Z2879" i="7"/>
  <c r="M2879" i="7"/>
  <c r="J2879" i="7"/>
  <c r="D2879" i="7"/>
  <c r="Z2878" i="7"/>
  <c r="M2878" i="7"/>
  <c r="J2878" i="7"/>
  <c r="D2878" i="7"/>
  <c r="Z2898" i="7"/>
  <c r="M2898" i="7"/>
  <c r="J2898" i="7"/>
  <c r="D2898" i="7"/>
  <c r="Z2877" i="7"/>
  <c r="M2877" i="7"/>
  <c r="J2877" i="7"/>
  <c r="D2877" i="7"/>
  <c r="Z2876" i="7"/>
  <c r="M2876" i="7"/>
  <c r="J2876" i="7"/>
  <c r="D2876" i="7"/>
  <c r="Z2875" i="7"/>
  <c r="M2875" i="7"/>
  <c r="J2875" i="7"/>
  <c r="D2875" i="7"/>
  <c r="Z2874" i="7"/>
  <c r="M2874" i="7"/>
  <c r="J2874" i="7"/>
  <c r="D2874" i="7"/>
  <c r="Z2873" i="7"/>
  <c r="M2873" i="7"/>
  <c r="J2873" i="7"/>
  <c r="D2873" i="7"/>
  <c r="Z2872" i="7"/>
  <c r="J2872" i="7"/>
  <c r="D2872" i="7"/>
  <c r="Z2871" i="7"/>
  <c r="J2871" i="7"/>
  <c r="D2871" i="7"/>
  <c r="Z2870" i="7"/>
  <c r="J2870" i="7"/>
  <c r="D2870" i="7"/>
  <c r="Z2869" i="7"/>
  <c r="J2869" i="7"/>
  <c r="D2869" i="7"/>
  <c r="Z2868" i="7"/>
  <c r="J2868" i="7"/>
  <c r="D2868" i="7"/>
  <c r="Z2867" i="7"/>
  <c r="J2867" i="7"/>
  <c r="D2867" i="7"/>
  <c r="Z2866" i="7"/>
  <c r="J2866" i="7"/>
  <c r="D2866" i="7"/>
  <c r="Z2865" i="7"/>
  <c r="J2865" i="7"/>
  <c r="D2865" i="7"/>
  <c r="Z2864" i="7"/>
  <c r="O2864" i="7"/>
  <c r="D2864" i="7"/>
  <c r="D2858" i="7"/>
  <c r="D2857" i="7"/>
  <c r="D2856" i="7"/>
  <c r="D2855" i="7"/>
  <c r="D2850" i="7"/>
  <c r="Z2849" i="7"/>
  <c r="L2849" i="7"/>
  <c r="J2849" i="7"/>
  <c r="D2849" i="7"/>
  <c r="Z2848" i="7"/>
  <c r="L2848" i="7"/>
  <c r="J2848" i="7"/>
  <c r="D2848" i="7"/>
  <c r="Z2847" i="7"/>
  <c r="L2847" i="7"/>
  <c r="J2847" i="7"/>
  <c r="D2847" i="7"/>
  <c r="Z2846" i="7"/>
  <c r="L2846" i="7"/>
  <c r="J2846" i="7"/>
  <c r="D2846" i="7"/>
  <c r="Z2845" i="7"/>
  <c r="L2845" i="7"/>
  <c r="J2845" i="7"/>
  <c r="D2845" i="7"/>
  <c r="Z2843" i="7"/>
  <c r="L2843" i="7"/>
  <c r="J2843" i="7"/>
  <c r="D2843" i="7"/>
  <c r="Z2842" i="7"/>
  <c r="L2842" i="7"/>
  <c r="J2842" i="7"/>
  <c r="D2842" i="7"/>
  <c r="Z2841" i="7"/>
  <c r="L2841" i="7"/>
  <c r="J2841" i="7"/>
  <c r="D2841" i="7"/>
  <c r="Z2840" i="7"/>
  <c r="L2840" i="7"/>
  <c r="J2840" i="7"/>
  <c r="D2840" i="7"/>
  <c r="Z2839" i="7"/>
  <c r="L2839" i="7"/>
  <c r="J2839" i="7"/>
  <c r="D2839" i="7"/>
  <c r="Z2838" i="7"/>
  <c r="L2838" i="7"/>
  <c r="J2838" i="7"/>
  <c r="D2838" i="7"/>
  <c r="Z2837" i="7"/>
  <c r="L2837" i="7"/>
  <c r="J2837" i="7"/>
  <c r="D2837" i="7"/>
  <c r="Z2836" i="7"/>
  <c r="L2836" i="7"/>
  <c r="J2836" i="7"/>
  <c r="D2836" i="7"/>
  <c r="Z2835" i="7"/>
  <c r="L2835" i="7"/>
  <c r="J2835" i="7"/>
  <c r="D2835" i="7"/>
  <c r="Z2834" i="7"/>
  <c r="L2834" i="7"/>
  <c r="J2834" i="7"/>
  <c r="D2834" i="7"/>
  <c r="Z2833" i="7"/>
  <c r="L2833" i="7"/>
  <c r="J2833" i="7"/>
  <c r="D2833" i="7"/>
  <c r="Z2832" i="7"/>
  <c r="L2832" i="7"/>
  <c r="J2832" i="7"/>
  <c r="D2832" i="7"/>
  <c r="Z2831" i="7"/>
  <c r="L2831" i="7"/>
  <c r="J2831" i="7"/>
  <c r="D2831" i="7"/>
  <c r="Z2830" i="7"/>
  <c r="L2830" i="7"/>
  <c r="J2830" i="7"/>
  <c r="D2830" i="7"/>
  <c r="Z2829" i="7"/>
  <c r="L2829" i="7"/>
  <c r="J2829" i="7"/>
  <c r="D2829" i="7"/>
  <c r="Z2828" i="7"/>
  <c r="L2828" i="7"/>
  <c r="J2828" i="7"/>
  <c r="D2828" i="7"/>
  <c r="Z2827" i="7"/>
  <c r="L2827" i="7"/>
  <c r="J2827" i="7"/>
  <c r="D2827" i="7"/>
  <c r="Z2826" i="7"/>
  <c r="L2826" i="7"/>
  <c r="J2826" i="7"/>
  <c r="D2826" i="7"/>
  <c r="Z2825" i="7"/>
  <c r="L2825" i="7"/>
  <c r="J2825" i="7"/>
  <c r="D2825" i="7"/>
  <c r="Z2822" i="7"/>
  <c r="L2822" i="7"/>
  <c r="J2822" i="7"/>
  <c r="D2822" i="7"/>
  <c r="Z2821" i="7"/>
  <c r="L2821" i="7"/>
  <c r="J2821" i="7"/>
  <c r="D2821" i="7"/>
  <c r="Z2820" i="7"/>
  <c r="L2820" i="7"/>
  <c r="J2820" i="7"/>
  <c r="D2820" i="7"/>
  <c r="Z2818" i="7"/>
  <c r="L2818" i="7"/>
  <c r="J2818" i="7"/>
  <c r="D2818" i="7"/>
  <c r="Z2861" i="7"/>
  <c r="L2861" i="7"/>
  <c r="J2861" i="7"/>
  <c r="D2861" i="7"/>
  <c r="Z2860" i="7"/>
  <c r="L2860" i="7"/>
  <c r="J2860" i="7"/>
  <c r="D2860" i="7"/>
  <c r="AC2815" i="7"/>
  <c r="Z2815" i="7"/>
  <c r="J2815" i="7"/>
  <c r="D2815" i="7"/>
  <c r="AC2814" i="7"/>
  <c r="Z2814" i="7"/>
  <c r="J2814" i="7"/>
  <c r="D2814" i="7"/>
  <c r="AC2813" i="7"/>
  <c r="Z2813" i="7"/>
  <c r="J2813" i="7"/>
  <c r="D2813" i="7"/>
  <c r="AC2812" i="7"/>
  <c r="Z2812" i="7"/>
  <c r="J2812" i="7"/>
  <c r="D2812" i="7"/>
  <c r="AC2811" i="7"/>
  <c r="Z2811" i="7"/>
  <c r="J2811" i="7"/>
  <c r="D2811" i="7"/>
  <c r="AC2810" i="7"/>
  <c r="Z2810" i="7"/>
  <c r="J2810" i="7"/>
  <c r="D2810" i="7"/>
  <c r="AC2809" i="7"/>
  <c r="Z2809" i="7"/>
  <c r="J2809" i="7"/>
  <c r="D2809" i="7"/>
  <c r="AC2808" i="7"/>
  <c r="Z2808" i="7"/>
  <c r="J2808" i="7"/>
  <c r="D2808" i="7"/>
  <c r="AC2807" i="7"/>
  <c r="Z2807" i="7"/>
  <c r="J2807" i="7"/>
  <c r="D2807" i="7"/>
  <c r="AC2806" i="7"/>
  <c r="Z2806" i="7"/>
  <c r="J2806" i="7"/>
  <c r="D2806" i="7"/>
  <c r="Z2805" i="7"/>
  <c r="D2805" i="7"/>
  <c r="Z2804" i="7"/>
  <c r="D2804" i="7"/>
  <c r="Z2803" i="7"/>
  <c r="D2803" i="7"/>
  <c r="Z2802" i="7"/>
  <c r="D2802" i="7"/>
  <c r="Z2801" i="7"/>
  <c r="D2801" i="7"/>
  <c r="Z2800" i="7"/>
  <c r="J2800" i="7"/>
  <c r="D2800" i="7"/>
  <c r="Z2799" i="7"/>
  <c r="J2799" i="7"/>
  <c r="D2799" i="7"/>
  <c r="Z2798" i="7"/>
  <c r="J2798" i="7"/>
  <c r="D2798" i="7"/>
  <c r="AF2796" i="7"/>
  <c r="AA2796" i="7"/>
  <c r="Z2796" i="7"/>
  <c r="L2796" i="7"/>
  <c r="J2796" i="7"/>
  <c r="D2796" i="7"/>
  <c r="AF2782" i="7"/>
  <c r="AA2782" i="7"/>
  <c r="Z2782" i="7"/>
  <c r="L2782" i="7"/>
  <c r="J2782" i="7"/>
  <c r="D2782" i="7"/>
  <c r="AF2779" i="7"/>
  <c r="AA2779" i="7"/>
  <c r="Z2779" i="7"/>
  <c r="L2779" i="7"/>
  <c r="J2779" i="7"/>
  <c r="D2779" i="7"/>
  <c r="AF2777" i="7"/>
  <c r="AA2777" i="7"/>
  <c r="Z2777" i="7"/>
  <c r="L2777" i="7"/>
  <c r="J2777" i="7"/>
  <c r="D2777" i="7"/>
  <c r="AF2776" i="7"/>
  <c r="AA2776" i="7"/>
  <c r="Z2776" i="7"/>
  <c r="L2776" i="7"/>
  <c r="J2776" i="7"/>
  <c r="D2776" i="7"/>
  <c r="AF2775" i="7"/>
  <c r="AA2775" i="7"/>
  <c r="Z2775" i="7"/>
  <c r="L2775" i="7"/>
  <c r="J2775" i="7"/>
  <c r="D2775" i="7"/>
  <c r="AF2774" i="7"/>
  <c r="AA2774" i="7"/>
  <c r="Z2774" i="7"/>
  <c r="L2774" i="7"/>
  <c r="J2774" i="7"/>
  <c r="D2774" i="7"/>
  <c r="AF2772" i="7"/>
  <c r="AA2772" i="7"/>
  <c r="Z2772" i="7"/>
  <c r="L2772" i="7"/>
  <c r="J2772" i="7"/>
  <c r="D2772" i="7"/>
  <c r="AF2771" i="7"/>
  <c r="AA2771" i="7"/>
  <c r="Z2771" i="7"/>
  <c r="L2771" i="7"/>
  <c r="J2771" i="7"/>
  <c r="D2771" i="7"/>
  <c r="AF2770" i="7"/>
  <c r="AA2770" i="7"/>
  <c r="Z2770" i="7"/>
  <c r="L2770" i="7"/>
  <c r="J2770" i="7"/>
  <c r="D2770" i="7"/>
  <c r="AF2769" i="7"/>
  <c r="AA2769" i="7"/>
  <c r="Z2769" i="7"/>
  <c r="L2769" i="7"/>
  <c r="J2769" i="7"/>
  <c r="D2769" i="7"/>
  <c r="AF2768" i="7"/>
  <c r="AA2768" i="7"/>
  <c r="Z2768" i="7"/>
  <c r="L2768" i="7"/>
  <c r="J2768" i="7"/>
  <c r="D2768" i="7"/>
  <c r="AF2767" i="7"/>
  <c r="AA2767" i="7"/>
  <c r="Z2767" i="7"/>
  <c r="L2767" i="7"/>
  <c r="J2767" i="7"/>
  <c r="D2767" i="7"/>
  <c r="AF2766" i="7"/>
  <c r="AA2766" i="7"/>
  <c r="Z2766" i="7"/>
  <c r="L2766" i="7"/>
  <c r="J2766" i="7"/>
  <c r="D2766" i="7"/>
  <c r="AF2765" i="7"/>
  <c r="AA2765" i="7"/>
  <c r="Z2765" i="7"/>
  <c r="L2765" i="7"/>
  <c r="J2765" i="7"/>
  <c r="D2765" i="7"/>
  <c r="AF2764" i="7"/>
  <c r="AA2764" i="7"/>
  <c r="Z2764" i="7"/>
  <c r="L2764" i="7"/>
  <c r="J2764" i="7"/>
  <c r="D2764" i="7"/>
  <c r="AF2763" i="7"/>
  <c r="AA2763" i="7"/>
  <c r="Z2763" i="7"/>
  <c r="L2763" i="7"/>
  <c r="J2763" i="7"/>
  <c r="D2763" i="7"/>
  <c r="AF2762" i="7"/>
  <c r="AA2762" i="7"/>
  <c r="Z2762" i="7"/>
  <c r="L2762" i="7"/>
  <c r="J2762" i="7"/>
  <c r="D2762" i="7"/>
  <c r="AF2797" i="7"/>
  <c r="AA2797" i="7"/>
  <c r="Z2797" i="7"/>
  <c r="L2797" i="7"/>
  <c r="J2797" i="7"/>
  <c r="D2797" i="7"/>
  <c r="AF2761" i="7"/>
  <c r="AA2761" i="7"/>
  <c r="Z2761" i="7"/>
  <c r="L2761" i="7"/>
  <c r="J2761" i="7"/>
  <c r="D2761" i="7"/>
  <c r="AF2760" i="7"/>
  <c r="AA2760" i="7"/>
  <c r="Z2760" i="7"/>
  <c r="L2760" i="7"/>
  <c r="J2760" i="7"/>
  <c r="D2760" i="7"/>
  <c r="AF2759" i="7"/>
  <c r="AA2759" i="7"/>
  <c r="Z2759" i="7"/>
  <c r="L2759" i="7"/>
  <c r="J2759" i="7"/>
  <c r="D2759" i="7"/>
  <c r="AF2758" i="7"/>
  <c r="AA2758" i="7"/>
  <c r="Z2758" i="7"/>
  <c r="L2758" i="7"/>
  <c r="J2758" i="7"/>
  <c r="D2758" i="7"/>
  <c r="Z2757" i="7"/>
  <c r="J2757" i="7"/>
  <c r="D2757" i="7"/>
  <c r="AA2756" i="7"/>
  <c r="Z2756" i="7"/>
  <c r="X2756" i="7"/>
  <c r="L2756" i="7"/>
  <c r="J2756" i="7"/>
  <c r="D2756" i="7"/>
  <c r="AA2755" i="7"/>
  <c r="Z2755" i="7"/>
  <c r="X2755" i="7"/>
  <c r="L2755" i="7"/>
  <c r="J2755" i="7"/>
  <c r="D2755" i="7"/>
  <c r="AA2754" i="7"/>
  <c r="Z2754" i="7"/>
  <c r="X2754" i="7"/>
  <c r="L2754" i="7"/>
  <c r="J2754" i="7"/>
  <c r="D2754" i="7"/>
  <c r="AA2753" i="7"/>
  <c r="Z2753" i="7"/>
  <c r="X2753" i="7"/>
  <c r="L2753" i="7"/>
  <c r="J2753" i="7"/>
  <c r="D2753" i="7"/>
  <c r="AA2752" i="7"/>
  <c r="Z2752" i="7"/>
  <c r="X2752" i="7"/>
  <c r="L2752" i="7"/>
  <c r="J2752" i="7"/>
  <c r="D2752" i="7"/>
  <c r="Z2749" i="7"/>
  <c r="D2749" i="7"/>
  <c r="D2751" i="7"/>
  <c r="AF2739" i="7"/>
  <c r="AA2739" i="7"/>
  <c r="Z2739" i="7"/>
  <c r="L2739" i="7"/>
  <c r="J2739" i="7"/>
  <c r="D2739" i="7"/>
  <c r="AF2738" i="7"/>
  <c r="AA2738" i="7"/>
  <c r="Z2738" i="7"/>
  <c r="L2738" i="7"/>
  <c r="J2738" i="7"/>
  <c r="D2738" i="7"/>
  <c r="AF2737" i="7"/>
  <c r="AA2737" i="7"/>
  <c r="Z2737" i="7"/>
  <c r="L2737" i="7"/>
  <c r="J2737" i="7"/>
  <c r="D2737" i="7"/>
  <c r="AF2731" i="7"/>
  <c r="AA2731" i="7"/>
  <c r="Z2731" i="7"/>
  <c r="L2731" i="7"/>
  <c r="J2731" i="7"/>
  <c r="D2731" i="7"/>
  <c r="Z2728" i="7"/>
  <c r="D2728" i="7"/>
  <c r="AF2724" i="7"/>
  <c r="AA2724" i="7"/>
  <c r="Z2724" i="7"/>
  <c r="O2724" i="7"/>
  <c r="M2724" i="7"/>
  <c r="J2724" i="7"/>
  <c r="D2724" i="7"/>
  <c r="AI2721" i="7"/>
  <c r="AF2721" i="7"/>
  <c r="AA2721" i="7"/>
  <c r="Z2721" i="7"/>
  <c r="L2721" i="7"/>
  <c r="D2721" i="7"/>
  <c r="AI2720" i="7"/>
  <c r="AF2720" i="7"/>
  <c r="AA2720" i="7"/>
  <c r="Z2720" i="7"/>
  <c r="L2720" i="7"/>
  <c r="D2720" i="7"/>
  <c r="AI2719" i="7"/>
  <c r="AF2719" i="7"/>
  <c r="AA2719" i="7"/>
  <c r="Z2719" i="7"/>
  <c r="L2719" i="7"/>
  <c r="D2719" i="7"/>
  <c r="AI2717" i="7"/>
  <c r="AF2717" i="7"/>
  <c r="AA2717" i="7"/>
  <c r="Z2717" i="7"/>
  <c r="L2717" i="7"/>
  <c r="D2717" i="7"/>
  <c r="AI2716" i="7"/>
  <c r="AF2716" i="7"/>
  <c r="AA2716" i="7"/>
  <c r="Z2716" i="7"/>
  <c r="L2716" i="7"/>
  <c r="D2716" i="7"/>
  <c r="AI2715" i="7"/>
  <c r="AF2715" i="7"/>
  <c r="AA2715" i="7"/>
  <c r="Z2715" i="7"/>
  <c r="L2715" i="7"/>
  <c r="D2715" i="7"/>
  <c r="AI2723" i="7"/>
  <c r="AF2723" i="7"/>
  <c r="AA2723" i="7"/>
  <c r="Z2723" i="7"/>
  <c r="L2723" i="7"/>
  <c r="D2723" i="7"/>
  <c r="AI2714" i="7"/>
  <c r="AF2714" i="7"/>
  <c r="AA2714" i="7"/>
  <c r="Z2714" i="7"/>
  <c r="L2714" i="7"/>
  <c r="D2714" i="7"/>
  <c r="AI2713" i="7"/>
  <c r="AF2713" i="7"/>
  <c r="AA2713" i="7"/>
  <c r="Z2713" i="7"/>
  <c r="L2713" i="7"/>
  <c r="D2713" i="7"/>
  <c r="AI2712" i="7"/>
  <c r="AF2712" i="7"/>
  <c r="AA2712" i="7"/>
  <c r="Z2712" i="7"/>
  <c r="L2712" i="7"/>
  <c r="D2712" i="7"/>
  <c r="AI2711" i="7"/>
  <c r="AF2711" i="7"/>
  <c r="AA2711" i="7"/>
  <c r="Z2711" i="7"/>
  <c r="L2711" i="7"/>
  <c r="D2711" i="7"/>
  <c r="Z2709" i="7"/>
  <c r="J2709" i="7"/>
  <c r="D2709" i="7"/>
  <c r="Z2708" i="7"/>
  <c r="J2708" i="7"/>
  <c r="D2708" i="7"/>
  <c r="Z2707" i="7"/>
  <c r="J2707" i="7"/>
  <c r="D2707" i="7"/>
  <c r="Z2706" i="7"/>
  <c r="J2706" i="7"/>
  <c r="D2706" i="7"/>
  <c r="Z2705" i="7"/>
  <c r="J2705" i="7"/>
  <c r="D2705" i="7"/>
  <c r="Z2703" i="7"/>
  <c r="J2703" i="7"/>
  <c r="D2703" i="7"/>
  <c r="AF2697" i="7"/>
  <c r="Z2697" i="7"/>
  <c r="L2697" i="7"/>
  <c r="J2697" i="7"/>
  <c r="D2697" i="7"/>
  <c r="AF2696" i="7"/>
  <c r="Z2696" i="7"/>
  <c r="L2696" i="7"/>
  <c r="J2696" i="7"/>
  <c r="D2696" i="7"/>
  <c r="AF2695" i="7"/>
  <c r="Z2695" i="7"/>
  <c r="L2695" i="7"/>
  <c r="J2695" i="7"/>
  <c r="D2695" i="7"/>
  <c r="AF2693" i="7"/>
  <c r="Z2693" i="7"/>
  <c r="L2693" i="7"/>
  <c r="J2693" i="7"/>
  <c r="D2693" i="7"/>
  <c r="AF2692" i="7"/>
  <c r="Z2692" i="7"/>
  <c r="O2692" i="7"/>
  <c r="M2692" i="7"/>
  <c r="D2692" i="7"/>
  <c r="AF2684" i="7"/>
  <c r="AA2684" i="7"/>
  <c r="Z2684" i="7"/>
  <c r="L2684" i="7"/>
  <c r="J2684" i="7"/>
  <c r="D2684" i="7"/>
  <c r="Z2682" i="7"/>
  <c r="X2682" i="7"/>
  <c r="L2682" i="7"/>
  <c r="D2682" i="7"/>
  <c r="Z2681" i="7"/>
  <c r="X2681" i="7"/>
  <c r="L2681" i="7"/>
  <c r="D2681" i="7"/>
  <c r="Z2683" i="7"/>
  <c r="X2683" i="7"/>
  <c r="L2683" i="7"/>
  <c r="D2683" i="7"/>
  <c r="Z2680" i="7"/>
  <c r="X2680" i="7"/>
  <c r="L2680" i="7"/>
  <c r="D2680" i="7"/>
  <c r="Z2679" i="7"/>
  <c r="X2679" i="7"/>
  <c r="L2679" i="7"/>
  <c r="D2679" i="7"/>
  <c r="Z2678" i="7"/>
  <c r="X2678" i="7"/>
  <c r="L2678" i="7"/>
  <c r="D2678" i="7"/>
  <c r="Z2677" i="7"/>
  <c r="X2677" i="7"/>
  <c r="L2677" i="7"/>
  <c r="D2677" i="7"/>
  <c r="Z2676" i="7"/>
  <c r="X2676" i="7"/>
  <c r="L2676" i="7"/>
  <c r="D2676" i="7"/>
  <c r="Z2675" i="7"/>
  <c r="X2675" i="7"/>
  <c r="L2675" i="7"/>
  <c r="D2675" i="7"/>
  <c r="Z2674" i="7"/>
  <c r="X2674" i="7"/>
  <c r="L2674" i="7"/>
  <c r="D2674" i="7"/>
  <c r="Z2673" i="7"/>
  <c r="X2673" i="7"/>
  <c r="L2673" i="7"/>
  <c r="D2673" i="7"/>
  <c r="AF2672" i="7"/>
  <c r="AA2672" i="7"/>
  <c r="Z2672" i="7"/>
  <c r="X2672" i="7"/>
  <c r="J2672" i="7"/>
  <c r="D2672" i="7"/>
  <c r="AF2670" i="7"/>
  <c r="AA2670" i="7"/>
  <c r="Z2670" i="7"/>
  <c r="X2670" i="7"/>
  <c r="J2670" i="7"/>
  <c r="D2670" i="7"/>
  <c r="AF2668" i="7"/>
  <c r="AA2668" i="7"/>
  <c r="Z2668" i="7"/>
  <c r="X2668" i="7"/>
  <c r="J2668" i="7"/>
  <c r="D2668" i="7"/>
  <c r="AF2667" i="7"/>
  <c r="AA2667" i="7"/>
  <c r="Z2667" i="7"/>
  <c r="X2667" i="7"/>
  <c r="J2667" i="7"/>
  <c r="D2667" i="7"/>
  <c r="AF2666" i="7"/>
  <c r="AA2666" i="7"/>
  <c r="Z2666" i="7"/>
  <c r="X2666" i="7"/>
  <c r="J2666" i="7"/>
  <c r="D2666" i="7"/>
  <c r="AF2665" i="7"/>
  <c r="AA2665" i="7"/>
  <c r="Z2665" i="7"/>
  <c r="X2665" i="7"/>
  <c r="J2665" i="7"/>
  <c r="D2665" i="7"/>
  <c r="AF2664" i="7"/>
  <c r="AA2664" i="7"/>
  <c r="Z2664" i="7"/>
  <c r="X2664" i="7"/>
  <c r="J2664" i="7"/>
  <c r="D2664" i="7"/>
  <c r="AF2663" i="7"/>
  <c r="AA2663" i="7"/>
  <c r="Z2663" i="7"/>
  <c r="X2663" i="7"/>
  <c r="J2663" i="7"/>
  <c r="D2663" i="7"/>
  <c r="AF2662" i="7"/>
  <c r="AA2662" i="7"/>
  <c r="Z2662" i="7"/>
  <c r="X2662" i="7"/>
  <c r="J2662" i="7"/>
  <c r="D2662" i="7"/>
  <c r="AF2661" i="7"/>
  <c r="AA2661" i="7"/>
  <c r="Z2661" i="7"/>
  <c r="X2661" i="7"/>
  <c r="J2661" i="7"/>
  <c r="D2661" i="7"/>
  <c r="AF2660" i="7"/>
  <c r="AA2660" i="7"/>
  <c r="Z2660" i="7"/>
  <c r="X2660" i="7"/>
  <c r="J2660" i="7"/>
  <c r="D2660" i="7"/>
  <c r="AF2659" i="7"/>
  <c r="AA2659" i="7"/>
  <c r="Z2659" i="7"/>
  <c r="X2659" i="7"/>
  <c r="J2659" i="7"/>
  <c r="D2659" i="7"/>
  <c r="AF2658" i="7"/>
  <c r="AA2658" i="7"/>
  <c r="Z2658" i="7"/>
  <c r="X2658" i="7"/>
  <c r="J2658" i="7"/>
  <c r="D2658" i="7"/>
  <c r="AF2657" i="7"/>
  <c r="AA2657" i="7"/>
  <c r="Z2657" i="7"/>
  <c r="X2657" i="7"/>
  <c r="J2657" i="7"/>
  <c r="D2657" i="7"/>
  <c r="AF2656" i="7"/>
  <c r="AA2656" i="7"/>
  <c r="Z2656" i="7"/>
  <c r="X2656" i="7"/>
  <c r="J2656" i="7"/>
  <c r="D2656" i="7"/>
  <c r="AF2655" i="7"/>
  <c r="AA2655" i="7"/>
  <c r="Z2655" i="7"/>
  <c r="X2655" i="7"/>
  <c r="J2655" i="7"/>
  <c r="D2655" i="7"/>
  <c r="AF2654" i="7"/>
  <c r="AA2654" i="7"/>
  <c r="Z2654" i="7"/>
  <c r="X2654" i="7"/>
  <c r="J2654" i="7"/>
  <c r="D2654" i="7"/>
  <c r="AI2645" i="7"/>
  <c r="AF2645" i="7"/>
  <c r="AE2645" i="7"/>
  <c r="AA2645" i="7"/>
  <c r="Z2645" i="7"/>
  <c r="M2645" i="7"/>
  <c r="J2645" i="7"/>
  <c r="D2645" i="7"/>
  <c r="AI2644" i="7"/>
  <c r="AF2644" i="7"/>
  <c r="AE2644" i="7"/>
  <c r="AA2644" i="7"/>
  <c r="Z2644" i="7"/>
  <c r="M2644" i="7"/>
  <c r="J2644" i="7"/>
  <c r="D2644" i="7"/>
  <c r="AI2643" i="7"/>
  <c r="AF2643" i="7"/>
  <c r="AE2643" i="7"/>
  <c r="AA2643" i="7"/>
  <c r="Z2643" i="7"/>
  <c r="M2643" i="7"/>
  <c r="J2643" i="7"/>
  <c r="D2643" i="7"/>
  <c r="AI2641" i="7"/>
  <c r="AF2641" i="7"/>
  <c r="AE2641" i="7"/>
  <c r="AA2641" i="7"/>
  <c r="Z2641" i="7"/>
  <c r="M2641" i="7"/>
  <c r="J2641" i="7"/>
  <c r="D2641" i="7"/>
  <c r="AI2640" i="7"/>
  <c r="AF2640" i="7"/>
  <c r="AE2640" i="7"/>
  <c r="AA2640" i="7"/>
  <c r="Z2640" i="7"/>
  <c r="M2640" i="7"/>
  <c r="J2640" i="7"/>
  <c r="D2640" i="7"/>
  <c r="AI2639" i="7"/>
  <c r="AF2639" i="7"/>
  <c r="AE2639" i="7"/>
  <c r="AA2639" i="7"/>
  <c r="Z2639" i="7"/>
  <c r="M2639" i="7"/>
  <c r="J2639" i="7"/>
  <c r="D2639" i="7"/>
  <c r="AI2638" i="7"/>
  <c r="AF2638" i="7"/>
  <c r="AE2638" i="7"/>
  <c r="AA2638" i="7"/>
  <c r="Z2638" i="7"/>
  <c r="M2638" i="7"/>
  <c r="J2638" i="7"/>
  <c r="D2638" i="7"/>
  <c r="AI2637" i="7"/>
  <c r="AF2637" i="7"/>
  <c r="AE2637" i="7"/>
  <c r="AA2637" i="7"/>
  <c r="Z2637" i="7"/>
  <c r="M2637" i="7"/>
  <c r="J2637" i="7"/>
  <c r="D2637" i="7"/>
  <c r="AI2636" i="7"/>
  <c r="AF2636" i="7"/>
  <c r="AE2636" i="7"/>
  <c r="AA2636" i="7"/>
  <c r="Z2636" i="7"/>
  <c r="M2636" i="7"/>
  <c r="J2636" i="7"/>
  <c r="D2636" i="7"/>
  <c r="AI2635" i="7"/>
  <c r="AF2635" i="7"/>
  <c r="AE2635" i="7"/>
  <c r="AA2635" i="7"/>
  <c r="Z2635" i="7"/>
  <c r="M2635" i="7"/>
  <c r="J2635" i="7"/>
  <c r="D2635" i="7"/>
  <c r="AI2634" i="7"/>
  <c r="AF2634" i="7"/>
  <c r="AE2634" i="7"/>
  <c r="AA2634" i="7"/>
  <c r="Z2634" i="7"/>
  <c r="M2634" i="7"/>
  <c r="J2634" i="7"/>
  <c r="D2634" i="7"/>
  <c r="AI2633" i="7"/>
  <c r="AF2633" i="7"/>
  <c r="AE2633" i="7"/>
  <c r="AA2633" i="7"/>
  <c r="Z2633" i="7"/>
  <c r="M2633" i="7"/>
  <c r="J2633" i="7"/>
  <c r="D2633" i="7"/>
  <c r="AI2632" i="7"/>
  <c r="AF2632" i="7"/>
  <c r="AE2632" i="7"/>
  <c r="AA2632" i="7"/>
  <c r="Z2632" i="7"/>
  <c r="M2632" i="7"/>
  <c r="J2632" i="7"/>
  <c r="D2632" i="7"/>
  <c r="AI2631" i="7"/>
  <c r="AF2631" i="7"/>
  <c r="AE2631" i="7"/>
  <c r="AA2631" i="7"/>
  <c r="Z2631" i="7"/>
  <c r="M2631" i="7"/>
  <c r="J2631" i="7"/>
  <c r="D2631" i="7"/>
  <c r="AI2630" i="7"/>
  <c r="AF2630" i="7"/>
  <c r="AE2630" i="7"/>
  <c r="AA2630" i="7"/>
  <c r="Z2630" i="7"/>
  <c r="M2630" i="7"/>
  <c r="J2630" i="7"/>
  <c r="D2630" i="7"/>
  <c r="AI2629" i="7"/>
  <c r="AF2629" i="7"/>
  <c r="AE2629" i="7"/>
  <c r="AA2629" i="7"/>
  <c r="Z2629" i="7"/>
  <c r="M2629" i="7"/>
  <c r="J2629" i="7"/>
  <c r="D2629" i="7"/>
  <c r="AI2628" i="7"/>
  <c r="AF2628" i="7"/>
  <c r="AE2628" i="7"/>
  <c r="AA2628" i="7"/>
  <c r="Z2628" i="7"/>
  <c r="M2628" i="7"/>
  <c r="J2628" i="7"/>
  <c r="D2628" i="7"/>
  <c r="AI2627" i="7"/>
  <c r="AF2627" i="7"/>
  <c r="AE2627" i="7"/>
  <c r="AA2627" i="7"/>
  <c r="Z2627" i="7"/>
  <c r="M2627" i="7"/>
  <c r="J2627" i="7"/>
  <c r="D2627" i="7"/>
  <c r="AI2626" i="7"/>
  <c r="AF2626" i="7"/>
  <c r="AE2626" i="7"/>
  <c r="AA2626" i="7"/>
  <c r="Z2626" i="7"/>
  <c r="M2626" i="7"/>
  <c r="J2626" i="7"/>
  <c r="D2626" i="7"/>
  <c r="AI2625" i="7"/>
  <c r="AF2625" i="7"/>
  <c r="AE2625" i="7"/>
  <c r="AA2625" i="7"/>
  <c r="Z2625" i="7"/>
  <c r="M2625" i="7"/>
  <c r="J2625" i="7"/>
  <c r="D2625" i="7"/>
  <c r="AI2624" i="7"/>
  <c r="AF2624" i="7"/>
  <c r="AE2624" i="7"/>
  <c r="AA2624" i="7"/>
  <c r="Z2624" i="7"/>
  <c r="M2624" i="7"/>
  <c r="J2624" i="7"/>
  <c r="D2624" i="7"/>
  <c r="AI2623" i="7"/>
  <c r="AF2623" i="7"/>
  <c r="AE2623" i="7"/>
  <c r="AA2623" i="7"/>
  <c r="Z2623" i="7"/>
  <c r="M2623" i="7"/>
  <c r="J2623" i="7"/>
  <c r="D2623" i="7"/>
  <c r="AI2622" i="7"/>
  <c r="AF2622" i="7"/>
  <c r="AE2622" i="7"/>
  <c r="AA2622" i="7"/>
  <c r="Z2622" i="7"/>
  <c r="M2622" i="7"/>
  <c r="J2622" i="7"/>
  <c r="D2622" i="7"/>
  <c r="AI2621" i="7"/>
  <c r="AF2621" i="7"/>
  <c r="AE2621" i="7"/>
  <c r="AA2621" i="7"/>
  <c r="Z2621" i="7"/>
  <c r="M2621" i="7"/>
  <c r="J2621" i="7"/>
  <c r="D2621" i="7"/>
  <c r="Z2618" i="7"/>
  <c r="J2618" i="7"/>
  <c r="D2618" i="7"/>
  <c r="AC2614" i="7"/>
  <c r="Z2614" i="7"/>
  <c r="L2614" i="7"/>
  <c r="J2614" i="7"/>
  <c r="D2614" i="7"/>
  <c r="AC2613" i="7"/>
  <c r="Z2613" i="7"/>
  <c r="L2613" i="7"/>
  <c r="J2613" i="7"/>
  <c r="D2613" i="7"/>
  <c r="AC2612" i="7"/>
  <c r="Z2612" i="7"/>
  <c r="L2612" i="7"/>
  <c r="J2612" i="7"/>
  <c r="D2612" i="7"/>
  <c r="AC2611" i="7"/>
  <c r="Z2611" i="7"/>
  <c r="L2611" i="7"/>
  <c r="J2611" i="7"/>
  <c r="D2611" i="7"/>
  <c r="AC2610" i="7"/>
  <c r="Z2610" i="7"/>
  <c r="L2610" i="7"/>
  <c r="J2610" i="7"/>
  <c r="D2610" i="7"/>
  <c r="AC2609" i="7"/>
  <c r="Z2609" i="7"/>
  <c r="L2609" i="7"/>
  <c r="J2609" i="7"/>
  <c r="D2609" i="7"/>
  <c r="AC2608" i="7"/>
  <c r="Z2608" i="7"/>
  <c r="L2608" i="7"/>
  <c r="J2608" i="7"/>
  <c r="D2608" i="7"/>
  <c r="AC2607" i="7"/>
  <c r="Z2607" i="7"/>
  <c r="L2607" i="7"/>
  <c r="J2607" i="7"/>
  <c r="D2607" i="7"/>
  <c r="AC2606" i="7"/>
  <c r="Z2606" i="7"/>
  <c r="L2606" i="7"/>
  <c r="J2606" i="7"/>
  <c r="D2606" i="7"/>
  <c r="AC2605" i="7"/>
  <c r="Z2605" i="7"/>
  <c r="L2605" i="7"/>
  <c r="J2605" i="7"/>
  <c r="D2605" i="7"/>
  <c r="AC2604" i="7"/>
  <c r="Z2604" i="7"/>
  <c r="L2604" i="7"/>
  <c r="J2604" i="7"/>
  <c r="D2604" i="7"/>
  <c r="AC2603" i="7"/>
  <c r="Z2603" i="7"/>
  <c r="L2603" i="7"/>
  <c r="J2603" i="7"/>
  <c r="D2603" i="7"/>
  <c r="AC2602" i="7"/>
  <c r="Z2602" i="7"/>
  <c r="L2602" i="7"/>
  <c r="J2602" i="7"/>
  <c r="D2602" i="7"/>
  <c r="AC2617" i="7"/>
  <c r="Z2617" i="7"/>
  <c r="L2617" i="7"/>
  <c r="J2617" i="7"/>
  <c r="D2617" i="7"/>
  <c r="AC2616" i="7"/>
  <c r="Z2616" i="7"/>
  <c r="L2616" i="7"/>
  <c r="J2616" i="7"/>
  <c r="D2616" i="7"/>
  <c r="AC2600" i="7"/>
  <c r="Z2600" i="7"/>
  <c r="L2600" i="7"/>
  <c r="J2600" i="7"/>
  <c r="D2600" i="7"/>
  <c r="AC2599" i="7"/>
  <c r="Z2599" i="7"/>
  <c r="L2599" i="7"/>
  <c r="J2599" i="7"/>
  <c r="D2599" i="7"/>
  <c r="AC2598" i="7"/>
  <c r="Z2598" i="7"/>
  <c r="L2598" i="7"/>
  <c r="J2598" i="7"/>
  <c r="D2598" i="7"/>
  <c r="AC2597" i="7"/>
  <c r="Z2597" i="7"/>
  <c r="L2597" i="7"/>
  <c r="J2597" i="7"/>
  <c r="D2597" i="7"/>
  <c r="AC2596" i="7"/>
  <c r="Z2596" i="7"/>
  <c r="L2596" i="7"/>
  <c r="J2596" i="7"/>
  <c r="D2596" i="7"/>
  <c r="AC2595" i="7"/>
  <c r="Z2595" i="7"/>
  <c r="L2595" i="7"/>
  <c r="J2595" i="7"/>
  <c r="D2595" i="7"/>
  <c r="AC2594" i="7"/>
  <c r="Z2594" i="7"/>
  <c r="L2594" i="7"/>
  <c r="J2594" i="7"/>
  <c r="D2594" i="7"/>
  <c r="AC2615" i="7"/>
  <c r="Z2615" i="7"/>
  <c r="L2615" i="7"/>
  <c r="J2615" i="7"/>
  <c r="D2615" i="7"/>
  <c r="AC2593" i="7"/>
  <c r="Z2593" i="7"/>
  <c r="L2593" i="7"/>
  <c r="J2593" i="7"/>
  <c r="D2593" i="7"/>
  <c r="AC2592" i="7"/>
  <c r="Z2592" i="7"/>
  <c r="L2592" i="7"/>
  <c r="J2592" i="7"/>
  <c r="D2592" i="7"/>
  <c r="AC2591" i="7"/>
  <c r="Z2591" i="7"/>
  <c r="L2591" i="7"/>
  <c r="J2591" i="7"/>
  <c r="D2591" i="7"/>
  <c r="AC2590" i="7"/>
  <c r="Z2590" i="7"/>
  <c r="L2590" i="7"/>
  <c r="J2590" i="7"/>
  <c r="D2590" i="7"/>
  <c r="AC2589" i="7"/>
  <c r="Z2589" i="7"/>
  <c r="L2589" i="7"/>
  <c r="J2589" i="7"/>
  <c r="D2589" i="7"/>
  <c r="AC2588" i="7"/>
  <c r="Z2588" i="7"/>
  <c r="L2588" i="7"/>
  <c r="J2588" i="7"/>
  <c r="D2588" i="7"/>
  <c r="AC2587" i="7"/>
  <c r="Z2587" i="7"/>
  <c r="L2587" i="7"/>
  <c r="J2587" i="7"/>
  <c r="D2587" i="7"/>
  <c r="AC2586" i="7"/>
  <c r="Z2586" i="7"/>
  <c r="L2586" i="7"/>
  <c r="J2586" i="7"/>
  <c r="D2586" i="7"/>
  <c r="AC2585" i="7"/>
  <c r="Z2585" i="7"/>
  <c r="L2585" i="7"/>
  <c r="J2585" i="7"/>
  <c r="D2585" i="7"/>
  <c r="AC2583" i="7"/>
  <c r="Z2583" i="7"/>
  <c r="L2583" i="7"/>
  <c r="J2583" i="7"/>
  <c r="D2583" i="7"/>
  <c r="AC2582" i="7"/>
  <c r="Z2582" i="7"/>
  <c r="L2582" i="7"/>
  <c r="J2582" i="7"/>
  <c r="D2582" i="7"/>
  <c r="AC2581" i="7"/>
  <c r="Z2581" i="7"/>
  <c r="L2581" i="7"/>
  <c r="J2581" i="7"/>
  <c r="D2581" i="7"/>
  <c r="Z2569" i="7"/>
  <c r="J2569" i="7"/>
  <c r="D2569" i="7"/>
  <c r="Z2565" i="7"/>
  <c r="J2565" i="7"/>
  <c r="D2565" i="7"/>
  <c r="Z2564" i="7"/>
  <c r="J2564" i="7"/>
  <c r="D2564" i="7"/>
  <c r="Z2563" i="7"/>
  <c r="J2563" i="7"/>
  <c r="D2563" i="7"/>
  <c r="Z2562" i="7"/>
  <c r="J2562" i="7"/>
  <c r="D2562" i="7"/>
  <c r="Z2561" i="7"/>
  <c r="J2561" i="7"/>
  <c r="D2561" i="7"/>
  <c r="Z2560" i="7"/>
  <c r="J2560" i="7"/>
  <c r="D2560" i="7"/>
  <c r="Z2559" i="7"/>
  <c r="J2559" i="7"/>
  <c r="D2559" i="7"/>
  <c r="Z2558" i="7"/>
  <c r="J2558" i="7"/>
  <c r="D2558" i="7"/>
  <c r="Z2557" i="7"/>
  <c r="J2557" i="7"/>
  <c r="D2557" i="7"/>
  <c r="Z2556" i="7"/>
  <c r="J2556" i="7"/>
  <c r="D2556" i="7"/>
  <c r="Z2555" i="7"/>
  <c r="J2555" i="7"/>
  <c r="D2555" i="7"/>
  <c r="Z2554" i="7"/>
  <c r="J2554" i="7"/>
  <c r="D2554" i="7"/>
  <c r="Z2553" i="7"/>
  <c r="J2553" i="7"/>
  <c r="D2553" i="7"/>
  <c r="Z2552" i="7"/>
  <c r="J2552" i="7"/>
  <c r="D2552" i="7"/>
  <c r="Z2551" i="7"/>
  <c r="J2551" i="7"/>
  <c r="D2551" i="7"/>
  <c r="Z2550" i="7"/>
  <c r="J2550" i="7"/>
  <c r="D2550" i="7"/>
  <c r="Z2549" i="7"/>
  <c r="J2549" i="7"/>
  <c r="D2549" i="7"/>
  <c r="AI2548" i="7"/>
  <c r="AF2548" i="7"/>
  <c r="Z2548" i="7"/>
  <c r="L2548" i="7"/>
  <c r="D2548" i="7"/>
  <c r="AI2547" i="7"/>
  <c r="AF2547" i="7"/>
  <c r="Z2547" i="7"/>
  <c r="L2547" i="7"/>
  <c r="D2547" i="7"/>
  <c r="AI2546" i="7"/>
  <c r="Z2546" i="7"/>
  <c r="L2546" i="7"/>
  <c r="D2546" i="7"/>
  <c r="AI2545" i="7"/>
  <c r="Z2545" i="7"/>
  <c r="L2545" i="7"/>
  <c r="D2545" i="7"/>
  <c r="Z2544" i="7"/>
  <c r="O2544" i="7"/>
  <c r="L2544" i="7"/>
  <c r="D2544" i="7"/>
  <c r="Z2543" i="7"/>
  <c r="O2543" i="7"/>
  <c r="L2543" i="7"/>
  <c r="D2543" i="7"/>
  <c r="AI2541" i="7"/>
  <c r="AF2541" i="7"/>
  <c r="Z2541" i="7"/>
  <c r="M2541" i="7"/>
  <c r="J2541" i="7"/>
  <c r="D2541" i="7"/>
  <c r="J2535" i="7"/>
  <c r="D2535" i="7"/>
  <c r="AF2528" i="7"/>
  <c r="Z2528" i="7"/>
  <c r="M2528" i="7"/>
  <c r="J2528" i="7"/>
  <c r="D2528" i="7"/>
  <c r="AF2527" i="7"/>
  <c r="Z2527" i="7"/>
  <c r="M2527" i="7"/>
  <c r="J2527" i="7"/>
  <c r="D2527" i="7"/>
  <c r="AF2526" i="7"/>
  <c r="Z2526" i="7"/>
  <c r="M2526" i="7"/>
  <c r="J2526" i="7"/>
  <c r="D2526" i="7"/>
  <c r="AF2525" i="7"/>
  <c r="Z2525" i="7"/>
  <c r="M2525" i="7"/>
  <c r="J2525" i="7"/>
  <c r="D2525" i="7"/>
  <c r="AF2524" i="7"/>
  <c r="Z2524" i="7"/>
  <c r="M2524" i="7"/>
  <c r="J2524" i="7"/>
  <c r="D2524" i="7"/>
  <c r="AC2522" i="7"/>
  <c r="Z2522" i="7"/>
  <c r="L2522" i="7"/>
  <c r="J2522" i="7"/>
  <c r="D2522" i="7"/>
  <c r="Z2520" i="7"/>
  <c r="J2520" i="7"/>
  <c r="D2520" i="7"/>
  <c r="AF2517" i="7"/>
  <c r="Z2517" i="7"/>
  <c r="O2517" i="7"/>
  <c r="D2517" i="7"/>
  <c r="AF2516" i="7"/>
  <c r="Z2516" i="7"/>
  <c r="O2516" i="7"/>
  <c r="D2516" i="7"/>
  <c r="AF2515" i="7"/>
  <c r="Z2515" i="7"/>
  <c r="O2515" i="7"/>
  <c r="D2515" i="7"/>
  <c r="AF2514" i="7"/>
  <c r="Z2514" i="7"/>
  <c r="O2514" i="7"/>
  <c r="D2514" i="7"/>
  <c r="AF2513" i="7"/>
  <c r="Z2513" i="7"/>
  <c r="O2513" i="7"/>
  <c r="D2513" i="7"/>
  <c r="AF2511" i="7"/>
  <c r="Z2511" i="7"/>
  <c r="O2511" i="7"/>
  <c r="D2511" i="7"/>
  <c r="AF2510" i="7"/>
  <c r="Z2510" i="7"/>
  <c r="O2510" i="7"/>
  <c r="D2510" i="7"/>
  <c r="AF2509" i="7"/>
  <c r="Z2509" i="7"/>
  <c r="O2509" i="7"/>
  <c r="D2509" i="7"/>
  <c r="AF2508" i="7"/>
  <c r="Z2508" i="7"/>
  <c r="O2508" i="7"/>
  <c r="D2508" i="7"/>
  <c r="AF2507" i="7"/>
  <c r="Z2507" i="7"/>
  <c r="O2507" i="7"/>
  <c r="D2507" i="7"/>
  <c r="Z2505" i="7"/>
  <c r="O2505" i="7"/>
  <c r="D2505" i="7"/>
  <c r="Z2504" i="7"/>
  <c r="O2504" i="7"/>
  <c r="D2504" i="7"/>
  <c r="Z2503" i="7"/>
  <c r="O2503" i="7"/>
  <c r="D2503" i="7"/>
  <c r="Z2502" i="7"/>
  <c r="O2502" i="7"/>
  <c r="D2502" i="7"/>
  <c r="Z2501" i="7"/>
  <c r="O2501" i="7"/>
  <c r="D2501" i="7"/>
  <c r="Z2500" i="7"/>
  <c r="O2500" i="7"/>
  <c r="D2500" i="7"/>
  <c r="Z2499" i="7"/>
  <c r="O2499" i="7"/>
  <c r="D2499" i="7"/>
  <c r="Z2498" i="7"/>
  <c r="O2498" i="7"/>
  <c r="D2498" i="7"/>
  <c r="Z2497" i="7"/>
  <c r="O2497" i="7"/>
  <c r="D2497" i="7"/>
  <c r="Z2496" i="7"/>
  <c r="O2496" i="7"/>
  <c r="D2496" i="7"/>
  <c r="Z2495" i="7"/>
  <c r="O2495" i="7"/>
  <c r="D2495" i="7"/>
  <c r="Z2494" i="7"/>
  <c r="O2494" i="7"/>
  <c r="D2494" i="7"/>
  <c r="Z2493" i="7"/>
  <c r="O2493" i="7"/>
  <c r="D2493" i="7"/>
  <c r="Z2492" i="7"/>
  <c r="O2492" i="7"/>
  <c r="D2492" i="7"/>
  <c r="D2488" i="7"/>
  <c r="AF2489" i="7"/>
  <c r="Z2489" i="7"/>
  <c r="O2489" i="7"/>
  <c r="D2489" i="7"/>
  <c r="Z2486" i="7"/>
  <c r="O2486" i="7"/>
  <c r="D2486" i="7"/>
  <c r="Z2487" i="7"/>
  <c r="O2487" i="7"/>
  <c r="D2487" i="7"/>
  <c r="Z2484" i="7"/>
  <c r="O2484" i="7"/>
  <c r="D2484" i="7"/>
  <c r="Z2483" i="7"/>
  <c r="O2483" i="7"/>
  <c r="D2483" i="7"/>
  <c r="Z2482" i="7"/>
  <c r="O2482" i="7"/>
  <c r="D2482" i="7"/>
  <c r="AF2478" i="7"/>
  <c r="Z2478" i="7"/>
  <c r="O2478" i="7"/>
  <c r="D2478" i="7"/>
  <c r="AF2476" i="7"/>
  <c r="Z2476" i="7"/>
  <c r="O2476" i="7"/>
  <c r="D2476" i="7"/>
  <c r="AF2475" i="7"/>
  <c r="Z2475" i="7"/>
  <c r="O2475" i="7"/>
  <c r="D2475" i="7"/>
  <c r="AF2474" i="7"/>
  <c r="Z2474" i="7"/>
  <c r="O2474" i="7"/>
  <c r="D2474" i="7"/>
  <c r="AF2473" i="7"/>
  <c r="Z2473" i="7"/>
  <c r="O2473" i="7"/>
  <c r="D2473" i="7"/>
  <c r="AF2472" i="7"/>
  <c r="Z2472" i="7"/>
  <c r="O2472" i="7"/>
  <c r="D2472" i="7"/>
  <c r="AF2471" i="7"/>
  <c r="Z2471" i="7"/>
  <c r="O2471" i="7"/>
  <c r="D2471" i="7"/>
  <c r="AF2470" i="7"/>
  <c r="Z2470" i="7"/>
  <c r="O2470" i="7"/>
  <c r="D2470" i="7"/>
  <c r="AF2469" i="7"/>
  <c r="Z2469" i="7"/>
  <c r="O2469" i="7"/>
  <c r="D2469" i="7"/>
  <c r="Z2466" i="7"/>
  <c r="O2466" i="7"/>
  <c r="D2466" i="7"/>
  <c r="Z2460" i="7"/>
  <c r="J2460" i="7"/>
  <c r="D2460" i="7"/>
  <c r="AF2455" i="7"/>
  <c r="Z2455" i="7"/>
  <c r="J2455" i="7"/>
  <c r="D2455" i="7"/>
  <c r="AF2454" i="7"/>
  <c r="Z2454" i="7"/>
  <c r="J2454" i="7"/>
  <c r="D2454" i="7"/>
  <c r="AF2453" i="7"/>
  <c r="Z2453" i="7"/>
  <c r="J2453" i="7"/>
  <c r="D2453" i="7"/>
  <c r="AF2448" i="7"/>
  <c r="Z2448" i="7"/>
  <c r="L2448" i="7"/>
  <c r="D2448" i="7"/>
  <c r="AF2447" i="7"/>
  <c r="Z2447" i="7"/>
  <c r="L2447" i="7"/>
  <c r="D2447" i="7"/>
  <c r="AF2452" i="7"/>
  <c r="Z2452" i="7"/>
  <c r="L2452" i="7"/>
  <c r="D2452" i="7"/>
  <c r="AF2445" i="7"/>
  <c r="Z2445" i="7"/>
  <c r="L2445" i="7"/>
  <c r="D2445" i="7"/>
  <c r="Z2441" i="7"/>
  <c r="M2441" i="7"/>
  <c r="J2441" i="7"/>
  <c r="D2441" i="7"/>
  <c r="Z2440" i="7"/>
  <c r="M2440" i="7"/>
  <c r="J2440" i="7"/>
  <c r="D2440" i="7"/>
  <c r="Z2439" i="7"/>
  <c r="M2439" i="7"/>
  <c r="J2439" i="7"/>
  <c r="D2439" i="7"/>
  <c r="Z2438" i="7"/>
  <c r="M2438" i="7"/>
  <c r="J2438" i="7"/>
  <c r="D2438" i="7"/>
  <c r="Z2437" i="7"/>
  <c r="M2437" i="7"/>
  <c r="J2437" i="7"/>
  <c r="D2437" i="7"/>
  <c r="Z2436" i="7"/>
  <c r="M2436" i="7"/>
  <c r="J2436" i="7"/>
  <c r="D2436" i="7"/>
  <c r="AI2435" i="7"/>
  <c r="AF2435" i="7"/>
  <c r="Z2435" i="7"/>
  <c r="L2435" i="7"/>
  <c r="J2435" i="7"/>
  <c r="D2435" i="7"/>
  <c r="Z2434" i="7"/>
  <c r="J2434" i="7"/>
  <c r="D2434" i="7"/>
  <c r="AI2431" i="7"/>
  <c r="AF2431" i="7"/>
  <c r="AA2431" i="7"/>
  <c r="Z2431" i="7"/>
  <c r="X2431" i="7"/>
  <c r="O2431" i="7"/>
  <c r="M2431" i="7"/>
  <c r="D2431" i="7"/>
  <c r="AA2429" i="7"/>
  <c r="Z2429" i="7"/>
  <c r="J2429" i="7"/>
  <c r="D2429" i="7"/>
  <c r="AA2430" i="7"/>
  <c r="Z2430" i="7"/>
  <c r="J2430" i="7"/>
  <c r="D2430" i="7"/>
  <c r="AA2428" i="7"/>
  <c r="Z2428" i="7"/>
  <c r="J2428" i="7"/>
  <c r="D2428" i="7"/>
  <c r="AA2427" i="7"/>
  <c r="Z2427" i="7"/>
  <c r="J2427" i="7"/>
  <c r="D2427" i="7"/>
  <c r="AA2426" i="7"/>
  <c r="Z2426" i="7"/>
  <c r="J2426" i="7"/>
  <c r="D2426" i="7"/>
  <c r="AA2425" i="7"/>
  <c r="Z2425" i="7"/>
  <c r="J2425" i="7"/>
  <c r="D2425" i="7"/>
  <c r="AA2424" i="7"/>
  <c r="Z2424" i="7"/>
  <c r="J2424" i="7"/>
  <c r="D2424" i="7"/>
  <c r="AA2423" i="7"/>
  <c r="Z2423" i="7"/>
  <c r="J2423" i="7"/>
  <c r="D2423" i="7"/>
  <c r="AA2422" i="7"/>
  <c r="Z2422" i="7"/>
  <c r="J2422" i="7"/>
  <c r="D2422" i="7"/>
  <c r="AA2421" i="7"/>
  <c r="Z2421" i="7"/>
  <c r="J2421" i="7"/>
  <c r="D2421" i="7"/>
  <c r="AA2420" i="7"/>
  <c r="Z2420" i="7"/>
  <c r="J2420" i="7"/>
  <c r="D2420" i="7"/>
  <c r="Z2417" i="7"/>
  <c r="M2417" i="7"/>
  <c r="D2417" i="7"/>
  <c r="Z2419" i="7"/>
  <c r="M2419" i="7"/>
  <c r="D2419" i="7"/>
  <c r="Z2418" i="7"/>
  <c r="M2418" i="7"/>
  <c r="D2418" i="7"/>
  <c r="Z2416" i="7"/>
  <c r="M2416" i="7"/>
  <c r="D2416" i="7"/>
  <c r="Z2415" i="7"/>
  <c r="M2415" i="7"/>
  <c r="D2415" i="7"/>
  <c r="Z2414" i="7"/>
  <c r="M2414" i="7"/>
  <c r="D2414" i="7"/>
  <c r="Z2413" i="7"/>
  <c r="M2413" i="7"/>
  <c r="D2413" i="7"/>
  <c r="Z2412" i="7"/>
  <c r="M2412" i="7"/>
  <c r="D2412" i="7"/>
  <c r="Z2411" i="7"/>
  <c r="M2411" i="7"/>
  <c r="D2411" i="7"/>
  <c r="Z2410" i="7"/>
  <c r="M2410" i="7"/>
  <c r="D2410" i="7"/>
  <c r="Z2409" i="7"/>
  <c r="M2409" i="7"/>
  <c r="D2409" i="7"/>
  <c r="Z2408" i="7"/>
  <c r="M2408" i="7"/>
  <c r="D2408" i="7"/>
  <c r="Z2407" i="7"/>
  <c r="M2407" i="7"/>
  <c r="D2407" i="7"/>
  <c r="Z2406" i="7"/>
  <c r="M2406" i="7"/>
  <c r="D2406" i="7"/>
  <c r="Z2405" i="7"/>
  <c r="J2405" i="7"/>
  <c r="D2405" i="7"/>
  <c r="Z2402" i="7"/>
  <c r="J2402" i="7"/>
  <c r="D2402" i="7"/>
  <c r="Z2400" i="7"/>
  <c r="D2400" i="7"/>
  <c r="Z2401" i="7"/>
  <c r="D2401" i="7"/>
  <c r="Z2399" i="7"/>
  <c r="J2399" i="7"/>
  <c r="D2399" i="7"/>
  <c r="Z2398" i="7"/>
  <c r="J2398" i="7"/>
  <c r="D2398" i="7"/>
  <c r="Z2397" i="7"/>
  <c r="D2397" i="7"/>
  <c r="Z2396" i="7"/>
  <c r="D2396" i="7"/>
  <c r="Z2395" i="7"/>
  <c r="D2395" i="7"/>
  <c r="Z2394" i="7"/>
  <c r="D2394" i="7"/>
  <c r="Z2393" i="7"/>
  <c r="D2393" i="7"/>
  <c r="Z2392" i="7"/>
  <c r="D2392" i="7"/>
  <c r="Z2391" i="7"/>
  <c r="D2391" i="7"/>
  <c r="Z2390" i="7"/>
  <c r="D2390" i="7"/>
  <c r="AF2389" i="7"/>
  <c r="AA2389" i="7"/>
  <c r="Z2389" i="7"/>
  <c r="J2389" i="7"/>
  <c r="D2389" i="7"/>
  <c r="AF2388" i="7"/>
  <c r="AA2388" i="7"/>
  <c r="Z2388" i="7"/>
  <c r="J2388" i="7"/>
  <c r="D2388" i="7"/>
  <c r="Z2387" i="7"/>
  <c r="D2387" i="7"/>
  <c r="Z2381" i="7"/>
  <c r="D2381" i="7"/>
  <c r="Z2380" i="7"/>
  <c r="D2380" i="7"/>
  <c r="Z2379" i="7"/>
  <c r="D2379" i="7"/>
  <c r="Z2378" i="7"/>
  <c r="D2378" i="7"/>
  <c r="Z2377" i="7"/>
  <c r="D2377" i="7"/>
  <c r="Z2375" i="7"/>
  <c r="J2375" i="7"/>
  <c r="D2375" i="7"/>
  <c r="Z2374" i="7"/>
  <c r="J2374" i="7"/>
  <c r="D2374" i="7"/>
  <c r="Z2373" i="7"/>
  <c r="J2373" i="7"/>
  <c r="D2373" i="7"/>
  <c r="AF2372" i="7"/>
  <c r="Z2372" i="7"/>
  <c r="J2372" i="7"/>
  <c r="D2372" i="7"/>
  <c r="AA2369" i="7"/>
  <c r="Z2369" i="7"/>
  <c r="J2369" i="7"/>
  <c r="D2369" i="7"/>
  <c r="AA2368" i="7"/>
  <c r="Z2368" i="7"/>
  <c r="J2368" i="7"/>
  <c r="D2368" i="7"/>
  <c r="AA2367" i="7"/>
  <c r="Z2367" i="7"/>
  <c r="J2367" i="7"/>
  <c r="D2367" i="7"/>
  <c r="AA2366" i="7"/>
  <c r="Z2366" i="7"/>
  <c r="J2366" i="7"/>
  <c r="D2366" i="7"/>
  <c r="AA2365" i="7"/>
  <c r="Z2365" i="7"/>
  <c r="J2365" i="7"/>
  <c r="D2365" i="7"/>
  <c r="AA2364" i="7"/>
  <c r="Z2364" i="7"/>
  <c r="J2364" i="7"/>
  <c r="D2364" i="7"/>
  <c r="AA2363" i="7"/>
  <c r="Z2363" i="7"/>
  <c r="J2363" i="7"/>
  <c r="D2363" i="7"/>
  <c r="AA2362" i="7"/>
  <c r="Z2362" i="7"/>
  <c r="J2362" i="7"/>
  <c r="D2362" i="7"/>
  <c r="AA2361" i="7"/>
  <c r="Z2361" i="7"/>
  <c r="J2361" i="7"/>
  <c r="D2361" i="7"/>
  <c r="Z2360" i="7"/>
  <c r="O2360" i="7"/>
  <c r="J2360" i="7"/>
  <c r="D2360" i="7"/>
  <c r="Z2359" i="7"/>
  <c r="O2359" i="7"/>
  <c r="J2359" i="7"/>
  <c r="D2359" i="7"/>
  <c r="AI2357" i="7"/>
  <c r="AF2357" i="7"/>
  <c r="Z2357" i="7"/>
  <c r="M2357" i="7"/>
  <c r="J2357" i="7"/>
  <c r="D2357" i="7"/>
  <c r="AI2356" i="7"/>
  <c r="AF2356" i="7"/>
  <c r="Z2356" i="7"/>
  <c r="M2356" i="7"/>
  <c r="J2356" i="7"/>
  <c r="D2356" i="7"/>
  <c r="AI2355" i="7"/>
  <c r="AF2355" i="7"/>
  <c r="Z2355" i="7"/>
  <c r="M2355" i="7"/>
  <c r="J2355" i="7"/>
  <c r="D2355" i="7"/>
  <c r="AI2354" i="7"/>
  <c r="AF2354" i="7"/>
  <c r="Z2354" i="7"/>
  <c r="M2354" i="7"/>
  <c r="J2354" i="7"/>
  <c r="D2354" i="7"/>
  <c r="Z2353" i="7"/>
  <c r="X2353" i="7"/>
  <c r="D2353" i="7"/>
  <c r="Z2349" i="7"/>
  <c r="X2349" i="7"/>
  <c r="D2349" i="7"/>
  <c r="Z2348" i="7"/>
  <c r="J2348" i="7"/>
  <c r="D2348" i="7"/>
  <c r="Z2328" i="7"/>
  <c r="X2328" i="7"/>
  <c r="M2328" i="7"/>
  <c r="J2328" i="7"/>
  <c r="D2328" i="7"/>
  <c r="Z2327" i="7"/>
  <c r="X2327" i="7"/>
  <c r="M2327" i="7"/>
  <c r="J2327" i="7"/>
  <c r="D2327" i="7"/>
  <c r="Z2326" i="7"/>
  <c r="X2326" i="7"/>
  <c r="M2326" i="7"/>
  <c r="J2326" i="7"/>
  <c r="D2326" i="7"/>
  <c r="Z2325" i="7"/>
  <c r="X2325" i="7"/>
  <c r="M2325" i="7"/>
  <c r="J2325" i="7"/>
  <c r="D2325" i="7"/>
  <c r="Z2324" i="7"/>
  <c r="X2324" i="7"/>
  <c r="M2324" i="7"/>
  <c r="J2324" i="7"/>
  <c r="D2324" i="7"/>
  <c r="Z2323" i="7"/>
  <c r="X2323" i="7"/>
  <c r="M2323" i="7"/>
  <c r="J2323" i="7"/>
  <c r="D2323" i="7"/>
  <c r="Z2322" i="7"/>
  <c r="X2322" i="7"/>
  <c r="M2322" i="7"/>
  <c r="J2322" i="7"/>
  <c r="D2322" i="7"/>
  <c r="Z2321" i="7"/>
  <c r="X2321" i="7"/>
  <c r="M2321" i="7"/>
  <c r="J2321" i="7"/>
  <c r="D2321" i="7"/>
  <c r="Z2320" i="7"/>
  <c r="X2320" i="7"/>
  <c r="M2320" i="7"/>
  <c r="J2320" i="7"/>
  <c r="D2320" i="7"/>
  <c r="Z2319" i="7"/>
  <c r="X2319" i="7"/>
  <c r="M2319" i="7"/>
  <c r="J2319" i="7"/>
  <c r="D2319" i="7"/>
  <c r="AF2318" i="7"/>
  <c r="Z2318" i="7"/>
  <c r="L2318" i="7"/>
  <c r="D2318" i="7"/>
  <c r="AF2317" i="7"/>
  <c r="Z2317" i="7"/>
  <c r="L2317" i="7"/>
  <c r="D2317" i="7"/>
  <c r="AF2316" i="7"/>
  <c r="Z2316" i="7"/>
  <c r="L2316" i="7"/>
  <c r="D2316" i="7"/>
  <c r="AF2315" i="7"/>
  <c r="Z2315" i="7"/>
  <c r="L2315" i="7"/>
  <c r="D2315" i="7"/>
  <c r="AF2314" i="7"/>
  <c r="Z2314" i="7"/>
  <c r="L2314" i="7"/>
  <c r="D2314" i="7"/>
  <c r="AF2313" i="7"/>
  <c r="Z2313" i="7"/>
  <c r="D2313" i="7"/>
  <c r="AF2312" i="7"/>
  <c r="AA2312" i="7"/>
  <c r="Z2312" i="7"/>
  <c r="X2312" i="7"/>
  <c r="M2312" i="7"/>
  <c r="J2312" i="7"/>
  <c r="D2312" i="7"/>
  <c r="AF2311" i="7"/>
  <c r="AA2311" i="7"/>
  <c r="Z2311" i="7"/>
  <c r="X2311" i="7"/>
  <c r="M2311" i="7"/>
  <c r="J2311" i="7"/>
  <c r="D2311" i="7"/>
  <c r="AF2310" i="7"/>
  <c r="AA2310" i="7"/>
  <c r="Z2310" i="7"/>
  <c r="X2310" i="7"/>
  <c r="M2310" i="7"/>
  <c r="J2310" i="7"/>
  <c r="D2310" i="7"/>
  <c r="AF2309" i="7"/>
  <c r="AA2309" i="7"/>
  <c r="Z2309" i="7"/>
  <c r="X2309" i="7"/>
  <c r="M2309" i="7"/>
  <c r="J2309" i="7"/>
  <c r="D2309" i="7"/>
  <c r="AF2308" i="7"/>
  <c r="AA2308" i="7"/>
  <c r="Z2308" i="7"/>
  <c r="X2308" i="7"/>
  <c r="M2308" i="7"/>
  <c r="J2308" i="7"/>
  <c r="D2308" i="7"/>
  <c r="AF2307" i="7"/>
  <c r="AA2307" i="7"/>
  <c r="Z2307" i="7"/>
  <c r="X2307" i="7"/>
  <c r="M2307" i="7"/>
  <c r="J2307" i="7"/>
  <c r="D2307" i="7"/>
  <c r="AF2305" i="7"/>
  <c r="AA2305" i="7"/>
  <c r="Z2305" i="7"/>
  <c r="X2305" i="7"/>
  <c r="M2305" i="7"/>
  <c r="J2305" i="7"/>
  <c r="D2305" i="7"/>
  <c r="AF2304" i="7"/>
  <c r="AA2304" i="7"/>
  <c r="Z2304" i="7"/>
  <c r="X2304" i="7"/>
  <c r="M2304" i="7"/>
  <c r="J2304" i="7"/>
  <c r="D2304" i="7"/>
  <c r="AF2303" i="7"/>
  <c r="AA2303" i="7"/>
  <c r="Z2303" i="7"/>
  <c r="X2303" i="7"/>
  <c r="M2303" i="7"/>
  <c r="J2303" i="7"/>
  <c r="D2303" i="7"/>
  <c r="AF2302" i="7"/>
  <c r="AA2302" i="7"/>
  <c r="Z2302" i="7"/>
  <c r="X2302" i="7"/>
  <c r="M2302" i="7"/>
  <c r="J2302" i="7"/>
  <c r="D2302" i="7"/>
  <c r="AF2301" i="7"/>
  <c r="AA2301" i="7"/>
  <c r="Z2301" i="7"/>
  <c r="X2301" i="7"/>
  <c r="M2301" i="7"/>
  <c r="J2301" i="7"/>
  <c r="D2301" i="7"/>
  <c r="AF2300" i="7"/>
  <c r="AA2300" i="7"/>
  <c r="Z2300" i="7"/>
  <c r="X2300" i="7"/>
  <c r="M2300" i="7"/>
  <c r="J2300" i="7"/>
  <c r="D2300" i="7"/>
  <c r="AF2298" i="7"/>
  <c r="AA2298" i="7"/>
  <c r="Z2298" i="7"/>
  <c r="X2298" i="7"/>
  <c r="M2298" i="7"/>
  <c r="J2298" i="7"/>
  <c r="D2298" i="7"/>
  <c r="AF2297" i="7"/>
  <c r="AA2297" i="7"/>
  <c r="Z2297" i="7"/>
  <c r="X2297" i="7"/>
  <c r="M2297" i="7"/>
  <c r="J2297" i="7"/>
  <c r="D2297" i="7"/>
  <c r="AF2296" i="7"/>
  <c r="AA2296" i="7"/>
  <c r="Z2296" i="7"/>
  <c r="X2296" i="7"/>
  <c r="M2296" i="7"/>
  <c r="J2296" i="7"/>
  <c r="D2296" i="7"/>
  <c r="AF2295" i="7"/>
  <c r="AA2295" i="7"/>
  <c r="Z2295" i="7"/>
  <c r="X2295" i="7"/>
  <c r="M2295" i="7"/>
  <c r="J2295" i="7"/>
  <c r="D2295" i="7"/>
  <c r="AF2294" i="7"/>
  <c r="AA2294" i="7"/>
  <c r="Z2294" i="7"/>
  <c r="X2294" i="7"/>
  <c r="M2294" i="7"/>
  <c r="J2294" i="7"/>
  <c r="D2294" i="7"/>
  <c r="AF2293" i="7"/>
  <c r="AA2293" i="7"/>
  <c r="Z2293" i="7"/>
  <c r="X2293" i="7"/>
  <c r="M2293" i="7"/>
  <c r="J2293" i="7"/>
  <c r="D2293" i="7"/>
  <c r="AF2342" i="7"/>
  <c r="Z2342" i="7"/>
  <c r="X2342" i="7"/>
  <c r="M2342" i="7"/>
  <c r="D2342" i="7"/>
  <c r="AF2341" i="7"/>
  <c r="Z2341" i="7"/>
  <c r="X2341" i="7"/>
  <c r="M2341" i="7"/>
  <c r="D2341" i="7"/>
  <c r="AF2340" i="7"/>
  <c r="Z2340" i="7"/>
  <c r="X2340" i="7"/>
  <c r="M2340" i="7"/>
  <c r="D2340" i="7"/>
  <c r="AF2339" i="7"/>
  <c r="Z2339" i="7"/>
  <c r="X2339" i="7"/>
  <c r="M2339" i="7"/>
  <c r="D2339" i="7"/>
  <c r="AF2338" i="7"/>
  <c r="Z2338" i="7"/>
  <c r="X2338" i="7"/>
  <c r="M2338" i="7"/>
  <c r="D2338" i="7"/>
  <c r="AF2337" i="7"/>
  <c r="Z2337" i="7"/>
  <c r="X2337" i="7"/>
  <c r="M2337" i="7"/>
  <c r="D2337" i="7"/>
  <c r="AF2334" i="7"/>
  <c r="Z2334" i="7"/>
  <c r="X2334" i="7"/>
  <c r="M2334" i="7"/>
  <c r="D2334" i="7"/>
  <c r="AF2332" i="7"/>
  <c r="Z2332" i="7"/>
  <c r="X2332" i="7"/>
  <c r="M2332" i="7"/>
  <c r="D2332" i="7"/>
  <c r="AF2331" i="7"/>
  <c r="Z2331" i="7"/>
  <c r="X2331" i="7"/>
  <c r="M2331" i="7"/>
  <c r="D2331" i="7"/>
  <c r="AF2330" i="7"/>
  <c r="Z2330" i="7"/>
  <c r="X2330" i="7"/>
  <c r="M2330" i="7"/>
  <c r="D2330" i="7"/>
  <c r="AF2329" i="7"/>
  <c r="Z2329" i="7"/>
  <c r="X2329" i="7"/>
  <c r="M2329" i="7"/>
  <c r="D2329" i="7"/>
  <c r="Z2288" i="7"/>
  <c r="X2288" i="7"/>
  <c r="L2288" i="7"/>
  <c r="J2288" i="7"/>
  <c r="D2288" i="7"/>
  <c r="AI2287" i="7"/>
  <c r="Z2287" i="7"/>
  <c r="D2287" i="7"/>
  <c r="AF2285" i="7"/>
  <c r="Z2285" i="7"/>
  <c r="M2285" i="7"/>
  <c r="D2285" i="7"/>
  <c r="AF2284" i="7"/>
  <c r="Z2284" i="7"/>
  <c r="M2284" i="7"/>
  <c r="D2284" i="7"/>
  <c r="AF2283" i="7"/>
  <c r="Z2283" i="7"/>
  <c r="M2283" i="7"/>
  <c r="D2283" i="7"/>
  <c r="AF2282" i="7"/>
  <c r="Z2282" i="7"/>
  <c r="M2282" i="7"/>
  <c r="D2282" i="7"/>
  <c r="AF2280" i="7"/>
  <c r="Z2280" i="7"/>
  <c r="M2280" i="7"/>
  <c r="D2280" i="7"/>
  <c r="Z2279" i="7"/>
  <c r="D2279" i="7"/>
  <c r="Z2278" i="7"/>
  <c r="D2278" i="7"/>
  <c r="Z2277" i="7"/>
  <c r="D2277" i="7"/>
  <c r="Z2276" i="7"/>
  <c r="D2276" i="7"/>
  <c r="Z2275" i="7"/>
  <c r="D2275" i="7"/>
  <c r="Z2274" i="7"/>
  <c r="D2274" i="7"/>
  <c r="Z2273" i="7"/>
  <c r="M2273" i="7"/>
  <c r="J2273" i="7"/>
  <c r="D2273" i="7"/>
  <c r="AI2272" i="7"/>
  <c r="AF2272" i="7"/>
  <c r="Z2272" i="7"/>
  <c r="M2272" i="7"/>
  <c r="J2272" i="7"/>
  <c r="D2272" i="7"/>
  <c r="Z2268" i="7"/>
  <c r="X2268" i="7"/>
  <c r="L2268" i="7"/>
  <c r="D2268" i="7"/>
  <c r="Z2267" i="7"/>
  <c r="X2267" i="7"/>
  <c r="L2267" i="7"/>
  <c r="D2267" i="7"/>
  <c r="Z2266" i="7"/>
  <c r="X2266" i="7"/>
  <c r="L2266" i="7"/>
  <c r="D2266" i="7"/>
  <c r="Z2265" i="7"/>
  <c r="X2265" i="7"/>
  <c r="L2265" i="7"/>
  <c r="D2265" i="7"/>
  <c r="Z2264" i="7"/>
  <c r="X2264" i="7"/>
  <c r="L2264" i="7"/>
  <c r="D2264" i="7"/>
  <c r="Z2257" i="7"/>
  <c r="M2257" i="7"/>
  <c r="D2257" i="7"/>
  <c r="Z2256" i="7"/>
  <c r="M2256" i="7"/>
  <c r="D2256" i="7"/>
  <c r="Z2254" i="7"/>
  <c r="M2254" i="7"/>
  <c r="D2254" i="7"/>
  <c r="Z2252" i="7"/>
  <c r="M2252" i="7"/>
  <c r="D2252" i="7"/>
  <c r="Z2251" i="7"/>
  <c r="M2251" i="7"/>
  <c r="D2251" i="7"/>
  <c r="Z2250" i="7"/>
  <c r="M2250" i="7"/>
  <c r="D2250" i="7"/>
  <c r="Z2249" i="7"/>
  <c r="M2249" i="7"/>
  <c r="D2249" i="7"/>
  <c r="Z2248" i="7"/>
  <c r="M2248" i="7"/>
  <c r="D2248" i="7"/>
  <c r="Z2247" i="7"/>
  <c r="M2247" i="7"/>
  <c r="D2247" i="7"/>
  <c r="Z2246" i="7"/>
  <c r="M2246" i="7"/>
  <c r="D2246" i="7"/>
  <c r="Z2245" i="7"/>
  <c r="M2245" i="7"/>
  <c r="D2245" i="7"/>
  <c r="Z2244" i="7"/>
  <c r="M2244" i="7"/>
  <c r="D2244" i="7"/>
  <c r="Z2239" i="7"/>
  <c r="M2239" i="7"/>
  <c r="J2239" i="7"/>
  <c r="D2239" i="7"/>
  <c r="Z2238" i="7"/>
  <c r="M2238" i="7"/>
  <c r="J2238" i="7"/>
  <c r="D2238" i="7"/>
  <c r="Z2237" i="7"/>
  <c r="M2237" i="7"/>
  <c r="J2237" i="7"/>
  <c r="D2237" i="7"/>
  <c r="Z2236" i="7"/>
  <c r="M2236" i="7"/>
  <c r="J2236" i="7"/>
  <c r="D2236" i="7"/>
  <c r="Z2235" i="7"/>
  <c r="M2235" i="7"/>
  <c r="J2235" i="7"/>
  <c r="D2235" i="7"/>
  <c r="Z2234" i="7"/>
  <c r="M2234" i="7"/>
  <c r="J2234" i="7"/>
  <c r="D2234" i="7"/>
  <c r="Z2233" i="7"/>
  <c r="M2233" i="7"/>
  <c r="J2233" i="7"/>
  <c r="D2233" i="7"/>
  <c r="Z2232" i="7"/>
  <c r="M2232" i="7"/>
  <c r="J2232" i="7"/>
  <c r="D2232" i="7"/>
  <c r="Z2231" i="7"/>
  <c r="M2231" i="7"/>
  <c r="J2231" i="7"/>
  <c r="D2231" i="7"/>
  <c r="Z2230" i="7"/>
  <c r="M2230" i="7"/>
  <c r="J2230" i="7"/>
  <c r="D2230" i="7"/>
  <c r="Z2229" i="7"/>
  <c r="M2229" i="7"/>
  <c r="J2229" i="7"/>
  <c r="D2229" i="7"/>
  <c r="Z2228" i="7"/>
  <c r="M2228" i="7"/>
  <c r="J2228" i="7"/>
  <c r="D2228" i="7"/>
  <c r="Z2227" i="7"/>
  <c r="M2227" i="7"/>
  <c r="J2227" i="7"/>
  <c r="D2227" i="7"/>
  <c r="Z2226" i="7"/>
  <c r="M2226" i="7"/>
  <c r="J2226" i="7"/>
  <c r="D2226" i="7"/>
  <c r="Z2225" i="7"/>
  <c r="M2225" i="7"/>
  <c r="J2225" i="7"/>
  <c r="D2225" i="7"/>
  <c r="Z2220" i="7"/>
  <c r="M2220" i="7"/>
  <c r="J2220" i="7"/>
  <c r="D2220" i="7"/>
  <c r="Z2219" i="7"/>
  <c r="M2219" i="7"/>
  <c r="J2219" i="7"/>
  <c r="D2219" i="7"/>
  <c r="Z2218" i="7"/>
  <c r="M2218" i="7"/>
  <c r="J2218" i="7"/>
  <c r="D2218" i="7"/>
  <c r="Z2217" i="7"/>
  <c r="M2217" i="7"/>
  <c r="J2217" i="7"/>
  <c r="D2217" i="7"/>
  <c r="Z2216" i="7"/>
  <c r="M2216" i="7"/>
  <c r="J2216" i="7"/>
  <c r="D2216" i="7"/>
  <c r="Z2215" i="7"/>
  <c r="M2215" i="7"/>
  <c r="J2215" i="7"/>
  <c r="D2215" i="7"/>
  <c r="Z2214" i="7"/>
  <c r="M2214" i="7"/>
  <c r="J2214" i="7"/>
  <c r="D2214" i="7"/>
  <c r="Z2213" i="7"/>
  <c r="M2213" i="7"/>
  <c r="J2213" i="7"/>
  <c r="D2213" i="7"/>
  <c r="AC2204" i="7"/>
  <c r="Z2204" i="7"/>
  <c r="L2204" i="7"/>
  <c r="J2204" i="7"/>
  <c r="D2204" i="7"/>
  <c r="AF2212" i="7"/>
  <c r="AC2212" i="7"/>
  <c r="Z2212" i="7"/>
  <c r="L2212" i="7"/>
  <c r="J2212" i="7"/>
  <c r="D2212" i="7"/>
  <c r="AF2211" i="7"/>
  <c r="AC2211" i="7"/>
  <c r="Z2211" i="7"/>
  <c r="AF2210" i="7"/>
  <c r="AC2210" i="7"/>
  <c r="Z2210" i="7"/>
  <c r="L2210" i="7"/>
  <c r="J2210" i="7"/>
  <c r="D2210" i="7"/>
  <c r="AF2209" i="7"/>
  <c r="AC2209" i="7"/>
  <c r="Z2209" i="7"/>
  <c r="L2209" i="7"/>
  <c r="J2209" i="7"/>
  <c r="D2209" i="7"/>
  <c r="AF2208" i="7"/>
  <c r="AC2208" i="7"/>
  <c r="Z2208" i="7"/>
  <c r="L2208" i="7"/>
  <c r="J2208" i="7"/>
  <c r="D2208" i="7"/>
  <c r="AF2207" i="7"/>
  <c r="AC2207" i="7"/>
  <c r="Z2207" i="7"/>
  <c r="L2207" i="7"/>
  <c r="J2207" i="7"/>
  <c r="D2207" i="7"/>
  <c r="AC2203" i="7"/>
  <c r="Z2203" i="7"/>
  <c r="L2203" i="7"/>
  <c r="J2203" i="7"/>
  <c r="D2203" i="7"/>
  <c r="AC2197" i="7"/>
  <c r="Z2197" i="7"/>
  <c r="L2197" i="7"/>
  <c r="J2197" i="7"/>
  <c r="D2197" i="7"/>
  <c r="AC2196" i="7"/>
  <c r="Z2196" i="7"/>
  <c r="L2196" i="7"/>
  <c r="J2196" i="7"/>
  <c r="D2196" i="7"/>
  <c r="AC2195" i="7"/>
  <c r="Z2195" i="7"/>
  <c r="L2195" i="7"/>
  <c r="J2195" i="7"/>
  <c r="D2195" i="7"/>
  <c r="AC2193" i="7"/>
  <c r="Z2193" i="7"/>
  <c r="L2193" i="7"/>
  <c r="J2193" i="7"/>
  <c r="D2193" i="7"/>
  <c r="AC2192" i="7"/>
  <c r="Z2192" i="7"/>
  <c r="L2192" i="7"/>
  <c r="J2192" i="7"/>
  <c r="D2192" i="7"/>
  <c r="AC2191" i="7"/>
  <c r="Z2191" i="7"/>
  <c r="L2191" i="7"/>
  <c r="J2191" i="7"/>
  <c r="D2191" i="7"/>
  <c r="AC2190" i="7"/>
  <c r="Z2190" i="7"/>
  <c r="L2190" i="7"/>
  <c r="J2190" i="7"/>
  <c r="D2190" i="7"/>
  <c r="AC2189" i="7"/>
  <c r="Z2189" i="7"/>
  <c r="L2189" i="7"/>
  <c r="J2189" i="7"/>
  <c r="D2189" i="7"/>
  <c r="AC2188" i="7"/>
  <c r="Z2188" i="7"/>
  <c r="L2188" i="7"/>
  <c r="J2188" i="7"/>
  <c r="D2188" i="7"/>
  <c r="AC2187" i="7"/>
  <c r="Z2187" i="7"/>
  <c r="L2187" i="7"/>
  <c r="J2187" i="7"/>
  <c r="D2187" i="7"/>
  <c r="AC2186" i="7"/>
  <c r="Z2186" i="7"/>
  <c r="L2186" i="7"/>
  <c r="J2186" i="7"/>
  <c r="D2186" i="7"/>
  <c r="AC2185" i="7"/>
  <c r="Z2185" i="7"/>
  <c r="L2185" i="7"/>
  <c r="J2185" i="7"/>
  <c r="D2185" i="7"/>
  <c r="AC2184" i="7"/>
  <c r="Z2184" i="7"/>
  <c r="L2184" i="7"/>
  <c r="J2184" i="7"/>
  <c r="D2184" i="7"/>
  <c r="AC2183" i="7"/>
  <c r="Z2183" i="7"/>
  <c r="L2183" i="7"/>
  <c r="J2183" i="7"/>
  <c r="D2183" i="7"/>
  <c r="AC2182" i="7"/>
  <c r="Z2182" i="7"/>
  <c r="L2182" i="7"/>
  <c r="J2182" i="7"/>
  <c r="D2182" i="7"/>
  <c r="AC2181" i="7"/>
  <c r="Z2181" i="7"/>
  <c r="L2181" i="7"/>
  <c r="J2181" i="7"/>
  <c r="D2181" i="7"/>
  <c r="AC2180" i="7"/>
  <c r="Z2180" i="7"/>
  <c r="L2180" i="7"/>
  <c r="J2180" i="7"/>
  <c r="D2180" i="7"/>
  <c r="AC2179" i="7"/>
  <c r="Z2179" i="7"/>
  <c r="L2179" i="7"/>
  <c r="J2179" i="7"/>
  <c r="D2179" i="7"/>
  <c r="AC2178" i="7"/>
  <c r="Z2178" i="7"/>
  <c r="L2178" i="7"/>
  <c r="J2178" i="7"/>
  <c r="D2178" i="7"/>
  <c r="AC2177" i="7"/>
  <c r="Z2177" i="7"/>
  <c r="L2177" i="7"/>
  <c r="J2177" i="7"/>
  <c r="D2177" i="7"/>
  <c r="AC2176" i="7"/>
  <c r="Z2176" i="7"/>
  <c r="L2176" i="7"/>
  <c r="J2176" i="7"/>
  <c r="D2176" i="7"/>
  <c r="AC2175" i="7"/>
  <c r="Z2175" i="7"/>
  <c r="L2175" i="7"/>
  <c r="J2175" i="7"/>
  <c r="D2175" i="7"/>
  <c r="AC2174" i="7"/>
  <c r="Z2174" i="7"/>
  <c r="L2174" i="7"/>
  <c r="J2174" i="7"/>
  <c r="D2174" i="7"/>
  <c r="AC2173" i="7"/>
  <c r="Z2173" i="7"/>
  <c r="L2173" i="7"/>
  <c r="J2173" i="7"/>
  <c r="D2173" i="7"/>
  <c r="AC2172" i="7"/>
  <c r="Z2172" i="7"/>
  <c r="L2172" i="7"/>
  <c r="J2172" i="7"/>
  <c r="D2172" i="7"/>
  <c r="AC2171" i="7"/>
  <c r="Z2171" i="7"/>
  <c r="L2171" i="7"/>
  <c r="J2171" i="7"/>
  <c r="D2171" i="7"/>
  <c r="AC2169" i="7"/>
  <c r="Z2169" i="7"/>
  <c r="L2169" i="7"/>
  <c r="J2169" i="7"/>
  <c r="D2169" i="7"/>
  <c r="Z2167" i="7"/>
  <c r="J2167" i="7"/>
  <c r="D2167" i="7"/>
  <c r="Z2166" i="7"/>
  <c r="J2166" i="7"/>
  <c r="D2166" i="7"/>
  <c r="Z2165" i="7"/>
  <c r="J2165" i="7"/>
  <c r="D2165" i="7"/>
  <c r="Z2163" i="7"/>
  <c r="D2163" i="7"/>
  <c r="Z2164" i="7"/>
  <c r="J2164" i="7"/>
  <c r="D2164" i="7"/>
  <c r="Z2162" i="7"/>
  <c r="J2162" i="7"/>
  <c r="D2162" i="7"/>
  <c r="Z2161" i="7"/>
  <c r="J2161" i="7"/>
  <c r="D2161" i="7"/>
  <c r="Z2160" i="7"/>
  <c r="O2160" i="7"/>
  <c r="J2160" i="7"/>
  <c r="D2160" i="7"/>
  <c r="Z2159" i="7"/>
  <c r="O2159" i="7"/>
  <c r="J2159" i="7"/>
  <c r="D2159" i="7"/>
  <c r="Z2158" i="7"/>
  <c r="O2158" i="7"/>
  <c r="J2158" i="7"/>
  <c r="D2158" i="7"/>
  <c r="Z2157" i="7"/>
  <c r="J2157" i="7"/>
  <c r="D2157" i="7"/>
  <c r="Z2156" i="7"/>
  <c r="J2156" i="7"/>
  <c r="D2156" i="7"/>
  <c r="Z2155" i="7"/>
  <c r="J2155" i="7"/>
  <c r="D2155" i="7"/>
  <c r="AF2152" i="7"/>
  <c r="Z2152" i="7"/>
  <c r="D2152" i="7"/>
  <c r="Z2151" i="7"/>
  <c r="D2151" i="7"/>
  <c r="Z2150" i="7"/>
  <c r="D2150" i="7"/>
  <c r="Z2147" i="7"/>
  <c r="J2147" i="7"/>
  <c r="D2147" i="7"/>
  <c r="Z2146" i="7"/>
  <c r="J2146" i="7"/>
  <c r="D2146" i="7"/>
  <c r="Z2143" i="7"/>
  <c r="D2143" i="7"/>
  <c r="Z2141" i="7"/>
  <c r="D2141" i="7"/>
  <c r="Z2140" i="7"/>
  <c r="D2140" i="7"/>
  <c r="Z2139" i="7"/>
  <c r="D2139" i="7"/>
  <c r="AF2136" i="7"/>
  <c r="Z2136" i="7"/>
  <c r="M2136" i="7"/>
  <c r="J2136" i="7"/>
  <c r="D2136" i="7"/>
  <c r="AF2135" i="7"/>
  <c r="Z2135" i="7"/>
  <c r="M2135" i="7"/>
  <c r="J2135" i="7"/>
  <c r="D2135" i="7"/>
  <c r="AF2134" i="7"/>
  <c r="Z2134" i="7"/>
  <c r="M2134" i="7"/>
  <c r="J2134" i="7"/>
  <c r="D2134" i="7"/>
  <c r="AF2133" i="7"/>
  <c r="Z2133" i="7"/>
  <c r="M2133" i="7"/>
  <c r="J2133" i="7"/>
  <c r="D2133" i="7"/>
  <c r="AF2132" i="7"/>
  <c r="Z2132" i="7"/>
  <c r="M2132" i="7"/>
  <c r="J2132" i="7"/>
  <c r="D2132" i="7"/>
  <c r="AF2130" i="7"/>
  <c r="Z2130" i="7"/>
  <c r="M2130" i="7"/>
  <c r="D2130" i="7"/>
  <c r="AF2129" i="7"/>
  <c r="Z2129" i="7"/>
  <c r="M2129" i="7"/>
  <c r="D2129" i="7"/>
  <c r="AF2128" i="7"/>
  <c r="Z2128" i="7"/>
  <c r="M2128" i="7"/>
  <c r="D2128" i="7"/>
  <c r="AF2127" i="7"/>
  <c r="Z2127" i="7"/>
  <c r="M2127" i="7"/>
  <c r="D2127" i="7"/>
  <c r="AF2126" i="7"/>
  <c r="Z2126" i="7"/>
  <c r="M2126" i="7"/>
  <c r="D2126" i="7"/>
  <c r="AF2125" i="7"/>
  <c r="Z2125" i="7"/>
  <c r="M2125" i="7"/>
  <c r="D2125" i="7"/>
  <c r="AF2124" i="7"/>
  <c r="Z2124" i="7"/>
  <c r="M2124" i="7"/>
  <c r="D2124" i="7"/>
  <c r="AF2131" i="7"/>
  <c r="Z2131" i="7"/>
  <c r="M2131" i="7"/>
  <c r="D2131" i="7"/>
  <c r="AF2123" i="7"/>
  <c r="Z2123" i="7"/>
  <c r="M2123" i="7"/>
  <c r="D2123" i="7"/>
  <c r="AF2122" i="7"/>
  <c r="Z2122" i="7"/>
  <c r="M2122" i="7"/>
  <c r="D2122" i="7"/>
  <c r="AF2121" i="7"/>
  <c r="Z2121" i="7"/>
  <c r="M2121" i="7"/>
  <c r="D2121" i="7"/>
  <c r="AF2120" i="7"/>
  <c r="Z2120" i="7"/>
  <c r="M2120" i="7"/>
  <c r="D2120" i="7"/>
  <c r="AF2119" i="7"/>
  <c r="Z2119" i="7"/>
  <c r="M2119" i="7"/>
  <c r="D2119" i="7"/>
  <c r="AF2118" i="7"/>
  <c r="Z2118" i="7"/>
  <c r="M2118" i="7"/>
  <c r="D2118" i="7"/>
  <c r="Z2117" i="7"/>
  <c r="D2117" i="7"/>
  <c r="Z2116" i="7"/>
  <c r="D2116" i="7"/>
  <c r="Z2115" i="7"/>
  <c r="D2115" i="7"/>
  <c r="Z2114" i="7"/>
  <c r="D2114" i="7"/>
  <c r="Z2113" i="7"/>
  <c r="D2113" i="7"/>
  <c r="Z2107" i="7"/>
  <c r="D2107" i="7"/>
  <c r="Z2112" i="7"/>
  <c r="D2112" i="7"/>
  <c r="Z2111" i="7"/>
  <c r="D2111" i="7"/>
  <c r="Z2110" i="7"/>
  <c r="D2110" i="7"/>
  <c r="Z2109" i="7"/>
  <c r="D2109" i="7"/>
  <c r="Z2106" i="7"/>
  <c r="D2106" i="7"/>
  <c r="Z2108" i="7"/>
  <c r="D2108" i="7"/>
  <c r="AE2103" i="7"/>
  <c r="Z2103" i="7"/>
  <c r="M2103" i="7"/>
  <c r="J2103" i="7"/>
  <c r="AE2090" i="7"/>
  <c r="Z2090" i="7"/>
  <c r="M2090" i="7"/>
  <c r="J2090" i="7"/>
  <c r="D2090" i="7"/>
  <c r="AE2088" i="7"/>
  <c r="Z2088" i="7"/>
  <c r="M2088" i="7"/>
  <c r="J2088" i="7"/>
  <c r="D2088" i="7"/>
  <c r="AE2087" i="7"/>
  <c r="Z2087" i="7"/>
  <c r="M2087" i="7"/>
  <c r="J2087" i="7"/>
  <c r="D2087" i="7"/>
  <c r="AE2086" i="7"/>
  <c r="Z2086" i="7"/>
  <c r="M2086" i="7"/>
  <c r="J2086" i="7"/>
  <c r="D2086" i="7"/>
  <c r="AE2085" i="7"/>
  <c r="Z2085" i="7"/>
  <c r="M2085" i="7"/>
  <c r="J2085" i="7"/>
  <c r="D2085" i="7"/>
  <c r="AE2084" i="7"/>
  <c r="Z2084" i="7"/>
  <c r="M2084" i="7"/>
  <c r="J2084" i="7"/>
  <c r="D2084" i="7"/>
  <c r="AE2083" i="7"/>
  <c r="Z2083" i="7"/>
  <c r="M2083" i="7"/>
  <c r="J2083" i="7"/>
  <c r="D2083" i="7"/>
  <c r="AE2082" i="7"/>
  <c r="Z2082" i="7"/>
  <c r="M2082" i="7"/>
  <c r="J2082" i="7"/>
  <c r="D2082" i="7"/>
  <c r="AE2081" i="7"/>
  <c r="Z2081" i="7"/>
  <c r="M2081" i="7"/>
  <c r="J2081" i="7"/>
  <c r="D2081" i="7"/>
  <c r="AE2080" i="7"/>
  <c r="Z2080" i="7"/>
  <c r="M2080" i="7"/>
  <c r="J2080" i="7"/>
  <c r="D2080" i="7"/>
  <c r="AE2079" i="7"/>
  <c r="Z2079" i="7"/>
  <c r="M2079" i="7"/>
  <c r="J2079" i="7"/>
  <c r="D2079" i="7"/>
  <c r="AE2078" i="7"/>
  <c r="Z2078" i="7"/>
  <c r="M2078" i="7"/>
  <c r="J2078" i="7"/>
  <c r="D2078" i="7"/>
  <c r="AE2077" i="7"/>
  <c r="Z2077" i="7"/>
  <c r="M2077" i="7"/>
  <c r="J2077" i="7"/>
  <c r="D2077" i="7"/>
  <c r="AE2076" i="7"/>
  <c r="Z2076" i="7"/>
  <c r="M2076" i="7"/>
  <c r="J2076" i="7"/>
  <c r="D2076" i="7"/>
  <c r="AE2075" i="7"/>
  <c r="Z2075" i="7"/>
  <c r="M2075" i="7"/>
  <c r="J2075" i="7"/>
  <c r="D2075" i="7"/>
  <c r="AE2074" i="7"/>
  <c r="Z2074" i="7"/>
  <c r="M2074" i="7"/>
  <c r="J2074" i="7"/>
  <c r="D2074" i="7"/>
  <c r="AE2073" i="7"/>
  <c r="Z2073" i="7"/>
  <c r="M2073" i="7"/>
  <c r="J2073" i="7"/>
  <c r="D2073" i="7"/>
  <c r="AE2072" i="7"/>
  <c r="Z2072" i="7"/>
  <c r="M2072" i="7"/>
  <c r="J2072" i="7"/>
  <c r="D2072" i="7"/>
  <c r="AE2071" i="7"/>
  <c r="Z2071" i="7"/>
  <c r="M2071" i="7"/>
  <c r="J2071" i="7"/>
  <c r="D2071" i="7"/>
  <c r="AE2070" i="7"/>
  <c r="Z2070" i="7"/>
  <c r="M2070" i="7"/>
  <c r="J2070" i="7"/>
  <c r="D2070" i="7"/>
  <c r="AE2069" i="7"/>
  <c r="Z2069" i="7"/>
  <c r="M2069" i="7"/>
  <c r="J2069" i="7"/>
  <c r="D2069" i="7"/>
  <c r="AE2068" i="7"/>
  <c r="Z2068" i="7"/>
  <c r="M2068" i="7"/>
  <c r="J2068" i="7"/>
  <c r="D2068" i="7"/>
  <c r="AE2067" i="7"/>
  <c r="Z2067" i="7"/>
  <c r="M2067" i="7"/>
  <c r="J2067" i="7"/>
  <c r="D2067" i="7"/>
  <c r="AE2066" i="7"/>
  <c r="Z2066" i="7"/>
  <c r="M2066" i="7"/>
  <c r="J2066" i="7"/>
  <c r="D2066" i="7"/>
  <c r="AE2065" i="7"/>
  <c r="Z2065" i="7"/>
  <c r="M2065" i="7"/>
  <c r="J2065" i="7"/>
  <c r="D2065" i="7"/>
  <c r="AE2064" i="7"/>
  <c r="Z2064" i="7"/>
  <c r="M2064" i="7"/>
  <c r="J2064" i="7"/>
  <c r="D2064" i="7"/>
  <c r="AE2063" i="7"/>
  <c r="Z2063" i="7"/>
  <c r="M2063" i="7"/>
  <c r="J2063" i="7"/>
  <c r="D2063" i="7"/>
  <c r="AE2062" i="7"/>
  <c r="Z2062" i="7"/>
  <c r="M2062" i="7"/>
  <c r="J2062" i="7"/>
  <c r="D2062" i="7"/>
  <c r="AE2061" i="7"/>
  <c r="Z2061" i="7"/>
  <c r="M2061" i="7"/>
  <c r="J2061" i="7"/>
  <c r="D2061" i="7"/>
  <c r="AE2060" i="7"/>
  <c r="Z2060" i="7"/>
  <c r="M2060" i="7"/>
  <c r="J2060" i="7"/>
  <c r="D2060" i="7"/>
  <c r="AE2059" i="7"/>
  <c r="Z2059" i="7"/>
  <c r="M2059" i="7"/>
  <c r="J2059" i="7"/>
  <c r="D2059" i="7"/>
  <c r="AE2058" i="7"/>
  <c r="Z2058" i="7"/>
  <c r="M2058" i="7"/>
  <c r="J2058" i="7"/>
  <c r="D2058" i="7"/>
  <c r="AE2057" i="7"/>
  <c r="Z2057" i="7"/>
  <c r="M2057" i="7"/>
  <c r="J2057" i="7"/>
  <c r="D2057" i="7"/>
  <c r="AE2056" i="7"/>
  <c r="Z2056" i="7"/>
  <c r="M2056" i="7"/>
  <c r="J2056" i="7"/>
  <c r="D2056" i="7"/>
  <c r="AE2055" i="7"/>
  <c r="Z2055" i="7"/>
  <c r="M2055" i="7"/>
  <c r="J2055" i="7"/>
  <c r="D2055" i="7"/>
  <c r="AE2054" i="7"/>
  <c r="Z2054" i="7"/>
  <c r="M2054" i="7"/>
  <c r="J2054" i="7"/>
  <c r="D2054" i="7"/>
  <c r="AE2053" i="7"/>
  <c r="Z2053" i="7"/>
  <c r="M2053" i="7"/>
  <c r="J2053" i="7"/>
  <c r="D2053" i="7"/>
  <c r="AE2052" i="7"/>
  <c r="Z2052" i="7"/>
  <c r="M2052" i="7"/>
  <c r="J2052" i="7"/>
  <c r="D2052" i="7"/>
  <c r="AE2051" i="7"/>
  <c r="Z2051" i="7"/>
  <c r="M2051" i="7"/>
  <c r="J2051" i="7"/>
  <c r="D2051" i="7"/>
  <c r="AE2050" i="7"/>
  <c r="Z2050" i="7"/>
  <c r="M2050" i="7"/>
  <c r="J2050" i="7"/>
  <c r="D2050" i="7"/>
  <c r="AE2049" i="7"/>
  <c r="Z2049" i="7"/>
  <c r="M2049" i="7"/>
  <c r="J2049" i="7"/>
  <c r="D2049" i="7"/>
  <c r="AE2048" i="7"/>
  <c r="Z2048" i="7"/>
  <c r="M2048" i="7"/>
  <c r="J2048" i="7"/>
  <c r="D2048" i="7"/>
  <c r="AE2047" i="7"/>
  <c r="Z2047" i="7"/>
  <c r="M2047" i="7"/>
  <c r="J2047" i="7"/>
  <c r="D2047" i="7"/>
  <c r="AE2046" i="7"/>
  <c r="Z2046" i="7"/>
  <c r="M2046" i="7"/>
  <c r="J2046" i="7"/>
  <c r="D2046" i="7"/>
  <c r="AE2045" i="7"/>
  <c r="Z2045" i="7"/>
  <c r="M2045" i="7"/>
  <c r="J2045" i="7"/>
  <c r="D2045" i="7"/>
  <c r="AE2044" i="7"/>
  <c r="Z2044" i="7"/>
  <c r="M2044" i="7"/>
  <c r="J2044" i="7"/>
  <c r="D2044" i="7"/>
  <c r="AE2043" i="7"/>
  <c r="Z2043" i="7"/>
  <c r="M2043" i="7"/>
  <c r="J2043" i="7"/>
  <c r="D2043" i="7"/>
  <c r="AE2042" i="7"/>
  <c r="Z2042" i="7"/>
  <c r="M2042" i="7"/>
  <c r="J2042" i="7"/>
  <c r="D2042" i="7"/>
  <c r="AE2041" i="7"/>
  <c r="Z2041" i="7"/>
  <c r="M2041" i="7"/>
  <c r="J2041" i="7"/>
  <c r="D2041" i="7"/>
  <c r="AE2040" i="7"/>
  <c r="Z2040" i="7"/>
  <c r="M2040" i="7"/>
  <c r="J2040" i="7"/>
  <c r="D2040" i="7"/>
  <c r="AE2039" i="7"/>
  <c r="Z2039" i="7"/>
  <c r="M2039" i="7"/>
  <c r="J2039" i="7"/>
  <c r="D2039" i="7"/>
  <c r="AE2038" i="7"/>
  <c r="Z2038" i="7"/>
  <c r="M2038" i="7"/>
  <c r="J2038" i="7"/>
  <c r="D2038" i="7"/>
  <c r="Z2037" i="7"/>
  <c r="D2037" i="7"/>
  <c r="Z2036" i="7"/>
  <c r="D2036" i="7"/>
  <c r="Z2035" i="7"/>
  <c r="D2035" i="7"/>
  <c r="Z2034" i="7"/>
  <c r="D2034" i="7"/>
  <c r="Z2033" i="7"/>
  <c r="D2033" i="7"/>
  <c r="Z2032" i="7"/>
  <c r="D2032" i="7"/>
  <c r="Z2031" i="7"/>
  <c r="D2031" i="7"/>
  <c r="Z2030" i="7"/>
  <c r="O2030" i="7"/>
  <c r="M2030" i="7"/>
  <c r="D2030" i="7"/>
  <c r="Z2029" i="7"/>
  <c r="O2029" i="7"/>
  <c r="M2029" i="7"/>
  <c r="D2029" i="7"/>
  <c r="Z2027" i="7"/>
  <c r="D2027" i="7"/>
  <c r="Z2026" i="7"/>
  <c r="D2026" i="7"/>
  <c r="Z2025" i="7"/>
  <c r="J2025" i="7"/>
  <c r="D2025" i="7"/>
  <c r="Z2024" i="7"/>
  <c r="J2024" i="7"/>
  <c r="D2024" i="7"/>
  <c r="Z2023" i="7"/>
  <c r="J2023" i="7"/>
  <c r="D2023" i="7"/>
  <c r="Z2022" i="7"/>
  <c r="J2022" i="7"/>
  <c r="D2022" i="7"/>
  <c r="Z2021" i="7"/>
  <c r="J2021" i="7"/>
  <c r="D2021" i="7"/>
  <c r="Z2017" i="7"/>
  <c r="D2017" i="7"/>
  <c r="Z2016" i="7"/>
  <c r="D2016" i="7"/>
  <c r="Z2015" i="7"/>
  <c r="D2015" i="7"/>
  <c r="Z2010" i="7"/>
  <c r="J2010" i="7"/>
  <c r="D2010" i="7"/>
  <c r="AF2007" i="7"/>
  <c r="AB2007" i="7"/>
  <c r="AA2007" i="7"/>
  <c r="Z2007" i="7"/>
  <c r="M2007" i="7"/>
  <c r="J2007" i="7"/>
  <c r="D2007" i="7"/>
  <c r="AF2006" i="7"/>
  <c r="AB2006" i="7"/>
  <c r="AA2006" i="7"/>
  <c r="Z2006" i="7"/>
  <c r="M2006" i="7"/>
  <c r="J2006" i="7"/>
  <c r="D2006" i="7"/>
  <c r="AF2004" i="7"/>
  <c r="AB2004" i="7"/>
  <c r="AA2004" i="7"/>
  <c r="Z2004" i="7"/>
  <c r="M2004" i="7"/>
  <c r="J2004" i="7"/>
  <c r="D2004" i="7"/>
  <c r="AA2009" i="7"/>
  <c r="Z2009" i="7"/>
  <c r="X2009" i="7"/>
  <c r="J2009" i="7"/>
  <c r="D2009" i="7"/>
  <c r="AA2008" i="7"/>
  <c r="Z2008" i="7"/>
  <c r="X2008" i="7"/>
  <c r="J2008" i="7"/>
  <c r="D2008" i="7"/>
  <c r="Z2003" i="7"/>
  <c r="D2003" i="7"/>
  <c r="Z2002" i="7"/>
  <c r="D2002" i="7"/>
  <c r="Z2001" i="7"/>
  <c r="D2001" i="7"/>
  <c r="Z2000" i="7"/>
  <c r="D2000" i="7"/>
  <c r="Z1999" i="7"/>
  <c r="D1999" i="7"/>
  <c r="Z1998" i="7"/>
  <c r="D1998" i="7"/>
  <c r="Z1997" i="7"/>
  <c r="D1997" i="7"/>
  <c r="Z1996" i="7"/>
  <c r="D1996" i="7"/>
  <c r="Z1995" i="7"/>
  <c r="D1995" i="7"/>
  <c r="Z1994" i="7"/>
  <c r="D1994" i="7"/>
  <c r="Z1984" i="7"/>
  <c r="D1984" i="7"/>
  <c r="Z1983" i="7"/>
  <c r="D1983" i="7"/>
  <c r="Z1982" i="7"/>
  <c r="J1982" i="7"/>
  <c r="D1982" i="7"/>
  <c r="AF1977" i="7"/>
  <c r="Z1977" i="7"/>
  <c r="L1977" i="7"/>
  <c r="J1977" i="7"/>
  <c r="D1977" i="7"/>
  <c r="AF1976" i="7"/>
  <c r="Z1976" i="7"/>
  <c r="L1976" i="7"/>
  <c r="J1976" i="7"/>
  <c r="D1976" i="7"/>
  <c r="AF1975" i="7"/>
  <c r="Z1975" i="7"/>
  <c r="L1975" i="7"/>
  <c r="J1975" i="7"/>
  <c r="D1975" i="7"/>
  <c r="Z1974" i="7"/>
  <c r="J1974" i="7"/>
  <c r="D1974" i="7"/>
  <c r="Z1973" i="7"/>
  <c r="J1973" i="7"/>
  <c r="D1973" i="7"/>
  <c r="Z1972" i="7"/>
  <c r="J1972" i="7"/>
  <c r="D1972" i="7"/>
  <c r="Z1971" i="7"/>
  <c r="J1971" i="7"/>
  <c r="D1971" i="7"/>
  <c r="Z1970" i="7"/>
  <c r="J1970" i="7"/>
  <c r="D1970" i="7"/>
  <c r="Z1969" i="7"/>
  <c r="J1969" i="7"/>
  <c r="D1969" i="7"/>
  <c r="Z1968" i="7"/>
  <c r="J1968" i="7"/>
  <c r="D1968" i="7"/>
  <c r="Z1967" i="7"/>
  <c r="J1967" i="7"/>
  <c r="D1967" i="7"/>
  <c r="Z1966" i="7"/>
  <c r="J1966" i="7"/>
  <c r="D1966" i="7"/>
  <c r="Z1965" i="7"/>
  <c r="J1965" i="7"/>
  <c r="D1965" i="7"/>
  <c r="AA1964" i="7"/>
  <c r="Z1964" i="7"/>
  <c r="L1964" i="7"/>
  <c r="J1964" i="7"/>
  <c r="D1964" i="7"/>
  <c r="AA1963" i="7"/>
  <c r="Z1963" i="7"/>
  <c r="L1963" i="7"/>
  <c r="J1963" i="7"/>
  <c r="D1963" i="7"/>
  <c r="AA1962" i="7"/>
  <c r="Z1962" i="7"/>
  <c r="L1962" i="7"/>
  <c r="J1962" i="7"/>
  <c r="D1962" i="7"/>
  <c r="AA1961" i="7"/>
  <c r="Z1961" i="7"/>
  <c r="L1961" i="7"/>
  <c r="J1961" i="7"/>
  <c r="D1961" i="7"/>
  <c r="AA1960" i="7"/>
  <c r="Z1960" i="7"/>
  <c r="L1960" i="7"/>
  <c r="J1960" i="7"/>
  <c r="D1960" i="7"/>
  <c r="AA1959" i="7"/>
  <c r="Z1959" i="7"/>
  <c r="L1959" i="7"/>
  <c r="J1959" i="7"/>
  <c r="D1959" i="7"/>
  <c r="AA1958" i="7"/>
  <c r="Z1958" i="7"/>
  <c r="L1958" i="7"/>
  <c r="J1958" i="7"/>
  <c r="D1958" i="7"/>
  <c r="AA1957" i="7"/>
  <c r="Z1957" i="7"/>
  <c r="L1957" i="7"/>
  <c r="J1957" i="7"/>
  <c r="D1957" i="7"/>
  <c r="AA1956" i="7"/>
  <c r="Z1956" i="7"/>
  <c r="L1956" i="7"/>
  <c r="J1956" i="7"/>
  <c r="D1956" i="7"/>
  <c r="AA1955" i="7"/>
  <c r="Z1955" i="7"/>
  <c r="L1955" i="7"/>
  <c r="J1955" i="7"/>
  <c r="D1955" i="7"/>
  <c r="AA1954" i="7"/>
  <c r="Z1954" i="7"/>
  <c r="L1954" i="7"/>
  <c r="J1954" i="7"/>
  <c r="D1954" i="7"/>
  <c r="AA1953" i="7"/>
  <c r="Z1953" i="7"/>
  <c r="L1953" i="7"/>
  <c r="J1953" i="7"/>
  <c r="D1953" i="7"/>
  <c r="AA1952" i="7"/>
  <c r="Z1952" i="7"/>
  <c r="L1952" i="7"/>
  <c r="J1952" i="7"/>
  <c r="D1952" i="7"/>
  <c r="AA1951" i="7"/>
  <c r="Z1951" i="7"/>
  <c r="L1951" i="7"/>
  <c r="J1951" i="7"/>
  <c r="D1951" i="7"/>
  <c r="AA1950" i="7"/>
  <c r="Z1950" i="7"/>
  <c r="L1950" i="7"/>
  <c r="J1950" i="7"/>
  <c r="D1950" i="7"/>
  <c r="AA1949" i="7"/>
  <c r="Z1949" i="7"/>
  <c r="L1949" i="7"/>
  <c r="J1949" i="7"/>
  <c r="D1949" i="7"/>
  <c r="AA1948" i="7"/>
  <c r="Z1948" i="7"/>
  <c r="L1948" i="7"/>
  <c r="J1948" i="7"/>
  <c r="D1948" i="7"/>
  <c r="AI1944" i="7"/>
  <c r="AF1944" i="7"/>
  <c r="AE1944" i="7"/>
  <c r="Z1944" i="7"/>
  <c r="L1944" i="7"/>
  <c r="D1944" i="7"/>
  <c r="AI1943" i="7"/>
  <c r="AF1943" i="7"/>
  <c r="AE1943" i="7"/>
  <c r="Z1943" i="7"/>
  <c r="L1943" i="7"/>
  <c r="D1943" i="7"/>
  <c r="AI1947" i="7"/>
  <c r="AF1947" i="7"/>
  <c r="AE1947" i="7"/>
  <c r="Z1947" i="7"/>
  <c r="L1947" i="7"/>
  <c r="D1947" i="7"/>
  <c r="AI1942" i="7"/>
  <c r="AF1942" i="7"/>
  <c r="AE1942" i="7"/>
  <c r="Z1942" i="7"/>
  <c r="L1942" i="7"/>
  <c r="D1942" i="7"/>
  <c r="AI1941" i="7"/>
  <c r="AF1941" i="7"/>
  <c r="AE1941" i="7"/>
  <c r="Z1941" i="7"/>
  <c r="L1941" i="7"/>
  <c r="D1941" i="7"/>
  <c r="AI1940" i="7"/>
  <c r="AF1940" i="7"/>
  <c r="AE1940" i="7"/>
  <c r="Z1940" i="7"/>
  <c r="L1940" i="7"/>
  <c r="D1940" i="7"/>
  <c r="AI1946" i="7"/>
  <c r="AI1945" i="7"/>
  <c r="AF1945" i="7"/>
  <c r="AE1945" i="7"/>
  <c r="Z1945" i="7"/>
  <c r="L1945" i="7"/>
  <c r="D1945" i="7"/>
  <c r="AI1938" i="7"/>
  <c r="AF1938" i="7"/>
  <c r="AE1938" i="7"/>
  <c r="Z1938" i="7"/>
  <c r="L1938" i="7"/>
  <c r="D1938" i="7"/>
  <c r="AI1937" i="7"/>
  <c r="AF1937" i="7"/>
  <c r="AE1937" i="7"/>
  <c r="Z1937" i="7"/>
  <c r="L1937" i="7"/>
  <c r="D1937" i="7"/>
  <c r="AI1936" i="7"/>
  <c r="AF1936" i="7"/>
  <c r="AE1936" i="7"/>
  <c r="Z1936" i="7"/>
  <c r="L1936" i="7"/>
  <c r="D1936" i="7"/>
  <c r="AI1935" i="7"/>
  <c r="AF1935" i="7"/>
  <c r="AE1935" i="7"/>
  <c r="Z1935" i="7"/>
  <c r="L1935" i="7"/>
  <c r="D1935" i="7"/>
  <c r="Z1932" i="7"/>
  <c r="X1932" i="7"/>
  <c r="L1932" i="7"/>
  <c r="J1932" i="7"/>
  <c r="D1932" i="7"/>
  <c r="Z1929" i="7"/>
  <c r="X1929" i="7"/>
  <c r="L1929" i="7"/>
  <c r="J1929" i="7"/>
  <c r="D1929" i="7"/>
  <c r="Z1928" i="7"/>
  <c r="X1928" i="7"/>
  <c r="L1928" i="7"/>
  <c r="J1928" i="7"/>
  <c r="D1928" i="7"/>
  <c r="Z1927" i="7"/>
  <c r="X1927" i="7"/>
  <c r="L1927" i="7"/>
  <c r="J1927" i="7"/>
  <c r="D1927" i="7"/>
  <c r="Z1926" i="7"/>
  <c r="X1926" i="7"/>
  <c r="L1926" i="7"/>
  <c r="J1926" i="7"/>
  <c r="D1926" i="7"/>
  <c r="Z1925" i="7"/>
  <c r="X1925" i="7"/>
  <c r="L1925" i="7"/>
  <c r="J1925" i="7"/>
  <c r="D1925" i="7"/>
  <c r="Z1924" i="7"/>
  <c r="X1924" i="7"/>
  <c r="L1924" i="7"/>
  <c r="J1924" i="7"/>
  <c r="D1924" i="7"/>
  <c r="Z1923" i="7"/>
  <c r="X1923" i="7"/>
  <c r="L1923" i="7"/>
  <c r="J1923" i="7"/>
  <c r="D1923" i="7"/>
  <c r="Z1922" i="7"/>
  <c r="X1922" i="7"/>
  <c r="L1922" i="7"/>
  <c r="J1922" i="7"/>
  <c r="D1922" i="7"/>
  <c r="Z1921" i="7"/>
  <c r="X1921" i="7"/>
  <c r="L1921" i="7"/>
  <c r="J1921" i="7"/>
  <c r="D1921" i="7"/>
  <c r="Z1920" i="7"/>
  <c r="X1920" i="7"/>
  <c r="L1920" i="7"/>
  <c r="J1920" i="7"/>
  <c r="D1920" i="7"/>
  <c r="Z1919" i="7"/>
  <c r="X1919" i="7"/>
  <c r="L1919" i="7"/>
  <c r="J1919" i="7"/>
  <c r="D1919" i="7"/>
  <c r="Z1918" i="7"/>
  <c r="X1918" i="7"/>
  <c r="L1918" i="7"/>
  <c r="J1918" i="7"/>
  <c r="D1918" i="7"/>
  <c r="Z1917" i="7"/>
  <c r="X1917" i="7"/>
  <c r="L1917" i="7"/>
  <c r="J1917" i="7"/>
  <c r="D1917" i="7"/>
  <c r="Z1916" i="7"/>
  <c r="X1916" i="7"/>
  <c r="L1916" i="7"/>
  <c r="J1916" i="7"/>
  <c r="D1916" i="7"/>
  <c r="Z1915" i="7"/>
  <c r="X1915" i="7"/>
  <c r="L1915" i="7"/>
  <c r="J1915" i="7"/>
  <c r="D1915" i="7"/>
  <c r="Z1914" i="7"/>
  <c r="X1914" i="7"/>
  <c r="L1914" i="7"/>
  <c r="J1914" i="7"/>
  <c r="D1914" i="7"/>
  <c r="Z1913" i="7"/>
  <c r="X1913" i="7"/>
  <c r="L1913" i="7"/>
  <c r="J1913" i="7"/>
  <c r="D1913" i="7"/>
  <c r="Z1912" i="7"/>
  <c r="X1912" i="7"/>
  <c r="L1912" i="7"/>
  <c r="J1912" i="7"/>
  <c r="D1912" i="7"/>
  <c r="Z1911" i="7"/>
  <c r="X1911" i="7"/>
  <c r="L1911" i="7"/>
  <c r="J1911" i="7"/>
  <c r="D1911" i="7"/>
  <c r="Z1910" i="7"/>
  <c r="X1910" i="7"/>
  <c r="L1910" i="7"/>
  <c r="J1910" i="7"/>
  <c r="D1910" i="7"/>
  <c r="Z1909" i="7"/>
  <c r="X1909" i="7"/>
  <c r="L1909" i="7"/>
  <c r="J1909" i="7"/>
  <c r="D1909" i="7"/>
  <c r="Z1908" i="7"/>
  <c r="X1908" i="7"/>
  <c r="L1908" i="7"/>
  <c r="J1908" i="7"/>
  <c r="D1908" i="7"/>
  <c r="Z1906" i="7"/>
  <c r="X1906" i="7"/>
  <c r="L1906" i="7"/>
  <c r="J1906" i="7"/>
  <c r="D1906" i="7"/>
  <c r="Z1905" i="7"/>
  <c r="X1905" i="7"/>
  <c r="L1905" i="7"/>
  <c r="J1905" i="7"/>
  <c r="D1905" i="7"/>
  <c r="Z1904" i="7"/>
  <c r="X1904" i="7"/>
  <c r="L1904" i="7"/>
  <c r="J1904" i="7"/>
  <c r="D1904" i="7"/>
  <c r="Z1903" i="7"/>
  <c r="X1903" i="7"/>
  <c r="L1903" i="7"/>
  <c r="J1903" i="7"/>
  <c r="D1903" i="7"/>
  <c r="Z1902" i="7"/>
  <c r="X1902" i="7"/>
  <c r="L1902" i="7"/>
  <c r="J1902" i="7"/>
  <c r="D1902" i="7"/>
  <c r="Z1901" i="7"/>
  <c r="X1901" i="7"/>
  <c r="L1901" i="7"/>
  <c r="J1901" i="7"/>
  <c r="D1901" i="7"/>
  <c r="Z1900" i="7"/>
  <c r="X1900" i="7"/>
  <c r="L1900" i="7"/>
  <c r="J1900" i="7"/>
  <c r="D1900" i="7"/>
  <c r="Z1899" i="7"/>
  <c r="X1899" i="7"/>
  <c r="L1899" i="7"/>
  <c r="J1899" i="7"/>
  <c r="D1899" i="7"/>
  <c r="Z1898" i="7"/>
  <c r="X1898" i="7"/>
  <c r="L1898" i="7"/>
  <c r="J1898" i="7"/>
  <c r="D1898" i="7"/>
  <c r="Z1897" i="7"/>
  <c r="X1897" i="7"/>
  <c r="L1897" i="7"/>
  <c r="J1897" i="7"/>
  <c r="D1897" i="7"/>
  <c r="Z1896" i="7"/>
  <c r="X1896" i="7"/>
  <c r="L1896" i="7"/>
  <c r="J1896" i="7"/>
  <c r="D1896" i="7"/>
  <c r="Z1895" i="7"/>
  <c r="X1895" i="7"/>
  <c r="L1895" i="7"/>
  <c r="J1895" i="7"/>
  <c r="D1895" i="7"/>
  <c r="Z1894" i="7"/>
  <c r="X1894" i="7"/>
  <c r="L1894" i="7"/>
  <c r="J1894" i="7"/>
  <c r="D1894" i="7"/>
  <c r="Z1893" i="7"/>
  <c r="L1893" i="7"/>
  <c r="J1893" i="7"/>
  <c r="D1893" i="7"/>
  <c r="Z1892" i="7"/>
  <c r="L1892" i="7"/>
  <c r="J1892" i="7"/>
  <c r="D1892" i="7"/>
  <c r="AF1888" i="7"/>
  <c r="Z1888" i="7"/>
  <c r="O1888" i="7"/>
  <c r="M1888" i="7"/>
  <c r="D1888" i="7"/>
  <c r="AF1887" i="7"/>
  <c r="Z1887" i="7"/>
  <c r="O1887" i="7"/>
  <c r="M1887" i="7"/>
  <c r="D1887" i="7"/>
  <c r="AF1884" i="7"/>
  <c r="Z1884" i="7"/>
  <c r="J1884" i="7"/>
  <c r="D1884" i="7"/>
  <c r="AF1883" i="7"/>
  <c r="Z1883" i="7"/>
  <c r="J1883" i="7"/>
  <c r="D1883" i="7"/>
  <c r="AF1882" i="7"/>
  <c r="Z1882" i="7"/>
  <c r="J1882" i="7"/>
  <c r="D1882" i="7"/>
  <c r="Z1878" i="7"/>
  <c r="X1878" i="7"/>
  <c r="M1878" i="7"/>
  <c r="J1878" i="7"/>
  <c r="D1878" i="7"/>
  <c r="Z1877" i="7"/>
  <c r="X1877" i="7"/>
  <c r="M1877" i="7"/>
  <c r="J1877" i="7"/>
  <c r="D1877" i="7"/>
  <c r="Z1876" i="7"/>
  <c r="X1876" i="7"/>
  <c r="M1876" i="7"/>
  <c r="J1876" i="7"/>
  <c r="D1876" i="7"/>
  <c r="AF1875" i="7"/>
  <c r="Z1875" i="7"/>
  <c r="M1875" i="7"/>
  <c r="J1875" i="7"/>
  <c r="D1875" i="7"/>
  <c r="AF1874" i="7"/>
  <c r="Z1874" i="7"/>
  <c r="M1874" i="7"/>
  <c r="J1874" i="7"/>
  <c r="D1874" i="7"/>
  <c r="Z1873" i="7"/>
  <c r="J1873" i="7"/>
  <c r="D1873" i="7"/>
  <c r="Z1872" i="7"/>
  <c r="J1872" i="7"/>
  <c r="D1872" i="7"/>
  <c r="Z1871" i="7"/>
  <c r="J1871" i="7"/>
  <c r="D1871" i="7"/>
  <c r="AA1869" i="7"/>
  <c r="Z1869" i="7"/>
  <c r="J1869" i="7"/>
  <c r="D1869" i="7"/>
  <c r="AA1868" i="7"/>
  <c r="Z1868" i="7"/>
  <c r="J1868" i="7"/>
  <c r="D1868" i="7"/>
  <c r="AA1867" i="7"/>
  <c r="Z1867" i="7"/>
  <c r="J1867" i="7"/>
  <c r="D1867" i="7"/>
  <c r="AA1866" i="7"/>
  <c r="Z1866" i="7"/>
  <c r="J1866" i="7"/>
  <c r="D1866" i="7"/>
  <c r="AA1865" i="7"/>
  <c r="Z1865" i="7"/>
  <c r="J1865" i="7"/>
  <c r="D1865" i="7"/>
  <c r="AA1864" i="7"/>
  <c r="Z1864" i="7"/>
  <c r="J1864" i="7"/>
  <c r="D1864" i="7"/>
  <c r="AA1863" i="7"/>
  <c r="Z1863" i="7"/>
  <c r="J1863" i="7"/>
  <c r="D1863" i="7"/>
  <c r="AA1862" i="7"/>
  <c r="Z1862" i="7"/>
  <c r="J1862" i="7"/>
  <c r="D1862" i="7"/>
  <c r="AA1861" i="7"/>
  <c r="Z1861" i="7"/>
  <c r="J1861" i="7"/>
  <c r="D1861" i="7"/>
  <c r="AA1860" i="7"/>
  <c r="Z1860" i="7"/>
  <c r="J1860" i="7"/>
  <c r="D1860" i="7"/>
  <c r="AA1859" i="7"/>
  <c r="Z1859" i="7"/>
  <c r="J1859" i="7"/>
  <c r="D1859" i="7"/>
  <c r="AA1858" i="7"/>
  <c r="Z1858" i="7"/>
  <c r="J1858" i="7"/>
  <c r="D1858" i="7"/>
  <c r="AA1857" i="7"/>
  <c r="Z1857" i="7"/>
  <c r="J1857" i="7"/>
  <c r="D1857" i="7"/>
  <c r="AA1856" i="7"/>
  <c r="Z1856" i="7"/>
  <c r="J1856" i="7"/>
  <c r="D1856" i="7"/>
  <c r="AA1855" i="7"/>
  <c r="Z1855" i="7"/>
  <c r="J1855" i="7"/>
  <c r="D1855" i="7"/>
  <c r="AA1854" i="7"/>
  <c r="Z1854" i="7"/>
  <c r="J1854" i="7"/>
  <c r="D1854" i="7"/>
  <c r="AA1853" i="7"/>
  <c r="Z1853" i="7"/>
  <c r="J1853" i="7"/>
  <c r="D1853" i="7"/>
  <c r="Z1628" i="7"/>
  <c r="D1628" i="7"/>
  <c r="Z1851" i="7"/>
  <c r="J1851" i="7"/>
  <c r="D1851" i="7"/>
  <c r="AI1850" i="7"/>
  <c r="Z1850" i="7"/>
  <c r="J1850" i="7"/>
  <c r="D1850" i="7"/>
  <c r="AI1849" i="7"/>
  <c r="Z1849" i="7"/>
  <c r="J1849" i="7"/>
  <c r="D1849" i="7"/>
  <c r="AI1848" i="7"/>
  <c r="Z1848" i="7"/>
  <c r="J1848" i="7"/>
  <c r="D1848" i="7"/>
  <c r="AI1847" i="7"/>
  <c r="Z1847" i="7"/>
  <c r="J1847" i="7"/>
  <c r="D1847" i="7"/>
  <c r="Z1842" i="7"/>
  <c r="J1842" i="7"/>
  <c r="D1842" i="7"/>
  <c r="Z1840" i="7"/>
  <c r="L1840" i="7"/>
  <c r="J1840" i="7"/>
  <c r="D1840" i="7"/>
  <c r="Z1839" i="7"/>
  <c r="L1839" i="7"/>
  <c r="J1839" i="7"/>
  <c r="D1839" i="7"/>
  <c r="Z1833" i="7"/>
  <c r="J1833" i="7"/>
  <c r="D1833" i="7"/>
  <c r="AJ1832" i="7"/>
  <c r="Z1832" i="7"/>
  <c r="J1832" i="7"/>
  <c r="D1832" i="7"/>
  <c r="AJ1831" i="7"/>
  <c r="Z1831" i="7"/>
  <c r="J1831" i="7"/>
  <c r="D1831" i="7"/>
  <c r="Z1838" i="7"/>
  <c r="O1838" i="7"/>
  <c r="D1838" i="7"/>
  <c r="AF1837" i="7"/>
  <c r="AB1837" i="7"/>
  <c r="Z1837" i="7"/>
  <c r="L1837" i="7"/>
  <c r="J1837" i="7"/>
  <c r="D1837" i="7"/>
  <c r="Z1836" i="7"/>
  <c r="J1836" i="7"/>
  <c r="D1836" i="7"/>
  <c r="Z1835" i="7"/>
  <c r="D1835" i="7"/>
  <c r="Z1834" i="7"/>
  <c r="D1834" i="7"/>
  <c r="AF1830" i="7"/>
  <c r="Z1830" i="7"/>
  <c r="M1830" i="7"/>
  <c r="J1830" i="7"/>
  <c r="D1830" i="7"/>
  <c r="Z1829" i="7"/>
  <c r="J1829" i="7"/>
  <c r="D1829" i="7"/>
  <c r="AF1828" i="7"/>
  <c r="Z1828" i="7"/>
  <c r="J1828" i="7"/>
  <c r="D1828" i="7"/>
  <c r="AF1827" i="7"/>
  <c r="Z1827" i="7"/>
  <c r="J1827" i="7"/>
  <c r="D1827" i="7"/>
  <c r="AF1826" i="7"/>
  <c r="Z1826" i="7"/>
  <c r="J1826" i="7"/>
  <c r="D1826" i="7"/>
  <c r="AF1825" i="7"/>
  <c r="Z1825" i="7"/>
  <c r="J1825" i="7"/>
  <c r="D1825" i="7"/>
  <c r="AF1824" i="7"/>
  <c r="Z1824" i="7"/>
  <c r="J1824" i="7"/>
  <c r="D1824" i="7"/>
  <c r="AF1823" i="7"/>
  <c r="Z1823" i="7"/>
  <c r="J1823" i="7"/>
  <c r="D1823" i="7"/>
  <c r="AF1822" i="7"/>
  <c r="Z1822" i="7"/>
  <c r="J1822" i="7"/>
  <c r="D1822" i="7"/>
  <c r="Z1820" i="7"/>
  <c r="J1820" i="7"/>
  <c r="D1820" i="7"/>
  <c r="Z1819" i="7"/>
  <c r="J1819" i="7"/>
  <c r="D1819" i="7"/>
  <c r="Z1818" i="7"/>
  <c r="J1818" i="7"/>
  <c r="D1818" i="7"/>
  <c r="Z1821" i="7"/>
  <c r="J1821" i="7"/>
  <c r="D1821" i="7"/>
  <c r="Z1816" i="7"/>
  <c r="J1816" i="7"/>
  <c r="D1816" i="7"/>
  <c r="Z1815" i="7"/>
  <c r="J1815" i="7"/>
  <c r="D1815" i="7"/>
  <c r="Z1814" i="7"/>
  <c r="J1814" i="7"/>
  <c r="D1814" i="7"/>
  <c r="Z1813" i="7"/>
  <c r="J1813" i="7"/>
  <c r="D1813" i="7"/>
  <c r="Z1812" i="7"/>
  <c r="J1812" i="7"/>
  <c r="D1812" i="7"/>
  <c r="Z1811" i="7"/>
  <c r="J1811" i="7"/>
  <c r="D1811" i="7"/>
  <c r="AF1802" i="7"/>
  <c r="Z1802" i="7"/>
  <c r="M1802" i="7"/>
  <c r="J1802" i="7"/>
  <c r="D1802" i="7"/>
  <c r="AF1800" i="7"/>
  <c r="Z1800" i="7"/>
  <c r="M1800" i="7"/>
  <c r="J1800" i="7"/>
  <c r="D1800" i="7"/>
  <c r="AF1798" i="7"/>
  <c r="Z1798" i="7"/>
  <c r="M1798" i="7"/>
  <c r="J1798" i="7"/>
  <c r="D1798" i="7"/>
  <c r="AF1795" i="7"/>
  <c r="Z1795" i="7"/>
  <c r="M1795" i="7"/>
  <c r="J1795" i="7"/>
  <c r="D1795" i="7"/>
  <c r="AF1791" i="7"/>
  <c r="Z1791" i="7"/>
  <c r="M1791" i="7"/>
  <c r="J1791" i="7"/>
  <c r="D1791" i="7"/>
  <c r="AF1790" i="7"/>
  <c r="Z1790" i="7"/>
  <c r="M1790" i="7"/>
  <c r="J1790" i="7"/>
  <c r="D1790" i="7"/>
  <c r="AF1789" i="7"/>
  <c r="Z1789" i="7"/>
  <c r="M1789" i="7"/>
  <c r="J1789" i="7"/>
  <c r="D1789" i="7"/>
  <c r="AF1788" i="7"/>
  <c r="Z1788" i="7"/>
  <c r="M1788" i="7"/>
  <c r="J1788" i="7"/>
  <c r="D1788" i="7"/>
  <c r="AF1810" i="7"/>
  <c r="AE1810" i="7"/>
  <c r="Z1810" i="7"/>
  <c r="V1810" i="7"/>
  <c r="M1810" i="7"/>
  <c r="J1810" i="7"/>
  <c r="D1810" i="7"/>
  <c r="AF1809" i="7"/>
  <c r="AE1809" i="7"/>
  <c r="Z1809" i="7"/>
  <c r="V1809" i="7"/>
  <c r="M1809" i="7"/>
  <c r="J1809" i="7"/>
  <c r="D1809" i="7"/>
  <c r="AF1808" i="7"/>
  <c r="AE1808" i="7"/>
  <c r="Z1808" i="7"/>
  <c r="V1808" i="7"/>
  <c r="M1808" i="7"/>
  <c r="J1808" i="7"/>
  <c r="D1808" i="7"/>
  <c r="AF1807" i="7"/>
  <c r="AE1807" i="7"/>
  <c r="Z1807" i="7"/>
  <c r="V1807" i="7"/>
  <c r="M1807" i="7"/>
  <c r="J1807" i="7"/>
  <c r="D1807" i="7"/>
  <c r="AF1785" i="7"/>
  <c r="Z1785" i="7"/>
  <c r="M1785" i="7"/>
  <c r="J1785" i="7"/>
  <c r="D1785" i="7"/>
  <c r="AF1784" i="7"/>
  <c r="Z1784" i="7"/>
  <c r="M1784" i="7"/>
  <c r="J1784" i="7"/>
  <c r="D1784" i="7"/>
  <c r="Z1783" i="7"/>
  <c r="J1783" i="7"/>
  <c r="D1783" i="7"/>
  <c r="Z1782" i="7"/>
  <c r="J1782" i="7"/>
  <c r="D1782" i="7"/>
  <c r="AF1781" i="7"/>
  <c r="AA1781" i="7"/>
  <c r="Z1781" i="7"/>
  <c r="L1781" i="7"/>
  <c r="J1781" i="7"/>
  <c r="D1781" i="7"/>
  <c r="AF1780" i="7"/>
  <c r="AA1780" i="7"/>
  <c r="Z1780" i="7"/>
  <c r="L1780" i="7"/>
  <c r="J1780" i="7"/>
  <c r="D1780" i="7"/>
  <c r="AF1779" i="7"/>
  <c r="AA1779" i="7"/>
  <c r="Z1779" i="7"/>
  <c r="L1779" i="7"/>
  <c r="J1779" i="7"/>
  <c r="D1779" i="7"/>
  <c r="AF1774" i="7"/>
  <c r="AA1774" i="7"/>
  <c r="Z1774" i="7"/>
  <c r="L1774" i="7"/>
  <c r="J1774" i="7"/>
  <c r="D1774" i="7"/>
  <c r="AF1773" i="7"/>
  <c r="AA1773" i="7"/>
  <c r="Z1773" i="7"/>
  <c r="L1773" i="7"/>
  <c r="J1773" i="7"/>
  <c r="D1773" i="7"/>
  <c r="AF1772" i="7"/>
  <c r="AA1772" i="7"/>
  <c r="Z1772" i="7"/>
  <c r="L1772" i="7"/>
  <c r="J1772" i="7"/>
  <c r="D1772" i="7"/>
  <c r="AF1771" i="7"/>
  <c r="AA1771" i="7"/>
  <c r="Z1771" i="7"/>
  <c r="L1771" i="7"/>
  <c r="J1771" i="7"/>
  <c r="D1771" i="7"/>
  <c r="AF1770" i="7"/>
  <c r="AB1770" i="7"/>
  <c r="AA1770" i="7"/>
  <c r="Z1770" i="7"/>
  <c r="L1770" i="7"/>
  <c r="J1770" i="7"/>
  <c r="D1770" i="7"/>
  <c r="AF1769" i="7"/>
  <c r="AB1769" i="7"/>
  <c r="AA1769" i="7"/>
  <c r="Z1769" i="7"/>
  <c r="L1769" i="7"/>
  <c r="J1769" i="7"/>
  <c r="D1769" i="7"/>
  <c r="AF1768" i="7"/>
  <c r="AA1768" i="7"/>
  <c r="Z1768" i="7"/>
  <c r="L1768" i="7"/>
  <c r="J1768" i="7"/>
  <c r="D1768" i="7"/>
  <c r="AF1767" i="7"/>
  <c r="AA1767" i="7"/>
  <c r="Z1767" i="7"/>
  <c r="L1767" i="7"/>
  <c r="J1767" i="7"/>
  <c r="D1767" i="7"/>
  <c r="AF1766" i="7"/>
  <c r="AA1766" i="7"/>
  <c r="Z1766" i="7"/>
  <c r="L1766" i="7"/>
  <c r="J1766" i="7"/>
  <c r="D1766" i="7"/>
  <c r="AF1765" i="7"/>
  <c r="AA1765" i="7"/>
  <c r="Z1765" i="7"/>
  <c r="L1765" i="7"/>
  <c r="J1765" i="7"/>
  <c r="D1765" i="7"/>
  <c r="AF1764" i="7"/>
  <c r="AA1764" i="7"/>
  <c r="Z1764" i="7"/>
  <c r="L1764" i="7"/>
  <c r="J1764" i="7"/>
  <c r="D1764" i="7"/>
  <c r="AF1763" i="7"/>
  <c r="AA1763" i="7"/>
  <c r="Z1763" i="7"/>
  <c r="L1763" i="7"/>
  <c r="J1763" i="7"/>
  <c r="D1763" i="7"/>
  <c r="Z1758" i="7"/>
  <c r="J1758" i="7"/>
  <c r="D1758" i="7"/>
  <c r="Z1757" i="7"/>
  <c r="J1757" i="7"/>
  <c r="D1757" i="7"/>
  <c r="Z1756" i="7"/>
  <c r="J1756" i="7"/>
  <c r="D1756" i="7"/>
  <c r="Z1755" i="7"/>
  <c r="J1755" i="7"/>
  <c r="D1755" i="7"/>
  <c r="Z1754" i="7"/>
  <c r="J1754" i="7"/>
  <c r="D1754" i="7"/>
  <c r="Z1753" i="7"/>
  <c r="J1753" i="7"/>
  <c r="D1753" i="7"/>
  <c r="AI1752" i="7"/>
  <c r="AF1752" i="7"/>
  <c r="Z1752" i="7"/>
  <c r="O1752" i="7"/>
  <c r="M1752" i="7"/>
  <c r="D1752" i="7"/>
  <c r="Z1749" i="7"/>
  <c r="O1749" i="7"/>
  <c r="L1749" i="7"/>
  <c r="J1749" i="7"/>
  <c r="D1749" i="7"/>
  <c r="Z1748" i="7"/>
  <c r="D1748" i="7"/>
  <c r="Z1747" i="7"/>
  <c r="D1747" i="7"/>
  <c r="Z1746" i="7"/>
  <c r="D1746" i="7"/>
  <c r="AF1745" i="7"/>
  <c r="Z1745" i="7"/>
  <c r="X1745" i="7"/>
  <c r="L1745" i="7"/>
  <c r="J1745" i="7"/>
  <c r="D1745" i="7"/>
  <c r="AF1744" i="7"/>
  <c r="Z1744" i="7"/>
  <c r="X1744" i="7"/>
  <c r="L1744" i="7"/>
  <c r="J1744" i="7"/>
  <c r="D1744" i="7"/>
  <c r="AF1743" i="7"/>
  <c r="Z1743" i="7"/>
  <c r="X1743" i="7"/>
  <c r="L1743" i="7"/>
  <c r="J1743" i="7"/>
  <c r="D1743" i="7"/>
  <c r="AF1740" i="7"/>
  <c r="Z1740" i="7"/>
  <c r="L1740" i="7"/>
  <c r="J1740" i="7"/>
  <c r="D1740" i="7"/>
  <c r="AF1739" i="7"/>
  <c r="Z1739" i="7"/>
  <c r="L1739" i="7"/>
  <c r="J1739" i="7"/>
  <c r="D1739" i="7"/>
  <c r="AF1738" i="7"/>
  <c r="Z1738" i="7"/>
  <c r="L1738" i="7"/>
  <c r="J1738" i="7"/>
  <c r="D1738" i="7"/>
  <c r="AF1737" i="7"/>
  <c r="Z1737" i="7"/>
  <c r="L1737" i="7"/>
  <c r="J1737" i="7"/>
  <c r="D1737" i="7"/>
  <c r="AF1736" i="7"/>
  <c r="Z1736" i="7"/>
  <c r="L1736" i="7"/>
  <c r="J1736" i="7"/>
  <c r="D1736" i="7"/>
  <c r="AF1735" i="7"/>
  <c r="Z1735" i="7"/>
  <c r="L1735" i="7"/>
  <c r="J1735" i="7"/>
  <c r="D1735" i="7"/>
  <c r="AF1734" i="7"/>
  <c r="Z1734" i="7"/>
  <c r="L1734" i="7"/>
  <c r="J1734" i="7"/>
  <c r="D1734" i="7"/>
  <c r="AF1733" i="7"/>
  <c r="Z1733" i="7"/>
  <c r="L1733" i="7"/>
  <c r="J1733" i="7"/>
  <c r="D1733" i="7"/>
  <c r="AF1732" i="7"/>
  <c r="Z1732" i="7"/>
  <c r="L1732" i="7"/>
  <c r="J1732" i="7"/>
  <c r="D1732" i="7"/>
  <c r="AF1731" i="7"/>
  <c r="Z1731" i="7"/>
  <c r="L1731" i="7"/>
  <c r="J1731" i="7"/>
  <c r="D1731" i="7"/>
  <c r="AF1730" i="7"/>
  <c r="Z1730" i="7"/>
  <c r="L1730" i="7"/>
  <c r="J1730" i="7"/>
  <c r="D1730" i="7"/>
  <c r="AF1729" i="7"/>
  <c r="Z1729" i="7"/>
  <c r="L1729" i="7"/>
  <c r="J1729" i="7"/>
  <c r="D1729" i="7"/>
  <c r="AF1728" i="7"/>
  <c r="Z1728" i="7"/>
  <c r="M1728" i="7"/>
  <c r="D1728" i="7"/>
  <c r="AF1727" i="7"/>
  <c r="Z1727" i="7"/>
  <c r="V1727" i="7"/>
  <c r="L1727" i="7"/>
  <c r="D1727" i="7"/>
  <c r="AF1726" i="7"/>
  <c r="Z1726" i="7"/>
  <c r="V1726" i="7"/>
  <c r="L1726" i="7"/>
  <c r="D1726" i="7"/>
  <c r="AF1724" i="7"/>
  <c r="Z1724" i="7"/>
  <c r="V1724" i="7"/>
  <c r="L1724" i="7"/>
  <c r="D1724" i="7"/>
  <c r="AF1723" i="7"/>
  <c r="Z1723" i="7"/>
  <c r="M1723" i="7"/>
  <c r="J1723" i="7"/>
  <c r="D1723" i="7"/>
  <c r="AF1722" i="7"/>
  <c r="Z1722" i="7"/>
  <c r="M1722" i="7"/>
  <c r="J1722" i="7"/>
  <c r="D1722" i="7"/>
  <c r="AF1721" i="7"/>
  <c r="Z1721" i="7"/>
  <c r="M1721" i="7"/>
  <c r="J1721" i="7"/>
  <c r="D1721" i="7"/>
  <c r="AF1720" i="7"/>
  <c r="Z1720" i="7"/>
  <c r="M1720" i="7"/>
  <c r="J1720" i="7"/>
  <c r="D1720" i="7"/>
  <c r="Z1719" i="7"/>
  <c r="D1719" i="7"/>
  <c r="Z1718" i="7"/>
  <c r="D1718" i="7"/>
  <c r="Z1717" i="7"/>
  <c r="D1717" i="7"/>
  <c r="Z1716" i="7"/>
  <c r="D1716" i="7"/>
  <c r="Z1715" i="7"/>
  <c r="D1715" i="7"/>
  <c r="Z1714" i="7"/>
  <c r="D1714" i="7"/>
  <c r="Z1713" i="7"/>
  <c r="D1713" i="7"/>
  <c r="Z1712" i="7"/>
  <c r="D1712" i="7"/>
  <c r="Z1711" i="7"/>
  <c r="D1711" i="7"/>
  <c r="Z1710" i="7"/>
  <c r="D1710" i="7"/>
  <c r="Z1709" i="7"/>
  <c r="M1709" i="7"/>
  <c r="J1709" i="7"/>
  <c r="D1709" i="7"/>
  <c r="Z1708" i="7"/>
  <c r="M1708" i="7"/>
  <c r="J1708" i="7"/>
  <c r="D1708" i="7"/>
  <c r="Z1707" i="7"/>
  <c r="M1707" i="7"/>
  <c r="J1707" i="7"/>
  <c r="D1707" i="7"/>
  <c r="Z1706" i="7"/>
  <c r="M1706" i="7"/>
  <c r="J1706" i="7"/>
  <c r="D1706" i="7"/>
  <c r="Z1705" i="7"/>
  <c r="J1705" i="7"/>
  <c r="D1705" i="7"/>
  <c r="Z1704" i="7"/>
  <c r="J1704" i="7"/>
  <c r="D1704" i="7"/>
  <c r="AI1703" i="7"/>
  <c r="Z1703" i="7"/>
  <c r="J1703" i="7"/>
  <c r="D1703" i="7"/>
  <c r="AI1702" i="7"/>
  <c r="Z1702" i="7"/>
  <c r="J1702" i="7"/>
  <c r="D1702" i="7"/>
  <c r="AB1699" i="7"/>
  <c r="AA1699" i="7"/>
  <c r="Z1699" i="7"/>
  <c r="J1699" i="7"/>
  <c r="D1699" i="7"/>
  <c r="AF1697" i="7"/>
  <c r="AA1697" i="7"/>
  <c r="Z1697" i="7"/>
  <c r="X1697" i="7"/>
  <c r="M1697" i="7"/>
  <c r="J1697" i="7"/>
  <c r="D1697" i="7"/>
  <c r="AF1694" i="7"/>
  <c r="Z1694" i="7"/>
  <c r="X1694" i="7"/>
  <c r="M1694" i="7"/>
  <c r="J1694" i="7"/>
  <c r="D1694" i="7"/>
  <c r="Z1692" i="7"/>
  <c r="O1692" i="7"/>
  <c r="M1692" i="7"/>
  <c r="D1692" i="7"/>
  <c r="Z1691" i="7"/>
  <c r="O1691" i="7"/>
  <c r="M1691" i="7"/>
  <c r="D1691" i="7"/>
  <c r="Z1690" i="7"/>
  <c r="O1690" i="7"/>
  <c r="M1690" i="7"/>
  <c r="D1690" i="7"/>
  <c r="Z1689" i="7"/>
  <c r="O1689" i="7"/>
  <c r="M1689" i="7"/>
  <c r="D1689" i="7"/>
  <c r="Z1688" i="7"/>
  <c r="O1688" i="7"/>
  <c r="M1688" i="7"/>
  <c r="D1688" i="7"/>
  <c r="Z1687" i="7"/>
  <c r="O1687" i="7"/>
  <c r="M1687" i="7"/>
  <c r="D1687" i="7"/>
  <c r="Z1686" i="7"/>
  <c r="O1686" i="7"/>
  <c r="M1686" i="7"/>
  <c r="D1686" i="7"/>
  <c r="Z1679" i="7"/>
  <c r="D1679" i="7"/>
  <c r="Z1678" i="7"/>
  <c r="D1678" i="7"/>
  <c r="Z1677" i="7"/>
  <c r="D1677" i="7"/>
  <c r="AF1669" i="7"/>
  <c r="Z1669" i="7"/>
  <c r="J1669" i="7"/>
  <c r="D1669" i="7"/>
  <c r="AF1668" i="7"/>
  <c r="Z1668" i="7"/>
  <c r="J1668" i="7"/>
  <c r="D1668" i="7"/>
  <c r="AF1667" i="7"/>
  <c r="Z1667" i="7"/>
  <c r="J1667" i="7"/>
  <c r="D1667" i="7"/>
  <c r="AF1661" i="7"/>
  <c r="Z1661" i="7"/>
  <c r="J1661" i="7"/>
  <c r="D1661" i="7"/>
  <c r="AF1659" i="7"/>
  <c r="Z1659" i="7"/>
  <c r="M1659" i="7"/>
  <c r="J1659" i="7"/>
  <c r="D1659" i="7"/>
  <c r="AF1658" i="7"/>
  <c r="Z1658" i="7"/>
  <c r="M1658" i="7"/>
  <c r="J1658" i="7"/>
  <c r="D1658" i="7"/>
  <c r="Z1655" i="7"/>
  <c r="J1655" i="7"/>
  <c r="D1655" i="7"/>
  <c r="Z1654" i="7"/>
  <c r="J1654" i="7"/>
  <c r="D1654" i="7"/>
  <c r="Z1653" i="7"/>
  <c r="J1653" i="7"/>
  <c r="D1653" i="7"/>
  <c r="Z1652" i="7"/>
  <c r="J1652" i="7"/>
  <c r="D1652" i="7"/>
  <c r="Z1651" i="7"/>
  <c r="J1651" i="7"/>
  <c r="D1651" i="7"/>
  <c r="Z1650" i="7"/>
  <c r="J1650" i="7"/>
  <c r="D1650" i="7"/>
  <c r="Z1649" i="7"/>
  <c r="J1649" i="7"/>
  <c r="D1649" i="7"/>
  <c r="Z1648" i="7"/>
  <c r="J1648" i="7"/>
  <c r="D1648" i="7"/>
  <c r="Z1647" i="7"/>
  <c r="J1647" i="7"/>
  <c r="D1647" i="7"/>
  <c r="AF1645" i="7"/>
  <c r="AA1645" i="7"/>
  <c r="Z1645" i="7"/>
  <c r="M1645" i="7"/>
  <c r="J1645" i="7"/>
  <c r="D1645" i="7"/>
  <c r="Z1643" i="7"/>
  <c r="L1643" i="7"/>
  <c r="D1643" i="7"/>
  <c r="Z1642" i="7"/>
  <c r="L1642" i="7"/>
  <c r="D1642" i="7"/>
  <c r="Z1641" i="7"/>
  <c r="L1641" i="7"/>
  <c r="D1641" i="7"/>
  <c r="Z1640" i="7"/>
  <c r="L1640" i="7"/>
  <c r="D1640" i="7"/>
  <c r="Z1639" i="7"/>
  <c r="D1639" i="7"/>
  <c r="Z1638" i="7"/>
  <c r="D1638" i="7"/>
  <c r="Z1637" i="7"/>
  <c r="D1637" i="7"/>
  <c r="Z1636" i="7"/>
  <c r="D1636" i="7"/>
  <c r="Z1635" i="7"/>
  <c r="D1635" i="7"/>
  <c r="Z1634" i="7"/>
  <c r="D1634" i="7"/>
  <c r="Z1633" i="7"/>
  <c r="D1633" i="7"/>
  <c r="Z1632" i="7"/>
  <c r="D1632" i="7"/>
  <c r="Z1631" i="7"/>
  <c r="D1631" i="7"/>
  <c r="Z1630" i="7"/>
  <c r="D1630" i="7"/>
  <c r="Z1629" i="7"/>
  <c r="D1629" i="7"/>
  <c r="AC1612" i="7"/>
  <c r="Z1612" i="7"/>
  <c r="X1612" i="7"/>
  <c r="L1612" i="7"/>
  <c r="J1612" i="7"/>
  <c r="D1612" i="7"/>
  <c r="D1609" i="7"/>
  <c r="AC1608" i="7"/>
  <c r="Z1608" i="7"/>
  <c r="X1608" i="7"/>
  <c r="L1608" i="7"/>
  <c r="J1608" i="7"/>
  <c r="D1608" i="7"/>
  <c r="AC1617" i="7"/>
  <c r="Z1617" i="7"/>
  <c r="X1617" i="7"/>
  <c r="L1617" i="7"/>
  <c r="J1617" i="7"/>
  <c r="D1617" i="7"/>
  <c r="AC1616" i="7"/>
  <c r="Z1616" i="7"/>
  <c r="X1616" i="7"/>
  <c r="L1616" i="7"/>
  <c r="J1616" i="7"/>
  <c r="D1616" i="7"/>
  <c r="AC1615" i="7"/>
  <c r="Z1615" i="7"/>
  <c r="X1615" i="7"/>
  <c r="L1615" i="7"/>
  <c r="J1615" i="7"/>
  <c r="D1615" i="7"/>
  <c r="AC1614" i="7"/>
  <c r="Z1614" i="7"/>
  <c r="X1614" i="7"/>
  <c r="L1614" i="7"/>
  <c r="J1614" i="7"/>
  <c r="D1614" i="7"/>
  <c r="AC1607" i="7"/>
  <c r="Z1607" i="7"/>
  <c r="X1607" i="7"/>
  <c r="L1607" i="7"/>
  <c r="J1607" i="7"/>
  <c r="D1607" i="7"/>
  <c r="AC1606" i="7"/>
  <c r="Z1606" i="7"/>
  <c r="X1606" i="7"/>
  <c r="L1606" i="7"/>
  <c r="J1606" i="7"/>
  <c r="D1606" i="7"/>
  <c r="AC1605" i="7"/>
  <c r="Z1605" i="7"/>
  <c r="X1605" i="7"/>
  <c r="L1605" i="7"/>
  <c r="J1605" i="7"/>
  <c r="D1605" i="7"/>
  <c r="AC1604" i="7"/>
  <c r="Z1604" i="7"/>
  <c r="X1604" i="7"/>
  <c r="L1604" i="7"/>
  <c r="J1604" i="7"/>
  <c r="D1604" i="7"/>
  <c r="AC1603" i="7"/>
  <c r="Z1603" i="7"/>
  <c r="X1603" i="7"/>
  <c r="L1603" i="7"/>
  <c r="J1603" i="7"/>
  <c r="D1603" i="7"/>
  <c r="AC1602" i="7"/>
  <c r="Z1602" i="7"/>
  <c r="X1602" i="7"/>
  <c r="L1602" i="7"/>
  <c r="J1602" i="7"/>
  <c r="D1602" i="7"/>
  <c r="AC1627" i="7"/>
  <c r="Z1627" i="7"/>
  <c r="X1627" i="7"/>
  <c r="L1627" i="7"/>
  <c r="J1627" i="7"/>
  <c r="D1627" i="7"/>
  <c r="AC1626" i="7"/>
  <c r="Z1626" i="7"/>
  <c r="X1626" i="7"/>
  <c r="L1626" i="7"/>
  <c r="J1626" i="7"/>
  <c r="D1626" i="7"/>
  <c r="AC1625" i="7"/>
  <c r="Z1625" i="7"/>
  <c r="X1625" i="7"/>
  <c r="L1625" i="7"/>
  <c r="J1625" i="7"/>
  <c r="D1625" i="7"/>
  <c r="AC1624" i="7"/>
  <c r="Z1624" i="7"/>
  <c r="X1624" i="7"/>
  <c r="L1624" i="7"/>
  <c r="J1624" i="7"/>
  <c r="D1624" i="7"/>
  <c r="AC1623" i="7"/>
  <c r="Z1623" i="7"/>
  <c r="X1623" i="7"/>
  <c r="L1623" i="7"/>
  <c r="J1623" i="7"/>
  <c r="D1623" i="7"/>
  <c r="AC1622" i="7"/>
  <c r="Z1622" i="7"/>
  <c r="X1622" i="7"/>
  <c r="L1622" i="7"/>
  <c r="J1622" i="7"/>
  <c r="D1622" i="7"/>
  <c r="AC1621" i="7"/>
  <c r="Z1621" i="7"/>
  <c r="X1621" i="7"/>
  <c r="L1621" i="7"/>
  <c r="J1621" i="7"/>
  <c r="D1621" i="7"/>
  <c r="AC1620" i="7"/>
  <c r="Z1620" i="7"/>
  <c r="X1620" i="7"/>
  <c r="L1620" i="7"/>
  <c r="J1620" i="7"/>
  <c r="D1620" i="7"/>
  <c r="AC1619" i="7"/>
  <c r="Z1619" i="7"/>
  <c r="X1619" i="7"/>
  <c r="L1619" i="7"/>
  <c r="J1619" i="7"/>
  <c r="D1619" i="7"/>
  <c r="AC1601" i="7"/>
  <c r="Z1601" i="7"/>
  <c r="X1601" i="7"/>
  <c r="L1601" i="7"/>
  <c r="J1601" i="7"/>
  <c r="D1601" i="7"/>
  <c r="AI1600" i="7"/>
  <c r="AF1600" i="7"/>
  <c r="Z1600" i="7"/>
  <c r="J1600" i="7"/>
  <c r="D1600" i="7"/>
  <c r="AI1598" i="7"/>
  <c r="AF1598" i="7"/>
  <c r="Z1598" i="7"/>
  <c r="J1598" i="7"/>
  <c r="D1598" i="7"/>
  <c r="AI1597" i="7"/>
  <c r="AF1597" i="7"/>
  <c r="Z1597" i="7"/>
  <c r="J1597" i="7"/>
  <c r="D1597" i="7"/>
  <c r="AI1595" i="7"/>
  <c r="AF1595" i="7"/>
  <c r="Z1595" i="7"/>
  <c r="J1595" i="7"/>
  <c r="D1595" i="7"/>
  <c r="AI1594" i="7"/>
  <c r="AF1594" i="7"/>
  <c r="Z1594" i="7"/>
  <c r="J1594" i="7"/>
  <c r="D1594" i="7"/>
  <c r="AI1593" i="7"/>
  <c r="AF1593" i="7"/>
  <c r="Z1593" i="7"/>
  <c r="J1593" i="7"/>
  <c r="D1593" i="7"/>
  <c r="AI1592" i="7"/>
  <c r="AF1592" i="7"/>
  <c r="Z1592" i="7"/>
  <c r="J1592" i="7"/>
  <c r="D1592" i="7"/>
  <c r="AI1591" i="7"/>
  <c r="AF1591" i="7"/>
  <c r="Z1591" i="7"/>
  <c r="J1591" i="7"/>
  <c r="D1591" i="7"/>
  <c r="AI1590" i="7"/>
  <c r="AF1590" i="7"/>
  <c r="Z1590" i="7"/>
  <c r="J1590" i="7"/>
  <c r="D1590" i="7"/>
  <c r="AI1588" i="7"/>
  <c r="AF1588" i="7"/>
  <c r="Z1588" i="7"/>
  <c r="J1588" i="7"/>
  <c r="D1588" i="7"/>
  <c r="AI1587" i="7"/>
  <c r="AF1587" i="7"/>
  <c r="Z1587" i="7"/>
  <c r="J1587" i="7"/>
  <c r="D1587" i="7"/>
  <c r="AI1586" i="7"/>
  <c r="AF1586" i="7"/>
  <c r="Z1586" i="7"/>
  <c r="J1586" i="7"/>
  <c r="D1586" i="7"/>
  <c r="AI1585" i="7"/>
  <c r="AF1585" i="7"/>
  <c r="Z1585" i="7"/>
  <c r="J1585" i="7"/>
  <c r="D1585" i="7"/>
  <c r="AI1584" i="7"/>
  <c r="AF1584" i="7"/>
  <c r="Z1584" i="7"/>
  <c r="J1584" i="7"/>
  <c r="D1584" i="7"/>
  <c r="Z1583" i="7"/>
  <c r="D1583" i="7"/>
  <c r="Z1582" i="7"/>
  <c r="D1582" i="7"/>
  <c r="Z1581" i="7"/>
  <c r="D1581" i="7"/>
  <c r="AF1577" i="7"/>
  <c r="Z1577" i="7"/>
  <c r="M1577" i="7"/>
  <c r="J1577" i="7"/>
  <c r="D1577" i="7"/>
  <c r="AF1576" i="7"/>
  <c r="Z1576" i="7"/>
  <c r="M1576" i="7"/>
  <c r="J1576" i="7"/>
  <c r="D1576" i="7"/>
  <c r="AF1575" i="7"/>
  <c r="Z1575" i="7"/>
  <c r="M1575" i="7"/>
  <c r="J1575" i="7"/>
  <c r="D1575" i="7"/>
  <c r="AF1574" i="7"/>
  <c r="Z1574" i="7"/>
  <c r="M1574" i="7"/>
  <c r="J1574" i="7"/>
  <c r="D1574" i="7"/>
  <c r="AF1573" i="7"/>
  <c r="Z1573" i="7"/>
  <c r="M1573" i="7"/>
  <c r="J1573" i="7"/>
  <c r="D1573" i="7"/>
  <c r="Z1562" i="7"/>
  <c r="M1562" i="7"/>
  <c r="J1562" i="7"/>
  <c r="D1562" i="7"/>
  <c r="Z1560" i="7"/>
  <c r="M1560" i="7"/>
  <c r="J1560" i="7"/>
  <c r="D1560" i="7"/>
  <c r="Z1558" i="7"/>
  <c r="M1558" i="7"/>
  <c r="J1558" i="7"/>
  <c r="D1558" i="7"/>
  <c r="Z1557" i="7"/>
  <c r="M1557" i="7"/>
  <c r="J1557" i="7"/>
  <c r="D1557" i="7"/>
  <c r="Z1551" i="7"/>
  <c r="M1551" i="7"/>
  <c r="J1551" i="7"/>
  <c r="D1551" i="7"/>
  <c r="Z1550" i="7"/>
  <c r="M1550" i="7"/>
  <c r="J1550" i="7"/>
  <c r="D1550" i="7"/>
  <c r="Z1549" i="7"/>
  <c r="M1549" i="7"/>
  <c r="J1549" i="7"/>
  <c r="D1549" i="7"/>
  <c r="Z1547" i="7"/>
  <c r="J1547" i="7"/>
  <c r="D1547" i="7"/>
  <c r="Z1546" i="7"/>
  <c r="J1546" i="7"/>
  <c r="D1546" i="7"/>
  <c r="Z1545" i="7"/>
  <c r="J1545" i="7"/>
  <c r="D1545" i="7"/>
  <c r="Z1544" i="7"/>
  <c r="J1544" i="7"/>
  <c r="D1544" i="7"/>
  <c r="AC1543" i="7"/>
  <c r="Z1543" i="7"/>
  <c r="J1543" i="7"/>
  <c r="D1543" i="7"/>
  <c r="AC1542" i="7"/>
  <c r="Z1542" i="7"/>
  <c r="J1542" i="7"/>
  <c r="D1542" i="7"/>
  <c r="AC1541" i="7"/>
  <c r="Z1541" i="7"/>
  <c r="J1541" i="7"/>
  <c r="D1541" i="7"/>
  <c r="AC1540" i="7"/>
  <c r="Z1540" i="7"/>
  <c r="J1540" i="7"/>
  <c r="D1540" i="7"/>
  <c r="AC1539" i="7"/>
  <c r="Z1539" i="7"/>
  <c r="J1539" i="7"/>
  <c r="D1539" i="7"/>
  <c r="AI1535" i="7"/>
  <c r="Z1535" i="7"/>
  <c r="D1535" i="7"/>
  <c r="AI1529" i="7"/>
  <c r="Z1529" i="7"/>
  <c r="D1529" i="7"/>
  <c r="AF1526" i="7"/>
  <c r="Z1526" i="7"/>
  <c r="D1526" i="7"/>
  <c r="AB1528" i="7"/>
  <c r="AA1528" i="7"/>
  <c r="Z1528" i="7"/>
  <c r="J1528" i="7"/>
  <c r="D1528" i="7"/>
  <c r="AB1527" i="7"/>
  <c r="AA1527" i="7"/>
  <c r="Z1527" i="7"/>
  <c r="J1527" i="7"/>
  <c r="D1527" i="7"/>
  <c r="Z1525" i="7"/>
  <c r="J1525" i="7"/>
  <c r="D1525" i="7"/>
  <c r="Z1524" i="7"/>
  <c r="J1524" i="7"/>
  <c r="D1524" i="7"/>
  <c r="Z1523" i="7"/>
  <c r="J1523" i="7"/>
  <c r="D1523" i="7"/>
  <c r="AF1521" i="7"/>
  <c r="Z1521" i="7"/>
  <c r="W1521" i="7"/>
  <c r="L1521" i="7"/>
  <c r="D1521" i="7"/>
  <c r="Z1518" i="7"/>
  <c r="O1518" i="7"/>
  <c r="M1518" i="7"/>
  <c r="D1518" i="7"/>
  <c r="Z1517" i="7"/>
  <c r="O1517" i="7"/>
  <c r="M1517" i="7"/>
  <c r="D1517" i="7"/>
  <c r="Z1516" i="7"/>
  <c r="J1516" i="7"/>
  <c r="D1516" i="7"/>
  <c r="Z1515" i="7"/>
  <c r="J1515" i="7"/>
  <c r="D1515" i="7"/>
  <c r="AF1514" i="7"/>
  <c r="Z1514" i="7"/>
  <c r="L1514" i="7"/>
  <c r="J1514" i="7"/>
  <c r="D1514" i="7"/>
  <c r="AA1511" i="7"/>
  <c r="Z1511" i="7"/>
  <c r="J1511" i="7"/>
  <c r="D1511" i="7"/>
  <c r="AA1510" i="7"/>
  <c r="Z1510" i="7"/>
  <c r="J1510" i="7"/>
  <c r="D1510" i="7"/>
  <c r="AA1509" i="7"/>
  <c r="Z1509" i="7"/>
  <c r="J1509" i="7"/>
  <c r="D1509" i="7"/>
  <c r="AA1508" i="7"/>
  <c r="Z1508" i="7"/>
  <c r="J1508" i="7"/>
  <c r="D1508" i="7"/>
  <c r="AA1507" i="7"/>
  <c r="Z1507" i="7"/>
  <c r="J1507" i="7"/>
  <c r="D1507" i="7"/>
  <c r="AA1512" i="7"/>
  <c r="Z1512" i="7"/>
  <c r="J1512" i="7"/>
  <c r="D1512" i="7"/>
  <c r="AA1503" i="7"/>
  <c r="Z1503" i="7"/>
  <c r="J1503" i="7"/>
  <c r="D1503" i="7"/>
  <c r="AA1500" i="7"/>
  <c r="Z1500" i="7"/>
  <c r="J1500" i="7"/>
  <c r="D1500" i="7"/>
  <c r="AA1499" i="7"/>
  <c r="Z1499" i="7"/>
  <c r="J1499" i="7"/>
  <c r="D1499" i="7"/>
  <c r="AA1498" i="7"/>
  <c r="Z1498" i="7"/>
  <c r="J1498" i="7"/>
  <c r="D1498" i="7"/>
  <c r="AA1497" i="7"/>
  <c r="Z1497" i="7"/>
  <c r="J1497" i="7"/>
  <c r="D1497" i="7"/>
  <c r="AA1496" i="7"/>
  <c r="Z1496" i="7"/>
  <c r="J1496" i="7"/>
  <c r="D1496" i="7"/>
  <c r="AA1495" i="7"/>
  <c r="Z1495" i="7"/>
  <c r="J1495" i="7"/>
  <c r="D1495" i="7"/>
  <c r="AA1494" i="7"/>
  <c r="Z1494" i="7"/>
  <c r="J1494" i="7"/>
  <c r="D1494" i="7"/>
  <c r="AA1493" i="7"/>
  <c r="Z1493" i="7"/>
  <c r="J1493" i="7"/>
  <c r="D1493" i="7"/>
  <c r="AA1492" i="7"/>
  <c r="Z1492" i="7"/>
  <c r="J1492" i="7"/>
  <c r="D1492" i="7"/>
  <c r="AA1491" i="7"/>
  <c r="Z1491" i="7"/>
  <c r="J1491" i="7"/>
  <c r="D1491" i="7"/>
  <c r="AA1490" i="7"/>
  <c r="Z1490" i="7"/>
  <c r="J1490" i="7"/>
  <c r="D1490" i="7"/>
  <c r="AA1489" i="7"/>
  <c r="Z1489" i="7"/>
  <c r="J1489" i="7"/>
  <c r="D1489" i="7"/>
  <c r="AA1488" i="7"/>
  <c r="Z1488" i="7"/>
  <c r="J1488" i="7"/>
  <c r="D1488" i="7"/>
  <c r="AA1487" i="7"/>
  <c r="Z1487" i="7"/>
  <c r="J1487" i="7"/>
  <c r="D1487" i="7"/>
  <c r="AA1486" i="7"/>
  <c r="Z1486" i="7"/>
  <c r="J1486" i="7"/>
  <c r="D1486" i="7"/>
  <c r="AA1485" i="7"/>
  <c r="Z1485" i="7"/>
  <c r="J1485" i="7"/>
  <c r="D1485" i="7"/>
  <c r="AA1484" i="7"/>
  <c r="Z1484" i="7"/>
  <c r="J1484" i="7"/>
  <c r="D1484" i="7"/>
  <c r="AA1483" i="7"/>
  <c r="Z1483" i="7"/>
  <c r="J1483" i="7"/>
  <c r="D1483" i="7"/>
  <c r="Z1476" i="7"/>
  <c r="D1476" i="7"/>
  <c r="Z1475" i="7"/>
  <c r="D1475" i="7"/>
  <c r="Z1474" i="7"/>
  <c r="D1474" i="7"/>
  <c r="Z1478" i="7"/>
  <c r="D1478" i="7"/>
  <c r="Z1472" i="7"/>
  <c r="D1472" i="7"/>
  <c r="Z1471" i="7"/>
  <c r="D1471" i="7"/>
  <c r="Z1470" i="7"/>
  <c r="D1470" i="7"/>
  <c r="Z1469" i="7"/>
  <c r="D1469" i="7"/>
  <c r="Z1468" i="7"/>
  <c r="D1468" i="7"/>
  <c r="Z1464" i="7"/>
  <c r="L1464" i="7"/>
  <c r="J1464" i="7"/>
  <c r="D1464" i="7"/>
  <c r="Z1463" i="7"/>
  <c r="L1463" i="7"/>
  <c r="J1463" i="7"/>
  <c r="D1463" i="7"/>
  <c r="Z1462" i="7"/>
  <c r="L1462" i="7"/>
  <c r="J1462" i="7"/>
  <c r="D1462" i="7"/>
  <c r="Z1461" i="7"/>
  <c r="L1461" i="7"/>
  <c r="J1461" i="7"/>
  <c r="D1461" i="7"/>
  <c r="Z1460" i="7"/>
  <c r="J1460" i="7"/>
  <c r="D1460" i="7"/>
  <c r="Z1459" i="7"/>
  <c r="J1459" i="7"/>
  <c r="D1459" i="7"/>
  <c r="Z1458" i="7"/>
  <c r="J1458" i="7"/>
  <c r="D1458" i="7"/>
  <c r="Z1457" i="7"/>
  <c r="J1457" i="7"/>
  <c r="D1457" i="7"/>
  <c r="Z1456" i="7"/>
  <c r="J1456" i="7"/>
  <c r="D1456" i="7"/>
  <c r="Z1455" i="7"/>
  <c r="J1455" i="7"/>
  <c r="D1455" i="7"/>
  <c r="Z1454" i="7"/>
  <c r="J1454" i="7"/>
  <c r="D1454" i="7"/>
  <c r="Z1453" i="7"/>
  <c r="J1453" i="7"/>
  <c r="D1453" i="7"/>
  <c r="Z1452" i="7"/>
  <c r="J1452" i="7"/>
  <c r="D1452" i="7"/>
  <c r="Z1451" i="7"/>
  <c r="J1451" i="7"/>
  <c r="D1451" i="7"/>
  <c r="Z1450" i="7"/>
  <c r="J1450" i="7"/>
  <c r="D1450" i="7"/>
  <c r="AF1445" i="7"/>
  <c r="AA1445" i="7"/>
  <c r="Z1445" i="7"/>
  <c r="L1445" i="7"/>
  <c r="J1445" i="7"/>
  <c r="D1445" i="7"/>
  <c r="AF1444" i="7"/>
  <c r="AA1444" i="7"/>
  <c r="Z1444" i="7"/>
  <c r="L1444" i="7"/>
  <c r="J1444" i="7"/>
  <c r="D1444" i="7"/>
  <c r="AF1443" i="7"/>
  <c r="AA1443" i="7"/>
  <c r="Z1443" i="7"/>
  <c r="L1443" i="7"/>
  <c r="J1443" i="7"/>
  <c r="D1443" i="7"/>
  <c r="D1441" i="7"/>
  <c r="D1440" i="7"/>
  <c r="AF1439" i="7"/>
  <c r="Z1439" i="7"/>
  <c r="M1439" i="7"/>
  <c r="D1439" i="7"/>
  <c r="AF1438" i="7"/>
  <c r="Z1438" i="7"/>
  <c r="M1438" i="7"/>
  <c r="D1438" i="7"/>
  <c r="AF1437" i="7"/>
  <c r="Z1437" i="7"/>
  <c r="M1437" i="7"/>
  <c r="D1437" i="7"/>
  <c r="AI1436" i="7"/>
  <c r="AF1436" i="7"/>
  <c r="AA1436" i="7"/>
  <c r="Z1436" i="7"/>
  <c r="L1436" i="7"/>
  <c r="J1436" i="7"/>
  <c r="D1436" i="7"/>
  <c r="AI1435" i="7"/>
  <c r="AF1435" i="7"/>
  <c r="AA1435" i="7"/>
  <c r="Z1435" i="7"/>
  <c r="L1435" i="7"/>
  <c r="J1435" i="7"/>
  <c r="D1435" i="7"/>
  <c r="AI1434" i="7"/>
  <c r="AF1434" i="7"/>
  <c r="AA1434" i="7"/>
  <c r="Z1434" i="7"/>
  <c r="L1434" i="7"/>
  <c r="J1434" i="7"/>
  <c r="D1434" i="7"/>
  <c r="AI1433" i="7"/>
  <c r="AF1433" i="7"/>
  <c r="AA1433" i="7"/>
  <c r="Z1433" i="7"/>
  <c r="L1433" i="7"/>
  <c r="J1433" i="7"/>
  <c r="D1433" i="7"/>
  <c r="AI1432" i="7"/>
  <c r="AF1432" i="7"/>
  <c r="AA1432" i="7"/>
  <c r="Z1432" i="7"/>
  <c r="L1432" i="7"/>
  <c r="J1432" i="7"/>
  <c r="D1432" i="7"/>
  <c r="AI1431" i="7"/>
  <c r="AF1431" i="7"/>
  <c r="AA1431" i="7"/>
  <c r="Z1431" i="7"/>
  <c r="L1431" i="7"/>
  <c r="J1431" i="7"/>
  <c r="D1431" i="7"/>
  <c r="AI1430" i="7"/>
  <c r="AF1430" i="7"/>
  <c r="AA1430" i="7"/>
  <c r="Z1430" i="7"/>
  <c r="L1430" i="7"/>
  <c r="J1430" i="7"/>
  <c r="D1430" i="7"/>
  <c r="AI1429" i="7"/>
  <c r="AF1429" i="7"/>
  <c r="AA1429" i="7"/>
  <c r="Z1429" i="7"/>
  <c r="L1429" i="7"/>
  <c r="J1429" i="7"/>
  <c r="D1429" i="7"/>
  <c r="AI1428" i="7"/>
  <c r="AF1428" i="7"/>
  <c r="AA1428" i="7"/>
  <c r="Z1428" i="7"/>
  <c r="L1428" i="7"/>
  <c r="J1428" i="7"/>
  <c r="D1428" i="7"/>
  <c r="AI1427" i="7"/>
  <c r="AF1427" i="7"/>
  <c r="AA1427" i="7"/>
  <c r="Z1427" i="7"/>
  <c r="L1427" i="7"/>
  <c r="J1427" i="7"/>
  <c r="D1427" i="7"/>
  <c r="AI1426" i="7"/>
  <c r="AF1426" i="7"/>
  <c r="AA1426" i="7"/>
  <c r="Z1426" i="7"/>
  <c r="L1426" i="7"/>
  <c r="J1426" i="7"/>
  <c r="D1426" i="7"/>
  <c r="AI1425" i="7"/>
  <c r="AF1425" i="7"/>
  <c r="AA1425" i="7"/>
  <c r="Z1425" i="7"/>
  <c r="L1425" i="7"/>
  <c r="J1425" i="7"/>
  <c r="D1425" i="7"/>
  <c r="AA1422" i="7"/>
  <c r="Z1422" i="7"/>
  <c r="X1422" i="7"/>
  <c r="M1422" i="7"/>
  <c r="J1422" i="7"/>
  <c r="D1422" i="7"/>
  <c r="AA1421" i="7"/>
  <c r="Z1421" i="7"/>
  <c r="X1421" i="7"/>
  <c r="M1421" i="7"/>
  <c r="J1421" i="7"/>
  <c r="D1421" i="7"/>
  <c r="AA1420" i="7"/>
  <c r="Z1420" i="7"/>
  <c r="X1420" i="7"/>
  <c r="M1420" i="7"/>
  <c r="J1420" i="7"/>
  <c r="D1420" i="7"/>
  <c r="AA1424" i="7"/>
  <c r="Z1424" i="7"/>
  <c r="X1424" i="7"/>
  <c r="M1424" i="7"/>
  <c r="J1424" i="7"/>
  <c r="D1424" i="7"/>
  <c r="AA1419" i="7"/>
  <c r="Z1419" i="7"/>
  <c r="X1419" i="7"/>
  <c r="M1419" i="7"/>
  <c r="J1419" i="7"/>
  <c r="D1419" i="7"/>
  <c r="AA1418" i="7"/>
  <c r="Z1418" i="7"/>
  <c r="X1418" i="7"/>
  <c r="M1418" i="7"/>
  <c r="J1418" i="7"/>
  <c r="D1418" i="7"/>
  <c r="AA1417" i="7"/>
  <c r="Z1417" i="7"/>
  <c r="X1417" i="7"/>
  <c r="M1417" i="7"/>
  <c r="J1417" i="7"/>
  <c r="D1417" i="7"/>
  <c r="AA1416" i="7"/>
  <c r="Z1416" i="7"/>
  <c r="X1416" i="7"/>
  <c r="M1416" i="7"/>
  <c r="J1416" i="7"/>
  <c r="D1416" i="7"/>
  <c r="AA1415" i="7"/>
  <c r="Z1415" i="7"/>
  <c r="X1415" i="7"/>
  <c r="M1415" i="7"/>
  <c r="J1415" i="7"/>
  <c r="D1415" i="7"/>
  <c r="AA1414" i="7"/>
  <c r="Z1414" i="7"/>
  <c r="X1414" i="7"/>
  <c r="M1414" i="7"/>
  <c r="J1414" i="7"/>
  <c r="D1414" i="7"/>
  <c r="AA1413" i="7"/>
  <c r="Z1413" i="7"/>
  <c r="X1413" i="7"/>
  <c r="M1413" i="7"/>
  <c r="J1413" i="7"/>
  <c r="D1413" i="7"/>
  <c r="AA1412" i="7"/>
  <c r="Z1412" i="7"/>
  <c r="X1412" i="7"/>
  <c r="M1412" i="7"/>
  <c r="J1412" i="7"/>
  <c r="D1412" i="7"/>
  <c r="AA1411" i="7"/>
  <c r="Z1411" i="7"/>
  <c r="X1411" i="7"/>
  <c r="M1411" i="7"/>
  <c r="J1411" i="7"/>
  <c r="D1411" i="7"/>
  <c r="AA1410" i="7"/>
  <c r="Z1410" i="7"/>
  <c r="X1410" i="7"/>
  <c r="M1410" i="7"/>
  <c r="J1410" i="7"/>
  <c r="D1410" i="7"/>
  <c r="AA1409" i="7"/>
  <c r="Z1409" i="7"/>
  <c r="X1409" i="7"/>
  <c r="M1409" i="7"/>
  <c r="J1409" i="7"/>
  <c r="D1409" i="7"/>
  <c r="AA1408" i="7"/>
  <c r="Z1408" i="7"/>
  <c r="X1408" i="7"/>
  <c r="M1408" i="7"/>
  <c r="J1408" i="7"/>
  <c r="D1408" i="7"/>
  <c r="AA1407" i="7"/>
  <c r="Z1407" i="7"/>
  <c r="X1407" i="7"/>
  <c r="M1407" i="7"/>
  <c r="J1407" i="7"/>
  <c r="D1407" i="7"/>
  <c r="AA1406" i="7"/>
  <c r="Z1406" i="7"/>
  <c r="X1406" i="7"/>
  <c r="M1406" i="7"/>
  <c r="J1406" i="7"/>
  <c r="D1406" i="7"/>
  <c r="AA1405" i="7"/>
  <c r="Z1405" i="7"/>
  <c r="X1405" i="7"/>
  <c r="M1405" i="7"/>
  <c r="J1405" i="7"/>
  <c r="D1405" i="7"/>
  <c r="Z1403" i="7"/>
  <c r="D1403" i="7"/>
  <c r="Z1400" i="7"/>
  <c r="D1400" i="7"/>
  <c r="Z1399" i="7"/>
  <c r="D1399" i="7"/>
  <c r="D1398" i="7"/>
  <c r="D1397" i="7"/>
  <c r="D1396" i="7"/>
  <c r="Z1395" i="7"/>
  <c r="L1395" i="7"/>
  <c r="J1395" i="7"/>
  <c r="D1395" i="7"/>
  <c r="Z1394" i="7"/>
  <c r="L1394" i="7"/>
  <c r="J1394" i="7"/>
  <c r="D1394" i="7"/>
  <c r="Z1393" i="7"/>
  <c r="L1393" i="7"/>
  <c r="J1393" i="7"/>
  <c r="D1393" i="7"/>
  <c r="Z1392" i="7"/>
  <c r="L1392" i="7"/>
  <c r="J1392" i="7"/>
  <c r="D1392" i="7"/>
  <c r="Z1391" i="7"/>
  <c r="L1391" i="7"/>
  <c r="J1391" i="7"/>
  <c r="D1391" i="7"/>
  <c r="Z1390" i="7"/>
  <c r="L1390" i="7"/>
  <c r="J1390" i="7"/>
  <c r="D1390" i="7"/>
  <c r="Z1389" i="7"/>
  <c r="L1389" i="7"/>
  <c r="J1389" i="7"/>
  <c r="D1389" i="7"/>
  <c r="Z1388" i="7"/>
  <c r="L1388" i="7"/>
  <c r="J1388" i="7"/>
  <c r="D1388" i="7"/>
  <c r="Z1387" i="7"/>
  <c r="L1387" i="7"/>
  <c r="J1387" i="7"/>
  <c r="D1387" i="7"/>
  <c r="Z1386" i="7"/>
  <c r="L1386" i="7"/>
  <c r="J1386" i="7"/>
  <c r="D1386" i="7"/>
  <c r="Z1385" i="7"/>
  <c r="L1385" i="7"/>
  <c r="J1385" i="7"/>
  <c r="D1385" i="7"/>
  <c r="Z1384" i="7"/>
  <c r="L1384" i="7"/>
  <c r="J1384" i="7"/>
  <c r="D1384" i="7"/>
  <c r="Z1383" i="7"/>
  <c r="L1383" i="7"/>
  <c r="J1383" i="7"/>
  <c r="D1383" i="7"/>
  <c r="Z1382" i="7"/>
  <c r="L1382" i="7"/>
  <c r="J1382" i="7"/>
  <c r="D1382" i="7"/>
  <c r="Z1381" i="7"/>
  <c r="L1381" i="7"/>
  <c r="J1381" i="7"/>
  <c r="D1381" i="7"/>
  <c r="Z1380" i="7"/>
  <c r="L1380" i="7"/>
  <c r="J1380" i="7"/>
  <c r="D1380" i="7"/>
  <c r="AF1379" i="7"/>
  <c r="AA1379" i="7"/>
  <c r="Z1379" i="7"/>
  <c r="L1379" i="7"/>
  <c r="J1379" i="7"/>
  <c r="D1379" i="7"/>
  <c r="AF1378" i="7"/>
  <c r="AA1378" i="7"/>
  <c r="Z1378" i="7"/>
  <c r="L1378" i="7"/>
  <c r="J1378" i="7"/>
  <c r="D1378" i="7"/>
  <c r="AF1377" i="7"/>
  <c r="Z1377" i="7"/>
  <c r="J1377" i="7"/>
  <c r="D1377" i="7"/>
  <c r="Z1376" i="7"/>
  <c r="M1376" i="7"/>
  <c r="J1376" i="7"/>
  <c r="D1376" i="7"/>
  <c r="Z1375" i="7"/>
  <c r="M1375" i="7"/>
  <c r="J1375" i="7"/>
  <c r="D1375" i="7"/>
  <c r="Z1373" i="7"/>
  <c r="M1373" i="7"/>
  <c r="J1373" i="7"/>
  <c r="D1373" i="7"/>
  <c r="Z1374" i="7"/>
  <c r="M1374" i="7"/>
  <c r="J1374" i="7"/>
  <c r="D1374" i="7"/>
  <c r="Z1372" i="7"/>
  <c r="M1372" i="7"/>
  <c r="J1372" i="7"/>
  <c r="D1372" i="7"/>
  <c r="Z1371" i="7"/>
  <c r="M1371" i="7"/>
  <c r="J1371" i="7"/>
  <c r="D1371" i="7"/>
  <c r="Z1370" i="7"/>
  <c r="M1370" i="7"/>
  <c r="J1370" i="7"/>
  <c r="D1370" i="7"/>
  <c r="Z1369" i="7"/>
  <c r="M1369" i="7"/>
  <c r="J1369" i="7"/>
  <c r="D1369" i="7"/>
  <c r="Z1368" i="7"/>
  <c r="M1368" i="7"/>
  <c r="J1368" i="7"/>
  <c r="D1368" i="7"/>
  <c r="Z1367" i="7"/>
  <c r="M1367" i="7"/>
  <c r="J1367" i="7"/>
  <c r="D1367" i="7"/>
  <c r="Z1366" i="7"/>
  <c r="M1366" i="7"/>
  <c r="J1366" i="7"/>
  <c r="D1366" i="7"/>
  <c r="Z1365" i="7"/>
  <c r="M1365" i="7"/>
  <c r="J1365" i="7"/>
  <c r="D1365" i="7"/>
  <c r="Z1364" i="7"/>
  <c r="M1364" i="7"/>
  <c r="J1364" i="7"/>
  <c r="D1364" i="7"/>
  <c r="Z1361" i="7"/>
  <c r="D1361" i="7"/>
  <c r="AF1360" i="7"/>
  <c r="Z1360" i="7"/>
  <c r="J1360" i="7"/>
  <c r="D1360" i="7"/>
  <c r="AF1359" i="7"/>
  <c r="Z1359" i="7"/>
  <c r="J1359" i="7"/>
  <c r="D1359" i="7"/>
  <c r="AF1358" i="7"/>
  <c r="Z1358" i="7"/>
  <c r="J1358" i="7"/>
  <c r="D1358" i="7"/>
  <c r="AF1357" i="7"/>
  <c r="Z1357" i="7"/>
  <c r="J1357" i="7"/>
  <c r="D1357" i="7"/>
  <c r="Z1356" i="7"/>
  <c r="J1356" i="7"/>
  <c r="D1356" i="7"/>
  <c r="AF1355" i="7"/>
  <c r="Z1355" i="7"/>
  <c r="M1355" i="7"/>
  <c r="J1355" i="7"/>
  <c r="D1355" i="7"/>
  <c r="AF1354" i="7"/>
  <c r="Z1354" i="7"/>
  <c r="M1354" i="7"/>
  <c r="J1354" i="7"/>
  <c r="D1354" i="7"/>
  <c r="AF1353" i="7"/>
  <c r="Z1353" i="7"/>
  <c r="M1353" i="7"/>
  <c r="J1353" i="7"/>
  <c r="D1353" i="7"/>
  <c r="AI1350" i="7"/>
  <c r="AG1350" i="7"/>
  <c r="Z1350" i="7"/>
  <c r="J1350" i="7"/>
  <c r="D1350" i="7"/>
  <c r="AI1349" i="7"/>
  <c r="AG1349" i="7"/>
  <c r="Z1349" i="7"/>
  <c r="J1349" i="7"/>
  <c r="D1349" i="7"/>
  <c r="AI1348" i="7"/>
  <c r="AG1348" i="7"/>
  <c r="Z1348" i="7"/>
  <c r="J1348" i="7"/>
  <c r="D1348" i="7"/>
  <c r="AI1347" i="7"/>
  <c r="AG1347" i="7"/>
  <c r="Z1347" i="7"/>
  <c r="J1347" i="7"/>
  <c r="D1347" i="7"/>
  <c r="AI1346" i="7"/>
  <c r="AG1346" i="7"/>
  <c r="Z1346" i="7"/>
  <c r="J1346" i="7"/>
  <c r="D1346" i="7"/>
  <c r="AI1345" i="7"/>
  <c r="AG1345" i="7"/>
  <c r="Z1345" i="7"/>
  <c r="J1345" i="7"/>
  <c r="D1345" i="7"/>
  <c r="AI1344" i="7"/>
  <c r="AG1344" i="7"/>
  <c r="Z1344" i="7"/>
  <c r="J1344" i="7"/>
  <c r="D1344" i="7"/>
  <c r="AI1343" i="7"/>
  <c r="AG1343" i="7"/>
  <c r="Z1343" i="7"/>
  <c r="J1343" i="7"/>
  <c r="D1343" i="7"/>
  <c r="Z1341" i="7"/>
  <c r="D1341" i="7"/>
  <c r="AF1338" i="7"/>
  <c r="Z1338" i="7"/>
  <c r="O1338" i="7"/>
  <c r="M1338" i="7"/>
  <c r="D1338" i="7"/>
  <c r="Z1337" i="7"/>
  <c r="D1337" i="7"/>
  <c r="AF1336" i="7"/>
  <c r="Z1336" i="7"/>
  <c r="J1336" i="7"/>
  <c r="D1336" i="7"/>
  <c r="AF1335" i="7"/>
  <c r="Z1335" i="7"/>
  <c r="J1335" i="7"/>
  <c r="D1335" i="7"/>
  <c r="AF1334" i="7"/>
  <c r="Z1334" i="7"/>
  <c r="J1334" i="7"/>
  <c r="D1334" i="7"/>
  <c r="Z1327" i="7"/>
  <c r="L1327" i="7"/>
  <c r="D1327" i="7"/>
  <c r="Z1326" i="7"/>
  <c r="L1326" i="7"/>
  <c r="D1326" i="7"/>
  <c r="AA1324" i="7"/>
  <c r="Z1324" i="7"/>
  <c r="J1324" i="7"/>
  <c r="D1324" i="7"/>
  <c r="AA1322" i="7"/>
  <c r="Z1322" i="7"/>
  <c r="J1322" i="7"/>
  <c r="D1322" i="7"/>
  <c r="AA1320" i="7"/>
  <c r="Z1320" i="7"/>
  <c r="J1320" i="7"/>
  <c r="D1320" i="7"/>
  <c r="AA1319" i="7"/>
  <c r="Z1319" i="7"/>
  <c r="J1319" i="7"/>
  <c r="D1319" i="7"/>
  <c r="AA1318" i="7"/>
  <c r="Z1318" i="7"/>
  <c r="J1318" i="7"/>
  <c r="D1318" i="7"/>
  <c r="AA1317" i="7"/>
  <c r="Z1317" i="7"/>
  <c r="J1317" i="7"/>
  <c r="D1317" i="7"/>
  <c r="AA1316" i="7"/>
  <c r="Z1316" i="7"/>
  <c r="J1316" i="7"/>
  <c r="D1316" i="7"/>
  <c r="AA1315" i="7"/>
  <c r="Z1315" i="7"/>
  <c r="J1315" i="7"/>
  <c r="D1315" i="7"/>
  <c r="AA1314" i="7"/>
  <c r="Z1314" i="7"/>
  <c r="J1314" i="7"/>
  <c r="D1314" i="7"/>
  <c r="AA1313" i="7"/>
  <c r="Z1313" i="7"/>
  <c r="J1313" i="7"/>
  <c r="D1313" i="7"/>
  <c r="AA1312" i="7"/>
  <c r="Z1312" i="7"/>
  <c r="J1312" i="7"/>
  <c r="D1312" i="7"/>
  <c r="AF1310" i="7"/>
  <c r="Z1310" i="7"/>
  <c r="X1310" i="7"/>
  <c r="J1310" i="7"/>
  <c r="AF1309" i="7"/>
  <c r="Z1309" i="7"/>
  <c r="X1309" i="7"/>
  <c r="J1309" i="7"/>
  <c r="AF1308" i="7"/>
  <c r="Z1308" i="7"/>
  <c r="X1308" i="7"/>
  <c r="J1308" i="7"/>
  <c r="AF1307" i="7"/>
  <c r="Z1307" i="7"/>
  <c r="X1307" i="7"/>
  <c r="J1307" i="7"/>
  <c r="AF1306" i="7"/>
  <c r="Z1306" i="7"/>
  <c r="X1306" i="7"/>
  <c r="J1306" i="7"/>
  <c r="Z1304" i="7"/>
  <c r="J1304" i="7"/>
  <c r="Z1302" i="7"/>
  <c r="J1302" i="7"/>
  <c r="Z1301" i="7"/>
  <c r="J1301" i="7"/>
  <c r="Z1305" i="7"/>
  <c r="J1305" i="7"/>
  <c r="Z1300" i="7"/>
  <c r="J1300" i="7"/>
  <c r="Z1299" i="7"/>
  <c r="J1299" i="7"/>
  <c r="Z1298" i="7"/>
  <c r="J1298" i="7"/>
  <c r="Z1297" i="7"/>
  <c r="J1297" i="7"/>
  <c r="Z1296" i="7"/>
  <c r="J1296" i="7"/>
  <c r="Z1303" i="7"/>
  <c r="J1303" i="7"/>
  <c r="Z1295" i="7"/>
  <c r="J1295" i="7"/>
  <c r="Z1294" i="7"/>
  <c r="J1294" i="7"/>
  <c r="Z1293" i="7"/>
  <c r="J1293" i="7"/>
  <c r="Z1292" i="7"/>
  <c r="J1292" i="7"/>
  <c r="Z1291" i="7"/>
  <c r="J1291" i="7"/>
  <c r="Z1290" i="7"/>
  <c r="J1290" i="7"/>
  <c r="Z1282" i="7"/>
  <c r="O1282" i="7"/>
  <c r="M1282" i="7"/>
  <c r="Z1281" i="7"/>
  <c r="O1281" i="7"/>
  <c r="M1281" i="7"/>
  <c r="Z1280" i="7"/>
  <c r="O1280" i="7"/>
  <c r="M1280" i="7"/>
  <c r="Z1279" i="7"/>
  <c r="O1279" i="7"/>
  <c r="M1279" i="7"/>
  <c r="Z1278" i="7"/>
  <c r="O1278" i="7"/>
  <c r="M1278" i="7"/>
  <c r="Z1277" i="7"/>
  <c r="O1277" i="7"/>
  <c r="M1277" i="7"/>
  <c r="Z1276" i="7"/>
  <c r="O1276" i="7"/>
  <c r="M1276" i="7"/>
  <c r="Z1275" i="7"/>
  <c r="O1275" i="7"/>
  <c r="M1275" i="7"/>
  <c r="Z1274" i="7"/>
  <c r="O1274" i="7"/>
  <c r="M1274" i="7"/>
  <c r="Z1273" i="7"/>
  <c r="O1273" i="7"/>
  <c r="M1273" i="7"/>
  <c r="AF1271" i="7"/>
  <c r="Z1271" i="7"/>
  <c r="M1271" i="7"/>
  <c r="J1271" i="7"/>
  <c r="AF1270" i="7"/>
  <c r="AA1270" i="7"/>
  <c r="Z1270" i="7"/>
  <c r="L1270" i="7"/>
  <c r="J1270" i="7"/>
  <c r="AF1269" i="7"/>
  <c r="AA1269" i="7"/>
  <c r="Z1269" i="7"/>
  <c r="L1269" i="7"/>
  <c r="J1269" i="7"/>
  <c r="AF1268" i="7"/>
  <c r="AA1268" i="7"/>
  <c r="Z1268" i="7"/>
  <c r="L1268" i="7"/>
  <c r="J1268" i="7"/>
  <c r="AF1254" i="7"/>
  <c r="AB1254" i="7"/>
  <c r="AA1254" i="7"/>
  <c r="Z1254" i="7"/>
  <c r="X1254" i="7"/>
  <c r="M1254" i="7"/>
  <c r="J1254" i="7"/>
  <c r="AI1253" i="7"/>
  <c r="Z1253" i="7"/>
  <c r="X1253" i="7"/>
  <c r="AI1252" i="7"/>
  <c r="Z1252" i="7"/>
  <c r="X1252" i="7"/>
  <c r="AI1251" i="7"/>
  <c r="Z1251" i="7"/>
  <c r="X1251" i="7"/>
  <c r="AI1250" i="7"/>
  <c r="Z1250" i="7"/>
  <c r="X1250" i="7"/>
  <c r="AI1249" i="7"/>
  <c r="Z1249" i="7"/>
  <c r="X1249" i="7"/>
  <c r="AI1248" i="7"/>
  <c r="Z1248" i="7"/>
  <c r="X1248" i="7"/>
  <c r="AI1247" i="7"/>
  <c r="Z1247" i="7"/>
  <c r="X1247" i="7"/>
  <c r="AI1242" i="7"/>
  <c r="AF1242" i="7"/>
  <c r="Z1242" i="7"/>
  <c r="J1242" i="7"/>
  <c r="AI1241" i="7"/>
  <c r="AF1241" i="7"/>
  <c r="Z1241" i="7"/>
  <c r="J1241" i="7"/>
  <c r="AI1240" i="7"/>
  <c r="AF1240" i="7"/>
  <c r="Z1240" i="7"/>
  <c r="J1240" i="7"/>
  <c r="AI1239" i="7"/>
  <c r="AF1239" i="7"/>
  <c r="Z1239" i="7"/>
  <c r="J1239" i="7"/>
  <c r="AI1238" i="7"/>
  <c r="AF1238" i="7"/>
  <c r="Z1238" i="7"/>
  <c r="J1238" i="7"/>
  <c r="AI1237" i="7"/>
  <c r="AF1237" i="7"/>
  <c r="Z1237" i="7"/>
  <c r="J1237" i="7"/>
  <c r="AI1236" i="7"/>
  <c r="AF1236" i="7"/>
  <c r="Z1236" i="7"/>
  <c r="J1236" i="7"/>
  <c r="AI1235" i="7"/>
  <c r="AF1235" i="7"/>
  <c r="Z1235" i="7"/>
  <c r="J1235" i="7"/>
  <c r="AI1234" i="7"/>
  <c r="AF1234" i="7"/>
  <c r="Z1234" i="7"/>
  <c r="J1234" i="7"/>
  <c r="AI1229" i="7"/>
  <c r="AF1229" i="7"/>
  <c r="Z1229" i="7"/>
  <c r="J1229" i="7"/>
  <c r="AI1228" i="7"/>
  <c r="AF1228" i="7"/>
  <c r="Z1228" i="7"/>
  <c r="J1228" i="7"/>
  <c r="AI1227" i="7"/>
  <c r="AF1227" i="7"/>
  <c r="Z1227" i="7"/>
  <c r="J1227" i="7"/>
  <c r="Z1222" i="7"/>
  <c r="M1222" i="7"/>
  <c r="J1222" i="7"/>
  <c r="Z1218" i="7"/>
  <c r="M1218" i="7"/>
  <c r="J1218" i="7"/>
  <c r="Z1216" i="7"/>
  <c r="M1216" i="7"/>
  <c r="J1216" i="7"/>
  <c r="Z1215" i="7"/>
  <c r="M1215" i="7"/>
  <c r="J1215" i="7"/>
  <c r="Z1221" i="7"/>
  <c r="M1221" i="7"/>
  <c r="J1221" i="7"/>
  <c r="Z1214" i="7"/>
  <c r="M1214" i="7"/>
  <c r="J1214" i="7"/>
  <c r="Z1213" i="7"/>
  <c r="M1213" i="7"/>
  <c r="J1213" i="7"/>
  <c r="Z1212" i="7"/>
  <c r="M1212" i="7"/>
  <c r="J1212" i="7"/>
  <c r="Z1211" i="7"/>
  <c r="M1211" i="7"/>
  <c r="J1211" i="7"/>
  <c r="Z1210" i="7"/>
  <c r="M1210" i="7"/>
  <c r="J1210" i="7"/>
  <c r="Z1209" i="7"/>
  <c r="M1209" i="7"/>
  <c r="J1209" i="7"/>
  <c r="Z1208" i="7"/>
  <c r="M1208" i="7"/>
  <c r="J1208" i="7"/>
  <c r="Z1207" i="7"/>
  <c r="M1207" i="7"/>
  <c r="J1207" i="7"/>
  <c r="Z1206" i="7"/>
  <c r="M1206" i="7"/>
  <c r="J1206" i="7"/>
  <c r="Z1205" i="7"/>
  <c r="M1205" i="7"/>
  <c r="J1205" i="7"/>
  <c r="Z1204" i="7"/>
  <c r="M1204" i="7"/>
  <c r="J1204" i="7"/>
  <c r="Z1203" i="7"/>
  <c r="M1203" i="7"/>
  <c r="J1203" i="7"/>
  <c r="Z1202" i="7"/>
  <c r="M1202" i="7"/>
  <c r="J1202" i="7"/>
  <c r="Z1201" i="7"/>
  <c r="M1201" i="7"/>
  <c r="J1201" i="7"/>
  <c r="Z1200" i="7"/>
  <c r="M1200" i="7"/>
  <c r="J1200" i="7"/>
  <c r="Z1199" i="7"/>
  <c r="M1199" i="7"/>
  <c r="J1199" i="7"/>
  <c r="Z1198" i="7"/>
  <c r="M1198" i="7"/>
  <c r="J1198" i="7"/>
  <c r="AJ1197" i="7"/>
  <c r="Z1197" i="7"/>
  <c r="AJ1196" i="7"/>
  <c r="Z1196" i="7"/>
  <c r="AJ1195" i="7"/>
  <c r="Z1195" i="7"/>
  <c r="AJ1194" i="7"/>
  <c r="Z1194" i="7"/>
  <c r="AJ1193" i="7"/>
  <c r="Z1193" i="7"/>
  <c r="AJ1192" i="7"/>
  <c r="Z1192" i="7"/>
  <c r="AJ1191" i="7"/>
  <c r="Z1191" i="7"/>
  <c r="AJ1190" i="7"/>
  <c r="Z1190" i="7"/>
  <c r="AJ1189" i="7"/>
  <c r="Z1189" i="7"/>
  <c r="AI1183" i="7"/>
  <c r="Z1183" i="7"/>
  <c r="J1183" i="7"/>
  <c r="AI1179" i="7"/>
  <c r="Z1179" i="7"/>
  <c r="J1179" i="7"/>
  <c r="AI1177" i="7"/>
  <c r="Z1177" i="7"/>
  <c r="J1177" i="7"/>
  <c r="AI1188" i="7"/>
  <c r="Z1188" i="7"/>
  <c r="J1188" i="7"/>
  <c r="AI1187" i="7"/>
  <c r="Z1187" i="7"/>
  <c r="J1187" i="7"/>
  <c r="AI1176" i="7"/>
  <c r="Z1176" i="7"/>
  <c r="J1176" i="7"/>
  <c r="AI1175" i="7"/>
  <c r="Z1175" i="7"/>
  <c r="J1175" i="7"/>
  <c r="AI1174" i="7"/>
  <c r="Z1174" i="7"/>
  <c r="J1174" i="7"/>
  <c r="AI1173" i="7"/>
  <c r="Z1173" i="7"/>
  <c r="J1173" i="7"/>
  <c r="AI1172" i="7"/>
  <c r="Z1172" i="7"/>
  <c r="J1172" i="7"/>
  <c r="Z1168" i="7"/>
  <c r="Z1167" i="7"/>
  <c r="Z1166" i="7"/>
  <c r="Z1165" i="7"/>
  <c r="Z1164" i="7"/>
  <c r="Z1163" i="7"/>
  <c r="Z1161" i="7"/>
  <c r="Z1160" i="7"/>
  <c r="Z1159" i="7"/>
  <c r="Z1158" i="7"/>
  <c r="Z1157" i="7"/>
  <c r="Z1156" i="7"/>
  <c r="Z1155" i="7"/>
  <c r="Z1154" i="7"/>
  <c r="Z1153" i="7"/>
  <c r="Z1152" i="7"/>
  <c r="Z1151" i="7"/>
  <c r="Z1150" i="7"/>
  <c r="Z1146" i="7"/>
  <c r="L1146" i="7"/>
  <c r="J1146" i="7"/>
  <c r="Z1149" i="7"/>
  <c r="J1149" i="7"/>
  <c r="Z1148" i="7"/>
  <c r="J1148" i="7"/>
  <c r="Z1147" i="7"/>
  <c r="J1147" i="7"/>
  <c r="AA1137" i="7"/>
  <c r="Z1137" i="7"/>
  <c r="L1137" i="7"/>
  <c r="J1137" i="7"/>
  <c r="AA1136" i="7"/>
  <c r="Z1136" i="7"/>
  <c r="L1136" i="7"/>
  <c r="J1136" i="7"/>
  <c r="AA1135" i="7"/>
  <c r="Z1135" i="7"/>
  <c r="L1135" i="7"/>
  <c r="J1135" i="7"/>
  <c r="AA1134" i="7"/>
  <c r="Z1134" i="7"/>
  <c r="L1134" i="7"/>
  <c r="J1134" i="7"/>
  <c r="AA1133" i="7"/>
  <c r="Z1133" i="7"/>
  <c r="L1133" i="7"/>
  <c r="J1133" i="7"/>
  <c r="AA1132" i="7"/>
  <c r="Z1132" i="7"/>
  <c r="L1132" i="7"/>
  <c r="J1132" i="7"/>
  <c r="AA1131" i="7"/>
  <c r="Z1131" i="7"/>
  <c r="L1131" i="7"/>
  <c r="J1131" i="7"/>
  <c r="AA1130" i="7"/>
  <c r="Z1130" i="7"/>
  <c r="L1130" i="7"/>
  <c r="J1130" i="7"/>
  <c r="AA1129" i="7"/>
  <c r="Z1129" i="7"/>
  <c r="L1129" i="7"/>
  <c r="J1129" i="7"/>
  <c r="AA1128" i="7"/>
  <c r="Z1128" i="7"/>
  <c r="L1128" i="7"/>
  <c r="J1128" i="7"/>
  <c r="AA1127" i="7"/>
  <c r="Z1127" i="7"/>
  <c r="L1127" i="7"/>
  <c r="J1127" i="7"/>
  <c r="AA1126" i="7"/>
  <c r="Z1126" i="7"/>
  <c r="L1126" i="7"/>
  <c r="J1126" i="7"/>
  <c r="AA1125" i="7"/>
  <c r="Z1125" i="7"/>
  <c r="L1125" i="7"/>
  <c r="J1125" i="7"/>
  <c r="AA1124" i="7"/>
  <c r="Z1124" i="7"/>
  <c r="L1124" i="7"/>
  <c r="J1124" i="7"/>
  <c r="AA1123" i="7"/>
  <c r="Z1123" i="7"/>
  <c r="L1123" i="7"/>
  <c r="J1123" i="7"/>
  <c r="AA1122" i="7"/>
  <c r="Z1122" i="7"/>
  <c r="L1122" i="7"/>
  <c r="J1122" i="7"/>
  <c r="AA1121" i="7"/>
  <c r="Z1121" i="7"/>
  <c r="L1121" i="7"/>
  <c r="J1121" i="7"/>
  <c r="AA1120" i="7"/>
  <c r="Z1120" i="7"/>
  <c r="L1120" i="7"/>
  <c r="J1120" i="7"/>
  <c r="AA1119" i="7"/>
  <c r="Z1119" i="7"/>
  <c r="L1119" i="7"/>
  <c r="J1119" i="7"/>
  <c r="AA1118" i="7"/>
  <c r="Z1118" i="7"/>
  <c r="L1118" i="7"/>
  <c r="J1118" i="7"/>
  <c r="AA1117" i="7"/>
  <c r="Z1117" i="7"/>
  <c r="L1117" i="7"/>
  <c r="J1117" i="7"/>
  <c r="AA1116" i="7"/>
  <c r="Z1116" i="7"/>
  <c r="L1116" i="7"/>
  <c r="J1116" i="7"/>
  <c r="AA1115" i="7"/>
  <c r="Z1115" i="7"/>
  <c r="L1115" i="7"/>
  <c r="J1115" i="7"/>
  <c r="AA1114" i="7"/>
  <c r="Z1114" i="7"/>
  <c r="L1114" i="7"/>
  <c r="J1114" i="7"/>
  <c r="AF1110" i="7"/>
  <c r="Z1110" i="7"/>
  <c r="M1110" i="7"/>
  <c r="J1110" i="7"/>
  <c r="AF1109" i="7"/>
  <c r="Z1109" i="7"/>
  <c r="M1109" i="7"/>
  <c r="J1109" i="7"/>
  <c r="AF1108" i="7"/>
  <c r="Z1108" i="7"/>
  <c r="M1108" i="7"/>
  <c r="J1108" i="7"/>
  <c r="Z1106" i="7"/>
  <c r="J1106" i="7"/>
  <c r="Z1099" i="7"/>
  <c r="J1099" i="7"/>
  <c r="Z1097" i="7"/>
  <c r="J1097" i="7"/>
  <c r="Z1096" i="7"/>
  <c r="J1096" i="7"/>
  <c r="Z1095" i="7"/>
  <c r="J1095" i="7"/>
  <c r="Z1094" i="7"/>
  <c r="J1094" i="7"/>
  <c r="Z1093" i="7"/>
  <c r="J1093" i="7"/>
  <c r="Z1092" i="7"/>
  <c r="J1092" i="7"/>
  <c r="Z1091" i="7"/>
  <c r="J1091" i="7"/>
  <c r="Z1089" i="7"/>
  <c r="J1089" i="7"/>
  <c r="Z1088" i="7"/>
  <c r="J1088" i="7"/>
  <c r="Z1087" i="7"/>
  <c r="J1087" i="7"/>
  <c r="Z1086" i="7"/>
  <c r="J1086" i="7"/>
  <c r="Z1085" i="7"/>
  <c r="J1085" i="7"/>
  <c r="Z1083" i="7"/>
  <c r="J1083" i="7"/>
  <c r="Z1082" i="7"/>
  <c r="J1082" i="7"/>
  <c r="Z1081" i="7"/>
  <c r="J1081" i="7"/>
  <c r="Z1077" i="7"/>
  <c r="J1077" i="7"/>
  <c r="Z1076" i="7"/>
  <c r="J1076" i="7"/>
  <c r="Z1075" i="7"/>
  <c r="J1075" i="7"/>
  <c r="Z1073" i="7"/>
  <c r="J1073" i="7"/>
  <c r="Z1072" i="7"/>
  <c r="J1072" i="7"/>
  <c r="Z1071" i="7"/>
  <c r="J1071" i="7"/>
  <c r="Z1070" i="7"/>
  <c r="J1070" i="7"/>
  <c r="Z1069" i="7"/>
  <c r="J1069" i="7"/>
  <c r="Z1068" i="7"/>
  <c r="J1068" i="7"/>
  <c r="Z1067" i="7"/>
  <c r="J1067" i="7"/>
  <c r="Z1066" i="7"/>
  <c r="J1066" i="7"/>
  <c r="Z1065" i="7"/>
  <c r="J1065" i="7"/>
  <c r="Z1064" i="7"/>
  <c r="J1064" i="7"/>
  <c r="Z1063" i="7"/>
  <c r="J1063" i="7"/>
  <c r="Z1062" i="7"/>
  <c r="J1062" i="7"/>
  <c r="Z1061" i="7"/>
  <c r="J1061" i="7"/>
  <c r="Z1060" i="7"/>
  <c r="J1060" i="7"/>
  <c r="Z1059" i="7"/>
  <c r="J1059" i="7"/>
  <c r="Z1058" i="7"/>
  <c r="J1058" i="7"/>
  <c r="Z1057" i="7"/>
  <c r="J1057" i="7"/>
  <c r="Z1056" i="7"/>
  <c r="J1056" i="7"/>
  <c r="Z1055" i="7"/>
  <c r="J1055" i="7"/>
  <c r="Z1054" i="7"/>
  <c r="J1054" i="7"/>
  <c r="Z1042" i="7"/>
  <c r="Z1041" i="7"/>
  <c r="Z1044" i="7"/>
  <c r="L1044" i="7"/>
  <c r="J1044" i="7"/>
  <c r="Z1043" i="7"/>
  <c r="L1043" i="7"/>
  <c r="J1043" i="7"/>
  <c r="AF1035" i="7"/>
  <c r="Z1035" i="7"/>
  <c r="J1035" i="7"/>
  <c r="AF1034" i="7"/>
  <c r="Z1034" i="7"/>
  <c r="J1034" i="7"/>
  <c r="AF1033" i="7"/>
  <c r="Z1033" i="7"/>
  <c r="J1033" i="7"/>
  <c r="AF1032" i="7"/>
  <c r="Z1032" i="7"/>
  <c r="J1032" i="7"/>
  <c r="AF1031" i="7"/>
  <c r="Z1031" i="7"/>
  <c r="J1031" i="7"/>
  <c r="AF1030" i="7"/>
  <c r="Z1030" i="7"/>
  <c r="J1030" i="7"/>
  <c r="AF1029" i="7"/>
  <c r="Z1029" i="7"/>
  <c r="J1029" i="7"/>
  <c r="Z1028" i="7"/>
  <c r="J1028" i="7"/>
  <c r="Z1026" i="7"/>
  <c r="J1026" i="7"/>
  <c r="Z1024" i="7"/>
  <c r="M1024" i="7"/>
  <c r="J1024" i="7"/>
  <c r="AF1023" i="7"/>
  <c r="Z1023" i="7"/>
  <c r="O1023" i="7"/>
  <c r="AF1022" i="7"/>
  <c r="Z1022" i="7"/>
  <c r="O1022" i="7"/>
  <c r="Z1021" i="7"/>
  <c r="J1021" i="7"/>
  <c r="Z1019" i="7"/>
  <c r="J1019" i="7"/>
  <c r="Z1017" i="7"/>
  <c r="J1017" i="7"/>
  <c r="Z1016" i="7"/>
  <c r="J1016" i="7"/>
  <c r="Z1014" i="7"/>
  <c r="J1014" i="7"/>
  <c r="Z1013" i="7"/>
  <c r="J1013" i="7"/>
  <c r="Z1012" i="7"/>
  <c r="J1012" i="7"/>
  <c r="Z1011" i="7"/>
  <c r="J1011" i="7"/>
  <c r="Z1010" i="7"/>
  <c r="J1010" i="7"/>
  <c r="Z1009" i="7"/>
  <c r="J1009" i="7"/>
  <c r="Z1008" i="7"/>
  <c r="J1008" i="7"/>
  <c r="Z1007" i="7"/>
  <c r="J1007" i="7"/>
  <c r="Z1006" i="7"/>
  <c r="J1006" i="7"/>
  <c r="Z1005" i="7"/>
  <c r="J1005" i="7"/>
  <c r="Z1004" i="7"/>
  <c r="J1004" i="7"/>
  <c r="Z1003" i="7"/>
  <c r="J1003" i="7"/>
  <c r="Z1002" i="7"/>
  <c r="J1002" i="7"/>
  <c r="Z996" i="7"/>
  <c r="O996" i="7"/>
  <c r="Z994" i="7"/>
  <c r="O994" i="7"/>
  <c r="Z993" i="7"/>
  <c r="O993" i="7"/>
  <c r="Z992" i="7"/>
  <c r="O992" i="7"/>
  <c r="Z991" i="7"/>
  <c r="N991" i="7"/>
  <c r="Z990" i="7"/>
  <c r="N990" i="7"/>
  <c r="Z989" i="7"/>
  <c r="N989" i="7"/>
  <c r="Z988" i="7"/>
  <c r="N988" i="7"/>
  <c r="AF987" i="7"/>
  <c r="Z987" i="7"/>
  <c r="O987" i="7"/>
  <c r="M987" i="7"/>
  <c r="Z984" i="7"/>
  <c r="Z983" i="7"/>
  <c r="Z982" i="7"/>
  <c r="Z981" i="7"/>
  <c r="Z980" i="7"/>
  <c r="Z979" i="7"/>
  <c r="Z978" i="7"/>
  <c r="Z977" i="7"/>
  <c r="Z976" i="7"/>
  <c r="Z975" i="7"/>
  <c r="Z972" i="7"/>
  <c r="J972" i="7"/>
  <c r="Z974" i="7"/>
  <c r="J974" i="7"/>
  <c r="Z973" i="7"/>
  <c r="J973" i="7"/>
  <c r="AF955" i="7"/>
  <c r="AB955" i="7"/>
  <c r="Z955" i="7"/>
  <c r="AF953" i="7"/>
  <c r="AB953" i="7"/>
  <c r="Z953" i="7"/>
  <c r="AF952" i="7"/>
  <c r="AB952" i="7"/>
  <c r="Z952" i="7"/>
  <c r="AF951" i="7"/>
  <c r="AB951" i="7"/>
  <c r="Z951" i="7"/>
  <c r="AF950" i="7"/>
  <c r="AB950" i="7"/>
  <c r="Z950" i="7"/>
  <c r="AF949" i="7"/>
  <c r="AB949" i="7"/>
  <c r="Z949" i="7"/>
  <c r="AI947" i="7"/>
  <c r="AF947" i="7"/>
  <c r="AA947" i="7"/>
  <c r="Z947" i="7"/>
  <c r="L947" i="7"/>
  <c r="AF961" i="7"/>
  <c r="AA961" i="7"/>
  <c r="Z961" i="7"/>
  <c r="M961" i="7"/>
  <c r="J961" i="7"/>
  <c r="AF960" i="7"/>
  <c r="AA960" i="7"/>
  <c r="Z960" i="7"/>
  <c r="M960" i="7"/>
  <c r="J960" i="7"/>
  <c r="AF959" i="7"/>
  <c r="AA959" i="7"/>
  <c r="Z959" i="7"/>
  <c r="M959" i="7"/>
  <c r="J959" i="7"/>
  <c r="AF958" i="7"/>
  <c r="AA958" i="7"/>
  <c r="Z958" i="7"/>
  <c r="M958" i="7"/>
  <c r="J958" i="7"/>
  <c r="Z969" i="7"/>
  <c r="O969" i="7"/>
  <c r="Z968" i="7"/>
  <c r="O968" i="7"/>
  <c r="Z967" i="7"/>
  <c r="O967" i="7"/>
  <c r="Z971" i="7"/>
  <c r="O971" i="7"/>
  <c r="Z970" i="7"/>
  <c r="O970" i="7"/>
  <c r="Z965" i="7"/>
  <c r="O965" i="7"/>
  <c r="Z964" i="7"/>
  <c r="O964" i="7"/>
  <c r="Z963" i="7"/>
  <c r="O963" i="7"/>
  <c r="AF946" i="7"/>
  <c r="Z946" i="7"/>
  <c r="O946" i="7"/>
  <c r="AF945" i="7"/>
  <c r="Z945" i="7"/>
  <c r="AF944" i="7"/>
  <c r="Z944" i="7"/>
  <c r="AI943" i="7"/>
  <c r="AF943" i="7"/>
  <c r="Z943" i="7"/>
  <c r="J943" i="7"/>
  <c r="Z941" i="7"/>
  <c r="J941" i="7"/>
  <c r="Z940" i="7"/>
  <c r="J940" i="7"/>
  <c r="Z939" i="7"/>
  <c r="J939" i="7"/>
  <c r="AI934" i="7"/>
  <c r="AF934" i="7"/>
  <c r="AA934" i="7"/>
  <c r="Z934" i="7"/>
  <c r="J934" i="7"/>
  <c r="AI933" i="7"/>
  <c r="AF933" i="7"/>
  <c r="AA933" i="7"/>
  <c r="Z933" i="7"/>
  <c r="J933" i="7"/>
  <c r="AI932" i="7"/>
  <c r="AF932" i="7"/>
  <c r="AA932" i="7"/>
  <c r="Z932" i="7"/>
  <c r="J932" i="7"/>
  <c r="AI931" i="7"/>
  <c r="AF931" i="7"/>
  <c r="AA931" i="7"/>
  <c r="Z931" i="7"/>
  <c r="J931" i="7"/>
  <c r="AI930" i="7"/>
  <c r="AF930" i="7"/>
  <c r="AA930" i="7"/>
  <c r="Z930" i="7"/>
  <c r="J930" i="7"/>
  <c r="AI929" i="7"/>
  <c r="AF929" i="7"/>
  <c r="AA929" i="7"/>
  <c r="Z929" i="7"/>
  <c r="J929" i="7"/>
  <c r="AI928" i="7"/>
  <c r="AF928" i="7"/>
  <c r="AA928" i="7"/>
  <c r="Z928" i="7"/>
  <c r="J928" i="7"/>
  <c r="AI927" i="7"/>
  <c r="AF927" i="7"/>
  <c r="AA927" i="7"/>
  <c r="Z927" i="7"/>
  <c r="J927" i="7"/>
  <c r="AI926" i="7"/>
  <c r="AF926" i="7"/>
  <c r="AA926" i="7"/>
  <c r="Z926" i="7"/>
  <c r="J926" i="7"/>
  <c r="Z925" i="7"/>
  <c r="O925" i="7"/>
  <c r="Z924" i="7"/>
  <c r="O924" i="7"/>
  <c r="Z923" i="7"/>
  <c r="O923" i="7"/>
  <c r="AF921" i="7"/>
  <c r="AA921" i="7"/>
  <c r="Z921" i="7"/>
  <c r="O921" i="7"/>
  <c r="M921" i="7"/>
  <c r="J921" i="7"/>
  <c r="AF920" i="7"/>
  <c r="AA920" i="7"/>
  <c r="Z920" i="7"/>
  <c r="O920" i="7"/>
  <c r="M920" i="7"/>
  <c r="J920" i="7"/>
  <c r="Z919" i="7"/>
  <c r="J919" i="7"/>
  <c r="Z918" i="7"/>
  <c r="J918" i="7"/>
  <c r="Z917" i="7"/>
  <c r="J917" i="7"/>
  <c r="Z916" i="7"/>
  <c r="Z915" i="7"/>
  <c r="Z914" i="7"/>
  <c r="J914" i="7"/>
  <c r="Z912" i="7"/>
  <c r="J912" i="7"/>
  <c r="Z910" i="7"/>
  <c r="Z909" i="7"/>
  <c r="Z908" i="7"/>
  <c r="Z905" i="7"/>
  <c r="J905" i="7"/>
  <c r="Z904" i="7"/>
  <c r="J904" i="7"/>
  <c r="Z902" i="7"/>
  <c r="J902" i="7"/>
  <c r="Z901" i="7"/>
  <c r="J901" i="7"/>
  <c r="Z906" i="7"/>
  <c r="J906" i="7"/>
  <c r="Z900" i="7"/>
  <c r="J900" i="7"/>
  <c r="Z899" i="7"/>
  <c r="J899" i="7"/>
  <c r="Z907" i="7"/>
  <c r="J907" i="7"/>
  <c r="Z898" i="7"/>
  <c r="J898" i="7"/>
  <c r="Z897" i="7"/>
  <c r="J897" i="7"/>
  <c r="Z896" i="7"/>
  <c r="J896" i="7"/>
  <c r="Z895" i="7"/>
  <c r="J895" i="7"/>
  <c r="Z894" i="7"/>
  <c r="J894" i="7"/>
  <c r="Z893" i="7"/>
  <c r="J893" i="7"/>
  <c r="Z892" i="7"/>
  <c r="J892" i="7"/>
  <c r="Z890" i="7"/>
  <c r="J890" i="7"/>
  <c r="Z886" i="7"/>
  <c r="Z885" i="7"/>
  <c r="Z884" i="7"/>
  <c r="Z883" i="7"/>
  <c r="Z882" i="7"/>
  <c r="Z881" i="7"/>
  <c r="Z880" i="7"/>
  <c r="Z879" i="7"/>
  <c r="Z878" i="7"/>
  <c r="Z877" i="7"/>
  <c r="Z876" i="7"/>
  <c r="Z875" i="7"/>
  <c r="Z874" i="7"/>
  <c r="AF873" i="7"/>
  <c r="AB873" i="7"/>
  <c r="Z873" i="7"/>
  <c r="J873" i="7"/>
  <c r="AF872" i="7"/>
  <c r="AB872" i="7"/>
  <c r="Z872" i="7"/>
  <c r="J872" i="7"/>
  <c r="Z871" i="7"/>
  <c r="Z870" i="7"/>
  <c r="AF867" i="7"/>
  <c r="Z867" i="7"/>
  <c r="M867" i="7"/>
  <c r="AF869" i="7"/>
  <c r="Z869" i="7"/>
  <c r="M869" i="7"/>
  <c r="AF868" i="7"/>
  <c r="Z868" i="7"/>
  <c r="M868" i="7"/>
  <c r="Z835" i="7"/>
  <c r="Z834" i="7"/>
  <c r="Z833" i="7"/>
  <c r="Z832" i="7"/>
  <c r="Z831" i="7"/>
  <c r="AF854" i="7"/>
  <c r="AB854" i="7"/>
  <c r="AA854" i="7"/>
  <c r="Z854" i="7"/>
  <c r="L854" i="7"/>
  <c r="J854" i="7"/>
  <c r="AF853" i="7"/>
  <c r="AB853" i="7"/>
  <c r="AA853" i="7"/>
  <c r="Z853" i="7"/>
  <c r="L853" i="7"/>
  <c r="J853" i="7"/>
  <c r="AF852" i="7"/>
  <c r="AB852" i="7"/>
  <c r="AA852" i="7"/>
  <c r="Z852" i="7"/>
  <c r="L852" i="7"/>
  <c r="J852" i="7"/>
  <c r="AF851" i="7"/>
  <c r="AB851" i="7"/>
  <c r="AA851" i="7"/>
  <c r="Z851" i="7"/>
  <c r="L851" i="7"/>
  <c r="J851" i="7"/>
  <c r="AF850" i="7"/>
  <c r="AB850" i="7"/>
  <c r="AA850" i="7"/>
  <c r="Z850" i="7"/>
  <c r="L850" i="7"/>
  <c r="J850" i="7"/>
  <c r="AF849" i="7"/>
  <c r="AB849" i="7"/>
  <c r="AA849" i="7"/>
  <c r="Z849" i="7"/>
  <c r="L849" i="7"/>
  <c r="J849" i="7"/>
  <c r="AF848" i="7"/>
  <c r="AB848" i="7"/>
  <c r="AA848" i="7"/>
  <c r="Z848" i="7"/>
  <c r="L848" i="7"/>
  <c r="J848" i="7"/>
  <c r="AF846" i="7"/>
  <c r="AB846" i="7"/>
  <c r="AA846" i="7"/>
  <c r="Z846" i="7"/>
  <c r="J846" i="7"/>
  <c r="AF866" i="7"/>
  <c r="AB866" i="7"/>
  <c r="AA866" i="7"/>
  <c r="Z866" i="7"/>
  <c r="J866" i="7"/>
  <c r="AF865" i="7"/>
  <c r="AB865" i="7"/>
  <c r="AA865" i="7"/>
  <c r="Z865" i="7"/>
  <c r="J865" i="7"/>
  <c r="AF845" i="7"/>
  <c r="AB845" i="7"/>
  <c r="AA845" i="7"/>
  <c r="Z845" i="7"/>
  <c r="J845" i="7"/>
  <c r="AF864" i="7"/>
  <c r="AB864" i="7"/>
  <c r="AA864" i="7"/>
  <c r="Z864" i="7"/>
  <c r="J864" i="7"/>
  <c r="AF863" i="7"/>
  <c r="AB863" i="7"/>
  <c r="AA863" i="7"/>
  <c r="Z863" i="7"/>
  <c r="J863" i="7"/>
  <c r="AF862" i="7"/>
  <c r="AB862" i="7"/>
  <c r="AA862" i="7"/>
  <c r="Z862" i="7"/>
  <c r="J862" i="7"/>
  <c r="AF844" i="7"/>
  <c r="AB844" i="7"/>
  <c r="AA844" i="7"/>
  <c r="Z844" i="7"/>
  <c r="J844" i="7"/>
  <c r="AF843" i="7"/>
  <c r="AB843" i="7"/>
  <c r="AA843" i="7"/>
  <c r="Z843" i="7"/>
  <c r="J843" i="7"/>
  <c r="AF842" i="7"/>
  <c r="AB842" i="7"/>
  <c r="AA842" i="7"/>
  <c r="Z842" i="7"/>
  <c r="J842" i="7"/>
  <c r="AF841" i="7"/>
  <c r="AB841" i="7"/>
  <c r="AA841" i="7"/>
  <c r="Z841" i="7"/>
  <c r="J841" i="7"/>
  <c r="AF839" i="7"/>
  <c r="AB839" i="7"/>
  <c r="AA839" i="7"/>
  <c r="Z839" i="7"/>
  <c r="J839" i="7"/>
  <c r="AF838" i="7"/>
  <c r="AB838" i="7"/>
  <c r="AA838" i="7"/>
  <c r="Z838" i="7"/>
  <c r="J838" i="7"/>
  <c r="AF837" i="7"/>
  <c r="AB837" i="7"/>
  <c r="AA837" i="7"/>
  <c r="Z837" i="7"/>
  <c r="J837" i="7"/>
  <c r="AF821" i="7"/>
  <c r="Z821" i="7"/>
  <c r="M821" i="7"/>
  <c r="J821" i="7"/>
  <c r="AF820" i="7"/>
  <c r="Z820" i="7"/>
  <c r="M820" i="7"/>
  <c r="J820" i="7"/>
  <c r="AF829" i="7"/>
  <c r="Z829" i="7"/>
  <c r="M829" i="7"/>
  <c r="J829" i="7"/>
  <c r="AF828" i="7"/>
  <c r="Z828" i="7"/>
  <c r="M828" i="7"/>
  <c r="J828" i="7"/>
  <c r="AF827" i="7"/>
  <c r="Z827" i="7"/>
  <c r="M827" i="7"/>
  <c r="J827" i="7"/>
  <c r="AF826" i="7"/>
  <c r="Z826" i="7"/>
  <c r="M826" i="7"/>
  <c r="J826" i="7"/>
  <c r="AF819" i="7"/>
  <c r="Z819" i="7"/>
  <c r="M819" i="7"/>
  <c r="J819" i="7"/>
  <c r="AF825" i="7"/>
  <c r="Z825" i="7"/>
  <c r="M825" i="7"/>
  <c r="J825" i="7"/>
  <c r="AF824" i="7"/>
  <c r="Z824" i="7"/>
  <c r="M824" i="7"/>
  <c r="J824" i="7"/>
  <c r="AF823" i="7"/>
  <c r="Z823" i="7"/>
  <c r="M823" i="7"/>
  <c r="J823" i="7"/>
  <c r="AF822" i="7"/>
  <c r="AA822" i="7"/>
  <c r="Z822" i="7"/>
  <c r="M822" i="7"/>
  <c r="J822" i="7"/>
  <c r="AF815" i="7"/>
  <c r="AE815" i="7"/>
  <c r="Z815" i="7"/>
  <c r="M815" i="7"/>
  <c r="AF814" i="7"/>
  <c r="AE814" i="7"/>
  <c r="Z814" i="7"/>
  <c r="M814" i="7"/>
  <c r="AF813" i="7"/>
  <c r="AE813" i="7"/>
  <c r="Z813" i="7"/>
  <c r="M813" i="7"/>
  <c r="Z802" i="7"/>
  <c r="Z801" i="7"/>
  <c r="AF807" i="7"/>
  <c r="AB807" i="7"/>
  <c r="AA807" i="7"/>
  <c r="Z807" i="7"/>
  <c r="J807" i="7"/>
  <c r="AF806" i="7"/>
  <c r="AB806" i="7"/>
  <c r="AA806" i="7"/>
  <c r="Z806" i="7"/>
  <c r="J806" i="7"/>
  <c r="AF805" i="7"/>
  <c r="AB805" i="7"/>
  <c r="AA805" i="7"/>
  <c r="Z805" i="7"/>
  <c r="J805" i="7"/>
  <c r="AF804" i="7"/>
  <c r="AB804" i="7"/>
  <c r="AA804" i="7"/>
  <c r="Z804" i="7"/>
  <c r="J804" i="7"/>
  <c r="AF803" i="7"/>
  <c r="AB803" i="7"/>
  <c r="AA803" i="7"/>
  <c r="Z803" i="7"/>
  <c r="J803" i="7"/>
  <c r="AF799" i="7"/>
  <c r="AA799" i="7"/>
  <c r="Z799" i="7"/>
  <c r="M799" i="7"/>
  <c r="AF798" i="7"/>
  <c r="AA798" i="7"/>
  <c r="Z798" i="7"/>
  <c r="M798" i="7"/>
  <c r="AF797" i="7"/>
  <c r="AA797" i="7"/>
  <c r="Z797" i="7"/>
  <c r="M797" i="7"/>
  <c r="AF796" i="7"/>
  <c r="AA796" i="7"/>
  <c r="Z796" i="7"/>
  <c r="M796" i="7"/>
  <c r="AF795" i="7"/>
  <c r="AA795" i="7"/>
  <c r="Z795" i="7"/>
  <c r="M795" i="7"/>
  <c r="AF794" i="7"/>
  <c r="AA794" i="7"/>
  <c r="Z794" i="7"/>
  <c r="M794" i="7"/>
  <c r="AF793" i="7"/>
  <c r="AA793" i="7"/>
  <c r="Z793" i="7"/>
  <c r="M793" i="7"/>
  <c r="AF792" i="7"/>
  <c r="AA792" i="7"/>
  <c r="Z792" i="7"/>
  <c r="M792" i="7"/>
  <c r="AF791" i="7"/>
  <c r="AA791" i="7"/>
  <c r="Z791" i="7"/>
  <c r="M791" i="7"/>
  <c r="AF790" i="7"/>
  <c r="AA790" i="7"/>
  <c r="Z790" i="7"/>
  <c r="M790" i="7"/>
  <c r="J790" i="7"/>
  <c r="AF788" i="7"/>
  <c r="AA788" i="7"/>
  <c r="Z788" i="7"/>
  <c r="M788" i="7"/>
  <c r="J788" i="7"/>
  <c r="AF786" i="7"/>
  <c r="AA786" i="7"/>
  <c r="Z786" i="7"/>
  <c r="M786" i="7"/>
  <c r="J786" i="7"/>
  <c r="AF785" i="7"/>
  <c r="AA785" i="7"/>
  <c r="Z785" i="7"/>
  <c r="M785" i="7"/>
  <c r="J785" i="7"/>
  <c r="AF784" i="7"/>
  <c r="AA784" i="7"/>
  <c r="Z784" i="7"/>
  <c r="M784" i="7"/>
  <c r="J784" i="7"/>
  <c r="AA783" i="7"/>
  <c r="Z783" i="7"/>
  <c r="X783" i="7"/>
  <c r="J783" i="7"/>
  <c r="AA782" i="7"/>
  <c r="Z782" i="7"/>
  <c r="X782" i="7"/>
  <c r="J782" i="7"/>
  <c r="AA781" i="7"/>
  <c r="Z781" i="7"/>
  <c r="X781" i="7"/>
  <c r="J781" i="7"/>
  <c r="AA780" i="7"/>
  <c r="Z780" i="7"/>
  <c r="X780" i="7"/>
  <c r="J780" i="7"/>
  <c r="AA779" i="7"/>
  <c r="Z779" i="7"/>
  <c r="X779" i="7"/>
  <c r="J779" i="7"/>
  <c r="AA778" i="7"/>
  <c r="Z778" i="7"/>
  <c r="X778" i="7"/>
  <c r="J778" i="7"/>
  <c r="Z812" i="7"/>
  <c r="J812" i="7"/>
  <c r="Z811" i="7"/>
  <c r="J811" i="7"/>
  <c r="Z777" i="7"/>
  <c r="AI772" i="7"/>
  <c r="AF772" i="7"/>
  <c r="Z772" i="7"/>
  <c r="J772" i="7"/>
  <c r="AI771" i="7"/>
  <c r="AF771" i="7"/>
  <c r="Z771" i="7"/>
  <c r="J771" i="7"/>
  <c r="Z770" i="7"/>
  <c r="Z769" i="7"/>
  <c r="Z767" i="7"/>
  <c r="J767" i="7"/>
  <c r="Z766" i="7"/>
  <c r="J766" i="7"/>
  <c r="Z765" i="7"/>
  <c r="J765" i="7"/>
  <c r="Z764" i="7"/>
  <c r="J764" i="7"/>
  <c r="Z763" i="7"/>
  <c r="J763" i="7"/>
  <c r="Z762" i="7"/>
  <c r="J762" i="7"/>
  <c r="Z761" i="7"/>
  <c r="J761" i="7"/>
  <c r="Z760" i="7"/>
  <c r="J760" i="7"/>
  <c r="Z759" i="7"/>
  <c r="J759" i="7"/>
  <c r="Z758" i="7"/>
  <c r="J758" i="7"/>
  <c r="Z756" i="7"/>
  <c r="J756" i="7"/>
  <c r="Z755" i="7"/>
  <c r="J755" i="7"/>
  <c r="Z754" i="7"/>
  <c r="J754" i="7"/>
  <c r="Z753" i="7"/>
  <c r="J753" i="7"/>
  <c r="Z752" i="7"/>
  <c r="J752" i="7"/>
  <c r="Z751" i="7"/>
  <c r="J751" i="7"/>
  <c r="Z750" i="7"/>
  <c r="J750" i="7"/>
  <c r="Z749" i="7"/>
  <c r="J749" i="7"/>
  <c r="Z748" i="7"/>
  <c r="J748" i="7"/>
  <c r="Z746" i="7"/>
  <c r="J746" i="7"/>
  <c r="AF745" i="7"/>
  <c r="Z745" i="7"/>
  <c r="J745" i="7"/>
  <c r="AF744" i="7"/>
  <c r="Z744" i="7"/>
  <c r="J744" i="7"/>
  <c r="AF743" i="7"/>
  <c r="Z743" i="7"/>
  <c r="J743" i="7"/>
  <c r="AF741" i="7"/>
  <c r="Z741" i="7"/>
  <c r="J741" i="7"/>
  <c r="AF740" i="7"/>
  <c r="Z740" i="7"/>
  <c r="J740" i="7"/>
  <c r="Z736" i="7"/>
  <c r="J736" i="7"/>
  <c r="Z735" i="7"/>
  <c r="J735" i="7"/>
  <c r="Z734" i="7"/>
  <c r="J734" i="7"/>
  <c r="Z729" i="7"/>
  <c r="J729" i="7"/>
  <c r="Z728" i="7"/>
  <c r="J728" i="7"/>
  <c r="Z727" i="7"/>
  <c r="J727" i="7"/>
  <c r="Z726" i="7"/>
  <c r="J726" i="7"/>
  <c r="Z725" i="7"/>
  <c r="J725" i="7"/>
  <c r="Z724" i="7"/>
  <c r="J724" i="7"/>
  <c r="Z723" i="7"/>
  <c r="J723" i="7"/>
  <c r="AA722" i="7"/>
  <c r="Z722" i="7"/>
  <c r="M722" i="7"/>
  <c r="J722" i="7"/>
  <c r="AA721" i="7"/>
  <c r="Z721" i="7"/>
  <c r="M721" i="7"/>
  <c r="J721" i="7"/>
  <c r="AA720" i="7"/>
  <c r="Z720" i="7"/>
  <c r="M720" i="7"/>
  <c r="J720" i="7"/>
  <c r="AA719" i="7"/>
  <c r="Z719" i="7"/>
  <c r="M719" i="7"/>
  <c r="J719" i="7"/>
  <c r="AA718" i="7"/>
  <c r="Z718" i="7"/>
  <c r="M718" i="7"/>
  <c r="J718" i="7"/>
  <c r="AA717" i="7"/>
  <c r="Z717" i="7"/>
  <c r="M717" i="7"/>
  <c r="J717" i="7"/>
  <c r="AA716" i="7"/>
  <c r="Z716" i="7"/>
  <c r="M716" i="7"/>
  <c r="J716" i="7"/>
  <c r="AA715" i="7"/>
  <c r="Z715" i="7"/>
  <c r="M715" i="7"/>
  <c r="J715" i="7"/>
  <c r="AA714" i="7"/>
  <c r="Z714" i="7"/>
  <c r="M714" i="7"/>
  <c r="J714" i="7"/>
  <c r="AA713" i="7"/>
  <c r="Z713" i="7"/>
  <c r="M713" i="7"/>
  <c r="J713" i="7"/>
  <c r="AA712" i="7"/>
  <c r="Z712" i="7"/>
  <c r="M712" i="7"/>
  <c r="J712" i="7"/>
  <c r="AA711" i="7"/>
  <c r="Z711" i="7"/>
  <c r="M711" i="7"/>
  <c r="J711" i="7"/>
  <c r="AA710" i="7"/>
  <c r="Z710" i="7"/>
  <c r="M710" i="7"/>
  <c r="J710" i="7"/>
  <c r="AA709" i="7"/>
  <c r="Z709" i="7"/>
  <c r="M709" i="7"/>
  <c r="J709" i="7"/>
  <c r="AA708" i="7"/>
  <c r="Z708" i="7"/>
  <c r="M708" i="7"/>
  <c r="J708" i="7"/>
  <c r="Z707" i="7"/>
  <c r="L707" i="7"/>
  <c r="Z706" i="7"/>
  <c r="L706" i="7"/>
  <c r="Z705" i="7"/>
  <c r="L705" i="7"/>
  <c r="Z704" i="7"/>
  <c r="L704" i="7"/>
  <c r="Z703" i="7"/>
  <c r="L703" i="7"/>
  <c r="Z702" i="7"/>
  <c r="L702" i="7"/>
  <c r="Z701" i="7"/>
  <c r="L701" i="7"/>
  <c r="Z700" i="7"/>
  <c r="Z699" i="7"/>
  <c r="Z698" i="7"/>
  <c r="Z697" i="7"/>
  <c r="Z696" i="7"/>
  <c r="AF695" i="7"/>
  <c r="Z695" i="7"/>
  <c r="AF694" i="7"/>
  <c r="L694" i="7"/>
  <c r="AF693" i="7"/>
  <c r="Z693" i="7"/>
  <c r="L693" i="7"/>
  <c r="AF692" i="7"/>
  <c r="Z692" i="7"/>
  <c r="L692" i="7"/>
  <c r="AF691" i="7"/>
  <c r="Z691" i="7"/>
  <c r="L691" i="7"/>
  <c r="AF690" i="7"/>
  <c r="Z690" i="7"/>
  <c r="L690" i="7"/>
  <c r="AF689" i="7"/>
  <c r="Z689" i="7"/>
  <c r="L689" i="7"/>
  <c r="AF688" i="7"/>
  <c r="Z688" i="7"/>
  <c r="L688" i="7"/>
  <c r="AF687" i="7"/>
  <c r="Z687" i="7"/>
  <c r="L687" i="7"/>
  <c r="Z686" i="7"/>
  <c r="Z685" i="7"/>
  <c r="Z684" i="7"/>
  <c r="Z683" i="7"/>
  <c r="Z682" i="7"/>
  <c r="Z681" i="7"/>
  <c r="Z680" i="7"/>
  <c r="AI679" i="7"/>
  <c r="Z679" i="7"/>
  <c r="AI678" i="7"/>
  <c r="Z678" i="7"/>
  <c r="AI677" i="7"/>
  <c r="Z677" i="7"/>
  <c r="AI676" i="7"/>
  <c r="Z676" i="7"/>
  <c r="AI675" i="7"/>
  <c r="Z675" i="7"/>
  <c r="AI674" i="7"/>
  <c r="Z674" i="7"/>
  <c r="AI673" i="7"/>
  <c r="Z673" i="7"/>
  <c r="AI672" i="7"/>
  <c r="Z672" i="7"/>
  <c r="AI671" i="7"/>
  <c r="Z671" i="7"/>
  <c r="AJ670" i="7"/>
  <c r="Z670" i="7"/>
  <c r="M670" i="7"/>
  <c r="AJ669" i="7"/>
  <c r="Z669" i="7"/>
  <c r="M669" i="7"/>
  <c r="AJ668" i="7"/>
  <c r="Z668" i="7"/>
  <c r="M668" i="7"/>
  <c r="AJ667" i="7"/>
  <c r="Z667" i="7"/>
  <c r="M667" i="7"/>
  <c r="AJ666" i="7"/>
  <c r="Z666" i="7"/>
  <c r="M666" i="7"/>
  <c r="AJ664" i="7"/>
  <c r="Z664" i="7"/>
  <c r="M664" i="7"/>
  <c r="AJ662" i="7"/>
  <c r="Z662" i="7"/>
  <c r="M662" i="7"/>
  <c r="AJ661" i="7"/>
  <c r="Z661" i="7"/>
  <c r="M661" i="7"/>
  <c r="AF652" i="7"/>
  <c r="AA652" i="7"/>
  <c r="Z652" i="7"/>
  <c r="L652" i="7"/>
  <c r="J652" i="7"/>
  <c r="AF650" i="7"/>
  <c r="AA650" i="7"/>
  <c r="Z650" i="7"/>
  <c r="L650" i="7"/>
  <c r="J650" i="7"/>
  <c r="AF649" i="7"/>
  <c r="AA649" i="7"/>
  <c r="Z649" i="7"/>
  <c r="L649" i="7"/>
  <c r="J649" i="7"/>
  <c r="AF648" i="7"/>
  <c r="AA648" i="7"/>
  <c r="Z648" i="7"/>
  <c r="L648" i="7"/>
  <c r="J648" i="7"/>
  <c r="AF647" i="7"/>
  <c r="AA647" i="7"/>
  <c r="Z647" i="7"/>
  <c r="L647" i="7"/>
  <c r="J647" i="7"/>
  <c r="AF646" i="7"/>
  <c r="AC646" i="7"/>
  <c r="Z646" i="7"/>
  <c r="AF642" i="7"/>
  <c r="AC642" i="7"/>
  <c r="Z642" i="7"/>
  <c r="AF641" i="7"/>
  <c r="AC641" i="7"/>
  <c r="Z641" i="7"/>
  <c r="Z638" i="7"/>
  <c r="M638" i="7"/>
  <c r="J638" i="7"/>
  <c r="Z611" i="7"/>
  <c r="O611" i="7"/>
  <c r="Z610" i="7"/>
  <c r="O610" i="7"/>
  <c r="Z609" i="7"/>
  <c r="O609" i="7"/>
  <c r="Z608" i="7"/>
  <c r="O608" i="7"/>
  <c r="Z607" i="7"/>
  <c r="O607" i="7"/>
  <c r="Z606" i="7"/>
  <c r="O606" i="7"/>
  <c r="Z605" i="7"/>
  <c r="O605" i="7"/>
  <c r="Z604" i="7"/>
  <c r="O604" i="7"/>
  <c r="AF625" i="7"/>
  <c r="Z625" i="7"/>
  <c r="M625" i="7"/>
  <c r="AF624" i="7"/>
  <c r="AA624" i="7"/>
  <c r="Z624" i="7"/>
  <c r="M624" i="7"/>
  <c r="AF623" i="7"/>
  <c r="AA623" i="7"/>
  <c r="Z623" i="7"/>
  <c r="M623" i="7"/>
  <c r="AF622" i="7"/>
  <c r="AA622" i="7"/>
  <c r="Z622" i="7"/>
  <c r="M622" i="7"/>
  <c r="AF621" i="7"/>
  <c r="AA621" i="7"/>
  <c r="Z621" i="7"/>
  <c r="M621" i="7"/>
  <c r="AF620" i="7"/>
  <c r="AA620" i="7"/>
  <c r="Z620" i="7"/>
  <c r="M620" i="7"/>
  <c r="AF619" i="7"/>
  <c r="AA619" i="7"/>
  <c r="Z619" i="7"/>
  <c r="M619" i="7"/>
  <c r="Z601" i="7"/>
  <c r="AF614" i="7"/>
  <c r="Z614" i="7"/>
  <c r="L614" i="7"/>
  <c r="J614" i="7"/>
  <c r="Z600" i="7"/>
  <c r="Z602" i="7"/>
  <c r="O602" i="7"/>
  <c r="AF590" i="7"/>
  <c r="Z590" i="7"/>
  <c r="M590" i="7"/>
  <c r="AF595" i="7"/>
  <c r="Z595" i="7"/>
  <c r="M595" i="7"/>
  <c r="AF588" i="7"/>
  <c r="Z588" i="7"/>
  <c r="M588" i="7"/>
  <c r="AI581" i="7"/>
  <c r="Z581" i="7"/>
  <c r="AI579" i="7"/>
  <c r="Z579" i="7"/>
  <c r="AI578" i="7"/>
  <c r="Z578" i="7"/>
  <c r="AI577" i="7"/>
  <c r="Z577" i="7"/>
  <c r="AI576" i="7"/>
  <c r="Z576" i="7"/>
  <c r="AI575" i="7"/>
  <c r="Z575" i="7"/>
  <c r="AI571" i="7"/>
  <c r="Z571" i="7"/>
  <c r="AI570" i="7"/>
  <c r="Z570" i="7"/>
  <c r="AI568" i="7"/>
  <c r="Z568" i="7"/>
  <c r="AI566" i="7"/>
  <c r="Z566" i="7"/>
  <c r="AF561" i="7"/>
  <c r="AA561" i="7"/>
  <c r="Z561" i="7"/>
  <c r="M561" i="7"/>
  <c r="J561" i="7"/>
  <c r="AF560" i="7"/>
  <c r="AA560" i="7"/>
  <c r="Z560" i="7"/>
  <c r="M560" i="7"/>
  <c r="J560" i="7"/>
  <c r="AF559" i="7"/>
  <c r="AA559" i="7"/>
  <c r="Z559" i="7"/>
  <c r="M559" i="7"/>
  <c r="J559" i="7"/>
  <c r="AF558" i="7"/>
  <c r="Z558" i="7"/>
  <c r="L558" i="7"/>
  <c r="J558" i="7"/>
  <c r="AF557" i="7"/>
  <c r="Z557" i="7"/>
  <c r="L557" i="7"/>
  <c r="J557" i="7"/>
  <c r="AI552" i="7"/>
  <c r="AF552" i="7"/>
  <c r="Z552" i="7"/>
  <c r="X552" i="7"/>
  <c r="L552" i="7"/>
  <c r="J552" i="7"/>
  <c r="AI551" i="7"/>
  <c r="AF551" i="7"/>
  <c r="Z551" i="7"/>
  <c r="X551" i="7"/>
  <c r="L551" i="7"/>
  <c r="J551" i="7"/>
  <c r="AF550" i="7"/>
  <c r="Z550" i="7"/>
  <c r="L550" i="7"/>
  <c r="J550" i="7"/>
  <c r="AF549" i="7"/>
  <c r="Z549" i="7"/>
  <c r="L549" i="7"/>
  <c r="J549" i="7"/>
  <c r="AI548" i="7"/>
  <c r="AF548" i="7"/>
  <c r="Z548" i="7"/>
  <c r="X548" i="7"/>
  <c r="L548" i="7"/>
  <c r="J548" i="7"/>
  <c r="AI556" i="7"/>
  <c r="AF556" i="7"/>
  <c r="Z556" i="7"/>
  <c r="X556" i="7"/>
  <c r="L556" i="7"/>
  <c r="J556" i="7"/>
  <c r="AI555" i="7"/>
  <c r="AF555" i="7"/>
  <c r="Z555" i="7"/>
  <c r="X555" i="7"/>
  <c r="L555" i="7"/>
  <c r="J555" i="7"/>
  <c r="AI547" i="7"/>
  <c r="AF547" i="7"/>
  <c r="Z547" i="7"/>
  <c r="X547" i="7"/>
  <c r="L547" i="7"/>
  <c r="J547" i="7"/>
  <c r="AI546" i="7"/>
  <c r="AF546" i="7"/>
  <c r="Z546" i="7"/>
  <c r="X546" i="7"/>
  <c r="L546" i="7"/>
  <c r="J546" i="7"/>
  <c r="AI545" i="7"/>
  <c r="AF545" i="7"/>
  <c r="Z545" i="7"/>
  <c r="X545" i="7"/>
  <c r="L545" i="7"/>
  <c r="J545" i="7"/>
  <c r="AI544" i="7"/>
  <c r="AF544" i="7"/>
  <c r="Z544" i="7"/>
  <c r="X544" i="7"/>
  <c r="L544" i="7"/>
  <c r="J544" i="7"/>
  <c r="AI543" i="7"/>
  <c r="AF543" i="7"/>
  <c r="Z543" i="7"/>
  <c r="X543" i="7"/>
  <c r="L543" i="7"/>
  <c r="J543" i="7"/>
  <c r="AI542" i="7"/>
  <c r="AF542" i="7"/>
  <c r="Z542" i="7"/>
  <c r="X542" i="7"/>
  <c r="L542" i="7"/>
  <c r="J542" i="7"/>
  <c r="AI541" i="7"/>
  <c r="AF541" i="7"/>
  <c r="Z541" i="7"/>
  <c r="X541" i="7"/>
  <c r="L541" i="7"/>
  <c r="J541" i="7"/>
  <c r="AI540" i="7"/>
  <c r="AF540" i="7"/>
  <c r="Z540" i="7"/>
  <c r="X540" i="7"/>
  <c r="L540" i="7"/>
  <c r="J540" i="7"/>
  <c r="AI539" i="7"/>
  <c r="AF539" i="7"/>
  <c r="Z539" i="7"/>
  <c r="X539" i="7"/>
  <c r="L539" i="7"/>
  <c r="J539" i="7"/>
  <c r="AI538" i="7"/>
  <c r="AF538" i="7"/>
  <c r="Z538" i="7"/>
  <c r="X538" i="7"/>
  <c r="L538" i="7"/>
  <c r="J538" i="7"/>
  <c r="AI537" i="7"/>
  <c r="AF537" i="7"/>
  <c r="Z537" i="7"/>
  <c r="X537" i="7"/>
  <c r="L537" i="7"/>
  <c r="J537" i="7"/>
  <c r="AI536" i="7"/>
  <c r="AF536" i="7"/>
  <c r="Z536" i="7"/>
  <c r="X536" i="7"/>
  <c r="L536" i="7"/>
  <c r="J536" i="7"/>
  <c r="AI535" i="7"/>
  <c r="AF535" i="7"/>
  <c r="Z535" i="7"/>
  <c r="X535" i="7"/>
  <c r="L535" i="7"/>
  <c r="J535" i="7"/>
  <c r="AI534" i="7"/>
  <c r="AF534" i="7"/>
  <c r="Z534" i="7"/>
  <c r="X534" i="7"/>
  <c r="L534" i="7"/>
  <c r="J534" i="7"/>
  <c r="AI533" i="7"/>
  <c r="AF533" i="7"/>
  <c r="Z533" i="7"/>
  <c r="X533" i="7"/>
  <c r="L533" i="7"/>
  <c r="J533" i="7"/>
  <c r="AI532" i="7"/>
  <c r="AF532" i="7"/>
  <c r="Z532" i="7"/>
  <c r="X532" i="7"/>
  <c r="L532" i="7"/>
  <c r="J532" i="7"/>
  <c r="AI531" i="7"/>
  <c r="AF531" i="7"/>
  <c r="Z531" i="7"/>
  <c r="X531" i="7"/>
  <c r="L531" i="7"/>
  <c r="J531" i="7"/>
  <c r="AI530" i="7"/>
  <c r="AF530" i="7"/>
  <c r="Z530" i="7"/>
  <c r="X530" i="7"/>
  <c r="L530" i="7"/>
  <c r="J530" i="7"/>
  <c r="AI529" i="7"/>
  <c r="Z529" i="7"/>
  <c r="L529" i="7"/>
  <c r="AI528" i="7"/>
  <c r="Z528" i="7"/>
  <c r="L528" i="7"/>
  <c r="Z525" i="7"/>
  <c r="M525" i="7"/>
  <c r="Z524" i="7"/>
  <c r="M524" i="7"/>
  <c r="Z523" i="7"/>
  <c r="M523" i="7"/>
  <c r="Z522" i="7"/>
  <c r="M522" i="7"/>
  <c r="Z521" i="7"/>
  <c r="M521" i="7"/>
  <c r="Z527" i="7"/>
  <c r="M527" i="7"/>
  <c r="Z520" i="7"/>
  <c r="M520" i="7"/>
  <c r="Z519" i="7"/>
  <c r="M519" i="7"/>
  <c r="Z518" i="7"/>
  <c r="M518" i="7"/>
  <c r="Z517" i="7"/>
  <c r="M517" i="7"/>
  <c r="AF514" i="7"/>
  <c r="AB514" i="7"/>
  <c r="AA514" i="7"/>
  <c r="Z514" i="7"/>
  <c r="M514" i="7"/>
  <c r="J514" i="7"/>
  <c r="AF516" i="7"/>
  <c r="AB516" i="7"/>
  <c r="AA516" i="7"/>
  <c r="Z516" i="7"/>
  <c r="M516" i="7"/>
  <c r="J516" i="7"/>
  <c r="AF515" i="7"/>
  <c r="AB515" i="7"/>
  <c r="AA515" i="7"/>
  <c r="Z515" i="7"/>
  <c r="M515" i="7"/>
  <c r="J515" i="7"/>
  <c r="AF511" i="7"/>
  <c r="AB511" i="7"/>
  <c r="AA511" i="7"/>
  <c r="Z511" i="7"/>
  <c r="M511" i="7"/>
  <c r="J511" i="7"/>
  <c r="AF510" i="7"/>
  <c r="AB510" i="7"/>
  <c r="AA510" i="7"/>
  <c r="Z510" i="7"/>
  <c r="M510" i="7"/>
  <c r="J510" i="7"/>
  <c r="AF507" i="7"/>
  <c r="AA507" i="7"/>
  <c r="Z507" i="7"/>
  <c r="O507" i="7"/>
  <c r="M507" i="7"/>
  <c r="AB501" i="7"/>
  <c r="Z501" i="7"/>
  <c r="M501" i="7"/>
  <c r="J501" i="7"/>
  <c r="AB500" i="7"/>
  <c r="Z500" i="7"/>
  <c r="M500" i="7"/>
  <c r="J500" i="7"/>
  <c r="AB499" i="7"/>
  <c r="Z499" i="7"/>
  <c r="M499" i="7"/>
  <c r="J499" i="7"/>
  <c r="AB506" i="7"/>
  <c r="Z506" i="7"/>
  <c r="M506" i="7"/>
  <c r="J506" i="7"/>
  <c r="AB505" i="7"/>
  <c r="Z505" i="7"/>
  <c r="M505" i="7"/>
  <c r="J505" i="7"/>
  <c r="AB504" i="7"/>
  <c r="Z504" i="7"/>
  <c r="M504" i="7"/>
  <c r="J504" i="7"/>
  <c r="AB503" i="7"/>
  <c r="Z503" i="7"/>
  <c r="M503" i="7"/>
  <c r="J503" i="7"/>
  <c r="AB502" i="7"/>
  <c r="Z502" i="7"/>
  <c r="M502" i="7"/>
  <c r="J502" i="7"/>
  <c r="AB498" i="7"/>
  <c r="Z498" i="7"/>
  <c r="M498" i="7"/>
  <c r="J498" i="7"/>
  <c r="AB497" i="7"/>
  <c r="Z497" i="7"/>
  <c r="M497" i="7"/>
  <c r="J497" i="7"/>
  <c r="AB496" i="7"/>
  <c r="Z496" i="7"/>
  <c r="M496" i="7"/>
  <c r="J496" i="7"/>
  <c r="AB495" i="7"/>
  <c r="Z495" i="7"/>
  <c r="M495" i="7"/>
  <c r="J495" i="7"/>
  <c r="AB490" i="7"/>
  <c r="Z490" i="7"/>
  <c r="M490" i="7"/>
  <c r="J490" i="7"/>
  <c r="AB489" i="7"/>
  <c r="Z489" i="7"/>
  <c r="M489" i="7"/>
  <c r="J489" i="7"/>
  <c r="AB488" i="7"/>
  <c r="Z488" i="7"/>
  <c r="M488" i="7"/>
  <c r="J488" i="7"/>
  <c r="AB486" i="7"/>
  <c r="Z486" i="7"/>
  <c r="M486" i="7"/>
  <c r="J486" i="7"/>
  <c r="AB485" i="7"/>
  <c r="Z485" i="7"/>
  <c r="M485" i="7"/>
  <c r="J485" i="7"/>
  <c r="AB484" i="7"/>
  <c r="Z484" i="7"/>
  <c r="M484" i="7"/>
  <c r="J484" i="7"/>
  <c r="AB483" i="7"/>
  <c r="Z483" i="7"/>
  <c r="M483" i="7"/>
  <c r="J483" i="7"/>
  <c r="AB481" i="7"/>
  <c r="Z481" i="7"/>
  <c r="M481" i="7"/>
  <c r="J481" i="7"/>
  <c r="AB480" i="7"/>
  <c r="Z480" i="7"/>
  <c r="M480" i="7"/>
  <c r="J480" i="7"/>
  <c r="AB479" i="7"/>
  <c r="Z479" i="7"/>
  <c r="M479" i="7"/>
  <c r="J479" i="7"/>
  <c r="AB478" i="7"/>
  <c r="Z478" i="7"/>
  <c r="M478" i="7"/>
  <c r="J478" i="7"/>
  <c r="AB477" i="7"/>
  <c r="Z477" i="7"/>
  <c r="M477" i="7"/>
  <c r="J477" i="7"/>
  <c r="AB476" i="7"/>
  <c r="Z476" i="7"/>
  <c r="M476" i="7"/>
  <c r="J476" i="7"/>
  <c r="AB475" i="7"/>
  <c r="Z475" i="7"/>
  <c r="M475" i="7"/>
  <c r="J475" i="7"/>
  <c r="AB474" i="7"/>
  <c r="Z474" i="7"/>
  <c r="M474" i="7"/>
  <c r="J474" i="7"/>
  <c r="AB473" i="7"/>
  <c r="Z473" i="7"/>
  <c r="M473" i="7"/>
  <c r="J473" i="7"/>
  <c r="AB471" i="7"/>
  <c r="Z471" i="7"/>
  <c r="M471" i="7"/>
  <c r="J471" i="7"/>
  <c r="AB470" i="7"/>
  <c r="Z470" i="7"/>
  <c r="M470" i="7"/>
  <c r="J470" i="7"/>
  <c r="AB469" i="7"/>
  <c r="Z469" i="7"/>
  <c r="M469" i="7"/>
  <c r="J469" i="7"/>
  <c r="AB468" i="7"/>
  <c r="Z468" i="7"/>
  <c r="M468" i="7"/>
  <c r="J468" i="7"/>
  <c r="AB467" i="7"/>
  <c r="Z467" i="7"/>
  <c r="M467" i="7"/>
  <c r="J467" i="7"/>
  <c r="AB466" i="7"/>
  <c r="Z466" i="7"/>
  <c r="M466" i="7"/>
  <c r="J466" i="7"/>
  <c r="AB465" i="7"/>
  <c r="Z465" i="7"/>
  <c r="M465" i="7"/>
  <c r="J465" i="7"/>
  <c r="AB464" i="7"/>
  <c r="Z464" i="7"/>
  <c r="M464" i="7"/>
  <c r="J464" i="7"/>
  <c r="AB463" i="7"/>
  <c r="Z463" i="7"/>
  <c r="M463" i="7"/>
  <c r="J463" i="7"/>
  <c r="AB462" i="7"/>
  <c r="Z462" i="7"/>
  <c r="M462" i="7"/>
  <c r="J462" i="7"/>
  <c r="AB461" i="7"/>
  <c r="Z461" i="7"/>
  <c r="M461" i="7"/>
  <c r="J461" i="7"/>
  <c r="AB460" i="7"/>
  <c r="Z460" i="7"/>
  <c r="M460" i="7"/>
  <c r="J460" i="7"/>
  <c r="AB459" i="7"/>
  <c r="Z459" i="7"/>
  <c r="M459" i="7"/>
  <c r="J459" i="7"/>
  <c r="AB458" i="7"/>
  <c r="Z458" i="7"/>
  <c r="M458" i="7"/>
  <c r="J458" i="7"/>
  <c r="AB457" i="7"/>
  <c r="Z457" i="7"/>
  <c r="M457" i="7"/>
  <c r="J457" i="7"/>
  <c r="AB456" i="7"/>
  <c r="Z456" i="7"/>
  <c r="M456" i="7"/>
  <c r="J456" i="7"/>
  <c r="AB455" i="7"/>
  <c r="Z455" i="7"/>
  <c r="M455" i="7"/>
  <c r="J455" i="7"/>
  <c r="Z454" i="7"/>
  <c r="M454" i="7"/>
  <c r="J454" i="7"/>
  <c r="Z453" i="7"/>
  <c r="M453" i="7"/>
  <c r="J453" i="7"/>
  <c r="Z452" i="7"/>
  <c r="M452" i="7"/>
  <c r="J452" i="7"/>
  <c r="Z451" i="7"/>
  <c r="M451" i="7"/>
  <c r="J451" i="7"/>
  <c r="Z450" i="7"/>
  <c r="M450" i="7"/>
  <c r="J450" i="7"/>
  <c r="Z449" i="7"/>
  <c r="M449" i="7"/>
  <c r="J449" i="7"/>
  <c r="Z448" i="7"/>
  <c r="M448" i="7"/>
  <c r="J448" i="7"/>
  <c r="Z447" i="7"/>
  <c r="M447" i="7"/>
  <c r="J447" i="7"/>
  <c r="Z446" i="7"/>
  <c r="M446" i="7"/>
  <c r="J446" i="7"/>
  <c r="Z445" i="7"/>
  <c r="M445" i="7"/>
  <c r="J445" i="7"/>
  <c r="Z444" i="7"/>
  <c r="M444" i="7"/>
  <c r="J444" i="7"/>
  <c r="Z443" i="7"/>
  <c r="M443" i="7"/>
  <c r="J443" i="7"/>
  <c r="Z442" i="7"/>
  <c r="M442" i="7"/>
  <c r="J442" i="7"/>
  <c r="AF441" i="7"/>
  <c r="Z441" i="7"/>
  <c r="J441" i="7"/>
  <c r="AF439" i="7"/>
  <c r="Z439" i="7"/>
  <c r="J439" i="7"/>
  <c r="AF438" i="7"/>
  <c r="Z438" i="7"/>
  <c r="J438" i="7"/>
  <c r="AF437" i="7"/>
  <c r="Z437" i="7"/>
  <c r="J437" i="7"/>
  <c r="AF436" i="7"/>
  <c r="Z436" i="7"/>
  <c r="J436" i="7"/>
  <c r="AF435" i="7"/>
  <c r="Z435" i="7"/>
  <c r="J435" i="7"/>
  <c r="AF433" i="7"/>
  <c r="Z433" i="7"/>
  <c r="J433" i="7"/>
  <c r="AF431" i="7"/>
  <c r="Z431" i="7"/>
  <c r="J431" i="7"/>
  <c r="AF429" i="7"/>
  <c r="Z429" i="7"/>
  <c r="J429" i="7"/>
  <c r="AF428" i="7"/>
  <c r="Z428" i="7"/>
  <c r="J428" i="7"/>
  <c r="AF427" i="7"/>
  <c r="Z427" i="7"/>
  <c r="J427" i="7"/>
  <c r="AF426" i="7"/>
  <c r="Z426" i="7"/>
  <c r="J426" i="7"/>
  <c r="AA422" i="7"/>
  <c r="Z422" i="7"/>
  <c r="M422" i="7"/>
  <c r="J422" i="7"/>
  <c r="AA421" i="7"/>
  <c r="Z421" i="7"/>
  <c r="M421" i="7"/>
  <c r="J421" i="7"/>
  <c r="AA420" i="7"/>
  <c r="Z420" i="7"/>
  <c r="M420" i="7"/>
  <c r="J420" i="7"/>
  <c r="AA425" i="7"/>
  <c r="Z425" i="7"/>
  <c r="M425" i="7"/>
  <c r="J425" i="7"/>
  <c r="AA424" i="7"/>
  <c r="Z424" i="7"/>
  <c r="M424" i="7"/>
  <c r="J424" i="7"/>
  <c r="AA423" i="7"/>
  <c r="Z423" i="7"/>
  <c r="M423" i="7"/>
  <c r="J423" i="7"/>
  <c r="AF415" i="7"/>
  <c r="AA415" i="7"/>
  <c r="Z415" i="7"/>
  <c r="M415" i="7"/>
  <c r="AF414" i="7"/>
  <c r="AA414" i="7"/>
  <c r="Z414" i="7"/>
  <c r="M414" i="7"/>
  <c r="AF418" i="7"/>
  <c r="Z418" i="7"/>
  <c r="M418" i="7"/>
  <c r="J418" i="7"/>
  <c r="AF419" i="7"/>
  <c r="Z419" i="7"/>
  <c r="M419" i="7"/>
  <c r="J419" i="7"/>
  <c r="AF413" i="7"/>
  <c r="AA413" i="7"/>
  <c r="Z413" i="7"/>
  <c r="J413" i="7"/>
  <c r="Z411" i="7"/>
  <c r="J411" i="7"/>
  <c r="Z410" i="7"/>
  <c r="J410" i="7"/>
  <c r="Z409" i="7"/>
  <c r="J409" i="7"/>
  <c r="Z408" i="7"/>
  <c r="J408" i="7"/>
  <c r="Z407" i="7"/>
  <c r="J407" i="7"/>
  <c r="Z406" i="7"/>
  <c r="J406" i="7"/>
  <c r="AI405" i="7"/>
  <c r="AF405" i="7"/>
  <c r="AE405" i="7"/>
  <c r="Z405" i="7"/>
  <c r="X405" i="7"/>
  <c r="V405" i="7"/>
  <c r="M405" i="7"/>
  <c r="J405" i="7"/>
  <c r="AI404" i="7"/>
  <c r="AF404" i="7"/>
  <c r="AE404" i="7"/>
  <c r="Z404" i="7"/>
  <c r="X404" i="7"/>
  <c r="V404" i="7"/>
  <c r="M404" i="7"/>
  <c r="J404" i="7"/>
  <c r="AI398" i="7"/>
  <c r="AF398" i="7"/>
  <c r="AE398" i="7"/>
  <c r="Z398" i="7"/>
  <c r="X398" i="7"/>
  <c r="V398" i="7"/>
  <c r="M398" i="7"/>
  <c r="J398" i="7"/>
  <c r="AI396" i="7"/>
  <c r="AF396" i="7"/>
  <c r="AE396" i="7"/>
  <c r="Z396" i="7"/>
  <c r="X396" i="7"/>
  <c r="V396" i="7"/>
  <c r="M396" i="7"/>
  <c r="J396" i="7"/>
  <c r="AI395" i="7"/>
  <c r="AF395" i="7"/>
  <c r="AE395" i="7"/>
  <c r="Z395" i="7"/>
  <c r="X395" i="7"/>
  <c r="V395" i="7"/>
  <c r="M395" i="7"/>
  <c r="J395" i="7"/>
  <c r="AI394" i="7"/>
  <c r="AF394" i="7"/>
  <c r="AE394" i="7"/>
  <c r="Z394" i="7"/>
  <c r="X394" i="7"/>
  <c r="V394" i="7"/>
  <c r="M394" i="7"/>
  <c r="J394" i="7"/>
  <c r="AI393" i="7"/>
  <c r="AF393" i="7"/>
  <c r="AE393" i="7"/>
  <c r="Z393" i="7"/>
  <c r="X393" i="7"/>
  <c r="V393" i="7"/>
  <c r="M393" i="7"/>
  <c r="J393" i="7"/>
  <c r="AI392" i="7"/>
  <c r="AF392" i="7"/>
  <c r="AE392" i="7"/>
  <c r="Z392" i="7"/>
  <c r="X392" i="7"/>
  <c r="V392" i="7"/>
  <c r="M392" i="7"/>
  <c r="J392" i="7"/>
  <c r="AI391" i="7"/>
  <c r="AF391" i="7"/>
  <c r="AE391" i="7"/>
  <c r="Z391" i="7"/>
  <c r="X391" i="7"/>
  <c r="V391" i="7"/>
  <c r="M391" i="7"/>
  <c r="J391" i="7"/>
  <c r="AI390" i="7"/>
  <c r="AF390" i="7"/>
  <c r="AE390" i="7"/>
  <c r="Z390" i="7"/>
  <c r="X390" i="7"/>
  <c r="V390" i="7"/>
  <c r="M390" i="7"/>
  <c r="J390" i="7"/>
  <c r="AI389" i="7"/>
  <c r="AF389" i="7"/>
  <c r="AE389" i="7"/>
  <c r="Z389" i="7"/>
  <c r="X389" i="7"/>
  <c r="V389" i="7"/>
  <c r="M389" i="7"/>
  <c r="J389" i="7"/>
  <c r="AI388" i="7"/>
  <c r="AF388" i="7"/>
  <c r="AE388" i="7"/>
  <c r="Z388" i="7"/>
  <c r="X388" i="7"/>
  <c r="V388" i="7"/>
  <c r="M388" i="7"/>
  <c r="J388" i="7"/>
  <c r="AI387" i="7"/>
  <c r="AF387" i="7"/>
  <c r="AE387" i="7"/>
  <c r="Z387" i="7"/>
  <c r="X387" i="7"/>
  <c r="V387" i="7"/>
  <c r="M387" i="7"/>
  <c r="J387" i="7"/>
  <c r="AI386" i="7"/>
  <c r="AF386" i="7"/>
  <c r="AE386" i="7"/>
  <c r="Z386" i="7"/>
  <c r="X386" i="7"/>
  <c r="V386" i="7"/>
  <c r="M386" i="7"/>
  <c r="J386" i="7"/>
  <c r="AI385" i="7"/>
  <c r="AF385" i="7"/>
  <c r="AE385" i="7"/>
  <c r="Z385" i="7"/>
  <c r="X385" i="7"/>
  <c r="V385" i="7"/>
  <c r="M385" i="7"/>
  <c r="J385" i="7"/>
  <c r="AI384" i="7"/>
  <c r="AF384" i="7"/>
  <c r="AE384" i="7"/>
  <c r="Z384" i="7"/>
  <c r="X384" i="7"/>
  <c r="V384" i="7"/>
  <c r="M384" i="7"/>
  <c r="J384" i="7"/>
  <c r="AI383" i="7"/>
  <c r="AF383" i="7"/>
  <c r="AE383" i="7"/>
  <c r="Z383" i="7"/>
  <c r="X383" i="7"/>
  <c r="V383" i="7"/>
  <c r="M383" i="7"/>
  <c r="J383" i="7"/>
  <c r="AI382" i="7"/>
  <c r="AF382" i="7"/>
  <c r="AE382" i="7"/>
  <c r="Z382" i="7"/>
  <c r="X382" i="7"/>
  <c r="V382" i="7"/>
  <c r="M382" i="7"/>
  <c r="J382" i="7"/>
  <c r="AI381" i="7"/>
  <c r="AF381" i="7"/>
  <c r="AE381" i="7"/>
  <c r="Z381" i="7"/>
  <c r="X381" i="7"/>
  <c r="V381" i="7"/>
  <c r="M381" i="7"/>
  <c r="J381" i="7"/>
  <c r="AA379" i="7"/>
  <c r="Z379" i="7"/>
  <c r="X379" i="7"/>
  <c r="AA378" i="7"/>
  <c r="Z378" i="7"/>
  <c r="X378" i="7"/>
  <c r="AA377" i="7"/>
  <c r="Z377" i="7"/>
  <c r="X377" i="7"/>
  <c r="AA376" i="7"/>
  <c r="Z376" i="7"/>
  <c r="X376" i="7"/>
  <c r="AA375" i="7"/>
  <c r="Z375" i="7"/>
  <c r="X375" i="7"/>
  <c r="Z374" i="7"/>
  <c r="O374" i="7"/>
  <c r="Z373" i="7"/>
  <c r="O373" i="7"/>
  <c r="Z372" i="7"/>
  <c r="O372" i="7"/>
  <c r="AA371" i="7"/>
  <c r="Z371" i="7"/>
  <c r="M371" i="7"/>
  <c r="J371" i="7"/>
  <c r="AA369" i="7"/>
  <c r="Z369" i="7"/>
  <c r="M369" i="7"/>
  <c r="J369" i="7"/>
  <c r="AA368" i="7"/>
  <c r="Z368" i="7"/>
  <c r="M368" i="7"/>
  <c r="J368" i="7"/>
  <c r="AA367" i="7"/>
  <c r="Z367" i="7"/>
  <c r="M367" i="7"/>
  <c r="J367" i="7"/>
  <c r="AA366" i="7"/>
  <c r="Z366" i="7"/>
  <c r="M366" i="7"/>
  <c r="J366" i="7"/>
  <c r="AA365" i="7"/>
  <c r="Z365" i="7"/>
  <c r="M365" i="7"/>
  <c r="J365" i="7"/>
  <c r="AA364" i="7"/>
  <c r="Z364" i="7"/>
  <c r="M364" i="7"/>
  <c r="J364" i="7"/>
  <c r="AA363" i="7"/>
  <c r="Z363" i="7"/>
  <c r="M363" i="7"/>
  <c r="J363" i="7"/>
  <c r="AA362" i="7"/>
  <c r="Z362" i="7"/>
  <c r="M362" i="7"/>
  <c r="J362" i="7"/>
  <c r="AA361" i="7"/>
  <c r="Z361" i="7"/>
  <c r="M361" i="7"/>
  <c r="J361" i="7"/>
  <c r="AA360" i="7"/>
  <c r="Z360" i="7"/>
  <c r="M360" i="7"/>
  <c r="J360" i="7"/>
  <c r="AA359" i="7"/>
  <c r="Z359" i="7"/>
  <c r="M359" i="7"/>
  <c r="J359" i="7"/>
  <c r="AA358" i="7"/>
  <c r="Z358" i="7"/>
  <c r="M358" i="7"/>
  <c r="J358" i="7"/>
  <c r="AA357" i="7"/>
  <c r="Z357" i="7"/>
  <c r="M357" i="7"/>
  <c r="J357" i="7"/>
  <c r="AA356" i="7"/>
  <c r="Z356" i="7"/>
  <c r="M356" i="7"/>
  <c r="J356" i="7"/>
  <c r="AA355" i="7"/>
  <c r="Z355" i="7"/>
  <c r="M355" i="7"/>
  <c r="J355" i="7"/>
  <c r="Z354" i="7"/>
  <c r="Z353" i="7"/>
  <c r="Z352" i="7"/>
  <c r="Z351" i="7"/>
  <c r="Z350" i="7"/>
  <c r="Z349" i="7"/>
  <c r="Z348" i="7"/>
  <c r="Z347" i="7"/>
  <c r="Z346" i="7"/>
  <c r="Z345" i="7"/>
  <c r="J345" i="7"/>
  <c r="Z344" i="7"/>
  <c r="J344" i="7"/>
  <c r="Z343" i="7"/>
  <c r="J343" i="7"/>
  <c r="Z342" i="7"/>
  <c r="J342" i="7"/>
  <c r="AF340" i="7"/>
  <c r="Z340" i="7"/>
  <c r="J340" i="7"/>
  <c r="Z329" i="7"/>
  <c r="J329" i="7"/>
  <c r="Z337" i="7"/>
  <c r="J337" i="7"/>
  <c r="Z327" i="7"/>
  <c r="J327" i="7"/>
  <c r="Z334" i="7"/>
  <c r="J334" i="7"/>
  <c r="Z325" i="7"/>
  <c r="J325" i="7"/>
  <c r="Z324" i="7"/>
  <c r="J324" i="7"/>
  <c r="Z336" i="7"/>
  <c r="J336" i="7"/>
  <c r="Z335" i="7"/>
  <c r="J335" i="7"/>
  <c r="Z323" i="7"/>
  <c r="J323" i="7"/>
  <c r="Z322" i="7"/>
  <c r="J322" i="7"/>
  <c r="Z321" i="7"/>
  <c r="J321" i="7"/>
  <c r="Z320" i="7"/>
  <c r="J320" i="7"/>
  <c r="Z319" i="7"/>
  <c r="J319" i="7"/>
  <c r="Z318" i="7"/>
  <c r="J318" i="7"/>
  <c r="Z315" i="7"/>
  <c r="J315" i="7"/>
  <c r="Z314" i="7"/>
  <c r="J314" i="7"/>
  <c r="Z333" i="7"/>
  <c r="J333" i="7"/>
  <c r="Z332" i="7"/>
  <c r="J332" i="7"/>
  <c r="Z331" i="7"/>
  <c r="J331" i="7"/>
  <c r="Z313" i="7"/>
  <c r="J313" i="7"/>
  <c r="Z312" i="7"/>
  <c r="J312" i="7"/>
  <c r="Z311" i="7"/>
  <c r="J311" i="7"/>
  <c r="Z310" i="7"/>
  <c r="J310" i="7"/>
  <c r="Z309" i="7"/>
  <c r="J309" i="7"/>
  <c r="Z308" i="7"/>
  <c r="J308" i="7"/>
  <c r="Z307" i="7"/>
  <c r="J307" i="7"/>
  <c r="Z306" i="7"/>
  <c r="Z305" i="7"/>
  <c r="Z304" i="7"/>
  <c r="Z303" i="7"/>
  <c r="Z302" i="7"/>
  <c r="Z301" i="7"/>
  <c r="Z300" i="7"/>
  <c r="Z299" i="7"/>
  <c r="Z298" i="7"/>
  <c r="Z297" i="7"/>
  <c r="AA296" i="7"/>
  <c r="Z296" i="7"/>
  <c r="J296" i="7"/>
  <c r="AA295" i="7"/>
  <c r="Z295" i="7"/>
  <c r="J295" i="7"/>
  <c r="AA294" i="7"/>
  <c r="Z294" i="7"/>
  <c r="J294" i="7"/>
  <c r="AA292" i="7"/>
  <c r="Z292" i="7"/>
  <c r="J292" i="7"/>
  <c r="AA291" i="7"/>
  <c r="Z291" i="7"/>
  <c r="J291" i="7"/>
  <c r="AA290" i="7"/>
  <c r="Z290" i="7"/>
  <c r="J290" i="7"/>
  <c r="AA289" i="7"/>
  <c r="Z289" i="7"/>
  <c r="J289" i="7"/>
  <c r="AA288" i="7"/>
  <c r="Z288" i="7"/>
  <c r="J288" i="7"/>
  <c r="AA287" i="7"/>
  <c r="Z287" i="7"/>
  <c r="J287" i="7"/>
  <c r="AA286" i="7"/>
  <c r="Z286" i="7"/>
  <c r="J286" i="7"/>
  <c r="AA285" i="7"/>
  <c r="Z285" i="7"/>
  <c r="J285" i="7"/>
  <c r="AA284" i="7"/>
  <c r="Z284" i="7"/>
  <c r="J284" i="7"/>
  <c r="AA283" i="7"/>
  <c r="Z283" i="7"/>
  <c r="J283" i="7"/>
  <c r="AA282" i="7"/>
  <c r="Z282" i="7"/>
  <c r="J282" i="7"/>
  <c r="AA281" i="7"/>
  <c r="Z281" i="7"/>
  <c r="J281" i="7"/>
  <c r="AA280" i="7"/>
  <c r="Z280" i="7"/>
  <c r="J280" i="7"/>
  <c r="AA279" i="7"/>
  <c r="Z279" i="7"/>
  <c r="J279" i="7"/>
  <c r="AA278" i="7"/>
  <c r="Z278" i="7"/>
  <c r="J278" i="7"/>
  <c r="AA277" i="7"/>
  <c r="Z277" i="7"/>
  <c r="J277" i="7"/>
  <c r="AA276" i="7"/>
  <c r="Z276" i="7"/>
  <c r="J276" i="7"/>
  <c r="AA275" i="7"/>
  <c r="Z275" i="7"/>
  <c r="J275" i="7"/>
  <c r="AA274" i="7"/>
  <c r="Z274" i="7"/>
  <c r="J274" i="7"/>
  <c r="AA273" i="7"/>
  <c r="Z273" i="7"/>
  <c r="J273" i="7"/>
  <c r="AA272" i="7"/>
  <c r="Z272" i="7"/>
  <c r="J272" i="7"/>
  <c r="AA271" i="7"/>
  <c r="Z271" i="7"/>
  <c r="J271" i="7"/>
  <c r="AA270" i="7"/>
  <c r="Z270" i="7"/>
  <c r="J270" i="7"/>
  <c r="AA269" i="7"/>
  <c r="Z269" i="7"/>
  <c r="J269" i="7"/>
  <c r="AF268" i="7"/>
  <c r="Z268" i="7"/>
  <c r="J268" i="7"/>
  <c r="AF267" i="7"/>
  <c r="Z267" i="7"/>
  <c r="J267" i="7"/>
  <c r="AF266" i="7"/>
  <c r="Z266" i="7"/>
  <c r="J266" i="7"/>
  <c r="AF265" i="7"/>
  <c r="Z265" i="7"/>
  <c r="J265" i="7"/>
  <c r="AF264" i="7"/>
  <c r="Z264" i="7"/>
  <c r="J264" i="7"/>
  <c r="Z263" i="7"/>
  <c r="J263" i="7"/>
  <c r="Z262" i="7"/>
  <c r="J262" i="7"/>
  <c r="Z260" i="7"/>
  <c r="J260" i="7"/>
  <c r="Z259" i="7"/>
  <c r="J259" i="7"/>
  <c r="Z258" i="7"/>
  <c r="J258" i="7"/>
  <c r="Z257" i="7"/>
  <c r="J257" i="7"/>
  <c r="Z256" i="7"/>
  <c r="J256" i="7"/>
  <c r="Z255" i="7"/>
  <c r="J255" i="7"/>
  <c r="Z254" i="7"/>
  <c r="J254" i="7"/>
  <c r="Z253" i="7"/>
  <c r="J253" i="7"/>
  <c r="Z252" i="7"/>
  <c r="J252" i="7"/>
  <c r="Z261" i="7"/>
  <c r="J261" i="7"/>
  <c r="Z251" i="7"/>
  <c r="J251" i="7"/>
  <c r="Z250" i="7"/>
  <c r="J250" i="7"/>
  <c r="Z249" i="7"/>
  <c r="J249" i="7"/>
  <c r="Z248" i="7"/>
  <c r="J248" i="7"/>
  <c r="Z247" i="7"/>
  <c r="J247" i="7"/>
  <c r="Z246" i="7"/>
  <c r="J246" i="7"/>
  <c r="Z245" i="7"/>
  <c r="J245" i="7"/>
  <c r="Z244" i="7"/>
  <c r="J244" i="7"/>
  <c r="Z243" i="7"/>
  <c r="J243" i="7"/>
  <c r="Z242" i="7"/>
  <c r="J242" i="7"/>
  <c r="Z241" i="7"/>
  <c r="J241" i="7"/>
  <c r="AF234" i="7"/>
  <c r="Z234" i="7"/>
  <c r="M234" i="7"/>
  <c r="J234" i="7"/>
  <c r="AF232" i="7"/>
  <c r="Z232" i="7"/>
  <c r="M232" i="7"/>
  <c r="J232" i="7"/>
  <c r="AF238" i="7"/>
  <c r="Z238" i="7"/>
  <c r="M238" i="7"/>
  <c r="J238" i="7"/>
  <c r="AF237" i="7"/>
  <c r="Z237" i="7"/>
  <c r="M237" i="7"/>
  <c r="J237" i="7"/>
  <c r="AF236" i="7"/>
  <c r="Z236" i="7"/>
  <c r="M236" i="7"/>
  <c r="J236" i="7"/>
  <c r="AF231" i="7"/>
  <c r="Z231" i="7"/>
  <c r="M231" i="7"/>
  <c r="J231" i="7"/>
  <c r="AF230" i="7"/>
  <c r="Z230" i="7"/>
  <c r="M230" i="7"/>
  <c r="J230" i="7"/>
  <c r="AF240" i="7"/>
  <c r="Z240" i="7"/>
  <c r="M240" i="7"/>
  <c r="J240" i="7"/>
  <c r="AF239" i="7"/>
  <c r="Z239" i="7"/>
  <c r="M239" i="7"/>
  <c r="J239" i="7"/>
  <c r="AF229" i="7"/>
  <c r="Z229" i="7"/>
  <c r="M229" i="7"/>
  <c r="J229" i="7"/>
  <c r="AF228" i="7"/>
  <c r="Z228" i="7"/>
  <c r="M228" i="7"/>
  <c r="J228" i="7"/>
  <c r="AF227" i="7"/>
  <c r="Z227" i="7"/>
  <c r="M227" i="7"/>
  <c r="J227" i="7"/>
  <c r="AF226" i="7"/>
  <c r="Z226" i="7"/>
  <c r="M226" i="7"/>
  <c r="J226" i="7"/>
  <c r="AF225" i="7"/>
  <c r="Z225" i="7"/>
  <c r="M225" i="7"/>
  <c r="J225" i="7"/>
  <c r="AF224" i="7"/>
  <c r="Z224" i="7"/>
  <c r="M224" i="7"/>
  <c r="J224" i="7"/>
  <c r="AF223" i="7"/>
  <c r="Z223" i="7"/>
  <c r="M223" i="7"/>
  <c r="J223" i="7"/>
  <c r="AF219" i="7"/>
  <c r="Z219" i="7"/>
  <c r="M219" i="7"/>
  <c r="J219" i="7"/>
  <c r="AF218" i="7"/>
  <c r="Z218" i="7"/>
  <c r="M218" i="7"/>
  <c r="J218" i="7"/>
  <c r="AF217" i="7"/>
  <c r="Z217" i="7"/>
  <c r="M217" i="7"/>
  <c r="J217" i="7"/>
  <c r="Z216" i="7"/>
  <c r="J216" i="7"/>
  <c r="AF214" i="7"/>
  <c r="Z214" i="7"/>
  <c r="L214" i="7"/>
  <c r="J214" i="7"/>
  <c r="AF213" i="7"/>
  <c r="Z213" i="7"/>
  <c r="L213" i="7"/>
  <c r="J213" i="7"/>
  <c r="AF212" i="7"/>
  <c r="Z212" i="7"/>
  <c r="L212" i="7"/>
  <c r="J212" i="7"/>
  <c r="AF211" i="7"/>
  <c r="Z211" i="7"/>
  <c r="L211" i="7"/>
  <c r="J211" i="7"/>
  <c r="AF210" i="7"/>
  <c r="Z210" i="7"/>
  <c r="L210" i="7"/>
  <c r="J210" i="7"/>
  <c r="AF209" i="7"/>
  <c r="Z209" i="7"/>
  <c r="L209" i="7"/>
  <c r="J209" i="7"/>
  <c r="AF215" i="7"/>
  <c r="Z215" i="7"/>
  <c r="L215" i="7"/>
  <c r="J215" i="7"/>
  <c r="AF208" i="7"/>
  <c r="Z208" i="7"/>
  <c r="L208" i="7"/>
  <c r="J208" i="7"/>
  <c r="AF207" i="7"/>
  <c r="Z207" i="7"/>
  <c r="L207" i="7"/>
  <c r="J207" i="7"/>
  <c r="AF206" i="7"/>
  <c r="Z206" i="7"/>
  <c r="L206" i="7"/>
  <c r="J206" i="7"/>
  <c r="AF205" i="7"/>
  <c r="Z205" i="7"/>
  <c r="L205" i="7"/>
  <c r="J205" i="7"/>
  <c r="AF204" i="7"/>
  <c r="Z204" i="7"/>
  <c r="L204" i="7"/>
  <c r="J204" i="7"/>
  <c r="AA203" i="7"/>
  <c r="Z203" i="7"/>
  <c r="X203" i="7"/>
  <c r="M203" i="7"/>
  <c r="J203" i="7"/>
  <c r="AA202" i="7"/>
  <c r="Z202" i="7"/>
  <c r="X202" i="7"/>
  <c r="M202" i="7"/>
  <c r="J202" i="7"/>
  <c r="AA201" i="7"/>
  <c r="Z201" i="7"/>
  <c r="X201" i="7"/>
  <c r="M201" i="7"/>
  <c r="J201" i="7"/>
  <c r="AA200" i="7"/>
  <c r="Z200" i="7"/>
  <c r="X200" i="7"/>
  <c r="M200" i="7"/>
  <c r="J200" i="7"/>
  <c r="AA199" i="7"/>
  <c r="Z199" i="7"/>
  <c r="X199" i="7"/>
  <c r="M199" i="7"/>
  <c r="J199" i="7"/>
  <c r="AA198" i="7"/>
  <c r="Z198" i="7"/>
  <c r="X198" i="7"/>
  <c r="M198" i="7"/>
  <c r="J198" i="7"/>
  <c r="AA197" i="7"/>
  <c r="Z197" i="7"/>
  <c r="X197" i="7"/>
  <c r="M197" i="7"/>
  <c r="J197" i="7"/>
  <c r="AA196" i="7"/>
  <c r="Z196" i="7"/>
  <c r="X196" i="7"/>
  <c r="M196" i="7"/>
  <c r="J196" i="7"/>
  <c r="Z193" i="7"/>
  <c r="O193" i="7"/>
  <c r="M193" i="7"/>
  <c r="Z192" i="7"/>
  <c r="O192" i="7"/>
  <c r="M192" i="7"/>
  <c r="Z191" i="7"/>
  <c r="O191" i="7"/>
  <c r="M191" i="7"/>
  <c r="AF186" i="7"/>
  <c r="AB186" i="7"/>
  <c r="AA186" i="7"/>
  <c r="Z186" i="7"/>
  <c r="X186" i="7"/>
  <c r="O186" i="7"/>
  <c r="L186" i="7"/>
  <c r="AF185" i="7"/>
  <c r="AB185" i="7"/>
  <c r="AA185" i="7"/>
  <c r="Z185" i="7"/>
  <c r="X185" i="7"/>
  <c r="O185" i="7"/>
  <c r="L185" i="7"/>
  <c r="AF184" i="7"/>
  <c r="AB184" i="7"/>
  <c r="AA184" i="7"/>
  <c r="Z184" i="7"/>
  <c r="X184" i="7"/>
  <c r="O184" i="7"/>
  <c r="L184" i="7"/>
  <c r="AF183" i="7"/>
  <c r="AB183" i="7"/>
  <c r="AA183" i="7"/>
  <c r="Z183" i="7"/>
  <c r="X183" i="7"/>
  <c r="O183" i="7"/>
  <c r="L183" i="7"/>
  <c r="Z182" i="7"/>
  <c r="Z181" i="7"/>
  <c r="Z180" i="7"/>
  <c r="M180" i="7"/>
  <c r="J180" i="7"/>
  <c r="Z179" i="7"/>
  <c r="M179" i="7"/>
  <c r="J179" i="7"/>
  <c r="Z178" i="7"/>
  <c r="M178" i="7"/>
  <c r="J178" i="7"/>
  <c r="Z177" i="7"/>
  <c r="M177" i="7"/>
  <c r="J177" i="7"/>
  <c r="Z176" i="7"/>
  <c r="M176" i="7"/>
  <c r="J176" i="7"/>
  <c r="Z175" i="7"/>
  <c r="M175" i="7"/>
  <c r="J175" i="7"/>
  <c r="Z174" i="7"/>
  <c r="M174" i="7"/>
  <c r="J174" i="7"/>
  <c r="Z170" i="7"/>
  <c r="O170" i="7"/>
  <c r="AF169" i="7"/>
  <c r="AA169" i="7"/>
  <c r="Z169" i="7"/>
  <c r="L169" i="7"/>
  <c r="J169" i="7"/>
  <c r="AF168" i="7"/>
  <c r="AA168" i="7"/>
  <c r="Z168" i="7"/>
  <c r="L168" i="7"/>
  <c r="J168" i="7"/>
  <c r="AF167" i="7"/>
  <c r="AA167" i="7"/>
  <c r="Z167" i="7"/>
  <c r="L167" i="7"/>
  <c r="J167" i="7"/>
  <c r="AF166" i="7"/>
  <c r="AA166" i="7"/>
  <c r="Z166" i="7"/>
  <c r="L166" i="7"/>
  <c r="J166" i="7"/>
  <c r="Z164" i="7"/>
  <c r="Z163" i="7"/>
  <c r="AF161" i="7"/>
  <c r="AA161" i="7"/>
  <c r="Z161" i="7"/>
  <c r="X161" i="7"/>
  <c r="M161" i="7"/>
  <c r="J161" i="7"/>
  <c r="AF160" i="7"/>
  <c r="AA160" i="7"/>
  <c r="Z160" i="7"/>
  <c r="X160" i="7"/>
  <c r="M160" i="7"/>
  <c r="J160" i="7"/>
  <c r="AF159" i="7"/>
  <c r="AA159" i="7"/>
  <c r="Z159" i="7"/>
  <c r="X159" i="7"/>
  <c r="M159" i="7"/>
  <c r="J159" i="7"/>
  <c r="AF158" i="7"/>
  <c r="AA158" i="7"/>
  <c r="Z158" i="7"/>
  <c r="X158" i="7"/>
  <c r="M158" i="7"/>
  <c r="J158" i="7"/>
  <c r="AF157" i="7"/>
  <c r="AA157" i="7"/>
  <c r="Z157" i="7"/>
  <c r="X157" i="7"/>
  <c r="M157" i="7"/>
  <c r="J157" i="7"/>
  <c r="AF156" i="7"/>
  <c r="AA156" i="7"/>
  <c r="Z156" i="7"/>
  <c r="X156" i="7"/>
  <c r="M156" i="7"/>
  <c r="J156" i="7"/>
  <c r="AF155" i="7"/>
  <c r="AA155" i="7"/>
  <c r="Z155" i="7"/>
  <c r="X155" i="7"/>
  <c r="M155" i="7"/>
  <c r="J155" i="7"/>
  <c r="AF154" i="7"/>
  <c r="AA154" i="7"/>
  <c r="Z154" i="7"/>
  <c r="X154" i="7"/>
  <c r="M154" i="7"/>
  <c r="J154" i="7"/>
  <c r="AF153" i="7"/>
  <c r="AA153" i="7"/>
  <c r="Z153" i="7"/>
  <c r="X153" i="7"/>
  <c r="M153" i="7"/>
  <c r="J153" i="7"/>
  <c r="AF152" i="7"/>
  <c r="AA152" i="7"/>
  <c r="Z152" i="7"/>
  <c r="X152" i="7"/>
  <c r="M152" i="7"/>
  <c r="J152" i="7"/>
  <c r="AF151" i="7"/>
  <c r="AA151" i="7"/>
  <c r="Z151" i="7"/>
  <c r="X151" i="7"/>
  <c r="M151" i="7"/>
  <c r="J151" i="7"/>
  <c r="AF150" i="7"/>
  <c r="AA150" i="7"/>
  <c r="Z150" i="7"/>
  <c r="X150" i="7"/>
  <c r="M150" i="7"/>
  <c r="J150" i="7"/>
  <c r="AF149" i="7"/>
  <c r="AA149" i="7"/>
  <c r="Z149" i="7"/>
  <c r="X149" i="7"/>
  <c r="M149" i="7"/>
  <c r="J149" i="7"/>
  <c r="AF148" i="7"/>
  <c r="AA148" i="7"/>
  <c r="Z148" i="7"/>
  <c r="X148" i="7"/>
  <c r="M148" i="7"/>
  <c r="J148" i="7"/>
  <c r="AF147" i="7"/>
  <c r="AA147" i="7"/>
  <c r="Z147" i="7"/>
  <c r="X147" i="7"/>
  <c r="M147" i="7"/>
  <c r="J147" i="7"/>
  <c r="AF146" i="7"/>
  <c r="AA146" i="7"/>
  <c r="Z146" i="7"/>
  <c r="X146" i="7"/>
  <c r="M146" i="7"/>
  <c r="J146" i="7"/>
  <c r="AF145" i="7"/>
  <c r="AA145" i="7"/>
  <c r="Z145" i="7"/>
  <c r="X145" i="7"/>
  <c r="M145" i="7"/>
  <c r="J145" i="7"/>
  <c r="AF144" i="7"/>
  <c r="AA144" i="7"/>
  <c r="Z144" i="7"/>
  <c r="X144" i="7"/>
  <c r="M144" i="7"/>
  <c r="J144" i="7"/>
  <c r="AJ143" i="7"/>
  <c r="Z143" i="7"/>
  <c r="O143" i="7"/>
  <c r="AJ142" i="7"/>
  <c r="Z142" i="7"/>
  <c r="O142" i="7"/>
  <c r="AJ141" i="7"/>
  <c r="Z141" i="7"/>
  <c r="O141" i="7"/>
  <c r="AJ140" i="7"/>
  <c r="Z140" i="7"/>
  <c r="O140" i="7"/>
  <c r="AJ139" i="7"/>
  <c r="Z139" i="7"/>
  <c r="O139" i="7"/>
  <c r="AJ138" i="7"/>
  <c r="Z138" i="7"/>
  <c r="O138" i="7"/>
  <c r="AJ137" i="7"/>
  <c r="Z137" i="7"/>
  <c r="O137" i="7"/>
  <c r="AJ136" i="7"/>
  <c r="Z136" i="7"/>
  <c r="O136" i="7"/>
  <c r="AJ135" i="7"/>
  <c r="Z135" i="7"/>
  <c r="O135" i="7"/>
  <c r="AJ134" i="7"/>
  <c r="Z134" i="7"/>
  <c r="O134" i="7"/>
  <c r="AJ133" i="7"/>
  <c r="Z133" i="7"/>
  <c r="O133" i="7"/>
  <c r="AJ132" i="7"/>
  <c r="Z132" i="7"/>
  <c r="O132" i="7"/>
  <c r="AJ131" i="7"/>
  <c r="Z131" i="7"/>
  <c r="O131" i="7"/>
  <c r="AJ130" i="7"/>
  <c r="Z130" i="7"/>
  <c r="O130" i="7"/>
  <c r="AI128" i="7"/>
  <c r="AF128" i="7"/>
  <c r="AB128" i="7"/>
  <c r="AA128" i="7"/>
  <c r="Z128" i="7"/>
  <c r="W128" i="7"/>
  <c r="L128" i="7"/>
  <c r="J128" i="7"/>
  <c r="AF121" i="7"/>
  <c r="AA121" i="7"/>
  <c r="Z121" i="7"/>
  <c r="L121" i="7"/>
  <c r="AF120" i="7"/>
  <c r="AA120" i="7"/>
  <c r="Z120" i="7"/>
  <c r="L120" i="7"/>
  <c r="AF119" i="7"/>
  <c r="AA119" i="7"/>
  <c r="Z119" i="7"/>
  <c r="L119" i="7"/>
  <c r="AF118" i="7"/>
  <c r="AA118" i="7"/>
  <c r="Z118" i="7"/>
  <c r="L118" i="7"/>
  <c r="AF117" i="7"/>
  <c r="AA117" i="7"/>
  <c r="Z117" i="7"/>
  <c r="L117" i="7"/>
  <c r="AF116" i="7"/>
  <c r="AA116" i="7"/>
  <c r="Z116" i="7"/>
  <c r="L116" i="7"/>
  <c r="AF115" i="7"/>
  <c r="AA115" i="7"/>
  <c r="Z115" i="7"/>
  <c r="L115" i="7"/>
  <c r="AF114" i="7"/>
  <c r="AA114" i="7"/>
  <c r="Z114" i="7"/>
  <c r="L114" i="7"/>
  <c r="AF113" i="7"/>
  <c r="AA113" i="7"/>
  <c r="Z113" i="7"/>
  <c r="L113" i="7"/>
  <c r="AF112" i="7"/>
  <c r="AA112" i="7"/>
  <c r="Z112" i="7"/>
  <c r="L112" i="7"/>
  <c r="AF111" i="7"/>
  <c r="Z111" i="7"/>
  <c r="J111" i="7"/>
  <c r="AF110" i="7"/>
  <c r="Z110" i="7"/>
  <c r="J110" i="7"/>
  <c r="AF109" i="7"/>
  <c r="Z109" i="7"/>
  <c r="J109" i="7"/>
  <c r="AF108" i="7"/>
  <c r="Z108" i="7"/>
  <c r="J108" i="7"/>
  <c r="AF107" i="7"/>
  <c r="Z107" i="7"/>
  <c r="J107" i="7"/>
  <c r="AI102" i="7"/>
  <c r="AF102" i="7"/>
  <c r="Z102" i="7"/>
  <c r="J102" i="7"/>
  <c r="AI101" i="7"/>
  <c r="AF101" i="7"/>
  <c r="Z101" i="7"/>
  <c r="J101" i="7"/>
  <c r="AI100" i="7"/>
  <c r="AF100" i="7"/>
  <c r="Z100" i="7"/>
  <c r="J100" i="7"/>
  <c r="AI99" i="7"/>
  <c r="AF99" i="7"/>
  <c r="Z99" i="7"/>
  <c r="J99" i="7"/>
  <c r="AI98" i="7"/>
  <c r="AF98" i="7"/>
  <c r="Z98" i="7"/>
  <c r="J98" i="7"/>
  <c r="AI97" i="7"/>
  <c r="AF97" i="7"/>
  <c r="Z97" i="7"/>
  <c r="J97" i="7"/>
  <c r="AI96" i="7"/>
  <c r="AF96" i="7"/>
  <c r="Z96" i="7"/>
  <c r="J96" i="7"/>
  <c r="AI95" i="7"/>
  <c r="AF95" i="7"/>
  <c r="Z95" i="7"/>
  <c r="J95" i="7"/>
  <c r="AI94" i="7"/>
  <c r="AF94" i="7"/>
  <c r="Z94" i="7"/>
  <c r="J94" i="7"/>
  <c r="AI93" i="7"/>
  <c r="AF93" i="7"/>
  <c r="Z93" i="7"/>
  <c r="J93" i="7"/>
  <c r="AF92" i="7"/>
  <c r="Z92" i="7"/>
  <c r="M92" i="7"/>
  <c r="AF91" i="7"/>
  <c r="Z91" i="7"/>
  <c r="M91" i="7"/>
  <c r="AF87" i="7"/>
  <c r="AA87" i="7"/>
  <c r="O87" i="7"/>
  <c r="L87" i="7"/>
  <c r="J87" i="7"/>
  <c r="AF86" i="7"/>
  <c r="AA86" i="7"/>
  <c r="O86" i="7"/>
  <c r="L86" i="7"/>
  <c r="J86" i="7"/>
  <c r="AF85" i="7"/>
  <c r="AA85" i="7"/>
  <c r="O85" i="7"/>
  <c r="L85" i="7"/>
  <c r="J85" i="7"/>
  <c r="AF84" i="7"/>
  <c r="AA84" i="7"/>
  <c r="O84" i="7"/>
  <c r="L84" i="7"/>
  <c r="J84" i="7"/>
  <c r="AF83" i="7"/>
  <c r="AA83" i="7"/>
  <c r="O83" i="7"/>
  <c r="L83" i="7"/>
  <c r="J83" i="7"/>
  <c r="AF82" i="7"/>
  <c r="AA82" i="7"/>
  <c r="O82" i="7"/>
  <c r="L82" i="7"/>
  <c r="J82" i="7"/>
  <c r="AF80" i="7"/>
  <c r="AA80" i="7"/>
  <c r="O80" i="7"/>
  <c r="L80" i="7"/>
  <c r="J80" i="7"/>
  <c r="AF79" i="7"/>
  <c r="AA79" i="7"/>
  <c r="O79" i="7"/>
  <c r="L79" i="7"/>
  <c r="J79" i="7"/>
  <c r="AF78" i="7"/>
  <c r="AA78" i="7"/>
  <c r="O78" i="7"/>
  <c r="L78" i="7"/>
  <c r="J78" i="7"/>
  <c r="AF77" i="7"/>
  <c r="AA77" i="7"/>
  <c r="O77" i="7"/>
  <c r="L77" i="7"/>
  <c r="J77" i="7"/>
  <c r="AF76" i="7"/>
  <c r="AA76" i="7"/>
  <c r="O76" i="7"/>
  <c r="L76" i="7"/>
  <c r="J76" i="7"/>
  <c r="AF75" i="7"/>
  <c r="AA75" i="7"/>
  <c r="O75" i="7"/>
  <c r="L75" i="7"/>
  <c r="J75" i="7"/>
  <c r="AF74" i="7"/>
  <c r="AA74" i="7"/>
  <c r="O74" i="7"/>
  <c r="L74" i="7"/>
  <c r="J74" i="7"/>
  <c r="AF73" i="7"/>
  <c r="AA73" i="7"/>
  <c r="O73" i="7"/>
  <c r="L73" i="7"/>
  <c r="J73" i="7"/>
  <c r="AF72" i="7"/>
  <c r="AA72" i="7"/>
  <c r="O72" i="7"/>
  <c r="L72" i="7"/>
  <c r="J72" i="7"/>
  <c r="AF68" i="7"/>
  <c r="Z68" i="7"/>
  <c r="J68" i="7"/>
  <c r="AF67" i="7"/>
  <c r="Z67" i="7"/>
  <c r="J67" i="7"/>
  <c r="AF66" i="7"/>
  <c r="Z66" i="7"/>
  <c r="J66" i="7"/>
  <c r="AF65" i="7"/>
  <c r="M65" i="7"/>
  <c r="J65" i="7"/>
  <c r="AF64" i="7"/>
  <c r="M64" i="7"/>
  <c r="J64" i="7"/>
  <c r="AF63" i="7"/>
  <c r="M63" i="7"/>
  <c r="J63" i="7"/>
  <c r="AF62" i="7"/>
  <c r="M62" i="7"/>
  <c r="J62" i="7"/>
  <c r="AF61" i="7"/>
  <c r="M61" i="7"/>
  <c r="J61" i="7"/>
  <c r="Z37" i="7"/>
  <c r="Z19" i="7"/>
  <c r="J19" i="7"/>
  <c r="Z11" i="7"/>
  <c r="J11" i="7"/>
  <c r="D11" i="7"/>
  <c r="Z29" i="7"/>
  <c r="N29" i="7"/>
  <c r="J29" i="7"/>
  <c r="AF25" i="7"/>
  <c r="Z25" i="7"/>
  <c r="Z39" i="7"/>
  <c r="J39" i="7"/>
  <c r="Z49" i="7"/>
  <c r="Z28" i="7"/>
  <c r="J28" i="7"/>
  <c r="Z1245" i="7"/>
  <c r="Z1244" i="7"/>
  <c r="Z51" i="7"/>
  <c r="Z48" i="7"/>
  <c r="Z47" i="7"/>
  <c r="J47" i="7"/>
  <c r="Z34" i="7"/>
  <c r="O34" i="7"/>
  <c r="Z33" i="7"/>
  <c r="O33" i="7"/>
  <c r="Z36" i="7"/>
  <c r="J36" i="7"/>
  <c r="Z26" i="7"/>
  <c r="J26" i="7"/>
  <c r="D3075" i="7"/>
  <c r="Z27" i="7"/>
  <c r="J27" i="7"/>
  <c r="U7" i="7"/>
  <c r="T7" i="7"/>
  <c r="S7" i="7"/>
  <c r="Q4230" i="7"/>
  <c r="A34" i="13" l="1"/>
  <c r="A35" i="13"/>
  <c r="M35" i="13" s="1"/>
  <c r="A47" i="13"/>
  <c r="M47" i="13" s="1"/>
  <c r="A33" i="13"/>
  <c r="A48" i="13"/>
  <c r="M48" i="13" s="1"/>
  <c r="A37" i="13"/>
  <c r="M37" i="13" s="1"/>
  <c r="A40" i="13"/>
  <c r="M40" i="13" s="1"/>
  <c r="A25" i="13"/>
  <c r="M25" i="13" s="1"/>
  <c r="A27" i="13"/>
  <c r="M27" i="13" s="1"/>
  <c r="A28" i="13"/>
  <c r="M28" i="13" s="1"/>
  <c r="A24" i="13"/>
  <c r="M24" i="13" s="1"/>
  <c r="A31" i="13"/>
  <c r="A23" i="13"/>
  <c r="A26" i="13"/>
  <c r="M26" i="13" s="1"/>
  <c r="A45" i="13"/>
  <c r="M45" i="13" s="1"/>
  <c r="A42" i="13"/>
  <c r="M42" i="13" s="1"/>
  <c r="A29" i="13"/>
  <c r="M29" i="13" s="1"/>
  <c r="A46" i="13"/>
  <c r="M46" i="13" s="1"/>
  <c r="A36" i="13"/>
  <c r="M36" i="13" s="1"/>
  <c r="A32" i="13"/>
  <c r="A49" i="13"/>
  <c r="M49" i="13" s="1"/>
  <c r="A38" i="13"/>
  <c r="M38" i="13" s="1"/>
  <c r="A39" i="13"/>
  <c r="M39" i="13" s="1"/>
  <c r="A41" i="13"/>
  <c r="M41" i="13" s="1"/>
  <c r="A43" i="13"/>
  <c r="M43" i="13" s="1"/>
  <c r="A44" i="13"/>
  <c r="M44" i="13" s="1"/>
  <c r="A31" i="12"/>
  <c r="A25" i="12"/>
  <c r="M25" i="12" s="1"/>
  <c r="T11" i="12"/>
  <c r="T14" i="12"/>
  <c r="T17" i="12"/>
  <c r="T13" i="12"/>
  <c r="T20" i="12"/>
  <c r="T19" i="12"/>
  <c r="T15" i="12"/>
  <c r="T12" i="12"/>
  <c r="T16" i="12"/>
  <c r="T18" i="12"/>
  <c r="A48" i="12"/>
  <c r="A40" i="12"/>
  <c r="A50" i="12"/>
  <c r="A49" i="12"/>
  <c r="A39" i="12"/>
  <c r="A27" i="12"/>
  <c r="A47" i="12"/>
  <c r="A38" i="12"/>
  <c r="A30" i="12"/>
  <c r="M30" i="12" s="1"/>
  <c r="A41" i="12"/>
  <c r="A46" i="12"/>
  <c r="A37" i="12"/>
  <c r="A29" i="12"/>
  <c r="M29" i="12" s="1"/>
  <c r="A44" i="12"/>
  <c r="A45" i="12"/>
  <c r="A36" i="12"/>
  <c r="A28" i="12"/>
  <c r="A35" i="12"/>
  <c r="A43" i="12"/>
  <c r="A34" i="12"/>
  <c r="A26" i="12"/>
  <c r="A42" i="12"/>
  <c r="A33" i="12"/>
  <c r="A24" i="12"/>
  <c r="B171" i="2" s="1"/>
  <c r="C171" i="2" s="1"/>
  <c r="A32" i="12"/>
  <c r="AA3817" i="7"/>
  <c r="AA3816" i="7"/>
  <c r="AA3815" i="7"/>
  <c r="AA3814" i="7"/>
  <c r="AA3813" i="7"/>
  <c r="AA3812" i="7"/>
  <c r="Z18" i="12"/>
  <c r="Z15" i="12"/>
  <c r="Z13" i="12"/>
  <c r="Z12" i="12"/>
  <c r="Z16" i="12"/>
  <c r="Z17" i="12"/>
  <c r="U5" i="12"/>
  <c r="U5" i="13"/>
  <c r="Q3614" i="7"/>
  <c r="Q3615" i="7"/>
  <c r="Q1143" i="7"/>
  <c r="Q1142" i="7"/>
  <c r="Q1141" i="7"/>
  <c r="Q3271" i="7"/>
  <c r="Q1140" i="7"/>
  <c r="Q3100" i="7"/>
  <c r="Q3282" i="7"/>
  <c r="Q3283" i="7"/>
  <c r="Q3281" i="7"/>
  <c r="Q1852" i="7"/>
  <c r="Q4231" i="7"/>
  <c r="Q3101" i="7"/>
  <c r="Q787" i="7"/>
  <c r="Q3734" i="7"/>
  <c r="Q3733" i="7"/>
  <c r="Q4294" i="7"/>
  <c r="Q4153" i="7"/>
  <c r="Q847" i="7"/>
  <c r="Q4293" i="7"/>
  <c r="Q629" i="7"/>
  <c r="Q3868" i="7"/>
  <c r="Q3028" i="7"/>
  <c r="Q995" i="7"/>
  <c r="Q4219" i="7"/>
  <c r="Q3260" i="7"/>
  <c r="Q4149" i="7"/>
  <c r="Q4488" i="7"/>
  <c r="Q1259" i="7"/>
  <c r="Q50" i="7"/>
  <c r="Q1513" i="7"/>
  <c r="Q855" i="7"/>
  <c r="Q30" i="7"/>
  <c r="Q3858" i="7"/>
  <c r="Q2011" i="7"/>
  <c r="Q1260" i="7"/>
  <c r="Q1991" i="7"/>
  <c r="Q1992" i="7"/>
  <c r="Q639" i="7"/>
  <c r="Q1473" i="7"/>
  <c r="Q3261" i="7"/>
  <c r="Q3098" i="7"/>
  <c r="Q1613" i="7"/>
  <c r="Q3259" i="7"/>
  <c r="Q1985" i="7"/>
  <c r="Q729" i="7"/>
  <c r="Q26" i="7"/>
  <c r="Q51" i="7"/>
  <c r="Q49" i="7"/>
  <c r="S8" i="7"/>
  <c r="S2" i="7" s="1"/>
  <c r="S3759" i="7" s="1"/>
  <c r="Q216" i="7"/>
  <c r="V3" i="7"/>
  <c r="Q795" i="7"/>
  <c r="Q849" i="7"/>
  <c r="Q90" i="7"/>
  <c r="R4212" i="7"/>
  <c r="Q28" i="7"/>
  <c r="A30" i="13" s="1"/>
  <c r="Q11" i="7"/>
  <c r="Q166" i="7"/>
  <c r="Q167" i="7"/>
  <c r="Q168" i="7"/>
  <c r="Q169" i="7"/>
  <c r="Q39" i="7"/>
  <c r="T8" i="7"/>
  <c r="Q406" i="7"/>
  <c r="Q728" i="7"/>
  <c r="Q47" i="7"/>
  <c r="U8" i="7"/>
  <c r="Q1245" i="7"/>
  <c r="Q29" i="7"/>
  <c r="Q263" i="7"/>
  <c r="Q27" i="7"/>
  <c r="Q37" i="7"/>
  <c r="Q411" i="7"/>
  <c r="Q661" i="7"/>
  <c r="Q667" i="7"/>
  <c r="Q725" i="7"/>
  <c r="Q777" i="7"/>
  <c r="Q794" i="7"/>
  <c r="Q852" i="7"/>
  <c r="Q343" i="7"/>
  <c r="Q408" i="7"/>
  <c r="Q600" i="7"/>
  <c r="Q699" i="7"/>
  <c r="Q784" i="7"/>
  <c r="Q785" i="7"/>
  <c r="Q853" i="7"/>
  <c r="Q666" i="7"/>
  <c r="Q670" i="7"/>
  <c r="Q727" i="7"/>
  <c r="Q769" i="7"/>
  <c r="Q812" i="7"/>
  <c r="Q854" i="7"/>
  <c r="Q910" i="7"/>
  <c r="Q345" i="7"/>
  <c r="Q410" i="7"/>
  <c r="Q724" i="7"/>
  <c r="Q792" i="7"/>
  <c r="Q908" i="7"/>
  <c r="Q36" i="7"/>
  <c r="Q19" i="7"/>
  <c r="Q89" i="7"/>
  <c r="Q342" i="7"/>
  <c r="Q407" i="7"/>
  <c r="Q601" i="7"/>
  <c r="Q664" i="7"/>
  <c r="Q669" i="7"/>
  <c r="Q4546" i="7"/>
  <c r="Q4543" i="7"/>
  <c r="Q4522" i="7"/>
  <c r="Q4514" i="7"/>
  <c r="Q4507" i="7"/>
  <c r="Q4500" i="7"/>
  <c r="Q4495" i="7"/>
  <c r="Q4485" i="7"/>
  <c r="Q4344" i="7"/>
  <c r="Q4818" i="7"/>
  <c r="Q4765" i="7"/>
  <c r="Q4540" i="7"/>
  <c r="Q4530" i="7"/>
  <c r="Q4521" i="7"/>
  <c r="Q4513" i="7"/>
  <c r="Q4506" i="7"/>
  <c r="Q4547" i="7"/>
  <c r="Q4494" i="7"/>
  <c r="Q4484" i="7"/>
  <c r="Q4412" i="7"/>
  <c r="Q4410" i="7"/>
  <c r="Q4366" i="7"/>
  <c r="Q4363" i="7"/>
  <c r="Q4361" i="7"/>
  <c r="Q4359" i="7"/>
  <c r="Q4357" i="7"/>
  <c r="Q4355" i="7"/>
  <c r="Q4368" i="7"/>
  <c r="Q4352" i="7"/>
  <c r="Q4343" i="7"/>
  <c r="Q4336" i="7"/>
  <c r="Q4606" i="7"/>
  <c r="Q4604" i="7"/>
  <c r="Q4539" i="7"/>
  <c r="Q4536" i="7"/>
  <c r="Q4529" i="7"/>
  <c r="Q4520" i="7"/>
  <c r="Q4512" i="7"/>
  <c r="Q4505" i="7"/>
  <c r="Q4545" i="7"/>
  <c r="Q4493" i="7"/>
  <c r="Q4483" i="7"/>
  <c r="Q4444" i="7"/>
  <c r="Q4350" i="7"/>
  <c r="Q4342" i="7"/>
  <c r="Q4766" i="7"/>
  <c r="Q4625" i="7"/>
  <c r="Q4623" i="7"/>
  <c r="Q4617" i="7"/>
  <c r="Q4535" i="7"/>
  <c r="Q4528" i="7"/>
  <c r="Q4519" i="7"/>
  <c r="Q4511" i="7"/>
  <c r="Q4504" i="7"/>
  <c r="Q4499" i="7"/>
  <c r="Q4491" i="7"/>
  <c r="Q4482" i="7"/>
  <c r="Q4819" i="7"/>
  <c r="Q4534" i="7"/>
  <c r="Q4527" i="7"/>
  <c r="Q4518" i="7"/>
  <c r="Q4510" i="7"/>
  <c r="Q4503" i="7"/>
  <c r="Q4498" i="7"/>
  <c r="Q4490" i="7"/>
  <c r="Q4481" i="7"/>
  <c r="Q4436" i="7"/>
  <c r="Q4340" i="7"/>
  <c r="Q4552" i="7"/>
  <c r="Q4533" i="7"/>
  <c r="Q4526" i="7"/>
  <c r="Q4517" i="7"/>
  <c r="Q4509" i="7"/>
  <c r="Q4502" i="7"/>
  <c r="Q4497" i="7"/>
  <c r="Q4489" i="7"/>
  <c r="Q4480" i="7"/>
  <c r="Q4411" i="7"/>
  <c r="Q4409" i="7"/>
  <c r="Q4367" i="7"/>
  <c r="Q4365" i="7"/>
  <c r="Q4362" i="7"/>
  <c r="Q4360" i="7"/>
  <c r="Q4358" i="7"/>
  <c r="Q4356" i="7"/>
  <c r="Q4354" i="7"/>
  <c r="Q4353" i="7"/>
  <c r="Q4351" i="7"/>
  <c r="Q4339" i="7"/>
  <c r="Q4515" i="7"/>
  <c r="Q4486" i="7"/>
  <c r="Q4346" i="7"/>
  <c r="Q4268" i="7"/>
  <c r="Q4217" i="7"/>
  <c r="Q4216" i="7"/>
  <c r="Q4215" i="7"/>
  <c r="Q4214" i="7"/>
  <c r="Q4191" i="7"/>
  <c r="Q4180" i="7"/>
  <c r="Q4171" i="7"/>
  <c r="Q4086" i="7"/>
  <c r="Q4029" i="7"/>
  <c r="Q3973" i="7"/>
  <c r="Q3965" i="7"/>
  <c r="Q3957" i="7"/>
  <c r="Q3932" i="7"/>
  <c r="Q3946" i="7"/>
  <c r="Q3942" i="7"/>
  <c r="Q3938" i="7"/>
  <c r="Q3928" i="7"/>
  <c r="Q3863" i="7"/>
  <c r="Q3854" i="7"/>
  <c r="Q3753" i="7"/>
  <c r="Q3747" i="7"/>
  <c r="Q3728" i="7"/>
  <c r="Q3731" i="7"/>
  <c r="Q4618" i="7"/>
  <c r="Q4508" i="7"/>
  <c r="Q4542" i="7"/>
  <c r="Q4349" i="7"/>
  <c r="Q4345" i="7"/>
  <c r="Q4229" i="7"/>
  <c r="Q4194" i="7"/>
  <c r="Q4175" i="7"/>
  <c r="Q4166" i="7"/>
  <c r="Q4081" i="7"/>
  <c r="Q3974" i="7"/>
  <c r="Q3966" i="7"/>
  <c r="Q3958" i="7"/>
  <c r="Q3897" i="7"/>
  <c r="Q3880" i="7"/>
  <c r="Q3857" i="7"/>
  <c r="Q3849" i="7"/>
  <c r="Q3779" i="7"/>
  <c r="Q3756" i="7"/>
  <c r="Q3748" i="7"/>
  <c r="Q4624" i="7"/>
  <c r="Q4551" i="7"/>
  <c r="Q4549" i="7"/>
  <c r="Q4341" i="7"/>
  <c r="Q4290" i="7"/>
  <c r="Q4288" i="7"/>
  <c r="Q4286" i="7"/>
  <c r="Q4284" i="7"/>
  <c r="Q4179" i="7"/>
  <c r="Q4172" i="7"/>
  <c r="Q4169" i="7"/>
  <c r="Q4079" i="7"/>
  <c r="Q4084" i="7"/>
  <c r="Q3975" i="7"/>
  <c r="Q3967" i="7"/>
  <c r="Q3959" i="7"/>
  <c r="Q3933" i="7"/>
  <c r="Q3947" i="7"/>
  <c r="Q3943" i="7"/>
  <c r="Q3939" i="7"/>
  <c r="Q3929" i="7"/>
  <c r="Q3915" i="7"/>
  <c r="Q3884" i="7"/>
  <c r="Q3861" i="7"/>
  <c r="Q3852" i="7"/>
  <c r="Q3782" i="7"/>
  <c r="Q3775" i="7"/>
  <c r="Q3773" i="7"/>
  <c r="Q3771" i="7"/>
  <c r="Q3769" i="7"/>
  <c r="Q3767" i="7"/>
  <c r="Q3765" i="7"/>
  <c r="Q3757" i="7"/>
  <c r="Q3758" i="7"/>
  <c r="Q3741" i="7"/>
  <c r="Q4550" i="7"/>
  <c r="Q4532" i="7"/>
  <c r="Q4501" i="7"/>
  <c r="Q4338" i="7"/>
  <c r="Q4192" i="7"/>
  <c r="Q4177" i="7"/>
  <c r="Q4065" i="7"/>
  <c r="Q4011" i="7"/>
  <c r="Q4014" i="7"/>
  <c r="Q3976" i="7"/>
  <c r="Q3968" i="7"/>
  <c r="Q3960" i="7"/>
  <c r="Q3900" i="7"/>
  <c r="Q3864" i="7"/>
  <c r="Q3855" i="7"/>
  <c r="Q3749" i="7"/>
  <c r="Q3742" i="7"/>
  <c r="Q3732" i="7"/>
  <c r="Q3730" i="7"/>
  <c r="Q4603" i="7"/>
  <c r="Q4531" i="7"/>
  <c r="Q4548" i="7"/>
  <c r="Q4337" i="7"/>
  <c r="Q4269" i="7"/>
  <c r="Q4174" i="7"/>
  <c r="Q4167" i="7"/>
  <c r="Q4088" i="7"/>
  <c r="Q4082" i="7"/>
  <c r="Q4030" i="7"/>
  <c r="Q3988" i="7"/>
  <c r="Q3977" i="7"/>
  <c r="Q3969" i="7"/>
  <c r="Q3961" i="7"/>
  <c r="Q3934" i="7"/>
  <c r="Q3948" i="7"/>
  <c r="Q3944" i="7"/>
  <c r="Q3940" i="7"/>
  <c r="Q3930" i="7"/>
  <c r="Q3921" i="7"/>
  <c r="Q3917" i="7"/>
  <c r="Q3898" i="7"/>
  <c r="Q3882" i="7"/>
  <c r="Q3859" i="7"/>
  <c r="Q3850" i="7"/>
  <c r="Q3828" i="7"/>
  <c r="Q3780" i="7"/>
  <c r="Q3762" i="7"/>
  <c r="Q3750" i="7"/>
  <c r="Q4605" i="7"/>
  <c r="Q4525" i="7"/>
  <c r="Q4544" i="7"/>
  <c r="Q4178" i="7"/>
  <c r="Q4170" i="7"/>
  <c r="Q4085" i="7"/>
  <c r="Q3978" i="7"/>
  <c r="Q3970" i="7"/>
  <c r="Q3962" i="7"/>
  <c r="Q3922" i="7"/>
  <c r="Q3862" i="7"/>
  <c r="Q3853" i="7"/>
  <c r="Q3783" i="7"/>
  <c r="Q3754" i="7"/>
  <c r="Q3744" i="7"/>
  <c r="Q4871" i="7"/>
  <c r="Q4607" i="7"/>
  <c r="Q4523" i="7"/>
  <c r="Q4496" i="7"/>
  <c r="Q4487" i="7"/>
  <c r="Q4289" i="7"/>
  <c r="Q3980" i="7"/>
  <c r="Q3941" i="7"/>
  <c r="Q3923" i="7"/>
  <c r="Q3851" i="7"/>
  <c r="Q3770" i="7"/>
  <c r="Q3752" i="7"/>
  <c r="Q3727" i="7"/>
  <c r="Q3649" i="7"/>
  <c r="Q3647" i="7"/>
  <c r="Q3645" i="7"/>
  <c r="Q3532" i="7"/>
  <c r="Q3590" i="7"/>
  <c r="Q3511" i="7"/>
  <c r="Q3465" i="7"/>
  <c r="Q3413" i="7"/>
  <c r="Q3339" i="7"/>
  <c r="Q3286" i="7"/>
  <c r="Q3318" i="7"/>
  <c r="Q3256" i="7"/>
  <c r="Q3096" i="7"/>
  <c r="Q3030" i="7"/>
  <c r="Q2709" i="7"/>
  <c r="Q2434" i="7"/>
  <c r="Q4693" i="7"/>
  <c r="Q4291" i="7"/>
  <c r="Q4168" i="7"/>
  <c r="Q3971" i="7"/>
  <c r="Q3935" i="7"/>
  <c r="Q3924" i="7"/>
  <c r="Q3865" i="7"/>
  <c r="Q3772" i="7"/>
  <c r="Q3745" i="7"/>
  <c r="Q4193" i="7"/>
  <c r="Q4080" i="7"/>
  <c r="Q3964" i="7"/>
  <c r="Q3901" i="7"/>
  <c r="Q3848" i="7"/>
  <c r="Q3781" i="7"/>
  <c r="Q3530" i="7"/>
  <c r="Q3526" i="7"/>
  <c r="Q3414" i="7"/>
  <c r="Q3404" i="7"/>
  <c r="Q3371" i="7"/>
  <c r="Q3367" i="7"/>
  <c r="Q3322" i="7"/>
  <c r="Q3317" i="7"/>
  <c r="Q3258" i="7"/>
  <c r="Q3265" i="7"/>
  <c r="Q2999" i="7"/>
  <c r="Q3000" i="7"/>
  <c r="Q3007" i="7"/>
  <c r="Q2906" i="7"/>
  <c r="Q2904" i="7"/>
  <c r="Q4173" i="7"/>
  <c r="Q4144" i="7"/>
  <c r="Q4146" i="7"/>
  <c r="Q4145" i="7"/>
  <c r="Q4143" i="7"/>
  <c r="Q3931" i="7"/>
  <c r="Q3883" i="7"/>
  <c r="Q3746" i="7"/>
  <c r="Q3621" i="7"/>
  <c r="Q3612" i="7"/>
  <c r="Q3611" i="7"/>
  <c r="Q3610" i="7"/>
  <c r="Q3609" i="7"/>
  <c r="Q3627" i="7"/>
  <c r="Q3608" i="7"/>
  <c r="Q3607" i="7"/>
  <c r="Q3624" i="7"/>
  <c r="Q3623" i="7"/>
  <c r="Q3622" i="7"/>
  <c r="Q3606" i="7"/>
  <c r="Q3605" i="7"/>
  <c r="Q3604" i="7"/>
  <c r="Q3603" i="7"/>
  <c r="Q3602" i="7"/>
  <c r="Q3601" i="7"/>
  <c r="Q3600" i="7"/>
  <c r="Q3599" i="7"/>
  <c r="Q3598" i="7"/>
  <c r="Q3597" i="7"/>
  <c r="Q3596" i="7"/>
  <c r="Q3595" i="7"/>
  <c r="Q3529" i="7"/>
  <c r="Q3325" i="7"/>
  <c r="Q3297" i="7"/>
  <c r="Q3296" i="7"/>
  <c r="Q3097" i="7"/>
  <c r="Q3022" i="7"/>
  <c r="Q4176" i="7"/>
  <c r="Q4015" i="7"/>
  <c r="Q3956" i="7"/>
  <c r="Q3860" i="7"/>
  <c r="Q3589" i="7"/>
  <c r="Q3524" i="7"/>
  <c r="Q3341" i="7"/>
  <c r="Q3320" i="7"/>
  <c r="Q3311" i="7"/>
  <c r="Q3309" i="7"/>
  <c r="Q3307" i="7"/>
  <c r="Q3253" i="7"/>
  <c r="Q3214" i="7"/>
  <c r="Q3215" i="7"/>
  <c r="Q3099" i="7"/>
  <c r="Q3002" i="7"/>
  <c r="Q2997" i="7"/>
  <c r="Q3008" i="7"/>
  <c r="Q3010" i="7"/>
  <c r="Q4516" i="7"/>
  <c r="Q4283" i="7"/>
  <c r="Q4083" i="7"/>
  <c r="Q4013" i="7"/>
  <c r="Q3899" i="7"/>
  <c r="Q3531" i="7"/>
  <c r="Q3628" i="7"/>
  <c r="Q3594" i="7"/>
  <c r="Q3587" i="7"/>
  <c r="Q3527" i="7"/>
  <c r="Q3405" i="7"/>
  <c r="Q3340" i="7"/>
  <c r="Q3323" i="7"/>
  <c r="Q3264" i="7"/>
  <c r="Q3266" i="7"/>
  <c r="Q3021" i="7"/>
  <c r="Q4285" i="7"/>
  <c r="Q4012" i="7"/>
  <c r="Q3979" i="7"/>
  <c r="Q3774" i="7"/>
  <c r="Q3743" i="7"/>
  <c r="Q3466" i="7"/>
  <c r="Q3415" i="7"/>
  <c r="Q3372" i="7"/>
  <c r="Q3368" i="7"/>
  <c r="Q3366" i="7"/>
  <c r="Q3251" i="7"/>
  <c r="Q3025" i="7"/>
  <c r="Q3003" i="7"/>
  <c r="Q3001" i="7"/>
  <c r="Q2995" i="7"/>
  <c r="Q2905" i="7"/>
  <c r="Q4335" i="7"/>
  <c r="Q4287" i="7"/>
  <c r="Q4070" i="7"/>
  <c r="Q3918" i="7"/>
  <c r="Q3837" i="7"/>
  <c r="Q3836" i="7"/>
  <c r="Q3835" i="7"/>
  <c r="Q3831" i="7"/>
  <c r="Q3830" i="7"/>
  <c r="Q3829" i="7"/>
  <c r="Q3764" i="7"/>
  <c r="Q3593" i="7"/>
  <c r="Q3525" i="7"/>
  <c r="Q3337" i="7"/>
  <c r="Q3321" i="7"/>
  <c r="Q3312" i="7"/>
  <c r="Q3274" i="7"/>
  <c r="Q3257" i="7"/>
  <c r="Q3254" i="7"/>
  <c r="Q3094" i="7"/>
  <c r="Q3020" i="7"/>
  <c r="Q3945" i="7"/>
  <c r="Q3766" i="7"/>
  <c r="Q3751" i="7"/>
  <c r="Q3643" i="7"/>
  <c r="Q3528" i="7"/>
  <c r="Q3512" i="7"/>
  <c r="Q3324" i="7"/>
  <c r="Q3308" i="7"/>
  <c r="Q3270" i="7"/>
  <c r="Q3255" i="7"/>
  <c r="Q3095" i="7"/>
  <c r="Q3044" i="7"/>
  <c r="Q3043" i="7"/>
  <c r="Q3042" i="7"/>
  <c r="Q3041" i="7"/>
  <c r="Q3040" i="7"/>
  <c r="Q3039" i="7"/>
  <c r="Q3038" i="7"/>
  <c r="Q3037" i="7"/>
  <c r="Q3036" i="7"/>
  <c r="Q3035" i="7"/>
  <c r="Q3034" i="7"/>
  <c r="Q3033" i="7"/>
  <c r="Q3032" i="7"/>
  <c r="Q3031" i="7"/>
  <c r="Q2998" i="7"/>
  <c r="Q2996" i="7"/>
  <c r="Q2757" i="7"/>
  <c r="Q2708" i="7"/>
  <c r="Q3467" i="7"/>
  <c r="Q3310" i="7"/>
  <c r="Q2705" i="7"/>
  <c r="Q2543" i="7"/>
  <c r="Q2541" i="7"/>
  <c r="Q2396" i="7"/>
  <c r="Q2394" i="7"/>
  <c r="Q2392" i="7"/>
  <c r="Q2390" i="7"/>
  <c r="Q2287" i="7"/>
  <c r="Q2167" i="7"/>
  <c r="Q2162" i="7"/>
  <c r="Q2146" i="7"/>
  <c r="Q2032" i="7"/>
  <c r="Q2030" i="7"/>
  <c r="Q2026" i="7"/>
  <c r="Q1963" i="7"/>
  <c r="Q1955" i="7"/>
  <c r="Q3768" i="7"/>
  <c r="Q2728" i="7"/>
  <c r="Q2430" i="7"/>
  <c r="Q2425" i="7"/>
  <c r="Q2421" i="7"/>
  <c r="Q2374" i="7"/>
  <c r="Q2158" i="7"/>
  <c r="Q2155" i="7"/>
  <c r="Q2141" i="7"/>
  <c r="Q2139" i="7"/>
  <c r="Q2024" i="7"/>
  <c r="Q2016" i="7"/>
  <c r="Q2010" i="7"/>
  <c r="Q1983" i="7"/>
  <c r="Q1964" i="7"/>
  <c r="Q1956" i="7"/>
  <c r="Q1948" i="7"/>
  <c r="Q1868" i="7"/>
  <c r="Q1864" i="7"/>
  <c r="Q1860" i="7"/>
  <c r="Q1856" i="7"/>
  <c r="Q1840" i="7"/>
  <c r="Q1831" i="7"/>
  <c r="Q1783" i="7"/>
  <c r="Q3588" i="7"/>
  <c r="Q3252" i="7"/>
  <c r="Q2618" i="7"/>
  <c r="Q2544" i="7"/>
  <c r="Q2400" i="7"/>
  <c r="Q2399" i="7"/>
  <c r="Q2279" i="7"/>
  <c r="Q2277" i="7"/>
  <c r="Q2275" i="7"/>
  <c r="Q2159" i="7"/>
  <c r="Q2116" i="7"/>
  <c r="Q2114" i="7"/>
  <c r="Q2107" i="7"/>
  <c r="Q2111" i="7"/>
  <c r="Q2109" i="7"/>
  <c r="Q2108" i="7"/>
  <c r="Q1957" i="7"/>
  <c r="Q1949" i="7"/>
  <c r="Q3613" i="7"/>
  <c r="Q3592" i="7"/>
  <c r="Q3319" i="7"/>
  <c r="Q2706" i="7"/>
  <c r="Q2429" i="7"/>
  <c r="Q2426" i="7"/>
  <c r="Q2422" i="7"/>
  <c r="Q2164" i="7"/>
  <c r="Q2160" i="7"/>
  <c r="Q2151" i="7"/>
  <c r="Q2147" i="7"/>
  <c r="Q1965" i="7"/>
  <c r="Q1958" i="7"/>
  <c r="Q1950" i="7"/>
  <c r="Q1873" i="7"/>
  <c r="Q1869" i="7"/>
  <c r="Q1865" i="7"/>
  <c r="Q1861" i="7"/>
  <c r="Q1857" i="7"/>
  <c r="Q1853" i="7"/>
  <c r="Q1832" i="7"/>
  <c r="Q1834" i="7"/>
  <c r="Q2520" i="7"/>
  <c r="Q2397" i="7"/>
  <c r="Q2395" i="7"/>
  <c r="Q2393" i="7"/>
  <c r="Q2391" i="7"/>
  <c r="Q2375" i="7"/>
  <c r="Q2031" i="7"/>
  <c r="Q2027" i="7"/>
  <c r="Q2025" i="7"/>
  <c r="Q1959" i="7"/>
  <c r="Q1951" i="7"/>
  <c r="Q1842" i="7"/>
  <c r="Q3937" i="7"/>
  <c r="Q3856" i="7"/>
  <c r="Q3513" i="7"/>
  <c r="Q2703" i="7"/>
  <c r="Q2427" i="7"/>
  <c r="Q2423" i="7"/>
  <c r="Q2166" i="7"/>
  <c r="Q2161" i="7"/>
  <c r="Q2143" i="7"/>
  <c r="Q2140" i="7"/>
  <c r="Q2017" i="7"/>
  <c r="Q2015" i="7"/>
  <c r="Q1984" i="7"/>
  <c r="Q1982" i="7"/>
  <c r="Q1960" i="7"/>
  <c r="Q1952" i="7"/>
  <c r="Q3963" i="7"/>
  <c r="Q3626" i="7"/>
  <c r="Q3625" i="7"/>
  <c r="Q2707" i="7"/>
  <c r="Q2401" i="7"/>
  <c r="Q2373" i="7"/>
  <c r="Q2278" i="7"/>
  <c r="Q2276" i="7"/>
  <c r="Q2274" i="7"/>
  <c r="Q2117" i="7"/>
  <c r="Q2115" i="7"/>
  <c r="Q2113" i="7"/>
  <c r="Q2112" i="7"/>
  <c r="Q2110" i="7"/>
  <c r="Q2106" i="7"/>
  <c r="Q2029" i="7"/>
  <c r="Q1961" i="7"/>
  <c r="Q1953" i="7"/>
  <c r="Q1782" i="7"/>
  <c r="Q3972" i="7"/>
  <c r="Q3729" i="7"/>
  <c r="Q3644" i="7"/>
  <c r="Q3019" i="7"/>
  <c r="Q2749" i="7"/>
  <c r="Q2428" i="7"/>
  <c r="Q2424" i="7"/>
  <c r="Q2420" i="7"/>
  <c r="Q2348" i="7"/>
  <c r="Q2163" i="7"/>
  <c r="Q2152" i="7"/>
  <c r="Q2150" i="7"/>
  <c r="Q1962" i="7"/>
  <c r="Q1954" i="7"/>
  <c r="Q1858" i="7"/>
  <c r="Q1855" i="7"/>
  <c r="Q1650" i="7"/>
  <c r="Q1642" i="7"/>
  <c r="Q1639" i="7"/>
  <c r="Q1637" i="7"/>
  <c r="Q1635" i="7"/>
  <c r="Q1633" i="7"/>
  <c r="Q1631" i="7"/>
  <c r="Q1629" i="7"/>
  <c r="Q1546" i="7"/>
  <c r="Q1422" i="7"/>
  <c r="Q1421" i="7"/>
  <c r="Q1420" i="7"/>
  <c r="Q1424" i="7"/>
  <c r="Q1419" i="7"/>
  <c r="Q1418" i="7"/>
  <c r="Q1417" i="7"/>
  <c r="Q1416" i="7"/>
  <c r="Q1415" i="7"/>
  <c r="Q1414" i="7"/>
  <c r="Q1413" i="7"/>
  <c r="Q1412" i="7"/>
  <c r="Q1411" i="7"/>
  <c r="Q1410" i="7"/>
  <c r="Q1409" i="7"/>
  <c r="Q1408" i="7"/>
  <c r="Q1407" i="7"/>
  <c r="Q1406" i="7"/>
  <c r="Q1405" i="7"/>
  <c r="Q1361" i="7"/>
  <c r="Q1334" i="7"/>
  <c r="Q1197" i="7"/>
  <c r="Q1189" i="7"/>
  <c r="Q972" i="7"/>
  <c r="Q850" i="7"/>
  <c r="Q799" i="7"/>
  <c r="Q791" i="7"/>
  <c r="Q1872" i="7"/>
  <c r="Q1747" i="7"/>
  <c r="Q1679" i="7"/>
  <c r="Q1677" i="7"/>
  <c r="Q1653" i="7"/>
  <c r="Q1583" i="7"/>
  <c r="Q1581" i="7"/>
  <c r="Q1526" i="7"/>
  <c r="Q1525" i="7"/>
  <c r="Q1515" i="7"/>
  <c r="Q1439" i="7"/>
  <c r="Q1192" i="7"/>
  <c r="Q1153" i="7"/>
  <c r="Q1151" i="7"/>
  <c r="Q1146" i="7"/>
  <c r="Q1147" i="7"/>
  <c r="Q992" i="7"/>
  <c r="Q1862" i="7"/>
  <c r="Q1859" i="7"/>
  <c r="Q1835" i="7"/>
  <c r="Q1719" i="7"/>
  <c r="Q1717" i="7"/>
  <c r="Q1715" i="7"/>
  <c r="Q1713" i="7"/>
  <c r="Q1711" i="7"/>
  <c r="Q1705" i="7"/>
  <c r="Q1648" i="7"/>
  <c r="Q1640" i="7"/>
  <c r="Q1544" i="7"/>
  <c r="Q1335" i="7"/>
  <c r="Q1195" i="7"/>
  <c r="Q996" i="7"/>
  <c r="Q973" i="7"/>
  <c r="Q909" i="7"/>
  <c r="Q848" i="7"/>
  <c r="Q793" i="7"/>
  <c r="Q1833" i="7"/>
  <c r="Q1651" i="7"/>
  <c r="Q1643" i="7"/>
  <c r="Q1547" i="7"/>
  <c r="Q1523" i="7"/>
  <c r="Q1476" i="7"/>
  <c r="Q1474" i="7"/>
  <c r="Q1472" i="7"/>
  <c r="Q1470" i="7"/>
  <c r="Q1468" i="7"/>
  <c r="Q1190" i="7"/>
  <c r="Q1028" i="7"/>
  <c r="Q1866" i="7"/>
  <c r="Q1863" i="7"/>
  <c r="Q1654" i="7"/>
  <c r="Q1638" i="7"/>
  <c r="Q1636" i="7"/>
  <c r="Q1634" i="7"/>
  <c r="Q1632" i="7"/>
  <c r="Q1630" i="7"/>
  <c r="Q1516" i="7"/>
  <c r="Q1336" i="7"/>
  <c r="Q1270" i="7"/>
  <c r="Q1269" i="7"/>
  <c r="Q1268" i="7"/>
  <c r="Q1193" i="7"/>
  <c r="Q1163" i="7"/>
  <c r="Q1148" i="7"/>
  <c r="Q993" i="7"/>
  <c r="Q1839" i="7"/>
  <c r="Q1748" i="7"/>
  <c r="Q1746" i="7"/>
  <c r="Q1678" i="7"/>
  <c r="Q1649" i="7"/>
  <c r="Q1641" i="7"/>
  <c r="Q1582" i="7"/>
  <c r="Q1545" i="7"/>
  <c r="Q1437" i="7"/>
  <c r="Q1341" i="7"/>
  <c r="Q1196" i="7"/>
  <c r="Q1152" i="7"/>
  <c r="Q1150" i="7"/>
  <c r="Q974" i="7"/>
  <c r="Q961" i="7"/>
  <c r="Q960" i="7"/>
  <c r="Q959" i="7"/>
  <c r="Q958" i="7"/>
  <c r="Q914" i="7"/>
  <c r="Q1871" i="7"/>
  <c r="Q1867" i="7"/>
  <c r="Q1854" i="7"/>
  <c r="Q1749" i="7"/>
  <c r="Q1718" i="7"/>
  <c r="Q1716" i="7"/>
  <c r="Q1714" i="7"/>
  <c r="Q1712" i="7"/>
  <c r="Q1710" i="7"/>
  <c r="Q1652" i="7"/>
  <c r="Q1612" i="7"/>
  <c r="Q1524" i="7"/>
  <c r="Q1403" i="7"/>
  <c r="Q1191" i="7"/>
  <c r="Q1704" i="7"/>
  <c r="Q1655" i="7"/>
  <c r="Q1647" i="7"/>
  <c r="Q1608" i="7"/>
  <c r="Q1617" i="7"/>
  <c r="Q1616" i="7"/>
  <c r="Q1615" i="7"/>
  <c r="Q1614" i="7"/>
  <c r="Q1607" i="7"/>
  <c r="Q1606" i="7"/>
  <c r="Q1605" i="7"/>
  <c r="Q1604" i="7"/>
  <c r="Q1603" i="7"/>
  <c r="Q1602" i="7"/>
  <c r="Q1627" i="7"/>
  <c r="Q1626" i="7"/>
  <c r="Q1625" i="7"/>
  <c r="Q1624" i="7"/>
  <c r="Q1623" i="7"/>
  <c r="Q1622" i="7"/>
  <c r="Q1621" i="7"/>
  <c r="Q1620" i="7"/>
  <c r="Q1619" i="7"/>
  <c r="Q1601" i="7"/>
  <c r="Q1475" i="7"/>
  <c r="Q1478" i="7"/>
  <c r="Q1471" i="7"/>
  <c r="Q1469" i="7"/>
  <c r="Q1438" i="7"/>
  <c r="Q1337" i="7"/>
  <c r="Q1194" i="7"/>
  <c r="Q1149" i="7"/>
  <c r="Q994" i="7"/>
  <c r="Q851" i="7"/>
  <c r="Q801" i="7"/>
  <c r="Q798" i="7"/>
  <c r="Q790" i="7"/>
  <c r="Q788" i="7"/>
  <c r="Q786" i="7"/>
  <c r="Q48" i="7"/>
  <c r="Q1244" i="7"/>
  <c r="Q698" i="7"/>
  <c r="Q726" i="7"/>
  <c r="Q811" i="7"/>
  <c r="Q797" i="7"/>
  <c r="Q802" i="7"/>
  <c r="Q170" i="7"/>
  <c r="Q241" i="7"/>
  <c r="Q344" i="7"/>
  <c r="Q409" i="7"/>
  <c r="Q662" i="7"/>
  <c r="Q668" i="7"/>
  <c r="Q686" i="7"/>
  <c r="Q723" i="7"/>
  <c r="Q796" i="7"/>
  <c r="Q837" i="7"/>
  <c r="Q838" i="7"/>
  <c r="Q839" i="7"/>
  <c r="Q841" i="7"/>
  <c r="Q842" i="7"/>
  <c r="Q843" i="7"/>
  <c r="Q844" i="7"/>
  <c r="Q862" i="7"/>
  <c r="Q863" i="7"/>
  <c r="Q864" i="7"/>
  <c r="Q845" i="7"/>
  <c r="Q865" i="7"/>
  <c r="Q866" i="7"/>
  <c r="Q846" i="7"/>
  <c r="Q915" i="7"/>
  <c r="S3133" i="7" l="1"/>
  <c r="S412" i="7"/>
  <c r="S12" i="7"/>
  <c r="B197" i="22"/>
  <c r="B193" i="22"/>
  <c r="B198" i="22"/>
  <c r="B199" i="22"/>
  <c r="B200" i="22"/>
  <c r="B194" i="22"/>
  <c r="B201" i="22"/>
  <c r="B190" i="22"/>
  <c r="B195" i="22"/>
  <c r="M30" i="13"/>
  <c r="B183" i="22"/>
  <c r="B202" i="22"/>
  <c r="M32" i="13"/>
  <c r="B185" i="22"/>
  <c r="B191" i="22"/>
  <c r="B192" i="22"/>
  <c r="B189" i="22"/>
  <c r="B196" i="22"/>
  <c r="M33" i="13"/>
  <c r="B186" i="22"/>
  <c r="M23" i="13"/>
  <c r="R10" i="13" s="1"/>
  <c r="B175" i="15"/>
  <c r="B176" i="22"/>
  <c r="B177" i="22"/>
  <c r="M31" i="13"/>
  <c r="B184" i="22"/>
  <c r="M34" i="13"/>
  <c r="B187" i="22"/>
  <c r="S53" i="7"/>
  <c r="U4815" i="7"/>
  <c r="U4686" i="7"/>
  <c r="T3671" i="7"/>
  <c r="T3464" i="7"/>
  <c r="S1522" i="7"/>
  <c r="S2521" i="7"/>
  <c r="U2794" i="7"/>
  <c r="U2793" i="7"/>
  <c r="B178" i="22"/>
  <c r="B179" i="22"/>
  <c r="B182" i="22"/>
  <c r="B181" i="22"/>
  <c r="B180" i="22"/>
  <c r="S14" i="7"/>
  <c r="U1533" i="7"/>
  <c r="U1534" i="7"/>
  <c r="S17" i="7"/>
  <c r="S4232" i="7"/>
  <c r="S18" i="7"/>
  <c r="S1479" i="7"/>
  <c r="S20" i="7"/>
  <c r="B188" i="22"/>
  <c r="S189" i="7"/>
  <c r="S4211" i="7"/>
  <c r="S4142" i="7"/>
  <c r="S21" i="7"/>
  <c r="S4009" i="7"/>
  <c r="S3369" i="7"/>
  <c r="S1880" i="7"/>
  <c r="U2792" i="7"/>
  <c r="U1880" i="7"/>
  <c r="S2149" i="7"/>
  <c r="S2148" i="7"/>
  <c r="T563" i="7"/>
  <c r="T768" i="7"/>
  <c r="U3478" i="7"/>
  <c r="U4473" i="7"/>
  <c r="S44" i="7"/>
  <c r="S1482" i="7"/>
  <c r="B193" i="21"/>
  <c r="M42" i="12"/>
  <c r="B190" i="5"/>
  <c r="B217" i="19"/>
  <c r="B225" i="18"/>
  <c r="B189" i="2"/>
  <c r="C189" i="2" s="1"/>
  <c r="B176" i="21"/>
  <c r="B172" i="2"/>
  <c r="C172" i="2" s="1"/>
  <c r="B200" i="19"/>
  <c r="B173" i="5"/>
  <c r="B208" i="18"/>
  <c r="B198" i="21"/>
  <c r="B222" i="19"/>
  <c r="B230" i="18"/>
  <c r="M47" i="12"/>
  <c r="B194" i="2"/>
  <c r="C194" i="2" s="1"/>
  <c r="B195" i="5"/>
  <c r="B177" i="21"/>
  <c r="B173" i="2"/>
  <c r="C173" i="2" s="1"/>
  <c r="B174" i="5"/>
  <c r="B209" i="18"/>
  <c r="B201" i="19"/>
  <c r="M26" i="12"/>
  <c r="B182" i="21"/>
  <c r="B179" i="5"/>
  <c r="M31" i="12"/>
  <c r="B214" i="18"/>
  <c r="B178" i="2"/>
  <c r="C178" i="2" s="1"/>
  <c r="B206" i="19"/>
  <c r="B194" i="21"/>
  <c r="B218" i="19"/>
  <c r="M43" i="12"/>
  <c r="B226" i="18"/>
  <c r="B190" i="2"/>
  <c r="C190" i="2" s="1"/>
  <c r="B191" i="5"/>
  <c r="B188" i="21"/>
  <c r="B212" i="19"/>
  <c r="M37" i="12"/>
  <c r="B184" i="2"/>
  <c r="C184" i="2" s="1"/>
  <c r="B220" i="18"/>
  <c r="B185" i="5"/>
  <c r="B190" i="21"/>
  <c r="B214" i="19"/>
  <c r="B186" i="2"/>
  <c r="C186" i="2" s="1"/>
  <c r="B222" i="18"/>
  <c r="B187" i="5"/>
  <c r="M39" i="12"/>
  <c r="B204" i="19"/>
  <c r="B212" i="18"/>
  <c r="B177" i="5"/>
  <c r="B176" i="2"/>
  <c r="C176" i="2" s="1"/>
  <c r="B180" i="21"/>
  <c r="B186" i="21"/>
  <c r="B210" i="19"/>
  <c r="B182" i="2"/>
  <c r="C182" i="2" s="1"/>
  <c r="M35" i="12"/>
  <c r="B218" i="18"/>
  <c r="B183" i="5"/>
  <c r="B197" i="21"/>
  <c r="B221" i="19"/>
  <c r="B229" i="18"/>
  <c r="B194" i="5"/>
  <c r="M46" i="12"/>
  <c r="B193" i="2"/>
  <c r="C193" i="2" s="1"/>
  <c r="B200" i="21"/>
  <c r="B224" i="19"/>
  <c r="B232" i="18"/>
  <c r="M49" i="12"/>
  <c r="B197" i="5"/>
  <c r="B196" i="2"/>
  <c r="C196" i="2" s="1"/>
  <c r="B185" i="21"/>
  <c r="B182" i="5"/>
  <c r="B209" i="19"/>
  <c r="M34" i="12"/>
  <c r="B217" i="18"/>
  <c r="B181" i="2"/>
  <c r="C181" i="2" s="1"/>
  <c r="B183" i="21"/>
  <c r="B180" i="5"/>
  <c r="B207" i="19"/>
  <c r="B215" i="18"/>
  <c r="M32" i="12"/>
  <c r="B179" i="2"/>
  <c r="C179" i="2" s="1"/>
  <c r="M28" i="12"/>
  <c r="B203" i="19"/>
  <c r="B176" i="5"/>
  <c r="B175" i="2"/>
  <c r="C175" i="2" s="1"/>
  <c r="B179" i="21"/>
  <c r="B211" i="18"/>
  <c r="B192" i="21"/>
  <c r="B224" i="18"/>
  <c r="M41" i="12"/>
  <c r="B188" i="2"/>
  <c r="C188" i="2" s="1"/>
  <c r="B189" i="5"/>
  <c r="B216" i="19"/>
  <c r="B201" i="21"/>
  <c r="B225" i="19"/>
  <c r="B233" i="18"/>
  <c r="B198" i="5"/>
  <c r="B197" i="2"/>
  <c r="C197" i="2" s="1"/>
  <c r="M50" i="12"/>
  <c r="B195" i="21"/>
  <c r="B191" i="2"/>
  <c r="C191" i="2" s="1"/>
  <c r="B192" i="5"/>
  <c r="M44" i="12"/>
  <c r="B219" i="19"/>
  <c r="B227" i="18"/>
  <c r="B175" i="21"/>
  <c r="B172" i="5"/>
  <c r="M24" i="12"/>
  <c r="B207" i="18"/>
  <c r="B199" i="19"/>
  <c r="B187" i="21"/>
  <c r="B184" i="5"/>
  <c r="M36" i="12"/>
  <c r="B183" i="2"/>
  <c r="C183" i="2" s="1"/>
  <c r="B211" i="19"/>
  <c r="B219" i="18"/>
  <c r="B181" i="21"/>
  <c r="B205" i="19"/>
  <c r="B177" i="2"/>
  <c r="C177" i="2" s="1"/>
  <c r="B178" i="5"/>
  <c r="B213" i="18"/>
  <c r="B191" i="21"/>
  <c r="B215" i="19"/>
  <c r="B223" i="18"/>
  <c r="M40" i="12"/>
  <c r="B188" i="5"/>
  <c r="B187" i="2"/>
  <c r="C187" i="2" s="1"/>
  <c r="B178" i="21"/>
  <c r="B202" i="19"/>
  <c r="B174" i="2"/>
  <c r="C174" i="2" s="1"/>
  <c r="B175" i="5"/>
  <c r="B210" i="18"/>
  <c r="M27" i="12"/>
  <c r="B184" i="21"/>
  <c r="B181" i="5"/>
  <c r="B208" i="19"/>
  <c r="B216" i="18"/>
  <c r="M33" i="12"/>
  <c r="B180" i="2"/>
  <c r="C180" i="2" s="1"/>
  <c r="B196" i="21"/>
  <c r="B192" i="2"/>
  <c r="C192" i="2" s="1"/>
  <c r="B220" i="19"/>
  <c r="B193" i="5"/>
  <c r="M45" i="12"/>
  <c r="B228" i="18"/>
  <c r="B189" i="21"/>
  <c r="M38" i="12"/>
  <c r="B213" i="19"/>
  <c r="B185" i="2"/>
  <c r="C185" i="2" s="1"/>
  <c r="B221" i="18"/>
  <c r="B186" i="5"/>
  <c r="B199" i="21"/>
  <c r="M48" i="12"/>
  <c r="B223" i="19"/>
  <c r="B196" i="5"/>
  <c r="B195" i="2"/>
  <c r="C195" i="2" s="1"/>
  <c r="B231" i="18"/>
  <c r="U612" i="7"/>
  <c r="U659" i="7"/>
  <c r="S32" i="7"/>
  <c r="S1047" i="7"/>
  <c r="S1048" i="7"/>
  <c r="U4198" i="7"/>
  <c r="U2687" i="7"/>
  <c r="U731" i="7"/>
  <c r="U658" i="7"/>
  <c r="U730" i="7"/>
  <c r="T3670" i="7"/>
  <c r="T573" i="7"/>
  <c r="S171" i="7"/>
  <c r="U3302" i="7"/>
  <c r="U3166" i="7"/>
  <c r="S54" i="7"/>
  <c r="T3707" i="7"/>
  <c r="T1181" i="7"/>
  <c r="T1186" i="7"/>
  <c r="T3708" i="7"/>
  <c r="T1505" i="7"/>
  <c r="T1286" i="7"/>
  <c r="U2817" i="7"/>
  <c r="U3131" i="7"/>
  <c r="S3024" i="7"/>
  <c r="U2200" i="7"/>
  <c r="U1931" i="7"/>
  <c r="U2819" i="7"/>
  <c r="U1980" i="7"/>
  <c r="S35" i="7"/>
  <c r="T3082" i="7"/>
  <c r="T2916" i="7"/>
  <c r="U3165" i="7"/>
  <c r="U654" i="7"/>
  <c r="U2773" i="7"/>
  <c r="U2572" i="7"/>
  <c r="S2013" i="7"/>
  <c r="U4859" i="7"/>
  <c r="U104" i="7"/>
  <c r="T2918" i="7"/>
  <c r="T2292" i="7"/>
  <c r="T2291" i="7"/>
  <c r="S2542" i="7"/>
  <c r="S4764" i="7"/>
  <c r="S2142" i="7"/>
  <c r="U4825" i="7"/>
  <c r="U4811" i="7"/>
  <c r="U2206" i="7"/>
  <c r="U3578" i="7"/>
  <c r="U4856" i="7"/>
  <c r="U2788" i="7"/>
  <c r="S1256" i="7"/>
  <c r="U3122" i="7"/>
  <c r="U4855" i="7"/>
  <c r="U1750" i="7"/>
  <c r="U3156" i="7"/>
  <c r="S2919" i="7"/>
  <c r="T3081" i="7"/>
  <c r="T3660" i="7"/>
  <c r="U2194" i="7"/>
  <c r="U1531" i="7"/>
  <c r="T1506" i="7"/>
  <c r="S4036" i="7"/>
  <c r="S4275" i="7"/>
  <c r="Z11" i="12"/>
  <c r="Z14" i="12"/>
  <c r="S4869" i="7"/>
  <c r="S4870" i="7"/>
  <c r="S2014" i="7"/>
  <c r="S2012" i="7"/>
  <c r="U2700" i="7"/>
  <c r="U4792" i="7"/>
  <c r="T4558" i="7"/>
  <c r="T316" i="7"/>
  <c r="U3189" i="7"/>
  <c r="U2690" i="7"/>
  <c r="S1046" i="7"/>
  <c r="T3140" i="7"/>
  <c r="T574" i="7"/>
  <c r="U655" i="7"/>
  <c r="U3160" i="7"/>
  <c r="U2170" i="7"/>
  <c r="U2201" i="7"/>
  <c r="U3194" i="7"/>
  <c r="U127" i="7"/>
  <c r="T4274" i="7"/>
  <c r="T3355" i="7"/>
  <c r="T4579" i="7"/>
  <c r="T569" i="7"/>
  <c r="U105" i="7"/>
  <c r="U2686" i="7"/>
  <c r="U3199" i="7"/>
  <c r="U2816" i="7"/>
  <c r="U1741" i="7"/>
  <c r="T3895" i="7"/>
  <c r="T2299" i="7"/>
  <c r="T1287" i="7"/>
  <c r="T1285" i="7"/>
  <c r="U1230" i="7"/>
  <c r="U4777" i="7"/>
  <c r="U1352" i="7"/>
  <c r="U2205" i="7"/>
  <c r="T338" i="7"/>
  <c r="T339" i="7"/>
  <c r="S4296" i="7"/>
  <c r="S4295" i="7"/>
  <c r="U3169" i="7"/>
  <c r="U4729" i="7"/>
  <c r="T4663" i="7"/>
  <c r="T3661" i="7"/>
  <c r="U3501" i="7"/>
  <c r="U3574" i="7"/>
  <c r="U3492" i="7"/>
  <c r="U1760" i="7"/>
  <c r="U512" i="7"/>
  <c r="U3170" i="7"/>
  <c r="U3168" i="7"/>
  <c r="U2726" i="7"/>
  <c r="U103" i="7"/>
  <c r="T4559" i="7"/>
  <c r="T4655" i="7"/>
  <c r="U2852" i="7"/>
  <c r="U1446" i="7"/>
  <c r="U4728" i="7"/>
  <c r="U1761" i="7"/>
  <c r="U1762" i="7"/>
  <c r="B176" i="15"/>
  <c r="B198" i="15"/>
  <c r="B184" i="15"/>
  <c r="B201" i="15"/>
  <c r="B197" i="15"/>
  <c r="B178" i="15"/>
  <c r="B194" i="15"/>
  <c r="B181" i="15"/>
  <c r="B180" i="15"/>
  <c r="B191" i="15"/>
  <c r="B187" i="15"/>
  <c r="B193" i="15"/>
  <c r="B192" i="15"/>
  <c r="B199" i="15"/>
  <c r="B183" i="15"/>
  <c r="B190" i="15"/>
  <c r="B177" i="15"/>
  <c r="B182" i="15"/>
  <c r="B195" i="15"/>
  <c r="B188" i="15"/>
  <c r="B179" i="15"/>
  <c r="B189" i="15"/>
  <c r="B196" i="15"/>
  <c r="B200" i="15"/>
  <c r="T1184" i="7"/>
  <c r="T2725" i="7"/>
  <c r="S3843" i="7"/>
  <c r="U4077" i="7"/>
  <c r="T1178" i="7"/>
  <c r="T2144" i="7"/>
  <c r="U4689" i="7"/>
  <c r="U2154" i="7"/>
  <c r="T572" i="7"/>
  <c r="T2718" i="7"/>
  <c r="T1504" i="7"/>
  <c r="T1817" i="7"/>
  <c r="S3537" i="7"/>
  <c r="U3437" i="7"/>
  <c r="U2698" i="7"/>
  <c r="T562" i="7"/>
  <c r="T440" i="7"/>
  <c r="S4865" i="7"/>
  <c r="U2787" i="7"/>
  <c r="U1321" i="7"/>
  <c r="T891" i="7"/>
  <c r="T190" i="7"/>
  <c r="S4282" i="7"/>
  <c r="T2306" i="7"/>
  <c r="T4577" i="7"/>
  <c r="U3120" i="7"/>
  <c r="U3121" i="7"/>
  <c r="U3119" i="7"/>
  <c r="U937" i="7"/>
  <c r="U2286" i="7"/>
  <c r="U4210" i="7"/>
  <c r="U3576" i="7"/>
  <c r="T162" i="7"/>
  <c r="T742" i="7"/>
  <c r="U2844" i="7"/>
  <c r="U2851" i="7"/>
  <c r="U2843" i="7"/>
  <c r="U2832" i="7"/>
  <c r="U2840" i="7"/>
  <c r="U2828" i="7"/>
  <c r="U2847" i="7"/>
  <c r="U2821" i="7"/>
  <c r="U2848" i="7"/>
  <c r="U2822" i="7"/>
  <c r="U2849" i="7"/>
  <c r="U2825" i="7"/>
  <c r="U2858" i="7"/>
  <c r="U2826" i="7"/>
  <c r="U2842" i="7"/>
  <c r="U2839" i="7"/>
  <c r="U2845" i="7"/>
  <c r="U2833" i="7"/>
  <c r="U2841" i="7"/>
  <c r="U2829" i="7"/>
  <c r="U2846" i="7"/>
  <c r="U2834" i="7"/>
  <c r="U2820" i="7"/>
  <c r="U2830" i="7"/>
  <c r="U2855" i="7"/>
  <c r="U2835" i="7"/>
  <c r="U2831" i="7"/>
  <c r="U2856" i="7"/>
  <c r="U2836" i="7"/>
  <c r="U2818" i="7"/>
  <c r="U2857" i="7"/>
  <c r="U2837" i="7"/>
  <c r="U2850" i="7"/>
  <c r="U2838" i="7"/>
  <c r="U2854" i="7"/>
  <c r="U2827" i="7"/>
  <c r="T1274" i="7"/>
  <c r="T1282" i="7"/>
  <c r="T1283" i="7"/>
  <c r="T1284" i="7"/>
  <c r="T1275" i="7"/>
  <c r="T1276" i="7"/>
  <c r="T1277" i="7"/>
  <c r="T1278" i="7"/>
  <c r="T1279" i="7"/>
  <c r="T1280" i="7"/>
  <c r="T1281" i="7"/>
  <c r="T4642" i="7"/>
  <c r="T2748" i="7"/>
  <c r="U4073" i="7"/>
  <c r="U1401" i="7"/>
  <c r="U2570" i="7"/>
  <c r="U4812" i="7"/>
  <c r="R2137" i="7"/>
  <c r="R2352" i="7"/>
  <c r="R2351" i="7"/>
  <c r="U2153" i="7"/>
  <c r="U651" i="7"/>
  <c r="U4806" i="7"/>
  <c r="U3126" i="7"/>
  <c r="U2727" i="7"/>
  <c r="U1754" i="7"/>
  <c r="U1755" i="7"/>
  <c r="U1756" i="7"/>
  <c r="U1757" i="7"/>
  <c r="U1758" i="7"/>
  <c r="U1759" i="7"/>
  <c r="U1753" i="7"/>
  <c r="T1501" i="7"/>
  <c r="T434" i="7"/>
  <c r="U1039" i="7"/>
  <c r="U942" i="7"/>
  <c r="U2567" i="7"/>
  <c r="U1038" i="7"/>
  <c r="R416" i="7"/>
  <c r="R954" i="7"/>
  <c r="U3893" i="7"/>
  <c r="U3198" i="7"/>
  <c r="U4776" i="7"/>
  <c r="U1232" i="7"/>
  <c r="T2722" i="7"/>
  <c r="T903" i="7"/>
  <c r="U370" i="7"/>
  <c r="U618" i="7"/>
  <c r="R2336" i="7"/>
  <c r="R2221" i="7"/>
  <c r="U1979" i="7"/>
  <c r="U2568" i="7"/>
  <c r="R2648" i="7"/>
  <c r="R4038" i="7"/>
  <c r="T1725" i="7"/>
  <c r="T432" i="7"/>
  <c r="U1231" i="7"/>
  <c r="U4791" i="7"/>
  <c r="U3158" i="7"/>
  <c r="U1233" i="7"/>
  <c r="R187" i="7"/>
  <c r="R1846" i="7"/>
  <c r="R1844" i="7"/>
  <c r="U3403" i="7"/>
  <c r="U4474" i="7"/>
  <c r="T233" i="7"/>
  <c r="U526" i="7"/>
  <c r="U3164" i="7"/>
  <c r="U2281" i="7"/>
  <c r="U4826" i="7"/>
  <c r="U4857" i="7"/>
  <c r="U1223" i="7"/>
  <c r="R4207" i="7"/>
  <c r="R4208" i="7"/>
  <c r="R4209" i="7"/>
  <c r="R4206" i="7"/>
  <c r="U4053" i="7"/>
  <c r="U2694" i="7"/>
  <c r="U1224" i="7"/>
  <c r="U1020" i="7"/>
  <c r="R599" i="7"/>
  <c r="R4371" i="7"/>
  <c r="U3472" i="7"/>
  <c r="S1879" i="7"/>
  <c r="U1537" i="7"/>
  <c r="U1879" i="7"/>
  <c r="T830" i="7"/>
  <c r="T4576" i="7"/>
  <c r="U122" i="7"/>
  <c r="U4051" i="7"/>
  <c r="U2786" i="7"/>
  <c r="U888" i="7"/>
  <c r="U3575" i="7"/>
  <c r="U936" i="7"/>
  <c r="U938" i="7"/>
  <c r="T1578" i="7"/>
  <c r="T582" i="7"/>
  <c r="U3299" i="7"/>
  <c r="U653" i="7"/>
  <c r="U3573" i="7"/>
  <c r="T4159" i="7"/>
  <c r="T2601" i="7"/>
  <c r="T1180" i="7"/>
  <c r="U2699" i="7"/>
  <c r="U302" i="7"/>
  <c r="R2343" i="7"/>
  <c r="R957" i="7"/>
  <c r="U293" i="7"/>
  <c r="U2778" i="7"/>
  <c r="U2566" i="7"/>
  <c r="U1397" i="7"/>
  <c r="U1399" i="7"/>
  <c r="U1398" i="7"/>
  <c r="U1400" i="7"/>
  <c r="U1396" i="7"/>
  <c r="T836" i="7"/>
  <c r="T4654" i="7"/>
  <c r="U129" i="7"/>
  <c r="U1015" i="7"/>
  <c r="U3635" i="7"/>
  <c r="U1930" i="7"/>
  <c r="T3136" i="7"/>
  <c r="T3135" i="7"/>
  <c r="T3137" i="7"/>
  <c r="T3138" i="7"/>
  <c r="T3139" i="7"/>
  <c r="T3141" i="7"/>
  <c r="T3142" i="7"/>
  <c r="T3143" i="7"/>
  <c r="T3144" i="7"/>
  <c r="R747" i="7"/>
  <c r="R2350" i="7"/>
  <c r="U2784" i="7"/>
  <c r="T81" i="7"/>
  <c r="T4273" i="7"/>
  <c r="U4208" i="7"/>
  <c r="U4209" i="7"/>
  <c r="U3586" i="7"/>
  <c r="U935" i="7"/>
  <c r="T341" i="7"/>
  <c r="T430" i="7"/>
  <c r="T1502" i="7"/>
  <c r="T4272" i="7"/>
  <c r="S2691" i="7"/>
  <c r="U4683" i="7"/>
  <c r="U3572" i="7"/>
  <c r="R2926" i="7"/>
  <c r="R2647" i="7"/>
  <c r="U3567" i="7"/>
  <c r="U4207" i="7"/>
  <c r="U4853" i="7"/>
  <c r="U2780" i="7"/>
  <c r="T3668" i="7"/>
  <c r="T4653" i="7"/>
  <c r="U2781" i="7"/>
  <c r="U2005" i="7"/>
  <c r="T4650" i="7"/>
  <c r="T235" i="7"/>
  <c r="T4021" i="7"/>
  <c r="T4020" i="7"/>
  <c r="T4008" i="7"/>
  <c r="T3669" i="7"/>
  <c r="R4759" i="7"/>
  <c r="R4372" i="7"/>
  <c r="R2642" i="7"/>
  <c r="R4008" i="7"/>
  <c r="U4780" i="7"/>
  <c r="U3583" i="7"/>
  <c r="U508" i="7"/>
  <c r="U1885" i="7"/>
  <c r="U1243" i="7"/>
  <c r="U1323" i="7"/>
  <c r="U2685" i="7"/>
  <c r="U2783" i="7"/>
  <c r="S4892" i="7"/>
  <c r="T577" i="7"/>
  <c r="S4895" i="7"/>
  <c r="T2715" i="7"/>
  <c r="S4899" i="7"/>
  <c r="S4898" i="7"/>
  <c r="T76" i="7"/>
  <c r="T1461" i="7"/>
  <c r="T4163" i="7"/>
  <c r="U521" i="7"/>
  <c r="U364" i="7"/>
  <c r="T151" i="7"/>
  <c r="U2156" i="7"/>
  <c r="T1512" i="7"/>
  <c r="T4017" i="7"/>
  <c r="U3887" i="7"/>
  <c r="T924" i="7"/>
  <c r="T4652" i="7"/>
  <c r="T232" i="7"/>
  <c r="T2308" i="7"/>
  <c r="S4896" i="7"/>
  <c r="U265" i="7"/>
  <c r="T750" i="7"/>
  <c r="T1836" i="7"/>
  <c r="S4893" i="7"/>
  <c r="U884" i="7"/>
  <c r="T4129" i="7"/>
  <c r="U367" i="7"/>
  <c r="U199" i="7"/>
  <c r="U2684" i="7"/>
  <c r="U688" i="7"/>
  <c r="U268" i="7"/>
  <c r="U2762" i="7"/>
  <c r="U358" i="7"/>
  <c r="U355" i="7"/>
  <c r="U2036" i="7"/>
  <c r="S4894" i="7"/>
  <c r="U212" i="7"/>
  <c r="U291" i="7"/>
  <c r="U3695" i="7"/>
  <c r="R988" i="7"/>
  <c r="U282" i="7"/>
  <c r="U675" i="7"/>
  <c r="U1316" i="7"/>
  <c r="U3341" i="7"/>
  <c r="R870" i="7"/>
  <c r="U868" i="7"/>
  <c r="U369" i="7"/>
  <c r="U934" i="7"/>
  <c r="U1240" i="7"/>
  <c r="U2557" i="7"/>
  <c r="U3689" i="7"/>
  <c r="U1271" i="7"/>
  <c r="U3694" i="7"/>
  <c r="U4720" i="7"/>
  <c r="U4716" i="7"/>
  <c r="U3581" i="7"/>
  <c r="U4872" i="7"/>
  <c r="U883" i="7"/>
  <c r="U2454" i="7"/>
  <c r="U3446" i="7"/>
  <c r="U100" i="7"/>
  <c r="U286" i="7"/>
  <c r="U101" i="7"/>
  <c r="U523" i="7"/>
  <c r="U692" i="7"/>
  <c r="U269" i="7"/>
  <c r="U366" i="7"/>
  <c r="U614" i="7"/>
  <c r="U303" i="7"/>
  <c r="U687" i="7"/>
  <c r="U98" i="7"/>
  <c r="U200" i="7"/>
  <c r="U272" i="7"/>
  <c r="U515" i="7"/>
  <c r="U92" i="7"/>
  <c r="U363" i="7"/>
  <c r="U921" i="7"/>
  <c r="U524" i="7"/>
  <c r="U1457" i="7"/>
  <c r="U1529" i="7"/>
  <c r="U1235" i="7"/>
  <c r="U1242" i="7"/>
  <c r="U3552" i="7"/>
  <c r="U4184" i="7"/>
  <c r="U2768" i="7"/>
  <c r="U2414" i="7"/>
  <c r="U1734" i="7"/>
  <c r="U1925" i="7"/>
  <c r="U2556" i="7"/>
  <c r="U3130" i="7"/>
  <c r="U3149" i="7"/>
  <c r="U3207" i="7"/>
  <c r="U3206" i="7"/>
  <c r="U3499" i="7"/>
  <c r="U4668" i="7"/>
  <c r="U4796" i="7"/>
  <c r="U4585" i="7"/>
  <c r="U4711" i="7"/>
  <c r="U290" i="7"/>
  <c r="U647" i="7"/>
  <c r="U507" i="7"/>
  <c r="U305" i="7"/>
  <c r="U201" i="7"/>
  <c r="U522" i="7"/>
  <c r="U94" i="7"/>
  <c r="U1730" i="7"/>
  <c r="U1385" i="7"/>
  <c r="U4837" i="7"/>
  <c r="U2770" i="7"/>
  <c r="U1828" i="7"/>
  <c r="U2683" i="7"/>
  <c r="U3191" i="7"/>
  <c r="U3440" i="7"/>
  <c r="U4799" i="7"/>
  <c r="U4732" i="7"/>
  <c r="U208" i="7"/>
  <c r="U295" i="7"/>
  <c r="U117" i="7"/>
  <c r="U648" i="7"/>
  <c r="U876" i="7"/>
  <c r="U277" i="7"/>
  <c r="U510" i="7"/>
  <c r="U25" i="7"/>
  <c r="U357" i="7"/>
  <c r="U875" i="7"/>
  <c r="U112" i="7"/>
  <c r="U202" i="7"/>
  <c r="U280" i="7"/>
  <c r="U672" i="7"/>
  <c r="U95" i="7"/>
  <c r="U516" i="7"/>
  <c r="U102" i="7"/>
  <c r="U1378" i="7"/>
  <c r="U1383" i="7"/>
  <c r="U1386" i="7"/>
  <c r="U1692" i="7"/>
  <c r="U1535" i="7"/>
  <c r="U1883" i="7"/>
  <c r="U2203" i="7"/>
  <c r="U2777" i="7"/>
  <c r="U3548" i="7"/>
  <c r="U2006" i="7"/>
  <c r="U2204" i="7"/>
  <c r="U3151" i="7"/>
  <c r="U3488" i="7"/>
  <c r="U3432" i="7"/>
  <c r="U3954" i="7"/>
  <c r="U4884" i="7"/>
  <c r="U3890" i="7"/>
  <c r="U4829" i="7"/>
  <c r="U4805" i="7"/>
  <c r="U4836" i="7"/>
  <c r="U4383" i="7"/>
  <c r="U116" i="7"/>
  <c r="U693" i="7"/>
  <c r="U273" i="7"/>
  <c r="U689" i="7"/>
  <c r="U96" i="7"/>
  <c r="U276" i="7"/>
  <c r="U99" i="7"/>
  <c r="U869" i="7"/>
  <c r="U1728" i="7"/>
  <c r="U1315" i="7"/>
  <c r="U4186" i="7"/>
  <c r="U2565" i="7"/>
  <c r="U2007" i="7"/>
  <c r="U3197" i="7"/>
  <c r="U3441" i="7"/>
  <c r="U3632" i="7"/>
  <c r="U4840" i="7"/>
  <c r="U4682" i="7"/>
  <c r="U266" i="7"/>
  <c r="U360" i="7"/>
  <c r="U182" i="7"/>
  <c r="U649" i="7"/>
  <c r="U879" i="7"/>
  <c r="U281" i="7"/>
  <c r="U527" i="7"/>
  <c r="U91" i="7"/>
  <c r="U365" i="7"/>
  <c r="U93" i="7"/>
  <c r="U120" i="7"/>
  <c r="U203" i="7"/>
  <c r="U284" i="7"/>
  <c r="U115" i="7"/>
  <c r="U113" i="7"/>
  <c r="U520" i="7"/>
  <c r="U114" i="7"/>
  <c r="U1380" i="7"/>
  <c r="U1391" i="7"/>
  <c r="U1394" i="7"/>
  <c r="U1739" i="7"/>
  <c r="U1732" i="7"/>
  <c r="U1905" i="7"/>
  <c r="U2285" i="7"/>
  <c r="U2782" i="7"/>
  <c r="U1894" i="7"/>
  <c r="U2169" i="7"/>
  <c r="U2313" i="7"/>
  <c r="U3374" i="7"/>
  <c r="U3539" i="7"/>
  <c r="U3491" i="7"/>
  <c r="U4887" i="7"/>
  <c r="U4197" i="7"/>
  <c r="U3688" i="7"/>
  <c r="U4813" i="7"/>
  <c r="U4852" i="7"/>
  <c r="U4395" i="7"/>
  <c r="U691" i="7"/>
  <c r="U270" i="7"/>
  <c r="U368" i="7"/>
  <c r="U207" i="7"/>
  <c r="U650" i="7"/>
  <c r="U118" i="7"/>
  <c r="U285" i="7"/>
  <c r="U678" i="7"/>
  <c r="U97" i="7"/>
  <c r="U511" i="7"/>
  <c r="U304" i="7"/>
  <c r="U196" i="7"/>
  <c r="U204" i="7"/>
  <c r="U288" i="7"/>
  <c r="U671" i="7"/>
  <c r="U121" i="7"/>
  <c r="U677" i="7"/>
  <c r="U128" i="7"/>
  <c r="U1690" i="7"/>
  <c r="U1913" i="7"/>
  <c r="U882" i="7"/>
  <c r="U885" i="7"/>
  <c r="U1923" i="7"/>
  <c r="U2182" i="7"/>
  <c r="U2555" i="7"/>
  <c r="U1825" i="7"/>
  <c r="U2004" i="7"/>
  <c r="U2549" i="7"/>
  <c r="U2753" i="7"/>
  <c r="U3384" i="7"/>
  <c r="U3636" i="7"/>
  <c r="U3555" i="7"/>
  <c r="U3398" i="7"/>
  <c r="U2417" i="7"/>
  <c r="U4134" i="7"/>
  <c r="U4386" i="7"/>
  <c r="U4883" i="7"/>
  <c r="U4400" i="7"/>
  <c r="U4827" i="7"/>
  <c r="U4721" i="7"/>
  <c r="U4379" i="7"/>
  <c r="U4669" i="7"/>
  <c r="U4822" i="7"/>
  <c r="U4396" i="7"/>
  <c r="U4790" i="7"/>
  <c r="U4882" i="7"/>
  <c r="U4470" i="7"/>
  <c r="U4850" i="7"/>
  <c r="U4809" i="7"/>
  <c r="U4795" i="7"/>
  <c r="U4690" i="7"/>
  <c r="U4228" i="7"/>
  <c r="U4782" i="7"/>
  <c r="U4276" i="7"/>
  <c r="U4390" i="7"/>
  <c r="U4075" i="7"/>
  <c r="U4821" i="7"/>
  <c r="U3498" i="7"/>
  <c r="U3150" i="7"/>
  <c r="U4201" i="7"/>
  <c r="U4724" i="7"/>
  <c r="U3171" i="7"/>
  <c r="U3554" i="7"/>
  <c r="U3273" i="7"/>
  <c r="U3953" i="7"/>
  <c r="U3155" i="7"/>
  <c r="U3570" i="7"/>
  <c r="U3558" i="7"/>
  <c r="U3431" i="7"/>
  <c r="U3090" i="7"/>
  <c r="U3159" i="7"/>
  <c r="U3556" i="7"/>
  <c r="U3401" i="7"/>
  <c r="U3117" i="7"/>
  <c r="U3443" i="7"/>
  <c r="U3383" i="7"/>
  <c r="U2419" i="7"/>
  <c r="U1916" i="7"/>
  <c r="U2752" i="7"/>
  <c r="U2212" i="7"/>
  <c r="U1917" i="7"/>
  <c r="U3559" i="7"/>
  <c r="U2416" i="7"/>
  <c r="U1976" i="7"/>
  <c r="U3435" i="7"/>
  <c r="U2314" i="7"/>
  <c r="U1977" i="7"/>
  <c r="U3205" i="7"/>
  <c r="U2406" i="7"/>
  <c r="U2035" i="7"/>
  <c r="U3560" i="7"/>
  <c r="U2776" i="7"/>
  <c r="U2767" i="7"/>
  <c r="U2760" i="7"/>
  <c r="U2550" i="7"/>
  <c r="U2189" i="7"/>
  <c r="U4183" i="7"/>
  <c r="U2558" i="7"/>
  <c r="U2174" i="7"/>
  <c r="U1875" i="7"/>
  <c r="U3145" i="7"/>
  <c r="U2407" i="7"/>
  <c r="U1915" i="7"/>
  <c r="U1455" i="7"/>
  <c r="U1234" i="7"/>
  <c r="U881" i="7"/>
  <c r="U1658" i="7"/>
  <c r="U1740" i="7"/>
  <c r="U1247" i="7"/>
  <c r="U878" i="7"/>
  <c r="U1382" i="7"/>
  <c r="U1459" i="7"/>
  <c r="U1238" i="7"/>
  <c r="U1736" i="7"/>
  <c r="U1239" i="7"/>
  <c r="U1324" i="7"/>
  <c r="U1014" i="7"/>
  <c r="U1460" i="7"/>
  <c r="U1241" i="7"/>
  <c r="U517" i="7"/>
  <c r="U279" i="7"/>
  <c r="U4679" i="7"/>
  <c r="U4879" i="7"/>
  <c r="U4616" i="7"/>
  <c r="U4734" i="7"/>
  <c r="U4392" i="7"/>
  <c r="U4781" i="7"/>
  <c r="U4860" i="7"/>
  <c r="U4468" i="7"/>
  <c r="U4842" i="7"/>
  <c r="U4804" i="7"/>
  <c r="U4794" i="7"/>
  <c r="U4688" i="7"/>
  <c r="U4398" i="7"/>
  <c r="U4137" i="7"/>
  <c r="U4050" i="7"/>
  <c r="U4054" i="7"/>
  <c r="U4713" i="7"/>
  <c r="U3509" i="7"/>
  <c r="U3129" i="7"/>
  <c r="U4047" i="7"/>
  <c r="U3631" i="7"/>
  <c r="U3153" i="7"/>
  <c r="U3553" i="7"/>
  <c r="U3193" i="7"/>
  <c r="U3952" i="7"/>
  <c r="U3148" i="7"/>
  <c r="U3569" i="7"/>
  <c r="U3550" i="7"/>
  <c r="U3430" i="7"/>
  <c r="U3927" i="7"/>
  <c r="U3116" i="7"/>
  <c r="U3557" i="7"/>
  <c r="U3399" i="7"/>
  <c r="U2943" i="7"/>
  <c r="U3439" i="7"/>
  <c r="U3382" i="7"/>
  <c r="U3091" i="7"/>
  <c r="U2410" i="7"/>
  <c r="U3544" i="7"/>
  <c r="U2564" i="7"/>
  <c r="U2211" i="7"/>
  <c r="U1909" i="7"/>
  <c r="U3469" i="7"/>
  <c r="U2408" i="7"/>
  <c r="U1926" i="7"/>
  <c r="U3118" i="7"/>
  <c r="U2284" i="7"/>
  <c r="U1927" i="7"/>
  <c r="U3201" i="7"/>
  <c r="U2197" i="7"/>
  <c r="U2033" i="7"/>
  <c r="U3495" i="7"/>
  <c r="U2775" i="7"/>
  <c r="U2766" i="7"/>
  <c r="U2759" i="7"/>
  <c r="U2453" i="7"/>
  <c r="U2181" i="7"/>
  <c r="U4182" i="7"/>
  <c r="U2412" i="7"/>
  <c r="U2136" i="7"/>
  <c r="U1826" i="7"/>
  <c r="U2870" i="7"/>
  <c r="U2316" i="7"/>
  <c r="U1906" i="7"/>
  <c r="U1445" i="7"/>
  <c r="U1016" i="7"/>
  <c r="U931" i="7"/>
  <c r="U877" i="7"/>
  <c r="U1458" i="7"/>
  <c r="U1699" i="7"/>
  <c r="U1236" i="7"/>
  <c r="U874" i="7"/>
  <c r="U1237" i="7"/>
  <c r="U1451" i="7"/>
  <c r="U1227" i="7"/>
  <c r="U1729" i="7"/>
  <c r="U1228" i="7"/>
  <c r="U1318" i="7"/>
  <c r="U1010" i="7"/>
  <c r="U1452" i="7"/>
  <c r="U514" i="7"/>
  <c r="U275" i="7"/>
  <c r="U4469" i="7"/>
  <c r="U4846" i="7"/>
  <c r="U4596" i="7"/>
  <c r="U4733" i="7"/>
  <c r="U4384" i="7"/>
  <c r="U4726" i="7"/>
  <c r="U4847" i="7"/>
  <c r="U4401" i="7"/>
  <c r="U4834" i="7"/>
  <c r="U4803" i="7"/>
  <c r="U4787" i="7"/>
  <c r="U4685" i="7"/>
  <c r="U4048" i="7"/>
  <c r="U4035" i="7"/>
  <c r="U4074" i="7"/>
  <c r="U3889" i="7"/>
  <c r="U4714" i="7"/>
  <c r="U4678" i="7"/>
  <c r="U3508" i="7"/>
  <c r="U2866" i="7"/>
  <c r="U3891" i="7"/>
  <c r="U3584" i="7"/>
  <c r="U3549" i="7"/>
  <c r="U3190" i="7"/>
  <c r="U3950" i="7"/>
  <c r="U3127" i="7"/>
  <c r="U3568" i="7"/>
  <c r="U3546" i="7"/>
  <c r="U3429" i="7"/>
  <c r="U3637" i="7"/>
  <c r="U2869" i="7"/>
  <c r="U3551" i="7"/>
  <c r="U3397" i="7"/>
  <c r="U2872" i="7"/>
  <c r="U3434" i="7"/>
  <c r="U3377" i="7"/>
  <c r="U2944" i="7"/>
  <c r="U2192" i="7"/>
  <c r="U3192" i="7"/>
  <c r="U2455" i="7"/>
  <c r="U2193" i="7"/>
  <c r="U1900" i="7"/>
  <c r="U3402" i="7"/>
  <c r="U2195" i="7"/>
  <c r="U1918" i="7"/>
  <c r="U2697" i="7"/>
  <c r="U2196" i="7"/>
  <c r="U1919" i="7"/>
  <c r="U3152" i="7"/>
  <c r="U2188" i="7"/>
  <c r="U1928" i="7"/>
  <c r="U3301" i="7"/>
  <c r="U2774" i="7"/>
  <c r="U2765" i="7"/>
  <c r="U2758" i="7"/>
  <c r="U2418" i="7"/>
  <c r="U2173" i="7"/>
  <c r="U4181" i="7"/>
  <c r="U2210" i="7"/>
  <c r="U1932" i="7"/>
  <c r="U1822" i="7"/>
  <c r="U2693" i="7"/>
  <c r="U2282" i="7"/>
  <c r="U1898" i="7"/>
  <c r="U1444" i="7"/>
  <c r="U1011" i="7"/>
  <c r="U930" i="7"/>
  <c r="U815" i="7"/>
  <c r="U1450" i="7"/>
  <c r="U1659" i="7"/>
  <c r="U1017" i="7"/>
  <c r="U1929" i="7"/>
  <c r="U1921" i="7"/>
  <c r="U1322" i="7"/>
  <c r="U1019" i="7"/>
  <c r="U1688" i="7"/>
  <c r="U1899" i="7"/>
  <c r="U1314" i="7"/>
  <c r="U1006" i="7"/>
  <c r="U1392" i="7"/>
  <c r="U920" i="7"/>
  <c r="U371" i="7"/>
  <c r="U271" i="7"/>
  <c r="U4407" i="7"/>
  <c r="U4838" i="7"/>
  <c r="U4588" i="7"/>
  <c r="U4719" i="7"/>
  <c r="U4380" i="7"/>
  <c r="U4717" i="7"/>
  <c r="U4839" i="7"/>
  <c r="U4397" i="7"/>
  <c r="U4816" i="7"/>
  <c r="U4802" i="7"/>
  <c r="U4778" i="7"/>
  <c r="U4676" i="7"/>
  <c r="U4034" i="7"/>
  <c r="U3892" i="7"/>
  <c r="U3697" i="7"/>
  <c r="U4832" i="7"/>
  <c r="U4677" i="7"/>
  <c r="U4046" i="7"/>
  <c r="U3507" i="7"/>
  <c r="U2681" i="7"/>
  <c r="U3685" i="7"/>
  <c r="U3470" i="7"/>
  <c r="U3026" i="7"/>
  <c r="U3541" i="7"/>
  <c r="U3172" i="7"/>
  <c r="U3686" i="7"/>
  <c r="U4591" i="7"/>
  <c r="U3566" i="7"/>
  <c r="U3542" i="7"/>
  <c r="U3208" i="7"/>
  <c r="U3496" i="7"/>
  <c r="U2799" i="7"/>
  <c r="U3547" i="7"/>
  <c r="U3300" i="7"/>
  <c r="U4135" i="7"/>
  <c r="U3380" i="7"/>
  <c r="U3376" i="7"/>
  <c r="U2867" i="7"/>
  <c r="U2184" i="7"/>
  <c r="U3162" i="7"/>
  <c r="U2413" i="7"/>
  <c r="U2185" i="7"/>
  <c r="U1893" i="7"/>
  <c r="U2871" i="7"/>
  <c r="U2186" i="7"/>
  <c r="U1910" i="7"/>
  <c r="U2679" i="7"/>
  <c r="U2187" i="7"/>
  <c r="U1911" i="7"/>
  <c r="U2865" i="7"/>
  <c r="U2180" i="7"/>
  <c r="U1920" i="7"/>
  <c r="U2800" i="7"/>
  <c r="U2772" i="7"/>
  <c r="U2764" i="7"/>
  <c r="U2682" i="7"/>
  <c r="U2409" i="7"/>
  <c r="U2135" i="7"/>
  <c r="U3540" i="7"/>
  <c r="U2209" i="7"/>
  <c r="U1922" i="7"/>
  <c r="U1752" i="7"/>
  <c r="U2569" i="7"/>
  <c r="U2191" i="7"/>
  <c r="U1892" i="7"/>
  <c r="U1443" i="7"/>
  <c r="U1007" i="7"/>
  <c r="U929" i="7"/>
  <c r="U1896" i="7"/>
  <c r="U1393" i="7"/>
  <c r="U1453" i="7"/>
  <c r="U1012" i="7"/>
  <c r="U1686" i="7"/>
  <c r="U1908" i="7"/>
  <c r="U1317" i="7"/>
  <c r="U1013" i="7"/>
  <c r="U1454" i="7"/>
  <c r="U1823" i="7"/>
  <c r="U1253" i="7"/>
  <c r="U1002" i="7"/>
  <c r="U1388" i="7"/>
  <c r="U867" i="7"/>
  <c r="U362" i="7"/>
  <c r="U267" i="7"/>
  <c r="U4851" i="7"/>
  <c r="U4399" i="7"/>
  <c r="U4830" i="7"/>
  <c r="U4880" i="7"/>
  <c r="U4710" i="7"/>
  <c r="U4881" i="7"/>
  <c r="U4709" i="7"/>
  <c r="U4784" i="7"/>
  <c r="U4393" i="7"/>
  <c r="U4814" i="7"/>
  <c r="U4800" i="7"/>
  <c r="U4727" i="7"/>
  <c r="U4594" i="7"/>
  <c r="U3692" i="7"/>
  <c r="U3888" i="7"/>
  <c r="U3693" i="7"/>
  <c r="U4587" i="7"/>
  <c r="U4382" i="7"/>
  <c r="U3684" i="7"/>
  <c r="U3490" i="7"/>
  <c r="U2678" i="7"/>
  <c r="U4888" i="7"/>
  <c r="U3444" i="7"/>
  <c r="U4139" i="7"/>
  <c r="U3471" i="7"/>
  <c r="U3147" i="7"/>
  <c r="U3485" i="7"/>
  <c r="U4406" i="7"/>
  <c r="U3565" i="7"/>
  <c r="U3538" i="7"/>
  <c r="U3195" i="7"/>
  <c r="U3487" i="7"/>
  <c r="U3690" i="7"/>
  <c r="U3543" i="7"/>
  <c r="U3210" i="7"/>
  <c r="U3634" i="7"/>
  <c r="U3381" i="7"/>
  <c r="U3375" i="7"/>
  <c r="U2695" i="7"/>
  <c r="U2176" i="7"/>
  <c r="U2756" i="7"/>
  <c r="U2317" i="7"/>
  <c r="U2177" i="7"/>
  <c r="U1884" i="7"/>
  <c r="U2696" i="7"/>
  <c r="U2178" i="7"/>
  <c r="U1901" i="7"/>
  <c r="U2562" i="7"/>
  <c r="U2179" i="7"/>
  <c r="U1902" i="7"/>
  <c r="U2676" i="7"/>
  <c r="U2172" i="7"/>
  <c r="U1912" i="7"/>
  <c r="U2796" i="7"/>
  <c r="U2771" i="7"/>
  <c r="U2763" i="7"/>
  <c r="U2680" i="7"/>
  <c r="U2315" i="7"/>
  <c r="U4187" i="7"/>
  <c r="U2798" i="7"/>
  <c r="U2208" i="7"/>
  <c r="U1914" i="7"/>
  <c r="U1738" i="7"/>
  <c r="U2553" i="7"/>
  <c r="U2183" i="7"/>
  <c r="U1628" i="7"/>
  <c r="U1319" i="7"/>
  <c r="U1003" i="7"/>
  <c r="U928" i="7"/>
  <c r="U1827" i="7"/>
  <c r="U1389" i="7"/>
  <c r="U1320" i="7"/>
  <c r="U1008" i="7"/>
  <c r="U1456" i="7"/>
  <c r="U1735" i="7"/>
  <c r="U1313" i="7"/>
  <c r="U1009" i="7"/>
  <c r="U1395" i="7"/>
  <c r="U1737" i="7"/>
  <c r="U1249" i="7"/>
  <c r="U1904" i="7"/>
  <c r="U1384" i="7"/>
  <c r="U814" i="7"/>
  <c r="U296" i="7"/>
  <c r="U4789" i="7"/>
  <c r="U4391" i="7"/>
  <c r="U4725" i="7"/>
  <c r="U4841" i="7"/>
  <c r="U4408" i="7"/>
  <c r="U4844" i="7"/>
  <c r="U4589" i="7"/>
  <c r="U4708" i="7"/>
  <c r="U4381" i="7"/>
  <c r="U4807" i="7"/>
  <c r="U4798" i="7"/>
  <c r="U4715" i="7"/>
  <c r="U4848" i="7"/>
  <c r="U3681" i="7"/>
  <c r="U4730" i="7"/>
  <c r="U4854" i="7"/>
  <c r="U4196" i="7"/>
  <c r="U4045" i="7"/>
  <c r="U3500" i="7"/>
  <c r="U3298" i="7"/>
  <c r="U2551" i="7"/>
  <c r="U4885" i="7"/>
  <c r="U3436" i="7"/>
  <c r="U3630" i="7"/>
  <c r="U3400" i="7"/>
  <c r="U2868" i="7"/>
  <c r="U3340" i="7"/>
  <c r="U3638" i="7"/>
  <c r="U3563" i="7"/>
  <c r="U3486" i="7"/>
  <c r="U3157" i="7"/>
  <c r="U3442" i="7"/>
  <c r="U3682" i="7"/>
  <c r="U3493" i="7"/>
  <c r="U3202" i="7"/>
  <c r="U3468" i="7"/>
  <c r="U3378" i="7"/>
  <c r="U3373" i="7"/>
  <c r="U2561" i="7"/>
  <c r="U2034" i="7"/>
  <c r="U2754" i="7"/>
  <c r="U2283" i="7"/>
  <c r="U1975" i="7"/>
  <c r="U3691" i="7"/>
  <c r="U2554" i="7"/>
  <c r="U2132" i="7"/>
  <c r="U1824" i="7"/>
  <c r="U2411" i="7"/>
  <c r="U2133" i="7"/>
  <c r="U1882" i="7"/>
  <c r="U2552" i="7"/>
  <c r="U2134" i="7"/>
  <c r="U1895" i="7"/>
  <c r="U2779" i="7"/>
  <c r="U2769" i="7"/>
  <c r="U2797" i="7"/>
  <c r="U2560" i="7"/>
  <c r="U2280" i="7"/>
  <c r="U4185" i="7"/>
  <c r="U2677" i="7"/>
  <c r="U2190" i="7"/>
  <c r="U1897" i="7"/>
  <c r="U3582" i="7"/>
  <c r="U2435" i="7"/>
  <c r="U2157" i="7"/>
  <c r="U1691" i="7"/>
  <c r="U1250" i="7"/>
  <c r="U933" i="7"/>
  <c r="U926" i="7"/>
  <c r="U1733" i="7"/>
  <c r="U1381" i="7"/>
  <c r="U1312" i="7"/>
  <c r="U886" i="7"/>
  <c r="U1390" i="7"/>
  <c r="U1687" i="7"/>
  <c r="U1252" i="7"/>
  <c r="U1387" i="7"/>
  <c r="U1689" i="7"/>
  <c r="U1229" i="7"/>
  <c r="U1731" i="7"/>
  <c r="U1379" i="7"/>
  <c r="U674" i="7"/>
  <c r="U287" i="7"/>
  <c r="U274" i="7"/>
  <c r="U519" i="7"/>
  <c r="U214" i="7"/>
  <c r="U652" i="7"/>
  <c r="U206" i="7"/>
  <c r="U289" i="7"/>
  <c r="U813" i="7"/>
  <c r="U119" i="7"/>
  <c r="U518" i="7"/>
  <c r="U306" i="7"/>
  <c r="U197" i="7"/>
  <c r="U211" i="7"/>
  <c r="U292" i="7"/>
  <c r="U679" i="7"/>
  <c r="U181" i="7"/>
  <c r="U690" i="7"/>
  <c r="U209" i="7"/>
  <c r="U1874" i="7"/>
  <c r="U1005" i="7"/>
  <c r="U1004" i="7"/>
  <c r="U927" i="7"/>
  <c r="U2175" i="7"/>
  <c r="U2207" i="7"/>
  <c r="U2673" i="7"/>
  <c r="U1903" i="7"/>
  <c r="U2171" i="7"/>
  <c r="U2675" i="7"/>
  <c r="U2755" i="7"/>
  <c r="U3379" i="7"/>
  <c r="U3687" i="7"/>
  <c r="U3564" i="7"/>
  <c r="U3433" i="7"/>
  <c r="U2559" i="7"/>
  <c r="U4402" i="7"/>
  <c r="U4590" i="7"/>
  <c r="U4385" i="7"/>
  <c r="U4681" i="7"/>
  <c r="U4835" i="7"/>
  <c r="U695" i="7"/>
  <c r="U413" i="7"/>
  <c r="U278" i="7"/>
  <c r="U676" i="7"/>
  <c r="U359" i="7"/>
  <c r="U673" i="7"/>
  <c r="U213" i="7"/>
  <c r="U294" i="7"/>
  <c r="U215" i="7"/>
  <c r="U205" i="7"/>
  <c r="U525" i="7"/>
  <c r="U361" i="7"/>
  <c r="U198" i="7"/>
  <c r="U264" i="7"/>
  <c r="U356" i="7"/>
  <c r="U880" i="7"/>
  <c r="U210" i="7"/>
  <c r="U694" i="7"/>
  <c r="U283" i="7"/>
  <c r="U1021" i="7"/>
  <c r="U1248" i="7"/>
  <c r="U1251" i="7"/>
  <c r="U932" i="7"/>
  <c r="U2415" i="7"/>
  <c r="U2563" i="7"/>
  <c r="U2761" i="7"/>
  <c r="U2037" i="7"/>
  <c r="U2318" i="7"/>
  <c r="U3633" i="7"/>
  <c r="U1924" i="7"/>
  <c r="U3494" i="7"/>
  <c r="U3209" i="7"/>
  <c r="U3571" i="7"/>
  <c r="U3585" i="7"/>
  <c r="U3161" i="7"/>
  <c r="U4817" i="7"/>
  <c r="U4707" i="7"/>
  <c r="U4675" i="7"/>
  <c r="U4833" i="7"/>
  <c r="S4900" i="7"/>
  <c r="R590" i="7"/>
  <c r="R542" i="7"/>
  <c r="R404" i="7"/>
  <c r="R1358" i="7"/>
  <c r="R702" i="7"/>
  <c r="R2023" i="7"/>
  <c r="R871" i="7"/>
  <c r="R2624" i="7"/>
  <c r="U4843" i="7"/>
  <c r="S4897" i="7"/>
  <c r="R588" i="7"/>
  <c r="R2009" i="7"/>
  <c r="R530" i="7"/>
  <c r="R3109" i="7"/>
  <c r="R384" i="7"/>
  <c r="R1353" i="7"/>
  <c r="R4302" i="7"/>
  <c r="R378" i="7"/>
  <c r="R535" i="7"/>
  <c r="R532" i="7"/>
  <c r="R386" i="7"/>
  <c r="R1165" i="7"/>
  <c r="R1034" i="7"/>
  <c r="R2645" i="7"/>
  <c r="R2332" i="7"/>
  <c r="R3720" i="7"/>
  <c r="R387" i="7"/>
  <c r="R543" i="7"/>
  <c r="R537" i="7"/>
  <c r="R539" i="7"/>
  <c r="R1706" i="7"/>
  <c r="R1354" i="7"/>
  <c r="R2388" i="7"/>
  <c r="R2337" i="7"/>
  <c r="R3106" i="7"/>
  <c r="R4281" i="7"/>
  <c r="R381" i="7"/>
  <c r="R395" i="7"/>
  <c r="R561" i="7"/>
  <c r="R545" i="7"/>
  <c r="R949" i="7"/>
  <c r="R1745" i="7"/>
  <c r="R2452" i="7"/>
  <c r="R2654" i="7"/>
  <c r="R2349" i="7"/>
  <c r="R3678" i="7"/>
  <c r="R3985" i="7"/>
  <c r="R2661" i="7"/>
  <c r="R2217" i="7"/>
  <c r="R3391" i="7"/>
  <c r="R3784" i="7"/>
  <c r="R392" i="7"/>
  <c r="R548" i="7"/>
  <c r="R185" i="7"/>
  <c r="R186" i="7"/>
  <c r="R947" i="7"/>
  <c r="R1031" i="7"/>
  <c r="R2219" i="7"/>
  <c r="R2666" i="7"/>
  <c r="R2643" i="7"/>
  <c r="R2930" i="7"/>
  <c r="R4421" i="7"/>
  <c r="R541" i="7"/>
  <c r="R560" i="7"/>
  <c r="R393" i="7"/>
  <c r="R383" i="7"/>
  <c r="R1254" i="7"/>
  <c r="R1709" i="7"/>
  <c r="R2227" i="7"/>
  <c r="R2667" i="7"/>
  <c r="R2801" i="7"/>
  <c r="R2547" i="7"/>
  <c r="R4747" i="7"/>
  <c r="R556" i="7"/>
  <c r="R379" i="7"/>
  <c r="R706" i="7"/>
  <c r="R405" i="7"/>
  <c r="R952" i="7"/>
  <c r="R955" i="7"/>
  <c r="R2353" i="7"/>
  <c r="R2218" i="7"/>
  <c r="R2627" i="7"/>
  <c r="R3393" i="7"/>
  <c r="R4762" i="7"/>
  <c r="U3027" i="7"/>
  <c r="U3445" i="7"/>
  <c r="U3955" i="7"/>
  <c r="U3213" i="7"/>
  <c r="U3545" i="7"/>
  <c r="U3698" i="7"/>
  <c r="U3212" i="7"/>
  <c r="U4394" i="7"/>
  <c r="U3699" i="7"/>
  <c r="U2674" i="7"/>
  <c r="U3211" i="7"/>
  <c r="U3497" i="7"/>
  <c r="U4200" i="7"/>
  <c r="U4206" i="7"/>
  <c r="U4138" i="7"/>
  <c r="U4195" i="7"/>
  <c r="U4049" i="7"/>
  <c r="U4877" i="7"/>
  <c r="U4876" i="7"/>
  <c r="U4136" i="7"/>
  <c r="U4687" i="7"/>
  <c r="U4723" i="7"/>
  <c r="U4797" i="7"/>
  <c r="U4808" i="7"/>
  <c r="U4824" i="7"/>
  <c r="U4389" i="7"/>
  <c r="U4684" i="7"/>
  <c r="U4874" i="7"/>
  <c r="U4722" i="7"/>
  <c r="U4873" i="7"/>
  <c r="U4404" i="7"/>
  <c r="U4786" i="7"/>
  <c r="U4592" i="7"/>
  <c r="U4783" i="7"/>
  <c r="U4387" i="7"/>
  <c r="U4712" i="7"/>
  <c r="U4878" i="7"/>
  <c r="T907" i="7"/>
  <c r="T3245" i="7"/>
  <c r="S4891" i="7"/>
  <c r="U3173" i="7"/>
  <c r="U3951" i="7"/>
  <c r="U3154" i="7"/>
  <c r="U3428" i="7"/>
  <c r="U3561" i="7"/>
  <c r="U3146" i="7"/>
  <c r="U3489" i="7"/>
  <c r="U4886" i="7"/>
  <c r="U4445" i="7"/>
  <c r="U3115" i="7"/>
  <c r="U3506" i="7"/>
  <c r="U3580" i="7"/>
  <c r="U3886" i="7"/>
  <c r="U4845" i="7"/>
  <c r="U4785" i="7"/>
  <c r="U3683" i="7"/>
  <c r="U4595" i="7"/>
  <c r="U4055" i="7"/>
  <c r="U3696" i="7"/>
  <c r="U4586" i="7"/>
  <c r="U4691" i="7"/>
  <c r="U4793" i="7"/>
  <c r="U4801" i="7"/>
  <c r="U4810" i="7"/>
  <c r="U4875" i="7"/>
  <c r="U4405" i="7"/>
  <c r="U4831" i="7"/>
  <c r="U4593" i="7"/>
  <c r="U4828" i="7"/>
  <c r="U4388" i="7"/>
  <c r="U4718" i="7"/>
  <c r="U4849" i="7"/>
  <c r="U4680" i="7"/>
  <c r="U4858" i="7"/>
  <c r="U4403" i="7"/>
  <c r="T570" i="7"/>
  <c r="T1488" i="7"/>
  <c r="T4252" i="7"/>
  <c r="R748" i="7"/>
  <c r="R385" i="7"/>
  <c r="R746" i="7"/>
  <c r="R953" i="7"/>
  <c r="R990" i="7"/>
  <c r="R1164" i="7"/>
  <c r="R2640" i="7"/>
  <c r="R2238" i="7"/>
  <c r="R2803" i="7"/>
  <c r="R2941" i="7"/>
  <c r="R4333" i="7"/>
  <c r="R696" i="7"/>
  <c r="R1639" i="7"/>
  <c r="R1167" i="7"/>
  <c r="R1035" i="7"/>
  <c r="R1166" i="7"/>
  <c r="R2239" i="7"/>
  <c r="R2545" i="7"/>
  <c r="R2226" i="7"/>
  <c r="R3112" i="7"/>
  <c r="R2635" i="7"/>
  <c r="R2928" i="7"/>
  <c r="R4277" i="7"/>
  <c r="R4414" i="7"/>
  <c r="R551" i="7"/>
  <c r="R558" i="7"/>
  <c r="R557" i="7"/>
  <c r="R736" i="7"/>
  <c r="R398" i="7"/>
  <c r="R394" i="7"/>
  <c r="R1033" i="7"/>
  <c r="R951" i="7"/>
  <c r="R950" i="7"/>
  <c r="R1708" i="7"/>
  <c r="R2389" i="7"/>
  <c r="R2657" i="7"/>
  <c r="R2629" i="7"/>
  <c r="R2225" i="7"/>
  <c r="R3389" i="7"/>
  <c r="R2932" i="7"/>
  <c r="R4375" i="7"/>
  <c r="R4422" i="7"/>
  <c r="R707" i="7"/>
  <c r="R697" i="7"/>
  <c r="R389" i="7"/>
  <c r="R375" i="7"/>
  <c r="R376" i="7"/>
  <c r="R547" i="7"/>
  <c r="R1707" i="7"/>
  <c r="R1744" i="7"/>
  <c r="R1355" i="7"/>
  <c r="R3395" i="7"/>
  <c r="R2628" i="7"/>
  <c r="R2662" i="7"/>
  <c r="R2330" i="7"/>
  <c r="R1878" i="7"/>
  <c r="R4039" i="7"/>
  <c r="R3188" i="7"/>
  <c r="R4308" i="7"/>
  <c r="R4750" i="7"/>
  <c r="R2670" i="7"/>
  <c r="R2633" i="7"/>
  <c r="R2338" i="7"/>
  <c r="R2229" i="7"/>
  <c r="R2220" i="7"/>
  <c r="R3919" i="7"/>
  <c r="R4280" i="7"/>
  <c r="R2937" i="7"/>
  <c r="R3680" i="7"/>
  <c r="R4377" i="7"/>
  <c r="R4427" i="7"/>
  <c r="R2658" i="7"/>
  <c r="R2672" i="7"/>
  <c r="R2637" i="7"/>
  <c r="R2341" i="7"/>
  <c r="R2237" i="7"/>
  <c r="R2236" i="7"/>
  <c r="R3394" i="7"/>
  <c r="R3388" i="7"/>
  <c r="R2938" i="7"/>
  <c r="R3826" i="7"/>
  <c r="R4598" i="7"/>
  <c r="R4297" i="7"/>
  <c r="R4742" i="7"/>
  <c r="R2659" i="7"/>
  <c r="R2214" i="7"/>
  <c r="R3821" i="7"/>
  <c r="R2342" i="7"/>
  <c r="R2638" i="7"/>
  <c r="R2623" i="7"/>
  <c r="R3679" i="7"/>
  <c r="R3387" i="7"/>
  <c r="R2940" i="7"/>
  <c r="R3820" i="7"/>
  <c r="R3984" i="7"/>
  <c r="R4301" i="7"/>
  <c r="R4746" i="7"/>
  <c r="R2665" i="7"/>
  <c r="R2234" i="7"/>
  <c r="R2331" i="7"/>
  <c r="R2008" i="7"/>
  <c r="R2405" i="7"/>
  <c r="R2639" i="7"/>
  <c r="R3079" i="7"/>
  <c r="R2929" i="7"/>
  <c r="R3386" i="7"/>
  <c r="R4600" i="7"/>
  <c r="R3983" i="7"/>
  <c r="R4418" i="7"/>
  <c r="R4758" i="7"/>
  <c r="T145" i="7"/>
  <c r="T333" i="7"/>
  <c r="T782" i="7"/>
  <c r="T719" i="7"/>
  <c r="T82" i="7"/>
  <c r="T224" i="7"/>
  <c r="T1044" i="7"/>
  <c r="T1575" i="7"/>
  <c r="T1110" i="7"/>
  <c r="T1496" i="7"/>
  <c r="T2328" i="7"/>
  <c r="T2273" i="7"/>
  <c r="T2719" i="7"/>
  <c r="T3349" i="7"/>
  <c r="T3287" i="7"/>
  <c r="T4648" i="7"/>
  <c r="T4132" i="7"/>
  <c r="T4256" i="7"/>
  <c r="T4464" i="7"/>
  <c r="T318" i="7"/>
  <c r="T713" i="7"/>
  <c r="T77" i="7"/>
  <c r="T240" i="7"/>
  <c r="T354" i="7"/>
  <c r="T428" i="7"/>
  <c r="T1464" i="7"/>
  <c r="T1183" i="7"/>
  <c r="T1043" i="7"/>
  <c r="T1345" i="7"/>
  <c r="T766" i="7"/>
  <c r="T2305" i="7"/>
  <c r="T2300" i="7"/>
  <c r="T2365" i="7"/>
  <c r="T2323" i="7"/>
  <c r="T3237" i="7"/>
  <c r="T4128" i="7"/>
  <c r="T4161" i="7"/>
  <c r="T3925" i="7"/>
  <c r="T4262" i="7"/>
  <c r="T4662" i="7"/>
  <c r="R4305" i="7"/>
  <c r="R4423" i="7"/>
  <c r="R4748" i="7"/>
  <c r="T427" i="7"/>
  <c r="T734" i="7"/>
  <c r="T83" i="7"/>
  <c r="T350" i="7"/>
  <c r="T895" i="7"/>
  <c r="T439" i="7"/>
  <c r="T1723" i="7"/>
  <c r="T1125" i="7"/>
  <c r="T1485" i="7"/>
  <c r="T823" i="7"/>
  <c r="T2436" i="7"/>
  <c r="T2319" i="7"/>
  <c r="T2441" i="7"/>
  <c r="T2368" i="7"/>
  <c r="T3333" i="7"/>
  <c r="T3656" i="7"/>
  <c r="T4647" i="7"/>
  <c r="T4156" i="7"/>
  <c r="T4265" i="7"/>
  <c r="T4450" i="7"/>
  <c r="T722" i="7"/>
  <c r="T756" i="7"/>
  <c r="T108" i="7"/>
  <c r="T332" i="7"/>
  <c r="T225" i="7"/>
  <c r="T754" i="7"/>
  <c r="T1136" i="7"/>
  <c r="T1436" i="7"/>
  <c r="T1573" i="7"/>
  <c r="T976" i="7"/>
  <c r="T3352" i="7"/>
  <c r="T2604" i="7"/>
  <c r="T1814" i="7"/>
  <c r="T4062" i="7"/>
  <c r="T3015" i="7"/>
  <c r="T2582" i="7"/>
  <c r="T4461" i="7"/>
  <c r="T3711" i="7"/>
  <c r="T4646" i="7"/>
  <c r="R4331" i="7"/>
  <c r="R4754" i="7"/>
  <c r="T819" i="7"/>
  <c r="T147" i="7"/>
  <c r="T156" i="7"/>
  <c r="T337" i="7"/>
  <c r="T312" i="7"/>
  <c r="T827" i="7"/>
  <c r="T1299" i="7"/>
  <c r="T1576" i="7"/>
  <c r="T1298" i="7"/>
  <c r="T980" i="7"/>
  <c r="T1813" i="7"/>
  <c r="T3448" i="7"/>
  <c r="T2268" i="7"/>
  <c r="T3247" i="7"/>
  <c r="T3250" i="7"/>
  <c r="T2598" i="7"/>
  <c r="T3705" i="7"/>
  <c r="T4022" i="7"/>
  <c r="T4446" i="7"/>
  <c r="R2622" i="7"/>
  <c r="R2805" i="7"/>
  <c r="R2900" i="7"/>
  <c r="R4306" i="7"/>
  <c r="R3396" i="7"/>
  <c r="R2933" i="7"/>
  <c r="R3390" i="7"/>
  <c r="R3825" i="7"/>
  <c r="R3818" i="7"/>
  <c r="R3823" i="7"/>
  <c r="R4415" i="7"/>
  <c r="R4601" i="7"/>
  <c r="R4755" i="7"/>
  <c r="T110" i="7"/>
  <c r="T334" i="7"/>
  <c r="T310" i="7"/>
  <c r="T710" i="7"/>
  <c r="T717" i="7"/>
  <c r="T904" i="7"/>
  <c r="T1491" i="7"/>
  <c r="T1294" i="7"/>
  <c r="T1727" i="7"/>
  <c r="T1175" i="7"/>
  <c r="T1122" i="7"/>
  <c r="T2586" i="7"/>
  <c r="T2326" i="7"/>
  <c r="T2437" i="7"/>
  <c r="T2912" i="7"/>
  <c r="T3242" i="7"/>
  <c r="T3327" i="7"/>
  <c r="T4023" i="7"/>
  <c r="T4240" i="7"/>
  <c r="T4553" i="7"/>
  <c r="R2634" i="7"/>
  <c r="R2216" i="7"/>
  <c r="R3110" i="7"/>
  <c r="R4299" i="7"/>
  <c r="R2936" i="7"/>
  <c r="R4443" i="7"/>
  <c r="R3846" i="7"/>
  <c r="R3824" i="7"/>
  <c r="R3827" i="7"/>
  <c r="R4416" i="7"/>
  <c r="R4740" i="7"/>
  <c r="R4756" i="7"/>
  <c r="T298" i="7"/>
  <c r="T431" i="7"/>
  <c r="T336" i="7"/>
  <c r="T752" i="7"/>
  <c r="T760" i="7"/>
  <c r="T944" i="7"/>
  <c r="T1499" i="7"/>
  <c r="T1347" i="7"/>
  <c r="T764" i="7"/>
  <c r="T1290" i="7"/>
  <c r="T2599" i="7"/>
  <c r="T2597" i="7"/>
  <c r="T2595" i="7"/>
  <c r="T3246" i="7"/>
  <c r="T3354" i="7"/>
  <c r="T3348" i="7"/>
  <c r="T4452" i="7"/>
  <c r="T4243" i="7"/>
  <c r="T4565" i="7"/>
  <c r="T902" i="7"/>
  <c r="T324" i="7"/>
  <c r="T759" i="7"/>
  <c r="T152" i="7"/>
  <c r="T308" i="7"/>
  <c r="T721" i="7"/>
  <c r="T762" i="7"/>
  <c r="T426" i="7"/>
  <c r="T761" i="7"/>
  <c r="T79" i="7"/>
  <c r="T148" i="7"/>
  <c r="T315" i="7"/>
  <c r="T711" i="7"/>
  <c r="T321" i="7"/>
  <c r="T322" i="7"/>
  <c r="T718" i="7"/>
  <c r="T78" i="7"/>
  <c r="T751" i="7"/>
  <c r="T231" i="7"/>
  <c r="T741" i="7"/>
  <c r="T159" i="7"/>
  <c r="T435" i="7"/>
  <c r="T767" i="7"/>
  <c r="T923" i="7"/>
  <c r="T1514" i="7"/>
  <c r="T1292" i="7"/>
  <c r="T1495" i="7"/>
  <c r="T925" i="7"/>
  <c r="T1273" i="7"/>
  <c r="T1463" i="7"/>
  <c r="T1305" i="7"/>
  <c r="T1510" i="7"/>
  <c r="T1117" i="7"/>
  <c r="T1291" i="7"/>
  <c r="T755" i="7"/>
  <c r="T945" i="7"/>
  <c r="T1431" i="7"/>
  <c r="T1726" i="7"/>
  <c r="T1177" i="7"/>
  <c r="T1724" i="7"/>
  <c r="T822" i="7"/>
  <c r="T978" i="7"/>
  <c r="T1130" i="7"/>
  <c r="T1492" i="7"/>
  <c r="T2322" i="7"/>
  <c r="T2593" i="7"/>
  <c r="T2320" i="7"/>
  <c r="T2309" i="7"/>
  <c r="T2611" i="7"/>
  <c r="T2438" i="7"/>
  <c r="T2272" i="7"/>
  <c r="T2369" i="7"/>
  <c r="T2264" i="7"/>
  <c r="T2581" i="7"/>
  <c r="T2716" i="7"/>
  <c r="T2364" i="7"/>
  <c r="T2913" i="7"/>
  <c r="T3018" i="7"/>
  <c r="T3328" i="7"/>
  <c r="T3244" i="7"/>
  <c r="T3236" i="7"/>
  <c r="T3336" i="7"/>
  <c r="T2915" i="7"/>
  <c r="T4162" i="7"/>
  <c r="T2591" i="7"/>
  <c r="T3331" i="7"/>
  <c r="T4154" i="7"/>
  <c r="T4568" i="7"/>
  <c r="T4566" i="7"/>
  <c r="T4133" i="7"/>
  <c r="T4068" i="7"/>
  <c r="T4064" i="7"/>
  <c r="T3724" i="7"/>
  <c r="T4241" i="7"/>
  <c r="T4255" i="7"/>
  <c r="T4264" i="7"/>
  <c r="T4312" i="7"/>
  <c r="T4557" i="7"/>
  <c r="T4448" i="7"/>
  <c r="T4556" i="7"/>
  <c r="T4459" i="7"/>
  <c r="T4456" i="7"/>
  <c r="T4571" i="7"/>
  <c r="T4463" i="7"/>
  <c r="T4454" i="7"/>
  <c r="T4465" i="7"/>
  <c r="T4263" i="7"/>
  <c r="T4258" i="7"/>
  <c r="T4250" i="7"/>
  <c r="T4242" i="7"/>
  <c r="T4130" i="7"/>
  <c r="T3702" i="7"/>
  <c r="T4131" i="7"/>
  <c r="T4562" i="7"/>
  <c r="T3713" i="7"/>
  <c r="T4019" i="7"/>
  <c r="T4660" i="7"/>
  <c r="T3904" i="7"/>
  <c r="T3905" i="7"/>
  <c r="T3906" i="7"/>
  <c r="T3334" i="7"/>
  <c r="T2613" i="7"/>
  <c r="T3907" i="7"/>
  <c r="T4024" i="7"/>
  <c r="T3013" i="7"/>
  <c r="T3457" i="7"/>
  <c r="T3655" i="7"/>
  <c r="T2908" i="7"/>
  <c r="T3269" i="7"/>
  <c r="T3462" i="7"/>
  <c r="T3674" i="7"/>
  <c r="T4455" i="7"/>
  <c r="T3240" i="7"/>
  <c r="T2588" i="7"/>
  <c r="T3012" i="7"/>
  <c r="T2723" i="7"/>
  <c r="T2589" i="7"/>
  <c r="T4649" i="7"/>
  <c r="T4641" i="7"/>
  <c r="T4634" i="7"/>
  <c r="T4635" i="7"/>
  <c r="T4563" i="7"/>
  <c r="T4636" i="7"/>
  <c r="T4637" i="7"/>
  <c r="T4267" i="7"/>
  <c r="T4447" i="7"/>
  <c r="T4254" i="7"/>
  <c r="T4246" i="7"/>
  <c r="T4238" i="7"/>
  <c r="T3908" i="7"/>
  <c r="T4640" i="7"/>
  <c r="T4633" i="7"/>
  <c r="T4664" i="7"/>
  <c r="T4627" i="7"/>
  <c r="T4561" i="7"/>
  <c r="T4628" i="7"/>
  <c r="T4629" i="7"/>
  <c r="T4266" i="7"/>
  <c r="T4261" i="7"/>
  <c r="T4253" i="7"/>
  <c r="T4245" i="7"/>
  <c r="T4237" i="7"/>
  <c r="T3760" i="7"/>
  <c r="T4458" i="7"/>
  <c r="T3712" i="7"/>
  <c r="T3910" i="7"/>
  <c r="T4158" i="7"/>
  <c r="T3737" i="7"/>
  <c r="T4069" i="7"/>
  <c r="T4060" i="7"/>
  <c r="T4570" i="7"/>
  <c r="T3456" i="7"/>
  <c r="T3011" i="7"/>
  <c r="T2522" i="7"/>
  <c r="T4466" i="7"/>
  <c r="T3353" i="7"/>
  <c r="T3709" i="7"/>
  <c r="T3014" i="7"/>
  <c r="T3243" i="7"/>
  <c r="T3458" i="7"/>
  <c r="T3738" i="7"/>
  <c r="T3238" i="7"/>
  <c r="T3239" i="7"/>
  <c r="T3351" i="7"/>
  <c r="T2607" i="7"/>
  <c r="T2304" i="7"/>
  <c r="T2717" i="7"/>
  <c r="T2608" i="7"/>
  <c r="T153" i="7"/>
  <c r="T433" i="7"/>
  <c r="T821" i="7"/>
  <c r="T348" i="7"/>
  <c r="T323" i="7"/>
  <c r="T744" i="7"/>
  <c r="T155" i="7"/>
  <c r="T437" i="7"/>
  <c r="T831" i="7"/>
  <c r="T86" i="7"/>
  <c r="T227" i="7"/>
  <c r="T347" i="7"/>
  <c r="T743" i="7"/>
  <c r="T149" i="7"/>
  <c r="T429" i="7"/>
  <c r="T763" i="7"/>
  <c r="T85" i="7"/>
  <c r="T981" i="7"/>
  <c r="T319" i="7"/>
  <c r="T765" i="7"/>
  <c r="T230" i="7"/>
  <c r="T529" i="7"/>
  <c r="T919" i="7"/>
  <c r="T1121" i="7"/>
  <c r="T1295" i="7"/>
  <c r="T1349" i="7"/>
  <c r="T1507" i="7"/>
  <c r="T1119" i="7"/>
  <c r="T1703" i="7"/>
  <c r="T1429" i="7"/>
  <c r="T1720" i="7"/>
  <c r="T1133" i="7"/>
  <c r="T1346" i="7"/>
  <c r="T778" i="7"/>
  <c r="T1116" i="7"/>
  <c r="T1489" i="7"/>
  <c r="T1816" i="7"/>
  <c r="T1818" i="7"/>
  <c r="T820" i="7"/>
  <c r="T982" i="7"/>
  <c r="T1297" i="7"/>
  <c r="T1500" i="7"/>
  <c r="T2587" i="7"/>
  <c r="T2297" i="7"/>
  <c r="T2994" i="7"/>
  <c r="T2585" i="7"/>
  <c r="T2327" i="7"/>
  <c r="T1812" i="7"/>
  <c r="T2603" i="7"/>
  <c r="T2293" i="7"/>
  <c r="T2590" i="7"/>
  <c r="T2288" i="7"/>
  <c r="T2617" i="7"/>
  <c r="T2720" i="7"/>
  <c r="T2440" i="7"/>
  <c r="T3335" i="7"/>
  <c r="T3332" i="7"/>
  <c r="T3455" i="7"/>
  <c r="T3450" i="7"/>
  <c r="T3329" i="7"/>
  <c r="T3449" i="7"/>
  <c r="T3330" i="7"/>
  <c r="T3663" i="7"/>
  <c r="T2605" i="7"/>
  <c r="T3451" i="7"/>
  <c r="T4868" i="7"/>
  <c r="T3714" i="7"/>
  <c r="T4564" i="7"/>
  <c r="T4157" i="7"/>
  <c r="T4311" i="7"/>
  <c r="T4063" i="7"/>
  <c r="T4244" i="7"/>
  <c r="T4257" i="7"/>
  <c r="T4271" i="7"/>
  <c r="T4460" i="7"/>
  <c r="T4567" i="7"/>
  <c r="T4584" i="7"/>
  <c r="T4462" i="7"/>
  <c r="T144" i="7"/>
  <c r="T161" i="7"/>
  <c r="T438" i="7"/>
  <c r="T946" i="7"/>
  <c r="T109" i="7"/>
  <c r="T329" i="7"/>
  <c r="T753" i="7"/>
  <c r="T228" i="7"/>
  <c r="T560" i="7"/>
  <c r="T894" i="7"/>
  <c r="T160" i="7"/>
  <c r="T237" i="7"/>
  <c r="T349" i="7"/>
  <c r="T781" i="7"/>
  <c r="T157" i="7"/>
  <c r="T436" i="7"/>
  <c r="T780" i="7"/>
  <c r="T87" i="7"/>
  <c r="T107" i="7"/>
  <c r="T325" i="7"/>
  <c r="T779" i="7"/>
  <c r="T309" i="7"/>
  <c r="T568" i="7"/>
  <c r="T983" i="7"/>
  <c r="T1129" i="7"/>
  <c r="T1301" i="7"/>
  <c r="T1811" i="7"/>
  <c r="T1427" i="7"/>
  <c r="T1511" i="7"/>
  <c r="T1127" i="7"/>
  <c r="T1296" i="7"/>
  <c r="T1721" i="7"/>
  <c r="T1486" i="7"/>
  <c r="T1172" i="7"/>
  <c r="T1430" i="7"/>
  <c r="T825" i="7"/>
  <c r="T1124" i="7"/>
  <c r="T1493" i="7"/>
  <c r="T1109" i="7"/>
  <c r="T1293" i="7"/>
  <c r="T740" i="7"/>
  <c r="T835" i="7"/>
  <c r="T984" i="7"/>
  <c r="T1343" i="7"/>
  <c r="T1508" i="7"/>
  <c r="T2615" i="7"/>
  <c r="T2307" i="7"/>
  <c r="T3516" i="7"/>
  <c r="T2592" i="7"/>
  <c r="T2362" i="7"/>
  <c r="T1820" i="7"/>
  <c r="T2610" i="7"/>
  <c r="T2302" i="7"/>
  <c r="T2596" i="7"/>
  <c r="T2294" i="7"/>
  <c r="T2711" i="7"/>
  <c r="T2721" i="7"/>
  <c r="T2594" i="7"/>
  <c r="T3463" i="7"/>
  <c r="T3350" i="7"/>
  <c r="T3652" i="7"/>
  <c r="T3659" i="7"/>
  <c r="T3453" i="7"/>
  <c r="T3658" i="7"/>
  <c r="T3452" i="7"/>
  <c r="T3662" i="7"/>
  <c r="T2911" i="7"/>
  <c r="T3460" i="7"/>
  <c r="T3716" i="7"/>
  <c r="T4018" i="7"/>
  <c r="T3739" i="7"/>
  <c r="T4659" i="7"/>
  <c r="T4631" i="7"/>
  <c r="T4560" i="7"/>
  <c r="T4067" i="7"/>
  <c r="T4247" i="7"/>
  <c r="T4259" i="7"/>
  <c r="T4449" i="7"/>
  <c r="T4554" i="7"/>
  <c r="T4569" i="7"/>
  <c r="T4643" i="7"/>
  <c r="T4661" i="7"/>
  <c r="T327" i="7"/>
  <c r="T239" i="7"/>
  <c r="T528" i="7"/>
  <c r="T979" i="7"/>
  <c r="T146" i="7"/>
  <c r="T559" i="7"/>
  <c r="T783" i="7"/>
  <c r="T238" i="7"/>
  <c r="T576" i="7"/>
  <c r="T901" i="7"/>
  <c r="T715" i="7"/>
  <c r="T297" i="7"/>
  <c r="T351" i="7"/>
  <c r="T824" i="7"/>
  <c r="T226" i="7"/>
  <c r="T441" i="7"/>
  <c r="T890" i="7"/>
  <c r="T111" i="7"/>
  <c r="T575" i="7"/>
  <c r="T828" i="7"/>
  <c r="T314" i="7"/>
  <c r="T581" i="7"/>
  <c r="T829" i="7"/>
  <c r="T1137" i="7"/>
  <c r="T1350" i="7"/>
  <c r="T1024" i="7"/>
  <c r="T1435" i="7"/>
  <c r="T1517" i="7"/>
  <c r="T1135" i="7"/>
  <c r="T1304" i="7"/>
  <c r="T1118" i="7"/>
  <c r="T1490" i="7"/>
  <c r="T1819" i="7"/>
  <c r="T1176" i="7"/>
  <c r="T1462" i="7"/>
  <c r="T833" i="7"/>
  <c r="T1132" i="7"/>
  <c r="T1497" i="7"/>
  <c r="T1115" i="7"/>
  <c r="T1300" i="7"/>
  <c r="T745" i="7"/>
  <c r="T892" i="7"/>
  <c r="T1026" i="7"/>
  <c r="T1425" i="7"/>
  <c r="T1518" i="7"/>
  <c r="T2600" i="7"/>
  <c r="T2321" i="7"/>
  <c r="T4638" i="7"/>
  <c r="T2612" i="7"/>
  <c r="T2366" i="7"/>
  <c r="T2265" i="7"/>
  <c r="T3657" i="7"/>
  <c r="T2311" i="7"/>
  <c r="T2602" i="7"/>
  <c r="T2303" i="7"/>
  <c r="T2712" i="7"/>
  <c r="T2914" i="7"/>
  <c r="T2616" i="7"/>
  <c r="T3653" i="7"/>
  <c r="T3459" i="7"/>
  <c r="T3666" i="7"/>
  <c r="T3673" i="7"/>
  <c r="T3461" i="7"/>
  <c r="T3676" i="7"/>
  <c r="T3514" i="7"/>
  <c r="T3675" i="7"/>
  <c r="T2993" i="7"/>
  <c r="T3515" i="7"/>
  <c r="T3721" i="7"/>
  <c r="T4059" i="7"/>
  <c r="T3761" i="7"/>
  <c r="T3704" i="7"/>
  <c r="T3703" i="7"/>
  <c r="T4578" i="7"/>
  <c r="T4155" i="7"/>
  <c r="T4248" i="7"/>
  <c r="T4260" i="7"/>
  <c r="T4457" i="7"/>
  <c r="T4645" i="7"/>
  <c r="T4573" i="7"/>
  <c r="T4651" i="7"/>
  <c r="T4632" i="7"/>
  <c r="T346" i="7"/>
  <c r="T234" i="7"/>
  <c r="T571" i="7"/>
  <c r="T75" i="7"/>
  <c r="T154" i="7"/>
  <c r="T566" i="7"/>
  <c r="T977" i="7"/>
  <c r="T313" i="7"/>
  <c r="T712" i="7"/>
  <c r="T975" i="7"/>
  <c r="T826" i="7"/>
  <c r="T299" i="7"/>
  <c r="T353" i="7"/>
  <c r="T73" i="7"/>
  <c r="T236" i="7"/>
  <c r="T578" i="7"/>
  <c r="T896" i="7"/>
  <c r="T223" i="7"/>
  <c r="T150" i="7"/>
  <c r="T700" i="7"/>
  <c r="T893" i="7"/>
  <c r="T335" i="7"/>
  <c r="T708" i="7"/>
  <c r="T832" i="7"/>
  <c r="T1174" i="7"/>
  <c r="T1426" i="7"/>
  <c r="T1120" i="7"/>
  <c r="T1483" i="7"/>
  <c r="T1577" i="7"/>
  <c r="T1173" i="7"/>
  <c r="T1348" i="7"/>
  <c r="T1126" i="7"/>
  <c r="T1494" i="7"/>
  <c r="T900" i="7"/>
  <c r="T1179" i="7"/>
  <c r="T1574" i="7"/>
  <c r="T898" i="7"/>
  <c r="T1303" i="7"/>
  <c r="T1503" i="7"/>
  <c r="T1123" i="7"/>
  <c r="T1344" i="7"/>
  <c r="T749" i="7"/>
  <c r="T899" i="7"/>
  <c r="T1108" i="7"/>
  <c r="T1433" i="7"/>
  <c r="T2267" i="7"/>
  <c r="T2606" i="7"/>
  <c r="T2363" i="7"/>
  <c r="T2266" i="7"/>
  <c r="T4572" i="7"/>
  <c r="T2372" i="7"/>
  <c r="T2301" i="7"/>
  <c r="T2325" i="7"/>
  <c r="T2609" i="7"/>
  <c r="T2312" i="7"/>
  <c r="T2713" i="7"/>
  <c r="T3326" i="7"/>
  <c r="T2614" i="7"/>
  <c r="T3706" i="7"/>
  <c r="T3740" i="7"/>
  <c r="T4220" i="7"/>
  <c r="T3722" i="7"/>
  <c r="T3665" i="7"/>
  <c r="T3719" i="7"/>
  <c r="T3654" i="7"/>
  <c r="T4066" i="7"/>
  <c r="T3241" i="7"/>
  <c r="T3715" i="7"/>
  <c r="T3949" i="7"/>
  <c r="T4127" i="7"/>
  <c r="T3903" i="7"/>
  <c r="T3725" i="7"/>
  <c r="T3726" i="7"/>
  <c r="T4583" i="7"/>
  <c r="T4164" i="7"/>
  <c r="T4249" i="7"/>
  <c r="T4574" i="7"/>
  <c r="T4555" i="7"/>
  <c r="T4657" i="7"/>
  <c r="T4575" i="7"/>
  <c r="T4453" i="7"/>
  <c r="T352" i="7"/>
  <c r="T311" i="7"/>
  <c r="T714" i="7"/>
  <c r="T84" i="7"/>
  <c r="T229" i="7"/>
  <c r="T579" i="7"/>
  <c r="T300" i="7"/>
  <c r="T320" i="7"/>
  <c r="T720" i="7"/>
  <c r="T74" i="7"/>
  <c r="T834" i="7"/>
  <c r="T301" i="7"/>
  <c r="T561" i="7"/>
  <c r="T80" i="7"/>
  <c r="T307" i="7"/>
  <c r="T638" i="7"/>
  <c r="T72" i="7"/>
  <c r="T331" i="7"/>
  <c r="T158" i="7"/>
  <c r="T709" i="7"/>
  <c r="T906" i="7"/>
  <c r="T340" i="7"/>
  <c r="T716" i="7"/>
  <c r="T897" i="7"/>
  <c r="T1188" i="7"/>
  <c r="T1434" i="7"/>
  <c r="T1128" i="7"/>
  <c r="T1487" i="7"/>
  <c r="T1722" i="7"/>
  <c r="T1187" i="7"/>
  <c r="T1428" i="7"/>
  <c r="T1134" i="7"/>
  <c r="T1498" i="7"/>
  <c r="T918" i="7"/>
  <c r="T1702" i="7"/>
  <c r="T905" i="7"/>
  <c r="T1302" i="7"/>
  <c r="T1509" i="7"/>
  <c r="T1131" i="7"/>
  <c r="T1432" i="7"/>
  <c r="T758" i="7"/>
  <c r="T917" i="7"/>
  <c r="T1114" i="7"/>
  <c r="T1484" i="7"/>
  <c r="T2296" i="7"/>
  <c r="T2724" i="7"/>
  <c r="T2367" i="7"/>
  <c r="T2298" i="7"/>
  <c r="T1815" i="7"/>
  <c r="T2583" i="7"/>
  <c r="T2310" i="7"/>
  <c r="T1821" i="7"/>
  <c r="T2361" i="7"/>
  <c r="T3268" i="7"/>
  <c r="T2324" i="7"/>
  <c r="T2714" i="7"/>
  <c r="T2295" i="7"/>
  <c r="T3248" i="7"/>
  <c r="T4061" i="7"/>
  <c r="T3017" i="7"/>
  <c r="T3016" i="7"/>
  <c r="T3736" i="7"/>
  <c r="T3710" i="7"/>
  <c r="T4007" i="7"/>
  <c r="T3664" i="7"/>
  <c r="T2439" i="7"/>
  <c r="T3249" i="7"/>
  <c r="T3723" i="7"/>
  <c r="T4006" i="7"/>
  <c r="T4160" i="7"/>
  <c r="T3926" i="7"/>
  <c r="T3902" i="7"/>
  <c r="T3909" i="7"/>
  <c r="T4630" i="7"/>
  <c r="T4239" i="7"/>
  <c r="T4251" i="7"/>
  <c r="T4639" i="7"/>
  <c r="T4658" i="7"/>
  <c r="T4451" i="7"/>
  <c r="T4644" i="7"/>
  <c r="T4467" i="7"/>
  <c r="R414" i="7"/>
  <c r="R872" i="7"/>
  <c r="R550" i="7"/>
  <c r="R382" i="7"/>
  <c r="R595" i="7"/>
  <c r="R536" i="7"/>
  <c r="R388" i="7"/>
  <c r="R415" i="7"/>
  <c r="R538" i="7"/>
  <c r="R705" i="7"/>
  <c r="R991" i="7"/>
  <c r="R1360" i="7"/>
  <c r="R1359" i="7"/>
  <c r="R1694" i="7"/>
  <c r="R989" i="7"/>
  <c r="R1876" i="7"/>
  <c r="R2231" i="7"/>
  <c r="R2632" i="7"/>
  <c r="R2655" i="7"/>
  <c r="R2663" i="7"/>
  <c r="R2802" i="7"/>
  <c r="R2621" i="7"/>
  <c r="R2022" i="7"/>
  <c r="R2339" i="7"/>
  <c r="R2165" i="7"/>
  <c r="R2626" i="7"/>
  <c r="R2447" i="7"/>
  <c r="R2228" i="7"/>
  <c r="R2644" i="7"/>
  <c r="R2924" i="7"/>
  <c r="R3284" i="7"/>
  <c r="R2923" i="7"/>
  <c r="R3677" i="7"/>
  <c r="R2934" i="7"/>
  <c r="R3108" i="7"/>
  <c r="R3111" i="7"/>
  <c r="R3786" i="7"/>
  <c r="R4329" i="7"/>
  <c r="R3847" i="7"/>
  <c r="R4304" i="7"/>
  <c r="R4307" i="7"/>
  <c r="R4767" i="7"/>
  <c r="R4419" i="7"/>
  <c r="R4330" i="7"/>
  <c r="R4744" i="7"/>
  <c r="R4752" i="7"/>
  <c r="R4760" i="7"/>
  <c r="R533" i="7"/>
  <c r="R184" i="7"/>
  <c r="R552" i="7"/>
  <c r="R390" i="7"/>
  <c r="R701" i="7"/>
  <c r="R544" i="7"/>
  <c r="R396" i="7"/>
  <c r="R555" i="7"/>
  <c r="R546" i="7"/>
  <c r="R735" i="7"/>
  <c r="R1029" i="7"/>
  <c r="R1032" i="7"/>
  <c r="R1743" i="7"/>
  <c r="R1697" i="7"/>
  <c r="R1030" i="7"/>
  <c r="R2398" i="7"/>
  <c r="R2235" i="7"/>
  <c r="R2636" i="7"/>
  <c r="R2656" i="7"/>
  <c r="R2664" i="7"/>
  <c r="R2804" i="7"/>
  <c r="R2625" i="7"/>
  <c r="R2329" i="7"/>
  <c r="R2340" i="7"/>
  <c r="R2213" i="7"/>
  <c r="R2630" i="7"/>
  <c r="R2548" i="7"/>
  <c r="R2232" i="7"/>
  <c r="R2899" i="7"/>
  <c r="R3113" i="7"/>
  <c r="R3787" i="7"/>
  <c r="R3080" i="7"/>
  <c r="R2925" i="7"/>
  <c r="R2935" i="7"/>
  <c r="R3187" i="7"/>
  <c r="R3107" i="7"/>
  <c r="R3819" i="7"/>
  <c r="R4374" i="7"/>
  <c r="R3920" i="7"/>
  <c r="R4334" i="7"/>
  <c r="R4278" i="7"/>
  <c r="R4413" i="7"/>
  <c r="R4420" i="7"/>
  <c r="R4279" i="7"/>
  <c r="R4745" i="7"/>
  <c r="R4753" i="7"/>
  <c r="R4761" i="7"/>
  <c r="R540" i="7"/>
  <c r="R559" i="7"/>
  <c r="R534" i="7"/>
  <c r="R704" i="7"/>
  <c r="R549" i="7"/>
  <c r="R377" i="7"/>
  <c r="R183" i="7"/>
  <c r="R703" i="7"/>
  <c r="R391" i="7"/>
  <c r="R531" i="7"/>
  <c r="R1357" i="7"/>
  <c r="R916" i="7"/>
  <c r="R1877" i="7"/>
  <c r="R873" i="7"/>
  <c r="R1026" i="7"/>
  <c r="R1168" i="7"/>
  <c r="R2215" i="7"/>
  <c r="R2546" i="7"/>
  <c r="R2445" i="7"/>
  <c r="R2660" i="7"/>
  <c r="R2668" i="7"/>
  <c r="R2230" i="7"/>
  <c r="R2641" i="7"/>
  <c r="R2334" i="7"/>
  <c r="R2448" i="7"/>
  <c r="R2233" i="7"/>
  <c r="R3385" i="7"/>
  <c r="R2021" i="7"/>
  <c r="R2631" i="7"/>
  <c r="R3285" i="7"/>
  <c r="R4303" i="7"/>
  <c r="R3392" i="7"/>
  <c r="R3275" i="7"/>
  <c r="R2931" i="7"/>
  <c r="R2939" i="7"/>
  <c r="R3822" i="7"/>
  <c r="R4310" i="7"/>
  <c r="R4298" i="7"/>
  <c r="R3785" i="7"/>
  <c r="R4332" i="7"/>
  <c r="R3845" i="7"/>
  <c r="R4309" i="7"/>
  <c r="R4417" i="7"/>
  <c r="R4426" i="7"/>
  <c r="R4741" i="7"/>
  <c r="R4749" i="7"/>
  <c r="R4757" i="7"/>
  <c r="R4300" i="7"/>
  <c r="R4597" i="7"/>
  <c r="R4428" i="7"/>
  <c r="R4429" i="7"/>
  <c r="R4743" i="7"/>
  <c r="R4751" i="7"/>
  <c r="R13" i="12" l="1"/>
  <c r="R18" i="12"/>
  <c r="R19" i="12"/>
  <c r="W61" i="12" s="1"/>
  <c r="R12" i="12"/>
  <c r="R17" i="12"/>
  <c r="R16" i="12"/>
  <c r="R15" i="12"/>
  <c r="R14" i="12"/>
  <c r="W56" i="12" s="1"/>
  <c r="R20" i="12"/>
  <c r="W62" i="12" s="1"/>
  <c r="R11" i="12"/>
  <c r="X14" i="12"/>
  <c r="Y62" i="12"/>
  <c r="Y61" i="12"/>
  <c r="Y56" i="12"/>
  <c r="Z62" i="12" l="1"/>
  <c r="AA62" i="12"/>
  <c r="AA56" i="12"/>
  <c r="Z56" i="12"/>
  <c r="AA61" i="12"/>
  <c r="Z61" i="12"/>
  <c r="Z20" i="12"/>
  <c r="W20" i="12" s="1"/>
  <c r="W14" i="12"/>
  <c r="Z19" i="12"/>
  <c r="W57" i="12"/>
  <c r="W58" i="12"/>
  <c r="W59" i="12"/>
  <c r="W54" i="12"/>
  <c r="W60" i="12"/>
  <c r="W55" i="12"/>
  <c r="W53" i="12"/>
  <c r="W11" i="12" s="1"/>
  <c r="B185" i="15"/>
  <c r="B186" i="15"/>
  <c r="AE4" i="3" a="1"/>
  <c r="AE4" i="3" s="1"/>
  <c r="X12" i="12"/>
  <c r="X20" i="12"/>
  <c r="X13" i="12"/>
  <c r="X18" i="12"/>
  <c r="X15" i="12"/>
  <c r="X19" i="12"/>
  <c r="X17" i="12"/>
  <c r="X16" i="12"/>
  <c r="Y60" i="12"/>
  <c r="Y59" i="12"/>
  <c r="Y58" i="12"/>
  <c r="Y57" i="12"/>
  <c r="Y55" i="12"/>
  <c r="Y54" i="12"/>
  <c r="Y53" i="12"/>
  <c r="Z58" i="12" l="1"/>
  <c r="AA58" i="12"/>
  <c r="Z57" i="12"/>
  <c r="AA57" i="12"/>
  <c r="Z60" i="12"/>
  <c r="AA60" i="12"/>
  <c r="AA55" i="12"/>
  <c r="Z55" i="12"/>
  <c r="AA54" i="12"/>
  <c r="Z54" i="12"/>
  <c r="Z59" i="12"/>
  <c r="AA59" i="12"/>
  <c r="W16" i="12"/>
  <c r="W15" i="12"/>
  <c r="W18" i="12"/>
  <c r="W19" i="12"/>
  <c r="W13" i="12"/>
  <c r="W12" i="12"/>
  <c r="W17" i="12"/>
  <c r="Z53" i="12"/>
  <c r="AA53" i="12" s="1"/>
  <c r="W52" i="13"/>
  <c r="W10" i="13" s="1"/>
  <c r="X10" i="13" l="1"/>
  <c r="C248" i="22" a="1"/>
  <c r="C248" i="22" s="1"/>
  <c r="C246" i="21" a="1"/>
  <c r="C246" i="21" s="1"/>
  <c r="C271" i="19" a="1"/>
  <c r="C271" i="19" s="1"/>
  <c r="C279" i="18" a="1"/>
  <c r="C279" i="18" s="1"/>
  <c r="C242" i="2" a="1"/>
  <c r="C242" i="2" s="1"/>
  <c r="C243" i="5" a="1"/>
  <c r="C243" i="5" s="1"/>
  <c r="C247" i="15" a="1"/>
  <c r="C247" i="15" s="1"/>
  <c r="Y52" i="13"/>
  <c r="Z5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tc={8A0C72F7-EB31-4A7B-8B8E-9128C3E2CB33}</author>
    <author>tc={03FBC477-9DAA-45AF-AEC0-E9877EFAE966}</author>
  </authors>
  <commentList>
    <comment ref="A28" authorId="0" shapeId="0" xr:uid="{8A0C72F7-EB31-4A7B-8B8E-9128C3E2CB33}">
      <text>
        <t>[Threaded comment]
Your version of Excel allows you to read this threaded comment; however, any edits to it will get removed if the file is opened in a newer version of Excel. Learn more: https://go.microsoft.com/fwlink/?linkid=870924
Comment:
    Not in margin report as it is a double garage option of the Access 18</t>
      </text>
    </comment>
    <comment ref="A93" authorId="1" shapeId="0" xr:uid="{03FBC477-9DAA-45AF-AEC0-E9877EFAE966}">
      <text>
        <t>[Threaded comment]
Your version of Excel allows you to read this threaded comment; however, any edits to it will get removed if the file is opened in a newer version of Excel. Learn more: https://go.microsoft.com/fwlink/?linkid=870924
Comment:
    Double Garage of the Cabot 13</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<sst xmlns="http://schemas.openxmlformats.org/spreadsheetml/2006/main" count="60932" uniqueCount="11034">
  <si>
    <t>Price</t>
  </si>
  <si>
    <t>Included</t>
  </si>
  <si>
    <t xml:space="preserve"> - fully sarked roof</t>
  </si>
  <si>
    <t xml:space="preserve"> - whirlybird to roof with ember guard</t>
  </si>
  <si>
    <t xml:space="preserve"> - aluminium flyscreens with aluminium mesh to all openable windows</t>
  </si>
  <si>
    <t xml:space="preserve"> - metal mesh to weepholes</t>
  </si>
  <si>
    <t xml:space="preserve"> - 4mm thick A Grade Safety glass to windows within 400mm of ground</t>
  </si>
  <si>
    <t xml:space="preserve"> - solid timber external doors</t>
  </si>
  <si>
    <t xml:space="preserve"> - weather strips to the base of all external side hinged doors</t>
  </si>
  <si>
    <t xml:space="preserve"> - metal gas &amp; water pipes if exposed</t>
  </si>
  <si>
    <t>Fixed Price Site Costs including rock excavation &amp; removal if required</t>
  </si>
  <si>
    <t>Concrete Roof Tiles From Builder's Range Category1</t>
  </si>
  <si>
    <t>Colorbond Fascia, Gutter &amp; Downpipes</t>
  </si>
  <si>
    <t>Bricks From Builder's Range Category 1</t>
  </si>
  <si>
    <t>Painted Infills above windows to balance of home &amp; garage</t>
  </si>
  <si>
    <t>Plaster lined ceiling to porch and outdoor living (if applicable)</t>
  </si>
  <si>
    <t>Letterbox (with Numbers) to suit developer requirements</t>
  </si>
  <si>
    <t>Pine wall frame &amp; roof trusses</t>
  </si>
  <si>
    <t>Plasterboard walls, ceilings and cornices</t>
  </si>
  <si>
    <t>67mm single bevel architrave and skirting boards</t>
  </si>
  <si>
    <t>Melamine shelf with 1no hanging rail to bedroom robes</t>
  </si>
  <si>
    <t>Pedestrian weatherproof door (product specific)</t>
  </si>
  <si>
    <t>Concrete floor (poured as part of slab)</t>
  </si>
  <si>
    <t>Aluminium sliding windows (unless an alternative is required due to energy rating)</t>
  </si>
  <si>
    <t>Keyed alike window locks to openable windows</t>
  </si>
  <si>
    <t>Flyscreens to all openable windows</t>
  </si>
  <si>
    <t>Flood light with sensor outside laundry</t>
  </si>
  <si>
    <t>White wall mounted switches</t>
  </si>
  <si>
    <t>Interconnected smoke detectors with battery backup</t>
  </si>
  <si>
    <t>Safety switch to meter box</t>
  </si>
  <si>
    <t>Two (2) x TV points</t>
  </si>
  <si>
    <t>Two (2) prewired phone points</t>
  </si>
  <si>
    <t>Gas ducted heating to all bedrooms and living areas with programmable thermostat</t>
  </si>
  <si>
    <t>Handles from builder's range category 1</t>
  </si>
  <si>
    <t>Melamine shelving to pantry x 4</t>
  </si>
  <si>
    <t>Laundry trough in acrylic cabinet</t>
  </si>
  <si>
    <t>Polished edge mirror to full width of vanity</t>
  </si>
  <si>
    <t>Three coat paint system throughout</t>
  </si>
  <si>
    <t>Self sealing exhaust fans positioned above all showers</t>
  </si>
  <si>
    <t>Nature strips levelled &amp; seeded</t>
  </si>
  <si>
    <t>Clothesline</t>
  </si>
  <si>
    <t>Survey and drafting plans</t>
  </si>
  <si>
    <t>All permits as required by Building Regulations</t>
  </si>
  <si>
    <t>Engineer designed foundations</t>
  </si>
  <si>
    <t>Home Owners Warranty</t>
  </si>
  <si>
    <t>3 Month maintenance period</t>
  </si>
  <si>
    <t>Full house clean on completion</t>
  </si>
  <si>
    <t xml:space="preserve">Independent Quality Inspections </t>
  </si>
  <si>
    <t>NOTE</t>
  </si>
  <si>
    <t>Acceptance</t>
  </si>
  <si>
    <t>Please sign and date to indicate acceptance of this document.</t>
  </si>
  <si>
    <t>1 - HOUSE TYPE</t>
  </si>
  <si>
    <t>2 - FAÇADE</t>
  </si>
  <si>
    <t>1-1</t>
  </si>
  <si>
    <t>2-1</t>
  </si>
  <si>
    <t>3-1</t>
  </si>
  <si>
    <t>4-1</t>
  </si>
  <si>
    <t>6-1</t>
  </si>
  <si>
    <t>6-2</t>
  </si>
  <si>
    <t>6-3</t>
  </si>
  <si>
    <t>6-4</t>
  </si>
  <si>
    <t>6-5</t>
  </si>
  <si>
    <t>6-6</t>
  </si>
  <si>
    <t>6-7</t>
  </si>
  <si>
    <t>7-1</t>
  </si>
  <si>
    <t>7-2</t>
  </si>
  <si>
    <t>7-3</t>
  </si>
  <si>
    <t>7-4</t>
  </si>
  <si>
    <t>8-1</t>
  </si>
  <si>
    <t>8-2</t>
  </si>
  <si>
    <t>8-3</t>
  </si>
  <si>
    <t>8-4</t>
  </si>
  <si>
    <t>9-1</t>
  </si>
  <si>
    <t>9-2</t>
  </si>
  <si>
    <t>9-3</t>
  </si>
  <si>
    <t>10-1</t>
  </si>
  <si>
    <t>10-2</t>
  </si>
  <si>
    <t>10-3</t>
  </si>
  <si>
    <t>11-1</t>
  </si>
  <si>
    <t>11-2</t>
  </si>
  <si>
    <t>12-1</t>
  </si>
  <si>
    <t>12-2</t>
  </si>
  <si>
    <t>13-1</t>
  </si>
  <si>
    <t>13-2</t>
  </si>
  <si>
    <t>14-1</t>
  </si>
  <si>
    <t>14-2</t>
  </si>
  <si>
    <t>14-3</t>
  </si>
  <si>
    <t>15-1</t>
  </si>
  <si>
    <t>15-2</t>
  </si>
  <si>
    <t>16-1</t>
  </si>
  <si>
    <t>16-2</t>
  </si>
  <si>
    <t>17-1</t>
  </si>
  <si>
    <t>17-2</t>
  </si>
  <si>
    <t>17-3</t>
  </si>
  <si>
    <t>18-1</t>
  </si>
  <si>
    <t>18-2</t>
  </si>
  <si>
    <t>18-3</t>
  </si>
  <si>
    <t>18-4</t>
  </si>
  <si>
    <t>19-1</t>
  </si>
  <si>
    <t>19-2</t>
  </si>
  <si>
    <t>20-1</t>
  </si>
  <si>
    <t>20-2</t>
  </si>
  <si>
    <t>Name:</t>
  </si>
  <si>
    <t>Address:</t>
  </si>
  <si>
    <t xml:space="preserve">Total:  </t>
  </si>
  <si>
    <t>Estate:</t>
  </si>
  <si>
    <t>Tiled shower base</t>
  </si>
  <si>
    <t>BAL12.5 rating area the following items if required:</t>
  </si>
  <si>
    <t>Colorbond sectional garage door with 2 remotes</t>
  </si>
  <si>
    <t>Entrance Set (to all external hinged doors)</t>
  </si>
  <si>
    <t xml:space="preserve">Lever door handles to passage doors </t>
  </si>
  <si>
    <t>Lever half set door handles to hinged robe doors</t>
  </si>
  <si>
    <t>Sink mixer tap</t>
  </si>
  <si>
    <t>Single towel rail and toilet roll holder</t>
  </si>
  <si>
    <t>Acrylic bath</t>
  </si>
  <si>
    <t>Wall Tiles to wet areas as per colour document</t>
  </si>
  <si>
    <t>Mixer tap  &amp; shower outlet</t>
  </si>
  <si>
    <t>One (1) x  TV antenna (may be deleted if not allowed in estate)</t>
  </si>
  <si>
    <t>Natural Colour Mortar with Rolled Joints</t>
  </si>
  <si>
    <t>Two part Termite Treatment in accordance with Aust. Standard AS3660</t>
  </si>
  <si>
    <t>Engineered waffle slab concrete floor</t>
  </si>
  <si>
    <t>Flush panel internal access door (plan specific)</t>
  </si>
  <si>
    <t>Double power points throughout (includes 1xexternal power point to outdoor living-if applicable &amp; single power points to fridge, dishwasher &amp; range hood)</t>
  </si>
  <si>
    <t>Tiles to splashback (as per colour selection)</t>
  </si>
  <si>
    <t xml:space="preserve">All service connections (excl customer account opening &amp; fibre optic connection) </t>
  </si>
  <si>
    <t>The builder has the right to substitute or change any of the above items without notice or notification.</t>
  </si>
  <si>
    <t>Mixer tap &amp; shower outlet</t>
  </si>
  <si>
    <t>JOB NUMBER</t>
  </si>
  <si>
    <t xml:space="preserve">Laminate cabinet </t>
  </si>
  <si>
    <t>Laminate cabinet</t>
  </si>
  <si>
    <t>Laminate cabinets, including overhead cupboards</t>
  </si>
  <si>
    <t>6-8</t>
  </si>
  <si>
    <t>Staircase consists of MDF treads, risers &amp; stringers suitable for painting.  Pine handrail suitable for painting.</t>
  </si>
  <si>
    <t>2590mm ceiling height to ground floor/ 2440mm ceiling height to first floor</t>
  </si>
  <si>
    <t>Carpet to balance of home, including stairs</t>
  </si>
  <si>
    <t>Compacted paths around perimeter of home and under clothesline</t>
  </si>
  <si>
    <t>Obscure glazing to Ensuite, Bathroom and WC</t>
  </si>
  <si>
    <t>Privacy locks to be installed on all Bathrooms, Ensuites, WC's and Powder Rooms</t>
  </si>
  <si>
    <t>10-4</t>
  </si>
  <si>
    <t>Fencing as per developer's requirements</t>
  </si>
  <si>
    <t>1No. Split System Air Conditioner to Main Living Area and 1No.to Master Bedroom on a Double Storey  (2No. Total).</t>
  </si>
  <si>
    <t>Section of turf to front &amp; rear yards</t>
  </si>
  <si>
    <t>Brick Infills above windows to front Façade only</t>
  </si>
  <si>
    <t>Double Cylinder deadbolt</t>
  </si>
  <si>
    <t>75mm scotia cornice</t>
  </si>
  <si>
    <t xml:space="preserve">LED downlights throughout </t>
  </si>
  <si>
    <t>External venting to all exhaust fans and rangehoods</t>
  </si>
  <si>
    <t xml:space="preserve">Drip Irrigation connected to two (2) garden taps with timers </t>
  </si>
  <si>
    <t>4 - BAL 12.5</t>
  </si>
  <si>
    <t>6-9</t>
  </si>
  <si>
    <t>6-10</t>
  </si>
  <si>
    <t>6-11</t>
  </si>
  <si>
    <t>6-12</t>
  </si>
  <si>
    <t>9-4</t>
  </si>
  <si>
    <t>9-5</t>
  </si>
  <si>
    <t>13-3</t>
  </si>
  <si>
    <t>13-4</t>
  </si>
  <si>
    <t>13-5</t>
  </si>
  <si>
    <t>13-6</t>
  </si>
  <si>
    <t>13-7</t>
  </si>
  <si>
    <t>13-8</t>
  </si>
  <si>
    <t>13-9</t>
  </si>
  <si>
    <t>13-10</t>
  </si>
  <si>
    <t>10-5</t>
  </si>
  <si>
    <t>Inset Vanity basin</t>
  </si>
  <si>
    <t>Raymor Toilet roll holder</t>
  </si>
  <si>
    <t>4 star closed coupled toilet suite</t>
  </si>
  <si>
    <t>Builder:________________________________________________Date:___________</t>
  </si>
  <si>
    <t>Client:_________________________________________________Date:___________</t>
  </si>
  <si>
    <t>Barrier Door to all Sliding Glass Doors</t>
  </si>
  <si>
    <t xml:space="preserve">900mm 9 Function freestanding Cooker </t>
  </si>
  <si>
    <t xml:space="preserve">900mm Stainless Steel Curved Glass Canopy Rangehood </t>
  </si>
  <si>
    <t xml:space="preserve">600mm Stainless Steel dishwasher </t>
  </si>
  <si>
    <t>Floor tiles to wet areas as per colour document</t>
  </si>
  <si>
    <t>14-4</t>
  </si>
  <si>
    <t>14-5</t>
  </si>
  <si>
    <t>14-6</t>
  </si>
  <si>
    <t>14-7</t>
  </si>
  <si>
    <t>14-8</t>
  </si>
  <si>
    <t>14-9</t>
  </si>
  <si>
    <t>14-10</t>
  </si>
  <si>
    <t>19-3</t>
  </si>
  <si>
    <t>19-4</t>
  </si>
  <si>
    <t>19-5</t>
  </si>
  <si>
    <t>19-6</t>
  </si>
  <si>
    <t>19-7</t>
  </si>
  <si>
    <t>19-8</t>
  </si>
  <si>
    <t>20-3</t>
  </si>
  <si>
    <t>20-4</t>
  </si>
  <si>
    <t>20-5</t>
  </si>
  <si>
    <t>20-6</t>
  </si>
  <si>
    <t>20-7</t>
  </si>
  <si>
    <t>20-8</t>
  </si>
  <si>
    <t>20-9</t>
  </si>
  <si>
    <t>CLIENT DETAILS</t>
  </si>
  <si>
    <t>JOB DETAILS</t>
  </si>
  <si>
    <t>BUILD DETAILS</t>
  </si>
  <si>
    <t>ITEM</t>
  </si>
  <si>
    <t>DESCRIPTION</t>
  </si>
  <si>
    <t>PRICE</t>
  </si>
  <si>
    <t>3 - SITE COSTS</t>
  </si>
  <si>
    <t>Cabot 13</t>
  </si>
  <si>
    <t>Lucas 14</t>
  </si>
  <si>
    <t>Novo 14</t>
  </si>
  <si>
    <t>Lucas 16</t>
  </si>
  <si>
    <t>Chelsea 16</t>
  </si>
  <si>
    <t>Onix 17</t>
  </si>
  <si>
    <t>Gama 17</t>
  </si>
  <si>
    <t>Jackson 18</t>
  </si>
  <si>
    <t>Drake 19</t>
  </si>
  <si>
    <t>Perkins 19</t>
  </si>
  <si>
    <t>Flinders 19</t>
  </si>
  <si>
    <t>Walker 20</t>
  </si>
  <si>
    <t>Jasper 20</t>
  </si>
  <si>
    <t>Cook 20</t>
  </si>
  <si>
    <t>Elwood 20L</t>
  </si>
  <si>
    <t>Elwood 20</t>
  </si>
  <si>
    <t>Heath 21</t>
  </si>
  <si>
    <t>Kennedy 22L GE</t>
  </si>
  <si>
    <t>Kennedy 22L</t>
  </si>
  <si>
    <t>Wentworth 22</t>
  </si>
  <si>
    <t>Kennedy 22</t>
  </si>
  <si>
    <t>Cortez 23</t>
  </si>
  <si>
    <t>Bass 23</t>
  </si>
  <si>
    <t>Wentworth 24</t>
  </si>
  <si>
    <t>Marco 25</t>
  </si>
  <si>
    <t>Platinum 24</t>
  </si>
  <si>
    <t>Polo 26</t>
  </si>
  <si>
    <t>Hudson 28</t>
  </si>
  <si>
    <t>Spencer 17</t>
  </si>
  <si>
    <t>Spencer 20</t>
  </si>
  <si>
    <t>Catalina 22</t>
  </si>
  <si>
    <t>Catalina 22 GE</t>
  </si>
  <si>
    <t>Spencer 24</t>
  </si>
  <si>
    <t>Oxford 27</t>
  </si>
  <si>
    <t>Cambridge 28</t>
  </si>
  <si>
    <t>Cambridge 31</t>
  </si>
  <si>
    <t>House</t>
  </si>
  <si>
    <t>Nelson</t>
  </si>
  <si>
    <t>Holt</t>
  </si>
  <si>
    <t>Summit</t>
  </si>
  <si>
    <t>Duke</t>
  </si>
  <si>
    <t>President</t>
  </si>
  <si>
    <t>Elementary</t>
  </si>
  <si>
    <t>Alpha</t>
  </si>
  <si>
    <t>Prominent</t>
  </si>
  <si>
    <t>Traditional</t>
  </si>
  <si>
    <t>Keating</t>
  </si>
  <si>
    <t>Coastal Cottage theme, full render to facade, eaves as standard to the front with 1.5m return.</t>
  </si>
  <si>
    <t>Storey</t>
  </si>
  <si>
    <t>Single</t>
  </si>
  <si>
    <t>Double</t>
  </si>
  <si>
    <t>House Details</t>
  </si>
  <si>
    <t>4 Bed, 2 Bath, Double Car Garage, 2 Living Areas, Outdoor Living</t>
  </si>
  <si>
    <t>4 Bed, 2 Bath, Double Car Garage, 1 Living Area, Study</t>
  </si>
  <si>
    <t>4 Bed, 2 Bath, Double Car Garage, 1 Living Area, Outdoor Living</t>
  </si>
  <si>
    <t>3 Bed, 2 Bath, Single Car Garage, 1 Living Area</t>
  </si>
  <si>
    <t xml:space="preserve">3 Bed, 2 Bath, Double Car Garage, 1 Living Area </t>
  </si>
  <si>
    <t>3 Bed, 2 Bath, Double Car Garage, 1 Living Area</t>
  </si>
  <si>
    <t>4 Bed, 2 Bath, Double Car Garage, 1 Living Area</t>
  </si>
  <si>
    <t>4 Bed, 2 Bath, Double Car Garage, 2 Living Areas, Outdoor Living, Study</t>
  </si>
  <si>
    <t>4 Bed, 2 Bath, Double Car Garage, 2 Living Areas, Study</t>
  </si>
  <si>
    <t>5 Bed, 3 Bath, Double Car Garage, 2 Living Areas, Study</t>
  </si>
  <si>
    <t>5 Bed, 3 Bath, Double Car Garage, 3 Living Areas, Outdoor Living, Study</t>
  </si>
  <si>
    <t>4 Bed, 3 Bath, Double Car Garage, 2 Living Areas</t>
  </si>
  <si>
    <t>4 Bed, 2 Bath, Single Car Garage, 1 Living Area</t>
  </si>
  <si>
    <t>4 Bed, 3 Bath, Double Car Garage, 2 Living Areas, Outdoor Living</t>
  </si>
  <si>
    <t>Squares</t>
  </si>
  <si>
    <t>Pricing at:</t>
  </si>
  <si>
    <t>Sales Estimator</t>
  </si>
  <si>
    <t>Julian Cuno</t>
  </si>
  <si>
    <t>Chris McEvey</t>
  </si>
  <si>
    <t>David Glavich</t>
  </si>
  <si>
    <t>Single House List</t>
  </si>
  <si>
    <t>Double House List</t>
  </si>
  <si>
    <t>Facade</t>
  </si>
  <si>
    <t>Facade Price</t>
  </si>
  <si>
    <t>Facade Details</t>
  </si>
  <si>
    <t>Single selected Facade List</t>
  </si>
  <si>
    <t>Curlewis 3222</t>
  </si>
  <si>
    <t>Torquay 3228</t>
  </si>
  <si>
    <t>Armstrong Creek 3217</t>
  </si>
  <si>
    <t>Delacombe 3356</t>
  </si>
  <si>
    <t>Leopold 3224</t>
  </si>
  <si>
    <t>Charlemont 3217</t>
  </si>
  <si>
    <t xml:space="preserve">St Leonards 3223 </t>
  </si>
  <si>
    <t>Mount Duneed 3217</t>
  </si>
  <si>
    <t>Warragul 3820</t>
  </si>
  <si>
    <t>Longwarry 3816</t>
  </si>
  <si>
    <t>Drouin 3818</t>
  </si>
  <si>
    <t>Lang Lang 3984</t>
  </si>
  <si>
    <t>Ocean Grove 3226</t>
  </si>
  <si>
    <t>Smythes Creek 3351</t>
  </si>
  <si>
    <t>Ballarat 3350</t>
  </si>
  <si>
    <t>Bonshaw 3352</t>
  </si>
  <si>
    <t>Alfredton 3350</t>
  </si>
  <si>
    <t>Winter Valley 3358</t>
  </si>
  <si>
    <t>Point Lonsdale 3225</t>
  </si>
  <si>
    <t>Newborough 3825</t>
  </si>
  <si>
    <t>Churchill 3842</t>
  </si>
  <si>
    <t>Morwell 3840</t>
  </si>
  <si>
    <t>Moe 3825</t>
  </si>
  <si>
    <t>Traralgon 3844</t>
  </si>
  <si>
    <t>Lucas 3350</t>
  </si>
  <si>
    <t>Portarlington 3223</t>
  </si>
  <si>
    <t>Sebastopol 3356</t>
  </si>
  <si>
    <t>Travel Surcharge</t>
  </si>
  <si>
    <t>$$</t>
  </si>
  <si>
    <t>&gt; 73.0m</t>
  </si>
  <si>
    <t>Total m</t>
  </si>
  <si>
    <t>double palings</t>
  </si>
  <si>
    <t>Neetascreen</t>
  </si>
  <si>
    <t>Mini Orb</t>
  </si>
  <si>
    <t>Total $$</t>
  </si>
  <si>
    <t>CNT Corp fibre estate package including:
- Lead-in cables 
- 32mm conduit including drawstring from Meter Box to approved Multinet Enclosure located in Garage
- 1No. Multinet Enclosure installation in Garage as per specification
- 1No. RJ45 Data Hub within Enclosure  
- 1No. Double GPO within enclosure as required
- 2No. TV with a data point on plate
- 2No. Phone 
- 2No. Data
- CAT6 cable CAT6 mech
Note: Excludes connection.</t>
  </si>
  <si>
    <t>Provide Redtrain basic fibre pack including:
- Internal conduit with draw string
- 1No. GPO
- 2No. Phone points (run to plates on wall in Garage for patching to Redtrain supplied product)
- 1No. Data point (run to plates on wall in Garage for patching to Redtrain supplied product)
- CAT6 cable CAT6 mech
Note: Excludes connection.</t>
  </si>
  <si>
    <t>Provide Fibre Optic wiring to the home to suit Estate Requirements.</t>
  </si>
  <si>
    <t>Provide TELSTRA Velocity Basic pack including:
- 1No. Double GPO
- 1No. 32mm comms pipe from ONT to garage with draw string
- 1No. Krone Bracket 
- 1No. TV distributor
- 2No. TV points 
- 2No. Phone points 
- 1No. Data Point
- CAT6 cable CAT6 mech
Note: Excludes connection.</t>
  </si>
  <si>
    <t>(15m*60)</t>
  </si>
  <si>
    <t>(18m)</t>
  </si>
  <si>
    <t>$$ are for 1m of fence, inc GST &amp; 30% margin. Half cost X 2.07</t>
  </si>
  <si>
    <t>Estate</t>
  </si>
  <si>
    <t>Stage</t>
  </si>
  <si>
    <t>Suburb</t>
  </si>
  <si>
    <t>POS number</t>
  </si>
  <si>
    <t xml:space="preserve">Developer: </t>
  </si>
  <si>
    <t>Contact:</t>
  </si>
  <si>
    <t>Contact mobile:</t>
  </si>
  <si>
    <t>Contact email:</t>
  </si>
  <si>
    <t>Fibre optic - $600</t>
  </si>
  <si>
    <t>Provide 450mm wide eaves to the front Façade, returning 1500mm down both sides of house (excluding walls on boundary).</t>
  </si>
  <si>
    <t>Provide 450mm wide eaves to the front Façade, returning 3000mm down both sides of house (excluding walls on boundary).</t>
  </si>
  <si>
    <t>Provide 1No. 2000 litre Slim Line Poly Water Tank including plumbing and connections for up to 3No. Toilets.</t>
  </si>
  <si>
    <t>Provide 1No. 5000 litre Slim Line Poly Water Tank including plumbing and connections for up to 3No. Toilets.
Price includes a crane lift into the backyard.</t>
  </si>
  <si>
    <t>Provide approx. 1800mm high additional timber fencing. Includes wing fence and Gate.</t>
  </si>
  <si>
    <t>Provide approx. 1800mm high timber fencing with capping. Includes wing fence and Gate.</t>
  </si>
  <si>
    <t>Provide approx. 1800mm high Colourbond fencing in lieu of timber palings. Includes wing fence and Gate. Colour to be .</t>
  </si>
  <si>
    <t>Provide approx. 1800mm high timber fencing with capping and 125x125 exposed posts in lieu of timber palings. Includes wing fence and Gate.</t>
  </si>
  <si>
    <t>Provide approx. 1800mm high timber fencing with capping and 125x75 exposed posts in lieu of timber palings. Includes wing fence and Gate.</t>
  </si>
  <si>
    <t>Provide a 25 degree roof pitch in lieu of 22.5 degrees.</t>
  </si>
  <si>
    <t>Provide Colorbond Roofing with 1No. Whirlybird and Sarking in lieu of category 1 roof tiles.</t>
  </si>
  <si>
    <t>Provide colour through concrete Driveway, Path and Front Porch in lieu of colour on concrete.</t>
  </si>
  <si>
    <t>Provide a corner treatment, as per design guidelines, to the second street frontage.</t>
  </si>
  <si>
    <t>Provide category 1 brickwork above the Garage door in lieu of painted infill panel.</t>
  </si>
  <si>
    <t>Provide category 1 brickwork above all Windows &amp; all Doors in lieu of painted infill panel.</t>
  </si>
  <si>
    <t>Provide 2590mm high ceilings to the ground floor.</t>
  </si>
  <si>
    <t>Provide 2720mm high ceilings to the ground floor.</t>
  </si>
  <si>
    <t>Provide a Rendered finish to the front projection in lieu of face brickwork.</t>
  </si>
  <si>
    <t>Provide a Rendered finish to the whole front Façade in lieu of face brickwork.</t>
  </si>
  <si>
    <t>Travel surcharge.</t>
  </si>
  <si>
    <t>Provide 2No. Advanced trees, additional shrubs and ground cover plants.</t>
  </si>
  <si>
    <t>Provide 1No. Single crossover and footpath to the primary street frontage.</t>
  </si>
  <si>
    <t xml:space="preserve">16-22 Bend Road </t>
  </si>
  <si>
    <t>Keysborough 3173</t>
  </si>
  <si>
    <t>746784A</t>
  </si>
  <si>
    <t>No Estate</t>
  </si>
  <si>
    <t xml:space="preserve"> </t>
  </si>
  <si>
    <t>Provide a Council OH&amp;S requirements including:
- Temporary Crossover Protection
- Silt Protection
- Temporary Fencing
- Termite treatment including Part A Slab Penetrations and Part B Perimeter Treatment
- Asset Protection Permit
Note: This is a fixed price item.
$1000</t>
  </si>
  <si>
    <t>Note: Any additional items required to meet Residential Building Codes (that may include, but not be limited to, Overlooking, Overshadowing and Window Screens) will be priced accordingly when a Building Permit is requested. If a cost is incurred, this will be passed onto the client via a Variation.
Note Only.</t>
  </si>
  <si>
    <t>The client is responsible for the availability of electricity pit, legal point of discharge for stormwater, water tapping, sewer point and gas main prior to the Builder commencing on site.
Note Only.</t>
  </si>
  <si>
    <t>Any Dispensation Requirements will be applied for and charged to the client, if required, once Rescode Assessment is completed.
Note Only.</t>
  </si>
  <si>
    <t>Provide Re-Establishment Survey due to being in an established area.
$1000</t>
  </si>
  <si>
    <t>Built in accordance with 2019 NCC regulations.
Note Only.</t>
  </si>
  <si>
    <t>Provide a full House Clean on completion.
Note Only.</t>
  </si>
  <si>
    <t>Provide Independent Quality Inspections.
Note Only.</t>
  </si>
  <si>
    <t>If a Contract is requested by the client prior to all information being gathered, including but limited to Council Requirements, and a cost is incurred, this will be passed onto the client via a Post Contract Variation.
Note Only.</t>
  </si>
  <si>
    <t>Trees, tree root systems, rubbish, long grass etc. on the site are to be removed by the client prior to the Builder commencing on site.
Note Only.</t>
  </si>
  <si>
    <t>The client is responsible for identifying the correct boundaries of the land. If a Re-Establishment Survey is required to establish the correct boundaries of the land, this will be at a cost to the client.
Note Only.</t>
  </si>
  <si>
    <t>The client is responsible for supplying All Weather Access to the site during the build process. This may include, but is not limited to, crushed rock around a wet/muddy site to allow safe access of machinery and/or materials to site. The decision to use this will be made by the Site Supervisor and charged to the client by way of Variation.
Note Only.</t>
  </si>
  <si>
    <t>152 Stanley Road</t>
  </si>
  <si>
    <t>837101C</t>
  </si>
  <si>
    <t>Alice Wong</t>
  </si>
  <si>
    <t>0401 650 862</t>
  </si>
  <si>
    <t>awong@barryplant.com.au</t>
  </si>
  <si>
    <t>2501 Thamballina Road</t>
  </si>
  <si>
    <t>Clifton Springs 3222</t>
  </si>
  <si>
    <t>241 Dyson Drive</t>
  </si>
  <si>
    <t>830182M</t>
  </si>
  <si>
    <t>Leigh Hutchinson</t>
  </si>
  <si>
    <t>0407 861 960</t>
  </si>
  <si>
    <t>Leigh@doepels.com.au</t>
  </si>
  <si>
    <t>Basalt</t>
  </si>
  <si>
    <t>830183K</t>
  </si>
  <si>
    <t>408 861 960</t>
  </si>
  <si>
    <t>46 Annabella Street</t>
  </si>
  <si>
    <t>Cranbourne East 3977</t>
  </si>
  <si>
    <t>713949E/S2</t>
  </si>
  <si>
    <t>47S Strathlea Drive</t>
  </si>
  <si>
    <t>Cranbourne West 3977</t>
  </si>
  <si>
    <t>837751K</t>
  </si>
  <si>
    <t>Stephen Maher</t>
  </si>
  <si>
    <t>0409 488 433</t>
  </si>
  <si>
    <t>Smaher@oreana.com.au</t>
  </si>
  <si>
    <t>910 Bridge In</t>
  </si>
  <si>
    <t>Doreen 3754</t>
  </si>
  <si>
    <t>831538S</t>
  </si>
  <si>
    <t>Harcourts</t>
  </si>
  <si>
    <t>Jason Bertram</t>
  </si>
  <si>
    <t>0422 316 927</t>
  </si>
  <si>
    <t>Jason.bertram@harcourts.com.au</t>
  </si>
  <si>
    <t>Cressida Rise (920 Bridge Inn)</t>
  </si>
  <si>
    <t>848240A</t>
  </si>
  <si>
    <t>Development of lots with a width of 10m or less where measures at the front wall of the dwelling, must not contain any garage other than a single garage</t>
  </si>
  <si>
    <t>17 Ayesha Street</t>
  </si>
  <si>
    <t>Melton South 3338</t>
  </si>
  <si>
    <t>637743Y</t>
  </si>
  <si>
    <t>53 Westernport Road</t>
  </si>
  <si>
    <t>809458R</t>
  </si>
  <si>
    <t>28a Regent Street</t>
  </si>
  <si>
    <t>Mernda 3754</t>
  </si>
  <si>
    <t>836610K</t>
  </si>
  <si>
    <t>AJ Stafford Property Services</t>
  </si>
  <si>
    <t>Lisa Stafford</t>
  </si>
  <si>
    <t>0402 122 671</t>
  </si>
  <si>
    <t>lisa@ajstafford.com.au</t>
  </si>
  <si>
    <t>Lots with a width of 10m or less must not contain any garage other than a single garage</t>
  </si>
  <si>
    <t>12 Melzak Way</t>
  </si>
  <si>
    <t>600756W</t>
  </si>
  <si>
    <t>Must be at least 120m2</t>
  </si>
  <si>
    <t>20 Martin Close</t>
  </si>
  <si>
    <t>South Morang 3752</t>
  </si>
  <si>
    <t>812698B</t>
  </si>
  <si>
    <t>First National JXRE</t>
  </si>
  <si>
    <t>Kevin Mizzi</t>
  </si>
  <si>
    <t>kevinmizzi@jxre.com.au</t>
  </si>
  <si>
    <t>Single storey walls and garages may be built to the boundary on one side of the lot for a maximum
total length of 12m, refer to section 1.4
Minimum 1m side setback is required for on the opposite side boundary</t>
  </si>
  <si>
    <t>BAL 19 rated site including the following items:
- fully sarked roof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 $600
Lots 1-4, 8-12, 26-27 only</t>
  </si>
  <si>
    <t>105-111 Grices Road</t>
  </si>
  <si>
    <t>Clyde North 3978</t>
  </si>
  <si>
    <t>825060G</t>
  </si>
  <si>
    <t>Peake Real Estate</t>
  </si>
  <si>
    <t>03 5942 1207</t>
  </si>
  <si>
    <t>kristent@peakerealestate.com.au</t>
  </si>
  <si>
    <t>No boundary to boundary</t>
  </si>
  <si>
    <t>Garage opening cannot exceed 40% of lot width unless the building is two or more storeys and on a lot with an
area between 250 to 300 square metres whereby the garage opening must not exceed
30% of the area of the front façade of the dwelling with the area of the front façade
measured from a two dimensional elevation plan of the façade excluding the area of the
roof of the dwelling</t>
  </si>
  <si>
    <t>1070-1090 Leakes Rd</t>
  </si>
  <si>
    <t>Mt Cottrell 3024</t>
  </si>
  <si>
    <t>812418L</t>
  </si>
  <si>
    <t>26 Herberts Lane</t>
  </si>
  <si>
    <t>Diamond Creek 3089</t>
  </si>
  <si>
    <t>828836C</t>
  </si>
  <si>
    <t>Acacia Estate</t>
  </si>
  <si>
    <t>Botanic Ridge 3977</t>
  </si>
  <si>
    <t>800992T</t>
  </si>
  <si>
    <t>Peet</t>
  </si>
  <si>
    <t>Jason Bailes</t>
  </si>
  <si>
    <t>0437 373 753</t>
  </si>
  <si>
    <t>jason.bailes@peet.com.au</t>
  </si>
  <si>
    <t>Provide approx. 1890mm High Colorbond Lysaght Miniscreen Fencing, Grey Ridge in colour in lieu of timber palings. Includes wing fence and Gate.********
Required on secondary street frontage on corner block ONLY. Calculate Lm x Z3</t>
  </si>
  <si>
    <t>Provide approx. 1890mm High Colorbond Neetascreen Fencing, Grey Ridge in colour in lieu of timber palings. Includes wing fence and Gate. 
Copy X2 &amp; X3 over T6 &amp; T7.</t>
  </si>
  <si>
    <t>820454L</t>
  </si>
  <si>
    <t>817180R</t>
  </si>
  <si>
    <t>820458C</t>
  </si>
  <si>
    <t>808042F</t>
  </si>
  <si>
    <t>Acacia Village</t>
  </si>
  <si>
    <t>Wollert 3750</t>
  </si>
  <si>
    <t>829732K</t>
  </si>
  <si>
    <t>Red 23</t>
  </si>
  <si>
    <t>Vivienne Zablocki</t>
  </si>
  <si>
    <t>0416 299 936</t>
  </si>
  <si>
    <t>vivienne@red23.com.au</t>
  </si>
  <si>
    <t>For lots less than 300m², the minimum dwelling size is 100m²
- excluding garage, porch, verandah, pergola, balcony or
alfresco areas.
• For lots between 300m² - 450m², the minimum dwelling size is
120m² - excluding garage, porch, verandah, pergola, balcony
or alfresco areas.
• For lots greater than 450m², the minimum dwelling size is
150m² - excluding garage, porch, verandah, pergola, balcony
or alfresco areas.</t>
  </si>
  <si>
    <t>Garage openings must be no more than 40% of the width of
the lot frontage. In the case of a double storey dwelling on a lot
with a frontage of less than 12m, a garage opening must not
exceed 25% of the area of the front façade of the dwelling.</t>
  </si>
  <si>
    <t>Woodland Grey</t>
  </si>
  <si>
    <t>Start with $30K site costs and work up</t>
  </si>
  <si>
    <t>833330H</t>
  </si>
  <si>
    <t>833331F</t>
  </si>
  <si>
    <t>Accolade Estate</t>
  </si>
  <si>
    <t>Rockbank 3335</t>
  </si>
  <si>
    <t>808404W</t>
  </si>
  <si>
    <t>Resi Ventures</t>
  </si>
  <si>
    <t>Andy Soetedja</t>
  </si>
  <si>
    <t>0400 828 747</t>
  </si>
  <si>
    <t>andy@red23.com.au</t>
  </si>
  <si>
    <t>Entire on doubles. $3300</t>
  </si>
  <si>
    <t>Garage door openings on single storeys must not exceed 40% of the lot frontage.</t>
  </si>
  <si>
    <t>811534P</t>
  </si>
  <si>
    <t>811535M</t>
  </si>
  <si>
    <t>816276H</t>
  </si>
  <si>
    <t>816296B</t>
  </si>
  <si>
    <t>820076S</t>
  </si>
  <si>
    <t>820077Q</t>
  </si>
  <si>
    <t>820085R</t>
  </si>
  <si>
    <t>842526N</t>
  </si>
  <si>
    <t>842541S</t>
  </si>
  <si>
    <t>842543N</t>
  </si>
  <si>
    <t>848716A</t>
  </si>
  <si>
    <t>848728S</t>
  </si>
  <si>
    <t>902137T</t>
  </si>
  <si>
    <t>902141D</t>
  </si>
  <si>
    <t>Adara Estate</t>
  </si>
  <si>
    <t>Thomastown 3074</t>
  </si>
  <si>
    <t>746225P</t>
  </si>
  <si>
    <t>Wolfdene</t>
  </si>
  <si>
    <t>Ted Window</t>
  </si>
  <si>
    <t>0405 693 067</t>
  </si>
  <si>
    <t>ted@wolfdene.com.au</t>
  </si>
  <si>
    <t>Allowance for Future Design Guidelines. $3740</t>
  </si>
  <si>
    <t>Allowance for Acoustic rated walls. $15000 single, $20000 double.</t>
  </si>
  <si>
    <t>746225P/S2</t>
  </si>
  <si>
    <t>Affinity</t>
  </si>
  <si>
    <t>1A</t>
  </si>
  <si>
    <t>Tarneit 3029</t>
  </si>
  <si>
    <t>847981K</t>
  </si>
  <si>
    <t>Entire if double 3300</t>
  </si>
  <si>
    <t>Garage doors shall not comprise more than 40% of the lot frontage or more than 40% of the total front façade areas for double storey</t>
  </si>
  <si>
    <t>Greater than 300m2 3000L $6500</t>
  </si>
  <si>
    <t>1B</t>
  </si>
  <si>
    <t>Alamora</t>
  </si>
  <si>
    <t>841640V</t>
  </si>
  <si>
    <t>Sree Datti</t>
  </si>
  <si>
    <t>0490 405 581</t>
  </si>
  <si>
    <t>s.datti@oliverhume.com.au</t>
  </si>
  <si>
    <t>The minimum dwelling size is:
• 160m2 in the case of a lot having an area of
500m2 or greater;
• 130m2 in the case of a lot having an area of
400m2 or greater than but less than 500m2;
• 100m2 in the case of a lot having an area of
300m2 or greater than but less than 400m2;
• 75m2 in the case of a lot having an area of
less than 300m2 or greater</t>
  </si>
  <si>
    <t>All homes must allow for an enclosed double garage for car
accommodation for lots greater than 12.5 metres wide.</t>
  </si>
  <si>
    <t>For Lots greater than 350m2 - $4950</t>
  </si>
  <si>
    <t>All homes must have double glazed - single $8,000, double $13,000</t>
  </si>
  <si>
    <t>Doubles: Elite and Alpha
Singles: Duke, Watson and President</t>
  </si>
  <si>
    <t>841640V/S2</t>
  </si>
  <si>
    <t>841640V/S3</t>
  </si>
  <si>
    <t>841640V/S4</t>
  </si>
  <si>
    <t>841640V/S5</t>
  </si>
  <si>
    <t>841640V/S6</t>
  </si>
  <si>
    <t>841640V/S7</t>
  </si>
  <si>
    <t>905192T</t>
  </si>
  <si>
    <t>905192T/S2</t>
  </si>
  <si>
    <t>905192T/S3</t>
  </si>
  <si>
    <t>Alarah East Estate</t>
  </si>
  <si>
    <t>4A</t>
  </si>
  <si>
    <t>Cranbourne 3977</t>
  </si>
  <si>
    <t>724509X/S3</t>
  </si>
  <si>
    <t>Khoa Nguyen</t>
  </si>
  <si>
    <t>0408 102 944</t>
  </si>
  <si>
    <t>khoa@wolfdene.com.au</t>
  </si>
  <si>
    <t>Total site coverage must not exceed 60%. Note: Site coverage does not include unroofed decks, unroofed pergolas, unroofed verandahs, swimming pools or eaves, fascias and gutters with a total width of 500mm or less.
Dwellings on lots 300-450m2 must have a minimum floor area of 100m2.
Dwellings on lots 451-600m2 must have a minimum floor area of 140m2.
Dwellings on lots exceeding 601m2 must have a minimum floor area of 165m2.</t>
  </si>
  <si>
    <t>Garages must not be greater than 40% of the total lot frontage and/or 6m in width, whichever is lesser.</t>
  </si>
  <si>
    <t>Provide approx. 1800mm high Merbau fencing arranged horizontally to wing fence and Gate in lieu of timber palings. CORNER= $1100</t>
  </si>
  <si>
    <t>Albright Estate</t>
  </si>
  <si>
    <t>Truganina 3029</t>
  </si>
  <si>
    <t>807657V</t>
  </si>
  <si>
    <t xml:space="preserve">Villawood Properties </t>
  </si>
  <si>
    <t>Susanna Fuss</t>
  </si>
  <si>
    <t>(03) 9684 8123</t>
  </si>
  <si>
    <t>s.fuss@oliverhume.com.au</t>
  </si>
  <si>
    <t>Television Antennae are not permitted as television services are available through the Opticomm Fibre Network.</t>
  </si>
  <si>
    <t>Allowance for Acoustic rated walls. $15000 single, $20000 double. Check design guidelines.</t>
  </si>
  <si>
    <t>810988C</t>
  </si>
  <si>
    <t>810994H</t>
  </si>
  <si>
    <t>805111E</t>
  </si>
  <si>
    <t>Aldo</t>
  </si>
  <si>
    <t>Fraser Rise 3336</t>
  </si>
  <si>
    <t>822752R</t>
  </si>
  <si>
    <t>Resimax</t>
  </si>
  <si>
    <t>1300 253 637</t>
  </si>
  <si>
    <t>sales@aldoestate.com.au</t>
  </si>
  <si>
    <t>Dwellings on lots 300-450m2 must have a minimum floor
area of 100m2
Dwellings on lots 451-600m2 must have a minimum floor
area of 140m2
Dwellings on lots greater than 600m2 must have
a minimum floor area of 160m2</t>
  </si>
  <si>
    <t xml:space="preserve">Garage doors must not exceed 6.0m or 40% of the lot
width, whichever is the lesser. </t>
  </si>
  <si>
    <t>822772K</t>
  </si>
  <si>
    <t>825754V</t>
  </si>
  <si>
    <t>825755T</t>
  </si>
  <si>
    <t>841643P</t>
  </si>
  <si>
    <t>841646H</t>
  </si>
  <si>
    <t>841652N</t>
  </si>
  <si>
    <t>900901S</t>
  </si>
  <si>
    <t>905183U</t>
  </si>
  <si>
    <t>905193R</t>
  </si>
  <si>
    <t>Alexander Park</t>
  </si>
  <si>
    <t>Diggers Rest 3427</t>
  </si>
  <si>
    <t>806157X/S5</t>
  </si>
  <si>
    <t>Luke Maugeri</t>
  </si>
  <si>
    <t>0412 975 702</t>
  </si>
  <si>
    <t>garage door or opening should not occupy more than 40% of the street frontage
for double storey, garage that exceed 40% of the width of the lot frontage are discouraged. Notwithstanding, they will only be permitted where balconies or windows are provided above the garage</t>
  </si>
  <si>
    <t>single storey with a frontage of 18m or greater must be setback from side boundaries by a minimum of 1m.
For dwellings on lots with frontages of 20m and greater (except corner lots), all side boundary setbacks including that of garages must be a minimum of 1m</t>
  </si>
  <si>
    <t>Alfredton Central Estate</t>
  </si>
  <si>
    <t>816478U</t>
  </si>
  <si>
    <t>Buxton Ballarat</t>
  </si>
  <si>
    <t>Ben Halsall</t>
  </si>
  <si>
    <t>0400 223 887</t>
  </si>
  <si>
    <t>Entire House=$3300</t>
  </si>
  <si>
    <t>824359H</t>
  </si>
  <si>
    <t>824362U</t>
  </si>
  <si>
    <t>824363S</t>
  </si>
  <si>
    <t>Alfredton Grove Estate</t>
  </si>
  <si>
    <t>824371T</t>
  </si>
  <si>
    <t>824372R</t>
  </si>
  <si>
    <t>825915X</t>
  </si>
  <si>
    <t>830173N</t>
  </si>
  <si>
    <t>836357U</t>
  </si>
  <si>
    <t>841518S</t>
  </si>
  <si>
    <t>836364X</t>
  </si>
  <si>
    <t>844949W</t>
  </si>
  <si>
    <t>846872V</t>
  </si>
  <si>
    <t>Alira Estate</t>
  </si>
  <si>
    <t>Berwick 3806</t>
  </si>
  <si>
    <t>726562H</t>
  </si>
  <si>
    <t>Moremac Property Group</t>
  </si>
  <si>
    <t>Levan Lui</t>
  </si>
  <si>
    <t>0425 869 940</t>
  </si>
  <si>
    <t xml:space="preserve">alira@rpmrealestate.com.au  </t>
  </si>
  <si>
    <t>12.5m or more must have a double garage.
Garage openings must not exceed 40% of the width of primary frontage unless the building is two or more storeys and on a lot with an area between 250-350m2 whereby the garage opening must not exceed 30% of the area of the front facade.</t>
  </si>
  <si>
    <t>806783V</t>
  </si>
  <si>
    <t>726563F</t>
  </si>
  <si>
    <t>1D</t>
  </si>
  <si>
    <t>726577T</t>
  </si>
  <si>
    <t>2B</t>
  </si>
  <si>
    <t>735767M</t>
  </si>
  <si>
    <t>3A</t>
  </si>
  <si>
    <t>748339M</t>
  </si>
  <si>
    <t>3B</t>
  </si>
  <si>
    <t>816201R</t>
  </si>
  <si>
    <t>3C</t>
  </si>
  <si>
    <t>845088U</t>
  </si>
  <si>
    <t>735749P</t>
  </si>
  <si>
    <t>4B</t>
  </si>
  <si>
    <t>735754W</t>
  </si>
  <si>
    <t>4C</t>
  </si>
  <si>
    <t>806749V</t>
  </si>
  <si>
    <t>5A</t>
  </si>
  <si>
    <t>806786P</t>
  </si>
  <si>
    <t>5C</t>
  </si>
  <si>
    <t>5D</t>
  </si>
  <si>
    <t>806784T</t>
  </si>
  <si>
    <t>6A</t>
  </si>
  <si>
    <t>836915L</t>
  </si>
  <si>
    <t>6B</t>
  </si>
  <si>
    <t>836917G</t>
  </si>
  <si>
    <t>6C</t>
  </si>
  <si>
    <t>836942H</t>
  </si>
  <si>
    <t>6F</t>
  </si>
  <si>
    <t>845094A</t>
  </si>
  <si>
    <t>Alkyra Estate</t>
  </si>
  <si>
    <t>Beveridge 3753</t>
  </si>
  <si>
    <t>810951C</t>
  </si>
  <si>
    <t>Rochelle Singh</t>
  </si>
  <si>
    <t>0475 111 533</t>
  </si>
  <si>
    <t>rochelles@allam.com.au</t>
  </si>
  <si>
    <t>Garage entrances not to exceed 50% of the width of single storey dwellings
for doubles, garage entrances may not exceed 35% of the total façade frontage</t>
  </si>
  <si>
    <t>Monument</t>
  </si>
  <si>
    <t>842988W/S2</t>
  </si>
  <si>
    <t>Allanvale Estate</t>
  </si>
  <si>
    <t>1300 073 076</t>
  </si>
  <si>
    <t>Required on corner</t>
  </si>
  <si>
    <t>814725Q</t>
  </si>
  <si>
    <t>818608X</t>
  </si>
  <si>
    <t>816617W</t>
  </si>
  <si>
    <t>Allara Estate</t>
  </si>
  <si>
    <t>832063K</t>
  </si>
  <si>
    <t>400m2 or greater - dwelling must be at least 155m2 (including garage, porch and alfresco)
Less than 400m2 - dwelling must be at least 130m2 (including garage, porch and alfresco)</t>
  </si>
  <si>
    <t>Allura Estate</t>
  </si>
  <si>
    <t>721783S</t>
  </si>
  <si>
    <t>Stockland</t>
  </si>
  <si>
    <t>Jason Hynek</t>
  </si>
  <si>
    <t>0417 500 220</t>
  </si>
  <si>
    <t>Jason.Hynek@stockland.com.au</t>
  </si>
  <si>
    <t>Minimum 4m2 for Porticos</t>
  </si>
  <si>
    <t>737482T</t>
  </si>
  <si>
    <t>737483R</t>
  </si>
  <si>
    <t>733918D</t>
  </si>
  <si>
    <t>730024P</t>
  </si>
  <si>
    <t>730029D</t>
  </si>
  <si>
    <t>730028F</t>
  </si>
  <si>
    <t>Allure Estate</t>
  </si>
  <si>
    <t>816120R</t>
  </si>
  <si>
    <t>Paige Smith</t>
  </si>
  <si>
    <t>0404 209 118</t>
  </si>
  <si>
    <t>paige.s@red23.com.au</t>
  </si>
  <si>
    <t>816121P</t>
  </si>
  <si>
    <t>Alluvium Estate</t>
  </si>
  <si>
    <t>812422V</t>
  </si>
  <si>
    <t>Allowance for Sealed System to all Downpipes as per Restrcitive Covenant - $3800</t>
  </si>
  <si>
    <t>Lot 101 - Fencing must not occupy more than 30% of the frontage to Ballarat-Carngham Road</t>
  </si>
  <si>
    <t>812423T</t>
  </si>
  <si>
    <t>812424R</t>
  </si>
  <si>
    <t>841832R</t>
  </si>
  <si>
    <t>Altius</t>
  </si>
  <si>
    <t>Pakenham 3810</t>
  </si>
  <si>
    <t>826871L</t>
  </si>
  <si>
    <t>Danny Yang</t>
  </si>
  <si>
    <t>0423 708 303</t>
  </si>
  <si>
    <t>danny@red23.com.au</t>
  </si>
  <si>
    <t>Garage must noty exceed 40% of frontage
Lots under 12.5 need single garages</t>
  </si>
  <si>
    <t>Alto</t>
  </si>
  <si>
    <t>848319L</t>
  </si>
  <si>
    <t>bhalsall@buxton.com.au</t>
  </si>
  <si>
    <t>400m2 or more - at least 175m2 (including garage, porch and alfresco)
less than 400m2 - at least 130m2 (including garage, porch and alfresco)</t>
  </si>
  <si>
    <t>901502C</t>
  </si>
  <si>
    <t>905108K</t>
  </si>
  <si>
    <t>Alwood Estate</t>
  </si>
  <si>
    <t>Werribee 3030</t>
  </si>
  <si>
    <t>730829T</t>
  </si>
  <si>
    <t>Intrapac</t>
  </si>
  <si>
    <t>Andy</t>
  </si>
  <si>
    <t>1300 305 903</t>
  </si>
  <si>
    <t>742129G</t>
  </si>
  <si>
    <t>747670L</t>
  </si>
  <si>
    <t>730831H</t>
  </si>
  <si>
    <t>809722B</t>
  </si>
  <si>
    <t>801744J</t>
  </si>
  <si>
    <t>809740Y</t>
  </si>
  <si>
    <t>742128J</t>
  </si>
  <si>
    <t>Amber Estate</t>
  </si>
  <si>
    <t>804324R</t>
  </si>
  <si>
    <t>ID Land</t>
  </si>
  <si>
    <t>Marcel Morris</t>
  </si>
  <si>
    <t>0414 234 520</t>
  </si>
  <si>
    <t>m.morris@oliverhume.com.au</t>
  </si>
  <si>
    <t>804352L</t>
  </si>
  <si>
    <t>811257P</t>
  </si>
  <si>
    <t>817633E</t>
  </si>
  <si>
    <t>817664S</t>
  </si>
  <si>
    <t>9B</t>
  </si>
  <si>
    <t>825839M</t>
  </si>
  <si>
    <t>825805F</t>
  </si>
  <si>
    <t>844108W</t>
  </si>
  <si>
    <t>11A</t>
  </si>
  <si>
    <t>825834X</t>
  </si>
  <si>
    <t>11B</t>
  </si>
  <si>
    <t>825835V</t>
  </si>
  <si>
    <t>2A</t>
  </si>
  <si>
    <t>804308P</t>
  </si>
  <si>
    <t>811194M</t>
  </si>
  <si>
    <t>Amberley Park</t>
  </si>
  <si>
    <t>Narre Warren 3805</t>
  </si>
  <si>
    <t>804633C</t>
  </si>
  <si>
    <t>LandGipps</t>
  </si>
  <si>
    <t>Brad Creighton</t>
  </si>
  <si>
    <t>0433 321 500</t>
  </si>
  <si>
    <t>Ambervue Estate</t>
  </si>
  <si>
    <t>Cobblebank 3338</t>
  </si>
  <si>
    <t>808532M</t>
  </si>
  <si>
    <t>Steve Marvilla</t>
  </si>
  <si>
    <t>0418 363 423</t>
  </si>
  <si>
    <t>sales@ambervue.com.au</t>
  </si>
  <si>
    <t>Lots with frontages equal to or
greater than 12.5m should
incorporate a double garage</t>
  </si>
  <si>
    <t>813464X</t>
  </si>
  <si>
    <t>820916X</t>
  </si>
  <si>
    <t>Anchoridge Estate</t>
  </si>
  <si>
    <t>816896A</t>
  </si>
  <si>
    <t>APD Projects</t>
  </si>
  <si>
    <t>0427 308 543</t>
  </si>
  <si>
    <t>Lot sizes equal to or less than 450m² - minimum house size 120m²
• Lot sizes greater than 450m² - minimum house size 150m²</t>
  </si>
  <si>
    <t>Lots with frontages equal to or greater than 12.5 metres must incorporate a double
car garage, which is constructed of the same building materials as the dwelling,
• Lots with frontages less than 12.5 metres must incorporate (as a minimum) a single
car garage, which is constructed of the same building materials as the dwelling
with an additional area available on the lot to park a second car,</t>
  </si>
  <si>
    <t>816902J</t>
  </si>
  <si>
    <t>822917K</t>
  </si>
  <si>
    <t>822926J</t>
  </si>
  <si>
    <t>822939Y</t>
  </si>
  <si>
    <t>822944G</t>
  </si>
  <si>
    <t>822940Q</t>
  </si>
  <si>
    <t>8A</t>
  </si>
  <si>
    <t>822949V</t>
  </si>
  <si>
    <t>8B</t>
  </si>
  <si>
    <t>843581Y</t>
  </si>
  <si>
    <t>822952H</t>
  </si>
  <si>
    <t>843586N</t>
  </si>
  <si>
    <t>10A</t>
  </si>
  <si>
    <t>10B</t>
  </si>
  <si>
    <t>10C</t>
  </si>
  <si>
    <t>843604P</t>
  </si>
  <si>
    <t>906846Q</t>
  </si>
  <si>
    <t>Lots 1401 to 1405, 1408 to 1410, 1412 to 1415, 1418, 1421 to 1434, 1436 to 1437 and 1440 to 1449 (All Inclusive).
- provide 1.0 metre clear horizontal access along the full length of a minimum one side boundary of
the lot.</t>
  </si>
  <si>
    <t>Annabella Street Estate</t>
  </si>
  <si>
    <t>Max Brown</t>
  </si>
  <si>
    <t>jasonb@maxbrown.com.au</t>
  </si>
  <si>
    <t>Annadale Estate</t>
  </si>
  <si>
    <t>Mickleham 3064</t>
  </si>
  <si>
    <t>746199M</t>
  </si>
  <si>
    <t>Evolve</t>
  </si>
  <si>
    <t>Ed</t>
  </si>
  <si>
    <t>0467 999 962</t>
  </si>
  <si>
    <t>annadale@rpmrealestate.com.au</t>
  </si>
  <si>
    <t>Provide approx. 1800mm high timber fencing with double palings, capping and 125x125 exposed posts in lieu of timber palings. Includes wing fence and Gate.
Copy V2 &amp; V3 over T6 &amp; T7.</t>
  </si>
  <si>
    <t>LIVING AREA (excluding garages, balconies and verandahs):
• 120m² max for lots less than 450m²
• 150m² max on lots 451m² to 600m²
• 180m² max on lots greater than 601m²</t>
  </si>
  <si>
    <t>734155B</t>
  </si>
  <si>
    <t>728910A</t>
  </si>
  <si>
    <t>741235N</t>
  </si>
  <si>
    <t>735101V</t>
  </si>
  <si>
    <t>741236L</t>
  </si>
  <si>
    <t>746178V</t>
  </si>
  <si>
    <t>800985Q</t>
  </si>
  <si>
    <t>800986N</t>
  </si>
  <si>
    <t>746200G</t>
  </si>
  <si>
    <t>12B</t>
  </si>
  <si>
    <t>820455J</t>
  </si>
  <si>
    <t>800987L</t>
  </si>
  <si>
    <t>808027B</t>
  </si>
  <si>
    <t>811316A</t>
  </si>
  <si>
    <t>811345S</t>
  </si>
  <si>
    <t>811349J</t>
  </si>
  <si>
    <t>813552B</t>
  </si>
  <si>
    <t>813553Y</t>
  </si>
  <si>
    <t>813567M</t>
  </si>
  <si>
    <t>813571W</t>
  </si>
  <si>
    <t>724508A</t>
  </si>
  <si>
    <t>Applegum Estate</t>
  </si>
  <si>
    <t>Lara 3212</t>
  </si>
  <si>
    <t>841620C</t>
  </si>
  <si>
    <t>L.Bisinella Developments</t>
  </si>
  <si>
    <t>Shane Ruffin</t>
  </si>
  <si>
    <t>0413 804 523</t>
  </si>
  <si>
    <t>shane.ruffin@bisinella.com.au</t>
  </si>
  <si>
    <t>DO NOT ADD Aquarevo Estate</t>
  </si>
  <si>
    <t>Arbor Estate</t>
  </si>
  <si>
    <t>Officer 3809</t>
  </si>
  <si>
    <t>847342W</t>
  </si>
  <si>
    <t>Brad Ryan</t>
  </si>
  <si>
    <t xml:space="preserve">0477 111 316 </t>
  </si>
  <si>
    <t>brad@arborofficer.com.au</t>
  </si>
  <si>
    <t>Entire on doubles=3300</t>
  </si>
  <si>
    <t>Provide 450mm wide eaves to the front Façade, returning 4000mm down both sides of house (excluding walls on boundary). $1,630</t>
  </si>
  <si>
    <t>Single storey - width of garage cannot exceed 40% of the lot width
Double - area of garage opening must not exceed 25% of the total area of front façade</t>
  </si>
  <si>
    <t>Provide a 32A Single GPO to the garage internal wall for electric vehicle charging. 430</t>
  </si>
  <si>
    <t>847348J</t>
  </si>
  <si>
    <t>847351V</t>
  </si>
  <si>
    <t>901983G</t>
  </si>
  <si>
    <t>901973K</t>
  </si>
  <si>
    <t>Arcadia Estate</t>
  </si>
  <si>
    <t>738344B</t>
  </si>
  <si>
    <t>Satterley Property Group</t>
  </si>
  <si>
    <t>Stevie Chau</t>
  </si>
  <si>
    <t>0438 362 455</t>
  </si>
  <si>
    <t>steviec@satterley.com.au</t>
  </si>
  <si>
    <t>738374R</t>
  </si>
  <si>
    <t>738395H</t>
  </si>
  <si>
    <t>738424D</t>
  </si>
  <si>
    <t>738425B</t>
  </si>
  <si>
    <t>738426Y</t>
  </si>
  <si>
    <t>746791D</t>
  </si>
  <si>
    <t>746836H</t>
  </si>
  <si>
    <t>746837F</t>
  </si>
  <si>
    <t>746839B</t>
  </si>
  <si>
    <t>746840S</t>
  </si>
  <si>
    <t>817602R</t>
  </si>
  <si>
    <t>817606H</t>
  </si>
  <si>
    <t>817607F</t>
  </si>
  <si>
    <t>817608D</t>
  </si>
  <si>
    <t>817609B</t>
  </si>
  <si>
    <t>817610S</t>
  </si>
  <si>
    <t>817611Q</t>
  </si>
  <si>
    <t>817612N</t>
  </si>
  <si>
    <t>817613L</t>
  </si>
  <si>
    <t>817614J</t>
  </si>
  <si>
    <t>817615G</t>
  </si>
  <si>
    <t>825874K</t>
  </si>
  <si>
    <t>831643V</t>
  </si>
  <si>
    <t>738415E</t>
  </si>
  <si>
    <t>12A</t>
  </si>
  <si>
    <t>746835K</t>
  </si>
  <si>
    <t>738401R</t>
  </si>
  <si>
    <t>Arden Estate</t>
  </si>
  <si>
    <t>638896R</t>
  </si>
  <si>
    <t>Maeven Property</t>
  </si>
  <si>
    <t>Kristyn Price</t>
  </si>
  <si>
    <t>0414 199 022</t>
  </si>
  <si>
    <t>kristyn@krpeters.com.au</t>
  </si>
  <si>
    <t>826422S</t>
  </si>
  <si>
    <t>804775F</t>
  </si>
  <si>
    <t>Arena Estate</t>
  </si>
  <si>
    <t>Roxburgh Park 3064</t>
  </si>
  <si>
    <t>744832C</t>
  </si>
  <si>
    <t>Lana Ashard</t>
  </si>
  <si>
    <t>0477 167 966</t>
  </si>
  <si>
    <t>lanaa@satterley.com.au</t>
  </si>
  <si>
    <t>Plumpton 3335</t>
  </si>
  <si>
    <t>Investlink</t>
  </si>
  <si>
    <t>Tony Barton</t>
  </si>
  <si>
    <t>0402 468 248</t>
  </si>
  <si>
    <t>tony@investlink.net.au</t>
  </si>
  <si>
    <t>Armstrong Central Estate</t>
  </si>
  <si>
    <t>732897P</t>
  </si>
  <si>
    <t>Latitude Real Estate</t>
  </si>
  <si>
    <t>Bob Hand</t>
  </si>
  <si>
    <t>0407 677 336</t>
  </si>
  <si>
    <t>bob@latituderealestate.com.au</t>
  </si>
  <si>
    <t>816020V</t>
  </si>
  <si>
    <t>822695B</t>
  </si>
  <si>
    <t>822701K</t>
  </si>
  <si>
    <t>Armstrong Estate</t>
  </si>
  <si>
    <t>805402S</t>
  </si>
  <si>
    <t xml:space="preserve">Daniel Halsey </t>
  </si>
  <si>
    <t xml:space="preserve">0410 561 911 </t>
  </si>
  <si>
    <t>d.halsey@oliverhume.com.au</t>
  </si>
  <si>
    <t>709524N/S15</t>
  </si>
  <si>
    <t>749794F</t>
  </si>
  <si>
    <t>709524N</t>
  </si>
  <si>
    <t>749795D</t>
  </si>
  <si>
    <t>749796B</t>
  </si>
  <si>
    <t>709524N/S26</t>
  </si>
  <si>
    <t>27A</t>
  </si>
  <si>
    <t>709524N/S27</t>
  </si>
  <si>
    <t>27B</t>
  </si>
  <si>
    <t>749768G</t>
  </si>
  <si>
    <t>27C</t>
  </si>
  <si>
    <t>749767J</t>
  </si>
  <si>
    <t>709524N/S30</t>
  </si>
  <si>
    <t>816009H</t>
  </si>
  <si>
    <t>709524N/S40</t>
  </si>
  <si>
    <t>709524N/S41</t>
  </si>
  <si>
    <t>816035G</t>
  </si>
  <si>
    <t>807896B</t>
  </si>
  <si>
    <t>816036E</t>
  </si>
  <si>
    <t>46A</t>
  </si>
  <si>
    <t>822702H</t>
  </si>
  <si>
    <t>46B</t>
  </si>
  <si>
    <t>822713C</t>
  </si>
  <si>
    <t>822706Y</t>
  </si>
  <si>
    <t>816023P</t>
  </si>
  <si>
    <t>40A</t>
  </si>
  <si>
    <t>822699S</t>
  </si>
  <si>
    <t>835211F</t>
  </si>
  <si>
    <t>67C</t>
  </si>
  <si>
    <t>849106Y</t>
  </si>
  <si>
    <t>849136P</t>
  </si>
  <si>
    <t>Armstrong Grove Estate</t>
  </si>
  <si>
    <t>906354N</t>
  </si>
  <si>
    <t>A building must be setback from a side boundary a minimum of 1 metre. The side street setback is a minimum of 2 metres. Garages may be built
to the side boundary if provided for on the Building Envelope and adjacent buildings allow.</t>
  </si>
  <si>
    <t>Generally, a rear wall of a building not exceeding 3.6 metres in height must be setback from
the rear boundary a minimum of 3 metres, and a rear wall of a building exceeding 3.6 metres
in height must be setback from the rear boundary a minimum of 5.5 metres for standard lots.
The maximum height of a building facing a rear boundary must not exceed the maximum
building height allowed by the side envelope profile diagrams.</t>
  </si>
  <si>
    <t>The minimum dwelling size is:
• 150 square metres in the case of a lot having an area of 500 square metres or greater; or
• 110 square metres in the case of a lot having an area of 400 square metres or greater but less
than 500 square metres; or
• 85 square metres in the case of a lot having an area of less than 300 square metres.</t>
  </si>
  <si>
    <t>Double garages must be provided on lots greater than 12.5 metres in width.</t>
  </si>
  <si>
    <t>Armstrong Waters Estate</t>
  </si>
  <si>
    <t>801162H</t>
  </si>
  <si>
    <t>GBL Property Consultants</t>
  </si>
  <si>
    <t>Greg Bittiol</t>
  </si>
  <si>
    <t>0411 876 316</t>
  </si>
  <si>
    <t>greg@gblproperty.com</t>
  </si>
  <si>
    <t>819391R</t>
  </si>
  <si>
    <t>835907Q</t>
  </si>
  <si>
    <t>900102A</t>
  </si>
  <si>
    <t>Arnolds Creek Estate</t>
  </si>
  <si>
    <t>Melton West 3337</t>
  </si>
  <si>
    <t>641361Q</t>
  </si>
  <si>
    <t>Raine &amp; Horne</t>
  </si>
  <si>
    <t>Sweta Malik</t>
  </si>
  <si>
    <t xml:space="preserve">0466 210 729 </t>
  </si>
  <si>
    <t xml:space="preserve">arnoldscreek.melton@rh.com.au </t>
  </si>
  <si>
    <t>640447K</t>
  </si>
  <si>
    <t>645837T</t>
  </si>
  <si>
    <t>645852X</t>
  </si>
  <si>
    <t>809741W</t>
  </si>
  <si>
    <t>815508T</t>
  </si>
  <si>
    <t>713410F</t>
  </si>
  <si>
    <t>746171L</t>
  </si>
  <si>
    <t>812429F</t>
  </si>
  <si>
    <t>Arramont Estate</t>
  </si>
  <si>
    <t>749772R</t>
  </si>
  <si>
    <t>Shivas Shastri</t>
  </si>
  <si>
    <t>0425 741 891</t>
  </si>
  <si>
    <t>arramont@rpmrealestate.com.au</t>
  </si>
  <si>
    <t>749773P</t>
  </si>
  <si>
    <t>807884J</t>
  </si>
  <si>
    <t>807895D</t>
  </si>
  <si>
    <t>807904F</t>
  </si>
  <si>
    <t>816006P</t>
  </si>
  <si>
    <t>816028D</t>
  </si>
  <si>
    <t>822688X</t>
  </si>
  <si>
    <t>822715X</t>
  </si>
  <si>
    <t>835188W</t>
  </si>
  <si>
    <t>835225T</t>
  </si>
  <si>
    <t>849113C</t>
  </si>
  <si>
    <t>849116V</t>
  </si>
  <si>
    <t>849117T</t>
  </si>
  <si>
    <t>Lot with a width of 10m or less at the lot frontage - single garage only</t>
  </si>
  <si>
    <t>849118R</t>
  </si>
  <si>
    <t>849114A</t>
  </si>
  <si>
    <t>Arranmore Estate</t>
  </si>
  <si>
    <t>Miners Rest 3352</t>
  </si>
  <si>
    <t>738283U</t>
  </si>
  <si>
    <t>That all such dwelling houses shall have a minimum house size of 130m2
excluding integrated garage;</t>
  </si>
  <si>
    <t>Grey Ridge</t>
  </si>
  <si>
    <t>818495J</t>
  </si>
  <si>
    <t>828008S</t>
  </si>
  <si>
    <t>Ascot Estate</t>
  </si>
  <si>
    <t>723773K</t>
  </si>
  <si>
    <t>ISPT</t>
  </si>
  <si>
    <t>Bec Newman</t>
  </si>
  <si>
    <t>0403 428 124</t>
  </si>
  <si>
    <t>r.newman@oliverhume.com.au</t>
  </si>
  <si>
    <t>723748E</t>
  </si>
  <si>
    <t>741829G</t>
  </si>
  <si>
    <t>741831V</t>
  </si>
  <si>
    <t>Ashbury Estate</t>
  </si>
  <si>
    <t>742160N</t>
  </si>
  <si>
    <t>Dennis Family Corp</t>
  </si>
  <si>
    <t>Sharee Hase</t>
  </si>
  <si>
    <t>0419 130 742</t>
  </si>
  <si>
    <t>sharee@maxwellcollins.com.au</t>
  </si>
  <si>
    <t>Provide Timber Framed Brush Fencing, 1.8m high, exposed posts with 150mm timber bottom plinth and provide picket fencing as required, to comply with transperency to SLHC and Reserve facing lots. =$693 per lm</t>
  </si>
  <si>
    <t>Provide Timber Framed Brush Fencing, 1.8m high, exposed posts with 150mm timber bottom plinth to Corner Lots. =$693 per lm</t>
  </si>
  <si>
    <t>805369M</t>
  </si>
  <si>
    <t>805370D</t>
  </si>
  <si>
    <t>805381X</t>
  </si>
  <si>
    <t>805390W</t>
  </si>
  <si>
    <t>805407G</t>
  </si>
  <si>
    <t>805409C</t>
  </si>
  <si>
    <t>805411R</t>
  </si>
  <si>
    <t>824629E</t>
  </si>
  <si>
    <t>836774C</t>
  </si>
  <si>
    <t>836791C</t>
  </si>
  <si>
    <t>836799K</t>
  </si>
  <si>
    <t>836800E</t>
  </si>
  <si>
    <t>901722M</t>
  </si>
  <si>
    <t>901726D</t>
  </si>
  <si>
    <t>Lot 2501 to 2536 (inclusive) - provide 1.0 metre clear horizontal access along the full
length of a minimum one side boundary of the lot.</t>
  </si>
  <si>
    <t>901730N</t>
  </si>
  <si>
    <t>Lots 26001 to 2621 must provide 1m clear horizontal access along the gull length of a min one side boundary of the lot for the purpose of access to sewer</t>
  </si>
  <si>
    <t>901739T</t>
  </si>
  <si>
    <t>805392S</t>
  </si>
  <si>
    <t>9A</t>
  </si>
  <si>
    <t>742158Y</t>
  </si>
  <si>
    <t>Ashford Park Estate</t>
  </si>
  <si>
    <t>803027D</t>
  </si>
  <si>
    <t>Wyndham Real Estate</t>
  </si>
  <si>
    <t>Richard Falzon</t>
  </si>
  <si>
    <t>0403 178 791</t>
  </si>
  <si>
    <t>richard@wyndhamre.com.au</t>
  </si>
  <si>
    <t>813245L</t>
  </si>
  <si>
    <t>813246J</t>
  </si>
  <si>
    <t>817465Y</t>
  </si>
  <si>
    <t>817466W</t>
  </si>
  <si>
    <t>Ashwark</t>
  </si>
  <si>
    <t>Ashburton 3147</t>
  </si>
  <si>
    <t>LP34510</t>
  </si>
  <si>
    <t>Aspect  - Officer</t>
  </si>
  <si>
    <t>611469N</t>
  </si>
  <si>
    <t>Aspect Estate - Greenvale</t>
  </si>
  <si>
    <t>Greenvale 3059</t>
  </si>
  <si>
    <t>738902S</t>
  </si>
  <si>
    <t xml:space="preserve">Mohit Kumar </t>
  </si>
  <si>
    <t>0437 376 331</t>
  </si>
  <si>
    <t>Mohit.Kumar@peet.com.au</t>
  </si>
  <si>
    <t>Entire house to double storeys</t>
  </si>
  <si>
    <t xml:space="preserve">Grey Ridge </t>
  </si>
  <si>
    <t>Aspect Estate</t>
  </si>
  <si>
    <t>801106T</t>
  </si>
  <si>
    <t>Aspect - Mernda</t>
  </si>
  <si>
    <t>844191H</t>
  </si>
  <si>
    <t>entire if corner/reserve allotments $3300</t>
  </si>
  <si>
    <t>90m² excluding garage, porches, porticos, verandahs and alfrescos
for lots within an area of 250m² or greater;
100m² excluding garage, porches, porticos, verandahs and alfrescos
for lots within an area of 300m² or greater;
120m² excluding garage, porches, porticos, verandahs and alfrescos
for lots within an area of 400m² or greater; and
150m² excluding garages, porches, porticos, verandahs and alfrescos
for lots within an area of 500m² or greater</t>
  </si>
  <si>
    <t>A verandah, porch, portico, balcony or an entry feature visible to the
street that is minimum of 4m² in size and has a minimum depth of 1.5m</t>
  </si>
  <si>
    <t>Double width garages (minimum) are required to all allotments with a
12.5m or greater frontage;</t>
  </si>
  <si>
    <t xml:space="preserve">$45/lm for painting fence Woodland Grey </t>
  </si>
  <si>
    <t>902421W</t>
  </si>
  <si>
    <t>Aspen Estate</t>
  </si>
  <si>
    <t>Clyde 3978</t>
  </si>
  <si>
    <t>806760J</t>
  </si>
  <si>
    <t>Annat Pty Ltd</t>
  </si>
  <si>
    <t>Luke Bamford</t>
  </si>
  <si>
    <t>0438 245 363</t>
  </si>
  <si>
    <t>info@aspenonclyde.com.au</t>
  </si>
  <si>
    <t>Doubles, max 2740 down, 2440 up</t>
  </si>
  <si>
    <t>806761G</t>
  </si>
  <si>
    <t>2C</t>
  </si>
  <si>
    <t>806763C</t>
  </si>
  <si>
    <t>806764A</t>
  </si>
  <si>
    <t>806765X</t>
  </si>
  <si>
    <t>Aspire Estate</t>
  </si>
  <si>
    <t>814747E</t>
  </si>
  <si>
    <t>Villawood</t>
  </si>
  <si>
    <t>Ilona Tanti</t>
  </si>
  <si>
    <t>0403 667 420</t>
  </si>
  <si>
    <t>i.tanti@oliverhume.com.au</t>
  </si>
  <si>
    <t>814748C</t>
  </si>
  <si>
    <t>818614D</t>
  </si>
  <si>
    <t>835643Y</t>
  </si>
  <si>
    <t>835645U</t>
  </si>
  <si>
    <t>905695Q</t>
  </si>
  <si>
    <t>900034Q</t>
  </si>
  <si>
    <t>905666X</t>
  </si>
  <si>
    <t>908957U</t>
  </si>
  <si>
    <t>35B</t>
  </si>
  <si>
    <t>908955Y</t>
  </si>
  <si>
    <t>36B</t>
  </si>
  <si>
    <t>905694S</t>
  </si>
  <si>
    <t>3a</t>
  </si>
  <si>
    <t>806762E</t>
  </si>
  <si>
    <t>Aston Estate</t>
  </si>
  <si>
    <t>Craigieburn 3064</t>
  </si>
  <si>
    <t>738896J</t>
  </si>
  <si>
    <t>Emma Nelson</t>
  </si>
  <si>
    <t>0404 156 214</t>
  </si>
  <si>
    <t>Emma.Nelson@peet.com.au</t>
  </si>
  <si>
    <t>738890W</t>
  </si>
  <si>
    <t>738893Q</t>
  </si>
  <si>
    <t>728899J</t>
  </si>
  <si>
    <t>731958B</t>
  </si>
  <si>
    <t>742770J</t>
  </si>
  <si>
    <t>801105V</t>
  </si>
  <si>
    <t>801126M</t>
  </si>
  <si>
    <t>801178R</t>
  </si>
  <si>
    <t>807644F</t>
  </si>
  <si>
    <t>810905K</t>
  </si>
  <si>
    <t>814798L</t>
  </si>
  <si>
    <t>17A</t>
  </si>
  <si>
    <t>805169V</t>
  </si>
  <si>
    <t>Atherstone Estate</t>
  </si>
  <si>
    <t>801001J</t>
  </si>
  <si>
    <t>Lendlease</t>
  </si>
  <si>
    <t>Atherstone Team</t>
  </si>
  <si>
    <t>1800 981 644</t>
  </si>
  <si>
    <t>atherstone@lendlease.com</t>
  </si>
  <si>
    <t xml:space="preserve"> Single storey homes on lots with a frontage less than 12.5m must provide a single garage with a maximum door width of 2.6m.</t>
  </si>
  <si>
    <t>801011F</t>
  </si>
  <si>
    <t>804584N</t>
  </si>
  <si>
    <t>804590T</t>
  </si>
  <si>
    <t>808020R</t>
  </si>
  <si>
    <t>746209M</t>
  </si>
  <si>
    <t>808048S</t>
  </si>
  <si>
    <t>813572U</t>
  </si>
  <si>
    <t>813575N</t>
  </si>
  <si>
    <t>811317X</t>
  </si>
  <si>
    <t>811320K</t>
  </si>
  <si>
    <t>817175J</t>
  </si>
  <si>
    <t>817181P</t>
  </si>
  <si>
    <t>817183K</t>
  </si>
  <si>
    <t>817190N</t>
  </si>
  <si>
    <t>817191L</t>
  </si>
  <si>
    <t>817194E</t>
  </si>
  <si>
    <t>820448F</t>
  </si>
  <si>
    <t>820453N</t>
  </si>
  <si>
    <t>820456G</t>
  </si>
  <si>
    <t>820462M</t>
  </si>
  <si>
    <t>822738K</t>
  </si>
  <si>
    <t>822739H</t>
  </si>
  <si>
    <t>825762W</t>
  </si>
  <si>
    <t>825766N</t>
  </si>
  <si>
    <t>825785J</t>
  </si>
  <si>
    <t>828049C</t>
  </si>
  <si>
    <t>828056F</t>
  </si>
  <si>
    <t>830832X</t>
  </si>
  <si>
    <t>830842U</t>
  </si>
  <si>
    <t>905200X</t>
  </si>
  <si>
    <t>828081G</t>
  </si>
  <si>
    <t>828082E</t>
  </si>
  <si>
    <t>830844Q</t>
  </si>
  <si>
    <t>800997H</t>
  </si>
  <si>
    <t>Atherstone Estate - Middle Park</t>
  </si>
  <si>
    <t>817167H</t>
  </si>
  <si>
    <t>817195C</t>
  </si>
  <si>
    <t>820447H</t>
  </si>
  <si>
    <t>Atherstone Estate - Stone Ridge</t>
  </si>
  <si>
    <t>746210D</t>
  </si>
  <si>
    <t>Allowance for Acoustic rated walls. $15000 single, $20000 double. Just lots 910, 911, 929, 928, 927, 926, 925 and 930</t>
  </si>
  <si>
    <t>Atherstone Estate - Wilton</t>
  </si>
  <si>
    <t>813554W</t>
  </si>
  <si>
    <t>813566P</t>
  </si>
  <si>
    <t>Atherstone Estate - Settlers Creek</t>
  </si>
  <si>
    <t>808034E</t>
  </si>
  <si>
    <t>808049Q</t>
  </si>
  <si>
    <t>811311L</t>
  </si>
  <si>
    <t>Atkinson Place</t>
  </si>
  <si>
    <t>904606X</t>
  </si>
  <si>
    <t>Entire if double - 3300</t>
  </si>
  <si>
    <t xml:space="preserve">Lots less than 12.5m wide:
Single storey dwellings require a single
garage
</t>
  </si>
  <si>
    <t>Atticus Estate</t>
  </si>
  <si>
    <t>Woodstock 3751</t>
  </si>
  <si>
    <t>832964T</t>
  </si>
  <si>
    <t>Core Projects</t>
  </si>
  <si>
    <t>Gayan</t>
  </si>
  <si>
    <t>1300 775 380</t>
  </si>
  <si>
    <t>gabey@coreprojects.com.au</t>
  </si>
  <si>
    <t>The house must be set back from at least one side
boundary at least 1.0m, with a garage allowed against the
boundary on the other sid</t>
  </si>
  <si>
    <t>100m2 on a lot size of 300 - 450m2
• 140m2 on a lot size of 451 - 600m2
• 160m2 on a lot size larger than 600m</t>
  </si>
  <si>
    <t>In a single storey house, the garage opening must not
exceed 6.0m or 50% of the width of the front façade of
the house, whichever is less. On a house of two or more
storeys, the area of the garage opening must not exceed
25% of the area of the front facade.</t>
  </si>
  <si>
    <t>A garage accessed via the lot frontage must not have an
opening wider than 3.5 metres if the lot width at the front
façade of the dwelling is 10 metres or less.</t>
  </si>
  <si>
    <t>832972U</t>
  </si>
  <si>
    <t>901666U</t>
  </si>
  <si>
    <t>906027E</t>
  </si>
  <si>
    <t>909591G</t>
  </si>
  <si>
    <t>Attwell Estate</t>
  </si>
  <si>
    <t>817599B</t>
  </si>
  <si>
    <t>Garage must not exceed 40% of the lots wisth
Lots less than 12.5m frontage require a single garage</t>
  </si>
  <si>
    <t>For lots greater than 300m2 - 4950</t>
  </si>
  <si>
    <t>Required on corner blocks.</t>
  </si>
  <si>
    <t>817636X</t>
  </si>
  <si>
    <t>825854R</t>
  </si>
  <si>
    <t>825848L</t>
  </si>
  <si>
    <t>825849J</t>
  </si>
  <si>
    <t>831735Q</t>
  </si>
  <si>
    <t>838458C</t>
  </si>
  <si>
    <t>838491E</t>
  </si>
  <si>
    <t>838492C</t>
  </si>
  <si>
    <t>838518L</t>
  </si>
  <si>
    <t>Auburn Estate</t>
  </si>
  <si>
    <t>742677X</t>
  </si>
  <si>
    <t>Dimi Rokka</t>
  </si>
  <si>
    <t>0427 282 999</t>
  </si>
  <si>
    <t>drokka@core-projects.com.au</t>
  </si>
  <si>
    <t>742693A</t>
  </si>
  <si>
    <t>Aurora Estate</t>
  </si>
  <si>
    <t>738255A</t>
  </si>
  <si>
    <t>Amy Newman</t>
  </si>
  <si>
    <t xml:space="preserve">1300 859 217 </t>
  </si>
  <si>
    <t>amy.newman@lendlease.com</t>
  </si>
  <si>
    <t>Corner lots</t>
  </si>
  <si>
    <t xml:space="preserve"> Garage doors on the primary frontage should be no
wider than 50% of the width of the block.
z For single storey homes on lots 10m or less in width,
a garage on the primary frontage is restricted to a
single width.</t>
  </si>
  <si>
    <t>744113M</t>
  </si>
  <si>
    <t>744114K</t>
  </si>
  <si>
    <t>744110T</t>
  </si>
  <si>
    <t>901 to 905 and 929 to 937 on Contempo Boulevard - Double story's with balconys. Front Fence to be mid blocked timber at $330lm</t>
  </si>
  <si>
    <t>744119Y</t>
  </si>
  <si>
    <t xml:space="preserve">744122L </t>
  </si>
  <si>
    <t>744124G</t>
  </si>
  <si>
    <t>744126C</t>
  </si>
  <si>
    <t>744127A</t>
  </si>
  <si>
    <t>744128X</t>
  </si>
  <si>
    <t>744130M</t>
  </si>
  <si>
    <t>645334W</t>
  </si>
  <si>
    <t>744137W</t>
  </si>
  <si>
    <t>817675M</t>
  </si>
  <si>
    <t>816279B</t>
  </si>
  <si>
    <t>817676K</t>
  </si>
  <si>
    <t>817686G</t>
  </si>
  <si>
    <t>817679D</t>
  </si>
  <si>
    <t>45A</t>
  </si>
  <si>
    <t>817680U</t>
  </si>
  <si>
    <t>45B</t>
  </si>
  <si>
    <t>817677H</t>
  </si>
  <si>
    <t>817698Y</t>
  </si>
  <si>
    <t>744138U</t>
  </si>
  <si>
    <t>744139S</t>
  </si>
  <si>
    <t>906809W</t>
  </si>
  <si>
    <t>906810N</t>
  </si>
  <si>
    <t>742479C</t>
  </si>
  <si>
    <t>Aurum Estate</t>
  </si>
  <si>
    <t>Casey fields 3977</t>
  </si>
  <si>
    <t>830147P</t>
  </si>
  <si>
    <t>Beau Cong</t>
  </si>
  <si>
    <t>9670 6567</t>
  </si>
  <si>
    <t>beau.c@spiregroup.net.au</t>
  </si>
  <si>
    <t>For lots where the SLHC does not apply: garage openings are to occupy no more than 40% of the width of
the lot frontage, unless the dwelling is two (2) or more storeys and on a lot with an area between 250 to
300 square metres whereby the garage opening must not exceed 30% of the area of the front façade of the
dwelling.</t>
  </si>
  <si>
    <t>Lot Size m2 Minimum Floor Area**
Greater than 450m2 140m2
300m2 - 450m2 110m2
Below 300m2 100m2</t>
  </si>
  <si>
    <t>830171S</t>
  </si>
  <si>
    <t>837140R</t>
  </si>
  <si>
    <t>Austin Estate</t>
  </si>
  <si>
    <t>805412P</t>
  </si>
  <si>
    <t>Haseeb Hashmi</t>
  </si>
  <si>
    <t>0447 761 968</t>
  </si>
  <si>
    <t>austin@latituderealestate.com.au</t>
  </si>
  <si>
    <t>Garage must be set beack a minimum of 0.9m behind the dwelling façade</t>
  </si>
  <si>
    <t>All dwellings must incorporate an enclosed garage
which is to be constructed with a width not
exceeding 50% of the total lot width</t>
  </si>
  <si>
    <t>824648A</t>
  </si>
  <si>
    <t>836778T</t>
  </si>
  <si>
    <t>836783B</t>
  </si>
  <si>
    <t>836795T</t>
  </si>
  <si>
    <t>836796R</t>
  </si>
  <si>
    <t>901721P</t>
  </si>
  <si>
    <t>17D</t>
  </si>
  <si>
    <t>901736A</t>
  </si>
  <si>
    <t>30D</t>
  </si>
  <si>
    <t>908098T</t>
  </si>
  <si>
    <t>Averley Estate</t>
  </si>
  <si>
    <t>838321G</t>
  </si>
  <si>
    <t>Lots 12.5 metres and over in width
Single Storey: garage openings must not exceed
43% of dwelling frontage.
Double Storey: garage openings must not exceed
25% of the area of the front façade
of any dwelling
Lots under 12.5 metres in width
Single Storey: restricted to single garages with
the except of the below.
Double Storey: garage openings must not exceed
25% of the area of the front façade
of any dwelling.</t>
  </si>
  <si>
    <t>Where the lot has a frontage of 16 metres or greater
at least two advanced canopy trees must be planted
within the front setback
$1650</t>
  </si>
  <si>
    <t>1C</t>
  </si>
  <si>
    <t>838324A</t>
  </si>
  <si>
    <t>845140V</t>
  </si>
  <si>
    <t>Ballaway</t>
  </si>
  <si>
    <t>903110K</t>
  </si>
  <si>
    <t>Minimum house size of 130m2. Excluding garage</t>
  </si>
  <si>
    <t>Paperbark</t>
  </si>
  <si>
    <t>Bacchus Mews</t>
  </si>
  <si>
    <t>Bacchus Marsh 3340</t>
  </si>
  <si>
    <t>312999Y/S2</t>
  </si>
  <si>
    <t>Balmain</t>
  </si>
  <si>
    <t>Donnybrook 3064</t>
  </si>
  <si>
    <t>846214M</t>
  </si>
  <si>
    <t>Porches, verandahs and porticos less than 3.6m in height above NGL can encroach in to the minimum front setback by 2.5 metres</t>
  </si>
  <si>
    <t>Garage must not exceed 40% of lot frontage</t>
  </si>
  <si>
    <t>Dwellings on lots 300-450m2 must have a
minimum floor area of 100m2
Dwellings on lots 451-600m2 must have a
minimum floor area of 140m2
Dwellings on lots exceeding 601m2 must have a
minimum floor area of 165m2</t>
  </si>
  <si>
    <t>Ballarto Place</t>
  </si>
  <si>
    <t>835489G</t>
  </si>
  <si>
    <t>Cameron Pino</t>
  </si>
  <si>
    <t>0406 591 252</t>
  </si>
  <si>
    <t>cameronp@theavenuepc.com.au</t>
  </si>
  <si>
    <t>Balmoral</t>
  </si>
  <si>
    <t>Strathtulloh 3338</t>
  </si>
  <si>
    <t>841886L</t>
  </si>
  <si>
    <t>Guatam Dhingra</t>
  </si>
  <si>
    <t>0413 631 594</t>
  </si>
  <si>
    <t>info@balmoralestate.com.au</t>
  </si>
  <si>
    <t>Less than 300m2 = 2KL - $4950
301m2 to 350m2 = 2.5KL - Provide 1No. 2500 litre Slim Line Poly Water Tank including plumbing and connections for up to 3No. Toilets. = $5110
Greater than 351m2 = 3KL - $6500</t>
  </si>
  <si>
    <t>For single storey homes on front loaded allotments with a
frontage under 12.5m, a single garage is required with a
maximum garage door width of 2.6m</t>
  </si>
  <si>
    <t>Lots adjoining linear reserves must contain double storey
dwellings</t>
  </si>
  <si>
    <t>A balcony must be provided on the upper floor area
adjacent to the linear reserve and must be a minimum area
of 8sqm, with a minimum depth of 1.8m. Where the Design
Approval Panel considers that the dwelling design does not
properly or adequately address the linear reserve,
additional treatments may be required before approval is
provided to the dwelling design</t>
  </si>
  <si>
    <t>For two storey homes on front loaded allotments with a
frontage of 10.5-12.5m, a double garage with a maximum
door width of 6m may be permitted where the majority
(minimum 70%) of the upper floor area directly above the
garage area is comprised of a habitable room with windows
or a balcony that provide a clear view to the streetscape.</t>
  </si>
  <si>
    <t>841887J</t>
  </si>
  <si>
    <t>900383N</t>
  </si>
  <si>
    <t>900384L</t>
  </si>
  <si>
    <t>900691B</t>
  </si>
  <si>
    <t>900706Q</t>
  </si>
  <si>
    <t>900711X</t>
  </si>
  <si>
    <t>900405F</t>
  </si>
  <si>
    <t>Ballymanus Estate</t>
  </si>
  <si>
    <t>819327B</t>
  </si>
  <si>
    <t>Abiwood</t>
  </si>
  <si>
    <t>Colette Fulham</t>
  </si>
  <si>
    <t>0409 207 615</t>
  </si>
  <si>
    <t>pinnacle@latituderealestate.com.au</t>
  </si>
  <si>
    <t>819331L</t>
  </si>
  <si>
    <t>820567W</t>
  </si>
  <si>
    <t>820584W</t>
  </si>
  <si>
    <t>824357M</t>
  </si>
  <si>
    <t>830189W</t>
  </si>
  <si>
    <t>836352F</t>
  </si>
  <si>
    <t>836368P</t>
  </si>
  <si>
    <t>Banksia  Estate</t>
  </si>
  <si>
    <t>740711M</t>
  </si>
  <si>
    <t xml:space="preserve">AA Holdings </t>
  </si>
  <si>
    <t>Alex Bartolo</t>
  </si>
  <si>
    <t>0412 216 890</t>
  </si>
  <si>
    <t>alex.bartolo@narrewarren.rh.com.au</t>
  </si>
  <si>
    <t>Bankside Estate</t>
  </si>
  <si>
    <t>Rowville 3178</t>
  </si>
  <si>
    <t>833371S</t>
  </si>
  <si>
    <t xml:space="preserve"> If your lot is smaller than 400m2, your house must have a
floor area of at least 140m2 (excluding garages and
verandahs)
If your lot is 400m2 or larger, your house must have a floor
area of at least 180m2 (excluding garages and verandahs)</t>
  </si>
  <si>
    <t>The width of the front facade of your house (i.e. the facade
facing the primary street) must be at least 70% the of the
lot width</t>
  </si>
  <si>
    <t>Lots greater than 12.5m must include a double garage
Single storey - garage door must be no wider than 40% of the lot width
Double storey - area of garage door must be no more than 25%</t>
  </si>
  <si>
    <t>Provide approx. 1950mm high timber fencing with capping. Includes wing fence and Gate.</t>
  </si>
  <si>
    <t>Provide approx. 1950mm high Return Fence &amp; Gate in Hardwood Timber Uprights at 150mm centres including 150x150mm timber post with clear stained= $2520</t>
  </si>
  <si>
    <t>Provide half semi permeable boundary fencing and other half solid boundary fencing -  approx. 1950mm High 125 x 25mm Hardwood Timber Uprights at 150mm centres with 2No. 75 x 55mm Hardwood Timber Rails and approx 1950mm High x 125 x 25mm &amp; 1950 x 50 x 25mm Hardwood Timber including 150 x 150mm Timber Posts with clear stained - CORNER LOT $495/lm</t>
  </si>
  <si>
    <t>$6 for single storeys</t>
  </si>
  <si>
    <t>Doubles: Elite &amp; Keating (Parkdale)
Single: Newhaven &amp; Elliston</t>
  </si>
  <si>
    <t>839262Q</t>
  </si>
  <si>
    <t>Banyan Place</t>
  </si>
  <si>
    <t>839074R</t>
  </si>
  <si>
    <t>Thuyen Nguyen</t>
  </si>
  <si>
    <t>0421 096 981</t>
  </si>
  <si>
    <t>thuyen.nguyen@growland.com.au</t>
  </si>
  <si>
    <t>Double storey entire $3300</t>
  </si>
  <si>
    <t>At least 1m for at least 1 side</t>
  </si>
  <si>
    <t>Lots over 12.5m must have double garage</t>
  </si>
  <si>
    <t>839075P</t>
  </si>
  <si>
    <t>847341Y</t>
  </si>
  <si>
    <t>847345Q</t>
  </si>
  <si>
    <t>901989T</t>
  </si>
  <si>
    <t>Baybreeze Estate</t>
  </si>
  <si>
    <t>St Leonards</t>
  </si>
  <si>
    <t>800555S</t>
  </si>
  <si>
    <t>Costa Property Group</t>
  </si>
  <si>
    <t>03 5224 1477</t>
  </si>
  <si>
    <t>info@costaland.com.au</t>
  </si>
  <si>
    <t>800559J</t>
  </si>
  <si>
    <t>822137N</t>
  </si>
  <si>
    <t>814475M</t>
  </si>
  <si>
    <t>822144R</t>
  </si>
  <si>
    <t>824608N</t>
  </si>
  <si>
    <t>847788D</t>
  </si>
  <si>
    <t>822149F</t>
  </si>
  <si>
    <t>847790S</t>
  </si>
  <si>
    <t>Bayview Estate</t>
  </si>
  <si>
    <t>711185V</t>
  </si>
  <si>
    <t>National Pacific Properties</t>
  </si>
  <si>
    <t>Michael Sciaraffa</t>
  </si>
  <si>
    <t>0419 781 231</t>
  </si>
  <si>
    <t>Minimum Floor Areas  &lt;=450=120m2  &gt;=451=150m2</t>
  </si>
  <si>
    <t>$6 m2</t>
  </si>
  <si>
    <t>740223B</t>
  </si>
  <si>
    <t>743590F</t>
  </si>
  <si>
    <t>743591D</t>
  </si>
  <si>
    <t>805034V</t>
  </si>
  <si>
    <t>805048J</t>
  </si>
  <si>
    <t>809798Q</t>
  </si>
  <si>
    <t>729108Q</t>
  </si>
  <si>
    <t>737848B</t>
  </si>
  <si>
    <t>Baywater Estate</t>
  </si>
  <si>
    <t>743588R</t>
  </si>
  <si>
    <t>Bisinella</t>
  </si>
  <si>
    <t>Matthew Bisinella</t>
  </si>
  <si>
    <t>sales@bisinella.com.au</t>
  </si>
  <si>
    <t>Check minimum Lot size. Lots 1-19 and Lots 37-45, 280m2 minimum. Others specified on subdivision no less than 180m2</t>
  </si>
  <si>
    <t>Ask Drafting about facades. Our standard facades won't work. The only facades that can be used as a single storey is the Apollo and Anglesea.
Parapets to garage $4000</t>
  </si>
  <si>
    <t>When selecting Apollo and Anglesea add $4K for parapet to the garage of these facades.</t>
  </si>
  <si>
    <t>814471V</t>
  </si>
  <si>
    <t>Ask Drafting about facades. Our standard facades won't work. The only facades that can be used as a single storey is the Apollo and Anglesea.
Parapets to garage $4001</t>
  </si>
  <si>
    <t>814472T</t>
  </si>
  <si>
    <t>Ask Drafting about facades. Our standard facades won't work. The only facades that can be used as a single storey is the Apollo and Anglesea.
Parapets to garage $4002</t>
  </si>
  <si>
    <t>814485J</t>
  </si>
  <si>
    <t>Ask Drafting about facades. Our standard facades won't work. The only facades that can be used as a single storey is the Apollo and Anglesea.
Parapets to garage $4003</t>
  </si>
  <si>
    <t>814486G</t>
  </si>
  <si>
    <t>814487E</t>
  </si>
  <si>
    <t>Beaconsfield Estate</t>
  </si>
  <si>
    <t>Beaconsfield 3807</t>
  </si>
  <si>
    <t>709261U</t>
  </si>
  <si>
    <t>Bella Estate</t>
  </si>
  <si>
    <t>833945S</t>
  </si>
  <si>
    <t>A double garage must be provided if the lot has a
frontage of 12.5m or more</t>
  </si>
  <si>
    <t>no wider than a maximum of 40% of the lot
width if the dwelling is single storey; or
- no wider than a maximum of 50% of the lot
width if the dwelling is double storey.</t>
  </si>
  <si>
    <t>833964N</t>
  </si>
  <si>
    <t>846067X</t>
  </si>
  <si>
    <t>846082C</t>
  </si>
  <si>
    <t>846084X</t>
  </si>
  <si>
    <t>902124D</t>
  </si>
  <si>
    <t>902126Y</t>
  </si>
  <si>
    <t>906811L</t>
  </si>
  <si>
    <t>Bella Vista</t>
  </si>
  <si>
    <t>901033 M/S1</t>
  </si>
  <si>
    <t>Provide 450mm wide eaves to the front Façade, returning 2000mm down both sides of house (excluding walls on boundary). $1430</t>
  </si>
  <si>
    <t>Garage openings are to occupy no more than 40%% of lot frontage</t>
  </si>
  <si>
    <t xml:space="preserve">Can only build on lots 13, 14, 17, 20-22, 26, 28-30 due to extensive fill throughout site. </t>
  </si>
  <si>
    <t>ADD $25,000 + Fall + rock allowance for site for site costs (for excessive fill/soil conditions). Copy note - 'Additional site costs to allow for screw piles throughout'</t>
  </si>
  <si>
    <t>Bella Vista Estate</t>
  </si>
  <si>
    <t>645321G</t>
  </si>
  <si>
    <t>Dacland</t>
  </si>
  <si>
    <t>9044 1200</t>
  </si>
  <si>
    <t>info@dacland.com.au</t>
  </si>
  <si>
    <t>Living Area has to face North</t>
  </si>
  <si>
    <t>649391M</t>
  </si>
  <si>
    <t>Bellaview Estate</t>
  </si>
  <si>
    <t>737859V</t>
  </si>
  <si>
    <t>Michael</t>
  </si>
  <si>
    <t>5274 1643</t>
  </si>
  <si>
    <t>Belle Gardens Estate</t>
  </si>
  <si>
    <t>Melton 3337</t>
  </si>
  <si>
    <t>700317S</t>
  </si>
  <si>
    <t>Golden Group</t>
  </si>
  <si>
    <t xml:space="preserve">Jacqueline Borg </t>
  </si>
  <si>
    <t>0409 506 914</t>
  </si>
  <si>
    <t>jacqueline@goldengroup.com.au</t>
  </si>
  <si>
    <t>Bellevue Estate</t>
  </si>
  <si>
    <t>737481V</t>
  </si>
  <si>
    <t>Southern Cross Land</t>
  </si>
  <si>
    <t>Phillip Djirkalli</t>
  </si>
  <si>
    <t>0412 087 792</t>
  </si>
  <si>
    <t>phillip@southerncrossland.com.au</t>
  </si>
  <si>
    <t>$3300 Façade allowance for 25% timber.</t>
  </si>
  <si>
    <t>HOUSE MUST HAVE A DOUBLE GARAGE!!!!!!!</t>
  </si>
  <si>
    <t>Bellevue Tops Estate</t>
  </si>
  <si>
    <t>731412Y</t>
  </si>
  <si>
    <t>Oliver Hume</t>
  </si>
  <si>
    <t>Simon Wright</t>
  </si>
  <si>
    <t>0490 051 229</t>
  </si>
  <si>
    <t>s.wright@oliverhume.com.au</t>
  </si>
  <si>
    <t>731412Y/S4</t>
  </si>
  <si>
    <t>731412Y/S5</t>
  </si>
  <si>
    <t>731412Y/S6</t>
  </si>
  <si>
    <t>731412Y/S7</t>
  </si>
  <si>
    <t>731412Y/S8</t>
  </si>
  <si>
    <t>731412Y/S9</t>
  </si>
  <si>
    <t>Belmond Estate</t>
  </si>
  <si>
    <t>731330B</t>
  </si>
  <si>
    <t>Newland</t>
  </si>
  <si>
    <t>Domm Moretti</t>
  </si>
  <si>
    <t>0419 527 344</t>
  </si>
  <si>
    <t>sales@belmondclyde.com.au</t>
  </si>
  <si>
    <t>Minimum Floor Areas  &lt;450=120m2  451-600=150m2  &gt;601=180m2</t>
  </si>
  <si>
    <t>731331Y</t>
  </si>
  <si>
    <t>731328M</t>
  </si>
  <si>
    <t>731334S</t>
  </si>
  <si>
    <t>731335Q</t>
  </si>
  <si>
    <t>731336N</t>
  </si>
  <si>
    <t>731337L</t>
  </si>
  <si>
    <t>731338J</t>
  </si>
  <si>
    <t>731339G</t>
  </si>
  <si>
    <t>731340X</t>
  </si>
  <si>
    <t>731341Q</t>
  </si>
  <si>
    <t>7313433R</t>
  </si>
  <si>
    <t>801851H</t>
  </si>
  <si>
    <t>801832M</t>
  </si>
  <si>
    <t>16B</t>
  </si>
  <si>
    <t>801838Y</t>
  </si>
  <si>
    <t>Bentley Park Estate</t>
  </si>
  <si>
    <t>tonys@maxbrown.com.au</t>
  </si>
  <si>
    <t>742619N/S1&amp;S2</t>
  </si>
  <si>
    <t>742619N/S3</t>
  </si>
  <si>
    <t>742619N/S4</t>
  </si>
  <si>
    <t>816225B</t>
  </si>
  <si>
    <t>5B</t>
  </si>
  <si>
    <t>828391Q</t>
  </si>
  <si>
    <t>Berwick Waters - Honour Village Estate</t>
  </si>
  <si>
    <t>809748G</t>
  </si>
  <si>
    <t>Frasers</t>
  </si>
  <si>
    <t>Bianca Ellis</t>
  </si>
  <si>
    <t>0431 583 240</t>
  </si>
  <si>
    <t>b.ellis@oliverhume.com.au</t>
  </si>
  <si>
    <t>809749E</t>
  </si>
  <si>
    <t>Construct any garage with openings that occupy more than 40% of the width of the primary
frontage, unless the building is two or more storeys and on a Lot with an area between 250 to
300 square metres whereby the garage opening must not exceed 30% of the area of the front
façade of the dwelling with the area of the front façade measured from a two dimensional
elevation plan of the façade excluding the area of the roof of the dwelling.</t>
  </si>
  <si>
    <t>170 square metres excluding garage for allotments with an area 600 square metres
or greater;
(ii) 150 square metres excluding garage for allotments with an area between 500 and
599 square metres;
(iii) 120 square metres excluding garage for allotments with an area of between 400
and 499 square metres; or
(iv) 100 square metres excluding garage for allotments with an area of 399 square
metres or less;</t>
  </si>
  <si>
    <t>809750V</t>
  </si>
  <si>
    <t>Berwick Waters - Mondous Island</t>
  </si>
  <si>
    <t>812433Q</t>
  </si>
  <si>
    <t>does not allow garage openings to occupy more than 40% of the width
of the primary frontage, unless the building is two or more storeys and on a lot with an
area between 250 to 300 square metres whereby the garage opening must not exceed
30% of the area of the front façade of the dwelling with the area of the front façade
measured from a two dimensional elevation plan of the façade excluding the area of the
roof of the dwelling.</t>
  </si>
  <si>
    <t>The minimum dwelling size (excluding garage) is 280 square meters.
All dwellings on Mondous Island must be two story homes</t>
  </si>
  <si>
    <t>722309S</t>
  </si>
  <si>
    <t>Berwick Waters - Promenade Village</t>
  </si>
  <si>
    <t>900709J</t>
  </si>
  <si>
    <t>(i) 170 square metres excluding garage for allotments with an area 600 square metres
or greater;
(ii) 150 square metres excluding garage for allotments with an area between 500 and
599 square metres;
(iii) 120 square metres excluding garage for allotments with an area of between 400
and 499 square metres; or
(iv) 100 square metres excluding garage for allotments with an area of 399 square
metres or less;</t>
  </si>
  <si>
    <t>All homes must allow for double garage car accommodation where the primary frontage of the
allotment is 12.5m or greater</t>
  </si>
  <si>
    <t>Garage openings must not occupy more than 40% of the width of the primary frontage, unless
the dwelling is two or more storeys and on an allotment with an area between 250 to 300 square
metres, in which case the garage opening must not exceed 30% of the area of the front façade
of the dwelling. The area of the front façade will be measured from a two dimensional elevation
plan of the façade excluding the area of the roof of the dwelling.</t>
  </si>
  <si>
    <t>7A</t>
  </si>
  <si>
    <t>900708L</t>
  </si>
  <si>
    <t>Berwick Waters - Upper Banks</t>
  </si>
  <si>
    <t>812434N</t>
  </si>
  <si>
    <t>Berwick Waters Estate - College Green</t>
  </si>
  <si>
    <t>742135M</t>
  </si>
  <si>
    <t>746160R</t>
  </si>
  <si>
    <t>746161P</t>
  </si>
  <si>
    <t>801746E</t>
  </si>
  <si>
    <t>804758F</t>
  </si>
  <si>
    <t>804759D</t>
  </si>
  <si>
    <t>804760U</t>
  </si>
  <si>
    <t>Berwick Waters Estate - Heritage Hill</t>
  </si>
  <si>
    <t>706788S</t>
  </si>
  <si>
    <t>Berwick Waters Estate - The Strand</t>
  </si>
  <si>
    <t>737505J</t>
  </si>
  <si>
    <t>739457G</t>
  </si>
  <si>
    <t>739459C</t>
  </si>
  <si>
    <t>Berwick Waters Estate - Waterside</t>
  </si>
  <si>
    <t>741151U</t>
  </si>
  <si>
    <t>741152S</t>
  </si>
  <si>
    <t>800328E</t>
  </si>
  <si>
    <t>741164K</t>
  </si>
  <si>
    <t>741165H</t>
  </si>
  <si>
    <t>Bethany Park Estate</t>
  </si>
  <si>
    <t>643221W</t>
  </si>
  <si>
    <t>Mitula</t>
  </si>
  <si>
    <t>Tony Tadros</t>
  </si>
  <si>
    <t>0400 425 620</t>
  </si>
  <si>
    <t>tony=investfirst.com.au@mail62.suw11.mcdlv.net</t>
  </si>
  <si>
    <t>746278R</t>
  </si>
  <si>
    <t>Beveridge Central</t>
  </si>
  <si>
    <t>815916C</t>
  </si>
  <si>
    <t>0435 222 278</t>
  </si>
  <si>
    <t>ted@kohamproperty.com.au</t>
  </si>
  <si>
    <t>Siting of buildings should allow for the
provision of an area of private open space
of 40m² min</t>
  </si>
  <si>
    <t>All dwellings should be set-back
from the rear boundary by at least 3m</t>
  </si>
  <si>
    <t>Lots 10.5m and above must have double garage</t>
  </si>
  <si>
    <t>Single storey: garage door cannot exceed 60% of lot frontage</t>
  </si>
  <si>
    <t xml:space="preserve">$0
$45/lm for painting fence Grey Ridge </t>
  </si>
  <si>
    <t>Side set-backs of buildings must be a
minimum of 1m where a boundary wall is not
nominated. Boundry to boundry construction
is allowed on 10.5mtr &amp; 8,5mtr lots as long
as it fits under the Building Code of Australia,
Rescode and other applicable planning or
building regulations</t>
  </si>
  <si>
    <t>815916C/S2</t>
  </si>
  <si>
    <t>Blanch Estate</t>
  </si>
  <si>
    <t>2F</t>
  </si>
  <si>
    <t>St Leonards 3223</t>
  </si>
  <si>
    <t>834347J</t>
  </si>
  <si>
    <t>Gail Witteman</t>
  </si>
  <si>
    <t>0434 242 555</t>
  </si>
  <si>
    <t>stleondards.ljhooker.com.au</t>
  </si>
  <si>
    <t>Bluestone Views</t>
  </si>
  <si>
    <t>Epping 3076</t>
  </si>
  <si>
    <t>518168X</t>
  </si>
  <si>
    <t>Alannah Browne</t>
  </si>
  <si>
    <t>0414 894 166</t>
  </si>
  <si>
    <t>alannah@mpai.com.au</t>
  </si>
  <si>
    <t>902217V</t>
  </si>
  <si>
    <t>Bloom - The New Estate</t>
  </si>
  <si>
    <t>815481M</t>
  </si>
  <si>
    <t>RCG Development P/L</t>
  </si>
  <si>
    <t>Bloom Estate</t>
  </si>
  <si>
    <t>726457E</t>
  </si>
  <si>
    <t>728649J</t>
  </si>
  <si>
    <t>737523G</t>
  </si>
  <si>
    <t>739441X</t>
  </si>
  <si>
    <t>Bloomdale Estate</t>
  </si>
  <si>
    <t>743443U</t>
  </si>
  <si>
    <t>Avid Property Group</t>
  </si>
  <si>
    <t>Leivett Reynolds</t>
  </si>
  <si>
    <t>lreynolds@avidpropertygroup.com.au</t>
  </si>
  <si>
    <t>746273C</t>
  </si>
  <si>
    <t>803025H</t>
  </si>
  <si>
    <t>821099Y</t>
  </si>
  <si>
    <t>821100T</t>
  </si>
  <si>
    <t>Lots less than 300m2 do not require a water tank</t>
  </si>
  <si>
    <t>For lots between 300 - 499m2 - Provide 1No. 2000 litre Slim Line Poly Water Tank including plumbing and connections for up to 3No. Toilets. $4950</t>
  </si>
  <si>
    <t>For lots equal to or greater than 500m2 - Provide 1No. 3000 litre Slim Line Poly Water Tank including plumbing and connections for up to 3No. Toilets. $6500</t>
  </si>
  <si>
    <t>821128U</t>
  </si>
  <si>
    <t>821129S</t>
  </si>
  <si>
    <t>839338H</t>
  </si>
  <si>
    <t>836033X</t>
  </si>
  <si>
    <t>829703S</t>
  </si>
  <si>
    <t>839309Q</t>
  </si>
  <si>
    <t>839339F</t>
  </si>
  <si>
    <t>902260U</t>
  </si>
  <si>
    <t>906392E</t>
  </si>
  <si>
    <t>Bluestone Estate</t>
  </si>
  <si>
    <t>848512S</t>
  </si>
  <si>
    <t>Milos Stojiljkovic</t>
  </si>
  <si>
    <t>miloss@satterley.com.au</t>
  </si>
  <si>
    <t xml:space="preserve">Garages are not to occupy greater
than 50 per cent of the dwelling frontage. </t>
  </si>
  <si>
    <t>Balconies, verandas and porticos must have a minimum
area of 4.0sqm with a minimum depth of 1.5m, unless
otherwise permitted in the small lot housing code</t>
  </si>
  <si>
    <t>902257H</t>
  </si>
  <si>
    <t>902258F</t>
  </si>
  <si>
    <t>906393C</t>
  </si>
  <si>
    <t>Blue Horizons Estate</t>
  </si>
  <si>
    <t>638885W</t>
  </si>
  <si>
    <t>Mondous</t>
  </si>
  <si>
    <t>Ian Harris</t>
  </si>
  <si>
    <t>0420 533 871</t>
  </si>
  <si>
    <t>ian@krpeters.com.au</t>
  </si>
  <si>
    <t>526696A</t>
  </si>
  <si>
    <t>Boardwalk Estate</t>
  </si>
  <si>
    <t>Point Cook 3030</t>
  </si>
  <si>
    <t>848522P</t>
  </si>
  <si>
    <t>Less than 300sqm 90sqm
300sqm or more and
less than 400sqm
100sqm
400sqm or more and
less than 450sqm
120sqm
450sqm or more 150sqm</t>
  </si>
  <si>
    <t>Provide 1No. 2000 litre Slim Line Poly Water Tank including plumbing and connections for up to 3No. Toilets. $4950 - for lots over 300m2</t>
  </si>
  <si>
    <t>Lots with frontages equal to or greater than
12.5 metres must incorporate a double car
garage, which is constructed of the same
building materials as the dwelling.
6.3 Lots with a frontage less than 12.5 metres
must incorporate (as a minimum) a single
car garage, which is constructed of the
same building materials as the dwelling
with an additional area available on the lot
to park a second car</t>
  </si>
  <si>
    <t>For lots less than 300m2</t>
  </si>
  <si>
    <t>848523M</t>
  </si>
  <si>
    <t>902298S</t>
  </si>
  <si>
    <t>902299Q</t>
  </si>
  <si>
    <t>Botania</t>
  </si>
  <si>
    <t>Fraser Rise 3335</t>
  </si>
  <si>
    <t>823199J</t>
  </si>
  <si>
    <t>Growland</t>
  </si>
  <si>
    <t>Sergio Masini</t>
  </si>
  <si>
    <t>0416 445 536</t>
  </si>
  <si>
    <t>sergio@alc.land</t>
  </si>
  <si>
    <t>For lots with a frontage under 12.5m, single storey
dwellings require a single garage with a maximum
door width of 2.6m
• For lots with a frontage of 12.5m or greater and 14m
or less, the maximum width allowable for the garage
door is 5.5m.
• Lots with a frontage of greater than 14m may have a
garage with a greater maximum width if it does not
exceed 40% of the width of the lot</t>
  </si>
  <si>
    <t>Less than or
equal to 12.5m 80% ground floor of lot width 55% First floor of lot width
More than 12.5m
and less or equal
to 16m
75% ground floor of lot width 50% First floor of lot width
More than 16m 70% ground floor of lot width 45% First floor of lot width</t>
  </si>
  <si>
    <t>830160X</t>
  </si>
  <si>
    <t>823200D</t>
  </si>
  <si>
    <t>830161V</t>
  </si>
  <si>
    <t>833944U</t>
  </si>
  <si>
    <t>847501D</t>
  </si>
  <si>
    <t>847502B</t>
  </si>
  <si>
    <t>847512X</t>
  </si>
  <si>
    <t>847513V</t>
  </si>
  <si>
    <t>847516P</t>
  </si>
  <si>
    <t>905185Q</t>
  </si>
  <si>
    <t>Botanical Estate</t>
  </si>
  <si>
    <t>814014B</t>
  </si>
  <si>
    <t>1800 200 800</t>
  </si>
  <si>
    <t>botanical@satterley.com.au</t>
  </si>
  <si>
    <t>Street Frontages</t>
  </si>
  <si>
    <t>814015Y</t>
  </si>
  <si>
    <t>814027R</t>
  </si>
  <si>
    <t>816952S</t>
  </si>
  <si>
    <t>819150Q</t>
  </si>
  <si>
    <t>819168U</t>
  </si>
  <si>
    <t>828176U</t>
  </si>
  <si>
    <t>828149X</t>
  </si>
  <si>
    <t>7B</t>
  </si>
  <si>
    <t>8218172D</t>
  </si>
  <si>
    <t>7C</t>
  </si>
  <si>
    <t>819176V</t>
  </si>
  <si>
    <t>828180E</t>
  </si>
  <si>
    <t>842472K</t>
  </si>
  <si>
    <t>846548F</t>
  </si>
  <si>
    <t>846556G</t>
  </si>
  <si>
    <t>846579T</t>
  </si>
  <si>
    <t>901676R</t>
  </si>
  <si>
    <t>901653E</t>
  </si>
  <si>
    <t>906011V</t>
  </si>
  <si>
    <t>909557G</t>
  </si>
  <si>
    <t>Botanic Ridge</t>
  </si>
  <si>
    <t>831727P</t>
  </si>
  <si>
    <t>Daniel Martin</t>
  </si>
  <si>
    <t>0467 555 166</t>
  </si>
  <si>
    <t>botanicridge@rpmrealestate.com.au</t>
  </si>
  <si>
    <t>Garage must not exceed 40% of the lot frontage</t>
  </si>
  <si>
    <t>Minimum width of front wall of the dwelling facing street of 5 metres</t>
  </si>
  <si>
    <t>Less than 650m2 3000L $6500</t>
  </si>
  <si>
    <t>Greater than 650m2 8500</t>
  </si>
  <si>
    <t>A building not on or within 200mm of a boundary should be set back from side or rear boundaries 1 metre</t>
  </si>
  <si>
    <t>Double storey - first floor must not cover no more than 60% of the ground floor area including garage, porch</t>
  </si>
  <si>
    <t>838478V</t>
  </si>
  <si>
    <t>838486W</t>
  </si>
  <si>
    <t>838488S</t>
  </si>
  <si>
    <t>24B</t>
  </si>
  <si>
    <t>838489Q</t>
  </si>
  <si>
    <t>Bowery</t>
  </si>
  <si>
    <t>Deanside 3336</t>
  </si>
  <si>
    <t>819195R</t>
  </si>
  <si>
    <t>Welsh Developments</t>
  </si>
  <si>
    <t>Greg Pole</t>
  </si>
  <si>
    <t>0427 398 171</t>
  </si>
  <si>
    <t>bowery@rpmrealestate.com.au</t>
  </si>
  <si>
    <t>Garage doors shall not comprise more than 40% of the lot
frontage. Garage doors should not comprise more than
40% of the width of the lot for single storey dwellings,
or more than 40% of the total front façade areas for double
storey dwellings</t>
  </si>
  <si>
    <t>822238G</t>
  </si>
  <si>
    <t>837849R</t>
  </si>
  <si>
    <t>Brandy Creek</t>
  </si>
  <si>
    <t>809505K</t>
  </si>
  <si>
    <t>A dwelling min size 120m2 on lots less than 600m2
and 140m2 for allotments great than 600m2</t>
  </si>
  <si>
    <t>809506H</t>
  </si>
  <si>
    <t>Brendan</t>
  </si>
  <si>
    <t>844980D</t>
  </si>
  <si>
    <t>Jason Stojanovski</t>
  </si>
  <si>
    <t>0447 899 147</t>
  </si>
  <si>
    <t>Jstojanovski@coreprojects.com.au</t>
  </si>
  <si>
    <t>All side setbacks must be a minimum of 1 metre withtheexceptionofgarageswhich
may be built on the side boundary between 0-200mm</t>
  </si>
  <si>
    <t>844980D/S2</t>
  </si>
  <si>
    <t>Bridgefield Estate</t>
  </si>
  <si>
    <t>742688S/S1</t>
  </si>
  <si>
    <t>Zak Stojanovski</t>
  </si>
  <si>
    <t>0408 057 509</t>
  </si>
  <si>
    <t>z.stojanovski@oliverhume.com.au</t>
  </si>
  <si>
    <t>Stain front fence $750</t>
  </si>
  <si>
    <t>Standard Lots - Provide Front Feature Fencing approx. 1000mmH in Vertical Treated Pine Slats 90x22 and exposed 125x75mm posts with spear tops top 1200mmH. $6000
Corner Lots - Provide Front Feature Fencing approx. 1000mmH in Vertical Treated Pine Slats 90x22 and exposed 125x75mm posts with spear tops top 1200mmH, continuing on the secondary frontage to abut corner fencing. $7400</t>
  </si>
  <si>
    <t>742688S/S2</t>
  </si>
  <si>
    <t>721250F/S1</t>
  </si>
  <si>
    <t>721250F/S2</t>
  </si>
  <si>
    <t>801008T</t>
  </si>
  <si>
    <t>801008T/S2</t>
  </si>
  <si>
    <t>801008T/S4</t>
  </si>
  <si>
    <t>806375M/S1</t>
  </si>
  <si>
    <t>806375M/S2</t>
  </si>
  <si>
    <t>806375M/S3</t>
  </si>
  <si>
    <t>806375M/S4</t>
  </si>
  <si>
    <t>806375M/S5</t>
  </si>
  <si>
    <t>806375M/S7</t>
  </si>
  <si>
    <t>Brompton Estate</t>
  </si>
  <si>
    <t>Cranbourne South</t>
  </si>
  <si>
    <t>728916M</t>
  </si>
  <si>
    <t>Natalie Powell</t>
  </si>
  <si>
    <t>0488 600 771</t>
  </si>
  <si>
    <t>nataliep@wofldene.com.au</t>
  </si>
  <si>
    <t>Provide approx. 1800mm high Timber Slat fencing arranged horizontally to wing fence and Gate in lieu of timber palings. 1100</t>
  </si>
  <si>
    <t>728916M/S3</t>
  </si>
  <si>
    <t>728916M/S4</t>
  </si>
  <si>
    <t>728916M/S6</t>
  </si>
  <si>
    <t>728916M/S7</t>
  </si>
  <si>
    <t>728916M/S8</t>
  </si>
  <si>
    <t>728916M/S9</t>
  </si>
  <si>
    <t>728916M/S20</t>
  </si>
  <si>
    <t>728916M/S10</t>
  </si>
  <si>
    <t>728916M/S11</t>
  </si>
  <si>
    <t>728916M/S22</t>
  </si>
  <si>
    <t>728916M/S12</t>
  </si>
  <si>
    <t>728916M/S13</t>
  </si>
  <si>
    <t>728916M/S15</t>
  </si>
  <si>
    <t>728916M/S16</t>
  </si>
  <si>
    <t>Brookhaven Estate</t>
  </si>
  <si>
    <t>Sunbury 3429</t>
  </si>
  <si>
    <t>648258U</t>
  </si>
  <si>
    <t xml:space="preserve">Shingham Developments </t>
  </si>
  <si>
    <t>Nicholas Lacarruba</t>
  </si>
  <si>
    <t xml:space="preserve">0423 652 892  </t>
  </si>
  <si>
    <t>nicholas@red23.com.au</t>
  </si>
  <si>
    <t>Provide 1No. 2100 litre Water Tank including plumbing and connections to up to 3No. Toilets. $5500</t>
  </si>
  <si>
    <t>703236B</t>
  </si>
  <si>
    <t>Brunt Road Estate</t>
  </si>
  <si>
    <t>740169E</t>
  </si>
  <si>
    <t>Pinnacle Developments</t>
  </si>
  <si>
    <t>Callum Knight</t>
  </si>
  <si>
    <t>0431 496 599</t>
  </si>
  <si>
    <t>callum@pinnacledevelopments.com.au</t>
  </si>
  <si>
    <t>Burwood Brickworks</t>
  </si>
  <si>
    <t>Burwood 3125</t>
  </si>
  <si>
    <t>747687S</t>
  </si>
  <si>
    <t>Frasers Property</t>
  </si>
  <si>
    <t>Giuliana Balla</t>
  </si>
  <si>
    <t>0438 653 162</t>
  </si>
  <si>
    <t>Cairnlea Estate</t>
  </si>
  <si>
    <t>Cairnlea 3023</t>
  </si>
  <si>
    <t>447724M</t>
  </si>
  <si>
    <t>Caldera</t>
  </si>
  <si>
    <t>739998U</t>
  </si>
  <si>
    <t>Arbee Real Estate</t>
  </si>
  <si>
    <t>Daryl Gould</t>
  </si>
  <si>
    <t>0409 233 157</t>
  </si>
  <si>
    <t>Daryl.Gould@arbeerealestate.com.au</t>
  </si>
  <si>
    <t>Caledonia Estate</t>
  </si>
  <si>
    <t>708973M</t>
  </si>
  <si>
    <t>Zeljka Kovacevic</t>
  </si>
  <si>
    <t>0413 262 933</t>
  </si>
  <si>
    <t>zkovacevic@coreprojects.com.au</t>
  </si>
  <si>
    <t>729870E</t>
  </si>
  <si>
    <t>729871C</t>
  </si>
  <si>
    <t>Camden Place Estate</t>
  </si>
  <si>
    <t>837870B</t>
  </si>
  <si>
    <t>Ankur Sharma</t>
  </si>
  <si>
    <t>0477 705 030</t>
  </si>
  <si>
    <t>asharma@camdenplace.com.au</t>
  </si>
  <si>
    <t>Entire if double $3300</t>
  </si>
  <si>
    <t>A minimum 1m setback must
be provided for all lots of 10.5m width and greater, except for garage components
which can be built on boundary.</t>
  </si>
  <si>
    <t>Allotments directly adjacent to a reserve or pedestrian link must have two storey on
these allotments and must provide activated secondary frontage fronting the green
space through the use of a balcony, greater articulation or increased use of windows
on both floors of the dwelling. Any habitable room window on part of the dwelling that
is exposed to the linear reserve and not behind fencing must provide a clear view to
the linear reserve</t>
  </si>
  <si>
    <t>Provide approx. 1800mm high Merbau fencing arranged horizontally in lieu of timber palings. Includes wing fence and Gate. CORNER = $9000</t>
  </si>
  <si>
    <t>Provide approx. 1800mm high Merbau fencing arranged horizontally to wing fence and Gate in lieu of timber palings. CORNER = $1100</t>
  </si>
  <si>
    <t>On lots greater than 300sqm porticos should have a minimum area of 4sqm. On lots
smaller than 300sqm, porticos should have a minimum area of 3sqm.</t>
  </si>
  <si>
    <t>For single storey with a frontage under 10.5m, a single garage is required with a maximum garage door width of 2.6m.
For two storey with a frontage of 8.5m and greater and less than 10.5m, a single garage is required with a maximum garage door width of
2.6m.
For two storey with a frontage of 10.5m or greater and less than 12.5m, a double garage with a maximum door width of 4.8m may be
permitted where the majority (minimum 70%) of the upper floor area directly above the
garage area is comprised of a habitable room with large scale windows that provide a
clear view to streetscape and preferably balconies.</t>
  </si>
  <si>
    <t>837874S</t>
  </si>
  <si>
    <t>Canadian Views Estate</t>
  </si>
  <si>
    <t>634773F</t>
  </si>
  <si>
    <t>Hocking Stuart</t>
  </si>
  <si>
    <t>Sachja Haas</t>
  </si>
  <si>
    <t>03 5329 2500</t>
  </si>
  <si>
    <t>shaas@hockingstuart.com.au</t>
  </si>
  <si>
    <t>DOUBLE CHECK LOT NUMBERS. POS AND ENG DOESN'T MATCH UP WITH PRICING SHEET</t>
  </si>
  <si>
    <t>721935V/S2</t>
  </si>
  <si>
    <t>721935V/S4</t>
  </si>
  <si>
    <t>Canopy Estate</t>
  </si>
  <si>
    <t>817574T</t>
  </si>
  <si>
    <t>Brown Property Group</t>
  </si>
  <si>
    <t>0410 315 846</t>
  </si>
  <si>
    <t>thuyen@bpg.com.au</t>
  </si>
  <si>
    <t>Minimum Floor Areas:
Less than 350m2=80m2
350m2-440m2=110m2
440m2-650m2=145m2
Greater than 650m2=165m2</t>
  </si>
  <si>
    <t>Dark coloured roofs are not permitted
as they absorb more heat. All roofs are
to be neutral or subdued colours (such
as light to medium tones and not darker
than RGB 808080). The roof material is to
be non-glossy and non-reflective.</t>
  </si>
  <si>
    <t>817575R</t>
  </si>
  <si>
    <t>817630L</t>
  </si>
  <si>
    <t>817622K</t>
  </si>
  <si>
    <t>817635A</t>
  </si>
  <si>
    <t>838551N</t>
  </si>
  <si>
    <t>838550Q</t>
  </si>
  <si>
    <t>844122D</t>
  </si>
  <si>
    <t>844187X</t>
  </si>
  <si>
    <t>844137P</t>
  </si>
  <si>
    <t>Cardinia Lakes Estate</t>
  </si>
  <si>
    <t>527029M</t>
  </si>
  <si>
    <t>9868 5900</t>
  </si>
  <si>
    <t>melbourne@peet.com.au</t>
  </si>
  <si>
    <t>629733X</t>
  </si>
  <si>
    <t>644295K</t>
  </si>
  <si>
    <t>Cardinia Rise</t>
  </si>
  <si>
    <t>805587B</t>
  </si>
  <si>
    <t>A garage must not occupy more than 40% of the width of the lot frontage.</t>
  </si>
  <si>
    <t>Cardinia Views Estate</t>
  </si>
  <si>
    <t>738421K</t>
  </si>
  <si>
    <t>Villaworld</t>
  </si>
  <si>
    <t>Danny Holtum</t>
  </si>
  <si>
    <t>(03)9693 7800</t>
  </si>
  <si>
    <t>Dholtum@villaworld.com.au</t>
  </si>
  <si>
    <t>Provide 2400mm wide Single Car Garage Door.</t>
  </si>
  <si>
    <t>2 x mature trees (2m+ height at installation) for lots wider than 15m      $=AI$6</t>
  </si>
  <si>
    <t>746805U</t>
  </si>
  <si>
    <t>Carey Heights</t>
  </si>
  <si>
    <t>640602A</t>
  </si>
  <si>
    <t>Carringum</t>
  </si>
  <si>
    <t>721944U/S5</t>
  </si>
  <si>
    <t>houses shall have a minimum house size of 130m2</t>
  </si>
  <si>
    <t>837955S</t>
  </si>
  <si>
    <t>846142L</t>
  </si>
  <si>
    <t>4a</t>
  </si>
  <si>
    <t>6a</t>
  </si>
  <si>
    <t>903103G</t>
  </si>
  <si>
    <t>903096A</t>
  </si>
  <si>
    <t>846178N</t>
  </si>
  <si>
    <t>846163C</t>
  </si>
  <si>
    <t>Carrington Estate</t>
  </si>
  <si>
    <t>821132E</t>
  </si>
  <si>
    <t>Lots with a width of 18m
or greater must have
a minimum two room
frontage with windows
facing the primary street.
12.7 Single storey dwellings
on lots with a width of
18m or more must have
a minimum dwelling
width of 13m.</t>
  </si>
  <si>
    <t>Minimum 100m² on lots less than 350m².
6.2 Minimum 120m² on lots between 350m²–600m².
6.3 Minimum 150m² on lots over 601m².
6.4 Floor area excludes garages, porches, verandas,
pergolas, balconies or alfresco areas.</t>
  </si>
  <si>
    <t>On corners</t>
  </si>
  <si>
    <t>On lots with a width
of 12.5m or greater,
a double garage must be
constructed. The Garage
opening must not exceed
40% of the lot width for
a single storey. Garage
openings must not exceed
25% of the area of the
front facade of any
double storey dwelling</t>
  </si>
  <si>
    <t>821133C</t>
  </si>
  <si>
    <t>821134A</t>
  </si>
  <si>
    <t>821135X</t>
  </si>
  <si>
    <t>906384D</t>
  </si>
  <si>
    <t>Carlingford</t>
  </si>
  <si>
    <t>Lalor 3075</t>
  </si>
  <si>
    <t>831891A</t>
  </si>
  <si>
    <t>The portico has a minimum area of 4m2 in total and is at least 1.5m deep</t>
  </si>
  <si>
    <t>Lots under 400m² - 80m²
Lots between 401m² - 500m² - 125m²
Lots 501m² or more - 185m²</t>
  </si>
  <si>
    <t>Carolina Estate</t>
  </si>
  <si>
    <t>826715B</t>
  </si>
  <si>
    <t>Jaime O'Connor</t>
  </si>
  <si>
    <t>0488 615 762</t>
  </si>
  <si>
    <t>JO'Connor@villaworld.com.au</t>
  </si>
  <si>
    <t>3000L $6500</t>
  </si>
  <si>
    <t>Provide approx. 1800mm high Merbau fencing arranged horizontally to wing fence and Gate in lieu of timber palings. $1100</t>
  </si>
  <si>
    <t>The garage opening must not exceed 4.8m on
lots between 10.5m and 12.5m. Lots under
10.5m which are not Small Lot Housing Code lots
are to be single garages.</t>
  </si>
  <si>
    <t>829696L</t>
  </si>
  <si>
    <t>829717F</t>
  </si>
  <si>
    <t>836043U</t>
  </si>
  <si>
    <t>902226U</t>
  </si>
  <si>
    <t>809301C</t>
  </si>
  <si>
    <t xml:space="preserve">Carroll Lane </t>
  </si>
  <si>
    <t>810460X</t>
  </si>
  <si>
    <t>Mark Russell</t>
  </si>
  <si>
    <t>0418 395 757</t>
  </si>
  <si>
    <t>810461V</t>
  </si>
  <si>
    <t>810469D</t>
  </si>
  <si>
    <t xml:space="preserve">Catalina Estate </t>
  </si>
  <si>
    <t>727163S</t>
  </si>
  <si>
    <t>Potter George</t>
  </si>
  <si>
    <t>Jan Anthony</t>
  </si>
  <si>
    <t>0477 744 988</t>
  </si>
  <si>
    <t>jan@catalinapointcook.com.au</t>
  </si>
  <si>
    <t>744875H</t>
  </si>
  <si>
    <t>746736M</t>
  </si>
  <si>
    <t>747836C</t>
  </si>
  <si>
    <t>801225K</t>
  </si>
  <si>
    <t>801241M</t>
  </si>
  <si>
    <t>803944P</t>
  </si>
  <si>
    <t>803946K</t>
  </si>
  <si>
    <t>810140S</t>
  </si>
  <si>
    <t>810148A</t>
  </si>
  <si>
    <t>Dwellings on lots 400m2 or less must have a minimum floor area of 110m2
 Dwellings on lots 401m2-500m2 must have a minimum floor area of 130m2</t>
  </si>
  <si>
    <t>Central Park Estate</t>
  </si>
  <si>
    <t>841451Y/S2</t>
  </si>
  <si>
    <t>P8 Property</t>
  </si>
  <si>
    <t>Matt</t>
  </si>
  <si>
    <t>0430 132 833</t>
  </si>
  <si>
    <t>sales@centralparkliving.com.au</t>
  </si>
  <si>
    <t>Roller doors are not permitted
• For single storey dwellings, garage entrances may not exceed
50% of the total facade frontage. Where they have frontages less
than 12.5m in width, only single width garages are allowed.
• For multi-storey dwellings, garage entrances may not exceed
25% of the total facade frontage. Facade areas are measured
from a two-dimensional elevation plan and do not include any
area of the roof of the dwelling</t>
  </si>
  <si>
    <t>7.1 Lots 109-126, 127-135 and 214-228
Any two storey homes within these lots must incorporate a balcony directly accessible from the living area or master bedroom that provides direct outlook
to the park.
7.2 Lots 109-121
No double car garages will be approved for single storey homes on these lots. This restriction does not apply to two-storey homes within these lots.
7.3 Lots 109-126, 127-135 and 214-228
Front fencing is not permitted on lots that face onto the park</t>
  </si>
  <si>
    <t xml:space="preserve"> Roofi ng to all houses on lots with frontages of 10.5m or under
should be constructed of Colorbond in the colour Monument</t>
  </si>
  <si>
    <t>Central Walk Estate</t>
  </si>
  <si>
    <t>Drysdale 3222</t>
  </si>
  <si>
    <t>707307H</t>
  </si>
  <si>
    <t>Urban Land Development</t>
  </si>
  <si>
    <t>Ted O'Grady</t>
  </si>
  <si>
    <t>1300 992 581</t>
  </si>
  <si>
    <t>centralealk@oliverhume.com.au</t>
  </si>
  <si>
    <t>707308F</t>
  </si>
  <si>
    <t>707309D</t>
  </si>
  <si>
    <t>743551R</t>
  </si>
  <si>
    <t>Champions Estate</t>
  </si>
  <si>
    <t>742238B</t>
  </si>
  <si>
    <t>824376H</t>
  </si>
  <si>
    <t>825894D</t>
  </si>
  <si>
    <t>830180R</t>
  </si>
  <si>
    <t>Charlemont Rise Estate</t>
  </si>
  <si>
    <t>736113H</t>
  </si>
  <si>
    <t>Daniel Halsy</t>
  </si>
  <si>
    <t>0410 561 911</t>
  </si>
  <si>
    <t>Provide connection to dual pipe plumbing. Note Only</t>
  </si>
  <si>
    <t>736114F</t>
  </si>
  <si>
    <t>805364X</t>
  </si>
  <si>
    <t>742168V</t>
  </si>
  <si>
    <t>805365V</t>
  </si>
  <si>
    <t>805396J</t>
  </si>
  <si>
    <t>805399C</t>
  </si>
  <si>
    <t>805403Q</t>
  </si>
  <si>
    <t>824642N</t>
  </si>
  <si>
    <t>824643L</t>
  </si>
  <si>
    <t>824636H</t>
  </si>
  <si>
    <t>836790E</t>
  </si>
  <si>
    <t>836782D</t>
  </si>
  <si>
    <t>901731L</t>
  </si>
  <si>
    <t>Lot 1901 - 1933
Provide 1m clear horizontal access along the full length of a min. one side of the lot</t>
  </si>
  <si>
    <t>836793X</t>
  </si>
  <si>
    <t>836801C</t>
  </si>
  <si>
    <t>836802A</t>
  </si>
  <si>
    <t>Check POS Restriction C for Side Boundary setback</t>
  </si>
  <si>
    <t>901716G</t>
  </si>
  <si>
    <t>Chelsea Heights</t>
  </si>
  <si>
    <t>Mount Helen 3350</t>
  </si>
  <si>
    <t>803278B</t>
  </si>
  <si>
    <t>Other than one single storey or two storey private dwelling house with a minimum dwelling house size (excluding
garage, verandahs and usual outbuildings) of 185 square metres;</t>
  </si>
  <si>
    <t>Meadow</t>
  </si>
  <si>
    <t>830197X</t>
  </si>
  <si>
    <t>Cherrington Estate</t>
  </si>
  <si>
    <t>726079L</t>
  </si>
  <si>
    <t>Kassy Howard</t>
  </si>
  <si>
    <t>0488 972 717</t>
  </si>
  <si>
    <t>kassy@kaikura.com.au</t>
  </si>
  <si>
    <t>Chesterfield</t>
  </si>
  <si>
    <t>15A</t>
  </si>
  <si>
    <t>810739A</t>
  </si>
  <si>
    <t>Lot is 600m2 or less Area of house needs to be at least 120m2
Lots over 600m2 house needs to be 140m2</t>
  </si>
  <si>
    <t>Chittering Place</t>
  </si>
  <si>
    <t>833888C</t>
  </si>
  <si>
    <t>Adam Lord</t>
  </si>
  <si>
    <t>0422 229 723</t>
  </si>
  <si>
    <t>adam@watchrealestate.com.au</t>
  </si>
  <si>
    <t>Must be single storey</t>
  </si>
  <si>
    <t>Refer to last page of POS - there is building exclusion zone which we cannot build on</t>
  </si>
  <si>
    <t>Must have an interior floor area of at least 232m2</t>
  </si>
  <si>
    <t>Circa 1886 Estate</t>
  </si>
  <si>
    <t>732732Y</t>
  </si>
  <si>
    <t>Park</t>
  </si>
  <si>
    <t>Jake Betteridge</t>
  </si>
  <si>
    <t>0430 966 454</t>
  </si>
  <si>
    <t>jake@red23.com.au</t>
  </si>
  <si>
    <t>735154X</t>
  </si>
  <si>
    <t>740166L</t>
  </si>
  <si>
    <t>735155V</t>
  </si>
  <si>
    <t>735156T</t>
  </si>
  <si>
    <t>805570U</t>
  </si>
  <si>
    <t>737473U</t>
  </si>
  <si>
    <t>Clarinda Park Estate</t>
  </si>
  <si>
    <t>742474N</t>
  </si>
  <si>
    <t>Kaikura</t>
  </si>
  <si>
    <t>Shana Kikuchi</t>
  </si>
  <si>
    <t>0488 972 712</t>
  </si>
  <si>
    <t>shana@kaikura.com.au</t>
  </si>
  <si>
    <t>742502L</t>
  </si>
  <si>
    <t>Clarendon Park</t>
  </si>
  <si>
    <t>826438B</t>
  </si>
  <si>
    <t>Businella Developments</t>
  </si>
  <si>
    <t>Done by Developer</t>
  </si>
  <si>
    <t>834024K</t>
  </si>
  <si>
    <t>Cloverton Estate</t>
  </si>
  <si>
    <t>Kalkallo 3064</t>
  </si>
  <si>
    <t>742747D</t>
  </si>
  <si>
    <t>Scott Watson</t>
  </si>
  <si>
    <t>0418 835 548</t>
  </si>
  <si>
    <t>scott.watson@stockland.com.au</t>
  </si>
  <si>
    <t>Add plenty for rock allowance</t>
  </si>
  <si>
    <t>742806P</t>
  </si>
  <si>
    <t>840609U</t>
  </si>
  <si>
    <t>807665W</t>
  </si>
  <si>
    <t>807666U</t>
  </si>
  <si>
    <t>807667S</t>
  </si>
  <si>
    <t>807669N</t>
  </si>
  <si>
    <t>807670E</t>
  </si>
  <si>
    <t>807671C</t>
  </si>
  <si>
    <t>807672A</t>
  </si>
  <si>
    <t>818703E</t>
  </si>
  <si>
    <t>818663P</t>
  </si>
  <si>
    <t>818664M</t>
  </si>
  <si>
    <t>818704C</t>
  </si>
  <si>
    <t>818665K</t>
  </si>
  <si>
    <t>818666H</t>
  </si>
  <si>
    <t>823236F</t>
  </si>
  <si>
    <t>823237D</t>
  </si>
  <si>
    <t>823234K</t>
  </si>
  <si>
    <t>835640F</t>
  </si>
  <si>
    <t>823326E</t>
  </si>
  <si>
    <t>831960H</t>
  </si>
  <si>
    <t>835636V</t>
  </si>
  <si>
    <t>823328A</t>
  </si>
  <si>
    <t>827442F</t>
  </si>
  <si>
    <t>845581N</t>
  </si>
  <si>
    <t>818667F</t>
  </si>
  <si>
    <t>818668D</t>
  </si>
  <si>
    <t>831952G</t>
  </si>
  <si>
    <t>835642B</t>
  </si>
  <si>
    <t>845640Y</t>
  </si>
  <si>
    <t>835662U</t>
  </si>
  <si>
    <t>840579B</t>
  </si>
  <si>
    <t>845668A</t>
  </si>
  <si>
    <t>845671M</t>
  </si>
  <si>
    <t>845610J</t>
  </si>
  <si>
    <t>900083B</t>
  </si>
  <si>
    <t>900098M</t>
  </si>
  <si>
    <t>900092A</t>
  </si>
  <si>
    <t>entire if double</t>
  </si>
  <si>
    <t>Your home must have a porch, portico or verandah with a min area of 4.0m2 and a min depth of 1.5m at some point</t>
  </si>
  <si>
    <t>When a home is 13m wide or greater:
- A portico/verandah with a min area of 10m2. The porch must also have a depth of min 1.5m deep at some point</t>
  </si>
  <si>
    <t>required on corner lots</t>
  </si>
  <si>
    <t>738919Y</t>
  </si>
  <si>
    <t>Clyde Springs Estate</t>
  </si>
  <si>
    <t>808379S</t>
  </si>
  <si>
    <t>Joe Anto</t>
  </si>
  <si>
    <t>0408 452 323</t>
  </si>
  <si>
    <t>joea@maxbrown.com.au</t>
  </si>
  <si>
    <t>808380J</t>
  </si>
  <si>
    <t>826162S</t>
  </si>
  <si>
    <t>902131G</t>
  </si>
  <si>
    <t>908381Y</t>
  </si>
  <si>
    <t>846064E</t>
  </si>
  <si>
    <t>Clydevale Estate</t>
  </si>
  <si>
    <t>718822D</t>
  </si>
  <si>
    <t>Lot Size m2 Minimum Floor Area**
Greater than 450m2 150m2
300m2 - 450m2 120m2
Below 300m2 100m2</t>
  </si>
  <si>
    <t>Not allow garage opening to cooupy more than 40% of the width of the primary frontage,
unless the building is two or more storeys and on a lot wherby the garage opening must not excess 30% of the area of the front façade of the dwelling with the area of the front facade measured from a two dimensional elevation plan of the facade excluding the area of the roof of the dwelling</t>
  </si>
  <si>
    <t>728037S</t>
  </si>
  <si>
    <t>742480T</t>
  </si>
  <si>
    <t>742478E</t>
  </si>
  <si>
    <t>742493J</t>
  </si>
  <si>
    <t>742494G</t>
  </si>
  <si>
    <t>833959F</t>
  </si>
  <si>
    <t>718831C</t>
  </si>
  <si>
    <t>742485H</t>
  </si>
  <si>
    <t>747630Y</t>
  </si>
  <si>
    <t>747657C</t>
  </si>
  <si>
    <t>747658A</t>
  </si>
  <si>
    <t>804258C</t>
  </si>
  <si>
    <t>808394W</t>
  </si>
  <si>
    <t>808397Q</t>
  </si>
  <si>
    <t>808384A</t>
  </si>
  <si>
    <t>800936E</t>
  </si>
  <si>
    <t>816278D</t>
  </si>
  <si>
    <t>808385X</t>
  </si>
  <si>
    <t>804250U</t>
  </si>
  <si>
    <t>726086P</t>
  </si>
  <si>
    <t>728008A</t>
  </si>
  <si>
    <t>738268Q</t>
  </si>
  <si>
    <t>Jade</t>
  </si>
  <si>
    <t>833968E</t>
  </si>
  <si>
    <t>College Fields - Wyndham Vale</t>
  </si>
  <si>
    <t>Wyndham Vale 3024</t>
  </si>
  <si>
    <t>738861E</t>
  </si>
  <si>
    <t>sales@collegefields.com.au</t>
  </si>
  <si>
    <t>807659R</t>
  </si>
  <si>
    <t>814751P</t>
  </si>
  <si>
    <t>College Fields - Officer</t>
  </si>
  <si>
    <t>836963Y</t>
  </si>
  <si>
    <t>Garage openings must not exceed 40% of the frontage dwelling for single
storey dwellings.
ii. Garage openings must not exceed 25% of the area of the front facade of any
dwelling greater than a single storey.
iii. Lots with frontages less than 12.5m in width are restricted to single garages
when single storey.</t>
  </si>
  <si>
    <t>(a) Each dwelling constructed on a lot must have a Net Floor Area of at least 140 square
metres excluding garages, porticos and or verandah structures.</t>
  </si>
  <si>
    <t>Lots 1,2,3,4,5, 35, 36, 37, 38, 39,40 and 41 - these losts may be within saturated ground water zone, refer to ENG and add extra site cost if needed</t>
  </si>
  <si>
    <t>College Green Estate</t>
  </si>
  <si>
    <t>725986F</t>
  </si>
  <si>
    <t>Central Equity</t>
  </si>
  <si>
    <t>Hai Nguyen</t>
  </si>
  <si>
    <t>0422 113 746</t>
  </si>
  <si>
    <t>HaiN@centralequity.com.au</t>
  </si>
  <si>
    <t>On boundaries facing public areas</t>
  </si>
  <si>
    <t>732568K</t>
  </si>
  <si>
    <t>732571W</t>
  </si>
  <si>
    <t>739585W</t>
  </si>
  <si>
    <t>Conroys Green</t>
  </si>
  <si>
    <t>845413L</t>
  </si>
  <si>
    <t>Jellis Craig</t>
  </si>
  <si>
    <t>Rebecca Stepnell</t>
  </si>
  <si>
    <t>0423 050 864</t>
  </si>
  <si>
    <t>Dwelling size must be minimum 130m2 but on lots more than 400m2 or less, 110m2</t>
  </si>
  <si>
    <t>845423H</t>
  </si>
  <si>
    <t>845424F</t>
  </si>
  <si>
    <t>848609B</t>
  </si>
  <si>
    <t>848623H</t>
  </si>
  <si>
    <t>903680Q</t>
  </si>
  <si>
    <t>908094C</t>
  </si>
  <si>
    <t>908091J</t>
  </si>
  <si>
    <t>Coomoora</t>
  </si>
  <si>
    <t xml:space="preserve">Springvale South </t>
  </si>
  <si>
    <t>836279N</t>
  </si>
  <si>
    <t>5m rear setback</t>
  </si>
  <si>
    <t>Maximum 50% site coverage and minimum 40% site permeability</t>
  </si>
  <si>
    <t>Maximum 50% of boundary fencing abutting public or communal open space may be solid fencing with the remainder to be visually permeable - Price covered in standard pricing, note only.</t>
  </si>
  <si>
    <t>Referred to DRAFT Design Guidelines, put in note 'Pricing subject to change according to Final Approved DG'</t>
  </si>
  <si>
    <t>All dwellings are to have 6 cubic metres (minimum) external secure storage - Client to provide after handover</t>
  </si>
  <si>
    <t>Copelands Estate</t>
  </si>
  <si>
    <t>806310S</t>
  </si>
  <si>
    <t>130m2 on lots less than 600m2;
(ii) 150m2 on any lot between 600m2 and 800m2;
(iii) 180m2 on any lot exceeding 800m2</t>
  </si>
  <si>
    <t>819968K</t>
  </si>
  <si>
    <t>819969H</t>
  </si>
  <si>
    <t>826049N</t>
  </si>
  <si>
    <t>826051C</t>
  </si>
  <si>
    <t>Coridale</t>
  </si>
  <si>
    <t>821033G/S1</t>
  </si>
  <si>
    <t>Michael Huynh</t>
  </si>
  <si>
    <t>0419 288 233</t>
  </si>
  <si>
    <t>The minimum dwelling size is:
• 160 square metres in the case of a lot having an area of 500 square metres or
greater; or
• 130 square metres in the case of a lot having an area of 400 square metres or
greater but less than 500 square metres; or
• 100 square metres in the case of a lot having an area of 300 square metres or
greater but less than 400 square metres; or
• 75 square metres in the case of a lot having an area of less than 300 square
metres.</t>
  </si>
  <si>
    <t>821033G/S2</t>
  </si>
  <si>
    <t>821033G/S3</t>
  </si>
  <si>
    <t>821033G/S4</t>
  </si>
  <si>
    <t>821033G/S5</t>
  </si>
  <si>
    <t>7a</t>
  </si>
  <si>
    <t>821033G/S71</t>
  </si>
  <si>
    <t>7b</t>
  </si>
  <si>
    <t>821033G/S72</t>
  </si>
  <si>
    <t>821033G/S8</t>
  </si>
  <si>
    <t>Lot 801 - 846 (all inclusive) has to provide 1m clear horizontal access along the full length of a minimum one side boundary of the lot for purpose of access to sewer</t>
  </si>
  <si>
    <t>821033G/S10</t>
  </si>
  <si>
    <t>821033G/S17</t>
  </si>
  <si>
    <t>Coriyule Estate</t>
  </si>
  <si>
    <t>643971A</t>
  </si>
  <si>
    <t>Swan Bay</t>
  </si>
  <si>
    <t>Maree Humphrey</t>
  </si>
  <si>
    <t>0408 504 042</t>
  </si>
  <si>
    <t>643972X</t>
  </si>
  <si>
    <t>643973V</t>
  </si>
  <si>
    <t>745975X</t>
  </si>
  <si>
    <t>745973C</t>
  </si>
  <si>
    <t>800925K</t>
  </si>
  <si>
    <t>805036R</t>
  </si>
  <si>
    <t>805035T</t>
  </si>
  <si>
    <t>814489A</t>
  </si>
  <si>
    <t>Cornerstone Estate</t>
  </si>
  <si>
    <t>730392H</t>
  </si>
  <si>
    <t>Angelo Granata</t>
  </si>
  <si>
    <t>0439 394 466</t>
  </si>
  <si>
    <t>angelo.granata@peet.com.au</t>
  </si>
  <si>
    <t>Allow for 10K + 15K for Rock in site costs</t>
  </si>
  <si>
    <t>746787T</t>
  </si>
  <si>
    <t>804325P</t>
  </si>
  <si>
    <t>804326M</t>
  </si>
  <si>
    <t>804327K</t>
  </si>
  <si>
    <t>738382S</t>
  </si>
  <si>
    <t>746853H</t>
  </si>
  <si>
    <t>811187J</t>
  </si>
  <si>
    <t>811186L</t>
  </si>
  <si>
    <t>838472J</t>
  </si>
  <si>
    <t>817576P</t>
  </si>
  <si>
    <t>811254V</t>
  </si>
  <si>
    <t>811207F</t>
  </si>
  <si>
    <t>811206H</t>
  </si>
  <si>
    <t>817631J</t>
  </si>
  <si>
    <t>817668J</t>
  </si>
  <si>
    <t>825836T</t>
  </si>
  <si>
    <t>825841B</t>
  </si>
  <si>
    <t>825862S</t>
  </si>
  <si>
    <t>838499M</t>
  </si>
  <si>
    <t>738402P</t>
  </si>
  <si>
    <t>Creekstone Estate</t>
  </si>
  <si>
    <t>902432R</t>
  </si>
  <si>
    <t>Andy Pandya</t>
  </si>
  <si>
    <t>0499 999 522</t>
  </si>
  <si>
    <t>creekstone@rpmrealestate.com.au</t>
  </si>
  <si>
    <t>Lots less than 10.5m wide must have a single garage</t>
  </si>
  <si>
    <t>902508J</t>
  </si>
  <si>
    <t>908216Q</t>
  </si>
  <si>
    <t>746790F</t>
  </si>
  <si>
    <t>746814T</t>
  </si>
  <si>
    <t>804278V</t>
  </si>
  <si>
    <t>804304X</t>
  </si>
  <si>
    <t>804345H</t>
  </si>
  <si>
    <t>804365B</t>
  </si>
  <si>
    <t>811178K</t>
  </si>
  <si>
    <t>838473G</t>
  </si>
  <si>
    <t>844144S</t>
  </si>
  <si>
    <t>811205K</t>
  </si>
  <si>
    <t>Curlewis Parks Estate</t>
  </si>
  <si>
    <t>713954M</t>
  </si>
  <si>
    <t>Moremac</t>
  </si>
  <si>
    <t>Christopher Smith</t>
  </si>
  <si>
    <t>0417 327 722</t>
  </si>
  <si>
    <t>743879E</t>
  </si>
  <si>
    <t>743883P</t>
  </si>
  <si>
    <t>806374P</t>
  </si>
  <si>
    <t>816906A</t>
  </si>
  <si>
    <t>14A</t>
  </si>
  <si>
    <t>806362W</t>
  </si>
  <si>
    <t>802678P</t>
  </si>
  <si>
    <t>Dalgona Estate</t>
  </si>
  <si>
    <t>849694C</t>
  </si>
  <si>
    <t>Amber Dew</t>
  </si>
  <si>
    <t>0499 795 969</t>
  </si>
  <si>
    <t>amber@landlaunch.com.au</t>
  </si>
  <si>
    <t>Lots 113 to 133 (both inclusive) and Lots 151 to 154 (both inclusive) on this plan,
cannot build or permit to be built any building(s) that does not provide 1.0 metre clear horizontal access along the full length of a
minimum one side boundary of the lot.</t>
  </si>
  <si>
    <t>Where the lot has a frontage width of 12.5m or greater, the primary building should be set off at least one side boundary to provide pedestrian and/or vehicular access to the rear of the site</t>
  </si>
  <si>
    <t>when a wall is not sited against a boundary, all walls over 3.6m in height, or with an average height exceeding 3.2m must be setback from a side or rear boundary in accordance with the Council's Planning Scheme, being:
- 1m + 0.3m for every metre in height above 3.6m to a max height of 6.9m; and
- In addition to the above, 1m for every metre of height above 6.9m</t>
  </si>
  <si>
    <t>The following facades comply:
 Holt, Whitlam, Summit, Duke, Reed, President &amp; Watson
All Double facades comply.</t>
  </si>
  <si>
    <t>Lots 179-1110 (Stage 1) inclusive are townhouse lots
- single garage only
- The southern boundary of secluded private open space should be setback from any wall on the North of the space at least "2 + (0.9*height of wall)"m</t>
  </si>
  <si>
    <t>Lots 2, 5, 12, 15, 23, 72, 81, 84, 92, 96, 97, 112, 113, 128, 136, 139, 147, 150 (Stage 1)
Lots 36, 37, 40, 50, 151, 158, 161, 168 (Stage 2)
These are lots with two frontages to the Public Realm:
Driveway and garages are to be located a min distance of 6m from the intersection point of the primary and secondary stteet boundaries. This requirement may be varied for Lots 97, 112, 113, &amp; 12</t>
  </si>
  <si>
    <t>Fot doubles houses: Second level covers 50% of garage area</t>
  </si>
  <si>
    <t>Secluded private open space to each dwelling is to be provided with a min area of 40m2.
At least 25m2 of the secluded private open space, shouldn't be covered with any roof structure so as to allow uninterrupted solar access.
The secluded open space area includes ground floor open space only. Any balcony provided as part of a proposed house design is considered above and beyond the requirements</t>
  </si>
  <si>
    <t>Lots 101, 102, 143, 144, 179-194:
BAL 19 rated site including the following items:
- fully sarked roof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 $600</t>
  </si>
  <si>
    <t>Deanside Central Estate</t>
  </si>
  <si>
    <t>847190T</t>
  </si>
  <si>
    <t>Lots with a frontage of more than 12.5m should provide a double garage. Maximum width
allowable for the garage door is 5.5m.</t>
  </si>
  <si>
    <t>Required if lots are greater than 300m2
Provide 1No. 2000 litre Slim Line Poly Water Tank including plumbing and connections for up to 3No. Toilets. $4950</t>
  </si>
  <si>
    <t>Required on corner lots</t>
  </si>
  <si>
    <t>901884J</t>
  </si>
  <si>
    <t>849680P</t>
  </si>
  <si>
    <t>Deanside Springs Estate</t>
  </si>
  <si>
    <t>838317W</t>
  </si>
  <si>
    <t>1300 348 787</t>
  </si>
  <si>
    <t>sales@estategurus.com.au</t>
  </si>
  <si>
    <t>Lots at least 12.5m wide and 14m wide or less
7. The maximum width allowable for the garage door opening is 5.5m.
Lots more than 14m wide
8. For single storey dwellings, the garage door opening must not exceed 40% of the
width of the lot.
9. For two storey dwellings, garage door openings that exceed 40% of the lot width
are discouraged. Notwithstanding, they will only be permitted where balconies or
windows are provided above the garage.</t>
  </si>
  <si>
    <t>Deanside Village Estate</t>
  </si>
  <si>
    <t>820460R</t>
  </si>
  <si>
    <t>Deanside Village</t>
  </si>
  <si>
    <t>Heru Harjanta</t>
  </si>
  <si>
    <t>0447 295 210</t>
  </si>
  <si>
    <t>Garages must be stepped back a minimum
of 840mm from the front building line.</t>
  </si>
  <si>
    <t>Lots over 12.5m must incorporate double garage.</t>
  </si>
  <si>
    <t>825749N</t>
  </si>
  <si>
    <t>837659W</t>
  </si>
  <si>
    <t>837662J</t>
  </si>
  <si>
    <t>841634Q</t>
  </si>
  <si>
    <t>841639E</t>
  </si>
  <si>
    <t>841654J</t>
  </si>
  <si>
    <t>841660P</t>
  </si>
  <si>
    <t>847497Q</t>
  </si>
  <si>
    <t>Lots 1553 and 1551 must be double storey</t>
  </si>
  <si>
    <t>For lots with a frontage of 12.5m or greater and 14m or less,
the maximum width allowable for the garage door is 5.5m.
Lots with a frontage greater than 14m may have a garage
with a greater maximum width if it does not exceed 40%
of the width of the lot.</t>
  </si>
  <si>
    <t>Porch must be at least 4m2</t>
  </si>
  <si>
    <t>847500F</t>
  </si>
  <si>
    <t>905188J</t>
  </si>
  <si>
    <t>Allowance for Acoustic Rated Walls - Singles $15000 Doubles $20000</t>
  </si>
  <si>
    <t>905189G</t>
  </si>
  <si>
    <t>Delaray Estate</t>
  </si>
  <si>
    <t>730320K/S4</t>
  </si>
  <si>
    <t>Nabil Harb</t>
  </si>
  <si>
    <t>0422 025 595</t>
  </si>
  <si>
    <t>n.harb@oliverhume.com.au</t>
  </si>
  <si>
    <t>Minimum Dwelling area:
110m2 for lots less than 500m2
150m2 for lots equal to or greater than 500m4</t>
  </si>
  <si>
    <t>Garage openings must not exceed 40% of the frontage dwelling for single
storey dwellings</t>
  </si>
  <si>
    <t>Provide 1No. advanced feature tree in a 75 litre pot.  $770</t>
  </si>
  <si>
    <t>730320K/S5</t>
  </si>
  <si>
    <t>Minimum Dwelling area:
110m2 for lots less than 500m2
150m2 for lots equal to or greater than 500m3</t>
  </si>
  <si>
    <t>730320K/S7</t>
  </si>
  <si>
    <t>Minimum Dwelling area:
110m2 for lots less than 500m2
150m2 for lots equal to or greater than 500m2</t>
  </si>
  <si>
    <t>730320K/S8</t>
  </si>
  <si>
    <t>Minimum Dwelling area:
110m2 for lots less than 500m2
150m2 for lots equal to or greater than 500m1</t>
  </si>
  <si>
    <t>746841Q/S1</t>
  </si>
  <si>
    <t>Minimum Dwelling area:
110m2 for lots less than 500m2
150m2 for lots equal to or greater than 500m0</t>
  </si>
  <si>
    <t>746841Q/S11</t>
  </si>
  <si>
    <t>746841Q/S121</t>
  </si>
  <si>
    <t>746841Q/S14</t>
  </si>
  <si>
    <t>746841Q/S15</t>
  </si>
  <si>
    <t>817648Q</t>
  </si>
  <si>
    <t>817648Q/S3</t>
  </si>
  <si>
    <t>817648Q/S4</t>
  </si>
  <si>
    <t>19B</t>
  </si>
  <si>
    <t>817648Q/S5</t>
  </si>
  <si>
    <r>
      <t>150m2 for lot having an area of 500m2  or greater; or
110m2  for lot having an area of less than 500m2, excluding terrace allotments</t>
    </r>
    <r>
      <rPr>
        <b/>
        <sz val="11"/>
        <color theme="1"/>
        <rFont val="Calibri"/>
        <family val="2"/>
        <scheme val="minor"/>
      </rPr>
      <t xml:space="preserve">
85m2 for terrace allotments as defined in the Design Guidelines. 
For the purpose of calculating the floor area of a dwelling-house the area of the garages, terraces, pergolas or verandahs shall be excluded</t>
    </r>
  </si>
  <si>
    <t>Refer to POS - Creation of Restriction  (iv) for garage restrictions</t>
  </si>
  <si>
    <t>817648Q/S6</t>
  </si>
  <si>
    <t>(A) Which contains a garage door or doors of which the garage opening/s occupy more than 40% of the width of the primary
whereby the garage opening must not exceed 30% of the area of the front facade of the dwelling, with the area of the front
facade measured from a two dimensional elevation plan excluding any roof area of the dwelling.
frontage unless in the case of dwellings of two or more storeys on lots between 250 square metres and 300 square metres
(B) Which is sited closer to the primary frontage than the dwelling-house or 5.5 metres which ever is the greater.
Except in the case of lots 2041 to 2052 (both inclusive) build or cause to be built or allow to be built or allow to remain a garage;</t>
  </si>
  <si>
    <t>817648Q/S21</t>
  </si>
  <si>
    <t>74681Q/S16</t>
  </si>
  <si>
    <t>Diamond Rise  Estate</t>
  </si>
  <si>
    <t>735095M</t>
  </si>
  <si>
    <t xml:space="preserve">Ivy Street </t>
  </si>
  <si>
    <t>Cecilia Awad</t>
  </si>
  <si>
    <t>0437 487 701</t>
  </si>
  <si>
    <t>diamondrise@rpmrealestate.com.au</t>
  </si>
  <si>
    <t xml:space="preserve">Woodland Grey </t>
  </si>
  <si>
    <t>718995U</t>
  </si>
  <si>
    <t>719002P</t>
  </si>
  <si>
    <t>715208P</t>
  </si>
  <si>
    <t>747998Y</t>
  </si>
  <si>
    <t>Donnybrae Estate</t>
  </si>
  <si>
    <t>739574C</t>
  </si>
  <si>
    <t>Dennis Corp</t>
  </si>
  <si>
    <t>Rob Polec</t>
  </si>
  <si>
    <t>0437 465 954</t>
  </si>
  <si>
    <t>rob.polec@denniscorp.com.au</t>
  </si>
  <si>
    <t>LL $1430</t>
  </si>
  <si>
    <t>Less than or equal 10 metres Single
10.5 metres – 12.49 metres Single, Tandem or Double
12.5 metres – 17.99 metres Double</t>
  </si>
  <si>
    <t>LL 6m2</t>
  </si>
  <si>
    <t>LL 8000</t>
  </si>
  <si>
    <t>Additional Plant Allowance $2500</t>
  </si>
  <si>
    <t>806972S</t>
  </si>
  <si>
    <t>810124Q</t>
  </si>
  <si>
    <t>810128G</t>
  </si>
  <si>
    <t>810134M</t>
  </si>
  <si>
    <t>810135K</t>
  </si>
  <si>
    <t>813982Y</t>
  </si>
  <si>
    <t>819151N</t>
  </si>
  <si>
    <t>819164D</t>
  </si>
  <si>
    <t>819184W</t>
  </si>
  <si>
    <t>819161K</t>
  </si>
  <si>
    <t>Lots with a width greater than 11.5m frontage must be setback min 1m from one side boundary</t>
  </si>
  <si>
    <t>Dream Estate</t>
  </si>
  <si>
    <t>841719G/S2</t>
  </si>
  <si>
    <t>Rex Warnes</t>
  </si>
  <si>
    <t>0402 047 978</t>
  </si>
  <si>
    <t>rex.w@newhomeshop.com.au</t>
  </si>
  <si>
    <t>841719G/S3</t>
  </si>
  <si>
    <t>Drouin Springs</t>
  </si>
  <si>
    <t>747346V</t>
  </si>
  <si>
    <t>Barry Plant</t>
  </si>
  <si>
    <t>Tim Gilmore</t>
  </si>
  <si>
    <t>0447 290 566</t>
  </si>
  <si>
    <t>tgilmore@barryplant.com.au</t>
  </si>
  <si>
    <t>Minimum floor area 120</t>
  </si>
  <si>
    <t>821008F</t>
  </si>
  <si>
    <t>844526C</t>
  </si>
  <si>
    <t>Drysdale Central</t>
  </si>
  <si>
    <t>838262V</t>
  </si>
  <si>
    <t>Rhonda Humpage</t>
  </si>
  <si>
    <t>0457 313 609</t>
  </si>
  <si>
    <t>rhonda.humpage@stockdaleleggo.com.au</t>
  </si>
  <si>
    <t>DTC Edge</t>
  </si>
  <si>
    <t>831055P</t>
  </si>
  <si>
    <t>Integra</t>
  </si>
  <si>
    <t>Luke Armistead</t>
  </si>
  <si>
    <t>0475 111 162</t>
  </si>
  <si>
    <t>luke@integragroup.com.au</t>
  </si>
  <si>
    <t>outbuildings with a minimum dwelling size (excluding integrated garage) of 120.78
square metres</t>
  </si>
  <si>
    <t xml:space="preserve">Eagle Heights </t>
  </si>
  <si>
    <t>515027J</t>
  </si>
  <si>
    <t>East Estate</t>
  </si>
  <si>
    <t>748009K</t>
  </si>
  <si>
    <t xml:space="preserve">Wolfdene </t>
  </si>
  <si>
    <t>Patrick Reyes</t>
  </si>
  <si>
    <t xml:space="preserve">0437 105 385 </t>
  </si>
  <si>
    <t>patrick@wolfdene.com.au</t>
  </si>
  <si>
    <t>748010B</t>
  </si>
  <si>
    <t>748009K/S4</t>
  </si>
  <si>
    <t>748009K/S5</t>
  </si>
  <si>
    <t>748009K/S6</t>
  </si>
  <si>
    <t>748009K/S7</t>
  </si>
  <si>
    <t>748009K/S8</t>
  </si>
  <si>
    <t>Eastwood Estate</t>
  </si>
  <si>
    <t>819390T</t>
  </si>
  <si>
    <t xml:space="preserve">Eight Property Investment </t>
  </si>
  <si>
    <t>0477 101 027</t>
  </si>
  <si>
    <t>kevin@eightpi.com.au</t>
  </si>
  <si>
    <t>garage must not occupy more than 40% of width unless double storey and lot area between 250 to 300 the garage must not exceed 30% of the area of front façade.</t>
  </si>
  <si>
    <t>lots under 12.5 minimum requrement of single garage.</t>
  </si>
  <si>
    <t>821038V</t>
  </si>
  <si>
    <t>827126R</t>
  </si>
  <si>
    <t>Ecoville Estate</t>
  </si>
  <si>
    <t>615528C</t>
  </si>
  <si>
    <t>Eden Gardens Estate</t>
  </si>
  <si>
    <t>636364N</t>
  </si>
  <si>
    <t>Giuseppe Molino</t>
  </si>
  <si>
    <t>Rishav Bhardwaj</t>
  </si>
  <si>
    <t>0407 001 122</t>
  </si>
  <si>
    <t>rbhardwaj@coreprojects.com.au</t>
  </si>
  <si>
    <t>Provide Staining to Timber Fence. $52 lm</t>
  </si>
  <si>
    <t>Required on Corner</t>
  </si>
  <si>
    <t xml:space="preserve"> Minimum porch or portico size is 4m2 with a minimum depth of 1.5m</t>
  </si>
  <si>
    <t>742765B</t>
  </si>
  <si>
    <t>742766Y</t>
  </si>
  <si>
    <t>742746F</t>
  </si>
  <si>
    <t>Eden Rise</t>
  </si>
  <si>
    <t>Kilmore 3764</t>
  </si>
  <si>
    <t>814533A</t>
  </si>
  <si>
    <t>Bevan Projects</t>
  </si>
  <si>
    <t>Kirstie Burrows</t>
  </si>
  <si>
    <t>0497 016 060</t>
  </si>
  <si>
    <t>kirstie@bevanprojects.com.au</t>
  </si>
  <si>
    <t>Edgebrook Estate</t>
  </si>
  <si>
    <t>803169G</t>
  </si>
  <si>
    <t>803178F</t>
  </si>
  <si>
    <t>809344H</t>
  </si>
  <si>
    <t>809350N</t>
  </si>
  <si>
    <t>813103H</t>
  </si>
  <si>
    <t>813134V</t>
  </si>
  <si>
    <t>813135T</t>
  </si>
  <si>
    <t>813136R</t>
  </si>
  <si>
    <t>821904A</t>
  </si>
  <si>
    <t>821938G</t>
  </si>
  <si>
    <t>821905X</t>
  </si>
  <si>
    <t>821939E</t>
  </si>
  <si>
    <t>Edgeleigh Estate</t>
  </si>
  <si>
    <t>Mount Cottrell 3024</t>
  </si>
  <si>
    <t>821032J</t>
  </si>
  <si>
    <t>Lennium Group</t>
  </si>
  <si>
    <t>All homes with the exception of lots with less than a 12 metre frontage must provide accommodation for
at least a two car garage side by side</t>
  </si>
  <si>
    <t xml:space="preserve">All houses must have a porch with a minimum size of 4 square
metres </t>
  </si>
  <si>
    <t>300 – 399 sq. metres 110 sq. metres
400 – 499 sq. metres 135 sq. metres
&gt; 500 sq metres 150 sq. metres</t>
  </si>
  <si>
    <t>Netascreen</t>
  </si>
  <si>
    <t>Elana Place Estate</t>
  </si>
  <si>
    <t>902157M</t>
  </si>
  <si>
    <t>Minimum of a 2kl rainwater tank is required
on all lots greater than 300sqm 4950</t>
  </si>
  <si>
    <t>Lots with a width of 10 metres or less at the
frontage must only have a single garage, where
access is from the front of the lot.
• Lots with a frontage ranging from 10- 12.5m should
provide a single garage at minimum. Double garages will be
considered on an individual basis for lots up to 12.5m wide.
• Lots with a frontage of more than 12.5m should
provide a double garage. Maximum width
allowable for the garage door is 5.5m.
• Triple garages are strongly discouraged. For triple
garages to be considered the lot frontage must exceed
18m. The third car space must have a dedicated door
and the door wall should be stepped back at least
500mm from the other front wall of the garage.
• Garage door openings on single storey homes must
not exceed 40% of the width of the lot frontage.</t>
  </si>
  <si>
    <t>902159H</t>
  </si>
  <si>
    <t>Elements Estate</t>
  </si>
  <si>
    <t>730359F</t>
  </si>
  <si>
    <t>Mile Nastic</t>
  </si>
  <si>
    <t>0438 366 399</t>
  </si>
  <si>
    <t>m.nastic@oliverhume.com.au</t>
  </si>
  <si>
    <t>738336A</t>
  </si>
  <si>
    <t>738373T</t>
  </si>
  <si>
    <t>738339X</t>
  </si>
  <si>
    <t>738412L</t>
  </si>
  <si>
    <t>738423F</t>
  </si>
  <si>
    <t>746808N</t>
  </si>
  <si>
    <t>804341R</t>
  </si>
  <si>
    <t>804364D</t>
  </si>
  <si>
    <t>804330W</t>
  </si>
  <si>
    <t>804374A</t>
  </si>
  <si>
    <t>811213L</t>
  </si>
  <si>
    <t>811218A</t>
  </si>
  <si>
    <t>811233E</t>
  </si>
  <si>
    <t>817605K</t>
  </si>
  <si>
    <t>817646U</t>
  </si>
  <si>
    <t>825807B</t>
  </si>
  <si>
    <t>825837R</t>
  </si>
  <si>
    <t>838538E</t>
  </si>
  <si>
    <t>Elinya Estate</t>
  </si>
  <si>
    <t>844117V</t>
  </si>
  <si>
    <t>Romeo Sassine</t>
  </si>
  <si>
    <t>0411 882 605</t>
  </si>
  <si>
    <t>romeos@jasonrealestate.com.au</t>
  </si>
  <si>
    <t>844117B</t>
  </si>
  <si>
    <t>Elisha Court</t>
  </si>
  <si>
    <t>Wallan 3756</t>
  </si>
  <si>
    <t>839516K</t>
  </si>
  <si>
    <t>Majid Segu</t>
  </si>
  <si>
    <t>0431 272 225</t>
  </si>
  <si>
    <t>segu.majid@gmail.com</t>
  </si>
  <si>
    <t>Eliston Estate</t>
  </si>
  <si>
    <t>747650S</t>
  </si>
  <si>
    <t>Greg Rankin</t>
  </si>
  <si>
    <t>0437 683 841</t>
  </si>
  <si>
    <t>Eliston@rpmrealestate.com.au</t>
  </si>
  <si>
    <t>800917J</t>
  </si>
  <si>
    <t>808389P</t>
  </si>
  <si>
    <t>808395U</t>
  </si>
  <si>
    <t>804275C</t>
  </si>
  <si>
    <t>808400F</t>
  </si>
  <si>
    <t>808402B</t>
  </si>
  <si>
    <t>820065X</t>
  </si>
  <si>
    <t>816299U</t>
  </si>
  <si>
    <t>811560N</t>
  </si>
  <si>
    <t>816287C</t>
  </si>
  <si>
    <t>816277F</t>
  </si>
  <si>
    <t>820086P</t>
  </si>
  <si>
    <t>824444S</t>
  </si>
  <si>
    <t>824445Q</t>
  </si>
  <si>
    <t>830163R</t>
  </si>
  <si>
    <t>824446N</t>
  </si>
  <si>
    <t>824447L</t>
  </si>
  <si>
    <t>848722F</t>
  </si>
  <si>
    <t>Ellarook Estate</t>
  </si>
  <si>
    <t>808266G</t>
  </si>
  <si>
    <t>Kunal Advani</t>
  </si>
  <si>
    <t>9540 0477</t>
  </si>
  <si>
    <t>kunal@red23.com.au</t>
  </si>
  <si>
    <t>Ellarooks Fibre Pack  $2500</t>
  </si>
  <si>
    <t>LOT WIDTH MINIMUM WIDTH
GROUND FLOOR
MINIMUM WIDTH
FIRST FLOOR
(where applicable)
LESS THAN OR EQUAL TO 12.5M 85% 60%
MORE THAN 12.5M AND LESS OR EQUAL TO 16M 80% 55%
MORE THAN 16M 75% 50%</t>
  </si>
  <si>
    <t>Garage door openings on single storey
homes must not exceed 40% of the
width of the Lot frontage.</t>
  </si>
  <si>
    <t>Lots with a frontage of more than
12.5m must provide a double garage</t>
  </si>
  <si>
    <t>808267E</t>
  </si>
  <si>
    <t>809724W</t>
  </si>
  <si>
    <t>809725U</t>
  </si>
  <si>
    <t>812437G</t>
  </si>
  <si>
    <t>822296R</t>
  </si>
  <si>
    <t>822304V</t>
  </si>
  <si>
    <t>822305T</t>
  </si>
  <si>
    <t>830433N</t>
  </si>
  <si>
    <t>833567Y</t>
  </si>
  <si>
    <t>833568W</t>
  </si>
  <si>
    <t>Ellerton Estate</t>
  </si>
  <si>
    <t>848376X</t>
  </si>
  <si>
    <t>Lots facing community buildings must have a minimum two storeys</t>
  </si>
  <si>
    <t>2 car park spaces if the building has 3 bedrooms or more</t>
  </si>
  <si>
    <t>Single Storey Dwellings with a frontage of less than 12.5 metres require a single car garage
Double Storey Dwellings with a frontage of less than 10.5 metres require a single car garage
Garage door area cannot exceed 40% of Lot frontage</t>
  </si>
  <si>
    <t>904921P</t>
  </si>
  <si>
    <t>904922M</t>
  </si>
  <si>
    <t>904923K</t>
  </si>
  <si>
    <t>904924H</t>
  </si>
  <si>
    <t>Ellery Estate</t>
  </si>
  <si>
    <t>813265E</t>
  </si>
  <si>
    <t>Double storey is required on lots next to reserves and open spaces</t>
  </si>
  <si>
    <t>Lots 10m or less must have single car garage</t>
  </si>
  <si>
    <t>Lots next to reserves and open spaces - $385/lm - Provide approx. 1200mm high cypress pine pickets to a maximum length of 5m from the front boundary. Then, approx. 1800mm high timber fencing with 20mm gaps between palings to a maximum length of 5m. Remainder of the boundary to be approx. 1800mm high solid timber fencing.</t>
  </si>
  <si>
    <t>817481B</t>
  </si>
  <si>
    <t>921116C</t>
  </si>
  <si>
    <t>ELPIS Estate</t>
  </si>
  <si>
    <t>737518Y</t>
  </si>
  <si>
    <t>EIG Developments</t>
  </si>
  <si>
    <t>Sara Lowe</t>
  </si>
  <si>
    <t>0401 317 740</t>
  </si>
  <si>
    <t>sara.lowe@eigdevelopments.com.au </t>
  </si>
  <si>
    <t>Area has large amounts of rock</t>
  </si>
  <si>
    <t>Provide additional plants to accommodate 5No. plants per square meter of garden bed. $=AI$6</t>
  </si>
  <si>
    <t>737519W</t>
  </si>
  <si>
    <t>739440A</t>
  </si>
  <si>
    <t>739450W</t>
  </si>
  <si>
    <t>741155L</t>
  </si>
  <si>
    <t>746162M</t>
  </si>
  <si>
    <t>800327G</t>
  </si>
  <si>
    <t>807032P</t>
  </si>
  <si>
    <t>807037D</t>
  </si>
  <si>
    <t>809751T</t>
  </si>
  <si>
    <t>809737M</t>
  </si>
  <si>
    <t>Elyssia Estate</t>
  </si>
  <si>
    <t>814008V</t>
  </si>
  <si>
    <t>Michael Xanthos</t>
  </si>
  <si>
    <t>0432 288 480</t>
  </si>
  <si>
    <t>Elyssia@villaworld.com.au</t>
  </si>
  <si>
    <t>Lots less than 300m2 need a minimum dwelling of 100m2 Lots 300m2-399m2 must be at least 120m2 Lots 400m2-499m2 must be at least 140m2 Lots 500m2 and above must be at least 160m2</t>
  </si>
  <si>
    <t>For single storey dwellings, the garage door must not exceed 30% of the area of the front elevation, excluding the roof</t>
  </si>
  <si>
    <t xml:space="preserve">Have spoken to developer in regards to front façade and garage %. 36% is okay. </t>
  </si>
  <si>
    <t>814009T</t>
  </si>
  <si>
    <t>819197M</t>
  </si>
  <si>
    <t>819193V</t>
  </si>
  <si>
    <t>Emberwood</t>
  </si>
  <si>
    <t>738647G</t>
  </si>
  <si>
    <t>130 for 600m or less
150 for 900m or less
180 for 900m or more</t>
  </si>
  <si>
    <t>844527A</t>
  </si>
  <si>
    <t>834307W</t>
  </si>
  <si>
    <t>834310J</t>
  </si>
  <si>
    <t>834311G</t>
  </si>
  <si>
    <t>844528X</t>
  </si>
  <si>
    <t>844533F</t>
  </si>
  <si>
    <t>Emerald Park Estate</t>
  </si>
  <si>
    <t>733919B</t>
  </si>
  <si>
    <t>Ann Driessen</t>
  </si>
  <si>
    <t>0419 565 601</t>
  </si>
  <si>
    <t>ann@emerldparktarneit.com.au</t>
  </si>
  <si>
    <t>Dwellings on Lots with a site area of 448 square metres and over must have a floor
area of at least 180 square metres including garage.
6.2. Dwellings on Lots with a site area of lesser than 448 square metres must have a floor
area of at least 150 square metres including garage.
6.3. The floor area referred to 5.1 and 5.2 above does not apply to the Lots with a site area
of 300 square metres or lesser</t>
  </si>
  <si>
    <t>For single storey dwellings a garage door opening or total width of multiple garage
door openings is not to exceed 40% of the width of the allotment.</t>
  </si>
  <si>
    <t>733920S</t>
  </si>
  <si>
    <t>743452T</t>
  </si>
  <si>
    <t>743455M</t>
  </si>
  <si>
    <t>743456K</t>
  </si>
  <si>
    <t>743462Q</t>
  </si>
  <si>
    <t>743463N</t>
  </si>
  <si>
    <t>743464L</t>
  </si>
  <si>
    <t>743466G</t>
  </si>
  <si>
    <t>746236J</t>
  </si>
  <si>
    <t>746237G</t>
  </si>
  <si>
    <t>749002U</t>
  </si>
  <si>
    <t>749003S</t>
  </si>
  <si>
    <t>749004Q</t>
  </si>
  <si>
    <t>836017V</t>
  </si>
  <si>
    <t>836019R</t>
  </si>
  <si>
    <t>836021F</t>
  </si>
  <si>
    <t>839335P</t>
  </si>
  <si>
    <t>848516J</t>
  </si>
  <si>
    <t>829692U</t>
  </si>
  <si>
    <t>821115E</t>
  </si>
  <si>
    <t>821120M</t>
  </si>
  <si>
    <t>821122H</t>
  </si>
  <si>
    <t>821124D</t>
  </si>
  <si>
    <t>836047L</t>
  </si>
  <si>
    <t>Emerton Estate</t>
  </si>
  <si>
    <t>717540U</t>
  </si>
  <si>
    <t>5m Front setback lots great than 28</t>
  </si>
  <si>
    <t>Eminence Estate</t>
  </si>
  <si>
    <t>738369J</t>
  </si>
  <si>
    <t>Wolfdene Real Estate Pty Ltd</t>
  </si>
  <si>
    <t>03 9827 8830</t>
  </si>
  <si>
    <t>746783C</t>
  </si>
  <si>
    <t>Empire Estate</t>
  </si>
  <si>
    <t>708467D</t>
  </si>
  <si>
    <t>Nick</t>
  </si>
  <si>
    <t>nick@mastersempiregroup.com.au</t>
  </si>
  <si>
    <t>824272V/S2</t>
  </si>
  <si>
    <t>Emu Springs</t>
  </si>
  <si>
    <t>904670N</t>
  </si>
  <si>
    <t>Double storey = $1430</t>
  </si>
  <si>
    <t>Low pitched roofs are permissible but should incorporate parapets or sections of skillion roof to aid visual appeal. May need to confirm with Developer what facades work here</t>
  </si>
  <si>
    <t>Side set-backs of buildings must be a minimum
of 1m where a boundary wall is not nominated.
Boundary to boundary construction is allowed
on 10.5mtr &amp; 8,5mtr lots as long as it fits under
the Building Code of Australia, Rescode and
other applicable planning or building regulations.</t>
  </si>
  <si>
    <t>Garages should not take up more than
50% of the lot frontage.</t>
  </si>
  <si>
    <t>Any dwelling on a corner lot must be
set-back from the side street boundary
by at least 3m.
All dwellings should be set-back
from the rear boundary by at least 3m.</t>
  </si>
  <si>
    <t>Siting of buildings should allow for the provision
of an area of private open space of 40m² min.</t>
  </si>
  <si>
    <t>double garage is required with the exception of lots with less than a 10.5m frontage
single storey - garage opening not to exceed 60% of the width of the allotment frontage
double storey - garage entrances may not exceed 25% of the total façade frontage
Note: Double garage’s are permitted on lots 10.5 metre wide where boundary to boundary construction is being used when lots are above 300 m2 as per Rescode</t>
  </si>
  <si>
    <t>Epping Views Estate</t>
  </si>
  <si>
    <t>710875Y</t>
  </si>
  <si>
    <t>Ann</t>
  </si>
  <si>
    <t>ann@eppingviews.com.au</t>
  </si>
  <si>
    <t>707657D</t>
  </si>
  <si>
    <t>707662L</t>
  </si>
  <si>
    <t>Essence - Officer</t>
  </si>
  <si>
    <t>816219V</t>
  </si>
  <si>
    <t>Janine Scott-Rule</t>
  </si>
  <si>
    <t>0417 160 423</t>
  </si>
  <si>
    <t>sales@essenceofficer.com.au</t>
  </si>
  <si>
    <t>For single storey dwellings, garage openings must not exceed 40%
of the lot width.
For double storey dwellings, garage openings must not exceed
25% of the area of the front façade</t>
  </si>
  <si>
    <t>Lots 32-41 and 73-81.
Allowance for Acoustic rated walls. $15000 single, $20000 double. Check design guidelines.</t>
  </si>
  <si>
    <t>816220M</t>
  </si>
  <si>
    <t>Essence - Bacchus Marsh</t>
  </si>
  <si>
    <t>733954R</t>
  </si>
  <si>
    <t>Estuary</t>
  </si>
  <si>
    <t>839684M</t>
  </si>
  <si>
    <t>Villawood Properties</t>
  </si>
  <si>
    <t>Jelena Peric</t>
  </si>
  <si>
    <t>0400 979 599</t>
  </si>
  <si>
    <t>j.peric@oliverhume.com.au</t>
  </si>
  <si>
    <t>buildings must not occupy more than 60 per
cent of the lot</t>
  </si>
  <si>
    <t>The minimum dwelling size is:
• 160 square metres in the case of a lot having an area of 500 square
metres or greater; or
• 130 square metres in the case of a lot having an area of 400 square
metres or greater but less than 500 square metres; or
• 100 square metres in the case of a lot having an area of 300 square
metres or greater but less than 400 square metres; or
• 75 square metres in the case of a lot having an area of less than 300
square metres.</t>
  </si>
  <si>
    <t>A house must be setback 1 metre from one side
boundary</t>
  </si>
  <si>
    <t>848062X</t>
  </si>
  <si>
    <t xml:space="preserve">Eucalypt Estate </t>
  </si>
  <si>
    <t>731993Y</t>
  </si>
  <si>
    <t>Jo Borg</t>
  </si>
  <si>
    <t>josephine.borg@stockland.com.au</t>
  </si>
  <si>
    <t>702860J</t>
  </si>
  <si>
    <t>734559A</t>
  </si>
  <si>
    <t>734562M</t>
  </si>
  <si>
    <t>734567B</t>
  </si>
  <si>
    <t>Evans on Vine</t>
  </si>
  <si>
    <t>842973L</t>
  </si>
  <si>
    <t>Allowance for acoustic reated walls. Singles 15000 Doubles 20000</t>
  </si>
  <si>
    <t>846049A</t>
  </si>
  <si>
    <t>846054H</t>
  </si>
  <si>
    <t>846047E</t>
  </si>
  <si>
    <t>Evergreen Estate</t>
  </si>
  <si>
    <t>848718V</t>
  </si>
  <si>
    <t>Monica Quaresima</t>
  </si>
  <si>
    <t>0402 519 055</t>
  </si>
  <si>
    <t>monica.quaresima@stockland.com.au</t>
  </si>
  <si>
    <t>Porch needs to be at least 4m2</t>
  </si>
  <si>
    <t>Where your home frontage is 13.0m
wide or greater at least one of the
following is required:
• A step in the front façade of a
minimum 840mm (this step must be in
addition to any step at the garage), or
• A portico / verandah with a minimum
area of 10 sqm. The porch must also
have a depth of minimum 1.5m deep.
Note: An entry recess is not a step in
the facade.</t>
  </si>
  <si>
    <t>Provide approx. 1800mm high Colourbond fencing, colour in Woodland Grey, with 100x100mm expressed posts, capping and 150mm metal plinth detail in black. Corner fencing only. $440/lm</t>
  </si>
  <si>
    <t>Required for lots over 13m width</t>
  </si>
  <si>
    <t>902122H</t>
  </si>
  <si>
    <t>902127W</t>
  </si>
  <si>
    <t>848744U</t>
  </si>
  <si>
    <t>902145U</t>
  </si>
  <si>
    <t>904402Q</t>
  </si>
  <si>
    <t>906806D</t>
  </si>
  <si>
    <t>Everley</t>
  </si>
  <si>
    <t>839258F</t>
  </si>
  <si>
    <t>0499 949 748</t>
  </si>
  <si>
    <t>everleysunbury@rpmrealestate.com.au</t>
  </si>
  <si>
    <t>Entire for doubles $3300</t>
  </si>
  <si>
    <t>300m2 or more and less or equal to 450m2 120m2
More than 450m2 and less than or equal to 600m2 150 m2
More than 600m2 180 m2</t>
  </si>
  <si>
    <t>The combined width of garage door openings must not
exceed 40% of the lot width.
Lots with a frontage of 12.5m or greater must provide a
double garage.</t>
  </si>
  <si>
    <t>Visually Prominent Lots
The ground floor ceiling height must be a minimum of 2.7m to all living areas.
Roof pitch must be at least 25 degrees for hip and gable roofs.</t>
  </si>
  <si>
    <t>848498H</t>
  </si>
  <si>
    <t>848515L</t>
  </si>
  <si>
    <t>906375E</t>
  </si>
  <si>
    <t>Lot 407, 408, 434, 435, 436, 440, 441, 478, 479, 480, 481, 482, 483 - Must not build or permit to be built or remain on the lot any building or garage on a side boundary of a lot unless the building or garage is set back
a minimum of one metre from the other side boundary of that lot in order to provide the required reasonable access for maintenance of
any sewer assets at the rear of the lot, by the relevant authority.</t>
  </si>
  <si>
    <t>906378X</t>
  </si>
  <si>
    <t>Everton</t>
  </si>
  <si>
    <t>Brookfield 3338</t>
  </si>
  <si>
    <t>844861M</t>
  </si>
  <si>
    <t>Chris Hamilton</t>
  </si>
  <si>
    <t>0448 499 111</t>
  </si>
  <si>
    <t>everton@rpmrealestate.com.au</t>
  </si>
  <si>
    <t>844862K</t>
  </si>
  <si>
    <t>Exford Waters Estate</t>
  </si>
  <si>
    <t>803174P</t>
  </si>
  <si>
    <t>RPM</t>
  </si>
  <si>
    <t>adam@rpmrealestate.com.au</t>
  </si>
  <si>
    <t>Less than 300m2 - minimum floor area 90m2
350 or more &amp; 450 or less - 120m2
more than 450m2 - 150m2</t>
  </si>
  <si>
    <t>lot width 12.5m or more must have a double garage
lot width less than 12.5m must incorporate a single car garage</t>
  </si>
  <si>
    <t>Iron Stone</t>
  </si>
  <si>
    <t>640644H</t>
  </si>
  <si>
    <t>813089X</t>
  </si>
  <si>
    <t>813118T</t>
  </si>
  <si>
    <t>813120H</t>
  </si>
  <si>
    <t>813132A</t>
  </si>
  <si>
    <t>821894A</t>
  </si>
  <si>
    <t>821895X</t>
  </si>
  <si>
    <t>821896V</t>
  </si>
  <si>
    <t>821897T</t>
  </si>
  <si>
    <t>832757Y</t>
  </si>
  <si>
    <t>846196L</t>
  </si>
  <si>
    <t>846207J</t>
  </si>
  <si>
    <t>803171V</t>
  </si>
  <si>
    <t>Eynesbury Estate</t>
  </si>
  <si>
    <t>Eynesbury 3338</t>
  </si>
  <si>
    <t>543210K</t>
  </si>
  <si>
    <t>Hyde Group</t>
  </si>
  <si>
    <t>Alex Kundevski</t>
  </si>
  <si>
    <t>0413 491 303</t>
  </si>
  <si>
    <t>Façade Allowance $3000</t>
  </si>
  <si>
    <t>Provide 600mm wide eaves to the front Façade, returning 1500mm down both sides of house (excluding walls on boundary).#####PREMIUM LOT##### $2000</t>
  </si>
  <si>
    <t>Provide front fencing as per Design Guidelines.$3000</t>
  </si>
  <si>
    <t>***PREMIUM LOTS***Provide a 27 degree roof pitch in lieu of 22.5 degrees. $10/m2</t>
  </si>
  <si>
    <t>**PREMIUM LOTS** 8000</t>
  </si>
  <si>
    <t>Provide allowance for Native Landscaping.$5500</t>
  </si>
  <si>
    <t>543210K/S61</t>
  </si>
  <si>
    <t>543210K/S62</t>
  </si>
  <si>
    <t>543210K/S63</t>
  </si>
  <si>
    <t>6D</t>
  </si>
  <si>
    <t>543210K/S64</t>
  </si>
  <si>
    <t>6E</t>
  </si>
  <si>
    <t>543210K/S68</t>
  </si>
  <si>
    <t>543210K/S66</t>
  </si>
  <si>
    <t>543210K/S81</t>
  </si>
  <si>
    <t>543210K/S82</t>
  </si>
  <si>
    <t>8C</t>
  </si>
  <si>
    <t>543210K/S83</t>
  </si>
  <si>
    <t>11A2</t>
  </si>
  <si>
    <t>11A3</t>
  </si>
  <si>
    <t>11A4</t>
  </si>
  <si>
    <t>11A5</t>
  </si>
  <si>
    <t>11A6</t>
  </si>
  <si>
    <t>543210K/S116</t>
  </si>
  <si>
    <t>4A1</t>
  </si>
  <si>
    <t>4A2</t>
  </si>
  <si>
    <t>4A3</t>
  </si>
  <si>
    <t>543210K/S43</t>
  </si>
  <si>
    <t>543210K/S151</t>
  </si>
  <si>
    <t>15B</t>
  </si>
  <si>
    <t>543210K/S152</t>
  </si>
  <si>
    <t>18D</t>
  </si>
  <si>
    <t>543210K/S184</t>
  </si>
  <si>
    <t>Fairway Crt</t>
  </si>
  <si>
    <t>Bundoora 3083</t>
  </si>
  <si>
    <t>717237V</t>
  </si>
  <si>
    <t>Hillviews</t>
  </si>
  <si>
    <t>Sonia</t>
  </si>
  <si>
    <t>0400 290 015</t>
  </si>
  <si>
    <t>sonia@hillviews.com.au</t>
  </si>
  <si>
    <t>Featherbrook Estate</t>
  </si>
  <si>
    <t>702759W</t>
  </si>
  <si>
    <t>Nick Calyk</t>
  </si>
  <si>
    <t>0419 301 727</t>
  </si>
  <si>
    <t>NickC@centralequity.com.au</t>
  </si>
  <si>
    <t>640485B</t>
  </si>
  <si>
    <t>739558A</t>
  </si>
  <si>
    <t>739598M</t>
  </si>
  <si>
    <t>744848L</t>
  </si>
  <si>
    <t>744852V</t>
  </si>
  <si>
    <t>739551Q</t>
  </si>
  <si>
    <t>747878K</t>
  </si>
  <si>
    <t>30A</t>
  </si>
  <si>
    <t>747882U</t>
  </si>
  <si>
    <t>718183M</t>
  </si>
  <si>
    <t>Featherton Rise Estate</t>
  </si>
  <si>
    <t>739604V</t>
  </si>
  <si>
    <t>Launders Group</t>
  </si>
  <si>
    <t>Paul Archibald</t>
  </si>
  <si>
    <t>0400 993 533</t>
  </si>
  <si>
    <t>arch@lauders.com.au</t>
  </si>
  <si>
    <t>804150Y</t>
  </si>
  <si>
    <t>804151W</t>
  </si>
  <si>
    <t>Fernlea</t>
  </si>
  <si>
    <t>839567R</t>
  </si>
  <si>
    <t>Gayan Abeyasinghe</t>
  </si>
  <si>
    <t>0419 191 407</t>
  </si>
  <si>
    <t>Min. dwelling size:
greater than 450m2 --&gt; 140m2
350-450m2 --&gt; 110m2
below 350m2 --&gt; 100m2
excludes garages, porticos, verandahs, balconies or alfresco area</t>
  </si>
  <si>
    <t xml:space="preserve">Corner lots or where the fencing of a lot adjoins a public park or reserve:
Provide approx. 1800mm high Colorbond fence, fixed to a timber frame comprising a 45-degree pyramid shaped top with a timber peak fence capping hardwood posts, timber rails and timber plinth. $345/m </t>
  </si>
  <si>
    <t xml:space="preserve">The garage opening width must not exceed 40% of
the width of the lot frontage, unless the dwelling is
double storey
</t>
  </si>
  <si>
    <t>For a double storey dwelling, garage openings should
not exceed 30% of the area of the front façade of
the dwelling. Where garage openings exceed 30% of
the front façade of the dwelling, the second storey
component above the garage must not be set back
behind the garage roof</t>
  </si>
  <si>
    <t>for lots fronting parks, connector roads and level 2 access streets $3,000</t>
  </si>
  <si>
    <t>Ferntree Ridge</t>
  </si>
  <si>
    <t>819737F</t>
  </si>
  <si>
    <t>Land Gipps</t>
  </si>
  <si>
    <t>825089F</t>
  </si>
  <si>
    <t>825100W</t>
  </si>
  <si>
    <t>825162X</t>
  </si>
  <si>
    <t>829797E</t>
  </si>
  <si>
    <t>829857N</t>
  </si>
  <si>
    <t>829906C</t>
  </si>
  <si>
    <t>842323D</t>
  </si>
  <si>
    <t>842324B</t>
  </si>
  <si>
    <t>Findonview Estate</t>
  </si>
  <si>
    <t>828312P</t>
  </si>
  <si>
    <t>Elise Ward</t>
  </si>
  <si>
    <t>0428 796 422</t>
  </si>
  <si>
    <t>eward@coreprojects.com.au</t>
  </si>
  <si>
    <t>Shall not build:
A dwelling that has a total area less than 150 square metres (excluding integrated garage, porch and alfresco) on a lot
of 450 square metres or larger;
C. A dwelling that has a total area less than 120 square metres (excluding integrated garage, porch and alfresco) on a lot
of 300 square metres or more but less than 450 square metre;
D. A dwelling that has a total area less than 80 square metres (excluding integrated garage, porch and alfresco) on a lot
less than 300 square metres;</t>
  </si>
  <si>
    <t>838313F</t>
  </si>
  <si>
    <t>Five Farms Estate</t>
  </si>
  <si>
    <t>PS842537H/S8</t>
  </si>
  <si>
    <t>Kim Mair</t>
  </si>
  <si>
    <t>0488 967 640</t>
  </si>
  <si>
    <t>Kim.Mair@fraserproperty.com.au</t>
  </si>
  <si>
    <t>Provide 450mm wide eaves to the front Façade, returning 6000mm down both sides of house (excluding walls on boundary). 1870</t>
  </si>
  <si>
    <t>entire if double 3300</t>
  </si>
  <si>
    <t>3000L 6500 for lots greater 300m2</t>
  </si>
  <si>
    <t>Double garage where the front boundary of the
allotment is 12.5m or greater.
- Garages sited a minimum of 5.5m from the front
boundary, unless stated otherwise on the Building
Envelope Diagram.
- Garage openings less than 40% of lot width.
- Doubles on allotments with a width less than 12.5m, garage opening must
not exceed 25% of the area of the front façade of the dwelling.
- Garage setback a minimum of 840mm from the front or building line, unless
otherwise noted in the Building Envelope Diagram</t>
  </si>
  <si>
    <t>Ironstone</t>
  </si>
  <si>
    <t>dwellings on lots 16m or less in width are required to be a minimum width of 80% of the lot width. Lots over 16m in width are required to have a minimum width of 14.5m</t>
  </si>
  <si>
    <t>Where Build to Boundary zones exist on both sides of a lot, the construction can be erected on either side boundary. But it must maintain a minimum 1m setback to the opposite boundary</t>
  </si>
  <si>
    <t>379042G</t>
  </si>
  <si>
    <t>8425537H/S21</t>
  </si>
  <si>
    <t>8425537H/S22</t>
  </si>
  <si>
    <t>Flinders Park Estate</t>
  </si>
  <si>
    <t>Corio 3214</t>
  </si>
  <si>
    <t>811546G</t>
  </si>
  <si>
    <t>Pynchon Pty Ltd</t>
  </si>
  <si>
    <t>Karen Branch</t>
  </si>
  <si>
    <t>0412 664 914</t>
  </si>
  <si>
    <t>800927F</t>
  </si>
  <si>
    <t>800928D</t>
  </si>
  <si>
    <t>Florian Estate</t>
  </si>
  <si>
    <t>818459N</t>
  </si>
  <si>
    <t>Landcore</t>
  </si>
  <si>
    <t>1300 892 688</t>
  </si>
  <si>
    <t>sales@florianliving.com.au</t>
  </si>
  <si>
    <t>819385L</t>
  </si>
  <si>
    <t>821030N</t>
  </si>
  <si>
    <t>821034E</t>
  </si>
  <si>
    <t>821031L</t>
  </si>
  <si>
    <t>821035C</t>
  </si>
  <si>
    <t>821036A</t>
  </si>
  <si>
    <t>Forrest Green</t>
  </si>
  <si>
    <t>837280Y</t>
  </si>
  <si>
    <t>Nathan Grant</t>
  </si>
  <si>
    <t>0429 914 391</t>
  </si>
  <si>
    <t>forrestgreen@rpmrealestate.com.au</t>
  </si>
  <si>
    <t>Double entire $3300</t>
  </si>
  <si>
    <t>Lots with a frontage of more than 12.5m must provide a double width garage</t>
  </si>
  <si>
    <t>Lot Size Minimum Floor Area
Less than 330 m2 100 m2
330 m2 or more and less or equal to 450m2 120 m2
More than 450m2 150 m</t>
  </si>
  <si>
    <t>Forrest Green - The Precinct</t>
  </si>
  <si>
    <t>911007G</t>
  </si>
  <si>
    <t>Franklin Place</t>
  </si>
  <si>
    <t>733684C</t>
  </si>
  <si>
    <t>Matt Johnson</t>
  </si>
  <si>
    <t>0427 740 541</t>
  </si>
  <si>
    <t>matt@wprci.com.au</t>
  </si>
  <si>
    <t>Floor area not less than 130m2 (excluding the area of any carport, garage, terrace, pergola, verandah or outbuilding)</t>
  </si>
  <si>
    <t>Galway Gold</t>
  </si>
  <si>
    <t>649677S</t>
  </si>
  <si>
    <t>khoa@wofldene.com.au</t>
  </si>
  <si>
    <t>All dwellings must be at least 150m2</t>
  </si>
  <si>
    <t>649678Q</t>
  </si>
  <si>
    <t>Galway View Estate</t>
  </si>
  <si>
    <t>Gardenia Estate</t>
  </si>
  <si>
    <t>730190V</t>
  </si>
  <si>
    <t>Banriar Investments</t>
  </si>
  <si>
    <t>Ban Arumugam</t>
  </si>
  <si>
    <t>0425 724 303</t>
  </si>
  <si>
    <t>sales@brrealestates.com.au</t>
  </si>
  <si>
    <t>Dwellings on lots less than 12m are only permitted a single car garage to the street façade unless the dwelling is a double storey</t>
  </si>
  <si>
    <t>Garage openings for single storey dwellings are to constitute no
more than 40 per cent of the width of the frontage of a lot.
For double storey dwellings, garages must not exceed 25 per
cent of the area of the front façade of the dwelling.</t>
  </si>
  <si>
    <t>Allowance to provide acoustic rated walls. Single $15,000 Double $20,000</t>
  </si>
  <si>
    <t>730190V/S2</t>
  </si>
  <si>
    <t>Allowance to provide acoustic rated walls. Single $15,000 Double $20,001</t>
  </si>
  <si>
    <t>749592T/S2</t>
  </si>
  <si>
    <t>Garage openings must not exceed 40% of the frontage
dwelling for single storey dwellings.
Garage openings must not exceed 25% of the area of
the front facade of the dwelling which exceed single
storey.
Lots with frontages less than 12.5 metres in width are
restricted to single garages when single storey.</t>
  </si>
  <si>
    <t>Allowance to provide acoustic rated walls. Single $15,000 Double $20,002</t>
  </si>
  <si>
    <t>Allowance to provide acoustic rated walls. Single $15,000 Double $20,003</t>
  </si>
  <si>
    <t>Gateway Estate</t>
  </si>
  <si>
    <t>646753U</t>
  </si>
  <si>
    <t>728821Y</t>
  </si>
  <si>
    <t>728872F</t>
  </si>
  <si>
    <t>807653E</t>
  </si>
  <si>
    <t>807678M</t>
  </si>
  <si>
    <t>822740Y</t>
  </si>
  <si>
    <t>810945W</t>
  </si>
  <si>
    <t>GEM Estate</t>
  </si>
  <si>
    <t>811315C</t>
  </si>
  <si>
    <t>Grace Laureta</t>
  </si>
  <si>
    <t>0487 555 050</t>
  </si>
  <si>
    <t>Gem@rpmrealestate.com.au</t>
  </si>
  <si>
    <t>813547T</t>
  </si>
  <si>
    <t>Gen Fyansford</t>
  </si>
  <si>
    <t>Fyansford 3218</t>
  </si>
  <si>
    <t>834271R</t>
  </si>
  <si>
    <t>Lot Size .................... Dwelling Size
&lt;= 450 m2.............................120m2
&gt;450 m2................................150m2</t>
  </si>
  <si>
    <t>Add 15K to site costs to allow for screw piles throughout</t>
  </si>
  <si>
    <t>Lots with a frontage of 12.5m or more must
provide a double garage.</t>
  </si>
  <si>
    <t>849525C</t>
  </si>
  <si>
    <t>840116U</t>
  </si>
  <si>
    <t>Girvan Place</t>
  </si>
  <si>
    <t>803793J</t>
  </si>
  <si>
    <t>adam.norton@squareyards.com.au</t>
  </si>
  <si>
    <t>For lots with a frontage under 12.5 metres, there is a minimum requirement of a single garage with a door width
of 2.6 metres.
(b) For lots with a frontage of 12.5 metres or greater and 14 metres or less, the maximum width allowable for the
garage door is 40% of the width of the primary frontage.
(c) Lots with a frontage of 15 metres or greater may have a garage with a greater maximum width if it does not
exceed 50% of the width of the lot.</t>
  </si>
  <si>
    <t>Glenlee</t>
  </si>
  <si>
    <t>817672T</t>
  </si>
  <si>
    <t>Provide a garage door(s) which does not exceed 40%
of the allotment width, where the house proposal is
single storey  (not apply to two storey street elevation and lots 300m2 or less)</t>
  </si>
  <si>
    <t>Provide approx. 1800mm high Timber slatted fencing arranged horizontally in lieu of timber palings. Includes wing fence and Gate. CORNER = $9000</t>
  </si>
  <si>
    <t>825809W</t>
  </si>
  <si>
    <t>825865L</t>
  </si>
  <si>
    <t>831710H</t>
  </si>
  <si>
    <t>838523T</t>
  </si>
  <si>
    <t>844126U</t>
  </si>
  <si>
    <t>844136R</t>
  </si>
  <si>
    <t>844150X</t>
  </si>
  <si>
    <t>844152T</t>
  </si>
  <si>
    <t>902453H</t>
  </si>
  <si>
    <t>902466X</t>
  </si>
  <si>
    <t>902479N</t>
  </si>
  <si>
    <t>Lot 1203-1208, 1220-1225, 1227-1229, 1236, 1239-1242, 1244-1246
provide 1m clear horizontal access along the full length of a min one side boundary of the lot</t>
  </si>
  <si>
    <t>Glenmore</t>
  </si>
  <si>
    <t>813465V</t>
  </si>
  <si>
    <t>The dwelling (front building line) must be
setback a minimum of 4m and a maximum
of 6m from the front boundary.
– Side setbacks must be a minimum of 1m
from at least one side boundary and 2m
from a side street boundary.
– Rear setbacks must be at least 3m</t>
  </si>
  <si>
    <t>The minimum living area of each dwelling (i.e.
excluding the garage and any unenclosed areas
such as porticos, verandas, alfresco areas etc.)
must be 120 sqm.</t>
  </si>
  <si>
    <t>843343R</t>
  </si>
  <si>
    <t>846515W</t>
  </si>
  <si>
    <t>Glenn Crest Estate</t>
  </si>
  <si>
    <t>730370T</t>
  </si>
  <si>
    <t>Wolfdene/Charles Lloyd</t>
  </si>
  <si>
    <t>Golden Meadows Estate</t>
  </si>
  <si>
    <t>726380P</t>
  </si>
  <si>
    <t xml:space="preserve">Goldenvue </t>
  </si>
  <si>
    <t>836918E</t>
  </si>
  <si>
    <t>Sam Martinez</t>
  </si>
  <si>
    <t>0430 282 441</t>
  </si>
  <si>
    <t>samm@rpmrealestate.com.au</t>
  </si>
  <si>
    <t>Grace Estate</t>
  </si>
  <si>
    <t>805158B</t>
  </si>
  <si>
    <t>9684 8102</t>
  </si>
  <si>
    <t>GRACE@OLIVERHUME.COM.AU</t>
  </si>
  <si>
    <t>805162L</t>
  </si>
  <si>
    <t>807656X</t>
  </si>
  <si>
    <t>810907F</t>
  </si>
  <si>
    <t>810940H</t>
  </si>
  <si>
    <t>810960B</t>
  </si>
  <si>
    <t>Grand Central Estate</t>
  </si>
  <si>
    <t>749022N</t>
  </si>
  <si>
    <t>New Sky Group</t>
  </si>
  <si>
    <t>MinLoo Germann</t>
  </si>
  <si>
    <t>0428 456 324</t>
  </si>
  <si>
    <t>sales@grandcentraltarneit.com.au</t>
  </si>
  <si>
    <t>749023L</t>
  </si>
  <si>
    <t>803041K</t>
  </si>
  <si>
    <t>803053C</t>
  </si>
  <si>
    <t>809281F</t>
  </si>
  <si>
    <t>PS809271J</t>
  </si>
  <si>
    <t>809287S</t>
  </si>
  <si>
    <t>A verandah, porch, portico, balcony or entry
feature visible to the street must be a minimum
of 4m² in size and have a minimum depth
of 1.5m and must project from the front
building line.</t>
  </si>
  <si>
    <t>Double storey dwellings must include a balcony
facing the public open space</t>
  </si>
  <si>
    <t>809288Q</t>
  </si>
  <si>
    <t>826705E</t>
  </si>
  <si>
    <t>826706C</t>
  </si>
  <si>
    <t>The building or garage is set back a min of 1m from the other side boundary of that lot.
Refter to POS Creation of Rrestriction D for burdened lots</t>
  </si>
  <si>
    <t>826711K</t>
  </si>
  <si>
    <t>826712H</t>
  </si>
  <si>
    <t>805538Q</t>
  </si>
  <si>
    <t>805539N</t>
  </si>
  <si>
    <t>Grand Vue</t>
  </si>
  <si>
    <t>729037M/S2</t>
  </si>
  <si>
    <t>729037M/S3</t>
  </si>
  <si>
    <t>Grandview Estate</t>
  </si>
  <si>
    <t>817591T</t>
  </si>
  <si>
    <t>Jessica Hammond</t>
  </si>
  <si>
    <t>0448 876 974</t>
  </si>
  <si>
    <t>jessica.hammond@stockland.com.au</t>
  </si>
  <si>
    <t>Single and double garages must be
setback a minimum of 840mm from
the front or side building line</t>
  </si>
  <si>
    <t>Homes which are 13m or more in wifth must have a 10m2 portico/verandah.</t>
  </si>
  <si>
    <t>must have a porch,
portico or verandah with a
minimum area of 4.0 square meters
and a minimum 1.5m deep at some
point.</t>
  </si>
  <si>
    <t>Corner fencing - Provide approx. 1800mm high Colourbond fencing with 100x100mm expressed posts, capping and 150mm plinth detail in black in lieu of timber palings. Not to exceed 60% of the lenfth of the side boundary taken form the rear boundary.
$440/lm</t>
  </si>
  <si>
    <t>817592R</t>
  </si>
  <si>
    <t>838536J</t>
  </si>
  <si>
    <t>Single garage required on lots under 10.5m</t>
  </si>
  <si>
    <t>Corner fencing - Provide approx. 1800mm high Colourbond fencing with 100x100mm expressed posts, 40No. Top rails 75x16x2350mm and bottom plinth in black in lieu of timber palings. Not to exceed 60% of the length of the side boundary taken form the rear boundary.
$580/lm</t>
  </si>
  <si>
    <t>838535L</t>
  </si>
  <si>
    <t>838516Q</t>
  </si>
  <si>
    <t>838482F</t>
  </si>
  <si>
    <t>825796D</t>
  </si>
  <si>
    <t>449 876 974</t>
  </si>
  <si>
    <t>825819T</t>
  </si>
  <si>
    <t>450 876 974</t>
  </si>
  <si>
    <t>831720E</t>
  </si>
  <si>
    <t>838522V</t>
  </si>
  <si>
    <t>Grandview Estate12</t>
  </si>
  <si>
    <t>902493U</t>
  </si>
  <si>
    <t>844197U</t>
  </si>
  <si>
    <t>844171P</t>
  </si>
  <si>
    <t>844162Q</t>
  </si>
  <si>
    <t>844157H</t>
  </si>
  <si>
    <t>Grandvue Estate</t>
  </si>
  <si>
    <t>801822Q</t>
  </si>
  <si>
    <t>Rochelle Footman</t>
  </si>
  <si>
    <t>0434 447 880</t>
  </si>
  <si>
    <t>r.footman@oliverhume.com.au</t>
  </si>
  <si>
    <t>Returns 4 metres $1800</t>
  </si>
  <si>
    <t>801826G</t>
  </si>
  <si>
    <t>634401V</t>
  </si>
  <si>
    <t>648515B</t>
  </si>
  <si>
    <t>648524A</t>
  </si>
  <si>
    <t>723905U</t>
  </si>
  <si>
    <t>707660Q</t>
  </si>
  <si>
    <t>801834H</t>
  </si>
  <si>
    <t>812934R</t>
  </si>
  <si>
    <t>812929J</t>
  </si>
  <si>
    <t>Grange Estate</t>
  </si>
  <si>
    <t>811339M</t>
  </si>
  <si>
    <t>Van Ritchie</t>
  </si>
  <si>
    <t>0428 153 879</t>
  </si>
  <si>
    <t>van.ritchie@yourland.com</t>
  </si>
  <si>
    <t>Living space:
100m2 on lot 500m2 or greater
80m2 on lot less than 500m2</t>
  </si>
  <si>
    <t>Side setback of minimum 1m from at least one boundary - no boundary to boundary build</t>
  </si>
  <si>
    <t>822774F</t>
  </si>
  <si>
    <t>822775D</t>
  </si>
  <si>
    <t>828075B</t>
  </si>
  <si>
    <t>828043Q</t>
  </si>
  <si>
    <t>828065E</t>
  </si>
  <si>
    <t>Saddlebred</t>
  </si>
  <si>
    <t>Grass Tree Valley Estate</t>
  </si>
  <si>
    <t>807401J</t>
  </si>
  <si>
    <t>Gravenall</t>
  </si>
  <si>
    <t>Caroline Spring 3023</t>
  </si>
  <si>
    <t>822830X</t>
  </si>
  <si>
    <t xml:space="preserve"> Lots with a street frontage of less than 12.5m,
a single garage is required with a maximum door
width of 2.7m
• Lots with a street frontage of 12.5m or greater,
the maximum width allowable for the garage door
is 5.5m
• Where a development is two storeys and the garage
door width exceeds 40% of the allotment width,
then balconies or windows are to be placed above
the garage.</t>
  </si>
  <si>
    <t>Dark Mute</t>
  </si>
  <si>
    <t>Greenvale Central Estate</t>
  </si>
  <si>
    <t>746216Q</t>
  </si>
  <si>
    <t xml:space="preserve">Dwayne Smith </t>
  </si>
  <si>
    <t>743461S</t>
  </si>
  <si>
    <t>Greenvale Gardens Estate</t>
  </si>
  <si>
    <t>810977H</t>
  </si>
  <si>
    <t>Greenvale Lakes Estate</t>
  </si>
  <si>
    <t>638761R</t>
  </si>
  <si>
    <t>Front verandah or porch has an area of not less than 4m2 and a dimension of
not less 1.2 metres.</t>
  </si>
  <si>
    <t>Width of second storey component of the house must be:
- minimum 60% of its primary street frontage and;
- maximum 80% of primary street frontage.</t>
  </si>
  <si>
    <t>Maximum site coverage is 60%</t>
  </si>
  <si>
    <t>Greenview Estate</t>
  </si>
  <si>
    <t>Canadian 3350</t>
  </si>
  <si>
    <t>807480K</t>
  </si>
  <si>
    <t>NO RECYC WTR</t>
  </si>
  <si>
    <t>Green Valley</t>
  </si>
  <si>
    <t>822623D</t>
  </si>
  <si>
    <t>836827H</t>
  </si>
  <si>
    <t xml:space="preserve">Green Village </t>
  </si>
  <si>
    <t>720106T</t>
  </si>
  <si>
    <t>Greenwich - Botanic</t>
  </si>
  <si>
    <t>Botanic 3977</t>
  </si>
  <si>
    <t>836523E</t>
  </si>
  <si>
    <t>Garage opening must occupy no more than 40% of width of frontage</t>
  </si>
  <si>
    <t>Greenwich - Cranbourne East</t>
  </si>
  <si>
    <t>830454E</t>
  </si>
  <si>
    <t>Grow Estate</t>
  </si>
  <si>
    <t>731551J</t>
  </si>
  <si>
    <t>731552G</t>
  </si>
  <si>
    <t>741856D</t>
  </si>
  <si>
    <t>741857B</t>
  </si>
  <si>
    <t>Gumtree Estate</t>
  </si>
  <si>
    <t>Broadford 3658</t>
  </si>
  <si>
    <t>730480L</t>
  </si>
  <si>
    <t>Terrace</t>
  </si>
  <si>
    <t>Fairview</t>
  </si>
  <si>
    <t xml:space="preserve">Mernda </t>
  </si>
  <si>
    <t>637149M</t>
  </si>
  <si>
    <t>Each dwelling (excluding garages, balconies, porches, eaves,
verandahs and alfresco areas) shall have a minimum size of:
■ 100m² for lots less than 400m².
■ 140m² on lots 401m² to 600m².
■ 165m² on lots greater than 601m².
Note:
■ This provision does not apply to integrated housing
developments or terrace allotments less than 300m².</t>
  </si>
  <si>
    <t>734148X</t>
  </si>
  <si>
    <t>Satterley</t>
  </si>
  <si>
    <t>Milos</t>
  </si>
  <si>
    <t>0438 949  071</t>
  </si>
  <si>
    <t>735097H</t>
  </si>
  <si>
    <t>735107H</t>
  </si>
  <si>
    <t>735105M</t>
  </si>
  <si>
    <t>735106K</t>
  </si>
  <si>
    <t>747996D</t>
  </si>
  <si>
    <t>748006R</t>
  </si>
  <si>
    <t>803139R</t>
  </si>
  <si>
    <t xml:space="preserve">803141F </t>
  </si>
  <si>
    <t>803142D</t>
  </si>
  <si>
    <t>803161Y</t>
  </si>
  <si>
    <t>803167L</t>
  </si>
  <si>
    <t>803168J</t>
  </si>
  <si>
    <t>803176K</t>
  </si>
  <si>
    <t>803177H</t>
  </si>
  <si>
    <t>813105D</t>
  </si>
  <si>
    <t>Hamilton Rise Estate</t>
  </si>
  <si>
    <t xml:space="preserve">Eight Property Investments </t>
  </si>
  <si>
    <t>kevin@eightypi.com.au</t>
  </si>
  <si>
    <r>
      <t>(or equal to) 300m</t>
    </r>
    <r>
      <rPr>
        <sz val="5"/>
        <color rgb="FF003A40"/>
        <rFont val="Roboto-Light"/>
      </rPr>
      <t xml:space="preserve">2 </t>
    </r>
    <r>
      <rPr>
        <sz val="9"/>
        <color rgb="FF003A40"/>
        <rFont val="Roboto-Light"/>
      </rPr>
      <t>100m</t>
    </r>
    <r>
      <rPr>
        <sz val="5"/>
        <color rgb="FF003A40"/>
        <rFont val="Roboto-Light"/>
      </rPr>
      <t>2</t>
    </r>
  </si>
  <si>
    <t>821719U</t>
  </si>
  <si>
    <t>846053K</t>
  </si>
  <si>
    <t>Hamlet Estate</t>
  </si>
  <si>
    <t>834796C</t>
  </si>
  <si>
    <t>For lots with a frontage less than 12.5m, garages must
not take up more than 40% of the lot width.
For lots with a frontage of 12.5m or greater and 14m or less,
the maximum width allowable for the garage door is 5.5m.
Lots with a frontage of 15m or greater may have a garage
with a greater maximum width if it does not exceed 40%
of the total width of the lot.
For two storey dwellings, garages that exceed 40% of
the width of the allotment’s frontage are discouraged.
Notwithstanding, they will only be permitted where
balconies or windows are provided above the garage
to reduce the potential dominance of the garage on the
streetscape.</t>
  </si>
  <si>
    <t>Allowance for Acoustic rated walls. $15000 single, $20000 double - check DG
Dwellings within the 35m setback to the railway lines require acoustic attenuation on both single and double storeys
Dwellings along the interface with the Calder Freeway only requires on double storeys</t>
  </si>
  <si>
    <t>Required where a lot has a direct abuttal to a public reserve (must be visually permeable) - Provide approx. 1800mm high slatted pine feature fencing with vertical slats. - $321/lm</t>
  </si>
  <si>
    <t>838200U</t>
  </si>
  <si>
    <t>Harcrest Estate</t>
  </si>
  <si>
    <t>Wantirna South 3152</t>
  </si>
  <si>
    <t>733203X</t>
  </si>
  <si>
    <t>Mirvac</t>
  </si>
  <si>
    <t>Colleen Gamble</t>
  </si>
  <si>
    <t>0481 438 136</t>
  </si>
  <si>
    <t>colleen.gamble@mirvac.com</t>
  </si>
  <si>
    <t>More than</t>
  </si>
  <si>
    <t>724276U</t>
  </si>
  <si>
    <r>
      <t>(or equal to) 300m</t>
    </r>
    <r>
      <rPr>
        <sz val="5"/>
        <color rgb="FF003A40"/>
        <rFont val="Roboto-Light"/>
      </rPr>
      <t>2</t>
    </r>
  </si>
  <si>
    <r>
      <t>&amp; less than 450m</t>
    </r>
    <r>
      <rPr>
        <sz val="5"/>
        <color rgb="FF003A40"/>
        <rFont val="Roboto-Light"/>
      </rPr>
      <t>2</t>
    </r>
  </si>
  <si>
    <t>Harlow</t>
  </si>
  <si>
    <t>906058S</t>
  </si>
  <si>
    <t>SIG Group</t>
  </si>
  <si>
    <t xml:space="preserve">Eaves required to whole house for doubles and singles, except for zero eave boundary - $3300
</t>
  </si>
  <si>
    <t>Lots wider than 12.5m Require double garage</t>
  </si>
  <si>
    <t>Garage door opening must not exeed 40% of lot width</t>
  </si>
  <si>
    <t>Minimum dwelling size
- less than 300sqm (100m2)
- 300m2 - 450m2 (120m2)
- 450m2 + (150m2)</t>
  </si>
  <si>
    <t>909577A</t>
  </si>
  <si>
    <t>909597T</t>
  </si>
  <si>
    <t>Harmony</t>
  </si>
  <si>
    <t>837400R</t>
  </si>
  <si>
    <t>Lots with a street frontage of less than 12.5m, a single garage is required with a maximum door width of 2.6m.
• Lots with a street frontage of 12.5m or greater, the maximum width allowable for the garage door is 5.5m</t>
  </si>
  <si>
    <t>Dark Muted</t>
  </si>
  <si>
    <t>837400R/S2</t>
  </si>
  <si>
    <t>Harpley Estate</t>
  </si>
  <si>
    <t>705774K</t>
  </si>
  <si>
    <t>Anne Cross</t>
  </si>
  <si>
    <t>0467 764 635 </t>
  </si>
  <si>
    <t>anne.cross@lendlease.com</t>
  </si>
  <si>
    <r>
      <t>120m</t>
    </r>
    <r>
      <rPr>
        <sz val="5"/>
        <color rgb="FF003A40"/>
        <rFont val="Roboto-Light"/>
      </rPr>
      <t>2</t>
    </r>
  </si>
  <si>
    <t>735172V</t>
  </si>
  <si>
    <t>735196F</t>
  </si>
  <si>
    <r>
      <t>More than 450m</t>
    </r>
    <r>
      <rPr>
        <sz val="5"/>
        <color rgb="FF003A40"/>
        <rFont val="Roboto-Light"/>
      </rPr>
      <t xml:space="preserve">2 </t>
    </r>
    <r>
      <rPr>
        <sz val="9"/>
        <color rgb="FF003A40"/>
        <rFont val="Roboto-Light"/>
      </rPr>
      <t>150m</t>
    </r>
    <r>
      <rPr>
        <sz val="5"/>
        <color rgb="FF003A40"/>
        <rFont val="Roboto-Light"/>
      </rPr>
      <t>2</t>
    </r>
  </si>
  <si>
    <t>735197D</t>
  </si>
  <si>
    <t>742680K</t>
  </si>
  <si>
    <t>746186W</t>
  </si>
  <si>
    <t>746187U</t>
  </si>
  <si>
    <t>746188S</t>
  </si>
  <si>
    <t>801007V</t>
  </si>
  <si>
    <t>804557R</t>
  </si>
  <si>
    <t>804571X</t>
  </si>
  <si>
    <t>Garage must be minimum of 840mm setback</t>
  </si>
  <si>
    <t>804593M</t>
  </si>
  <si>
    <t>808012Q</t>
  </si>
  <si>
    <t>808013N</t>
  </si>
  <si>
    <t>808014L</t>
  </si>
  <si>
    <t>808029W</t>
  </si>
  <si>
    <t>808035C</t>
  </si>
  <si>
    <t>811310N</t>
  </si>
  <si>
    <t>811331E</t>
  </si>
  <si>
    <t>811323D</t>
  </si>
  <si>
    <t>811332C</t>
  </si>
  <si>
    <t>811341B</t>
  </si>
  <si>
    <t>811343W</t>
  </si>
  <si>
    <t>813548R</t>
  </si>
  <si>
    <t>813549P</t>
  </si>
  <si>
    <t>813561A</t>
  </si>
  <si>
    <t>813565R</t>
  </si>
  <si>
    <t>Balcony required on double storeys if facing a reserve</t>
  </si>
  <si>
    <t>Provide Allowance for Acoustic Rated Walls. $15,000 Singles, $20,000 Doubles</t>
  </si>
  <si>
    <t>830863L</t>
  </si>
  <si>
    <t>830827Q</t>
  </si>
  <si>
    <t>830828N</t>
  </si>
  <si>
    <t>830829L</t>
  </si>
  <si>
    <t>830830C</t>
  </si>
  <si>
    <t>833848Q</t>
  </si>
  <si>
    <t>833864S</t>
  </si>
  <si>
    <t>833866N</t>
  </si>
  <si>
    <t>825783N</t>
  </si>
  <si>
    <t>825784L</t>
  </si>
  <si>
    <t>61A</t>
  </si>
  <si>
    <t>808038V</t>
  </si>
  <si>
    <t xml:space="preserve">Harriot </t>
  </si>
  <si>
    <t>821074R</t>
  </si>
  <si>
    <t>Provide 3rd pipe recycled water including connections to all Toilets and 2No. Garden tap. =$3940</t>
  </si>
  <si>
    <t xml:space="preserve">Eaves to entire upper level on two storey dwellings.
</t>
  </si>
  <si>
    <t>Minimum Floor Areas. 
Lots less than 300m2 - 100m2
More than 300 &amp; less than 450m2 - 120m2
More than 450m2 - 150m2</t>
  </si>
  <si>
    <t xml:space="preserve">Lots with a frontage of 12.5m or more
must provide a double garage.
The width of the garage door must not exceed
40% of the width of the lot frontage.
</t>
  </si>
  <si>
    <t>Shale Gray</t>
  </si>
  <si>
    <t>821075P</t>
  </si>
  <si>
    <t>821078H</t>
  </si>
  <si>
    <t>838315B</t>
  </si>
  <si>
    <t>Harriot 4B</t>
  </si>
  <si>
    <t>845126P</t>
  </si>
  <si>
    <t>845133S</t>
  </si>
  <si>
    <t>902800N</t>
  </si>
  <si>
    <t>902775J</t>
  </si>
  <si>
    <t>902785F</t>
  </si>
  <si>
    <t>902792J</t>
  </si>
  <si>
    <t>902793G</t>
  </si>
  <si>
    <t>Hartleigh Estate</t>
  </si>
  <si>
    <t>738246B</t>
  </si>
  <si>
    <t xml:space="preserve">Jessica Low </t>
  </si>
  <si>
    <t>0466 886 270</t>
  </si>
  <si>
    <t>jlow@core-projects.com.au</t>
  </si>
  <si>
    <t>742483M</t>
  </si>
  <si>
    <t>742490Q</t>
  </si>
  <si>
    <t>742491N</t>
  </si>
  <si>
    <t>747652N</t>
  </si>
  <si>
    <t>800937C</t>
  </si>
  <si>
    <t>804251S</t>
  </si>
  <si>
    <t>804252Q</t>
  </si>
  <si>
    <t>811558Y</t>
  </si>
  <si>
    <t>816283L</t>
  </si>
  <si>
    <t>820062E</t>
  </si>
  <si>
    <t>820072B</t>
  </si>
  <si>
    <t>820087M</t>
  </si>
  <si>
    <t>823204U</t>
  </si>
  <si>
    <t>824439K</t>
  </si>
  <si>
    <t>824440B</t>
  </si>
  <si>
    <t>Harvest Home Estate</t>
  </si>
  <si>
    <t>742609R</t>
  </si>
  <si>
    <t>Kelly Jaye Property</t>
  </si>
  <si>
    <t>Mark Scordia</t>
  </si>
  <si>
    <t>0466 210 975</t>
  </si>
  <si>
    <t>mark.scordia@gmail.com</t>
  </si>
  <si>
    <t>garage must be setback a minimum of an additional 0.84m from front wall.</t>
  </si>
  <si>
    <t>Haven - Tarneit Estate</t>
  </si>
  <si>
    <t>742793V</t>
  </si>
  <si>
    <t>Janet Skinner</t>
  </si>
  <si>
    <t>0412 882 927</t>
  </si>
  <si>
    <t>Janet.Skinner@peet.com.au</t>
  </si>
  <si>
    <t>746091J</t>
  </si>
  <si>
    <t>801121X</t>
  </si>
  <si>
    <t>Haven - Wollert Estate</t>
  </si>
  <si>
    <t>726460R</t>
  </si>
  <si>
    <t>Asset1</t>
  </si>
  <si>
    <t>Chris Kipp</t>
  </si>
  <si>
    <t>0437 158 693</t>
  </si>
  <si>
    <t>haven2@rpmrealestate.com.au</t>
  </si>
  <si>
    <t>734837X</t>
  </si>
  <si>
    <t>734838V</t>
  </si>
  <si>
    <t>741160T</t>
  </si>
  <si>
    <t>741161R</t>
  </si>
  <si>
    <t>Haymont Estate</t>
  </si>
  <si>
    <t>902509G</t>
  </si>
  <si>
    <t>Todd Leggatt</t>
  </si>
  <si>
    <t>0478 065 408</t>
  </si>
  <si>
    <t>t.leggatt@oliverhume.com.au</t>
  </si>
  <si>
    <t xml:space="preserve">Entire if double 3300
</t>
  </si>
  <si>
    <t>No house shall be built with an area of less than 110m2 (exclusive of garage). Does not apply for lots 300m2 or less</t>
  </si>
  <si>
    <t>Garage door not to exceed 40% of the lot width where the house is a single storey - does not apply to double storeys and for lots 300m2 or less</t>
  </si>
  <si>
    <t>902470H</t>
  </si>
  <si>
    <t>902423S</t>
  </si>
  <si>
    <t>Lot 322, 331, 348, 349, 350
provide 1m horizontal access along the full length of a min one side boundary of the lot</t>
  </si>
  <si>
    <t>Hayston Views Estate</t>
  </si>
  <si>
    <t>818554U</t>
  </si>
  <si>
    <t>Greg Bettiol</t>
  </si>
  <si>
    <t>Hazelcroft Estate</t>
  </si>
  <si>
    <t>702977L</t>
  </si>
  <si>
    <t xml:space="preserve">AV Jennings </t>
  </si>
  <si>
    <t>George Kirkopoulos</t>
  </si>
  <si>
    <t>0428 071 186</t>
  </si>
  <si>
    <t>gkirkopoulos@avjennings.com.au</t>
  </si>
  <si>
    <t>746766C</t>
  </si>
  <si>
    <t>Heartlands Estate</t>
  </si>
  <si>
    <t>633442L/S13</t>
  </si>
  <si>
    <t xml:space="preserve">Charmaine </t>
  </si>
  <si>
    <t>0487 888 599</t>
  </si>
  <si>
    <t>theheartlands@rpmrealestate.com.au</t>
  </si>
  <si>
    <t>633442L/S16</t>
  </si>
  <si>
    <t>633442L/S17</t>
  </si>
  <si>
    <t>633442L/S19</t>
  </si>
  <si>
    <t>633442L/S25</t>
  </si>
  <si>
    <t>633442L/S27</t>
  </si>
  <si>
    <t>633422L/S28</t>
  </si>
  <si>
    <t>633442L/S29</t>
  </si>
  <si>
    <t>17B</t>
  </si>
  <si>
    <t>633442L/S74</t>
  </si>
  <si>
    <t>19b</t>
  </si>
  <si>
    <t>633442/S73</t>
  </si>
  <si>
    <t>Heathfield Estate - Officer</t>
  </si>
  <si>
    <t>747539J</t>
  </si>
  <si>
    <t>Lauders</t>
  </si>
  <si>
    <t>801324H</t>
  </si>
  <si>
    <t>Heathfield Estate - Fraser Rise</t>
  </si>
  <si>
    <t>830440R</t>
  </si>
  <si>
    <t>luke Guirguis</t>
  </si>
  <si>
    <t>0405 340 230</t>
  </si>
  <si>
    <t>luke@goldfieldsgroup.com.au</t>
  </si>
  <si>
    <t>• For dwellings on lots with frontages of less than 20 metres a minimum 1m setback
must be maintained from 1 side boundary.
• For dwellings on lots with frontages of 20 metres and greater (except corner lots), all side
boundary setbacks including that of garages must be a minimum of 1 metre.</t>
  </si>
  <si>
    <t>If over 300m2 4950</t>
  </si>
  <si>
    <t>Double garages must be provided on lots with a frontage of
12.5 metres or greater.
For lots with a frontage under 12.5m, a single garage is
required with a maximum door width of 2.6m.
For lots with a frontage of 12.5m or greater and 14m or less,
the maximum width allowable for the garage door is 5.5m.
Lots with a frontage of greater than 14m may have a wider
garage door, provided it does not exceed 40% of the width of
the lot
Garage must be set back minimum 5.4m from street frontage</t>
  </si>
  <si>
    <t>• 130 square metres in the case of a lot
having an area of 500 square metres
or greater; or
• 110 square metres in the case of a lot
having an area of less than 500 square
metres.
• A maximum building height of 11m and
no more than 3 storeys.</t>
  </si>
  <si>
    <t>830441P</t>
  </si>
  <si>
    <t>830442M</t>
  </si>
  <si>
    <t>Heathmont</t>
  </si>
  <si>
    <t>Heathmont 3135</t>
  </si>
  <si>
    <t>730069Q</t>
  </si>
  <si>
    <t>Heritage Mews Estate</t>
  </si>
  <si>
    <t>745174K</t>
  </si>
  <si>
    <t xml:space="preserve">Swan Bay Nominees </t>
  </si>
  <si>
    <t>mareeh.drysdale@ljh.com.au</t>
  </si>
  <si>
    <t>802800V</t>
  </si>
  <si>
    <t>806005X</t>
  </si>
  <si>
    <t>Heritage Rise</t>
  </si>
  <si>
    <t>731291J</t>
  </si>
  <si>
    <t>Michael Patchell</t>
  </si>
  <si>
    <t>0419 381 411</t>
  </si>
  <si>
    <t>enquires@heritagerise.com.au</t>
  </si>
  <si>
    <t>Check lots on guidelines 66, 67, 71 and 72. Special requirements.</t>
  </si>
  <si>
    <t>Garages should not dominate the dwelling, garage
openings must not exceed 40% of the frontage of
the dwelling lot for single storey dwellings and must
not exceed 25% of the area of the front façade of any
dwelling larger than single storey.
Lots with frontages less than 12.5 metres in width are
restricted to single garages when single storey unless a
rear loaded garage on a rear load lot.</t>
  </si>
  <si>
    <t>On any lot less than 300square metres, a dwelling shall
have a minimum building area of 110 square metres (to
be measured external walls to external walls, excluding
eaves, garages, portico and decks).
On any lot equal to or greater than 300 square metres,
a dwelling with a building area of more than 130square
metres is the minimum and 120square metres is the
minimum for lots 62 to 76 inclusive (to be measured
external walls to external walls, excluding eaves, garages,
portico and decks).</t>
  </si>
  <si>
    <t>Required On Corners.</t>
  </si>
  <si>
    <t>830038U</t>
  </si>
  <si>
    <t>Heritage Views Estate</t>
  </si>
  <si>
    <t>735140K</t>
  </si>
  <si>
    <t>Hidden Valley Estate</t>
  </si>
  <si>
    <t>645729W</t>
  </si>
  <si>
    <t>GP International</t>
  </si>
  <si>
    <t>Stephen Lammi</t>
  </si>
  <si>
    <t>0419 390 007</t>
  </si>
  <si>
    <t>stephen.lammi@gppminternational.com</t>
  </si>
  <si>
    <t>Provide Category 1 Elabana roof tiles in Saffron in lieu of standard = included</t>
  </si>
  <si>
    <t>"Confirmed with developer we can use concrete roof tiles in orange colour, doesn’t have to be terracotta as per DG"
Put this note in Estimators note</t>
  </si>
  <si>
    <t>3D</t>
  </si>
  <si>
    <t>807875K</t>
  </si>
  <si>
    <t>Highgate</t>
  </si>
  <si>
    <t>836900A</t>
  </si>
  <si>
    <t>Sarah Fraser</t>
  </si>
  <si>
    <t>0408 328 350</t>
  </si>
  <si>
    <t>All dwellings must be setback at least 5m from the primary street frontage</t>
  </si>
  <si>
    <t>836901X</t>
  </si>
  <si>
    <t>Highgrange Estate</t>
  </si>
  <si>
    <t>721482H</t>
  </si>
  <si>
    <t>0415 522 556</t>
  </si>
  <si>
    <t>nick&amp;centralequity.com.au</t>
  </si>
  <si>
    <t>728820B</t>
  </si>
  <si>
    <t>Highgrove Estate</t>
  </si>
  <si>
    <t>738347U</t>
  </si>
  <si>
    <t>Thuyen</t>
  </si>
  <si>
    <t>5998 9244</t>
  </si>
  <si>
    <t>738385L</t>
  </si>
  <si>
    <t>804355E</t>
  </si>
  <si>
    <t>804356C</t>
  </si>
  <si>
    <t>804284B</t>
  </si>
  <si>
    <t>Highlands Estate</t>
  </si>
  <si>
    <t>640921H</t>
  </si>
  <si>
    <t>Chris Walker</t>
  </si>
  <si>
    <t>0423 758 118</t>
  </si>
  <si>
    <t>chris.walker@stockland.com.au</t>
  </si>
  <si>
    <t>Confirm with sales team which guidelines to use.</t>
  </si>
  <si>
    <t xml:space="preserve">6m2 min. porch </t>
  </si>
  <si>
    <t>Porch minimum 4m2</t>
  </si>
  <si>
    <t>732007D</t>
  </si>
  <si>
    <t>728849A</t>
  </si>
  <si>
    <t>746032B</t>
  </si>
  <si>
    <t>734526R</t>
  </si>
  <si>
    <t>738831P</t>
  </si>
  <si>
    <t>801137G</t>
  </si>
  <si>
    <t>805126Q</t>
  </si>
  <si>
    <t>805163J</t>
  </si>
  <si>
    <t>805160Q</t>
  </si>
  <si>
    <t>810922K</t>
  </si>
  <si>
    <t>814768V</t>
  </si>
  <si>
    <t>746045R</t>
  </si>
  <si>
    <t>728857B</t>
  </si>
  <si>
    <t>Lots with homes over 13m require a porch area of minimum 10m2.</t>
  </si>
  <si>
    <t>810926B</t>
  </si>
  <si>
    <t>810931J</t>
  </si>
  <si>
    <t>810934C</t>
  </si>
  <si>
    <t>845605B</t>
  </si>
  <si>
    <t>831912U</t>
  </si>
  <si>
    <t>831913S</t>
  </si>
  <si>
    <t>702839Y</t>
  </si>
  <si>
    <t>742737G</t>
  </si>
  <si>
    <t>738856W</t>
  </si>
  <si>
    <t>738855Y</t>
  </si>
  <si>
    <t>805177W</t>
  </si>
  <si>
    <t>805164G</t>
  </si>
  <si>
    <t>807648W</t>
  </si>
  <si>
    <t>827450G</t>
  </si>
  <si>
    <t>818638N</t>
  </si>
  <si>
    <t>823262E</t>
  </si>
  <si>
    <t>823273Y</t>
  </si>
  <si>
    <t>831900C</t>
  </si>
  <si>
    <t>724967Q</t>
  </si>
  <si>
    <t>732033C</t>
  </si>
  <si>
    <t>734601E</t>
  </si>
  <si>
    <t>814755F</t>
  </si>
  <si>
    <t>814759W</t>
  </si>
  <si>
    <t>814763G</t>
  </si>
  <si>
    <t>827433G</t>
  </si>
  <si>
    <t>827465S</t>
  </si>
  <si>
    <t>827528U</t>
  </si>
  <si>
    <t>827529S</t>
  </si>
  <si>
    <t>831899H</t>
  </si>
  <si>
    <t>831904T</t>
  </si>
  <si>
    <t>831919E</t>
  </si>
  <si>
    <t>831924M</t>
  </si>
  <si>
    <t>831905R</t>
  </si>
  <si>
    <t>835694F</t>
  </si>
  <si>
    <t>840600P</t>
  </si>
  <si>
    <t>840556P</t>
  </si>
  <si>
    <t>845578B</t>
  </si>
  <si>
    <t>905643L</t>
  </si>
  <si>
    <t>905675W</t>
  </si>
  <si>
    <t>Highton Ridge Estate</t>
  </si>
  <si>
    <t>Geelong 3220</t>
  </si>
  <si>
    <t>740216X</t>
  </si>
  <si>
    <t>Maxwell Collins</t>
  </si>
  <si>
    <t>Simon Braybrook</t>
  </si>
  <si>
    <t>0438 027 272</t>
  </si>
  <si>
    <t>simon@maxwellcollins.com.au</t>
  </si>
  <si>
    <t>737854G</t>
  </si>
  <si>
    <t>817850V</t>
  </si>
  <si>
    <t>719327J</t>
  </si>
  <si>
    <t>809809N</t>
  </si>
  <si>
    <t>809810E</t>
  </si>
  <si>
    <t>809797S</t>
  </si>
  <si>
    <t>Highton Ridge-Highpoint Release Estate</t>
  </si>
  <si>
    <t>809811C</t>
  </si>
  <si>
    <t>Highview Estate</t>
  </si>
  <si>
    <t>Highton 3216</t>
  </si>
  <si>
    <t>820518L</t>
  </si>
  <si>
    <t>Ray White</t>
  </si>
  <si>
    <t>816106K</t>
  </si>
  <si>
    <t>722865K</t>
  </si>
  <si>
    <t>820497R</t>
  </si>
  <si>
    <t>Hillgrove Estate</t>
  </si>
  <si>
    <t>804564U</t>
  </si>
  <si>
    <t>3000L 6500 for lots 351 and above</t>
  </si>
  <si>
    <t>For lots within 301m2 - less than 351m2</t>
  </si>
  <si>
    <t>450mm Eaves to entire dwelling of double storey. $3300</t>
  </si>
  <si>
    <t xml:space="preserve">Allowance for acoustic rated walls. $15000 single, $20000 double. </t>
  </si>
  <si>
    <t>804565S</t>
  </si>
  <si>
    <t>811318V</t>
  </si>
  <si>
    <t>811346Q</t>
  </si>
  <si>
    <t>813545X</t>
  </si>
  <si>
    <t>817193G</t>
  </si>
  <si>
    <t>820476A</t>
  </si>
  <si>
    <t>820480K</t>
  </si>
  <si>
    <t>820485Y</t>
  </si>
  <si>
    <t>822754M</t>
  </si>
  <si>
    <t>822761Q</t>
  </si>
  <si>
    <t>822767C</t>
  </si>
  <si>
    <t>837648C</t>
  </si>
  <si>
    <t xml:space="preserve">Hillstowe </t>
  </si>
  <si>
    <t>826731D</t>
  </si>
  <si>
    <t>Mick Abbott</t>
  </si>
  <si>
    <t>1300 159 138</t>
  </si>
  <si>
    <t>hillstowe@avid.com.au</t>
  </si>
  <si>
    <t>Lots over 12.5m wide:
For single storey dwellings, garage openings must be no
more than 40% of the width of the lot frontage. In the
case of a double storey dwelling, a garage opening must
not exceed 25% of the area of the front façade of the
dwelling.
Lots less than 12.5m wide:
Single storey dwellings are restricted to single garages.
In the case of a double storey dwelling, a garage opening
must not exceed 25% of the area of the front façade of
the dwelling.</t>
  </si>
  <si>
    <t>823044S</t>
  </si>
  <si>
    <t>836057H</t>
  </si>
  <si>
    <t>839251V</t>
  </si>
  <si>
    <t>848491X</t>
  </si>
  <si>
    <t>Hillview Heights Estate</t>
  </si>
  <si>
    <t>Grovedale 3216</t>
  </si>
  <si>
    <t>722212J</t>
  </si>
  <si>
    <t>806352A</t>
  </si>
  <si>
    <t>house has to be min. 105m2 (other than a garage, carport)</t>
  </si>
  <si>
    <t>Darley 3340</t>
  </si>
  <si>
    <t>831318H</t>
  </si>
  <si>
    <t xml:space="preserve">Horizon </t>
  </si>
  <si>
    <t>Hampton Park 3976</t>
  </si>
  <si>
    <t>149173B</t>
  </si>
  <si>
    <t>Horizon Cove Estate</t>
  </si>
  <si>
    <t>745978R</t>
  </si>
  <si>
    <t>Infinity Estate</t>
  </si>
  <si>
    <t>730350A</t>
  </si>
  <si>
    <t>Lawport Property Group</t>
  </si>
  <si>
    <t>Leah Pepe</t>
  </si>
  <si>
    <t>0400 474 642</t>
  </si>
  <si>
    <t>leah@projectmarketinggroup.com.au</t>
  </si>
  <si>
    <t>738363W</t>
  </si>
  <si>
    <t>Ironwood</t>
  </si>
  <si>
    <t>Cranbourne North 3977</t>
  </si>
  <si>
    <t>819387G/S6</t>
  </si>
  <si>
    <t>Michael Hajko</t>
  </si>
  <si>
    <t>0402 975 222</t>
  </si>
  <si>
    <t>ironwood@lenniumgroup.com.au</t>
  </si>
  <si>
    <t>300-399m2 - at least 120m2
400-499m2 - at least 170m2
more than 500m2 - at least 210m2</t>
  </si>
  <si>
    <t>All detached dwellings must have a total frontage of at least 70% of the lot width</t>
  </si>
  <si>
    <t>Ivy</t>
  </si>
  <si>
    <t>200190Q</t>
  </si>
  <si>
    <t>Jackson's View Estate</t>
  </si>
  <si>
    <t>641855N</t>
  </si>
  <si>
    <t>Floor area excluding Garage, porch etc, must be at least 140m2 if the lot is 600m2 or less and 160m2 if lot is more than 600m2</t>
  </si>
  <si>
    <t>With the exception of a single storey garage which is constructed substantially of brick, brink
veneer, masonry, masonry veneer, rendered concrete or stone, buildings must be setback a
minimum of 1.2 metres from side boundaries that do not abut a street, plus 100mm for every
300mm by which the height of the wall exceeds 3.6m.
Buildings on corner lots must be setback a minimum of 2m from any side boundary abutting a
street, plus 100mm for every 300mm by which the height of the wall exceeds 3.6m.</t>
  </si>
  <si>
    <t>Front setback 5m, excluding porticos, patios, bay windows, pergolas, balconies and verandahs which may encroach by up 500mm between the front boundary and the minimum front boundary setback line.</t>
  </si>
  <si>
    <t>Janson Views Estate</t>
  </si>
  <si>
    <t>Brown Hill 3350</t>
  </si>
  <si>
    <t>807507R</t>
  </si>
  <si>
    <t>Dylan Thompson</t>
  </si>
  <si>
    <t>0438 490 773</t>
  </si>
  <si>
    <t>dthomson@hockingstuart.com.au</t>
  </si>
  <si>
    <t>738312Q</t>
  </si>
  <si>
    <t>Jawaid</t>
  </si>
  <si>
    <t>812416Q</t>
  </si>
  <si>
    <t>Jennifer Court</t>
  </si>
  <si>
    <t>813899K</t>
  </si>
  <si>
    <t>Rinaldi Cooray</t>
  </si>
  <si>
    <t>0422 054 137</t>
  </si>
  <si>
    <t>rinaldi@thewisegroup.com.au</t>
  </si>
  <si>
    <t>Jefferson Estate</t>
  </si>
  <si>
    <t>Garfield 3814</t>
  </si>
  <si>
    <t>409076M</t>
  </si>
  <si>
    <t>Private</t>
  </si>
  <si>
    <t>Jessefield Estate</t>
  </si>
  <si>
    <t>646905X</t>
  </si>
  <si>
    <t>Minimum dwelling sizes, exclusive of garages, porticos, verandahs, eaves and
outbuildings are as follows:
• Lots equal to or under 450sq m require a dwelling of over 120sq m (not
including garage, eaves, portico and decks).
• Lots equal to or over 451sq m require a dwelling of over 150 sq m (not
including garage, eaves, portico and decks).</t>
  </si>
  <si>
    <t>Garage openings must not occupy more than 40% of the width of the primary
frontage, unless the building is two or more storeys and on a lot with an area
between 250 to 300 square metres, whereby the garage opening must not
exceed 30% of the area of the front façade of the dwelling with the area of
the front façade measured from a two dimensional elevation plan of the
façade excluding the area of the roof of the dwelling</t>
  </si>
  <si>
    <t>Garages or carports are not allowed to be setback less than 5.5 metres from
the primary frontage, unless a building envelope within an associated plan of
subdivision allows a primary frontage setback of 3 meres, whereby the garage
or carports shall not be setback less than 5 metres from the primary frontage:
or, in special circumstances where lots are identified on the building envelope
within an associated plan of subdivision as having an alternative garage setback whereby garages on those lots must not be setback between 3 and 5
metres from the primary frontage.</t>
  </si>
  <si>
    <t>Lot frontage greater than 12.5m, garage must be constructed that can house two vehicles (side by side)
Lot frontage of 12.5m or less, a single garage is permitted</t>
  </si>
  <si>
    <t>Jetty North</t>
  </si>
  <si>
    <t>Bellarine 3223</t>
  </si>
  <si>
    <t>826436F</t>
  </si>
  <si>
    <t>Shayne Jenkins</t>
  </si>
  <si>
    <t>0423 616 227</t>
  </si>
  <si>
    <t>shayne@red23.com.au</t>
  </si>
  <si>
    <t>826437D</t>
  </si>
  <si>
    <t>Jubilee Estate</t>
  </si>
  <si>
    <t>724513H/S2</t>
  </si>
  <si>
    <t>Lotus Living</t>
  </si>
  <si>
    <t>Daniel Smith</t>
  </si>
  <si>
    <t>0415 688 060</t>
  </si>
  <si>
    <t>daniels@lotusliving.com.au</t>
  </si>
  <si>
    <t>For single storeys, width of the garage door must not exceed 46% of the lot frontage</t>
  </si>
  <si>
    <t>724513H/S4</t>
  </si>
  <si>
    <t>724513H/S5</t>
  </si>
  <si>
    <t>724513H/S6</t>
  </si>
  <si>
    <t>724513H/S7</t>
  </si>
  <si>
    <t>724513H/S8</t>
  </si>
  <si>
    <t>724513H/S9</t>
  </si>
  <si>
    <t>724513H/S10</t>
  </si>
  <si>
    <t>724513H/S11</t>
  </si>
  <si>
    <t>724513H/S12</t>
  </si>
  <si>
    <t>724513H/S13</t>
  </si>
  <si>
    <t>724513H/S14</t>
  </si>
  <si>
    <t>724513H/S15</t>
  </si>
  <si>
    <t>724513H/S16</t>
  </si>
  <si>
    <t>724513H/S17</t>
  </si>
  <si>
    <t>724513H/S18</t>
  </si>
  <si>
    <t>724513H/S19</t>
  </si>
  <si>
    <t>724513H/s20</t>
  </si>
  <si>
    <t>724513H/S21</t>
  </si>
  <si>
    <t>741233S</t>
  </si>
  <si>
    <t>741233S/S2</t>
  </si>
  <si>
    <t>809336G/S27</t>
  </si>
  <si>
    <t>809336G/S28</t>
  </si>
  <si>
    <t>741233S/S29</t>
  </si>
  <si>
    <t> A minimum of 3.0 metres and maximum of 4.0 metres from the main street frontage for lots
with 25 metre depth or less.
 A minimum of 4.0 metres and maximum of 5.0 metres from the main street frontage for lots
with a depth greater than 25 metres to 28 metres.
 A minimum of 4.5 metres and maximum of 5.5 metres from the main street frontage for lots
with a depth greater than 28 metres to 32 metres.
 A minimum of 5.0 metres and maximum of 6.0 metres from the main street frontage for lots
with a depth greater than 32 metres.
 The front wall of a dwelling nearest the main street frontage must not be setback more than
6.5 metres from the frontage.
 Garages must be set back 5.0 metres from the main street frontage or 0.5 metres behind
the front street building line, whichever is the greater.</t>
  </si>
  <si>
    <t>809335J/S40</t>
  </si>
  <si>
    <t>809335J/S41</t>
  </si>
  <si>
    <t>809335J/S42</t>
  </si>
  <si>
    <t>832728G</t>
  </si>
  <si>
    <t>Jubilee Estate Urban Square</t>
  </si>
  <si>
    <t>821913Y</t>
  </si>
  <si>
    <t>821913Y/S51</t>
  </si>
  <si>
    <t>821913Y/S52</t>
  </si>
  <si>
    <t>821913Y/S53</t>
  </si>
  <si>
    <t>Jubilee Estate Urban Square54</t>
  </si>
  <si>
    <t>821913Y/S54</t>
  </si>
  <si>
    <t>821913Y/S55</t>
  </si>
  <si>
    <t>809335J/S91</t>
  </si>
  <si>
    <t>Kaduna Park Estate</t>
  </si>
  <si>
    <t>801134N</t>
  </si>
  <si>
    <t>Parklea</t>
  </si>
  <si>
    <t>Rebecca Marando</t>
  </si>
  <si>
    <t>0488 442 991</t>
  </si>
  <si>
    <t>135m2 for lots equal to and less than 400m2
• 149m2 for lots greater than 400m2 and less than 500m2
• 175m2 for lots equal to and greater than 500m2</t>
  </si>
  <si>
    <t>Lots with a frontage of 12m or greater must be capable of
accommodating a minimum of two vehicles unless otherwise
approved by the DRP.</t>
  </si>
  <si>
    <t>The width of a garage opening must not exceed 40% of the frontage
width of an allotment unless the dwelling is a double storey where
it can comprise up to 25% of facade area. Garage openings must
not be grater than 6.5m. Triple car garages on frontages of 18m
or greater will be considered on their individual merits, generally
the third garage must be set back an additional 500mm from the
adjacent garage.</t>
  </si>
  <si>
    <t>Provide approx. 1800mm high Slatted fencing arranged horizontally in lieu of timber palings. Includes wing fence and Gate. CORNER = $5000 ***CHECK GUIDELINES FOR SCENARIOS***</t>
  </si>
  <si>
    <t>All verandahs, porches, balconies and porticos should have a
minimum depth of 1.0m and should have a minimum area of 3m2</t>
  </si>
  <si>
    <t>801142P</t>
  </si>
  <si>
    <t>801196P</t>
  </si>
  <si>
    <t>807668Q</t>
  </si>
  <si>
    <t>807674V</t>
  </si>
  <si>
    <t>807677P</t>
  </si>
  <si>
    <t>807679K</t>
  </si>
  <si>
    <t>827527W</t>
  </si>
  <si>
    <t>Kallo Estate</t>
  </si>
  <si>
    <t>720132S</t>
  </si>
  <si>
    <t>NPP</t>
  </si>
  <si>
    <t>Deb Teazis</t>
  </si>
  <si>
    <t>0448 313 317</t>
  </si>
  <si>
    <t>kallo@rpmrealestate.com.au</t>
  </si>
  <si>
    <t>730352V</t>
  </si>
  <si>
    <t>738368L</t>
  </si>
  <si>
    <t>738390T</t>
  </si>
  <si>
    <t>811239R</t>
  </si>
  <si>
    <t>746822U</t>
  </si>
  <si>
    <t>804285Y</t>
  </si>
  <si>
    <t>804306T</t>
  </si>
  <si>
    <t>804309M</t>
  </si>
  <si>
    <t>804361K</t>
  </si>
  <si>
    <t>804360M</t>
  </si>
  <si>
    <t>817590V</t>
  </si>
  <si>
    <t>746832R</t>
  </si>
  <si>
    <t>825842Y</t>
  </si>
  <si>
    <t>18B</t>
  </si>
  <si>
    <t>825843W</t>
  </si>
  <si>
    <t>Katalia Estate</t>
  </si>
  <si>
    <t>840541D</t>
  </si>
  <si>
    <t>0412 938 359</t>
  </si>
  <si>
    <t>Where a home is 13.0m wide or
greater at least one of the following
is required:
- A step in the front façade of a
minimum 840mm (this step must
be in addition to any step at the
garage), or
- A portico / verandah with a
minimum area of 10 sqm. The
porch must also have a depth
of minimum 1.5m deep at some
point, or
- A verandah for the full length
of the frontage (excluding the
garage)</t>
  </si>
  <si>
    <t>For corner lots: Grey Ridge Colourbond with 100x100 expressed posts, capping and 150mm plinth $495/lm</t>
  </si>
  <si>
    <t>840546S</t>
  </si>
  <si>
    <t>840551A</t>
  </si>
  <si>
    <t>840575K</t>
  </si>
  <si>
    <t>845616V</t>
  </si>
  <si>
    <t>845629L</t>
  </si>
  <si>
    <t>845662N</t>
  </si>
  <si>
    <t>845663L</t>
  </si>
  <si>
    <t>900049B</t>
  </si>
  <si>
    <t>900081F</t>
  </si>
  <si>
    <t>905626L</t>
  </si>
  <si>
    <t>905641Q</t>
  </si>
  <si>
    <t>Katandra Rise Estate</t>
  </si>
  <si>
    <t>632304E</t>
  </si>
  <si>
    <t>5 Sqaured</t>
  </si>
  <si>
    <t>632305C</t>
  </si>
  <si>
    <t>800332P</t>
  </si>
  <si>
    <t>Sarah</t>
  </si>
  <si>
    <t>03 9717 8777</t>
  </si>
  <si>
    <t>sales@katandrarise.com.au</t>
  </si>
  <si>
    <t>809760S</t>
  </si>
  <si>
    <t>812439C</t>
  </si>
  <si>
    <t>Kelly on Lithgow</t>
  </si>
  <si>
    <t>831545V</t>
  </si>
  <si>
    <t>Kristie Burrows</t>
  </si>
  <si>
    <t>Kendal Estate</t>
  </si>
  <si>
    <t>733196R</t>
  </si>
  <si>
    <t>Castron</t>
  </si>
  <si>
    <t>Lachlan Castran</t>
  </si>
  <si>
    <t>0475 000 888</t>
  </si>
  <si>
    <t>Lachlan@castran.com.au</t>
  </si>
  <si>
    <t>Kensington Estate</t>
  </si>
  <si>
    <t>719798R</t>
  </si>
  <si>
    <t>Kerani Heights</t>
  </si>
  <si>
    <t>825301L</t>
  </si>
  <si>
    <t>Sudha Williams</t>
  </si>
  <si>
    <t>0414 061 144</t>
  </si>
  <si>
    <t>sudha@pottergeorge.com.au</t>
  </si>
  <si>
    <t>All dwellings over 320m2 must include a rainwater
tank of minimum capacity 2000ltrs and plumbed
for toilets passive and irrigation purposes.</t>
  </si>
  <si>
    <t>825324X</t>
  </si>
  <si>
    <t>837872W</t>
  </si>
  <si>
    <t>842479U</t>
  </si>
  <si>
    <t>842468A</t>
  </si>
  <si>
    <t>Key West</t>
  </si>
  <si>
    <t>Thornhill Park 3335</t>
  </si>
  <si>
    <t>822280H</t>
  </si>
  <si>
    <t>Bragdesh Kaushik</t>
  </si>
  <si>
    <t>0437 116 679</t>
  </si>
  <si>
    <t>keywest@rpmrealestate.com.au</t>
  </si>
  <si>
    <t>Doubles entire $3300</t>
  </si>
  <si>
    <t xml:space="preserve">Garage doors shall not comprise more than 40% of the lot
frontage, or more than 40% of the total front façade areas for
double storey dwellings. </t>
  </si>
  <si>
    <t>842435R</t>
  </si>
  <si>
    <t>842447J</t>
  </si>
  <si>
    <t>846585Y</t>
  </si>
  <si>
    <t>846589Q</t>
  </si>
  <si>
    <t>Kilmore Fields Estate</t>
  </si>
  <si>
    <t>723991Y</t>
  </si>
  <si>
    <t>Aztec Land Developments</t>
  </si>
  <si>
    <t>Lots 8-17 must have garage setback 0.5m from the front wall of dwelling and set back 5.4m from the front boundary.</t>
  </si>
  <si>
    <t>No permanebt structure, with the exception of permeable fenceing, may be constructed within the 10m setback from the top of bankof the waterway within the reserve on the site</t>
  </si>
  <si>
    <t>730358H</t>
  </si>
  <si>
    <t>Fam Property Group</t>
  </si>
  <si>
    <t>Ben Nguyen</t>
  </si>
  <si>
    <t>0404 664 466</t>
  </si>
  <si>
    <t>ben.nguyen@barryplant.com.au</t>
  </si>
  <si>
    <t>All house designs must be a double story</t>
  </si>
  <si>
    <t>Kingsfield</t>
  </si>
  <si>
    <t>833849N</t>
  </si>
  <si>
    <t>RPM Real Estate</t>
  </si>
  <si>
    <t>Edward Seychell</t>
  </si>
  <si>
    <t>0487 555 535</t>
  </si>
  <si>
    <t>kingsfield@rpmrealestate.com.au</t>
  </si>
  <si>
    <t>Lots with frontages equal to or greater than 12.5
metres must incorporate a double car garage, which
is constructed of the same building materials as the
dwelling</t>
  </si>
  <si>
    <t>Only on lots larger than 300m2</t>
  </si>
  <si>
    <t>Lots with a frontage less than 12.5 metres must
incorporate (as a minimum) a single car garage,
which is constructed of the same building materials
as the dwelling with an additional area available on
the lot to park a second car</t>
  </si>
  <si>
    <t>Minimum Floor Areas:
Less than 300sqm SLHC
300sqm or more and less than 400sqm 100sqm
400sqm or more and less than 450sqm 120sqm
450sqm or more 150sqm</t>
  </si>
  <si>
    <t>837631V</t>
  </si>
  <si>
    <t>833862W</t>
  </si>
  <si>
    <t>837639D</t>
  </si>
  <si>
    <t>841636L</t>
  </si>
  <si>
    <t>847517M</t>
  </si>
  <si>
    <t>900874S</t>
  </si>
  <si>
    <t>900879G</t>
  </si>
  <si>
    <t>900889D</t>
  </si>
  <si>
    <t>900903N</t>
  </si>
  <si>
    <t>905187L</t>
  </si>
  <si>
    <t>Kinbrook Estate</t>
  </si>
  <si>
    <t>746183D</t>
  </si>
  <si>
    <t>746184B</t>
  </si>
  <si>
    <t>804589C</t>
  </si>
  <si>
    <t>811340D</t>
  </si>
  <si>
    <t>811342Y</t>
  </si>
  <si>
    <t>813576L</t>
  </si>
  <si>
    <t>900873U</t>
  </si>
  <si>
    <t>817192J</t>
  </si>
  <si>
    <t>820481H</t>
  </si>
  <si>
    <t>822763L</t>
  </si>
  <si>
    <t>825759K</t>
  </si>
  <si>
    <t>828066C</t>
  </si>
  <si>
    <t>847506S</t>
  </si>
  <si>
    <t>847523S</t>
  </si>
  <si>
    <t>909262C</t>
  </si>
  <si>
    <t>900880X</t>
  </si>
  <si>
    <t>900896G</t>
  </si>
  <si>
    <t>900898C</t>
  </si>
  <si>
    <t>Kingbird Estate</t>
  </si>
  <si>
    <t>817501X</t>
  </si>
  <si>
    <t>Heather Noom</t>
  </si>
  <si>
    <t>heather@kaikura.com.au</t>
  </si>
  <si>
    <t>A garage must not be constructed with an opening which
occupies more than 40% of the width of the lot frontage.</t>
  </si>
  <si>
    <t>Lots between 300-500m2 must be at least 120m2
501-700 = 150m2
More than 701m2 = 180m2</t>
  </si>
  <si>
    <t>906816A</t>
  </si>
  <si>
    <t>906822F</t>
  </si>
  <si>
    <t>842548C</t>
  </si>
  <si>
    <t>842549A</t>
  </si>
  <si>
    <t>842550R</t>
  </si>
  <si>
    <t>Kings Leigh Estate</t>
  </si>
  <si>
    <t>732560C</t>
  </si>
  <si>
    <t>Minloo</t>
  </si>
  <si>
    <t>0457 822 125</t>
  </si>
  <si>
    <t>info@kingsleigh.com.au</t>
  </si>
  <si>
    <t>732572U</t>
  </si>
  <si>
    <t>732579E</t>
  </si>
  <si>
    <t>732583P</t>
  </si>
  <si>
    <t>807000D</t>
  </si>
  <si>
    <t>747853C</t>
  </si>
  <si>
    <t>747857T</t>
  </si>
  <si>
    <t>747861D</t>
  </si>
  <si>
    <t>747865U</t>
  </si>
  <si>
    <t>747869L</t>
  </si>
  <si>
    <t>Kingsley Place Estate</t>
  </si>
  <si>
    <t>432321U</t>
  </si>
  <si>
    <t>Only single storey homes with minimum dwelling size of 139m2 (excluding garage, alfresco, porch etc)</t>
  </si>
  <si>
    <t>Required where a lot has a direct abuttal to an open space (must be semi permeable) - Provide approx. 1800mm high slatted pine feature fencing with vertical slats. - $321/lm</t>
  </si>
  <si>
    <t>Kingston Estate</t>
  </si>
  <si>
    <t>721149T</t>
  </si>
  <si>
    <t xml:space="preserve">Ocean Grove Real Estate </t>
  </si>
  <si>
    <t>Wayne Wrigley</t>
  </si>
  <si>
    <t>0418 727 261</t>
  </si>
  <si>
    <t>wayne@oceangroverealestate.com.au</t>
  </si>
  <si>
    <t xml:space="preserve">Minimum 4.5 Front Setback </t>
  </si>
  <si>
    <t>742167X</t>
  </si>
  <si>
    <t>Kinley Estate</t>
  </si>
  <si>
    <t>Lilydale 3140</t>
  </si>
  <si>
    <t>815504C</t>
  </si>
  <si>
    <t>Up to 12.5m primary frontage: 50% maximum
Greater than 12.5m to 15m primary frontage: 45%
 Greater than 15m primary frontage: 40%
Double garages [side by side] are required on all lots with a 12.5m frontage
or greater.</t>
  </si>
  <si>
    <t>815505A</t>
  </si>
  <si>
    <t>815506X</t>
  </si>
  <si>
    <t>836552W</t>
  </si>
  <si>
    <t>Kirkwood</t>
  </si>
  <si>
    <t>747096S</t>
  </si>
  <si>
    <t>iv.	on all lots other than lots 16, 17, 21 &amp; 22 that dwelling is at least 130 square metres</t>
  </si>
  <si>
    <t>747096S/S2</t>
  </si>
  <si>
    <t>Lakeland Estate</t>
  </si>
  <si>
    <t>713796D</t>
  </si>
  <si>
    <t>Brighton Property Group</t>
  </si>
  <si>
    <t>John Bosancic</t>
  </si>
  <si>
    <t>0438 437 001</t>
  </si>
  <si>
    <t>jbosancic@brightonpropertygroup.com.au</t>
  </si>
  <si>
    <t>737464V</t>
  </si>
  <si>
    <t>737465T</t>
  </si>
  <si>
    <t>746240T</t>
  </si>
  <si>
    <t>EB11</t>
  </si>
  <si>
    <t>723961J</t>
  </si>
  <si>
    <t>EB12</t>
  </si>
  <si>
    <t>737468M</t>
  </si>
  <si>
    <t>EB13</t>
  </si>
  <si>
    <t>737469K</t>
  </si>
  <si>
    <t>EB14</t>
  </si>
  <si>
    <t>737470B</t>
  </si>
  <si>
    <t>EB15</t>
  </si>
  <si>
    <t>746257A</t>
  </si>
  <si>
    <t>Lakeside Estate</t>
  </si>
  <si>
    <t>KR Peters</t>
  </si>
  <si>
    <t>1300 373 097</t>
  </si>
  <si>
    <t>info@lakesideberwick.com.au</t>
  </si>
  <si>
    <t>Langley Park</t>
  </si>
  <si>
    <t>807017K</t>
  </si>
  <si>
    <t>Kassy</t>
  </si>
  <si>
    <t>kassy@langleyparklanglang.com.au</t>
  </si>
  <si>
    <t>814421M</t>
  </si>
  <si>
    <t>814422K</t>
  </si>
  <si>
    <t>Lara Lakes</t>
  </si>
  <si>
    <t>824617M</t>
  </si>
  <si>
    <t>Boundary fencing provided by Developer. Wing fence by builder in 'Grey' colour - need to chase up Developer to match boundary fencing.</t>
  </si>
  <si>
    <t>841605X</t>
  </si>
  <si>
    <t>841606V</t>
  </si>
  <si>
    <t>847796E</t>
  </si>
  <si>
    <t>903576K</t>
  </si>
  <si>
    <t>Lara Views Estate</t>
  </si>
  <si>
    <t>809815T</t>
  </si>
  <si>
    <t>03 5274 1643</t>
  </si>
  <si>
    <t>Laurier</t>
  </si>
  <si>
    <t>840598W</t>
  </si>
  <si>
    <t>0488 212 269</t>
  </si>
  <si>
    <t>laurier@rpmrealestate.com.au</t>
  </si>
  <si>
    <t>Garage openings must not exceed 40% of the
frontage dwelling for single dwellings（(the ratio of
the garage to the frontage is less than 2:5).
(b) Garage openings must not exceed 25% of
the area of the front façade of any dwelling larger
than a single storey (the ratio of the garage to the
frontage is less than 1:4).
(c) Allotments with a width less than 12.5m are
only permitted to construct a single garage when
constructing a single storey dwelling.</t>
  </si>
  <si>
    <t>Lavender Estate</t>
  </si>
  <si>
    <t>711712Y</t>
  </si>
  <si>
    <t>Banriar Arumugam</t>
  </si>
  <si>
    <t>info@banriar.com.au</t>
  </si>
  <si>
    <t>711712Y/S2</t>
  </si>
  <si>
    <t>711712Y/S3</t>
  </si>
  <si>
    <t>711712Y/S4</t>
  </si>
  <si>
    <t>711712Y/S5</t>
  </si>
  <si>
    <t>737477L</t>
  </si>
  <si>
    <t>711712Y/S7</t>
  </si>
  <si>
    <t>Lavinia Estate</t>
  </si>
  <si>
    <t>728816R</t>
  </si>
  <si>
    <t>Villa World</t>
  </si>
  <si>
    <t>Natalie Tekin</t>
  </si>
  <si>
    <t>1800 823 337</t>
  </si>
  <si>
    <t>lavinia@villaworld.com.au</t>
  </si>
  <si>
    <t>Layaland Estate</t>
  </si>
  <si>
    <t>Leafy</t>
  </si>
  <si>
    <t>821043D</t>
  </si>
  <si>
    <t>jason.bertram@harcourts.com.au</t>
  </si>
  <si>
    <t>Leafwood</t>
  </si>
  <si>
    <t>836914N</t>
  </si>
  <si>
    <t>Leopold Estate</t>
  </si>
  <si>
    <t>817854M</t>
  </si>
  <si>
    <t>Liberty Park</t>
  </si>
  <si>
    <t>826060B</t>
  </si>
  <si>
    <t>Lots over 450m2, dwellings must be setback 1m from each side boundary</t>
  </si>
  <si>
    <t>Life Estate</t>
  </si>
  <si>
    <t>709538B</t>
  </si>
  <si>
    <t>David Maloney</t>
  </si>
  <si>
    <t xml:space="preserve">0411 109 241  </t>
  </si>
  <si>
    <t>David.maloney@frasers.com.au</t>
  </si>
  <si>
    <t>741836K</t>
  </si>
  <si>
    <t>741837H</t>
  </si>
  <si>
    <t>741838F</t>
  </si>
  <si>
    <t>749770V</t>
  </si>
  <si>
    <t>749771T</t>
  </si>
  <si>
    <t>807871T</t>
  </si>
  <si>
    <t>807898W</t>
  </si>
  <si>
    <t>807909U</t>
  </si>
  <si>
    <t>816008K</t>
  </si>
  <si>
    <t>807910L</t>
  </si>
  <si>
    <t>807892K</t>
  </si>
  <si>
    <t>807886E</t>
  </si>
  <si>
    <t>816005R</t>
  </si>
  <si>
    <t>Lilium Estate</t>
  </si>
  <si>
    <t>816274M</t>
  </si>
  <si>
    <t>Lucy Folton</t>
  </si>
  <si>
    <t>0481 992 302</t>
  </si>
  <si>
    <t>lilium@villaworld.com.au</t>
  </si>
  <si>
    <t>Minimum Dwelling size:
Less than 300m2=100m2
300m2-399m2=120m2
400m2-499m2=140m2
500m2 and above=160m2</t>
  </si>
  <si>
    <t>816275K</t>
  </si>
  <si>
    <t>816290P</t>
  </si>
  <si>
    <t>816300P</t>
  </si>
  <si>
    <t>820064A</t>
  </si>
  <si>
    <t>Minimum Dwelling size:
Less than 300m2=100m2
300m2-399m2=120m2
400m2-499m2=140m2
500m2 and above=160m3</t>
  </si>
  <si>
    <t>820073Y</t>
  </si>
  <si>
    <t>Minimum Dwelling size:
Less than 300m2=100m2
300m2-399m2=120m2
400m2-499m2=140m2
500m2 and above=160m4</t>
  </si>
  <si>
    <t>820082X</t>
  </si>
  <si>
    <t>Minimum Dwelling size:
Less than 300m2=100m2
300m2-399m2=120m2
400m2-499m2=140m2
500m2 and above=160m5</t>
  </si>
  <si>
    <t>820083V</t>
  </si>
  <si>
    <t>823203W</t>
  </si>
  <si>
    <t>823208L</t>
  </si>
  <si>
    <t>Lillifield</t>
  </si>
  <si>
    <t>900057C</t>
  </si>
  <si>
    <t>Eden Facey-Smith</t>
  </si>
  <si>
    <t>0499 383 713</t>
  </si>
  <si>
    <t>eden@parklea.com</t>
  </si>
  <si>
    <t>Doubles = Entire home $3300</t>
  </si>
  <si>
    <t xml:space="preserve">For lots with areas larger than or equal to 300 m2 and
smaller than 400m2, the floor area must be at least
135m2
• For lots with areas larger than or equal to 400m2 and
smaller than 500m2, the floor area must be at least
149m2 
• For lots equal to or larger than 500m2, the floor area
must be at least 175m2 </t>
  </si>
  <si>
    <t>For a single storey house, the garage opening must not
exceed 40% of the lot’s width at that setback</t>
  </si>
  <si>
    <t>All verandahs, porches, and porticos on the front
façade must have a minimum depth of 1.0m and a
minimum area of 3m2</t>
  </si>
  <si>
    <t>Lilydale Estate</t>
  </si>
  <si>
    <t>Mooroolbark 3138</t>
  </si>
  <si>
    <t>632806D</t>
  </si>
  <si>
    <t xml:space="preserve">Ted Window </t>
  </si>
  <si>
    <t>Little Creek Estate</t>
  </si>
  <si>
    <t>820751E</t>
  </si>
  <si>
    <t>Taleena Anderson</t>
  </si>
  <si>
    <t>03 9669 5999</t>
  </si>
  <si>
    <t>t.anderson@oliverhume.com.au</t>
  </si>
  <si>
    <t>Provide a garage door(s) which does not exceed
40% of the allotment width, where the house
proposal is single storey. Does not apply to double storey or houses on lot 300m2</t>
  </si>
  <si>
    <t>Little Green Estate</t>
  </si>
  <si>
    <t>732577J</t>
  </si>
  <si>
    <t>0459 955 509</t>
  </si>
  <si>
    <t>739550S</t>
  </si>
  <si>
    <t>739582D</t>
  </si>
  <si>
    <t>727162U</t>
  </si>
  <si>
    <t>747880Y</t>
  </si>
  <si>
    <t>Little Springs</t>
  </si>
  <si>
    <t>835198T</t>
  </si>
  <si>
    <t>Melanie Rowe</t>
  </si>
  <si>
    <t>0482 818 181</t>
  </si>
  <si>
    <t>melanie@red23.com</t>
  </si>
  <si>
    <t>Entrie to doubles = $3300</t>
  </si>
  <si>
    <t>Lots less than 12.5m wide
3.6.7 Single storey dwellings require a single garage
with a maximum door opening of 2.6m.
Lots at least 12.5m wide and 14m wide or less
3.6.8 The maximum width allowable for the garage
door opening is 5.5m.
Lots more than 14m wide
3.6.9 For single storey dwellings, the garage door
opening must not exceed 40% of the width of
the lot</t>
  </si>
  <si>
    <t>1a</t>
  </si>
  <si>
    <t>849123Y</t>
  </si>
  <si>
    <t>835203E</t>
  </si>
  <si>
    <t>835204C</t>
  </si>
  <si>
    <t>Lochaven Estate</t>
  </si>
  <si>
    <t>745335M</t>
  </si>
  <si>
    <t>0425 814 646</t>
  </si>
  <si>
    <t>lochaven@rpmrealestate.com.au</t>
  </si>
  <si>
    <t>804183H</t>
  </si>
  <si>
    <t>816048W</t>
  </si>
  <si>
    <t>Lord Place Estate</t>
  </si>
  <si>
    <t>746128M</t>
  </si>
  <si>
    <t>KW Property</t>
  </si>
  <si>
    <t>Chris Davis</t>
  </si>
  <si>
    <t>0418 594 460</t>
  </si>
  <si>
    <t>chrisd@kwproperty.com.au</t>
  </si>
  <si>
    <t>Lots 16 to 19 must be designed with front entrace door to either Bridie Road or Lord Place
Lots 1, 16, 17 must address both road and common property road (corner treatment)
Lot 18 must address both roads (corner treatment)
Lot 19 and 20 must address both road and common property road (corner treatment)
Lot 16 to 20 - there is no vehicular access permitted from Bridie Road or Lord Place therefore garages must be located so they can be accessed from the common property road (rear loaded)</t>
  </si>
  <si>
    <t>Provide approx. 1800mm high slatted pine feature fencing with vertical slats. - $321/lm
$45/lm for painting fence to match House</t>
  </si>
  <si>
    <t>Lucas Dawn Estate</t>
  </si>
  <si>
    <t>D1</t>
  </si>
  <si>
    <t>742227G</t>
  </si>
  <si>
    <t>Costa</t>
  </si>
  <si>
    <t>0405 662 225</t>
  </si>
  <si>
    <t>ben@prdballarat.com.au</t>
  </si>
  <si>
    <t>Entrie house = $3300</t>
  </si>
  <si>
    <t>Add $1700 to the site costs for flexi joints in slab.</t>
  </si>
  <si>
    <t>Lucas Grange Estate</t>
  </si>
  <si>
    <t>837930K</t>
  </si>
  <si>
    <t>Lots with frontage over 14m must build min. 1m from each side boundary
Lots with frontage of 16m or less may build on one side boundary and a min. of 1m from the other</t>
  </si>
  <si>
    <t>with a minimum dwelling size
(excluding integrated garage) of 120.78 square metres (13 squares)</t>
  </si>
  <si>
    <t>1F</t>
  </si>
  <si>
    <t>837957N</t>
  </si>
  <si>
    <t>1G</t>
  </si>
  <si>
    <t>825899S</t>
  </si>
  <si>
    <t>1J</t>
  </si>
  <si>
    <t>837931H</t>
  </si>
  <si>
    <t>846149V</t>
  </si>
  <si>
    <t>846147A</t>
  </si>
  <si>
    <t>2G</t>
  </si>
  <si>
    <t>846153F</t>
  </si>
  <si>
    <t>903102J</t>
  </si>
  <si>
    <t>4F</t>
  </si>
  <si>
    <t>903097X</t>
  </si>
  <si>
    <t>Lucas Landing Estate</t>
  </si>
  <si>
    <t>B5</t>
  </si>
  <si>
    <t>727799T</t>
  </si>
  <si>
    <t>E3</t>
  </si>
  <si>
    <t>825907W</t>
  </si>
  <si>
    <t>Lucas Metro Estate</t>
  </si>
  <si>
    <t>Z2</t>
  </si>
  <si>
    <t>730622S</t>
  </si>
  <si>
    <t>Lucas Platinum</t>
  </si>
  <si>
    <t>F5</t>
  </si>
  <si>
    <t>825910J</t>
  </si>
  <si>
    <t>F3B</t>
  </si>
  <si>
    <t>M2</t>
  </si>
  <si>
    <t>841530D</t>
  </si>
  <si>
    <t xml:space="preserve"> other than one only single storey or two storey private dwelling (which wherever appearing in this covenant shall be
taken to mean a dwelling including an integrated garage) with the usual outbuildings with a minimum dwelling size
(excluding integrated garage) of 120.78 square metres (13 squares) or otherwise approved by Lucas Ballarat Holdings
Pty. Ltd ;</t>
  </si>
  <si>
    <t>M1</t>
  </si>
  <si>
    <t>841529M</t>
  </si>
  <si>
    <t>Lots with a frontage less than or equal to 16 metres must have 1 metre setback from one side boundary;
(ii) on Lots with a frontage greater than 16 metres must have at least 1 metre setback from both side boundaries;
(iii) on corner Lots more than 2 metres from the side boundary having a street frontage and 1 metre setback from the remaining
side boundary</t>
  </si>
  <si>
    <t>Lucas Rise Estate</t>
  </si>
  <si>
    <t>C1</t>
  </si>
  <si>
    <t>730626J</t>
  </si>
  <si>
    <t>C2</t>
  </si>
  <si>
    <t>733835H</t>
  </si>
  <si>
    <t>C3</t>
  </si>
  <si>
    <t>738063K</t>
  </si>
  <si>
    <t>E1</t>
  </si>
  <si>
    <t>824364Q</t>
  </si>
  <si>
    <t>E2</t>
  </si>
  <si>
    <t>825898U</t>
  </si>
  <si>
    <t>F1</t>
  </si>
  <si>
    <t>825897W</t>
  </si>
  <si>
    <t>F2</t>
  </si>
  <si>
    <t>825908U</t>
  </si>
  <si>
    <t>F3</t>
  </si>
  <si>
    <t>825909S</t>
  </si>
  <si>
    <t>G1</t>
  </si>
  <si>
    <t>825895B</t>
  </si>
  <si>
    <t>G2</t>
  </si>
  <si>
    <t>G3</t>
  </si>
  <si>
    <t>825912E</t>
  </si>
  <si>
    <t>G4</t>
  </si>
  <si>
    <t>830201L</t>
  </si>
  <si>
    <t>H4</t>
  </si>
  <si>
    <t>844951L</t>
  </si>
  <si>
    <t>X12</t>
  </si>
  <si>
    <t>819326D</t>
  </si>
  <si>
    <t>Lucas Sanctuary</t>
  </si>
  <si>
    <t>H1</t>
  </si>
  <si>
    <t>830199T</t>
  </si>
  <si>
    <t>minimum dwelling size
(excluding integrated garage) of 120.78 square metres</t>
  </si>
  <si>
    <t>H2</t>
  </si>
  <si>
    <t>836353D</t>
  </si>
  <si>
    <t>H3</t>
  </si>
  <si>
    <t>843734A</t>
  </si>
  <si>
    <t>other than one only single storey or two storey private dwelling (which wherever appearing in this covenant shall be
taken to mean a dwelling including an integrated garage) with the usual outbuildings with a minimum dwelling size
(excluding integrated garage) of 120.78 square metres (13 squares) or otherwise approved by Lucas Ballarat Holdings
Pty. Ltd ;</t>
  </si>
  <si>
    <t>J1</t>
  </si>
  <si>
    <t>843736V</t>
  </si>
  <si>
    <t>K1</t>
  </si>
  <si>
    <t>846874R</t>
  </si>
  <si>
    <t>K2</t>
  </si>
  <si>
    <t>846888E</t>
  </si>
  <si>
    <t>Lots with a frontage of 16m or less
may build on one side boundary and
a min. of 1m from the other. (B)
Lots with a frontage over 16m must
build a min. of 1m from each side
boundary. (E)</t>
  </si>
  <si>
    <t>K3</t>
  </si>
  <si>
    <t>848307T</t>
  </si>
  <si>
    <t>L1</t>
  </si>
  <si>
    <t>846875P</t>
  </si>
  <si>
    <t>L2</t>
  </si>
  <si>
    <t>848309P</t>
  </si>
  <si>
    <t>Lyall Park Estate</t>
  </si>
  <si>
    <t>806774W</t>
  </si>
  <si>
    <t xml:space="preserve">Eight Property </t>
  </si>
  <si>
    <t>Kein Mizzi</t>
  </si>
  <si>
    <t>Lynbrook Estate</t>
  </si>
  <si>
    <t>617320S/S21</t>
  </si>
  <si>
    <t>Rhonda Moore</t>
  </si>
  <si>
    <t>mandalay@rpmrealestate.com.au</t>
  </si>
  <si>
    <t>Golf Course entire house $3300</t>
  </si>
  <si>
    <t>Lyndarum North</t>
  </si>
  <si>
    <t>809256E</t>
  </si>
  <si>
    <t>Susanne</t>
  </si>
  <si>
    <t>0411 959 081</t>
  </si>
  <si>
    <t>90sqm excluding garage, porches, porticos,
verandahs and alfrescos for lots within an area
of 250sqm or greater;
100sqm excluding garage, porches, porticos,
verandahs and alfrescos for lots within an area
of 300sqm or greater;
120sqm excluding garage, porches, porticos,
verandahs and alfrescos for lots within an area
of 400sqm or greater; and
150sqm excluding garages, porches, porticos,
verandahs and alfrescos for lots within an area
of 500sqm or greater.</t>
  </si>
  <si>
    <t>Double width garages (minimum) are
required to all allotments with a 12.5m or
greater frontage.</t>
  </si>
  <si>
    <t>Provide 1.8m high good
neighbour panel fencing in Superdek® profile
and be ‘slate grey’ in colour. Colorbond</t>
  </si>
  <si>
    <t>Add plenty for rock</t>
  </si>
  <si>
    <t>Allotments less than 15m wide must provide
an entry door with at least 20% glazing.
Allotments greater than 15m must have a
sidelight or double doors with at least 20%
glazing; and</t>
  </si>
  <si>
    <t>821107D</t>
  </si>
  <si>
    <t>821108B</t>
  </si>
  <si>
    <t>821110Q</t>
  </si>
  <si>
    <t>821106F</t>
  </si>
  <si>
    <t>Lyra</t>
  </si>
  <si>
    <t>902496N</t>
  </si>
  <si>
    <t>Small lot housing code apply for all lots under 300sqm</t>
  </si>
  <si>
    <t>The front entry must incorporate either
a porch, portico or verandah that has:
• A minimum under roof area of 4m²
• A minimum depth of 1.5m</t>
  </si>
  <si>
    <t>M Estate</t>
  </si>
  <si>
    <t>831533D/S2</t>
  </si>
  <si>
    <t>Millar Merrigan</t>
  </si>
  <si>
    <t>+61 3 8720 9500</t>
  </si>
  <si>
    <t>planning@millarmerrigan.com.au</t>
  </si>
  <si>
    <t>Mail Run Estate</t>
  </si>
  <si>
    <t>808863M</t>
  </si>
  <si>
    <t>All dwellings must be setback at least 5m from the street frontage or within an approved building envelope as shown on the approved Concept Development Plan</t>
  </si>
  <si>
    <t>Check for Building Envelopes for:
- Lot 7, 8, 9, 10 on page 14 of Vendor Statement Stage 4
- Lot 25, 26 on page 60 of Vendor Statement Stage 4
- Lot 37, 38, 74, 75, 76 on page 39 of Vendor Statement Stage 4
- Lot 47, 50 on page 55 of Vendor Statement Stage 4
- Lot 63, 64, 82, 83, 84, 85, 86, 114 and 115 inclusive must be located within the building envelopes shown on the endorsed plans for planning permit P306921/11</t>
  </si>
  <si>
    <t>832302T</t>
  </si>
  <si>
    <t>Majesty</t>
  </si>
  <si>
    <t>817644Y</t>
  </si>
  <si>
    <t>Koham Property Group</t>
  </si>
  <si>
    <t>ted@kohamproperty.com</t>
  </si>
  <si>
    <t>Entire for doubles</t>
  </si>
  <si>
    <t>Lot Width Minimum Width
Ground Floor
Minimum Width
First Floor
(where applicable)
Less than or equal to 12.5m ground floor 85% first floor 60%
More than 12.5m and less or
equal to 16m
ground floor 80% first floor 55%
More than 16m ground floor 75% first floor 50%</t>
  </si>
  <si>
    <t>Lots with a frontage of 12.5m or more must provide a double garage.</t>
  </si>
  <si>
    <t>Garage door openings on single storey homes must not exceed 40%
of the width of the lot frontage.</t>
  </si>
  <si>
    <t>838801R</t>
  </si>
  <si>
    <t>436 222 278</t>
  </si>
  <si>
    <t>838801R/S2</t>
  </si>
  <si>
    <t>Single Storey Homes
• Where a frontage is less than 12.5m, double garages are not permitted. A single garage is required with a
maximum garage door width of 2.6m.
• Where a frontage is 12.5m or greater, the garage door opening must not exceed 40% of the lot width.
Double Storey Homes
• Where a frontage is greater than 8.5m and less than 10.5m, a single garage is required with a maximum garage
door width of 2.6m. Double garages are not permitted.
• Where a frontage is 10.5m to 12.5m, a double garage is permitted with a maximum door width of 4.8m. In this
scenario, a minimum of 70% of the upper floor area directly above the garage should be a habitable room with
windows providing views to the street.
• Where a frontage is greater than 12.5m, garages that exceed 40% of the width of the lot frontage are strongly
discouraged. They will only be considered where the Review Panel considers that the overall facade design will
make a positive contribution to the streetscape.</t>
  </si>
  <si>
    <t>838801R/S3</t>
  </si>
  <si>
    <t>Mambourin Estate</t>
  </si>
  <si>
    <t>819190C</t>
  </si>
  <si>
    <t>Fraser Property</t>
  </si>
  <si>
    <t>kim.mair@frasersproperty.com.au</t>
  </si>
  <si>
    <t>Double garage required on lots over 10.5m wide.</t>
  </si>
  <si>
    <t>819190C/S3</t>
  </si>
  <si>
    <t>819190C/S4</t>
  </si>
  <si>
    <t>819190C/s5</t>
  </si>
  <si>
    <t>819190C/S6</t>
  </si>
  <si>
    <t>819190C/S7</t>
  </si>
  <si>
    <t>819190C/S8</t>
  </si>
  <si>
    <t>819190C/S9</t>
  </si>
  <si>
    <t>819190C/S10</t>
  </si>
  <si>
    <t>819190C/S11</t>
  </si>
  <si>
    <t>819190C/S12</t>
  </si>
  <si>
    <t>819190C/S15</t>
  </si>
  <si>
    <t>819190C/S16</t>
  </si>
  <si>
    <t>819190C/S17</t>
  </si>
  <si>
    <t>819190C/S18</t>
  </si>
  <si>
    <t>819190C/S19</t>
  </si>
  <si>
    <t>819190C/S23</t>
  </si>
  <si>
    <t>Mandalay Estate</t>
  </si>
  <si>
    <t>Taps, including recycled water taps are not to be free standing and are to be wall or fence mounted: Included</t>
  </si>
  <si>
    <t>617320S/S28</t>
  </si>
  <si>
    <t>617320S/S29</t>
  </si>
  <si>
    <t>617320S/S30</t>
  </si>
  <si>
    <t>617320S/S31</t>
  </si>
  <si>
    <t>617320S/S32</t>
  </si>
  <si>
    <t>617320S/S33</t>
  </si>
  <si>
    <t>617320S/S34</t>
  </si>
  <si>
    <t>617320S/S35</t>
  </si>
  <si>
    <t>617320S/S36</t>
  </si>
  <si>
    <t>617320S/S37</t>
  </si>
  <si>
    <t>617320S/S38</t>
  </si>
  <si>
    <t>38B</t>
  </si>
  <si>
    <t>617320S/S39</t>
  </si>
  <si>
    <t>617320S/S40</t>
  </si>
  <si>
    <t>617320S/S41</t>
  </si>
  <si>
    <t>617320S/S42</t>
  </si>
  <si>
    <t>617320S/S43</t>
  </si>
  <si>
    <t>617320S/S44</t>
  </si>
  <si>
    <t>617320S/S45</t>
  </si>
  <si>
    <t>617320S/S46</t>
  </si>
  <si>
    <t>47A</t>
  </si>
  <si>
    <t>617320S/S47</t>
  </si>
  <si>
    <t>617320S/S49</t>
  </si>
  <si>
    <t>617320S/S50</t>
  </si>
  <si>
    <t>617320S/S51</t>
  </si>
  <si>
    <t>617320S/S54</t>
  </si>
  <si>
    <t>617320S/S55</t>
  </si>
  <si>
    <t>617320S/S56</t>
  </si>
  <si>
    <t>617320S/S63</t>
  </si>
  <si>
    <t>617320S/S64</t>
  </si>
  <si>
    <t>617320S/S65</t>
  </si>
  <si>
    <t>617320S/S66</t>
  </si>
  <si>
    <t>617320S/S67</t>
  </si>
  <si>
    <t>18A</t>
  </si>
  <si>
    <t>617320S/S18</t>
  </si>
  <si>
    <t>23A</t>
  </si>
  <si>
    <t>617320S/S23</t>
  </si>
  <si>
    <t>Manhatten Place</t>
  </si>
  <si>
    <t>738571P</t>
  </si>
  <si>
    <t>Manor Lakes - Lollipop Hill Estate</t>
  </si>
  <si>
    <t>803926R</t>
  </si>
  <si>
    <t>Optimo</t>
  </si>
  <si>
    <t>Lena Nojveska</t>
  </si>
  <si>
    <t>0400 638 781</t>
  </si>
  <si>
    <t>LVojneska@denniscorp.com.au</t>
  </si>
  <si>
    <t>up to 450 squares need 90 square metres
451 to 600 need 130
601 to 700 need 150
701 or above need 170</t>
  </si>
  <si>
    <t>LL cannot be less than 150m and must have balcony</t>
  </si>
  <si>
    <t>Required On Corners</t>
  </si>
  <si>
    <t>$6 m2 LL</t>
  </si>
  <si>
    <t>744854R</t>
  </si>
  <si>
    <t>739576X</t>
  </si>
  <si>
    <t>739572G</t>
  </si>
  <si>
    <t>801235G</t>
  </si>
  <si>
    <t>803937L</t>
  </si>
  <si>
    <t>810152K</t>
  </si>
  <si>
    <t>816934U</t>
  </si>
  <si>
    <t>816949F</t>
  </si>
  <si>
    <t>816950W</t>
  </si>
  <si>
    <t>819167W</t>
  </si>
  <si>
    <t>819171G</t>
  </si>
  <si>
    <t>819179P</t>
  </si>
  <si>
    <t>819187Q</t>
  </si>
  <si>
    <t>822268W</t>
  </si>
  <si>
    <t>822269U</t>
  </si>
  <si>
    <t>822273E</t>
  </si>
  <si>
    <t>822246H</t>
  </si>
  <si>
    <t>846571L</t>
  </si>
  <si>
    <t>846575C</t>
  </si>
  <si>
    <t>Manor Lakes - The Village</t>
  </si>
  <si>
    <t>901674V</t>
  </si>
  <si>
    <t xml:space="preserve">Entire if Double = $3300
</t>
  </si>
  <si>
    <t>Garage doors should be no wider than 50% of the effective
width of the lot, up to a maximum of 6.48m. SLHC lots are
exempt from this requirement.</t>
  </si>
  <si>
    <t>828159U</t>
  </si>
  <si>
    <t>828178Q</t>
  </si>
  <si>
    <t>842442U</t>
  </si>
  <si>
    <t>Manor Lakes Estate - Lakeside</t>
  </si>
  <si>
    <t>801216L</t>
  </si>
  <si>
    <t>803924V</t>
  </si>
  <si>
    <t>814021E</t>
  </si>
  <si>
    <t>819175X</t>
  </si>
  <si>
    <t>806960A</t>
  </si>
  <si>
    <t>825326T</t>
  </si>
  <si>
    <t>901647Y</t>
  </si>
  <si>
    <t>901651J</t>
  </si>
  <si>
    <t>816948H</t>
  </si>
  <si>
    <t>906049T</t>
  </si>
  <si>
    <t>47B</t>
  </si>
  <si>
    <t>806987D</t>
  </si>
  <si>
    <t>Manzeene Village Estate</t>
  </si>
  <si>
    <t>736111M</t>
  </si>
  <si>
    <t>Brooke</t>
  </si>
  <si>
    <t>0419 914 637</t>
  </si>
  <si>
    <t>manzeene@rpmrealestate.com.au</t>
  </si>
  <si>
    <t>736112K</t>
  </si>
  <si>
    <t>742152M</t>
  </si>
  <si>
    <t>742159W</t>
  </si>
  <si>
    <t>742153K</t>
  </si>
  <si>
    <t>742162J</t>
  </si>
  <si>
    <t>748981M</t>
  </si>
  <si>
    <t>805387K</t>
  </si>
  <si>
    <t>805391U</t>
  </si>
  <si>
    <t>822265D</t>
  </si>
  <si>
    <t>822278T</t>
  </si>
  <si>
    <t>Maple Grove</t>
  </si>
  <si>
    <t>848725Y</t>
  </si>
  <si>
    <t>Balconies, verandas and porticos must have a minimum
area of 4.0sqm with a minimum depth of 1.5m</t>
  </si>
  <si>
    <t>A single storey dwelling on a lot with a width of less than 12.5 metres must not provide a garage with
more than one car space.
Single storey dwellings on lots with frontages 12.5 metres to 13.5 metres wide must have a garage
opening which does not occupy greater than 50 per cent of the dwelling frontage.
Single storey dwellings on lots with frontages greater than 13.5 metres wide must have a garage
opening which does not occupy greater than 40 percent of the dwelling frontage.</t>
  </si>
  <si>
    <t>Maple Lane Rise</t>
  </si>
  <si>
    <t>841975M</t>
  </si>
  <si>
    <t>Mcgrath</t>
  </si>
  <si>
    <t>Sean Toohey</t>
  </si>
  <si>
    <t>0400 506 881</t>
  </si>
  <si>
    <t>Wallaby</t>
  </si>
  <si>
    <t>All lots must have a minimum 5.0m frontage setback.
 At least one side must have a side setback of 1.0m, preferable to the dwelling.
Garages must be setback a minimum 840mm behind the main building line of the dwelling.
All other siting requirements including encroachments are to be in accordance with the most current building regulations.</t>
  </si>
  <si>
    <t>For lots between 300m² - 450m², the minimum dwelling size 120m² - excluding garage, porch, verandah, pergola, balcony or alfresco areas</t>
  </si>
  <si>
    <t>Treatment to the secondary frontage must return along the boundary to meet the fence line, a minimum 3.0m behind the main building line</t>
  </si>
  <si>
    <t>Maplestone</t>
  </si>
  <si>
    <t>840594F</t>
  </si>
  <si>
    <t>m.huynh@oliverhume.com.au</t>
  </si>
  <si>
    <t>The garage door opening/s must not exceed 40%
of the width of the street frontage.</t>
  </si>
  <si>
    <t>Lots less than or equal to 300m² must
have a minimum floor area of 100m²
• Lots of 301 - 400m²
must have a minimum floor area of 120m²
• Lots of 401 - 550m²
must have a minimum floor area of 150m²
• Lots of 551 - 800m²
must have a minimum floor area of 180m²</t>
  </si>
  <si>
    <t>845669X</t>
  </si>
  <si>
    <t>900033S</t>
  </si>
  <si>
    <t>905639B</t>
  </si>
  <si>
    <t>Maplewood</t>
  </si>
  <si>
    <t xml:space="preserve">Melton South </t>
  </si>
  <si>
    <t>648257W</t>
  </si>
  <si>
    <t>Jacqueline Borg</t>
  </si>
  <si>
    <t xml:space="preserve">For allotments less 500m2 –minimum dwelling size must be 110m2 (excluding garage and outbuildings); For allotments over 500m2 – minimum dwelling size must be 130m2 (excluding garage and outbuildings); </t>
  </si>
  <si>
    <t>649473K</t>
  </si>
  <si>
    <t>649486A</t>
  </si>
  <si>
    <t>649489T</t>
  </si>
  <si>
    <t>700330B</t>
  </si>
  <si>
    <t>700331Y</t>
  </si>
  <si>
    <t>Marigold Estate</t>
  </si>
  <si>
    <t>820469W</t>
  </si>
  <si>
    <t>Dennis Rabba</t>
  </si>
  <si>
    <t>0425 292 555</t>
  </si>
  <si>
    <t>dennis.rabba@growland.com.au</t>
  </si>
  <si>
    <t>• Minimum 3.0m from rear boundary</t>
  </si>
  <si>
    <t>• For single storey dwellings, the width of the garage door must not exceed 50% of the lot frontage. Frontages 12.5m and over must have a double garag</t>
  </si>
  <si>
    <t>Check the DGs, page 7, for Dwelling Sizes</t>
  </si>
  <si>
    <t>820470N</t>
  </si>
  <si>
    <t>828068X</t>
  </si>
  <si>
    <t>830849E</t>
  </si>
  <si>
    <t>841631W</t>
  </si>
  <si>
    <t>830845N</t>
  </si>
  <si>
    <t>900882T</t>
  </si>
  <si>
    <t>905216G</t>
  </si>
  <si>
    <t>830835R</t>
  </si>
  <si>
    <t>847495U</t>
  </si>
  <si>
    <t>900883R</t>
  </si>
  <si>
    <t>Marran Run</t>
  </si>
  <si>
    <t>Your Land</t>
  </si>
  <si>
    <t>0499 679 099</t>
  </si>
  <si>
    <t>All dwellings are required to have at
least one front entry porch, portico,
balcony or verandah of at least 3m2 in
area with a minimum depth of 1.5m</t>
  </si>
  <si>
    <t>Dual fronted lots (328-336) have additional requirements. See Estate DG's</t>
  </si>
  <si>
    <t xml:space="preserve">Garage openings for single storey dwellings
should not exceed 50% of the dwelling
width. </t>
  </si>
  <si>
    <t>Side setbacks must be a minimum of 1m
from at least one side boundary</t>
  </si>
  <si>
    <t>Allowance for Acoustic rated walls. $15000 single, $20000 double</t>
  </si>
  <si>
    <t>Martin Place Estate</t>
  </si>
  <si>
    <t>Invest Link</t>
  </si>
  <si>
    <t>Mason Quarter Estate</t>
  </si>
  <si>
    <t>844102K</t>
  </si>
  <si>
    <t>lot with side boundaries to public open space reserves must be double storey. If dwelling fronts the public space, balcony must be provided with at least 5m2</t>
  </si>
  <si>
    <t>Single garage required on lots 10m or less</t>
  </si>
  <si>
    <t>Minimum dwellings size 90m2 excluding garage, porch ODL etc for lots up to 300m2 and 100m2 for lots 300m2 or greater, 120m2 for lots 400m2 or greater, 150m2 for lots 500m2 or greater</t>
  </si>
  <si>
    <t>Lots less than 12.5 can be boundary to boundary, lots wider than 12.5m must have at least 1m side setback</t>
  </si>
  <si>
    <t>garage must not exceed 50%</t>
  </si>
  <si>
    <t>902485T</t>
  </si>
  <si>
    <t>902451M</t>
  </si>
  <si>
    <t>902476U</t>
  </si>
  <si>
    <t>Mayfield</t>
  </si>
  <si>
    <t>827549L</t>
  </si>
  <si>
    <t>Mayfair Park</t>
  </si>
  <si>
    <t>815619J</t>
  </si>
  <si>
    <t>Freddy Wang</t>
  </si>
  <si>
    <t>0416 288 668</t>
  </si>
  <si>
    <t>freddy@freddyrealty.com.au</t>
  </si>
  <si>
    <t>Mayfield Estate</t>
  </si>
  <si>
    <t>742744K</t>
  </si>
  <si>
    <t>Lend Lease</t>
  </si>
  <si>
    <t>Linda Papparlado</t>
  </si>
  <si>
    <t>0418 316 956</t>
  </si>
  <si>
    <t>l.pappalardo@oliverhime.com.au</t>
  </si>
  <si>
    <t>ALLOW AN EXTRA $6500 FOR PIERS. 2000MM FILL ON SITE.</t>
  </si>
  <si>
    <t>742739C</t>
  </si>
  <si>
    <t>738853D</t>
  </si>
  <si>
    <t>734584B</t>
  </si>
  <si>
    <t>734585Y</t>
  </si>
  <si>
    <t>Melrose Terrace</t>
  </si>
  <si>
    <t>Somerville 3912</t>
  </si>
  <si>
    <t>827012H</t>
  </si>
  <si>
    <t>Philip Stone</t>
  </si>
  <si>
    <t>03 5977 7766</t>
  </si>
  <si>
    <t>phil@lcooper.com.au</t>
  </si>
  <si>
    <t>Meridian Estate</t>
  </si>
  <si>
    <t>746849X</t>
  </si>
  <si>
    <t>1800 463 743</t>
  </si>
  <si>
    <t>746834M</t>
  </si>
  <si>
    <t>804320A</t>
  </si>
  <si>
    <t>811231J</t>
  </si>
  <si>
    <t>9C</t>
  </si>
  <si>
    <t>839063W</t>
  </si>
  <si>
    <t>804347D</t>
  </si>
  <si>
    <t>811176P</t>
  </si>
  <si>
    <t>811189E</t>
  </si>
  <si>
    <t>811230L</t>
  </si>
  <si>
    <t>811245W</t>
  </si>
  <si>
    <t>811247S</t>
  </si>
  <si>
    <t>825875H</t>
  </si>
  <si>
    <t>837134L</t>
  </si>
  <si>
    <t>837132Q</t>
  </si>
  <si>
    <t>837153G</t>
  </si>
  <si>
    <t>839561E</t>
  </si>
  <si>
    <t>842533R</t>
  </si>
  <si>
    <t>842536K</t>
  </si>
  <si>
    <t>848726W</t>
  </si>
  <si>
    <t>848738P</t>
  </si>
  <si>
    <t>902135X</t>
  </si>
  <si>
    <t>908382W</t>
  </si>
  <si>
    <t>Lot 4222 must be double storey</t>
  </si>
  <si>
    <t>831881D</t>
  </si>
  <si>
    <t>Merindah Estate</t>
  </si>
  <si>
    <t>843592T</t>
  </si>
  <si>
    <t>Curtis Hoare</t>
  </si>
  <si>
    <t>0400 582 945</t>
  </si>
  <si>
    <t>curtis@armstrongrealestate.com.au</t>
  </si>
  <si>
    <t>Cannot build on Lots 121-126 inclusive and 217-222 inclusive as these are medium density lots</t>
  </si>
  <si>
    <t>Lots freater than 12.5m must accommodate a double garage</t>
  </si>
  <si>
    <t>Equal to or less than 12.5m must be capable of accommodating a minimum of one vehice</t>
  </si>
  <si>
    <t>843599D</t>
  </si>
  <si>
    <t>843607H</t>
  </si>
  <si>
    <t>Mernda On The Park Estate</t>
  </si>
  <si>
    <t>801713V</t>
  </si>
  <si>
    <t>Nic Evans</t>
  </si>
  <si>
    <t>0406 111 114</t>
  </si>
  <si>
    <t>nic@merndaonthepark.com.au</t>
  </si>
  <si>
    <t>744903F</t>
  </si>
  <si>
    <t>808527E</t>
  </si>
  <si>
    <t>808528C</t>
  </si>
  <si>
    <t>808529A</t>
  </si>
  <si>
    <t>Mernda Villages Estate</t>
  </si>
  <si>
    <t>646689B</t>
  </si>
  <si>
    <t>Raj Shergill</t>
  </si>
  <si>
    <t>0430 537 880</t>
  </si>
  <si>
    <t>raj.shergill@stockland.com.au</t>
  </si>
  <si>
    <t>732011N</t>
  </si>
  <si>
    <t>734523X</t>
  </si>
  <si>
    <t>734534S</t>
  </si>
  <si>
    <t>742745H</t>
  </si>
  <si>
    <t>728885V</t>
  </si>
  <si>
    <t>742738E</t>
  </si>
  <si>
    <t>742736J</t>
  </si>
  <si>
    <t>742754G</t>
  </si>
  <si>
    <t>742742P</t>
  </si>
  <si>
    <t>Merrifield Estate</t>
  </si>
  <si>
    <t>1 - Atkin</t>
  </si>
  <si>
    <t>902307U</t>
  </si>
  <si>
    <t>MAB</t>
  </si>
  <si>
    <t>Kris Spencer</t>
  </si>
  <si>
    <t>0403 400 414</t>
  </si>
  <si>
    <t>k.spencer@oliverhume.com.au</t>
  </si>
  <si>
    <t>Medium density and terraces lots, minimum dwelling
size covenant of 110m2 for the ground floor (excluding
garage). Minimum site permeability is 10%.
7. Lots up to 450m2, minimum coverage of 130m2 for
the ground floor (excluding garage). Minimum site
permeability is 20%.
8. Lots between 450m2 and 600m2, minimum coverage
of 150m2 for the ground floor (excluding garage).
Minimum site permeability is 20%.
9. Lot sizes over 600m2, minimum coverage of 170m2
for the ground floor (excluding garage). Minimum site
permeability is 20%.</t>
  </si>
  <si>
    <t>Must build Double Storey for the following Lots: 101, 119, 131-143</t>
  </si>
  <si>
    <t>2 - Atkin</t>
  </si>
  <si>
    <t>906419L</t>
  </si>
  <si>
    <t>724935E</t>
  </si>
  <si>
    <t>724938X</t>
  </si>
  <si>
    <t>734599M</t>
  </si>
  <si>
    <t>734604X</t>
  </si>
  <si>
    <t>746034W</t>
  </si>
  <si>
    <t>746036S</t>
  </si>
  <si>
    <t>746035U</t>
  </si>
  <si>
    <t>801149Y</t>
  </si>
  <si>
    <t>801152L</t>
  </si>
  <si>
    <t>810954V</t>
  </si>
  <si>
    <t>810999W</t>
  </si>
  <si>
    <t>810998Y</t>
  </si>
  <si>
    <t>814713X</t>
  </si>
  <si>
    <t>814714V</t>
  </si>
  <si>
    <t>818607A</t>
  </si>
  <si>
    <t>845588X</t>
  </si>
  <si>
    <t>845595B</t>
  </si>
  <si>
    <t>845596Y</t>
  </si>
  <si>
    <t>845645N</t>
  </si>
  <si>
    <t>845672K</t>
  </si>
  <si>
    <t>900005X</t>
  </si>
  <si>
    <t>900039E</t>
  </si>
  <si>
    <t>900054J</t>
  </si>
  <si>
    <t>900065D</t>
  </si>
  <si>
    <t>905617M</t>
  </si>
  <si>
    <t>905668T</t>
  </si>
  <si>
    <t>905697L</t>
  </si>
  <si>
    <t>823260J</t>
  </si>
  <si>
    <t>831901A</t>
  </si>
  <si>
    <t>831902X</t>
  </si>
  <si>
    <t>831907M</t>
  </si>
  <si>
    <t>Michaels Place Estate</t>
  </si>
  <si>
    <t>727811H</t>
  </si>
  <si>
    <t xml:space="preserve">Doepels </t>
  </si>
  <si>
    <t>John Morris</t>
  </si>
  <si>
    <t>0418 543 637</t>
  </si>
  <si>
    <t>john@doepels.com.au </t>
  </si>
  <si>
    <t>At least 130sq metres not including gargae and outbuilding on lots 75, 76, 86, 87, 90, 91, 101, 102 and 160sq metres plus garage and outbuildings in relation to all other lots on the POS</t>
  </si>
  <si>
    <t>River Sand</t>
  </si>
  <si>
    <t>Millstone Estate</t>
  </si>
  <si>
    <t xml:space="preserve">Custodian for the Millstone </t>
  </si>
  <si>
    <t>Jason Goncalves</t>
  </si>
  <si>
    <t>0431 285 115</t>
  </si>
  <si>
    <t>jason@red23.com.au</t>
  </si>
  <si>
    <t>735160D</t>
  </si>
  <si>
    <t>809279R</t>
  </si>
  <si>
    <t>809296R</t>
  </si>
  <si>
    <t>809297P</t>
  </si>
  <si>
    <t>824084W</t>
  </si>
  <si>
    <t>824085U</t>
  </si>
  <si>
    <t>Minta Estate</t>
  </si>
  <si>
    <t>816058T</t>
  </si>
  <si>
    <t xml:space="preserve">Double storey facades: Elite, Keating, Menzies, and Alpha (Alpha needs to be modified with the following)
Alpha facade:
Provide extension to Porch to meet Design Guidelines including:
- extend the engaged pier to the Front
- increase feature timber beams and concrete area to suit
$2,500
</t>
  </si>
  <si>
    <t>Your home must have a porch,
portico or verandah with a
minimum area of 4.0 square meters
and a minimum depth of 1.5m at
some point.</t>
  </si>
  <si>
    <t>Where the lot has a frontage of
15m or greater there should be;
- At least two advanced trees $1650</t>
  </si>
  <si>
    <t>816058T/S2</t>
  </si>
  <si>
    <t>816058T/S3</t>
  </si>
  <si>
    <t>816058T/S5</t>
  </si>
  <si>
    <t>816058T/S6</t>
  </si>
  <si>
    <t>816058T/S61</t>
  </si>
  <si>
    <t>816058T/S7</t>
  </si>
  <si>
    <t>816058T/S8</t>
  </si>
  <si>
    <t>816058T/S15</t>
  </si>
  <si>
    <t>816058T/S17</t>
  </si>
  <si>
    <t>816058T/S18</t>
  </si>
  <si>
    <t>816058T/S181</t>
  </si>
  <si>
    <t>Provide approx. 1800m high Colourbond Sheets in Woodland Grey fixed to timber frame including Hardwood Posts, 3 No. Timber Rails and Timber Plinth). Hardwood posts are to be expressed, dressed and stained. Post to have a 45 degree pyramid-shaped top with a
timber peaked fence capping. Corner Fencing Only - $370 per l/m</t>
  </si>
  <si>
    <t>Where the lot has a frontage of
13m or greater there should be;
- At least two advanced trees $1650</t>
  </si>
  <si>
    <t>816058T/S20</t>
  </si>
  <si>
    <t>816058T/S21</t>
  </si>
  <si>
    <t>816058T/S22</t>
  </si>
  <si>
    <t>816058T/S23</t>
  </si>
  <si>
    <t>816058T/S24</t>
  </si>
  <si>
    <t>816058T/S25</t>
  </si>
  <si>
    <t>816058T/S28</t>
  </si>
  <si>
    <t>Minton Place Estate</t>
  </si>
  <si>
    <t>823783Y</t>
  </si>
  <si>
    <t>Jessica.Hammond@stockland.com.au</t>
  </si>
  <si>
    <t>The minimum living area of each dwelling (i.e.
excluding the garage and any unenclosed
areas such as porticos, verandas, alfresco
areas etc.) must be 120 sqm.</t>
  </si>
  <si>
    <t>Dwellings on corner lots must also have
materials and/or features from the front
façade repeated on the secondary façade
for at least 3m.</t>
  </si>
  <si>
    <t>849538S</t>
  </si>
  <si>
    <t>Mitchell Grove Estate</t>
  </si>
  <si>
    <t>849430P</t>
  </si>
  <si>
    <t>849432K</t>
  </si>
  <si>
    <t>907492U</t>
  </si>
  <si>
    <t>Modeina Estate</t>
  </si>
  <si>
    <t>Burnside 3023</t>
  </si>
  <si>
    <t>807601A</t>
  </si>
  <si>
    <t>DFC Project Management</t>
  </si>
  <si>
    <t>Aida Kubat</t>
  </si>
  <si>
    <t>0417 476 074</t>
  </si>
  <si>
    <t>Aida.Kubat@denniscorp.com.au</t>
  </si>
  <si>
    <t xml:space="preserve">Each dwelling must have a garage capable of accomodating 2 cars
Lots Less than 12.5 metres - Maximum garage door 2.6 metres
Between 12.5 metres and 14 metres - Maximum garage door width 5.5metres
</t>
  </si>
  <si>
    <t>Garages must be set back a minimum of 5.5 metres from the principle street frontage and at least 0.5 metres behind the front building</t>
  </si>
  <si>
    <t>Balcony must be added addressing Principal Street Forntage on a two storey building. LL</t>
  </si>
  <si>
    <t>8000 LL</t>
  </si>
  <si>
    <t>814797N</t>
  </si>
  <si>
    <t>814794U</t>
  </si>
  <si>
    <t>814796Q</t>
  </si>
  <si>
    <t>818655N</t>
  </si>
  <si>
    <t>818674J</t>
  </si>
  <si>
    <t>Monash Views Estate</t>
  </si>
  <si>
    <t>833030V</t>
  </si>
  <si>
    <t>Jo Cook</t>
  </si>
  <si>
    <t>0437 514 588</t>
  </si>
  <si>
    <t>jo@monashviews.com.au</t>
  </si>
  <si>
    <t>Lots 66-84 &amp; 23-40 must be single storey only</t>
  </si>
  <si>
    <t>The floor area of a dwelling constructed on the lot must be no less than:
- 160m² (excluding the garage) for single story; and
- 240m² (excluding the garage) for double story</t>
  </si>
  <si>
    <t>Unable to build on cluster lots - Lots 132-147 &amp; 202-205</t>
  </si>
  <si>
    <t>Unable to build on lots that require Type A and Type B fencing, refer to 'Estate Subdivision Figure 1' in the DG</t>
  </si>
  <si>
    <t>For all other lots adjoining the golf course or public open space, the boundary that abuts this space is be be 'Provide approx. 1200mm high ARC panels in 'Charcoal met Pearl' colour'. = $362/lm</t>
  </si>
  <si>
    <t>For lots adjoining golf course, the side of the dwellings (rear, side or both) that abuts the golf course must be in render form only, with face brick not permitted</t>
  </si>
  <si>
    <t>904013C</t>
  </si>
  <si>
    <t>Montana</t>
  </si>
  <si>
    <t>910041M</t>
  </si>
  <si>
    <t>Lucy Fulton</t>
  </si>
  <si>
    <t>0475 888 017</t>
  </si>
  <si>
    <t>lucy@rpmgrp.com.au</t>
  </si>
  <si>
    <t>Singles rear setback: 3m
Doubles rear setback: 5.5m
Front setback: 4.5m
*Unless noted otherwise</t>
  </si>
  <si>
    <t>The minimum dwelling size is:
• 75 square metres in the case of a lot having an
area of less than 300 square metres; or
• 100 square metres in the case of a lot having an
area of 300 square metres or greater, but less than
400 square metres; or
• 130 square metres in the case of a lot having an
area of 400 square metres or greater, but less than
500 square metres; or
• 160 square metres in the case of a lot having an
area of 500 square metres or greater</t>
  </si>
  <si>
    <t>Lots greater than 349m2</t>
  </si>
  <si>
    <t>All homes must allow for an enclosed double garage
for car accommodation for lots greater than 12.5
metres wide</t>
  </si>
  <si>
    <t>Provide staining to Timber Fence. Corners Only - $52 lm</t>
  </si>
  <si>
    <t>Lots greater than 16m in width</t>
  </si>
  <si>
    <t>Monument Estate</t>
  </si>
  <si>
    <t>804371G</t>
  </si>
  <si>
    <t>Robert Lembo</t>
  </si>
  <si>
    <t>0418 322 736</t>
  </si>
  <si>
    <t>robert.l@red23.com.au</t>
  </si>
  <si>
    <t>Required on Corners</t>
  </si>
  <si>
    <t>811170C</t>
  </si>
  <si>
    <t>811171A</t>
  </si>
  <si>
    <t>817623H</t>
  </si>
  <si>
    <t>817642D</t>
  </si>
  <si>
    <t>817671V</t>
  </si>
  <si>
    <t>825806D</t>
  </si>
  <si>
    <t>831641A</t>
  </si>
  <si>
    <t>844120H</t>
  </si>
  <si>
    <t>831697V</t>
  </si>
  <si>
    <t>831701J</t>
  </si>
  <si>
    <t>838464H</t>
  </si>
  <si>
    <t>838480K</t>
  </si>
  <si>
    <t>838481H</t>
  </si>
  <si>
    <t>Moonstone</t>
  </si>
  <si>
    <t>905837W</t>
  </si>
  <si>
    <t>returning 5000mm - $1940</t>
  </si>
  <si>
    <t>Double storey dwellings with balconies required for lots facing reserves
Double storey facades: Elite, Keating, Menzies</t>
  </si>
  <si>
    <t>Administration Fee $750</t>
  </si>
  <si>
    <t>CORNER FENCING GETTING QUOTED FOR - DO NOT PACKAGE ANY CORNER LOTS</t>
  </si>
  <si>
    <t>Where the lot has a frontage width of 12.5
metres or greater, the primary building should
be set off at least one side boundary to
provide pedestrian and</t>
  </si>
  <si>
    <t>Garages are not to exceed 50% of the lot frontage</t>
  </si>
  <si>
    <t>Mountain Views</t>
  </si>
  <si>
    <t>827878Q</t>
  </si>
  <si>
    <t>Mount Aliza</t>
  </si>
  <si>
    <t>822716V</t>
  </si>
  <si>
    <t>0430 091 146</t>
  </si>
  <si>
    <t>project@countrylandaustralia.com.au</t>
  </si>
  <si>
    <t xml:space="preserve">entire if double 3300
</t>
  </si>
  <si>
    <t>up to 10.5m - single garage with 2.5m maximum width
10.6-12.5 - double garage with 4.8m maximum width
12.6-14 - double garage with 5.5m maximum width
greater than 14 - double garage with maximum width being less than 40% of the lot width</t>
  </si>
  <si>
    <t>Provide approx. 1800mm high timber fencing with capping and 125x75 exposed posts running 50% from rear boundary to the secondary street. Remaining fencing to be approx. 1000mm high and minimum 40% transparent by spacing timber palings apart. Note Only</t>
  </si>
  <si>
    <t>For lots presenting direct sideage to any form of open space - dwellings must be double storey and provide passive surveillance features such as balconies or windows adjoining the area of open space</t>
  </si>
  <si>
    <t>822717T</t>
  </si>
  <si>
    <t>Mount Atkinsons</t>
  </si>
  <si>
    <t>813249C</t>
  </si>
  <si>
    <t>Stocklands</t>
  </si>
  <si>
    <t>porch,
portico or verandah with a
minimum area of 4.0 square meters
and a minimum 1.5m deep</t>
  </si>
  <si>
    <t>For lots with a frontage under
12.5m as measured at the front
setback, a single garage is required
with a maximum door width of
2.6m.
For lots with a frontage of 12.5m
or greater and 14m or less, the
maximum width allowable for the
garage door is 5.5m. Lots with a
frontage greater than 14m may
have a garage with a greater
maximum width if it does not
exceed 40% of the width of the lot.</t>
  </si>
  <si>
    <t>Corner lot: Provide approx. 1800mm high Colourbond fencing, colour in Grey Ridge Neetascreen, with 100x100mm expressed posts, capping and 150mm metal plinth detail in black. Corner fencing only. $500/lm</t>
  </si>
  <si>
    <t>813250T</t>
  </si>
  <si>
    <t>813270M</t>
  </si>
  <si>
    <t>813252P</t>
  </si>
  <si>
    <t>813253M</t>
  </si>
  <si>
    <t>817499F</t>
  </si>
  <si>
    <t>824066Y</t>
  </si>
  <si>
    <t>839293D</t>
  </si>
  <si>
    <t>902237P</t>
  </si>
  <si>
    <t>826739L</t>
  </si>
  <si>
    <t>826744T</t>
  </si>
  <si>
    <t>829698G</t>
  </si>
  <si>
    <t>829707J</t>
  </si>
  <si>
    <t>829722N</t>
  </si>
  <si>
    <t>836060U</t>
  </si>
  <si>
    <t>836062Q</t>
  </si>
  <si>
    <t>836056K</t>
  </si>
  <si>
    <t>829716H</t>
  </si>
  <si>
    <t>829730P</t>
  </si>
  <si>
    <t>Lots less than 10.5m must have single garage with maximum door width of 2.6m</t>
  </si>
  <si>
    <t>839277B</t>
  </si>
  <si>
    <t>839295Y</t>
  </si>
  <si>
    <t>839247L</t>
  </si>
  <si>
    <t>839297U</t>
  </si>
  <si>
    <t>829702U</t>
  </si>
  <si>
    <t>833341C</t>
  </si>
  <si>
    <t>902213E</t>
  </si>
  <si>
    <t>Lots under 10.5 must have single garage</t>
  </si>
  <si>
    <t>For lots with a frontage of 10.5m or
greater, the maximum width allowable
for the garage door is 4.8m.
For lots with a frontage under 10.5m as
measured at the front setback, a single
garage is required with a maximum
door width of 2.6m.</t>
  </si>
  <si>
    <t>Where a home is 13.0m wide or greater
at least one of the following is required:
• A step in the front facade of a
minimum 840mm (this step must be in
addition to any step at the garage), or
• A portico / verandah with a minimum
area of 10 sqm. The porch must also
have a depth of minimum 1.5m deep at
some point, or
• A verandah for the full length of the
frontage (excluding the garage).
Note: An entry recess is not a step in
the facade.</t>
  </si>
  <si>
    <t>902287X</t>
  </si>
  <si>
    <t>902301H</t>
  </si>
  <si>
    <t>906367D</t>
  </si>
  <si>
    <t>906381K</t>
  </si>
  <si>
    <t>A 1m setback on one side boundary is
required on all lots, except those with a
frontage of 10.5m or less which can be
built boundary to boundary as per the
applicable MCP</t>
  </si>
  <si>
    <t>902271P</t>
  </si>
  <si>
    <t>902267U</t>
  </si>
  <si>
    <t>Mount Holden</t>
  </si>
  <si>
    <t>813271K</t>
  </si>
  <si>
    <t>Mount Holden Estate Sunbury</t>
  </si>
  <si>
    <t>Angelo Adamo</t>
  </si>
  <si>
    <t>0400 935 792</t>
  </si>
  <si>
    <t>newhomesvic@bigpond.com</t>
  </si>
  <si>
    <t>Dwellings on blocks 500m2 or larger shall have a minimum floor area of
140m2 plus garage</t>
  </si>
  <si>
    <t>813273F</t>
  </si>
  <si>
    <t>Mount Pleasant Estate - Minton Release</t>
  </si>
  <si>
    <t>828426X</t>
  </si>
  <si>
    <t>The width of the garage opening
must not exceed 40% of the width
of the dwelling frontage.</t>
  </si>
  <si>
    <t>Lots with primary frontage width of less than 12m must have Single garage not applicable for double storey</t>
  </si>
  <si>
    <t xml:space="preserve">The vertical area of the garage
opening must not exceed 25% of
the vertical area of the front
facade of the dwelling </t>
  </si>
  <si>
    <t>828428T</t>
  </si>
  <si>
    <t>Mount Pleasant Estate</t>
  </si>
  <si>
    <t>816210Q</t>
  </si>
  <si>
    <t>816211N</t>
  </si>
  <si>
    <t>816221K</t>
  </si>
  <si>
    <t>816212L</t>
  </si>
  <si>
    <t>816230J</t>
  </si>
  <si>
    <t>816231G</t>
  </si>
  <si>
    <t>828384M</t>
  </si>
  <si>
    <t>836947W</t>
  </si>
  <si>
    <t>836948U</t>
  </si>
  <si>
    <t>836949S</t>
  </si>
  <si>
    <t>Garage openings must not exceed 40% of the lot width for single storeys</t>
  </si>
  <si>
    <t>828385K</t>
  </si>
  <si>
    <t>845082H</t>
  </si>
  <si>
    <t>Mystique Estate</t>
  </si>
  <si>
    <t>805549K</t>
  </si>
  <si>
    <t xml:space="preserve">Core Project </t>
  </si>
  <si>
    <t>Alok Vishnoi</t>
  </si>
  <si>
    <t>avishnoi@coreprojects.com.au</t>
  </si>
  <si>
    <t>805572Q</t>
  </si>
  <si>
    <t>809280H</t>
  </si>
  <si>
    <t>809292A</t>
  </si>
  <si>
    <t>813241U</t>
  </si>
  <si>
    <t>Narracan Lakes Estate</t>
  </si>
  <si>
    <t>826078F</t>
  </si>
  <si>
    <t>Tyler - Harcourts Newborough</t>
  </si>
  <si>
    <t>0477 712 112</t>
  </si>
  <si>
    <t>Must be at least 150m2 excluding garage, porch etc</t>
  </si>
  <si>
    <t>904020F</t>
  </si>
  <si>
    <t>907106D</t>
  </si>
  <si>
    <t>Nature's Run</t>
  </si>
  <si>
    <t>531432H/S6</t>
  </si>
  <si>
    <t>Kilmore &amp; Broadford</t>
  </si>
  <si>
    <t>Wayne Smith</t>
  </si>
  <si>
    <t>0429 884 777</t>
  </si>
  <si>
    <t>wayne@kilmorefn.com.au</t>
  </si>
  <si>
    <t>House area cannot be less than 150m2 (excluding garage, porch etc)</t>
  </si>
  <si>
    <t>Nelsons Place</t>
  </si>
  <si>
    <t>Dnaiel Leser</t>
  </si>
  <si>
    <t>0414 545 565</t>
  </si>
  <si>
    <t>daniel@landforsale.melbourne</t>
  </si>
  <si>
    <t>Newbridge South</t>
  </si>
  <si>
    <t>844158F</t>
  </si>
  <si>
    <t>Allotments between 300m2 and 500m2 are to have garage
openings that occupy no more than 60% of the width of the
lot frontage</t>
  </si>
  <si>
    <t>Minimum floor area Porch Size of 3.5m2  is required unless noted
otherwise</t>
  </si>
  <si>
    <t>Note if Lots are rear Loaded</t>
  </si>
  <si>
    <t>AWAITING QUOTE FOR CORNER FENCING AND RESERVE FACING BOUNDARIES. DO NOT PRICE UP ANY CORNER LOTS</t>
  </si>
  <si>
    <t>Newgate Estate</t>
  </si>
  <si>
    <t>800994P</t>
  </si>
  <si>
    <t>801017S</t>
  </si>
  <si>
    <t>801018Q</t>
  </si>
  <si>
    <t>811327U</t>
  </si>
  <si>
    <t>811328S</t>
  </si>
  <si>
    <t>811336T</t>
  </si>
  <si>
    <t>813555U</t>
  </si>
  <si>
    <t>813556S</t>
  </si>
  <si>
    <t>817173N</t>
  </si>
  <si>
    <t>817174L</t>
  </si>
  <si>
    <t>817188Y</t>
  </si>
  <si>
    <t>820473G</t>
  </si>
  <si>
    <t>822737M</t>
  </si>
  <si>
    <t>Newhaven Estate</t>
  </si>
  <si>
    <t>803923X</t>
  </si>
  <si>
    <t>Peet Estate</t>
  </si>
  <si>
    <t>Courtney Tattersall</t>
  </si>
  <si>
    <t>Courtney.tattersall@peet.com.au</t>
  </si>
  <si>
    <t>803967B</t>
  </si>
  <si>
    <t>Allowance for Acoustic rated walls. $15000 single, $20000 double. ****Lots 201 ‐ 216 and 239 ‐ 242****</t>
  </si>
  <si>
    <t>803935Q</t>
  </si>
  <si>
    <t>806966M</t>
  </si>
  <si>
    <t>806974N</t>
  </si>
  <si>
    <t>810123S</t>
  </si>
  <si>
    <t>832982R</t>
  </si>
  <si>
    <t>810136H</t>
  </si>
  <si>
    <t>814017U</t>
  </si>
  <si>
    <t>814030D</t>
  </si>
  <si>
    <t>816943T</t>
  </si>
  <si>
    <t>816946M</t>
  </si>
  <si>
    <t>842441W</t>
  </si>
  <si>
    <t>819155E</t>
  </si>
  <si>
    <t>819163F</t>
  </si>
  <si>
    <t>837858Q</t>
  </si>
  <si>
    <t>846566D</t>
  </si>
  <si>
    <t>901681Y</t>
  </si>
  <si>
    <t>for lots 1822 to 1831 (both inclusive) construct a building or part of a building unless the building or part of a building is set back a minimum of 1
metre from one side boundary</t>
  </si>
  <si>
    <t>901638A</t>
  </si>
  <si>
    <t>906015M</t>
  </si>
  <si>
    <t>906014P</t>
  </si>
  <si>
    <t>Newmarque Estate</t>
  </si>
  <si>
    <t>806373R</t>
  </si>
  <si>
    <t>Winport International</t>
  </si>
  <si>
    <t>Will Munro</t>
  </si>
  <si>
    <t>0427 401 798</t>
  </si>
  <si>
    <t>will.munro@raywhite.com</t>
  </si>
  <si>
    <t>Minimum Floor Area 150m2 excluding garage, porch and outdoor living.</t>
  </si>
  <si>
    <t>Provide 1No. Single crossover and footpath to the primary street frontage. $4000</t>
  </si>
  <si>
    <t>Riversand</t>
  </si>
  <si>
    <t>803286C</t>
  </si>
  <si>
    <t>816460Q</t>
  </si>
  <si>
    <t>819323K</t>
  </si>
  <si>
    <t>New Gardens</t>
  </si>
  <si>
    <t>828311R</t>
  </si>
  <si>
    <t>Goodtown</t>
  </si>
  <si>
    <t>Single 3000mm=1430
Double entire=3300</t>
  </si>
  <si>
    <t>Side setbacks must be a minimum of 1m from at least one side boundary and 2m from a secondary street boundary. This means that only one side of the building can be built on a side boundary</t>
  </si>
  <si>
    <t>Lots more than 14m wide, garage door must not exceed 40% of the width frontage
For two storey dwellings, garage door openings that exceed 40% of the lot width are discouraged. Notwithstanding, they will only be permitted where balconies or windows are provided above the garage.</t>
  </si>
  <si>
    <t>838329P</t>
  </si>
  <si>
    <t>Northridge</t>
  </si>
  <si>
    <t>834969W</t>
  </si>
  <si>
    <t>Jess Ostrom</t>
  </si>
  <si>
    <t>0427 071 270</t>
  </si>
  <si>
    <t>jess.o@neilsonpartners.com.au</t>
  </si>
  <si>
    <t>Lots equal to or under 450sq m require a dwelling of over 120sq m (not
including garage, eaves, portico and decks)
 Lots equal to or over 451sq m require a dwelling of over 150 sq. m (not
including garage, eaves, portico and decks</t>
  </si>
  <si>
    <t>Garages should not dominate the streetscape. The width of a garage opening
must not exceed 40% of the frontage width of an allotment</t>
  </si>
  <si>
    <t>On lots with a frontage greater than 12.5 metres, a garage must be constructed
that can house two vehicles (side by side)
On lots with a frontage of 12.5metres or less a single garage is permitted
Where possible, the application of side by side garages should be limited.</t>
  </si>
  <si>
    <t>Corner Lots</t>
  </si>
  <si>
    <t>Northgate</t>
  </si>
  <si>
    <t>821577N</t>
  </si>
  <si>
    <t>GB Projects</t>
  </si>
  <si>
    <t>Dwayne Smith</t>
  </si>
  <si>
    <t>0444 540 525</t>
  </si>
  <si>
    <t>sales@northgategreenvale.com.au</t>
  </si>
  <si>
    <t>All homes with the exception of lots with less
than a 10.5 metre street frontage must
provide accommodation for at least a two car
garage</t>
  </si>
  <si>
    <t>Oakdene Estate</t>
  </si>
  <si>
    <t>732901C</t>
  </si>
  <si>
    <t>Morgan &amp; Griffin</t>
  </si>
  <si>
    <t>Damien</t>
  </si>
  <si>
    <t>0488 525 625</t>
  </si>
  <si>
    <t>oakdene@kerleys.com.au</t>
  </si>
  <si>
    <t>Lot Size: Minimum car parking
requirements:
700m2 or less 1 covered car space in
the form of either a
garage or a carport
A second car space can
be provided in tandem
to this space within the
property boundary.
Greater than
700m2
2 covered car spaces in
the form of either a
garage or a carport.
Tandem garages are
discouraged.</t>
  </si>
  <si>
    <t>Required on corner blocks</t>
  </si>
  <si>
    <t>710786X</t>
  </si>
  <si>
    <t>710787V</t>
  </si>
  <si>
    <t>710788T</t>
  </si>
  <si>
    <t>802689J</t>
  </si>
  <si>
    <t>Oak Hill Estate</t>
  </si>
  <si>
    <t>826056R</t>
  </si>
  <si>
    <t>House must be at least 130m2 excluding garage porch etc</t>
  </si>
  <si>
    <t>849090M</t>
  </si>
  <si>
    <t>Octave</t>
  </si>
  <si>
    <t>Junction Village 3977</t>
  </si>
  <si>
    <t>821073T</t>
  </si>
  <si>
    <t>Less than (or equal to) 300m2 100m2
More than (or equal to) 300m2
&amp; less than 450m2 120m2
More than 450m2 150m2</t>
  </si>
  <si>
    <t>2,000 litres where the area of the Lot is less than 500 square metres</t>
  </si>
  <si>
    <t>5,000 litres where the Lot is 500 square metres or greater</t>
  </si>
  <si>
    <t>Provide approx. 1800mm high Merbau fencing arranged horizontally in lieu of timber palings. Includes wing fence and Gate. CORNER = $8100</t>
  </si>
  <si>
    <t>3 external finishes for façade</t>
  </si>
  <si>
    <t>Front loaded lots with a lot width of 12.5m or more
must provide a double garage.</t>
  </si>
  <si>
    <t>The total width of the garage door openings on
front loaded lots must not exceed 40% of the
effective lot width.</t>
  </si>
  <si>
    <t>Following changes must be made to comply with DG:
Duke façade
- Provide Chestnut bricks in lieu of standard
- Provide colorbond Dune render in lieu of standard if required
- provide Omni Stone - Grey (1212964) 298x600 to tiled piers in lieu of standard
Watson façade
- provide Colorbond Paperbark render in lieu of standard
- provide Colorbond Paperbark flashing in lieu of standard
Summit facade
- provide Colorbond Dune render and painted post in lieu of standard
- provide Colorbond Dune garage door in lieu of standard
Whitlam
- no changes needed, as is
Elite
- Amend Matrix cladding to Colorbond Wallaby in lieu of standard
Alpha
- Provide Access Chestnut bricks in lieu of standard
- provide Omni Stone - Grey (1212964) tiled piers. Grout to be Magellean Grey</t>
  </si>
  <si>
    <t>821076M</t>
  </si>
  <si>
    <t>828308E</t>
  </si>
  <si>
    <t>838330F</t>
  </si>
  <si>
    <t>For Lot 421 - 440 (both inclusive), 2,000 litres where the area of the Lot is less than 500 square metres</t>
  </si>
  <si>
    <t>For Lot 421 - 440 (both inclusive), 5,000 litres where the area of the Lot is 500 square metres or greater</t>
  </si>
  <si>
    <t>845137J</t>
  </si>
  <si>
    <t>845138G</t>
  </si>
  <si>
    <t>2000 litres where the area of the Lot is less than 500 square metres.</t>
  </si>
  <si>
    <t>5000 litres where the area of the Lot is 500 square metres or greater.</t>
  </si>
  <si>
    <t>BAL 19 rated site including the following items:
- fully sarked roof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 $600
Lots 623 to 633 inclusive</t>
  </si>
  <si>
    <t>845142R</t>
  </si>
  <si>
    <t>Officer Central</t>
  </si>
  <si>
    <t>842471M</t>
  </si>
  <si>
    <t>Catherine Cornehls</t>
  </si>
  <si>
    <t>0419 695 816</t>
  </si>
  <si>
    <t>Catherine@yourland.com</t>
  </si>
  <si>
    <t>Lots at or over 12.5m in width:
- Single: garage openings must not exceed
50% of the dwelling frontage.
- Double: garage openings must not exceed
25% of the area of the front façade of any
dwelling.
Lots under 12.5m in width:
- Garage openings must not exceed 50% of
the area of the front façade of any dwelling</t>
  </si>
  <si>
    <t>846561P</t>
  </si>
  <si>
    <t>846551S</t>
  </si>
  <si>
    <t>901683U</t>
  </si>
  <si>
    <t>901644F</t>
  </si>
  <si>
    <t>901680B</t>
  </si>
  <si>
    <t>901637C</t>
  </si>
  <si>
    <t>Officer Fields</t>
  </si>
  <si>
    <t>833356N</t>
  </si>
  <si>
    <t>Allow for screw piles throughout; dams and waterway reserves exists throughout.</t>
  </si>
  <si>
    <t>Officer Fields2</t>
  </si>
  <si>
    <t>833357L</t>
  </si>
  <si>
    <t>839283G</t>
  </si>
  <si>
    <t>839322Y</t>
  </si>
  <si>
    <t>Olivia Estate</t>
  </si>
  <si>
    <t>813578G</t>
  </si>
  <si>
    <t xml:space="preserve">Latitude Real Estate </t>
  </si>
  <si>
    <t>David Hutchinson</t>
  </si>
  <si>
    <t>0417 061 402</t>
  </si>
  <si>
    <t>olivia@latituderealestate.com.au</t>
  </si>
  <si>
    <t>Garages must be setback at least 5.0m from the
front boundary and at least 0.5m behind the front wall
of the dwelling.</t>
  </si>
  <si>
    <t>4950 on all stages but excluding lots under 300m2 for stages 13-15</t>
  </si>
  <si>
    <t>820466D</t>
  </si>
  <si>
    <t>820459A</t>
  </si>
  <si>
    <t>822749E</t>
  </si>
  <si>
    <t>828078U</t>
  </si>
  <si>
    <t>Olivia Estate8</t>
  </si>
  <si>
    <t>905208F</t>
  </si>
  <si>
    <t>822770P</t>
  </si>
  <si>
    <t>833855T</t>
  </si>
  <si>
    <t>841632U</t>
  </si>
  <si>
    <t>Olivine Estate</t>
  </si>
  <si>
    <t>817171S</t>
  </si>
  <si>
    <t>Daniel Lock</t>
  </si>
  <si>
    <t>0499 199 756</t>
  </si>
  <si>
    <t>daniel.lock@mirvac.com</t>
  </si>
  <si>
    <t>Entire house to double storeys $3300</t>
  </si>
  <si>
    <t>For lots with frontages less than 12.5m, a single
car garage is allowed with a single opening
width of 3.5m.
For lots with frontages of 12.5m or more, a
double car garage is allowed with a single
opening width of 6.5m or greater.</t>
  </si>
  <si>
    <t>808024H</t>
  </si>
  <si>
    <t>813577J</t>
  </si>
  <si>
    <t>813579E</t>
  </si>
  <si>
    <t>817166K</t>
  </si>
  <si>
    <t>822768A</t>
  </si>
  <si>
    <t>822773H</t>
  </si>
  <si>
    <t>825765Q</t>
  </si>
  <si>
    <t>833865Q</t>
  </si>
  <si>
    <t>837630X</t>
  </si>
  <si>
    <t>837634P</t>
  </si>
  <si>
    <t>847504W</t>
  </si>
  <si>
    <t>847509L</t>
  </si>
  <si>
    <t>900888F</t>
  </si>
  <si>
    <t>905205M</t>
  </si>
  <si>
    <t xml:space="preserve">One  </t>
  </si>
  <si>
    <t>Lyndhurst 3975</t>
  </si>
  <si>
    <t>735165S</t>
  </si>
  <si>
    <t>Harvest Realty</t>
  </si>
  <si>
    <t>Jerry Wu</t>
  </si>
  <si>
    <t>0402 741 611</t>
  </si>
  <si>
    <t xml:space="preserve">jerry@harvestrealty.com.au </t>
  </si>
  <si>
    <t>An entry feature is required to have a minimum depth and width 1.5 metres. The area of an entry
must achieve a minimum area of 4m². The calculation of both the size and area dimensions does not
include the entry recess. Eaves are not to be included in the area calculation</t>
  </si>
  <si>
    <t>Garage openings must be no more than 40% of the width of the lot frontage. In the case of a double
storey dwelling on an allotment with a frontage of less than 12 metres, a garage opening must not
exceed 25% of the area of the front façade of the dwelling.</t>
  </si>
  <si>
    <t>One Bells Estate</t>
  </si>
  <si>
    <t>824078R</t>
  </si>
  <si>
    <t>Judy Cheah</t>
  </si>
  <si>
    <t>03 8787 8498</t>
  </si>
  <si>
    <t>admin@harvestrealty.com.au</t>
  </si>
  <si>
    <t>Garage openings must not exceed 40% of the width of the lot frontage</t>
  </si>
  <si>
    <t>Provide approx. 1890mm High Colorbond Neetascreen Fencing , Grey Ridge in colour with Exposed Cypress Posts, capping, plinth and rails, in lieu of timber palings.   
Copy X2 &amp; X3 over T6 &amp; T7.</t>
  </si>
  <si>
    <t>Lots facing public open space - double storey must have balcony facing the public open space and must have front fence in cypress posts with black tubular inserts
Provide approx. 1200mm high front fence with cypress posts and black tubular inserts
$305/lm</t>
  </si>
  <si>
    <t>824080F</t>
  </si>
  <si>
    <t>848494R</t>
  </si>
  <si>
    <t>A building or garage must not be constructed on a side boundary of a lot unless the building or garage is set back a min of 1m from he other side boundary of that lot</t>
  </si>
  <si>
    <t>848493T</t>
  </si>
  <si>
    <t>902220H</t>
  </si>
  <si>
    <t>902222D</t>
  </si>
  <si>
    <t>One Village Estate</t>
  </si>
  <si>
    <t>746248B</t>
  </si>
  <si>
    <t>746262H</t>
  </si>
  <si>
    <t>Ooranya</t>
  </si>
  <si>
    <t>831548P</t>
  </si>
  <si>
    <t>1300 035 791</t>
  </si>
  <si>
    <t>sales@ooranyaestate.com.au</t>
  </si>
  <si>
    <t>For single storey dwellings a garage door opening or total width of multiple garage door openings is not to
exceed 60% of the width of the allotment.
Double garage’s are permitted on lots 10.5 metre wide where boundary to boundary construction is being
used when lots are above 300 m2 as per Rescode.</t>
  </si>
  <si>
    <t>822846G</t>
  </si>
  <si>
    <t>848024G</t>
  </si>
  <si>
    <t>831551B</t>
  </si>
  <si>
    <t>831552Y</t>
  </si>
  <si>
    <t>831555S</t>
  </si>
  <si>
    <t>831556Q</t>
  </si>
  <si>
    <t>904139D</t>
  </si>
  <si>
    <t>Opalia</t>
  </si>
  <si>
    <t>817593P</t>
  </si>
  <si>
    <t xml:space="preserve"> For lots with a frontage under 12.5m, a single garage is
required with a maximum door width of 2.6m.</t>
  </si>
  <si>
    <t>Living areas should be facing north.</t>
  </si>
  <si>
    <t>For two storey dwellings,garages that exceed 40% of the width
of the lot frontage are discouraged, and are only permitted
where balconies or windows are provided above the garage.</t>
  </si>
  <si>
    <t>Lot Size Min. Dwelling Size
300m2 -399m2 110m2
400m2 -499m2 130m2
450m2 -499m2 150m2
500m2 and over 170m2</t>
  </si>
  <si>
    <t>817594M</t>
  </si>
  <si>
    <t>825817X</t>
  </si>
  <si>
    <t>817595K</t>
  </si>
  <si>
    <t>825869C</t>
  </si>
  <si>
    <t>831732W</t>
  </si>
  <si>
    <t>838463K</t>
  </si>
  <si>
    <t>844134V</t>
  </si>
  <si>
    <t>902481C</t>
  </si>
  <si>
    <t>Ora</t>
  </si>
  <si>
    <t>835909L</t>
  </si>
  <si>
    <t>Garage not to occupy more than 40%</t>
  </si>
  <si>
    <t>Add $8000 to site costs and note 'additional site costs due to poorly compacted fill throughout estate' under Estimator Notes.
Delete note from DG's</t>
  </si>
  <si>
    <t>835913V</t>
  </si>
  <si>
    <t>Orana</t>
  </si>
  <si>
    <t>830144V</t>
  </si>
  <si>
    <t>Balcon Group</t>
  </si>
  <si>
    <t>Samantha Hobson</t>
  </si>
  <si>
    <t>shobson@coreprojects.com.au</t>
  </si>
  <si>
    <t>Greater than 450m2
350m2 – 450m2
Below 350m2
M I N I M U M D W E L L I N G S I Z E
140m2
110m2
100m2</t>
  </si>
  <si>
    <t>The garage opening width must not exceed 40% of
the width of the lot frontage</t>
  </si>
  <si>
    <t>For a double storey dwelling, garage openings should
not exceed 30% of the area of the front façade of
the dwelling.</t>
  </si>
  <si>
    <t>833961U</t>
  </si>
  <si>
    <t>833958H</t>
  </si>
  <si>
    <t>846055F</t>
  </si>
  <si>
    <t>848724B</t>
  </si>
  <si>
    <t>904405J</t>
  </si>
  <si>
    <t>902120M</t>
  </si>
  <si>
    <t>908400X</t>
  </si>
  <si>
    <t>Orchard Estate</t>
  </si>
  <si>
    <t>806955S</t>
  </si>
  <si>
    <t>Orchord Tarneit</t>
  </si>
  <si>
    <t>Rebecca Stojanovski</t>
  </si>
  <si>
    <t>0418 699 011</t>
  </si>
  <si>
    <t>810127J</t>
  </si>
  <si>
    <t>810132R</t>
  </si>
  <si>
    <t>810149X</t>
  </si>
  <si>
    <t>814000N</t>
  </si>
  <si>
    <t>816911H</t>
  </si>
  <si>
    <t>816920G</t>
  </si>
  <si>
    <t>814028P</t>
  </si>
  <si>
    <t>816951U</t>
  </si>
  <si>
    <t>819181D</t>
  </si>
  <si>
    <t>828168T</t>
  </si>
  <si>
    <t>832951D</t>
  </si>
  <si>
    <t>901671C</t>
  </si>
  <si>
    <t>825316W</t>
  </si>
  <si>
    <t>Lots with Frontages equal to or greater than 12.5 metres in width must incorporate a double
car Garage which is constructed of the same building materials as the Dwelling.
Lots with a Frontage of less than 12.5 metres in width must incorporate (as a minimum), a
single car Garage which is constructed of the same building materials as the Dwelling</t>
  </si>
  <si>
    <t>901650L</t>
  </si>
  <si>
    <t>Orchard Green Estate</t>
  </si>
  <si>
    <t>811260B</t>
  </si>
  <si>
    <t>811261Y</t>
  </si>
  <si>
    <t>817667L</t>
  </si>
  <si>
    <t>825845S</t>
  </si>
  <si>
    <t>831680P</t>
  </si>
  <si>
    <t>831655N</t>
  </si>
  <si>
    <t>831656L</t>
  </si>
  <si>
    <t>831676E</t>
  </si>
  <si>
    <t>838549Y</t>
  </si>
  <si>
    <t>838548B</t>
  </si>
  <si>
    <t>13A</t>
  </si>
  <si>
    <t>902467V</t>
  </si>
  <si>
    <t>Orchard Rise Estate</t>
  </si>
  <si>
    <t>720251J</t>
  </si>
  <si>
    <t>Krpeters</t>
  </si>
  <si>
    <t>Arvind Mahajan</t>
  </si>
  <si>
    <t>0421 691 765</t>
  </si>
  <si>
    <t>arvind@krpeters.com.au</t>
  </si>
  <si>
    <t>Garage Door must be at least 4.5m wide.</t>
  </si>
  <si>
    <t>728645S</t>
  </si>
  <si>
    <t>Orchard Square</t>
  </si>
  <si>
    <t>905322H</t>
  </si>
  <si>
    <t>Lea Thiele</t>
  </si>
  <si>
    <t>0402 264 937</t>
  </si>
  <si>
    <t xml:space="preserve">Lea@oreana.com.au </t>
  </si>
  <si>
    <t>Ortus</t>
  </si>
  <si>
    <t>902168G</t>
  </si>
  <si>
    <t>lucy@rpmrealestate.com.au</t>
  </si>
  <si>
    <t xml:space="preserve">No house shall be built with an area of less than 100m2
(exclusive of garage).
</t>
  </si>
  <si>
    <t>Oskar Court</t>
  </si>
  <si>
    <t>Pakenham Rise Estate</t>
  </si>
  <si>
    <t>811821L</t>
  </si>
  <si>
    <t>Each dwelling must have a minimum floor area of 160m2 (excluding porch, alfresco etc, but including garage)</t>
  </si>
  <si>
    <t>Garage must not exceed 50% of the lot</t>
  </si>
  <si>
    <t>906355L</t>
  </si>
  <si>
    <t xml:space="preserve">Luke Campbell </t>
  </si>
  <si>
    <t>0409 554 949</t>
  </si>
  <si>
    <t>info@panoramaportarlington.com.au</t>
  </si>
  <si>
    <t>Some homesites in Panorama which have a
frontage to Batman (Lots 628-635) or Allens Road
(Lots 917-922) or lie in the Batman and Allens Road
Visual Impact Area (Lots 803-806 and 814-819)
need to comply with the 3D building envelope
requirements of the MCP to ensure clear views are
maintained, to protect the view of the Ridgeline
from Point Richards Reserve</t>
  </si>
  <si>
    <t>Facades and colour allowed in this estate:
single - Sorrento
double - Menzies</t>
  </si>
  <si>
    <t>Garages must not exceed 50% of the overall
width of the front elevation and must not
dominate in height.</t>
  </si>
  <si>
    <t>• The front building line of a dwelling must be
setback a minimum of 4m from the front boundary,
except for lots with a dual frontage (101-110) to
Geelong-Portarlington Road, this frontage can be a
minimum 2m setback, if easements running along
this frontage are not built over.
• Side setbacks must be a minimum of 1m from at
least one side boundary and 2m from a secondary
street boundary.</t>
  </si>
  <si>
    <t>Refer to DG page 6, 4.18 Fencing and page 14  Attachment 7 for details, including special lots and fencing requirements
Please ask Amy Albrecht for double sign the pricing sheet</t>
  </si>
  <si>
    <t>TYPE 1 &amp; 3: Provide up to 1800mm high Steel Finn And Timber with powder coated panels.  $547/m
TYPE 2: Provide up to 1800mm high Steel Finn with powder coated panels.  $486/m
TYPE 4: Provide up to 1800mm high Steel Angle Pickets with powder coated panels.  $501/m
TYPE 6: Provide 125mm x 125mm Cypress Posts, 150x38 plinth (Treated Pine) and Rail with Post centres at 1800mm apart. $255/m</t>
  </si>
  <si>
    <t>Colourbond fencing between homesites (side and rear), where
not visible from the public realm, colour to be:  Basalt</t>
  </si>
  <si>
    <t>Lot 101-110 - Front fencing
is to be a permeable type to allow an active
interface and shall be a combination of fence Types
1 and 2 (Steel Finn and Timber and Steel Finn). !e
relative split shall be approximately 50/50. In
addition, these homesites are required to have a
direct pedestrian access in the form of a gate. Gates
must be of the same material and style of the
fencing so to seamlessly integrate.</t>
  </si>
  <si>
    <t>For Lots 125-126, 601-635, 907-922, which front
onto Batman and Allens Roads respectively, a rural
style Post and Rail Fence (Type 6) is required to be
installed, set back 0.5m from the boundary</t>
  </si>
  <si>
    <t>Fencing between homesites (side and rear, visible
from the public realm/street, must be provided and
should be Type 4 – Steel Angle Pickets:
• Restricted to start a minimum of 1m behind the
front façade of the dwelling.
• Terminated by returning to meet the closest wall
of the dwelling and a minimum of 1m behind the
closest front wall of the dwelling, unless it is on
the rear boundary of an adjoining homesite.
• A maximum height of 1.8m above natural
ground level.</t>
  </si>
  <si>
    <t>Corner homesites and homesites adjoining the
public realm
Must have high side/rear corner fencing,
constructed using a combination of fence Types
3 and 4 (Steel Finn and Timber and Steel Angle
Pickets). !e relative split shall be approximately
50/50.
All corner homesites front fencing must be:
• Terminated a minimum of 4m behind the closest
front wall of the dwelling.
• Terminated by returning to meet the closest wall
of the dwelling (return fence).
• High quality fencing treatments should be
employed in secondary frontages</t>
  </si>
  <si>
    <t>Required for Double storey: $1650</t>
  </si>
  <si>
    <t>Paragon Estate</t>
  </si>
  <si>
    <t>646536D</t>
  </si>
  <si>
    <t>Estate Closed</t>
  </si>
  <si>
    <t>649487X</t>
  </si>
  <si>
    <t>Park Central Estate</t>
  </si>
  <si>
    <t>715034W</t>
  </si>
  <si>
    <t>Parkbrook Estate</t>
  </si>
  <si>
    <t>826734W</t>
  </si>
  <si>
    <t>Double storey dwellings require balcony facing public open space</t>
  </si>
  <si>
    <t>lots 9.5m or less are restricted to a single garage
lots wider than 9.5m can have a garage door width of 4.8m or up to 40% of the lot width</t>
  </si>
  <si>
    <t>Corner fencing - Provide approx. 1900mm high Colourbond fencing with 75x75mm expressed posts, 4No. Top rails 75x16 and 150mm bottom plinth in black in lieu of timber palings.
$580/lm</t>
  </si>
  <si>
    <t>826735U</t>
  </si>
  <si>
    <t>826736S</t>
  </si>
  <si>
    <t>833337S</t>
  </si>
  <si>
    <t>Parklane Estate</t>
  </si>
  <si>
    <t>842281S</t>
  </si>
  <si>
    <t>info@kohamproperty.com.au</t>
  </si>
  <si>
    <t>The width of the Garage opening must not exceed 40% of the width
of the primary frontage, unless the building is two or more storeys
and on a lot with an area between 250-300m2 whereby the Garage
opening must not exceed 30% of the area of the front façade of the
dwelling with the area of the front façade is to be measured from a
two dimensional (2-d) elevation plan excluding any area of the roof of
the dwelling.</t>
  </si>
  <si>
    <t>Any Lot that has frontages less than 10 metres wide
is to have a high set or two storey house erected, so
that dwelling can provide a double lock up garage.</t>
  </si>
  <si>
    <t>A minimum floor area of 110m2 is required. This is excluding garages,
balconies, porches, verandahs and alfresco areas.</t>
  </si>
  <si>
    <t xml:space="preserve">For any Lot that has frontages greater than 12.5
metres wide, a dwelling house must incorporate,
as a minimum, a double lock up garage, front door
and windowed habitable room (i.e. living room,
dining room, bedroom or balcony) that faces the
street frontage. </t>
  </si>
  <si>
    <t>842282Q</t>
  </si>
  <si>
    <t>Parklane Garden</t>
  </si>
  <si>
    <t>817135W</t>
  </si>
  <si>
    <t>Jonathon Bird</t>
  </si>
  <si>
    <t>0419 536 905</t>
  </si>
  <si>
    <t>jbird@barryplant.com.au</t>
  </si>
  <si>
    <t>The width of the front elevation must comply with the following (as applicable).
- Lot width - 12.5 or less, Min width of GFL - 85%, Min width of 1st floor level - 60%
- Lot width - 16m, Min width of GFL - 80%, Min width of 1st floor level - 55%</t>
  </si>
  <si>
    <t>Paint fence to match material and colour scheme of the house. Required on corner lots side boundary which abuts a road - $45/lm</t>
  </si>
  <si>
    <t>805599T</t>
  </si>
  <si>
    <t>824849P</t>
  </si>
  <si>
    <t>Parkside Estate</t>
  </si>
  <si>
    <t>901197E</t>
  </si>
  <si>
    <t>Tyler Hogan</t>
  </si>
  <si>
    <t>tyler.hogan@harcourts.com.au</t>
  </si>
  <si>
    <t>Minimum floor area not less than 130m2 on lots less than 600m2. 150m2 on lots more than 601m.</t>
  </si>
  <si>
    <t>Must have double garage</t>
  </si>
  <si>
    <t>901198C</t>
  </si>
  <si>
    <t>901203N</t>
  </si>
  <si>
    <t>Parks Edge Estate</t>
  </si>
  <si>
    <t>709356H</t>
  </si>
  <si>
    <t>0487 888 019</t>
  </si>
  <si>
    <t>parksedge@rpmrealestate.com.au</t>
  </si>
  <si>
    <t>Teatree</t>
  </si>
  <si>
    <t xml:space="preserve">Parkview </t>
  </si>
  <si>
    <t>801870D</t>
  </si>
  <si>
    <t>815629F</t>
  </si>
  <si>
    <t>833058W</t>
  </si>
  <si>
    <t>Parkview - Lara</t>
  </si>
  <si>
    <t>840055N</t>
  </si>
  <si>
    <t>Abdullah</t>
  </si>
  <si>
    <t>045 545 807</t>
  </si>
  <si>
    <t>sales@parkviewlara.com.au</t>
  </si>
  <si>
    <t>840066H</t>
  </si>
  <si>
    <t>840067F</t>
  </si>
  <si>
    <t>Parc On Plymount</t>
  </si>
  <si>
    <t>Ringwood 3134</t>
  </si>
  <si>
    <t>8311910Y</t>
  </si>
  <si>
    <t>Vanessa Lawless</t>
  </si>
  <si>
    <t>0438 559 538</t>
  </si>
  <si>
    <t>vanessa@roxrealestate.com.au</t>
  </si>
  <si>
    <t>Entire House on Doubles. $3300</t>
  </si>
  <si>
    <t>Pavilion Estate</t>
  </si>
  <si>
    <t>809341P</t>
  </si>
  <si>
    <t>0437 105 385</t>
  </si>
  <si>
    <t>Provide approx. 1800mm high Timber fencing arranged horizontally to wing fence and Gate in lieu of timber palings. $1100</t>
  </si>
  <si>
    <t>809342M</t>
  </si>
  <si>
    <t>809343K</t>
  </si>
  <si>
    <t>821903C</t>
  </si>
  <si>
    <t>821902E</t>
  </si>
  <si>
    <t>821907T</t>
  </si>
  <si>
    <t>821906V</t>
  </si>
  <si>
    <t>821908R</t>
  </si>
  <si>
    <t>832722U</t>
  </si>
  <si>
    <t>821912B</t>
  </si>
  <si>
    <t>821915U</t>
  </si>
  <si>
    <t>Pearland Estate</t>
  </si>
  <si>
    <t>826722E</t>
  </si>
  <si>
    <t>Archi Altun</t>
  </si>
  <si>
    <t>0424 786 708</t>
  </si>
  <si>
    <t>archi@advantagepropertygroup.com.au</t>
  </si>
  <si>
    <t>836051V</t>
  </si>
  <si>
    <t>Pelican Place Estate</t>
  </si>
  <si>
    <t>Cranbourne South 3977</t>
  </si>
  <si>
    <t>846186P</t>
  </si>
  <si>
    <t>Bruce Lewis</t>
  </si>
  <si>
    <t>0488 972 710</t>
  </si>
  <si>
    <t>bruce@kaikura.com.au</t>
  </si>
  <si>
    <t>Dwellings on lots 300-450m2 must have a
minimum floor area of 100m2.
3.2.3 Dwellings on lots 451-600m2 must have a
minimum floor area of 140m2.
3.2.4 Dwellings on lots exceeding 601m2 must have a
minimum floor area of 165m2.</t>
  </si>
  <si>
    <t>Garages must not be greater than 40% of the
total lot frontage and/or 6m in width, whichever
is lesser.
The garage opening must not exceed 30% of the
area of the front façade if the building is two or
more storeys and on a lot with an area less than
300 square metres. This area of the front façade
must be measured from a two-dimensional
elevation plan of the façade, excluding the area of
the roof of the dwelling.</t>
  </si>
  <si>
    <t>846186O/S2</t>
  </si>
  <si>
    <t>Penny Royal Estate</t>
  </si>
  <si>
    <t>Kurunjang 3337</t>
  </si>
  <si>
    <t>709520W</t>
  </si>
  <si>
    <t>Devine</t>
  </si>
  <si>
    <t>Denise de Morton</t>
  </si>
  <si>
    <t>pennyroyal@rpmrealestate.com.au</t>
  </si>
  <si>
    <t>743431C</t>
  </si>
  <si>
    <t>743465J</t>
  </si>
  <si>
    <t>746272E</t>
  </si>
  <si>
    <t>Peppercorn Hill</t>
  </si>
  <si>
    <t>804573T</t>
  </si>
  <si>
    <t>LL (Landmark Lots) must have roof pitch of 25 degrees for single storey homes and 22.5 degrees for double storey homes.
Minimum ceiling height of 2.7m for single storey homes.
A balcony at the first floor level addressing the principal frontage if it is a two storey house.</t>
  </si>
  <si>
    <t>Garage and other walls which are not directly on a boundary are to be set back a minimum of 1m.</t>
  </si>
  <si>
    <t>Lots with a frontage of 10m or less and are single storey must not contain a garage opening that exceeds 2.7m.
Lots with a frontage greater than 10m and less than 12.5m must not contain a garage opening that exceeds 4.8m.
Lots with a frontage greater than 12.5m, the total width of garage doors facing a street cannot exceed 6m.</t>
  </si>
  <si>
    <t>822742U</t>
  </si>
  <si>
    <t>822743S</t>
  </si>
  <si>
    <t>828047G</t>
  </si>
  <si>
    <t>847488R</t>
  </si>
  <si>
    <t>900902Q</t>
  </si>
  <si>
    <t>905184S</t>
  </si>
  <si>
    <t>Peppermint Grove Estate</t>
  </si>
  <si>
    <t>644683A</t>
  </si>
  <si>
    <t>Jacqueline</t>
  </si>
  <si>
    <t>700321C</t>
  </si>
  <si>
    <t>700336N</t>
  </si>
  <si>
    <t>Phalaris Park</t>
  </si>
  <si>
    <t>Lovely Banks 3213</t>
  </si>
  <si>
    <t>543278X</t>
  </si>
  <si>
    <t xml:space="preserve">Maxwell Collins Real Estate </t>
  </si>
  <si>
    <t xml:space="preserve">simon@maxwellcollins.com.au   </t>
  </si>
  <si>
    <t>834027D</t>
  </si>
  <si>
    <t>Pinnacle Estate</t>
  </si>
  <si>
    <t>740407Q</t>
  </si>
  <si>
    <t>Locating living areas to the north of the dwelling.</t>
  </si>
  <si>
    <t xml:space="preserve">Not occupy more than 40% of the width of
the lot frontage, unless the dwelling is two (2)
or more storeys whereby the garage opening
should not exceed 30% of the area of the front
façade of the dwelling </t>
  </si>
  <si>
    <t>Site Costs - 15K + 10K + Fill + Fall</t>
  </si>
  <si>
    <t>740423S</t>
  </si>
  <si>
    <t>815356Q</t>
  </si>
  <si>
    <t>815350D</t>
  </si>
  <si>
    <t>827026V</t>
  </si>
  <si>
    <t>804205F</t>
  </si>
  <si>
    <t>834198Y</t>
  </si>
  <si>
    <t>903670T</t>
  </si>
  <si>
    <t>845409B</t>
  </si>
  <si>
    <t>834204H</t>
  </si>
  <si>
    <t>848612N</t>
  </si>
  <si>
    <t>Lot 1016, 1017 has special building envelop</t>
  </si>
  <si>
    <t>845411Q</t>
  </si>
  <si>
    <t>Platform Estate</t>
  </si>
  <si>
    <t>821909P</t>
  </si>
  <si>
    <t>Garages must be setback at least 5.5m from
primary property boundary and additionally, a
minimum of 0.84m behind the front building line.</t>
  </si>
  <si>
    <t>Total site coverage must not exceed 60%.
Dwellings on lots 300-450m2 must have a minimum floor area of 100m2.
Dwellings on lots 451-600m2 must have a minimum floor area of 140m2.
Dwellings on lots exceeding 601m2 must have a minimum floor area of 165m2.
Impervious materials must not cover more than 80% of the lot.</t>
  </si>
  <si>
    <t>Garages must not be greater than 40% of the
total lot frontage and/or 6m in width, whichever
is lesser.</t>
  </si>
  <si>
    <t>821910F</t>
  </si>
  <si>
    <t>821911D</t>
  </si>
  <si>
    <t>821919L</t>
  </si>
  <si>
    <t>832724Q</t>
  </si>
  <si>
    <t>4D</t>
  </si>
  <si>
    <t>832725N</t>
  </si>
  <si>
    <t>821920C</t>
  </si>
  <si>
    <t>832758W</t>
  </si>
  <si>
    <t>832726L</t>
  </si>
  <si>
    <t>832727J</t>
  </si>
  <si>
    <t>846191W</t>
  </si>
  <si>
    <t>846190Y</t>
  </si>
  <si>
    <t>Platinum Rise</t>
  </si>
  <si>
    <t>834302H</t>
  </si>
  <si>
    <t>Angie Keeble</t>
  </si>
  <si>
    <t>0407 340 957</t>
  </si>
  <si>
    <t>platinumrise@a1group.com.au</t>
  </si>
  <si>
    <t>at least 130m2 on land equal or less than 600m2
150m2 on land greater than 600m2 but equal to or less than 900m2
180m2 on land greater than 900m2</t>
  </si>
  <si>
    <t>Single storey only</t>
  </si>
  <si>
    <t>834303F</t>
  </si>
  <si>
    <t>838407V</t>
  </si>
  <si>
    <t>838408T</t>
  </si>
  <si>
    <t>844531K</t>
  </si>
  <si>
    <t>Plenty Valley Views</t>
  </si>
  <si>
    <t>811811P</t>
  </si>
  <si>
    <t>811813K</t>
  </si>
  <si>
    <t>Ploughmans Arms Estate</t>
  </si>
  <si>
    <t>Bonshaw 3350</t>
  </si>
  <si>
    <t>723410Y</t>
  </si>
  <si>
    <t>Caromine</t>
  </si>
  <si>
    <t>Jody Shillito</t>
  </si>
  <si>
    <t>0434 848 782</t>
  </si>
  <si>
    <t>jody@ploughmansarms.com.au</t>
  </si>
  <si>
    <t>723414Q</t>
  </si>
  <si>
    <t>744342V</t>
  </si>
  <si>
    <t>807508P</t>
  </si>
  <si>
    <t>744363M</t>
  </si>
  <si>
    <t>807501E</t>
  </si>
  <si>
    <t>Prominence Estate</t>
  </si>
  <si>
    <t>723946E/S3</t>
  </si>
  <si>
    <t>Fiona Putrino</t>
  </si>
  <si>
    <t>0403 195 335</t>
  </si>
  <si>
    <t>fputrino@coreprojects.com.au</t>
  </si>
  <si>
    <t>Allowance for Acoustic rated walls. $15000 single, $20000 double. ****LOTS  51-61  ONLY****</t>
  </si>
  <si>
    <t>723946E/S4</t>
  </si>
  <si>
    <t>Prospect Views Estate</t>
  </si>
  <si>
    <t>National Realty</t>
  </si>
  <si>
    <t>(03) 9650 5577</t>
  </si>
  <si>
    <t>nationalrealtyvic@bigpond.com</t>
  </si>
  <si>
    <t>Providence</t>
  </si>
  <si>
    <t>846166V</t>
  </si>
  <si>
    <t xml:space="preserve">min. dwelling size (excluding integrated garage) of 120.78 square metres (13 squares). </t>
  </si>
  <si>
    <t>i. on Lots with a frontage less than or equal to 14 metres not less than 1 metre from one side boundary;
ii. on Lots with a frontage greater than 14 metres not less than 1 metre from both side boundaries;
iii. on corner Lots not less than 2 metres from the side boundary having a street frontage and 1 metre from the remaining side boundary;</t>
  </si>
  <si>
    <t>846168R</t>
  </si>
  <si>
    <t>Province  Estate</t>
  </si>
  <si>
    <t>739400N</t>
  </si>
  <si>
    <t>Nesci</t>
  </si>
  <si>
    <t xml:space="preserve">Phillip DiBattisha </t>
  </si>
  <si>
    <t>0409 863 895</t>
  </si>
  <si>
    <t>804846J</t>
  </si>
  <si>
    <t>737209N</t>
  </si>
  <si>
    <t>737211C</t>
  </si>
  <si>
    <t>A</t>
  </si>
  <si>
    <t>Quarters Estate</t>
  </si>
  <si>
    <t>727722G</t>
  </si>
  <si>
    <t>John Hendriks</t>
  </si>
  <si>
    <t>0418 308 051</t>
  </si>
  <si>
    <t>jh@rohenestates.com.au</t>
  </si>
  <si>
    <t>Some lots, (as identified on the Plan of Subdivision), must include minimum 450mm wide eaves to the entire house. For more information, please refer to your contract of sale.</t>
  </si>
  <si>
    <t>Infill panels over windows, doors and garage door must be finished flush with front facade.Note Only</t>
  </si>
  <si>
    <t>The Quarters premium fencing for side and rear boundaries adjacent to roads and/or parklands (40% of boundary)</t>
  </si>
  <si>
    <t>Quay Estate</t>
  </si>
  <si>
    <t>815475G</t>
  </si>
  <si>
    <t>Red23</t>
  </si>
  <si>
    <t>Adriana Falcone</t>
  </si>
  <si>
    <t>0415 772 525</t>
  </si>
  <si>
    <t xml:space="preserve"> adriana@quay2.com.au</t>
  </si>
  <si>
    <t>Provide 18 degree roof pitch in lieu of 22.5 degree. $1500</t>
  </si>
  <si>
    <t xml:space="preserve"> Façade materials, parapets and roof forms must be continued for at least 1 .5m along each side of the dwelling</t>
  </si>
  <si>
    <t>The maximum site coverage of Conventional Lots, excluding Corner Lots is 60% .</t>
  </si>
  <si>
    <t>A minimum secluded private outdoor space of 25sqm is required, adjacent to living areas and screened from the street and
direct neighbours . [Screen planting is acceptable] This must have a minimum dimension in any direction of 3m</t>
  </si>
  <si>
    <t>To ensure natural materials such as timber and stone are part of the dwelling facades and that coloured coatings do not
clash or dominate over these materials or landscaping . $2000 Allowance</t>
  </si>
  <si>
    <t>812412Y</t>
  </si>
  <si>
    <t>815490L</t>
  </si>
  <si>
    <t>815496X</t>
  </si>
  <si>
    <t>Queens Brook</t>
  </si>
  <si>
    <t>Maddingley 3340</t>
  </si>
  <si>
    <t>815091B</t>
  </si>
  <si>
    <t>Entire for Doubles $3300</t>
  </si>
  <si>
    <t>815093W</t>
  </si>
  <si>
    <t>815092Y</t>
  </si>
  <si>
    <t>839688D</t>
  </si>
  <si>
    <t>Ramlegh Springs Estate</t>
  </si>
  <si>
    <t>824436R</t>
  </si>
  <si>
    <t>Trudi Kerr</t>
  </si>
  <si>
    <t>0410 154 008</t>
  </si>
  <si>
    <t>t.kerr@oliverhume.com.au</t>
  </si>
  <si>
    <t>Double Garage required on blocks 12.5 and over. NOT A Chelsea 16</t>
  </si>
  <si>
    <t>824437P</t>
  </si>
  <si>
    <t>804261P</t>
  </si>
  <si>
    <t>800926H</t>
  </si>
  <si>
    <t>811537H</t>
  </si>
  <si>
    <t>811549A</t>
  </si>
  <si>
    <t>804274E</t>
  </si>
  <si>
    <t>Rathdowne Estate</t>
  </si>
  <si>
    <t>803931Y/S2</t>
  </si>
  <si>
    <t>Elena Kavnoudias</t>
  </si>
  <si>
    <t>0434 665 147</t>
  </si>
  <si>
    <t>oliverhume@oliverhume.com.au</t>
  </si>
  <si>
    <t>Entire 3300</t>
  </si>
  <si>
    <t xml:space="preserve">Need plenty of rock allowance here </t>
  </si>
  <si>
    <t>Double garages must be provided for on lots greater than 12.5 metres in
width. Garages must be constructed within the Building Envelope and sited
a minimum of 5 metres from the front street boundary. The garage setback
also applies for entry to the garage from the side street boundary. This
applies for standard lots greater than 12.5 metre frontages.</t>
  </si>
  <si>
    <t>New Haven Precinct only</t>
  </si>
  <si>
    <t>803931Y</t>
  </si>
  <si>
    <t>803931Y/S4</t>
  </si>
  <si>
    <t>819166Y/S2</t>
  </si>
  <si>
    <t>803931Y/S5</t>
  </si>
  <si>
    <t>803931Y/S6</t>
  </si>
  <si>
    <t>803931Y/S7</t>
  </si>
  <si>
    <t>803931Y/S8</t>
  </si>
  <si>
    <t>803931Y/S9</t>
  </si>
  <si>
    <t>803931Y/S10</t>
  </si>
  <si>
    <t>803931Y/S15</t>
  </si>
  <si>
    <t>803931Y/S16</t>
  </si>
  <si>
    <t>803931Y/S20</t>
  </si>
  <si>
    <t>819166Y/S21</t>
  </si>
  <si>
    <t>819166Y/S22</t>
  </si>
  <si>
    <t>If lot is next to open space double story dwelling required.</t>
  </si>
  <si>
    <t>Redlands Estate</t>
  </si>
  <si>
    <t>746756F</t>
  </si>
  <si>
    <t>Michael Huynh</t>
  </si>
  <si>
    <t>804337G</t>
  </si>
  <si>
    <t>804340T</t>
  </si>
  <si>
    <t>Redstone Northvale Estate</t>
  </si>
  <si>
    <t>828173B</t>
  </si>
  <si>
    <t>0424 559 197</t>
  </si>
  <si>
    <t>All homes must allow for an enclosed double garage for car accommodation</t>
  </si>
  <si>
    <t>All homes with a lot area equal to or greater than 350m² must include a rainwater tank
with a minimum capacity of 2,000 litres which is to be connected for use in the toilet,
laundry and garden.</t>
  </si>
  <si>
    <t>The minimum dwelling size is:
• 75 square metres in the case of a lot having an area of less than 300 square metres; or
• 100 square metres in the case of a lot having an area of 300 square metres or greater,
but less than 400 square metres; or
• 130 square metres in the case of a lot having an area of 400 square metres or greater,
but less than 500 square metres; or
• 160 square metres in the case of a lot having an area of 500 square metres or greater.</t>
  </si>
  <si>
    <t>Provide 1No. Midea 280 litre Electric Heat Pump Water Heater with 1No. 20amp Weatherproof GPO on Isolator Switch in lieu of standard Solar Hot Water System. $-130</t>
  </si>
  <si>
    <t>Provide 1No. Domain 900mm 9 Function Fan Forced Electric Oven – DEO-R90A in lieu of standard and provide 1No. Domain Dual Bridge Induction Cooktop with Triple Flexi-Zone Burners and Touch Controls – 900mm – IND90-EC. =$1559</t>
  </si>
  <si>
    <t>Provide York 17kW single phase reverse cycle ducted heating/cooling unit in lieu of standard heating unit including:
- York inverter unit in lieu of standard Bonaire MB3 30i
- Provide 6No. outlets (dependant on house type)
- Provide 1No. Filtered Return Air Grille
Single $15000
Double $25000</t>
  </si>
  <si>
    <t>828173B/S2</t>
  </si>
  <si>
    <t>Doubles: Elite and Alpha
Singles: Duke, Watson and President
3 or more materials required to façade</t>
  </si>
  <si>
    <t>828173B/S3</t>
  </si>
  <si>
    <t>828173B/S4</t>
  </si>
  <si>
    <t>828173B/S5A</t>
  </si>
  <si>
    <t>828173B/S21</t>
  </si>
  <si>
    <t>828173B/S6</t>
  </si>
  <si>
    <t>828173B/S12</t>
  </si>
  <si>
    <t>828173B/S8</t>
  </si>
  <si>
    <t>828173B/S9</t>
  </si>
  <si>
    <t>828173B/S11</t>
  </si>
  <si>
    <t>Redstone Town Centre Estate</t>
  </si>
  <si>
    <t>Charcoal</t>
  </si>
  <si>
    <t>Redstone Eastvale Estate</t>
  </si>
  <si>
    <t>Redstone Valleyview Estate</t>
  </si>
  <si>
    <t>Redstone Panorama Estate</t>
  </si>
  <si>
    <t>Redstone Macedon Views Estate</t>
  </si>
  <si>
    <t>Regency Views Estate</t>
  </si>
  <si>
    <t>906351U</t>
  </si>
  <si>
    <t>Rachael Do</t>
  </si>
  <si>
    <t>0408 584 339</t>
  </si>
  <si>
    <t>Rachael@kohamproperty.com.au</t>
  </si>
  <si>
    <t>Regent Views Estate</t>
  </si>
  <si>
    <t>733607W</t>
  </si>
  <si>
    <t>Kincaid Projects</t>
  </si>
  <si>
    <t>Frank Franze</t>
  </si>
  <si>
    <t>1300 326 176</t>
  </si>
  <si>
    <t>frank@red23.com.au</t>
  </si>
  <si>
    <t>733608U</t>
  </si>
  <si>
    <t>Renaissance Rise</t>
  </si>
  <si>
    <t>641065U</t>
  </si>
  <si>
    <t>The minimum habitable dwelling size, excluding garages,
verandahs, balconies, porches and alfresco areas is 90m2.
This applies to all lots.</t>
  </si>
  <si>
    <t>721502E</t>
  </si>
  <si>
    <t>721514W</t>
  </si>
  <si>
    <t>Ridgelea</t>
  </si>
  <si>
    <t>Pakenham East  3810</t>
  </si>
  <si>
    <t>908946A</t>
  </si>
  <si>
    <t>Laura Patchell</t>
  </si>
  <si>
    <t>Laura@parklea.com</t>
  </si>
  <si>
    <t>Entire if Double = $3300</t>
  </si>
  <si>
    <t>For lots with areas larger than or equal to 300 m2 and
smaller than 400m2, the floor area must be at least
135m2
For lots with areas larger than or equal to 400m2 and
smaller than 500m2, the floor area must be at least
149m2
For lots equal to or larger than 500m2, the floor area
must be at least 175m</t>
  </si>
  <si>
    <t>On a lot with a frontage of 12m or wider, the garage
must be double
For a single storey house, the garage opening must not
exceed 40% of the lot’s width at that setback</t>
  </si>
  <si>
    <t>Rivendell Heights  Estate</t>
  </si>
  <si>
    <t xml:space="preserve">Max Brown Real Estate Group </t>
  </si>
  <si>
    <t xml:space="preserve">Joe Anto </t>
  </si>
  <si>
    <t>801713V/S2</t>
  </si>
  <si>
    <t>801713V/s3</t>
  </si>
  <si>
    <t>801713V/s4</t>
  </si>
  <si>
    <t>801713V/S5</t>
  </si>
  <si>
    <t>Riverdale Village Estate</t>
  </si>
  <si>
    <t>730382L</t>
  </si>
  <si>
    <t>Neetish Kumar</t>
  </si>
  <si>
    <t>0418 577 055</t>
  </si>
  <si>
    <t>riverdalevillage@latituderealestate.com.au</t>
  </si>
  <si>
    <t>730388X</t>
  </si>
  <si>
    <t>738387G</t>
  </si>
  <si>
    <t>746767A</t>
  </si>
  <si>
    <t>738403M</t>
  </si>
  <si>
    <t>746768X</t>
  </si>
  <si>
    <t>804366Y</t>
  </si>
  <si>
    <t>804312Y</t>
  </si>
  <si>
    <t>746758M</t>
  </si>
  <si>
    <t>804339C</t>
  </si>
  <si>
    <t>746760Q</t>
  </si>
  <si>
    <t>804293A</t>
  </si>
  <si>
    <t>804359V</t>
  </si>
  <si>
    <t>811177M</t>
  </si>
  <si>
    <t>811191T</t>
  </si>
  <si>
    <t>811235A</t>
  </si>
  <si>
    <t>831677C</t>
  </si>
  <si>
    <t>14B</t>
  </si>
  <si>
    <t>20A</t>
  </si>
  <si>
    <t>811236X</t>
  </si>
  <si>
    <t>811266N</t>
  </si>
  <si>
    <t>811267L</t>
  </si>
  <si>
    <t>825830G</t>
  </si>
  <si>
    <t>738338V</t>
  </si>
  <si>
    <t>Riverfield</t>
  </si>
  <si>
    <t>839059M</t>
  </si>
  <si>
    <t>0438 951 663</t>
  </si>
  <si>
    <t>jason@bpg.com.au</t>
  </si>
  <si>
    <t>If the lot has an area between 250 and 300 square
meters or the dwelling is two or more storeys, the
garage door must not exceed 30% of the area of the
front facade of the dwelling</t>
  </si>
  <si>
    <t>In all other instances, the garage door opening must
not exceed 40% of the width of the lot frontage</t>
  </si>
  <si>
    <t>839061B</t>
  </si>
  <si>
    <t>839059M/S4</t>
  </si>
  <si>
    <t>839059M/S6</t>
  </si>
  <si>
    <t>839059M/S8</t>
  </si>
  <si>
    <t>839059M/S9</t>
  </si>
  <si>
    <t>839059M/S10</t>
  </si>
  <si>
    <t>839059M/S11</t>
  </si>
  <si>
    <t>Riverhills Estate</t>
  </si>
  <si>
    <t>822274C</t>
  </si>
  <si>
    <t>Dahua</t>
  </si>
  <si>
    <t>0437 197 404</t>
  </si>
  <si>
    <t>riverhills@rpmrealestate.com.au</t>
  </si>
  <si>
    <t>Lots less than 10.5m wide must have a single garage.</t>
  </si>
  <si>
    <t xml:space="preserve">Corner Lot, Provide Painted or Stained Finish to Street Facing Side Boundary Fence - $45 per lm </t>
  </si>
  <si>
    <t>822270L</t>
  </si>
  <si>
    <t>822249B</t>
  </si>
  <si>
    <t>832953Y</t>
  </si>
  <si>
    <t>909586Y</t>
  </si>
  <si>
    <t>River Valley</t>
  </si>
  <si>
    <t>Sunshine North 3020</t>
  </si>
  <si>
    <t>725961X</t>
  </si>
  <si>
    <t>Your Land Developments</t>
  </si>
  <si>
    <t>Patricio Benitez</t>
  </si>
  <si>
    <t>0409 157 283</t>
  </si>
  <si>
    <t>patricio@rivervalley.com.au</t>
  </si>
  <si>
    <t>709369X</t>
  </si>
  <si>
    <t>740161W</t>
  </si>
  <si>
    <t>817489J</t>
  </si>
  <si>
    <t>Riverina Rise Estate</t>
  </si>
  <si>
    <t>646670Y</t>
  </si>
  <si>
    <t>ADR Developments</t>
  </si>
  <si>
    <t>ann@riverinarise.com.au</t>
  </si>
  <si>
    <t>Riverstone Estate</t>
  </si>
  <si>
    <t>721472L</t>
  </si>
  <si>
    <t>Satterleys</t>
  </si>
  <si>
    <t>Rebecca Hay</t>
  </si>
  <si>
    <t>0434 182 337</t>
  </si>
  <si>
    <t>rebeccah@Satterley.com.au</t>
  </si>
  <si>
    <t>Riverviews Estate</t>
  </si>
  <si>
    <t>725408Y/S10</t>
  </si>
  <si>
    <t>Minimum side setbacks are as follows: 2.0m from a side street; 1.0m on one side,
and 0.0m or 1.0m on the other side.
» 0.0m side setbacks must be fronted by a garage/carport structure and not be
greater than 12.0m in length.</t>
  </si>
  <si>
    <t>The width of a garage/carport must not exceed more than 50% of the façade</t>
  </si>
  <si>
    <t>Required on corner include $45/lm paint in Woodland Grey</t>
  </si>
  <si>
    <t>Riverwalk Estate</t>
  </si>
  <si>
    <t>636838S</t>
  </si>
  <si>
    <t>Places Victoria</t>
  </si>
  <si>
    <t>Vince Cagligiuri</t>
  </si>
  <si>
    <t>0408 888 408</t>
  </si>
  <si>
    <t>riverwalk@rpmrealestate.com.au</t>
  </si>
  <si>
    <t xml:space="preserve">Riverwalk Fibre Estate Package including:    $2500
- Five (5) x Wall Plates with 2 points installed into Lounge room or Entertainment Area, Master, Bed 2, Bed 3 and Kitchen
- Installation and termination of all cables to be fit off to FTTH cabinet (supplied by Places Victoria) 
- One (1) Patch Panel including separate circuit
- One (1) Double GPO 
- Earthing of enclosure to main switch board
- Mode 3 phone socket with filter
- Krone disconnection block
- Paper work lodged for certification </t>
  </si>
  <si>
    <t>641304D</t>
  </si>
  <si>
    <t>707855Y</t>
  </si>
  <si>
    <t>707862C</t>
  </si>
  <si>
    <t>735719Y</t>
  </si>
  <si>
    <t>744065V</t>
  </si>
  <si>
    <t>744980L</t>
  </si>
  <si>
    <t>744986X</t>
  </si>
  <si>
    <t>744987V</t>
  </si>
  <si>
    <t>744992D</t>
  </si>
  <si>
    <t>744995W</t>
  </si>
  <si>
    <t>810598R</t>
  </si>
  <si>
    <t>810599P</t>
  </si>
  <si>
    <t>810600J</t>
  </si>
  <si>
    <t>22B</t>
  </si>
  <si>
    <t>828089P</t>
  </si>
  <si>
    <t>812975B</t>
  </si>
  <si>
    <t>23B</t>
  </si>
  <si>
    <t>839498J</t>
  </si>
  <si>
    <t>820862U</t>
  </si>
  <si>
    <t>820860Y</t>
  </si>
  <si>
    <t>828095U</t>
  </si>
  <si>
    <t>828100F</t>
  </si>
  <si>
    <t>828101D</t>
  </si>
  <si>
    <t>830046V</t>
  </si>
  <si>
    <t>842936S</t>
  </si>
  <si>
    <t>Lots less than 10.5m must have single garage</t>
  </si>
  <si>
    <t>842937Q</t>
  </si>
  <si>
    <t>844471B</t>
  </si>
  <si>
    <t>844472Y</t>
  </si>
  <si>
    <t>844473W</t>
  </si>
  <si>
    <t>641301K</t>
  </si>
  <si>
    <t>25A</t>
  </si>
  <si>
    <t>820861W</t>
  </si>
  <si>
    <t>25D</t>
  </si>
  <si>
    <t>River Garden Estate</t>
  </si>
  <si>
    <t>835194C</t>
  </si>
  <si>
    <t>Dinesh</t>
  </si>
  <si>
    <t>0412 961 148</t>
  </si>
  <si>
    <t>info@tycoonestate.com.au</t>
  </si>
  <si>
    <t>835195A</t>
  </si>
  <si>
    <t>835196X</t>
  </si>
  <si>
    <t>Rivulet Estate</t>
  </si>
  <si>
    <t>848302E</t>
  </si>
  <si>
    <t>Georgina Gill</t>
  </si>
  <si>
    <t>0467 999 961</t>
  </si>
  <si>
    <t>rivulet@rpmrealestate.com.au</t>
  </si>
  <si>
    <t>Double if entire 3300</t>
  </si>
  <si>
    <t xml:space="preserve"> For dwellings and garages that are not built on or within 200mm of the side boundary,
they must be set back a minimum of 1.0m from the side boundary.
1.3 Side setbacks must be a minimum of 1.0 metre from at least one side boundary</t>
  </si>
  <si>
    <t>Lots 12.5 or greater must have a double garage
Lots less than 12.5m must incorporate a minimum single</t>
  </si>
  <si>
    <t>848303C</t>
  </si>
  <si>
    <t>901501E</t>
  </si>
  <si>
    <t>903727Q</t>
  </si>
  <si>
    <t>905138A</t>
  </si>
  <si>
    <t>909732Q</t>
  </si>
  <si>
    <t>Robinsons Rise Estate</t>
  </si>
  <si>
    <t>718149M</t>
  </si>
  <si>
    <t>Lots with a street frontage of less than 12.5m, a single garage is required with a maximum door width of 2.7m
Lots with a street frontage of 12.5m or greater, the maximum width allowable for the garage door is 5.5m
Where a development is two storeys and the garage door width exceeds 40% of the allotment width, then balconies or windows are to be placed above the garage</t>
  </si>
  <si>
    <t>Dark muted</t>
  </si>
  <si>
    <t>Boundaries adjoining open space or drainage reserves are to have 70% transparent fencing, finished in a dark or muted tones - getting pricing from Bluepac. CANNOT PACKAGE THESE LOTS AT THE MOMENT</t>
  </si>
  <si>
    <t>Where a lot has a street frontage of 20m or more, all side boundary setbacks must be at least 1m, including garage walls.</t>
  </si>
  <si>
    <t>No walls on boundary are permitted to boundaries a butting a recreational, drainage or rail Reserve.</t>
  </si>
  <si>
    <t>Where walls are built to the boundary both sides of the dwelling, the Garage must provide direct egress through to the rear garden</t>
  </si>
  <si>
    <t xml:space="preserve">Rockdale Estate </t>
  </si>
  <si>
    <t>816041M</t>
  </si>
  <si>
    <t>300m2 or more and 350m2 or less ....................100m2
More than 350m2 and 450m2 or less................120m2
More than 450m2 .................................................150m2</t>
  </si>
  <si>
    <t>The width of the dwelling, including the
garage, should not be less than 70% of
the lot width. For irregular lots, lot width is
measured at the front building line</t>
  </si>
  <si>
    <t>816019E</t>
  </si>
  <si>
    <t>816042K</t>
  </si>
  <si>
    <t>Rosehill</t>
  </si>
  <si>
    <t>830458V</t>
  </si>
  <si>
    <t>Kevin Woodhoo</t>
  </si>
  <si>
    <t>0490 030 197</t>
  </si>
  <si>
    <t>kevin@vhls.net.au</t>
  </si>
  <si>
    <t>For lots with a frontage of less than 10.5m, a single garage is required with a maximum
opening width of 2.5m.
• For lots with a frontage of 10.5-12.5m, a double garage is required with a maximum opening
size of 4.8m.
• For lots with a frontage of 12.5m or greater and 14m
or less, the maximum width allowable for the garage
door is 5.5m. Lots with a frontage of 15m or greater
may have a garage with a greater maximum width if it
doesn’t exceed 40% of the width of the lot.</t>
  </si>
  <si>
    <t xml:space="preserve"> For dwellings on lots with frontages of 20 metres and greater (except corner lots), all side
boundary setbacks including that of garages must be a minimum of 1 metre.
• For dwellings on lots with frontages less than 20 metres and on 300m2 or greater, a side
setback of 1 metre applies to one side of the allotment only.</t>
  </si>
  <si>
    <t>830459T</t>
  </si>
  <si>
    <t>Rosenthal Estate</t>
  </si>
  <si>
    <t>739091Y</t>
  </si>
  <si>
    <t>9740 2000</t>
  </si>
  <si>
    <t>rosenthal@rpmrealestate.com.au</t>
  </si>
  <si>
    <t>Required down the side on a corner block</t>
  </si>
  <si>
    <t>739082A</t>
  </si>
  <si>
    <t>817119U</t>
  </si>
  <si>
    <t>817126X</t>
  </si>
  <si>
    <t>817123E</t>
  </si>
  <si>
    <t>847745X</t>
  </si>
  <si>
    <t>847751D</t>
  </si>
  <si>
    <t>805593G</t>
  </si>
  <si>
    <t>840890B</t>
  </si>
  <si>
    <t>847764T</t>
  </si>
  <si>
    <t>E4</t>
  </si>
  <si>
    <t>847773S</t>
  </si>
  <si>
    <t>E5</t>
  </si>
  <si>
    <t>847781T</t>
  </si>
  <si>
    <t>9W</t>
  </si>
  <si>
    <t>808099Y</t>
  </si>
  <si>
    <t>W3</t>
  </si>
  <si>
    <t>739058W</t>
  </si>
  <si>
    <t>W10</t>
  </si>
  <si>
    <t>824820Q</t>
  </si>
  <si>
    <t>W11</t>
  </si>
  <si>
    <t>824847T</t>
  </si>
  <si>
    <t>W12</t>
  </si>
  <si>
    <t>835083M</t>
  </si>
  <si>
    <t>Roses Estate</t>
  </si>
  <si>
    <t>711709M</t>
  </si>
  <si>
    <t>9225 5150</t>
  </si>
  <si>
    <t>Verandahs, porticos and porches are to have a maximum height
of less than 3.6m above natural ground level, and be a minimum
4m² in area with a depth of 1m.</t>
  </si>
  <si>
    <t>Garage openings for single storey dwellings are to constitute no
more than 40 per cent of the width of the frontage of a lot.</t>
  </si>
  <si>
    <t>For double storey dwellings, garages must not exceed 25 per
cent of the area of the front façade of the dwelling.</t>
  </si>
  <si>
    <t>Dwellings on narrow allotments (less than 12 metres in width)
are only permitted a single car garage to the street frontage;
unless the dwelling is double storey</t>
  </si>
  <si>
    <t>711709 M/S4</t>
  </si>
  <si>
    <t>730185N</t>
  </si>
  <si>
    <t>730185 N/S2</t>
  </si>
  <si>
    <t>Rosewood Estate</t>
  </si>
  <si>
    <t>817621M</t>
  </si>
  <si>
    <t>Sumit Sondhi</t>
  </si>
  <si>
    <t>0477 888 785</t>
  </si>
  <si>
    <t>rosewood2@rpmrealestate.com.au</t>
  </si>
  <si>
    <t>No house shall be built with an area of less than 110m2
(exclusive of garage).
This provision does not apply to lots less than 300m2.</t>
  </si>
  <si>
    <t>For lots with a frontage less than 10.5m, a single garage
is required with a maximum door width of 2.6m, unless
the dwelling is two storeys</t>
  </si>
  <si>
    <t xml:space="preserve"> Provide a garage door(s) which does not exceed 40%
of the allotment width, unless the dwelling is two storey</t>
  </si>
  <si>
    <t>817658M</t>
  </si>
  <si>
    <t>831648K</t>
  </si>
  <si>
    <t>838509M</t>
  </si>
  <si>
    <t>838510D</t>
  </si>
  <si>
    <t>838513W</t>
  </si>
  <si>
    <t>Rothwell Estate</t>
  </si>
  <si>
    <t>730390M</t>
  </si>
  <si>
    <t>0417 516 937</t>
  </si>
  <si>
    <t>Rothwell@rpmrealestate.com.au</t>
  </si>
  <si>
    <t>738348S</t>
  </si>
  <si>
    <t>738349Q</t>
  </si>
  <si>
    <t>738357R</t>
  </si>
  <si>
    <t>746757D</t>
  </si>
  <si>
    <t>811232G</t>
  </si>
  <si>
    <t>811248Q</t>
  </si>
  <si>
    <t>817629U</t>
  </si>
  <si>
    <t>Saltwater Coast Estate</t>
  </si>
  <si>
    <t>611333Q</t>
  </si>
  <si>
    <t>FKP</t>
  </si>
  <si>
    <t>d.rabba@oliverhume.com.au</t>
  </si>
  <si>
    <t>611333Q/15</t>
  </si>
  <si>
    <t>611333Q/20</t>
  </si>
  <si>
    <t>611333Q/S241</t>
  </si>
  <si>
    <t>611333Q/S28</t>
  </si>
  <si>
    <t>611333Q/S29</t>
  </si>
  <si>
    <t>611333Q/S32</t>
  </si>
  <si>
    <t>611333Q/S33</t>
  </si>
  <si>
    <t>29A</t>
  </si>
  <si>
    <t>611333Q/S291</t>
  </si>
  <si>
    <t>34A</t>
  </si>
  <si>
    <t>611333Q/S341</t>
  </si>
  <si>
    <t>35A</t>
  </si>
  <si>
    <t>611333Q/S351</t>
  </si>
  <si>
    <t>Sanctuary Springs</t>
  </si>
  <si>
    <t>838264R</t>
  </si>
  <si>
    <t>Granite Projects</t>
  </si>
  <si>
    <t>Adam El Adam</t>
  </si>
  <si>
    <t>0499 949 752</t>
  </si>
  <si>
    <t>sanctuarysprings@rpmrealestate.com.au</t>
  </si>
  <si>
    <t>construct a dwelling on the Lot UNLESS such dwelling house has a floor area of not less than 120 square
metres, excluding any garage, carport, veranda, portico, alfresco, or outbuildings</t>
  </si>
  <si>
    <t>838265P</t>
  </si>
  <si>
    <t>841613Y</t>
  </si>
  <si>
    <t>Sanctuary Estate</t>
  </si>
  <si>
    <t>Sanctuary2</t>
  </si>
  <si>
    <t>741848C</t>
  </si>
  <si>
    <t>Daniel Hasley</t>
  </si>
  <si>
    <t>andrewd@villawoodproperties.com</t>
  </si>
  <si>
    <t>Narre Warren South 3805</t>
  </si>
  <si>
    <t>709374F</t>
  </si>
  <si>
    <t>Belinda Jackson</t>
  </si>
  <si>
    <t>0425 853 625</t>
  </si>
  <si>
    <t>belinda@red23.com.au</t>
  </si>
  <si>
    <t>807882N</t>
  </si>
  <si>
    <t>807883L</t>
  </si>
  <si>
    <t>816007M</t>
  </si>
  <si>
    <t>816026H</t>
  </si>
  <si>
    <t>822704D</t>
  </si>
  <si>
    <t>816024M</t>
  </si>
  <si>
    <t>Sanctuary Lakes Estate</t>
  </si>
  <si>
    <t>511700W</t>
  </si>
  <si>
    <t>Helen Li</t>
  </si>
  <si>
    <t>0419 311 126</t>
  </si>
  <si>
    <t>helen.li@glenwaverley.rh.com.au</t>
  </si>
  <si>
    <t>Sapphire</t>
  </si>
  <si>
    <t>831956X</t>
  </si>
  <si>
    <t xml:space="preserve">Saratoga Estate </t>
  </si>
  <si>
    <t>643122Y/S6</t>
  </si>
  <si>
    <t>643122Y/S9</t>
  </si>
  <si>
    <t>643122Y/S10</t>
  </si>
  <si>
    <t>643122Y/S11</t>
  </si>
  <si>
    <t>Savana Estate</t>
  </si>
  <si>
    <t>739617L</t>
  </si>
  <si>
    <t>AVID Property Group</t>
  </si>
  <si>
    <t>Cindy McCormack</t>
  </si>
  <si>
    <t>449 259 417</t>
  </si>
  <si>
    <t>cmccormack@avidpropertygroup.com.au</t>
  </si>
  <si>
    <t>Double garage required on lots greater than 10.5, NOVO, JACKSON, CHELSEA</t>
  </si>
  <si>
    <t>746251N</t>
  </si>
  <si>
    <t>450 259 417</t>
  </si>
  <si>
    <t>749042G</t>
  </si>
  <si>
    <t>451 259 417</t>
  </si>
  <si>
    <t>803042H</t>
  </si>
  <si>
    <t>452 259 417</t>
  </si>
  <si>
    <t>803043F</t>
  </si>
  <si>
    <t>803044D</t>
  </si>
  <si>
    <t>803045B</t>
  </si>
  <si>
    <t>809298M</t>
  </si>
  <si>
    <t>809299K</t>
  </si>
  <si>
    <t>809300E</t>
  </si>
  <si>
    <t>826701N</t>
  </si>
  <si>
    <t>839245Q</t>
  </si>
  <si>
    <t>848504R</t>
  </si>
  <si>
    <t>902286A</t>
  </si>
  <si>
    <t>Where the garage door is located to the front of a dwelling, the door or opening of any garage must
occupy less than 50% of the width of the allotment’s street frontage to a maximum of 6.0m.
On two storey dwellings with garages that exceed 40% of the allotment frontage, balconies or
windows above the garage are required.
For allotments with areas less than 300m², refer to the SLHC incorporated into the Wyndham
Planning Scheme.</t>
  </si>
  <si>
    <t>Savana Estate15A</t>
  </si>
  <si>
    <t>906396V</t>
  </si>
  <si>
    <t>739613U</t>
  </si>
  <si>
    <t>0447 259 417</t>
  </si>
  <si>
    <t>742083E</t>
  </si>
  <si>
    <t>448 259 417</t>
  </si>
  <si>
    <t>Seabreeze Estate</t>
  </si>
  <si>
    <t>Indented Heads</t>
  </si>
  <si>
    <t>826443J</t>
  </si>
  <si>
    <t>Neville Richards Real Estate</t>
  </si>
  <si>
    <t>Lachlan Campbell</t>
  </si>
  <si>
    <t>0459 415 329</t>
  </si>
  <si>
    <t>lachlan@nevillerichards.com.au</t>
  </si>
  <si>
    <t>lot 1501 1502 1504 1505 1506 1507 1508 1516 1518 1519 1520 1522 1523 1525 1526 - need at least 1m on one side</t>
  </si>
  <si>
    <t>At least 120m2 if the lot is 460m2 or less or if the size of the lot is 461m2 or more, house needs to be at least 130m2 (excluding garage porch etc)</t>
  </si>
  <si>
    <t>Sea Spray Estate</t>
  </si>
  <si>
    <t>720077X</t>
  </si>
  <si>
    <t>Ace Real Estate</t>
  </si>
  <si>
    <t>0416 485 536</t>
  </si>
  <si>
    <t>sergio@acere.com.au</t>
  </si>
  <si>
    <t>720078V</t>
  </si>
  <si>
    <t>Seachange</t>
  </si>
  <si>
    <t>811689H</t>
  </si>
  <si>
    <t>100m2 (10.7 squares) on lots less than 400m2
• 120m2 (12.9 squares) on lots less than 500m2
• 150m2 (16.1 squares) on lots greater than 500m2</t>
  </si>
  <si>
    <t>813858A</t>
  </si>
  <si>
    <t>815628H</t>
  </si>
  <si>
    <t>817394V</t>
  </si>
  <si>
    <t>819956S</t>
  </si>
  <si>
    <t>822033B</t>
  </si>
  <si>
    <t>822034Y</t>
  </si>
  <si>
    <t>822047P</t>
  </si>
  <si>
    <t>823096U</t>
  </si>
  <si>
    <t>823097S</t>
  </si>
  <si>
    <t>823099N</t>
  </si>
  <si>
    <t>831523G</t>
  </si>
  <si>
    <t>Seaside Estate</t>
  </si>
  <si>
    <t>834030Q</t>
  </si>
  <si>
    <t>On lots over 500m2 or where specified in 
the relevant plan of subdivision the Dwelling
must not have a floor area less than 180sqm 
(including a Garage or carport, but excluding 
verandas, decks or pergolas)</t>
  </si>
  <si>
    <t>Garage door openings on single storey homes
must not exceed 45% of the width of the lot
frontage</t>
  </si>
  <si>
    <t>Builder only provides wing fencing</t>
  </si>
  <si>
    <t>Only Seaside façade will work here due to design guidelines
Menzies (Mordialloc) for doubles</t>
  </si>
  <si>
    <t>834036C</t>
  </si>
  <si>
    <t>Seaton Estate</t>
  </si>
  <si>
    <t>632545F</t>
  </si>
  <si>
    <t>Serenity Estate</t>
  </si>
  <si>
    <t>811180Y</t>
  </si>
  <si>
    <t>811268J</t>
  </si>
  <si>
    <t>817624F</t>
  </si>
  <si>
    <t>825852V</t>
  </si>
  <si>
    <t>Settlers Hill Estate</t>
  </si>
  <si>
    <t>721243C</t>
  </si>
  <si>
    <t>Landeq</t>
  </si>
  <si>
    <t>Sam Vallance</t>
  </si>
  <si>
    <t>0407 812 282</t>
  </si>
  <si>
    <t xml:space="preserve"> settlershill@rpmrealestate.com.au</t>
  </si>
  <si>
    <t xml:space="preserve"> Each dwelling (excluding garages,
verandahs and porticos) shall have a
minimum floor area of:
- 140m² on a lot with an area 500m²
or less;
- 185m² on a lot with an area greater
than 500m².</t>
  </si>
  <si>
    <t>Corner</t>
  </si>
  <si>
    <t>800998F</t>
  </si>
  <si>
    <t>801019N</t>
  </si>
  <si>
    <t>847519H</t>
  </si>
  <si>
    <t>Seventh Bend Estate</t>
  </si>
  <si>
    <t>806376K</t>
  </si>
  <si>
    <t>Latitude</t>
  </si>
  <si>
    <t>1800 650 371</t>
  </si>
  <si>
    <t>seventhbend@latituderealestate.com.au</t>
  </si>
  <si>
    <t xml:space="preserve">Provide approx. 1800mm high timber fencing with capping, 125x125 exposed chamfered top posts and 150x38 heavy grade plinth. $150 per lm </t>
  </si>
  <si>
    <t>811329Q</t>
  </si>
  <si>
    <t>811344U</t>
  </si>
  <si>
    <t>813559L</t>
  </si>
  <si>
    <t>813557Q</t>
  </si>
  <si>
    <t>822759B</t>
  </si>
  <si>
    <t>817187B</t>
  </si>
  <si>
    <t>817189W</t>
  </si>
  <si>
    <t>822751T</t>
  </si>
  <si>
    <t>822753P</t>
  </si>
  <si>
    <t>817196A</t>
  </si>
  <si>
    <t>841633S</t>
  </si>
  <si>
    <t>817197X</t>
  </si>
  <si>
    <t>820467B</t>
  </si>
  <si>
    <t>906013R</t>
  </si>
  <si>
    <t>820479T</t>
  </si>
  <si>
    <t>825774P</t>
  </si>
  <si>
    <t>825781S</t>
  </si>
  <si>
    <t>841628K</t>
  </si>
  <si>
    <t>901665W</t>
  </si>
  <si>
    <t>Sienna Estate</t>
  </si>
  <si>
    <t>738378H</t>
  </si>
  <si>
    <t xml:space="preserve">Danny </t>
  </si>
  <si>
    <t>1800 022 456</t>
  </si>
  <si>
    <t xml:space="preserve">Dhouse@villaworld.com.au </t>
  </si>
  <si>
    <t>Sienna North Estate</t>
  </si>
  <si>
    <t>813230A</t>
  </si>
  <si>
    <t>Juan Termine</t>
  </si>
  <si>
    <t>0421 768 678</t>
  </si>
  <si>
    <t>j.termine@oliverhume.com.au</t>
  </si>
  <si>
    <t>Provide 1No. 3000 litre Slim Line Poly Water Tank including plumbing and connections for up to 3No. Toilets. $6500</t>
  </si>
  <si>
    <t>813255H</t>
  </si>
  <si>
    <t>821092P</t>
  </si>
  <si>
    <t>821093M</t>
  </si>
  <si>
    <t>Sienna Rise Estate</t>
  </si>
  <si>
    <t>805564P</t>
  </si>
  <si>
    <t>805567H</t>
  </si>
  <si>
    <t>805566K</t>
  </si>
  <si>
    <t>813239F</t>
  </si>
  <si>
    <t>Silk Estate</t>
  </si>
  <si>
    <t>637155S</t>
  </si>
  <si>
    <t>Silverwood Estate</t>
  </si>
  <si>
    <t>904026S</t>
  </si>
  <si>
    <t>JBentley Developments</t>
  </si>
  <si>
    <t>John Bentley</t>
  </si>
  <si>
    <t>0403 578 725</t>
  </si>
  <si>
    <t>jbentleydevelopments@gmail.com</t>
  </si>
  <si>
    <t>Entire for double storey $3300</t>
  </si>
  <si>
    <t>Dwellings must be a minimum of 130 sqm in internal living area.
Internal living area excludes the garage and all unenclosed spaces
such as alfresco areas, porticos etc.</t>
  </si>
  <si>
    <t>Side setbacks must be a minimum of 1m from at least one side
boundary</t>
  </si>
  <si>
    <t>Lots with a width of greater than 12.5m must provide a double width
garage</t>
  </si>
  <si>
    <t>904027Q</t>
  </si>
  <si>
    <t>904028N</t>
  </si>
  <si>
    <t>Sinclair Heights Estate</t>
  </si>
  <si>
    <t>823275U</t>
  </si>
  <si>
    <t>Corner Lots $1190</t>
  </si>
  <si>
    <t>Garage door openings on single storey homes must
not exceed 40% of the width of the lot frontage.</t>
  </si>
  <si>
    <t>Lots with a frontage of more than 12.5m should
provide a double garage. Maximum width allowable for the
garage door is 5.5m.</t>
  </si>
  <si>
    <t>823281A</t>
  </si>
  <si>
    <t>840587C</t>
  </si>
  <si>
    <t>Skylark</t>
  </si>
  <si>
    <t>817490A</t>
  </si>
  <si>
    <t>If lot is larger than 300m2, Provide 1No. 2500 litre Slim Line Poly Water Tank including plumbing and connections for up to 3No. Toilets. = $5110</t>
  </si>
  <si>
    <t>As from design guidelines, we cannot have boundary to boundary build.</t>
  </si>
  <si>
    <t>For lots with a frontage under 12.5m, a single garage is
required with a maximum door width of 2.6m.
For lots with a frontage of 12.5m or greater and 14m or
less, the maximum width allowable for the garage door is
5.5m. Lots with a frontage of 15m or greater may have a
garage with a greater maximum width if it does not
exceed 40% of the width of the lot.
For two storey dwellings, garages that exceed 40% of the
width of the allotments frontage are discouraged.
Notwithstanding, they will only be permitted where
balconies or windows are provided above the garage</t>
  </si>
  <si>
    <t>847333X</t>
  </si>
  <si>
    <t>847349G</t>
  </si>
  <si>
    <t>901979W</t>
  </si>
  <si>
    <t>901988V</t>
  </si>
  <si>
    <t>Skymont</t>
  </si>
  <si>
    <t>831892X</t>
  </si>
  <si>
    <t>Martin Adams Property</t>
  </si>
  <si>
    <t>On lots with a width less than 18m a double or single
garage may constructed and must not exceed 40% of
the total lot width.</t>
  </si>
  <si>
    <t>Minimum 120m² on lots between 300m² - 600m²
Minimum 150m² on lots 601m² or greater.</t>
  </si>
  <si>
    <t>Lots with a width of 18m or greater must have a
minimum two room frontage with windows facing the
primary street.
Single storey dwellings on lots with a width of 18m or
more must have a minimum dwelling width of 13m.</t>
  </si>
  <si>
    <t>817491X</t>
  </si>
  <si>
    <t>848503T</t>
  </si>
  <si>
    <t>821118X</t>
  </si>
  <si>
    <t>Smiths Lane</t>
  </si>
  <si>
    <t>738244K</t>
  </si>
  <si>
    <t>returning 4000mm $1650</t>
  </si>
  <si>
    <t>The width of the garage door opening can be no more
than 40% of the width of the primary lot frontage.</t>
  </si>
  <si>
    <t>Provide Garden Tap and Weatherproof GPO to side of dwelling adjacent to side gate/fence to service Front Garden - $310</t>
  </si>
  <si>
    <t>830145T</t>
  </si>
  <si>
    <t>830146R</t>
  </si>
  <si>
    <t>833962S</t>
  </si>
  <si>
    <t>833966J</t>
  </si>
  <si>
    <t>837124P</t>
  </si>
  <si>
    <t>837138C</t>
  </si>
  <si>
    <t>837139A</t>
  </si>
  <si>
    <t>837143K</t>
  </si>
  <si>
    <t>837144H</t>
  </si>
  <si>
    <t>837152J</t>
  </si>
  <si>
    <t>837150N</t>
  </si>
  <si>
    <t>839574U</t>
  </si>
  <si>
    <t>846080G</t>
  </si>
  <si>
    <t>846083A</t>
  </si>
  <si>
    <t>848720K</t>
  </si>
  <si>
    <t>848721H</t>
  </si>
  <si>
    <t>904401S</t>
  </si>
  <si>
    <t>Lots 3803, 3835, 3849 AND 3861 TO 3870 (BOTH INCLUSIVE)
Shall not build or allow to be built on the lot a dwelling house unless it is two storeys</t>
  </si>
  <si>
    <t>906800R</t>
  </si>
  <si>
    <t>904412M</t>
  </si>
  <si>
    <t>904414H</t>
  </si>
  <si>
    <t>Smiths Park</t>
  </si>
  <si>
    <t>836944D</t>
  </si>
  <si>
    <t>Tim Warton</t>
  </si>
  <si>
    <t>0497 943 333</t>
  </si>
  <si>
    <t>tim@smithspark.com.au</t>
  </si>
  <si>
    <t>Equal or greater than 12.5m, must have a double garage
Lots less than 12.5m must have a single garage as a minimum
Garage openings must not exceed 40% of frontage</t>
  </si>
  <si>
    <t>845083F</t>
  </si>
  <si>
    <t>845084D</t>
  </si>
  <si>
    <t>845085B</t>
  </si>
  <si>
    <t>845086Y</t>
  </si>
  <si>
    <t>845087W</t>
  </si>
  <si>
    <t>845100J</t>
  </si>
  <si>
    <t>Somerdale Heights</t>
  </si>
  <si>
    <t>1A (101-132)</t>
  </si>
  <si>
    <t>900056E</t>
  </si>
  <si>
    <t>1A (133-145)</t>
  </si>
  <si>
    <t>900066B</t>
  </si>
  <si>
    <t>823324J</t>
  </si>
  <si>
    <t>827445Y</t>
  </si>
  <si>
    <t>Somerfield Estate</t>
  </si>
  <si>
    <t>638891C</t>
  </si>
  <si>
    <t>Corner block needs 600mm eaves on both frontages returning 3m. First Floor needs 600mm eaves all round.</t>
  </si>
  <si>
    <t>746168Y</t>
  </si>
  <si>
    <t>728659F</t>
  </si>
  <si>
    <t>728657K</t>
  </si>
  <si>
    <t>726466D</t>
  </si>
  <si>
    <t>726469W</t>
  </si>
  <si>
    <t>728661U</t>
  </si>
  <si>
    <t>745031J</t>
  </si>
  <si>
    <t>808272M</t>
  </si>
  <si>
    <t>Somers Estate</t>
  </si>
  <si>
    <t>810465M</t>
  </si>
  <si>
    <t>Sommery Estate</t>
  </si>
  <si>
    <t>802089K</t>
  </si>
  <si>
    <t>South East Residence</t>
  </si>
  <si>
    <t>819743L</t>
  </si>
  <si>
    <t>Privium Developemnts</t>
  </si>
  <si>
    <t xml:space="preserve">The width of the Garage opening must not exceed 40% of the width of the primary 
frontage, unless the building is two or more storeys and on a lot with an area between 250-
300m2 whereby the Garage opening must not exceed 30% of the area of the front façade </t>
  </si>
  <si>
    <t>A minimum floor area of 110m2 is required. This is excluding garages, balconies, porches, 
verandahs and alfresco areas.</t>
  </si>
  <si>
    <t>South Siding Estate</t>
  </si>
  <si>
    <t>730380Q</t>
  </si>
  <si>
    <t>Linda Pappalardo</t>
  </si>
  <si>
    <t>l.pappalardo@oliverhume.com.au</t>
  </si>
  <si>
    <t>Allowance for Acoustic rated walls. $15000 single, $20000 double. ****LOTS  239-261  ONLY****</t>
  </si>
  <si>
    <t>738353A</t>
  </si>
  <si>
    <t>Sovereign Rose Estate</t>
  </si>
  <si>
    <t>819429S/S1</t>
  </si>
  <si>
    <t>Charles Lloyd Property Group</t>
  </si>
  <si>
    <t>Mark</t>
  </si>
  <si>
    <t>0472 512 828</t>
  </si>
  <si>
    <t>819429S/S2</t>
  </si>
  <si>
    <t>819429S/S3</t>
  </si>
  <si>
    <t>819429S/S4</t>
  </si>
  <si>
    <t>Soverign Estate</t>
  </si>
  <si>
    <t>728892Y</t>
  </si>
  <si>
    <t xml:space="preserve">Urban Development </t>
  </si>
  <si>
    <t>734542T</t>
  </si>
  <si>
    <t>Spindrift Estate</t>
  </si>
  <si>
    <t>Tyabb 3913</t>
  </si>
  <si>
    <t>821922X</t>
  </si>
  <si>
    <t>All side setbacks must be at least 1m off one boundary and a minimum of 5m from the rear boundary</t>
  </si>
  <si>
    <t>Total site coverage must not exceed 60%.
451-600m2 must have at least 140m2
More than 601m2 must have at least 165m2
At least 30% garden area for lots 501m2-650m2 and over 650m2 requires at least 35%</t>
  </si>
  <si>
    <t>Porches, verandahs and porticos less than 3.6m in height above natural ground level can encroach into the minimum front setback by up to 1.5m</t>
  </si>
  <si>
    <t>Garages must not be greater than 40% of the total lot frontage and/or 6m in width, whichever is lesser</t>
  </si>
  <si>
    <t>Springlands</t>
  </si>
  <si>
    <t>819386J</t>
  </si>
  <si>
    <t>Adam Gleeson</t>
  </si>
  <si>
    <t>0439 304 432</t>
  </si>
  <si>
    <t>adam@charleslloyd.com.au</t>
  </si>
  <si>
    <t>Garage openings shall not occupy more than 40% of the width of the primary frontage</t>
  </si>
  <si>
    <t>Springridge Estate</t>
  </si>
  <si>
    <t>630437U</t>
  </si>
  <si>
    <t>Synergy Living</t>
  </si>
  <si>
    <t>Daniel Spiteri</t>
  </si>
  <si>
    <t>0417 201 833</t>
  </si>
  <si>
    <t>dspiteri@hermitagehomes.com.au</t>
  </si>
  <si>
    <t>601+ 170m2
451 - 600 140m2
351 - 450 100m2
300-350</t>
  </si>
  <si>
    <t>804181M</t>
  </si>
  <si>
    <t>601+ 170m2
451 - 600 140m2
351 - 450 100m2
300-351</t>
  </si>
  <si>
    <t>816045D</t>
  </si>
  <si>
    <t>601+ 170m2
451 - 600 140m2
351 - 450 100m2
300-352</t>
  </si>
  <si>
    <t>728914R</t>
  </si>
  <si>
    <t>601+ 170m2
451 - 600 140m2
351 - 450 100m2
300-353</t>
  </si>
  <si>
    <t>4E</t>
  </si>
  <si>
    <t>728915P</t>
  </si>
  <si>
    <t>601+ 170m2
451 - 600 140m2
351 - 450 100m2
300-354</t>
  </si>
  <si>
    <t>647850R</t>
  </si>
  <si>
    <t>601+ 170m2
451 - 600 140m2
351 - 450 100m2
300-355</t>
  </si>
  <si>
    <t>745348C</t>
  </si>
  <si>
    <t>601+ 170m2
451 - 600 140m2
351 - 450 100m2
300-356</t>
  </si>
  <si>
    <t>804180P</t>
  </si>
  <si>
    <t>601+ 170m2
451 - 600 140m2
351 - 450 100m2
300-357</t>
  </si>
  <si>
    <t>5E</t>
  </si>
  <si>
    <t>901975F</t>
  </si>
  <si>
    <t>804185D</t>
  </si>
  <si>
    <t>601+ 170m2
451 - 600 140m2
351 - 450 100m2
300-358</t>
  </si>
  <si>
    <t>816055A</t>
  </si>
  <si>
    <t>601+ 170m2
451 - 600 140m2
351 - 450 100m2
300-359</t>
  </si>
  <si>
    <t>816064Y</t>
  </si>
  <si>
    <t>601+ 170m2
451 - 600 140m2
351 - 450 100m2
300-360</t>
  </si>
  <si>
    <t>820416U</t>
  </si>
  <si>
    <t>601+ 170m2
451 - 600 140m2
351 - 450 100m2
300-361</t>
  </si>
  <si>
    <t>820417S</t>
  </si>
  <si>
    <t>601+ 170m2
451 - 600 140m2
351 - 450 100m2
300-362</t>
  </si>
  <si>
    <t>831896P</t>
  </si>
  <si>
    <t>847346N</t>
  </si>
  <si>
    <t>901982J</t>
  </si>
  <si>
    <t>906173S</t>
  </si>
  <si>
    <t>906181T</t>
  </si>
  <si>
    <t xml:space="preserve">Stadio United </t>
  </si>
  <si>
    <t>829545J</t>
  </si>
  <si>
    <t>829541S</t>
  </si>
  <si>
    <t>829538F</t>
  </si>
  <si>
    <t>St Andrews Field Estate</t>
  </si>
  <si>
    <t>Deer Park 3023</t>
  </si>
  <si>
    <t>542695L</t>
  </si>
  <si>
    <t>Australand</t>
  </si>
  <si>
    <t>St Genevieve Estate</t>
  </si>
  <si>
    <t>735052G</t>
  </si>
  <si>
    <t xml:space="preserve">drokka@core-projects.com.au </t>
  </si>
  <si>
    <t>739980Q</t>
  </si>
  <si>
    <t>745987Q</t>
  </si>
  <si>
    <t>748470P</t>
  </si>
  <si>
    <t>748488T</t>
  </si>
  <si>
    <t>801382S</t>
  </si>
  <si>
    <t>St Germain Estate</t>
  </si>
  <si>
    <t>726076S</t>
  </si>
  <si>
    <t>Campbell Park Developments</t>
  </si>
  <si>
    <t>Sokha Leng</t>
  </si>
  <si>
    <t>0487 888 879</t>
  </si>
  <si>
    <t>stgermain@rpmrealestate.com.au</t>
  </si>
  <si>
    <t>Administration Fee $400</t>
  </si>
  <si>
    <t>726074W</t>
  </si>
  <si>
    <t>728024C</t>
  </si>
  <si>
    <t>728025A</t>
  </si>
  <si>
    <t>800921T</t>
  </si>
  <si>
    <t>800922R</t>
  </si>
  <si>
    <t>804262M</t>
  </si>
  <si>
    <t>804263K</t>
  </si>
  <si>
    <t>808388R</t>
  </si>
  <si>
    <t>811540U</t>
  </si>
  <si>
    <t>811559W</t>
  </si>
  <si>
    <t>816289X</t>
  </si>
  <si>
    <t>816295D</t>
  </si>
  <si>
    <t>820074W</t>
  </si>
  <si>
    <t>823185V</t>
  </si>
  <si>
    <t>823186T</t>
  </si>
  <si>
    <t>820090Y</t>
  </si>
  <si>
    <t>823187R</t>
  </si>
  <si>
    <t>823188P</t>
  </si>
  <si>
    <t>823189M</t>
  </si>
  <si>
    <t>823190D</t>
  </si>
  <si>
    <t>823191B</t>
  </si>
  <si>
    <t>Not allow garage opening to occupt more than 40% of the width of the primary frontage, unless the building is two or more storeys and on a lot with an area between 250 to 300m2 whereby the garage opening must not exceed 30% of the area of the front facade of the dwellng with the area of the front facade measured from a two dimensional elevation plan of the facade excluding the area of the roof of the dwelling.</t>
  </si>
  <si>
    <t>823192Y</t>
  </si>
  <si>
    <t>823193W</t>
  </si>
  <si>
    <t>Garage opening not to occupy more than 40% of the width of the primary frontage
unless it is two or more storeys and on a lot with an area between 250 too 300m2 whereby the garage opening must not exceed 30%of the the area of the front façade of the dwelling</t>
  </si>
  <si>
    <t>846077U</t>
  </si>
  <si>
    <t>Starling Estate</t>
  </si>
  <si>
    <t>Brix Cai</t>
  </si>
  <si>
    <t>0433 925 529</t>
  </si>
  <si>
    <t>Garage must not exceed 40% of the lots frontage</t>
  </si>
  <si>
    <t xml:space="preserve">Stockman Wood </t>
  </si>
  <si>
    <t>743956N</t>
  </si>
  <si>
    <t>Stockdale &amp; Leggo</t>
  </si>
  <si>
    <t xml:space="preserve">Michael Asche </t>
  </si>
  <si>
    <t>0418 393 324</t>
  </si>
  <si>
    <t>Stonefields Estate</t>
  </si>
  <si>
    <t>810966N</t>
  </si>
  <si>
    <t xml:space="preserve">Jason McDaniel </t>
  </si>
  <si>
    <t>0439 269 137</t>
  </si>
  <si>
    <t>jason@eightpropertyinvestments.com.au</t>
  </si>
  <si>
    <t>At least 140m2 excluding garage porch etc</t>
  </si>
  <si>
    <t>must have a double garage when lot is 12m or greater</t>
  </si>
  <si>
    <t>Colour not stated</t>
  </si>
  <si>
    <t>810970X</t>
  </si>
  <si>
    <t>Stonehill Estate</t>
  </si>
  <si>
    <t>702773D</t>
  </si>
  <si>
    <t>Rebecca Galvin</t>
  </si>
  <si>
    <t>0402 199 575</t>
  </si>
  <si>
    <t>stonehill@rpmrealestate.com.au</t>
  </si>
  <si>
    <t xml:space="preserve">Tea Tree </t>
  </si>
  <si>
    <t>PREMIUM LOTS - MCPs</t>
  </si>
  <si>
    <t>738870D</t>
  </si>
  <si>
    <t>746030F</t>
  </si>
  <si>
    <t>810903P</t>
  </si>
  <si>
    <t>814775Y</t>
  </si>
  <si>
    <t>814786T</t>
  </si>
  <si>
    <t>818697V</t>
  </si>
  <si>
    <t>823240Q</t>
  </si>
  <si>
    <t>823242L</t>
  </si>
  <si>
    <t>845600M</t>
  </si>
  <si>
    <t>24A</t>
  </si>
  <si>
    <t>835658K</t>
  </si>
  <si>
    <t>835707Y</t>
  </si>
  <si>
    <t>908925J</t>
  </si>
  <si>
    <t>Stonybrook Estate</t>
  </si>
  <si>
    <t>Hillside 3037</t>
  </si>
  <si>
    <t>705747N</t>
  </si>
  <si>
    <t>Michael Sokolowski</t>
  </si>
  <si>
    <t>0407 777 345</t>
  </si>
  <si>
    <t>sales@stonybrook.com.au</t>
  </si>
  <si>
    <t>705752V</t>
  </si>
  <si>
    <t>Summerfields North</t>
  </si>
  <si>
    <t>803751B</t>
  </si>
  <si>
    <t>819389C</t>
  </si>
  <si>
    <t>Summerfield</t>
  </si>
  <si>
    <t>805506E</t>
  </si>
  <si>
    <t>823702C</t>
  </si>
  <si>
    <t>823703A</t>
  </si>
  <si>
    <t>Summerland</t>
  </si>
  <si>
    <t>809262K</t>
  </si>
  <si>
    <t>Provide 450mm wide eaves to the front Façade, returning 1000mm down both sides of house (excluding walls on boundary). $1210</t>
  </si>
  <si>
    <t>The garage must be setback a minimum of
5.5m from the frontage and a minimum
840mm behind the main building line.
The garage opening must not exceed 40%
of the width of the lot frontage</t>
  </si>
  <si>
    <t xml:space="preserve">For lots larger than 300m2.
Balconies, verandahs, open porches, covered walkways and porticos that are less
than 3.6m high and eaves, fascia and gutters, may encroach no more than 2.4m
into the minimum front setback and 1.0m into the setback on a side street or
Laneway for a dwelling or garage. 
Both single and double storey dwellings must be setback from a side boundary in
accordance with the Building Envelope Plan.
Both single and double storey dwellings must be setback from a rear boundary in
accordance with the Building Envelope Plan.
</t>
  </si>
  <si>
    <t>A Garage only, may be built on or 200mm of one side boundary. No part of the
dwelling may be located on the boundary. For lots larger than 300m2</t>
  </si>
  <si>
    <t>Fencing to side streets (corners) and reserve's must finish 3.0m behind the main building line.</t>
  </si>
  <si>
    <t>The entry is required to have a minimum depth and width of 1.5m. Eaves are not to be included in the depth calculations.</t>
  </si>
  <si>
    <t>Include "Additional site costs for Screw Pile Allowance" in estimator notes - $15000 additional in site costs</t>
  </si>
  <si>
    <t>Allowance to provide screw piles throughout $15000 - Incorrect ENG when representing fill</t>
  </si>
  <si>
    <t>"Additional site costs to allow for screw piles throughout, ENG fill plans are not correct" -  $12000 - copy and paste note, add site costs</t>
  </si>
  <si>
    <t>809261M</t>
  </si>
  <si>
    <t>809263H</t>
  </si>
  <si>
    <t>SummerHill Estate</t>
  </si>
  <si>
    <t>800990X</t>
  </si>
  <si>
    <t>Provide approx. 1890mm High Colorbond Lysaght Miniscreen Fencing, Grey Ridge in colour in lieu of timber palings. Includes wing fence and Gate. Required on secondary street frontage on corner block.
Copy Z2 &amp; Z3 over T6 &amp; T7.</t>
  </si>
  <si>
    <t>Sunbury Fields Estate</t>
  </si>
  <si>
    <t>742671L</t>
  </si>
  <si>
    <t>Steve Forte</t>
  </si>
  <si>
    <t>0421 829 506</t>
  </si>
  <si>
    <t>steve.forte@fraserspropertygroup.com.au</t>
  </si>
  <si>
    <t>742683D</t>
  </si>
  <si>
    <t>804572V</t>
  </si>
  <si>
    <t>Sunset Views</t>
  </si>
  <si>
    <t>817389N</t>
  </si>
  <si>
    <t>Provide approx. 1300mm high solid timber paling fencing to sides abutting secondary street boundary. Remaining fencing to be approx. 500mm high and achieve transparency by spacing timber palings apart. Note Only</t>
  </si>
  <si>
    <t>Swan View Estate</t>
  </si>
  <si>
    <t>640261A</t>
  </si>
  <si>
    <t xml:space="preserve">Tregellas Pty Ltd </t>
  </si>
  <si>
    <t>Libby Thomson</t>
  </si>
  <si>
    <t>0419 370 426</t>
  </si>
  <si>
    <t>Libbyt2@bigpond.con</t>
  </si>
  <si>
    <t>745144U</t>
  </si>
  <si>
    <t>809720F</t>
  </si>
  <si>
    <t>Talia Estate</t>
  </si>
  <si>
    <t>849112E</t>
  </si>
  <si>
    <t>Ankur.sharma@pspproperty.com.au</t>
  </si>
  <si>
    <t>minimum 1m setback, except for garage</t>
  </si>
  <si>
    <t>• Lots with frontages equal to or greater than
12.5m must incorporate a double car garage,
which is constructed of the same building
materials as the dwelling.
• Lots with a frontage less than 12.5m must
incorporate (as a minimum) a single car garage,
which is constructed of the same building
materials as the dwelling with an additional
area available on the lot to park a second car.</t>
  </si>
  <si>
    <t>849126S</t>
  </si>
  <si>
    <t>Tathra</t>
  </si>
  <si>
    <t>lakshan@vhls.net.au</t>
  </si>
  <si>
    <t>Taylors</t>
  </si>
  <si>
    <t>839255M</t>
  </si>
  <si>
    <t>If less than 12.5m width, single garage is required
If width is 15m or greater, the garage must not exceed 40% of lot width</t>
  </si>
  <si>
    <t>Taylors Hill Estate</t>
  </si>
  <si>
    <t>Taylors Hill</t>
  </si>
  <si>
    <t>737952G</t>
  </si>
  <si>
    <t>Taylors Quarter</t>
  </si>
  <si>
    <t>Taylors Lake 3038</t>
  </si>
  <si>
    <t>829173V</t>
  </si>
  <si>
    <t>Development Victoria</t>
  </si>
  <si>
    <t>131 852</t>
  </si>
  <si>
    <t xml:space="preserve">The total width of the front of the house at ground
level must be at least 70% of the width of the lot.
Lots under 300m2 no greater than 80% lot coverage.
Lots over 301m2 no greater than 60% lot coverage.
All lots larger than 400m² include the
following percentage requirements of Garden
Area:
a. For a lot size 400-500m2, a minimum 25% of
the total lot area must be set aside as Garden
Area.
b. For a lot size 501-650m2, a minimum 30% of
the total lot area must be set aside as Garden
Area.
c. For lot sizes greater than 651m2, a minimum
35% of the total lot area must be set aside as
Garden Area.
</t>
  </si>
  <si>
    <t>The entry feature must be open on at least 2 sides,
include a minimum covered area of 4m2 and have a
minimum width of 1.5m.</t>
  </si>
  <si>
    <t>Lots narrower than 10.5m width must have a
single-width garage</t>
  </si>
  <si>
    <t>Taylors Run</t>
  </si>
  <si>
    <t>832743L</t>
  </si>
  <si>
    <t>0497 700 022</t>
  </si>
  <si>
    <t>rob@wolfdene.com.au</t>
  </si>
  <si>
    <t>Total site coverage must not exceed 60%.
3.2.2 Dwellings on lots 300-450m2 must have a
minimum floor area of 100m2.
3.2.3 Dwellings on lots 451-600m2 must have a
minimum floor area of 140m2.
3.2.4 Dwellings on lots exceeding 601m2 must have a
minimum floor area of 165m2.</t>
  </si>
  <si>
    <t>Single 3000mm both sides=$1430
Double entire=$3300</t>
  </si>
  <si>
    <t>300m2 greater, garage must not be greater than 40% of the lot frontage
For double, garage must not exceed 30% of the area of the front façade</t>
  </si>
  <si>
    <t>832762G</t>
  </si>
  <si>
    <t>832767V</t>
  </si>
  <si>
    <t>832768T</t>
  </si>
  <si>
    <t>846185R</t>
  </si>
  <si>
    <t>846200Y</t>
  </si>
  <si>
    <t>846199E</t>
  </si>
  <si>
    <t>Lot 620 and 625 - No dwelling or garage shall be constructed within 1m of one of the side boundaries of the burdened lot</t>
  </si>
  <si>
    <t>846203S</t>
  </si>
  <si>
    <t xml:space="preserve">Lot 703-707, 709-713 and 724-734 - No dwelling or garage shall be constructed within 1m of one of the side boundaries </t>
  </si>
  <si>
    <t>Tesoro Estate</t>
  </si>
  <si>
    <t>Koo Wee Rup 3981</t>
  </si>
  <si>
    <t>728007C</t>
  </si>
  <si>
    <t>Simons Builders</t>
  </si>
  <si>
    <t>Paul Lynch</t>
  </si>
  <si>
    <t>0488 333 002</t>
  </si>
  <si>
    <t>Paul.Lynch@stockdaleleggo.com.au</t>
  </si>
  <si>
    <t>Lots 155-176 &amp; 201-210 rear boundary fence is to be plastic coated cyclone fencing @ 1.8m</t>
  </si>
  <si>
    <t>728027V</t>
  </si>
  <si>
    <t>The Address Estate</t>
  </si>
  <si>
    <t>721779H</t>
  </si>
  <si>
    <t>Matthew Petrie</t>
  </si>
  <si>
    <t>0439 401 326</t>
  </si>
  <si>
    <t>matthew.petrie@stockland.com.au</t>
  </si>
  <si>
    <t>732721E</t>
  </si>
  <si>
    <t>735138V</t>
  </si>
  <si>
    <t>742081J</t>
  </si>
  <si>
    <t>742082G</t>
  </si>
  <si>
    <t>742084C</t>
  </si>
  <si>
    <t xml:space="preserve">The Clan </t>
  </si>
  <si>
    <t>816496S</t>
  </si>
  <si>
    <t>All homes with the exception of lots with less than a 10.5 metre street frontage must provide
accommodation for at least a two car garage, which must be integrated into the design of the
house and constructed of the same materials.</t>
  </si>
  <si>
    <t>The Dunes Estate</t>
  </si>
  <si>
    <t>727263N</t>
  </si>
  <si>
    <t>Peter Julian</t>
  </si>
  <si>
    <t>5249 4949</t>
  </si>
  <si>
    <t>727265J</t>
  </si>
  <si>
    <t>727255M</t>
  </si>
  <si>
    <t>The Enclave Estate</t>
  </si>
  <si>
    <t>829704Q</t>
  </si>
  <si>
    <t xml:space="preserve">Baycrown </t>
  </si>
  <si>
    <t>(b) On Lots less than 300m2 a minimum of a single
garage shall be built at the same time as the
house in accordance with the Small Lot Housing
Code 2019.
(c) On Lots greater than 401m2 a minimum of
double garage shall be built at the same time as
the house</t>
  </si>
  <si>
    <t>(a) Medium density and terrace lots shall have a
dwelling size in accordance with the Small Lot
Housing Code, November 2019
(b) Lots up to 300m2 shall have a dwelling size in
accordance with the Small Lot Housing Code,
November 2019
(c) Lots up to 400m2 shall have a minimum dwelling
size of 140m2
(d) Lots over 500m2 shall have a minimum dwelling
size of 160m2
(e) Lots over 600m2 shall have a minimum
covenant size of 160m2
(f) Floor areas of garages, carports, areas under
soffits, entry porches and breezeways are not
included in the calculation of minimum floor
area unless specifically approved by the Vendor</t>
  </si>
  <si>
    <t>The Fairways</t>
  </si>
  <si>
    <t>829824E</t>
  </si>
  <si>
    <t>All dwellings to have a minimum of 30 squares of
living space (excluding garages, balconies, porches,
verandahs and alfresco areas) to COUNTRY and 17 squares to URBAN.</t>
  </si>
  <si>
    <t>838157S</t>
  </si>
  <si>
    <t>838134F</t>
  </si>
  <si>
    <t>The Glen  Estate</t>
  </si>
  <si>
    <t>740173P</t>
  </si>
  <si>
    <t>0403 178 971</t>
  </si>
  <si>
    <t>House Size Requirements
(a) Medium density and terrace lots shall have a
minimum size covenant of 110m2
(b) Lots up to 300m2 shall have a minimum
covenant size of 120m2
(c) Lots up to 400m2 shall have a minimum
covenant size of 130m2
(d) Lots over 500m2 shall have a minimum
covenant size of 150m2
(e) Lots over 600m2 shall have a minimum
covenant size of 160m2</t>
  </si>
  <si>
    <t>746264D</t>
  </si>
  <si>
    <t>746265B</t>
  </si>
  <si>
    <t>746281D</t>
  </si>
  <si>
    <t>817456A</t>
  </si>
  <si>
    <t>817457X</t>
  </si>
  <si>
    <t>817464B</t>
  </si>
  <si>
    <t>The Garden Residences</t>
  </si>
  <si>
    <t>905319V</t>
  </si>
  <si>
    <t>The Gardens</t>
  </si>
  <si>
    <t>809600R</t>
  </si>
  <si>
    <t>sfrader@barryplant.com.au</t>
  </si>
  <si>
    <t>Homes need min 185m2 floor area</t>
  </si>
  <si>
    <t>The Greens</t>
  </si>
  <si>
    <t>826719S</t>
  </si>
  <si>
    <t>The Grove Estate</t>
  </si>
  <si>
    <t>711656G</t>
  </si>
  <si>
    <t>Ashwin Sethi</t>
  </si>
  <si>
    <t>0418 514 277</t>
  </si>
  <si>
    <t>ashwin.sethi@stockland.com.au</t>
  </si>
  <si>
    <t>Provide approx. 1800mm high Colourbond fencing in Grey Ridge with 100 x 100mm expressed posts, capping and 150mm plinth detail in lieu of timber palings $480/lm CORNER LOTS ONLY</t>
  </si>
  <si>
    <t>730356M</t>
  </si>
  <si>
    <t>730360W</t>
  </si>
  <si>
    <t>730340D</t>
  </si>
  <si>
    <t>730371R</t>
  </si>
  <si>
    <t>730374K</t>
  </si>
  <si>
    <t>730387A</t>
  </si>
  <si>
    <t>938371X</t>
  </si>
  <si>
    <t>738428U</t>
  </si>
  <si>
    <t>746764G</t>
  </si>
  <si>
    <t>738376M</t>
  </si>
  <si>
    <t>746786V</t>
  </si>
  <si>
    <t>746806S</t>
  </si>
  <si>
    <t>811201T</t>
  </si>
  <si>
    <t>811209B</t>
  </si>
  <si>
    <t>811211Q</t>
  </si>
  <si>
    <t>817600V</t>
  </si>
  <si>
    <t>817617C</t>
  </si>
  <si>
    <t>817618A</t>
  </si>
  <si>
    <t>37B</t>
  </si>
  <si>
    <t>825857K</t>
  </si>
  <si>
    <t>817620P</t>
  </si>
  <si>
    <t>844125W</t>
  </si>
  <si>
    <t>844183G</t>
  </si>
  <si>
    <t>844185C</t>
  </si>
  <si>
    <t>844194B</t>
  </si>
  <si>
    <t>831658G</t>
  </si>
  <si>
    <t>831660V</t>
  </si>
  <si>
    <t>831678A</t>
  </si>
  <si>
    <t>831695A</t>
  </si>
  <si>
    <t>831696X</t>
  </si>
  <si>
    <t>831709R</t>
  </si>
  <si>
    <t>The Heights Estate</t>
  </si>
  <si>
    <t>802674X</t>
  </si>
  <si>
    <t>Leonie Sexton</t>
  </si>
  <si>
    <t>0409 737 030</t>
  </si>
  <si>
    <t>lsexton@coreprojects.com.au</t>
  </si>
  <si>
    <t>The Ivy Estate</t>
  </si>
  <si>
    <t>744861U</t>
  </si>
  <si>
    <t>Ivanhoe Grammar School</t>
  </si>
  <si>
    <t>0487 888 258</t>
  </si>
  <si>
    <t>theivy@rpmrealestate.com.au</t>
  </si>
  <si>
    <t xml:space="preserve"> setback minimum 4.5 metres</t>
  </si>
  <si>
    <t>744830G</t>
  </si>
  <si>
    <t>744834X</t>
  </si>
  <si>
    <t>801255A</t>
  </si>
  <si>
    <t>801245D</t>
  </si>
  <si>
    <t>801249U</t>
  </si>
  <si>
    <t>The Junction</t>
  </si>
  <si>
    <t>839057R</t>
  </si>
  <si>
    <t>Less than or equal to 300m2 100m2
More than (or equal to) 300m2
&amp; less than 450m2 120m2
More than or equal to 450m2 150m2</t>
  </si>
  <si>
    <t>The total width of the garage door openings on front loaded
lots must not exceed 40% of the effective lot width</t>
  </si>
  <si>
    <t>Front loaded lots with a lot width of 12.5m or more must have a double garage</t>
  </si>
  <si>
    <t>839058P</t>
  </si>
  <si>
    <t>839073T</t>
  </si>
  <si>
    <t>847334V</t>
  </si>
  <si>
    <t>847335T</t>
  </si>
  <si>
    <t>901984E</t>
  </si>
  <si>
    <t xml:space="preserve">The Lakeside Land </t>
  </si>
  <si>
    <t>847993C</t>
  </si>
  <si>
    <t>The Maples Estate</t>
  </si>
  <si>
    <t>818673L</t>
  </si>
  <si>
    <t xml:space="preserve">The garage opening must not exceed 40% of the
width of the frontage (Figure 9). In the case of
houses of two or more storeys on lots narrower than
12.5 metres, the garage opening must not exceed
25% of the area of the front façade of the
dwelling. </t>
  </si>
  <si>
    <t>Detached dwellings built on lots 12.5m wide or wider
must have a lock up garage wide enough to
accommodate at least two vehicles.</t>
  </si>
  <si>
    <t xml:space="preserve"> The floor area of a dwelling, excluding the garage and
verandah, must be:
(a) On lots smaller than 500m2 – 100m2 or larger
(b) On lots between 500m2 and 999m2 – 160m2 or
larger
(c) On lots 1000m2 or larger – 190m2 or larger.</t>
  </si>
  <si>
    <t xml:space="preserve"> The following lots are subject to a double storey
covenant: 201, 203, 226, 322, 324, 326, 327, 329, 331,
417, 419, 422, 443, 518, 521, 524, 527, 563</t>
  </si>
  <si>
    <t>provide a double garage.</t>
  </si>
  <si>
    <t>814741S</t>
  </si>
  <si>
    <t xml:space="preserve"> The following lots are subject to a double storey
covenant: 201, 203, 226, 322, 324, 326, 327, 329, 331,
417, 419, 422, 443, 518, 521, 524, 527, 562</t>
  </si>
  <si>
    <t>3.7.5</t>
  </si>
  <si>
    <t>823255B</t>
  </si>
  <si>
    <t xml:space="preserve"> The following lots are subject to a double storey
covenant: 201, 203, 226, 322, 324, 326, 327, 329, 331,
417, 419, 422, 443, 518, 521, 524, 527, 564</t>
  </si>
  <si>
    <t>The total width of the garage door openings on front loaded</t>
  </si>
  <si>
    <t>827516C</t>
  </si>
  <si>
    <t>The New Bloom Estate</t>
  </si>
  <si>
    <t>808261S</t>
  </si>
  <si>
    <t>5943 1111</t>
  </si>
  <si>
    <t>All dwellings must comply with the following minimum floor sizes:
- Allotments with an area of 500m2 or greater 160 square metres (approx. 17 squares) excluding garage and porch/verandah
- Allotments with an area of less than 500m2 130 square metres (approx. 14 squares) excluding garage and porch and/or verandah</t>
  </si>
  <si>
    <t>MAXIMUM SITE COVERAGE
The total front width of the building must occupy at least 75% of the lot frontage at ground level and at least 50% of the lot frontage at the first floor (if applicable).
The maximum site coverage for buildings on the conventional lots in the subdivision is 60%.
The maximum site coverage for buildings on the medium density lots in the subdivision is 70%.
The above site coverages are not applicable where a dwelling is being developed under the Small Lot Housing Code for lots below 300 square metres.</t>
  </si>
  <si>
    <t>For lots with a garage that faces the principal street frontage of a lot garage openings are to occupy no more than 40% of the width of the lot frontage unless on lots with a frontage of less than 12 metres whereby the garage openings must not exceed 25% of the area of the front façade of the dwelling if the dwelling is (2) or more storeys.</t>
  </si>
  <si>
    <t>lots must not exceed 40% of the effective lot width.</t>
  </si>
  <si>
    <t>808273K</t>
  </si>
  <si>
    <t>809731A</t>
  </si>
  <si>
    <t>809732X</t>
  </si>
  <si>
    <t>809758D</t>
  </si>
  <si>
    <t>826421U</t>
  </si>
  <si>
    <t>819047H</t>
  </si>
  <si>
    <t>815482K</t>
  </si>
  <si>
    <t>819048F</t>
  </si>
  <si>
    <t>The Orchards</t>
  </si>
  <si>
    <t>828087T/S2</t>
  </si>
  <si>
    <t>Jason.bertram@juddwhite.com.au</t>
  </si>
  <si>
    <t>828087T/S3</t>
  </si>
  <si>
    <t>828087T/S4</t>
  </si>
  <si>
    <t>828087T/S5</t>
  </si>
  <si>
    <t>Setback:
- 1m offset from any boundary abutting a reserve
- garage 5.5m from frontage unless building envelope allowing 3m frontage setback then 5m for garage</t>
  </si>
  <si>
    <t xml:space="preserve">Garage openings must not occupy more than 40% of the width of the primary frontage,
unless the building is two or more storeys and on a lot with an area between 250 and 300
square metres whereby the garage opening must not exceed 30% of the area of the front
façade of the dwelling. The area of the front façade must be measured from a twodimensional elevation plan of the facade, excluding the area of the roof of the dwelling. </t>
  </si>
  <si>
    <t>828087T/S6</t>
  </si>
  <si>
    <t>828087T/S7</t>
  </si>
  <si>
    <t>The Patch Estate</t>
  </si>
  <si>
    <t>826166J</t>
  </si>
  <si>
    <t>Jinding Australia</t>
  </si>
  <si>
    <t>03 9849 6222</t>
  </si>
  <si>
    <t>approval@ngdd.com.au</t>
  </si>
  <si>
    <t>LOT SIZE MIN. DWELLING SIZE
Less than (or equal to) 300m2 100m2
More than 300m2 &amp; less than
450m2 120m2
Less than or equal to 450m2 150m2</t>
  </si>
  <si>
    <t>The front entry point may take the form of a portico,
porch, verandah or other feature, to the satisfaction
of the DAP, that has:
• A minimum covered area of 3m²
• A minimum depth of 1.5m</t>
  </si>
  <si>
    <t>Rooms fronting public space (i.e. parks, reserves,
primary and secondary street frontages) must have a
minimum ground floor ceiling height of 2700mm.</t>
  </si>
  <si>
    <t>Lots with a frontage of 12.5m or more must provide a double
garage.</t>
  </si>
  <si>
    <t>The width of the garage door must not exceed 40% of the
width of the lot frontage.</t>
  </si>
  <si>
    <t>826167G</t>
  </si>
  <si>
    <t>826168E</t>
  </si>
  <si>
    <t>826182L</t>
  </si>
  <si>
    <t>845145K</t>
  </si>
  <si>
    <t>845128K</t>
  </si>
  <si>
    <t>845141T</t>
  </si>
  <si>
    <t>902791L</t>
  </si>
  <si>
    <t>90298V</t>
  </si>
  <si>
    <t>The Point Estate</t>
  </si>
  <si>
    <t>743870Y</t>
  </si>
  <si>
    <t>0460 016 789</t>
  </si>
  <si>
    <t>The width of the garage/carport must not exceed 50% of the façade and
be no more than 7m wide (external)</t>
  </si>
  <si>
    <t>Can only use Sorrento facade due to DG - Coastal theme
MPAI can use Hampton, Seaside and Sorrento
Can only use Menzies (KB Mordialloc) for double storeys</t>
  </si>
  <si>
    <t>743877J</t>
  </si>
  <si>
    <t>743878G</t>
  </si>
  <si>
    <t>822924N</t>
  </si>
  <si>
    <t>843602T</t>
  </si>
  <si>
    <t>843598F</t>
  </si>
  <si>
    <t>843603R</t>
  </si>
  <si>
    <t>The Range Estate</t>
  </si>
  <si>
    <t>815623T</t>
  </si>
  <si>
    <t>843673T</t>
  </si>
  <si>
    <t>902050G</t>
  </si>
  <si>
    <t>907125Y</t>
  </si>
  <si>
    <t>The Reserve Estate - Armstrong Creek</t>
  </si>
  <si>
    <t>844148J</t>
  </si>
  <si>
    <t>0428 834 374</t>
  </si>
  <si>
    <t>thereserve@rpmrealestate.com.au</t>
  </si>
  <si>
    <t>Double entire 3300</t>
  </si>
  <si>
    <t>No house shall be built with an area of less than 110 m2  - this doesn't apply to lots 300m2 or less</t>
  </si>
  <si>
    <t>Garage door openings on single storeys must not exceed 40% of the lot frontage - doesn’t apply to doubles and lots 300m2 or less</t>
  </si>
  <si>
    <t>844149G</t>
  </si>
  <si>
    <t>844192F</t>
  </si>
  <si>
    <t>902507L</t>
  </si>
  <si>
    <t>Lot 508, 509, 510, 514, 515, 516, 519-523, 526, 527, 530, 531, 532, 535-538, 540-548, 551-555
provide 1m clear horizontal access along the full length of a min. one side boundary of the lot</t>
  </si>
  <si>
    <t>908221X</t>
  </si>
  <si>
    <t>The Reserve Estate - Tarneit</t>
  </si>
  <si>
    <t>647469L</t>
  </si>
  <si>
    <t>Sam Narsi</t>
  </si>
  <si>
    <t>9095 8787</t>
  </si>
  <si>
    <t>200-399m2      min 120m2 house
400-550m2      min 140m2 house
551+                  min 160m2 house
Side setback of 1.15m - except 300m2-375m2 blocks
Rear setback 2.5m
Min 20% of site needs to be Private Open Space
Double Garage except for 10m or less blocks</t>
  </si>
  <si>
    <t>The Rise Estate</t>
  </si>
  <si>
    <t>848743W</t>
  </si>
  <si>
    <t>land 400m2 or greater -- 140m2 floor area
land 399m2 or below -- 100m2 floor area</t>
  </si>
  <si>
    <t>Lots containing the Plantation Reserve (eastern boundary): Provide approx. 1200mm high treated pine pole fence with 3 x 2.5mm high tensile wire. $105/m (minimum charge of $1,050 (10m) as only large quantities can be purchased)</t>
  </si>
  <si>
    <t>Built form should generally be double storey</t>
  </si>
  <si>
    <t>Balconies on upper floors, refer to DG</t>
  </si>
  <si>
    <t>The Tarneit Place</t>
  </si>
  <si>
    <t>831935G</t>
  </si>
  <si>
    <t>All homes will be provided with high optical fibre connection</t>
  </si>
  <si>
    <t>Corner lots $1210</t>
  </si>
  <si>
    <t>Lots with a frontage of more than 12.5m should
provide a double garage. Maximum width allowable for the
garage door is 5.5m</t>
  </si>
  <si>
    <t>831936E</t>
  </si>
  <si>
    <t>831998F</t>
  </si>
  <si>
    <t>840589X</t>
  </si>
  <si>
    <t>The Village</t>
  </si>
  <si>
    <t>823272B</t>
  </si>
  <si>
    <t>The width of the dwelling, including the 
garage, should not be less than 70% of the lot width</t>
  </si>
  <si>
    <t>Lots&lt; 300m2 = Small Lot Housing Code
• Lots 300m2 &lt; 350m2 =100m2 min site coverage
• Lots 350m2 &lt; 450m2 =120m2 min site coverage
• Lots &gt; 450m2 =150m2 min site coverage</t>
  </si>
  <si>
    <t>Living spaces must be located to the north of the
dwelling to facilitate solar access in winter months</t>
  </si>
  <si>
    <t>The Woods Estate</t>
  </si>
  <si>
    <t>647852M</t>
  </si>
  <si>
    <t>Georgie Adams</t>
  </si>
  <si>
    <t>0411 169 591</t>
  </si>
  <si>
    <t>Georgie@evolve.com.au</t>
  </si>
  <si>
    <t>300m2 -450 = at least 120m2
451-600 = at least 150m2
Greater than 601 = at least 180m2</t>
  </si>
  <si>
    <t>724510P</t>
  </si>
  <si>
    <t>724511M</t>
  </si>
  <si>
    <t>803140H</t>
  </si>
  <si>
    <t>747994H</t>
  </si>
  <si>
    <t>Thompsons Run Estate</t>
  </si>
  <si>
    <t>747261E</t>
  </si>
  <si>
    <t>The	following	minimum	dwelling	sizes	shall	apply:	
- Allotment	size	less	than	450m2:		Minimum	Dwelling	Floor	Area	90m2	or	greater	
- Allotment	size	greater	than	450m2:		Minimum	Dwelling	Floor	Area
- 150m2	or	greater
Excluding garage, verandah, porch etc</t>
  </si>
  <si>
    <t xml:space="preserve">If	a	dwelling	is:	
- 	On	a	lot	between	250m2	and	300m2	and	
- Two	or	more	storeys	
The	garage	door	must	not	exceed	25%	of	the	area	of	the	front	façade	of	the	dwelling.		The	
area	of	the	front	façade	is	to	be	measured	from	a	two	dimensional	elevation	plan	excluding	
any	area	of	the	roof	of	the	dwelling.	
In	all	other	instances	the	width	of	the	garage	door	must	not	exceed	40%	of	the	width	of	the	
lot	frontage.	
All	homes	on	allotments	with	street	frontage	of	less	than	11	metres	must	have	at	least	one	
single	lock‐up	garage.	
Homes	on	allotments	with	street	frontage	greater	than	11	metres	must	have	a	two	car	lock‐
up	garage.	</t>
  </si>
  <si>
    <t>Thornhill Central</t>
  </si>
  <si>
    <t>902773N</t>
  </si>
  <si>
    <t>300m² &lt; 400m² =100m² min floor area
400m² &lt; 450m² =120m² min floor area
&gt; 450m² = 150m² min floor area</t>
  </si>
  <si>
    <t xml:space="preserve"> For lots with a frontage of
under 12.5m, a single car garage is required with a maximum
door width of 2.6m
Garage door openings facing the public realm and must not
exceed 40% of the lot width on single storey dwellings and must
be a maximum 6m in any instance.</t>
  </si>
  <si>
    <t>**Note if garage is to be rear loaded. This requires approval</t>
  </si>
  <si>
    <t>Corner Fencing Only</t>
  </si>
  <si>
    <t>Provide 3No. Advanced trees with a minimum height of 2m at the time of planting, additional shrubs and ground cover plants. $2430</t>
  </si>
  <si>
    <t>Thornhill Park Estate</t>
  </si>
  <si>
    <t>744833A</t>
  </si>
  <si>
    <t>Tina Knights</t>
  </si>
  <si>
    <t>0497 830 036</t>
  </si>
  <si>
    <t>thornhillpark@rpmrealestate.com.au</t>
  </si>
  <si>
    <t>744837R</t>
  </si>
  <si>
    <t>744841B</t>
  </si>
  <si>
    <t>803936N</t>
  </si>
  <si>
    <t>803940X</t>
  </si>
  <si>
    <t>801224M</t>
  </si>
  <si>
    <t>801252G</t>
  </si>
  <si>
    <t>806984K</t>
  </si>
  <si>
    <t>806969F</t>
  </si>
  <si>
    <t>806967K</t>
  </si>
  <si>
    <t>810108N</t>
  </si>
  <si>
    <t>810126L</t>
  </si>
  <si>
    <t>813985S</t>
  </si>
  <si>
    <t>814004E</t>
  </si>
  <si>
    <t>814005C</t>
  </si>
  <si>
    <t>814025V</t>
  </si>
  <si>
    <t>806977G</t>
  </si>
  <si>
    <t>816908V</t>
  </si>
  <si>
    <t>816909T</t>
  </si>
  <si>
    <t>816910K</t>
  </si>
  <si>
    <t>816927R</t>
  </si>
  <si>
    <t>816928P</t>
  </si>
  <si>
    <t>816929M</t>
  </si>
  <si>
    <t>816930D</t>
  </si>
  <si>
    <t>822264F</t>
  </si>
  <si>
    <t>822276X</t>
  </si>
  <si>
    <t>822251Q</t>
  </si>
  <si>
    <t>Thornhill Park Estate - Mayflower</t>
  </si>
  <si>
    <t>816953Q</t>
  </si>
  <si>
    <t>816954N</t>
  </si>
  <si>
    <t>816955L</t>
  </si>
  <si>
    <t>828155D</t>
  </si>
  <si>
    <t>Thoroughbred Estate</t>
  </si>
  <si>
    <t>742523C/S2</t>
  </si>
  <si>
    <t>Timbarra Estate</t>
  </si>
  <si>
    <t>822295T</t>
  </si>
  <si>
    <t>Paul Burrows</t>
  </si>
  <si>
    <t>1300 032 735</t>
  </si>
  <si>
    <t>Less than or equal to 12.5, Minimum width ground floor 85%, Minimum width first floor 60%
More than 12.5m and less than or equal to 16m, Minimum width ground floor 80%, Minimum width first floor 55%
More than 16m, Minimum width ground floor 75%, Minimum width first floor 50%</t>
  </si>
  <si>
    <t>Garage s accessed from the front of the lot must be setback 5.5m from the front boundary of the lot.</t>
  </si>
  <si>
    <t>Timbertop Estate - Drouin</t>
  </si>
  <si>
    <t>806323H</t>
  </si>
  <si>
    <t>Shane Candappa</t>
  </si>
  <si>
    <t>0419 518 321</t>
  </si>
  <si>
    <t>shane@candappafn.com.au</t>
  </si>
  <si>
    <t>If less than 600m2 - must have at least 120m2 living space and must have double garage
If more than 600m2 - must have at least 150m2 living space and must have double garage</t>
  </si>
  <si>
    <t>Timbertop Estate - Officer</t>
  </si>
  <si>
    <t>749044C</t>
  </si>
  <si>
    <t>rebecca@parklea.com</t>
  </si>
  <si>
    <t>Required on Doubles $1800</t>
  </si>
  <si>
    <t>"Where a $5,000 landscaping rebate is eligible, the landscaping must feature garden beds with a minimum of"  this item</t>
  </si>
  <si>
    <t>810996D</t>
  </si>
  <si>
    <t>807645D</t>
  </si>
  <si>
    <t>814723U</t>
  </si>
  <si>
    <t>Toolern Waters Estate</t>
  </si>
  <si>
    <t>641887Y</t>
  </si>
  <si>
    <t>641888W</t>
  </si>
  <si>
    <t>641889U</t>
  </si>
  <si>
    <t>641890L</t>
  </si>
  <si>
    <t>808378U</t>
  </si>
  <si>
    <t>811548C</t>
  </si>
  <si>
    <t>811556D</t>
  </si>
  <si>
    <t>811557B</t>
  </si>
  <si>
    <t>826185E</t>
  </si>
  <si>
    <t>Trijena Estate</t>
  </si>
  <si>
    <t>813994R</t>
  </si>
  <si>
    <t>jan@trijena.com.au</t>
  </si>
  <si>
    <t>Required on Corner Blocks</t>
  </si>
  <si>
    <t>813995P</t>
  </si>
  <si>
    <t>813998H</t>
  </si>
  <si>
    <t>816944R</t>
  </si>
  <si>
    <t>819158X</t>
  </si>
  <si>
    <t>819162H</t>
  </si>
  <si>
    <t>819170J</t>
  </si>
  <si>
    <t>819169S</t>
  </si>
  <si>
    <t>822281F</t>
  </si>
  <si>
    <t>832981T</t>
  </si>
  <si>
    <t>837850H</t>
  </si>
  <si>
    <t>846584B</t>
  </si>
  <si>
    <t>842481J</t>
  </si>
  <si>
    <t>846588S</t>
  </si>
  <si>
    <t>Trillium Estate</t>
  </si>
  <si>
    <t>649691Y/S10</t>
  </si>
  <si>
    <t>a.kundevski@oliverhume.com.au</t>
  </si>
  <si>
    <t>649691Y/S24</t>
  </si>
  <si>
    <t>True North Estate</t>
  </si>
  <si>
    <t>744840D</t>
  </si>
  <si>
    <t>744836T</t>
  </si>
  <si>
    <t>810105U</t>
  </si>
  <si>
    <t>810116P</t>
  </si>
  <si>
    <t>813990A</t>
  </si>
  <si>
    <t>813991X</t>
  </si>
  <si>
    <t>813992V</t>
  </si>
  <si>
    <t>825296A</t>
  </si>
  <si>
    <t>825297X</t>
  </si>
  <si>
    <t>832974Q</t>
  </si>
  <si>
    <t>837871Y</t>
  </si>
  <si>
    <t>837845A</t>
  </si>
  <si>
    <t>837857S</t>
  </si>
  <si>
    <t>Tullamore - Stables Estate</t>
  </si>
  <si>
    <t>Doncaster 3108</t>
  </si>
  <si>
    <t>731534J</t>
  </si>
  <si>
    <t>Jay Ding</t>
  </si>
  <si>
    <t>0466 414 514</t>
  </si>
  <si>
    <t>painted Charcoal in colour $45/lm</t>
  </si>
  <si>
    <t>Front Lanscaping to be done by developer after handover</t>
  </si>
  <si>
    <t>LED lights throughout</t>
  </si>
  <si>
    <t>Green switch required</t>
  </si>
  <si>
    <t>749793H/S2</t>
  </si>
  <si>
    <t>835191J</t>
  </si>
  <si>
    <t>816029B/S2</t>
  </si>
  <si>
    <t>816044F</t>
  </si>
  <si>
    <t>731537C</t>
  </si>
  <si>
    <t>Tulliallan Estate</t>
  </si>
  <si>
    <t>738441D</t>
  </si>
  <si>
    <t>Wendy Byrne</t>
  </si>
  <si>
    <t>0487 888 035</t>
  </si>
  <si>
    <t>tulliallan@rpmrealestate.com.au</t>
  </si>
  <si>
    <t>738445U</t>
  </si>
  <si>
    <t>738448N</t>
  </si>
  <si>
    <t>738457M</t>
  </si>
  <si>
    <t>738456P</t>
  </si>
  <si>
    <t>738458K</t>
  </si>
  <si>
    <t>745331V</t>
  </si>
  <si>
    <t>745332T</t>
  </si>
  <si>
    <t>745338F</t>
  </si>
  <si>
    <t>745340U</t>
  </si>
  <si>
    <t>745341S</t>
  </si>
  <si>
    <t>Umbra Estate</t>
  </si>
  <si>
    <t>807614Q</t>
  </si>
  <si>
    <t>0487 888 022</t>
  </si>
  <si>
    <t>umbra2@rpmrealestate.com.au</t>
  </si>
  <si>
    <t>Entrie house $3300</t>
  </si>
  <si>
    <t>Provide horizontal Merbau Front Fence. $300 per m</t>
  </si>
  <si>
    <t>Provide additional shrubs and ground cover plants (2No. plants per 1m2). $2200</t>
  </si>
  <si>
    <t>807617J</t>
  </si>
  <si>
    <t>Underbank Estate</t>
  </si>
  <si>
    <t>725408Y</t>
  </si>
  <si>
    <t>Alex Bennici</t>
  </si>
  <si>
    <t>0437 847 203</t>
  </si>
  <si>
    <t>Only Reid façade will work</t>
  </si>
  <si>
    <t>Provide Cat 4 Tapas bricks to the Whole House in lieu of standard = $2500
Note to self, developer won't approve red bricks which is standard on Reid</t>
  </si>
  <si>
    <t>Required on street facing sides.</t>
  </si>
  <si>
    <t>725408Y/S2</t>
  </si>
  <si>
    <t>725408Y/301</t>
  </si>
  <si>
    <t>725408Y/302</t>
  </si>
  <si>
    <t>725408Y/S5</t>
  </si>
  <si>
    <t>725408Y/S6</t>
  </si>
  <si>
    <t>725408Y/S8</t>
  </si>
  <si>
    <t>725408Y/S9</t>
  </si>
  <si>
    <t>725408Y/S11</t>
  </si>
  <si>
    <t>725408Y/S12</t>
  </si>
  <si>
    <t>725408Y/S13</t>
  </si>
  <si>
    <t>725408Y/S15</t>
  </si>
  <si>
    <t>725408Y/S21</t>
  </si>
  <si>
    <t>725408Y/S22</t>
  </si>
  <si>
    <t>725408Y/S23</t>
  </si>
  <si>
    <t>Unity Park</t>
  </si>
  <si>
    <t>904394L</t>
  </si>
  <si>
    <t>For lots equal to or greater than 18m of width, dwelling must be at least 13m wide</t>
  </si>
  <si>
    <t>Porch depth more than 1.5m and 1.6m wide</t>
  </si>
  <si>
    <t>Minimum 100m2 on lots less than 350m2
Minimum 120m2 on lot between 350m2-600m2
minimum 150m2 on lot over 601m2
Floor area excludes garages, porches, ODL</t>
  </si>
  <si>
    <t>Lots 12.5 or greater require a Double Garage.
Garage must not exceed 40% of the lots width
Double Storey must not exceed 30% of the area of the front façade.</t>
  </si>
  <si>
    <t>For lots greater than 600m2</t>
  </si>
  <si>
    <t>904396G</t>
  </si>
  <si>
    <t>904397E</t>
  </si>
  <si>
    <t>Upper Point Cook Estate</t>
  </si>
  <si>
    <t>732727R</t>
  </si>
  <si>
    <t>Mark Di Paola</t>
  </si>
  <si>
    <t>0438 839 976</t>
  </si>
  <si>
    <t>markd@satterley.com.au</t>
  </si>
  <si>
    <t>Balconies, verandas and porticos must have a minimum area of 4.0sqm with a minimum depth of 1.5m. Unless small lot housing code.</t>
  </si>
  <si>
    <t>732730D</t>
  </si>
  <si>
    <t>732736Q</t>
  </si>
  <si>
    <t>749032K</t>
  </si>
  <si>
    <t>740167J</t>
  </si>
  <si>
    <t>740168G</t>
  </si>
  <si>
    <t>740178D</t>
  </si>
  <si>
    <t>743419R</t>
  </si>
  <si>
    <t>743432A</t>
  </si>
  <si>
    <t>743467E</t>
  </si>
  <si>
    <t>746233Q</t>
  </si>
  <si>
    <t>746242P</t>
  </si>
  <si>
    <t>746247D</t>
  </si>
  <si>
    <t>746249Y</t>
  </si>
  <si>
    <t>746274A</t>
  </si>
  <si>
    <t>746279P</t>
  </si>
  <si>
    <t>746282B</t>
  </si>
  <si>
    <t>749005N</t>
  </si>
  <si>
    <t>749006L</t>
  </si>
  <si>
    <t>749008G</t>
  </si>
  <si>
    <t>749009E</t>
  </si>
  <si>
    <t>749010V</t>
  </si>
  <si>
    <t>809259X</t>
  </si>
  <si>
    <t>805576G</t>
  </si>
  <si>
    <t>805577E</t>
  </si>
  <si>
    <t>805582M</t>
  </si>
  <si>
    <t>805584H</t>
  </si>
  <si>
    <t>805585F</t>
  </si>
  <si>
    <t>749015K</t>
  </si>
  <si>
    <t>Vantage Estate</t>
  </si>
  <si>
    <t xml:space="preserve">Paruna Valley </t>
  </si>
  <si>
    <t xml:space="preserve">Paul Wu </t>
  </si>
  <si>
    <t>0411 884 880</t>
  </si>
  <si>
    <t>744993B</t>
  </si>
  <si>
    <t>807750G</t>
  </si>
  <si>
    <t>810586Y</t>
  </si>
  <si>
    <t>Venus Hill Estate</t>
  </si>
  <si>
    <t>839253R</t>
  </si>
  <si>
    <t>Vasi Iliaskos</t>
  </si>
  <si>
    <t>0452 088 825</t>
  </si>
  <si>
    <t>sales@venushillestate.com.au</t>
  </si>
  <si>
    <t>Lots with a width of 18m or greater must have a minimum two room frontage with
windows facing the primary street.
(e) Single storey dwellings on lots with a width of 18m or more must have a minimum
dwelling width of 13m</t>
  </si>
  <si>
    <t>On lots with a width less than 18m a double or single garage may constructed and
must not exceed 40% of the total lot width.
(e) On lots with a width of 18m or greater, a double garage must be constructed. The
garage must not exceed 40% of the lot width</t>
  </si>
  <si>
    <t xml:space="preserve"> Fencing along the eastern boundary of Lots 233-239 is to consist of post and wire
fencing</t>
  </si>
  <si>
    <t>Verdant Hill Estate</t>
  </si>
  <si>
    <t>743088N</t>
  </si>
  <si>
    <t>Developer Core Projects</t>
  </si>
  <si>
    <t>Entire On Doubles</t>
  </si>
  <si>
    <t>land over 450m2 will need to have a minimum floor area of 150m2</t>
  </si>
  <si>
    <t>Required On Corner</t>
  </si>
  <si>
    <t>743092X</t>
  </si>
  <si>
    <t>743069S</t>
  </si>
  <si>
    <t xml:space="preserve">743097M </t>
  </si>
  <si>
    <t>808116C</t>
  </si>
  <si>
    <t>842971Q</t>
  </si>
  <si>
    <t>816917U</t>
  </si>
  <si>
    <t>822252N</t>
  </si>
  <si>
    <t>825332Y</t>
  </si>
  <si>
    <t>825336Q</t>
  </si>
  <si>
    <t>825337N</t>
  </si>
  <si>
    <t>838360V</t>
  </si>
  <si>
    <t>816919Q</t>
  </si>
  <si>
    <t>816918S</t>
  </si>
  <si>
    <t>Verve</t>
  </si>
  <si>
    <t>846746B</t>
  </si>
  <si>
    <t>Goldfields</t>
  </si>
  <si>
    <t>For lots equal to or greater than 300m2 = $4950</t>
  </si>
  <si>
    <t>Minimum Dwelling size 
Less than 300m2 = 75m2
300m2 to 400m2 = 100m2
400m2 to 500m2 = 130m2
500m2+ = 160m2</t>
  </si>
  <si>
    <t>Setbacks 
Minimum 4.0m and Maximum 6.0 from front boundary to building line - front
Minimum 2.0m from rear boundary
 At least 1m from at least 1 side boundary</t>
  </si>
  <si>
    <t>Garage opening must not exceed more than 40% of lot width</t>
  </si>
  <si>
    <t>Vineyard Estate</t>
  </si>
  <si>
    <t>831788S</t>
  </si>
  <si>
    <t>Alex Scott</t>
  </si>
  <si>
    <t>03 5997 2133</t>
  </si>
  <si>
    <t>kooweerup@alexscott.com.au</t>
  </si>
  <si>
    <t>Each dwelling must be setback a minimum 7m from the front and 2.5m from the side boundaries</t>
  </si>
  <si>
    <t>Voltaire Estate</t>
  </si>
  <si>
    <t>845368N</t>
  </si>
  <si>
    <t>Corner fencing - Provide approx. 1800mm high slatted pine feature fencing with vertical slats. - $321/lm</t>
  </si>
  <si>
    <t>Lot 2 only - allowance to paint fence in dark tone $45/lm</t>
  </si>
  <si>
    <t>Wallanbrae</t>
  </si>
  <si>
    <t>827457R</t>
  </si>
  <si>
    <t>No house shall be built with an area of less than 100 m2</t>
  </si>
  <si>
    <t>Wallan Valley</t>
  </si>
  <si>
    <t>817131F</t>
  </si>
  <si>
    <t>Must be more than 110m2 excluding garage, porch, outdoor living etc</t>
  </si>
  <si>
    <t>Wallara Waters Estate</t>
  </si>
  <si>
    <t>607263J</t>
  </si>
  <si>
    <t>703941D</t>
  </si>
  <si>
    <t>703942B</t>
  </si>
  <si>
    <t>746169W</t>
  </si>
  <si>
    <t>822302A</t>
  </si>
  <si>
    <t>822303X</t>
  </si>
  <si>
    <t>900697N</t>
  </si>
  <si>
    <t>900710A</t>
  </si>
  <si>
    <t>846731Q</t>
  </si>
  <si>
    <t>730838S</t>
  </si>
  <si>
    <t>Wandana Estate</t>
  </si>
  <si>
    <t>Wandana Heights 3216</t>
  </si>
  <si>
    <t>809692H</t>
  </si>
  <si>
    <t>0417 548 714</t>
  </si>
  <si>
    <t>t.ogrady@oliverhume.com.au</t>
  </si>
  <si>
    <t>The minimum dwelling size is:
• 160 square metres in the case of a lot having an area of 500 square metres or greater; or
• 130 square metres in the case of a lot having an area of 400 square metres or greater but less than 500 square metres; or
• 100 square metres in the case of a lot having an area of 300 square metres or greater but less than 400 square metres; or
• 75 square metres in the case of a lot having an area of less than 300 square metres.</t>
  </si>
  <si>
    <t>827131Y</t>
  </si>
  <si>
    <t>829542Q</t>
  </si>
  <si>
    <t>816135C</t>
  </si>
  <si>
    <t>812316U</t>
  </si>
  <si>
    <t>816138V</t>
  </si>
  <si>
    <t>827124V</t>
  </si>
  <si>
    <t>Wantirna Rise Estate</t>
  </si>
  <si>
    <t xml:space="preserve">Scoresby </t>
  </si>
  <si>
    <t>726547D</t>
  </si>
  <si>
    <t>Waratah Estate</t>
  </si>
  <si>
    <t>738883T</t>
  </si>
  <si>
    <t>810932G</t>
  </si>
  <si>
    <t>810989A</t>
  </si>
  <si>
    <t>Warragul Crownlea Estate</t>
  </si>
  <si>
    <t>827600P</t>
  </si>
  <si>
    <t>Ann Maree Clarke</t>
  </si>
  <si>
    <t>0416 677 588</t>
  </si>
  <si>
    <t>a.clarke@oliverhume.com.au</t>
  </si>
  <si>
    <t>Any dwelling (excluding any garage, terrace, pergola
or verandah) shall have a minimum floor area of:
• 150m2 on lots 500m2 and greater
• 120m2 for lots between 301m2 and 499m2
Note 1: This provision does not apply to integrated
housing developments or terrace
allotments on lots less than 300m2.</t>
  </si>
  <si>
    <t>The dwelling must have a double garage (integrated
or detached) and be built in the same materials as
the dwelling. For Lots under 300m2 or lots with 9m
frontage or less, single garages are permitted.</t>
  </si>
  <si>
    <t>827603H</t>
  </si>
  <si>
    <t>827604F</t>
  </si>
  <si>
    <t>Warralily Estate</t>
  </si>
  <si>
    <t>1 - Springs</t>
  </si>
  <si>
    <t>906856M</t>
  </si>
  <si>
    <t>Ben Stewart</t>
  </si>
  <si>
    <t>1300 661 719</t>
  </si>
  <si>
    <t>Minimum Floor Areas  &lt;330=100m2  330-450=120m2  451&gt;=150m2
(except SLHC lots)</t>
  </si>
  <si>
    <t>806366N</t>
  </si>
  <si>
    <t>816889W</t>
  </si>
  <si>
    <t>816905C</t>
  </si>
  <si>
    <t>822920W</t>
  </si>
  <si>
    <t>822925L</t>
  </si>
  <si>
    <t>822934K</t>
  </si>
  <si>
    <t>822937D</t>
  </si>
  <si>
    <t>822938B</t>
  </si>
  <si>
    <t>843613N</t>
  </si>
  <si>
    <t>843619A</t>
  </si>
  <si>
    <t>Lot 1301 to 1307 and 1309 to 1318 (All inclusive) - provide 1m clear horizontal access along the full length of a min one side boundary of the lot</t>
  </si>
  <si>
    <t>822921U</t>
  </si>
  <si>
    <t>822950M</t>
  </si>
  <si>
    <t>822955B</t>
  </si>
  <si>
    <t>843590X</t>
  </si>
  <si>
    <t>843596K</t>
  </si>
  <si>
    <t>843600X</t>
  </si>
  <si>
    <t>843605M</t>
  </si>
  <si>
    <t>843609D</t>
  </si>
  <si>
    <t>34B</t>
  </si>
  <si>
    <t>822941N</t>
  </si>
  <si>
    <t>843597H</t>
  </si>
  <si>
    <t>843601V</t>
  </si>
  <si>
    <t>843618C</t>
  </si>
  <si>
    <t>906845S</t>
  </si>
  <si>
    <t>732882D</t>
  </si>
  <si>
    <t>822942L</t>
  </si>
  <si>
    <t>822943J</t>
  </si>
  <si>
    <t>822954D</t>
  </si>
  <si>
    <t>822951K</t>
  </si>
  <si>
    <t>46a</t>
  </si>
  <si>
    <t>843588J</t>
  </si>
  <si>
    <t>648111C</t>
  </si>
  <si>
    <t>722222F</t>
  </si>
  <si>
    <t>722223D</t>
  </si>
  <si>
    <t>732887S</t>
  </si>
  <si>
    <t>743863V</t>
  </si>
  <si>
    <t>732894V</t>
  </si>
  <si>
    <t>802690A</t>
  </si>
  <si>
    <t>806360B</t>
  </si>
  <si>
    <t>806357P</t>
  </si>
  <si>
    <t>806370X</t>
  </si>
  <si>
    <t>816883K</t>
  </si>
  <si>
    <t>743880V</t>
  </si>
  <si>
    <t>806359K</t>
  </si>
  <si>
    <t>806347S</t>
  </si>
  <si>
    <t>806353X</t>
  </si>
  <si>
    <t>806358M</t>
  </si>
  <si>
    <t>816885F</t>
  </si>
  <si>
    <t>843594P</t>
  </si>
  <si>
    <t>732886U</t>
  </si>
  <si>
    <t>843595M</t>
  </si>
  <si>
    <t>105A</t>
  </si>
  <si>
    <t>822935H</t>
  </si>
  <si>
    <t>732889N</t>
  </si>
  <si>
    <t>7413872U</t>
  </si>
  <si>
    <t>802680D</t>
  </si>
  <si>
    <t>816890N</t>
  </si>
  <si>
    <t>806355T</t>
  </si>
  <si>
    <t>Warralily Estate116</t>
  </si>
  <si>
    <t>906851X</t>
  </si>
  <si>
    <t>906855P</t>
  </si>
  <si>
    <t>732891C</t>
  </si>
  <si>
    <t>822929C</t>
  </si>
  <si>
    <t>71B</t>
  </si>
  <si>
    <t>802693T</t>
  </si>
  <si>
    <t>78B</t>
  </si>
  <si>
    <t>816886D</t>
  </si>
  <si>
    <t>Water Edge Estate</t>
  </si>
  <si>
    <t>719007D</t>
  </si>
  <si>
    <t>SSD</t>
  </si>
  <si>
    <t>0438 552 221</t>
  </si>
  <si>
    <t>b.ryan@harcourts.com.au</t>
  </si>
  <si>
    <t>719008B</t>
  </si>
  <si>
    <t>722375D</t>
  </si>
  <si>
    <t>Waterford Estate</t>
  </si>
  <si>
    <t>Jim</t>
  </si>
  <si>
    <t>waterfordestate@rpm.com.au</t>
  </si>
  <si>
    <t>640644H/S11</t>
  </si>
  <si>
    <t>Waterford Rise Estate</t>
  </si>
  <si>
    <t>810740R</t>
  </si>
  <si>
    <t>Anne Maree Mailer</t>
  </si>
  <si>
    <t>Garage must be double.</t>
  </si>
  <si>
    <t>834308U</t>
  </si>
  <si>
    <t>818227L</t>
  </si>
  <si>
    <t>818230X</t>
  </si>
  <si>
    <t>820997U</t>
  </si>
  <si>
    <t>821006k</t>
  </si>
  <si>
    <t>821007H</t>
  </si>
  <si>
    <t>826792G</t>
  </si>
  <si>
    <t>834305B</t>
  </si>
  <si>
    <t>838395A</t>
  </si>
  <si>
    <t>844517D</t>
  </si>
  <si>
    <t>844522L</t>
  </si>
  <si>
    <t>Watergrass Estate</t>
  </si>
  <si>
    <t>638818N</t>
  </si>
  <si>
    <t>702920S</t>
  </si>
  <si>
    <t>739606R</t>
  </si>
  <si>
    <t>Waterhaven Estate</t>
  </si>
  <si>
    <t>804291E</t>
  </si>
  <si>
    <t>Hallmarc</t>
  </si>
  <si>
    <t>Angelo D'Addazio</t>
  </si>
  <si>
    <t>0438 223 385</t>
  </si>
  <si>
    <t>angelo@hallmarc.com.au</t>
  </si>
  <si>
    <t>4.5 Front Setback &amp; Minimum 0.84 Garage setback from front façade</t>
  </si>
  <si>
    <t>804303A</t>
  </si>
  <si>
    <t>Watermark Estate</t>
  </si>
  <si>
    <t>730376F</t>
  </si>
  <si>
    <t>Adam Farrel</t>
  </si>
  <si>
    <t>0447 911 012</t>
  </si>
  <si>
    <t>Adam@red23.com.au</t>
  </si>
  <si>
    <t>730377D</t>
  </si>
  <si>
    <t>738384N</t>
  </si>
  <si>
    <t>746797Q</t>
  </si>
  <si>
    <t>746847C</t>
  </si>
  <si>
    <t>746848A</t>
  </si>
  <si>
    <t>804357A</t>
  </si>
  <si>
    <t>804362H</t>
  </si>
  <si>
    <t>811253X</t>
  </si>
  <si>
    <t>817579H</t>
  </si>
  <si>
    <t>817603P</t>
  </si>
  <si>
    <t>825799W</t>
  </si>
  <si>
    <t>Waterways</t>
  </si>
  <si>
    <t>707446S</t>
  </si>
  <si>
    <t>Mathew Robins</t>
  </si>
  <si>
    <t>0434 793 008</t>
  </si>
  <si>
    <t>matthew@vhls.net.au</t>
  </si>
  <si>
    <t>A garage opening must not occupy more than 40% of the width of the lot frontage width.</t>
  </si>
  <si>
    <t>826721G</t>
  </si>
  <si>
    <t>Wattle Estate</t>
  </si>
  <si>
    <t>805057H</t>
  </si>
  <si>
    <t>Porches must be at least 4m2</t>
  </si>
  <si>
    <t>Lots over 12.5m in width - garage openings must not exceed 40% of the dwelling frontage for single storeys
- garage openings must not exceed 25% of the area of the front façade of any dwelling
Lots under 12.5m in width - restricted to single garages
- garage openings must not exceed 25% of the area of the front façade of any dwelling</t>
  </si>
  <si>
    <t>805058F</t>
  </si>
  <si>
    <t>Wattlewood Estate</t>
  </si>
  <si>
    <t>Carrum Downs 3201</t>
  </si>
  <si>
    <t>646315V/S5</t>
  </si>
  <si>
    <t>Haven; Home, Safe</t>
  </si>
  <si>
    <t>Mario Rocisano</t>
  </si>
  <si>
    <t>0418 338 979</t>
  </si>
  <si>
    <t>mario.roccisano@hhs.org.au</t>
  </si>
  <si>
    <t>Tea Tree</t>
  </si>
  <si>
    <t>Wattle Grove Estate</t>
  </si>
  <si>
    <t>834032L</t>
  </si>
  <si>
    <t>Bisinella Developments</t>
  </si>
  <si>
    <t>Richard Bisinella</t>
  </si>
  <si>
    <t>0417 155 630</t>
  </si>
  <si>
    <t>Please note developer provides colourbond boundary fencing and has confirmed the Builder will have to provide the wing gate which can be in timber</t>
  </si>
  <si>
    <t>834033J</t>
  </si>
  <si>
    <t>847792N</t>
  </si>
  <si>
    <t>838268H</t>
  </si>
  <si>
    <t>838269F</t>
  </si>
  <si>
    <t>Waverley Park</t>
  </si>
  <si>
    <t>Mulgrave 3170</t>
  </si>
  <si>
    <t>826458U</t>
  </si>
  <si>
    <t>Entire House $3300</t>
  </si>
  <si>
    <t>Webb</t>
  </si>
  <si>
    <t>903088Y</t>
  </si>
  <si>
    <t>903089W</t>
  </si>
  <si>
    <t>Wellington Rise Estate</t>
  </si>
  <si>
    <t>804257E</t>
  </si>
  <si>
    <t>Greg</t>
  </si>
  <si>
    <t>0437 722 235</t>
  </si>
  <si>
    <t>The first floor side wall of any dwelling on a corner lot must be set
back a minimum of 900mm from the ground floor side wall where
that wall faces a side street.</t>
  </si>
  <si>
    <t>816292K</t>
  </si>
  <si>
    <t>Werona Waters Estate</t>
  </si>
  <si>
    <t>717111U</t>
  </si>
  <si>
    <t>T&amp;V Kavanagh</t>
  </si>
  <si>
    <t>Colin Butler</t>
  </si>
  <si>
    <t>0438 331 112</t>
  </si>
  <si>
    <t>colin@obrienrealestate.com.au</t>
  </si>
  <si>
    <t>732557Q</t>
  </si>
  <si>
    <t>Dennis Family</t>
  </si>
  <si>
    <t>Cheryl Pearson</t>
  </si>
  <si>
    <t>1300 303 420</t>
  </si>
  <si>
    <t>cpearson@westbrookestate.com.au</t>
  </si>
  <si>
    <t>The minimum floor area of a dwelling to be constructed on a lot must be as follows: -
• Lots up to 300 square metres - 75 square metres.
• Lots up to 450 square metres - 90 square metres.
• Lots 451 to 600 square metres - 130 square metres.
• Lots 601 to 700 square metres - 150 square metres.
• Lots 701 square metres and above - 170 square metres.
All minimum floor areas exclude garages, porticos and verandas.
Note: The dwelling area of Landmark Lots, Irrespective of lot size must be a minimum of 150m2.</t>
  </si>
  <si>
    <t>$6 m2 on LL</t>
  </si>
  <si>
    <t>732556A</t>
  </si>
  <si>
    <t>739584Y</t>
  </si>
  <si>
    <t>801214Q</t>
  </si>
  <si>
    <t>801230S</t>
  </si>
  <si>
    <t>810131T</t>
  </si>
  <si>
    <t>810133P</t>
  </si>
  <si>
    <t>810139B</t>
  </si>
  <si>
    <t>810145G</t>
  </si>
  <si>
    <t>813983W</t>
  </si>
  <si>
    <t>813987N</t>
  </si>
  <si>
    <t>814013D</t>
  </si>
  <si>
    <t>814016W</t>
  </si>
  <si>
    <t>816912F</t>
  </si>
  <si>
    <t>816939J</t>
  </si>
  <si>
    <t>816940A</t>
  </si>
  <si>
    <t>819186S</t>
  </si>
  <si>
    <t>819178R</t>
  </si>
  <si>
    <t>819183Y</t>
  </si>
  <si>
    <t>819156C</t>
  </si>
  <si>
    <t>822259X</t>
  </si>
  <si>
    <t>819196P</t>
  </si>
  <si>
    <t>819173C</t>
  </si>
  <si>
    <t>819189L</t>
  </si>
  <si>
    <t>822272G</t>
  </si>
  <si>
    <t>Single storey - Provide 450mm wide eaves to the entire of house (excluding walls on boundary). $3300</t>
  </si>
  <si>
    <t>Double storey - Provide 600mm wide eaves to the entire of house (excluding walls on boundary). $3500</t>
  </si>
  <si>
    <t>dwelling must include one side setback equal or greater than 1m</t>
  </si>
  <si>
    <t>dwellings must be a min. of 27 squares (250m2)</t>
  </si>
  <si>
    <t>All rear fencing, including a 2.7m return panel on the side boundary, and feature fencing (identified as such on the Building Envelop Plan) will be provided by the Developer. Note Only</t>
  </si>
  <si>
    <t>To calculate fencing: (both side boundary length x fence rate) - (credit for standard timber fence $2655)</t>
  </si>
  <si>
    <t>required for single storey $6 m2</t>
  </si>
  <si>
    <t>walls on corner lots longer than 10m must incorporate a step in the wall of at lease 0.5m within the first 5m from the front façade</t>
  </si>
  <si>
    <t>Each dwelling must have a double garage</t>
  </si>
  <si>
    <t>Developer to provide the front garden. Provide credit</t>
  </si>
  <si>
    <t>822257C</t>
  </si>
  <si>
    <t>825291L</t>
  </si>
  <si>
    <t>825292J</t>
  </si>
  <si>
    <t>Developer to provide the front garden. Note Only</t>
  </si>
  <si>
    <t>828147C</t>
  </si>
  <si>
    <t>828144J</t>
  </si>
  <si>
    <t>828148A</t>
  </si>
  <si>
    <t>828160L</t>
  </si>
  <si>
    <t>67A</t>
  </si>
  <si>
    <t>906022Q</t>
  </si>
  <si>
    <t>Western Gardenia</t>
  </si>
  <si>
    <t>827196T</t>
  </si>
  <si>
    <t>rachael@kohamproperty.com.au</t>
  </si>
  <si>
    <t>For single storey dwellings, garage entrances may not
exceed 40% of the total façade frontage. Where they
have frontages less than 12.5m in width, only single
width garages are allowed.
•	For multi-storey dwellings, garage entrances may not
exceed 25% of the total facade frontage. Facade areas
are measured from a two-dimensional elevation plan and
do not include any area of the roof of the dwelling</t>
  </si>
  <si>
    <t>Special DG for Lots 6-13 - check DG</t>
  </si>
  <si>
    <t>827196T/S2</t>
  </si>
  <si>
    <t>Westwood Walk Estate</t>
  </si>
  <si>
    <t>817163R</t>
  </si>
  <si>
    <t>0429 262 870</t>
  </si>
  <si>
    <t>westwood2@rpmrealestate.com.au</t>
  </si>
  <si>
    <t>Dwellings Over 300m2 $4950</t>
  </si>
  <si>
    <t>Lots less than 12.5m wide must have a single garage</t>
  </si>
  <si>
    <t>817164P</t>
  </si>
  <si>
    <t>817165M</t>
  </si>
  <si>
    <t>820465F</t>
  </si>
  <si>
    <t>825758M</t>
  </si>
  <si>
    <t>825764S</t>
  </si>
  <si>
    <t>825767L</t>
  </si>
  <si>
    <t>825768J</t>
  </si>
  <si>
    <t>847522U</t>
  </si>
  <si>
    <t>900897E</t>
  </si>
  <si>
    <t>905197H</t>
  </si>
  <si>
    <t>900900U</t>
  </si>
  <si>
    <t>900881V</t>
  </si>
  <si>
    <t>900894L</t>
  </si>
  <si>
    <t>Westwood Place Estate</t>
  </si>
  <si>
    <t>847344S</t>
  </si>
  <si>
    <t>A minimum 1.0m setback from one
side boundary is required for all lots
with a frontage equal to or greater
than 10.5m in width</t>
  </si>
  <si>
    <t>All lots over 300m² must include a rainwater
tank (minimum 2000L) $4950</t>
  </si>
  <si>
    <t>Conventional lots less than 12.5m wide must
have a single garage (excludes small lots and rear
loaded lots)</t>
  </si>
  <si>
    <t>901972M</t>
  </si>
  <si>
    <t>901974H</t>
  </si>
  <si>
    <t>906174Q</t>
  </si>
  <si>
    <t>Whitehill</t>
  </si>
  <si>
    <t>830359X</t>
  </si>
  <si>
    <t>Louise Varigos</t>
  </si>
  <si>
    <t>0408 885 982</t>
  </si>
  <si>
    <t>louise.varigos@eview.com.au</t>
  </si>
  <si>
    <t>Dwelling size must be at least 140m2</t>
  </si>
  <si>
    <t>Willandra  Estate</t>
  </si>
  <si>
    <t>742676A</t>
  </si>
  <si>
    <t>Melton Land Holdings</t>
  </si>
  <si>
    <t>Romano Miric</t>
  </si>
  <si>
    <t>1300 459 300</t>
  </si>
  <si>
    <t>742696T</t>
  </si>
  <si>
    <t>804594K</t>
  </si>
  <si>
    <t>808022M</t>
  </si>
  <si>
    <t>808017E</t>
  </si>
  <si>
    <t>808028Y</t>
  </si>
  <si>
    <t>813543C</t>
  </si>
  <si>
    <t>Williams Landing - Addison Estate</t>
  </si>
  <si>
    <t>Williams Landing 3027</t>
  </si>
  <si>
    <t>825823D</t>
  </si>
  <si>
    <t>Cedar Woods</t>
  </si>
  <si>
    <t>Carol Rubidoux</t>
  </si>
  <si>
    <t>1300 11 22 02</t>
  </si>
  <si>
    <t>carol.rubidoux@cedarwoods.com.au</t>
  </si>
  <si>
    <t>710mm wide piers in lieu of 470mm</t>
  </si>
  <si>
    <t>1950 High</t>
  </si>
  <si>
    <t>A1</t>
  </si>
  <si>
    <t>738381U</t>
  </si>
  <si>
    <t>A2</t>
  </si>
  <si>
    <t>738408B</t>
  </si>
  <si>
    <t>A3</t>
  </si>
  <si>
    <t>738399Y</t>
  </si>
  <si>
    <t>AW2</t>
  </si>
  <si>
    <t>804332S</t>
  </si>
  <si>
    <t>AW2C</t>
  </si>
  <si>
    <t>811228W</t>
  </si>
  <si>
    <t>Williams Landing - Elmstead Estate</t>
  </si>
  <si>
    <t>720092C</t>
  </si>
  <si>
    <t>720087U</t>
  </si>
  <si>
    <t>E6</t>
  </si>
  <si>
    <t>720085Y</t>
  </si>
  <si>
    <t>Williams Landing Estate</t>
  </si>
  <si>
    <t>831706X</t>
  </si>
  <si>
    <t>825821H</t>
  </si>
  <si>
    <t>746804W</t>
  </si>
  <si>
    <t>825822F</t>
  </si>
  <si>
    <t>637193J</t>
  </si>
  <si>
    <t>W1</t>
  </si>
  <si>
    <t>831711F</t>
  </si>
  <si>
    <t>Williams Walk Estate</t>
  </si>
  <si>
    <t>840602K</t>
  </si>
  <si>
    <t>Chris Awad</t>
  </si>
  <si>
    <t>williamswalk@villawoodproperties.com</t>
  </si>
  <si>
    <t>The minimum dwelling size is:
• 75 square metres in the case of a lot having an area of less than 300 square
metres; or
• 100 square metres in the case of a lot having an area of 300 square metres or
greater, but less than 400 square metres; or
• 130 square metres in the case of a lot having an area of 400 square metres or
greater, but less than 500 square metres; or
• 160 square metres in the case of a lot having an area of 500 square metres or
greater</t>
  </si>
  <si>
    <t>840613E</t>
  </si>
  <si>
    <t>845657F</t>
  </si>
  <si>
    <t>900028K</t>
  </si>
  <si>
    <t>Willow Estate - Gisborne</t>
  </si>
  <si>
    <t>831703E</t>
  </si>
  <si>
    <t>0403 692 619</t>
  </si>
  <si>
    <t>r.miric@oliverhume.com.au</t>
  </si>
  <si>
    <t>Provide a garage door(s) which does not exceed 40% of
the allotment width, where the house proposal is single
storey</t>
  </si>
  <si>
    <t>On lots less than 450m2, no house shall be built with an area
of less than 110sqm (exclusive of garage). On lots 450m2
and greater, no house shall be built with an area of less than
150sqm (exclusive of garage)</t>
  </si>
  <si>
    <t>831705A</t>
  </si>
  <si>
    <t>831726R</t>
  </si>
  <si>
    <t>838504X</t>
  </si>
  <si>
    <t>838544K</t>
  </si>
  <si>
    <t>902484V</t>
  </si>
  <si>
    <t>Willow Estate - Mt Duneed</t>
  </si>
  <si>
    <t>Mt Duneed 3216</t>
  </si>
  <si>
    <t>835221C</t>
  </si>
  <si>
    <t>Brooke Hipworth</t>
  </si>
  <si>
    <t>0488 121 267</t>
  </si>
  <si>
    <t>willow@rpmrealestate.com.au</t>
  </si>
  <si>
    <t>An entrance porch or portico must have
an area of at least 4m2, a depth of 1�5
metres and maximum height of 3�6m</t>
  </si>
  <si>
    <t>◇ Lots with frontages equal to or greater
than 12�5 metres must incorporate a
double car garage, which is constructed
of the same building materials as the
dwelling�
◇ Lots with a frontage less than 12�5 metres
must incorporate (as a minimum) a single
car garage, which is constructed of the
same building materials as the dwelling
with an additional area available on the lot
to park a second car</t>
  </si>
  <si>
    <t>835222A</t>
  </si>
  <si>
    <t>Willow Springs</t>
  </si>
  <si>
    <t>838332B</t>
  </si>
  <si>
    <t>Vishal - Core Projects</t>
  </si>
  <si>
    <t>1300 732 353</t>
  </si>
  <si>
    <t>info@willowspringsland.com.au</t>
  </si>
  <si>
    <t>All homes on lots 12.5 metres wide or greater
must have a double garage and the opening must
not occupy more than 40% of the lot frontage.
The garage door must be panelled and must be
a colour which complements the dwelling</t>
  </si>
  <si>
    <t>(A) 160 square metres in the case of a lot having an area of 500 square metres or greater; or
(B) 130 square metres in the case of a lot having an area of 400 square metres or greater but less than 500
square metres; or
(C) 100 square metres in the case of a lot having an area of 300 square metres or greater but less than 400
square metres; or
(D) 75 square metres in the case of a lot having an area of less than 300 square metres</t>
  </si>
  <si>
    <t>Provide approx. 1890mm High Colorbond Lysaght Miniscreen Fencing, Monument in colour in lieu of timber palings. Includes wing fence and Gate. Required on secondary street frontage on corner block.
Copy Z2 &amp; Z3 over T6 &amp; T7.</t>
  </si>
  <si>
    <t>845139E</t>
  </si>
  <si>
    <t>902794E</t>
  </si>
  <si>
    <t>Windermere Estate</t>
  </si>
  <si>
    <t>Mambourin 3024</t>
  </si>
  <si>
    <t>817469Q</t>
  </si>
  <si>
    <t>Country Garden</t>
  </si>
  <si>
    <t>Mai Tran</t>
  </si>
  <si>
    <t>0402 259 977</t>
  </si>
  <si>
    <t>mai.tran@mywindermere.com.au</t>
  </si>
  <si>
    <t>817472C</t>
  </si>
  <si>
    <t>817470G</t>
  </si>
  <si>
    <t>817487N</t>
  </si>
  <si>
    <t>817488L</t>
  </si>
  <si>
    <t>817493T</t>
  </si>
  <si>
    <t>817494R</t>
  </si>
  <si>
    <t>817495P</t>
  </si>
  <si>
    <t>817496M</t>
  </si>
  <si>
    <t>826709V</t>
  </si>
  <si>
    <t>826708X</t>
  </si>
  <si>
    <t>832147D</t>
  </si>
  <si>
    <t>832148B</t>
  </si>
  <si>
    <t>832146F</t>
  </si>
  <si>
    <t>832149Y</t>
  </si>
  <si>
    <t>832152L</t>
  </si>
  <si>
    <t>832153J</t>
  </si>
  <si>
    <t>832154G</t>
  </si>
  <si>
    <t>832159V</t>
  </si>
  <si>
    <t>832160M</t>
  </si>
  <si>
    <t>832161K</t>
  </si>
  <si>
    <t>832162H</t>
  </si>
  <si>
    <t>Windermere Estate27</t>
  </si>
  <si>
    <t>832163F</t>
  </si>
  <si>
    <t>Winland Estate</t>
  </si>
  <si>
    <t>804406P</t>
  </si>
  <si>
    <t>peakrealestate.com.au</t>
  </si>
  <si>
    <t>Garage openings must not exceed 40% of the dwelling frontage
For Doubles Garage openings must not exceed 25% of the area of the front façade of any dwelling
Lots with frontages less that 12.5m in width are restricted to single garages</t>
  </si>
  <si>
    <t>For lots between 200m2 to 399m2, 100m2 minimum floor area</t>
  </si>
  <si>
    <t>812867E/S2</t>
  </si>
  <si>
    <t>Winning Post Estate</t>
  </si>
  <si>
    <t>RIC Corp</t>
  </si>
  <si>
    <t>Chung</t>
  </si>
  <si>
    <t>0430 036 688</t>
  </si>
  <si>
    <t>chung@clairmontbanks.com.au</t>
  </si>
  <si>
    <t>Winter Valley Rise Estate</t>
  </si>
  <si>
    <t>811578S</t>
  </si>
  <si>
    <t>Buxton</t>
  </si>
  <si>
    <t>Minimum Floor Areas:
120m2 for lots under 14m wide
140m2 for lots 14m wide or greater</t>
  </si>
  <si>
    <t>816197D</t>
  </si>
  <si>
    <t>816469V</t>
  </si>
  <si>
    <t>825903F</t>
  </si>
  <si>
    <t>825904D</t>
  </si>
  <si>
    <t>830175J</t>
  </si>
  <si>
    <t>830176G</t>
  </si>
  <si>
    <t>830177E</t>
  </si>
  <si>
    <t>Winterfield Estate</t>
  </si>
  <si>
    <t>806772B</t>
  </si>
  <si>
    <t>Katie Hewitt</t>
  </si>
  <si>
    <t>0400 910 102</t>
  </si>
  <si>
    <t>khewitt@hockingstuart.com.au</t>
  </si>
  <si>
    <t>(a) Dwellings on lots with a site area of 400 square metres or less must have a Net Floor Area
of at least 110 square metres.
(b) Dwellings on lots with a site area of 400 square metres or more must have a Net Floor
Area of at least 130 square metres.</t>
  </si>
  <si>
    <t>Front landscaping done by developer after Handover, provide credit to remove</t>
  </si>
  <si>
    <t>816207D</t>
  </si>
  <si>
    <t>816224D</t>
  </si>
  <si>
    <t>828387F</t>
  </si>
  <si>
    <t>828393L</t>
  </si>
  <si>
    <t>828394J</t>
  </si>
  <si>
    <t>828395G</t>
  </si>
  <si>
    <t>836935E</t>
  </si>
  <si>
    <t>846711W</t>
  </si>
  <si>
    <t>846712U</t>
  </si>
  <si>
    <t>Winterset Lodge Estate</t>
  </si>
  <si>
    <t>834370P</t>
  </si>
  <si>
    <t>Brett Barrett</t>
  </si>
  <si>
    <t xml:space="preserve">0400 119 911 </t>
  </si>
  <si>
    <t>brett@winterset.com.au</t>
  </si>
  <si>
    <t>entire for doubles $3300</t>
  </si>
  <si>
    <t>• For lots less than 300m2, there is no minimum ground floor area.
• For lots between 300m2 - 450m2, the minimum ground floor area is 120m2
- excluding garage, porch, verandah, pergola, balcony or alfresco areas.
• For lots greater than 450m2, the minimum ground floor area is 150m2
- excluding garage, porch, verandah, pergola, balcony or alfresco areas.</t>
  </si>
  <si>
    <t>no sliding windows are permitted on the front façade or on side street elevations where they will be visible to the street for corner lots. 
The front façade of dwellings on lots 16m wide or greater must have a minimum of two rooms with windows facing the main street frontage.</t>
  </si>
  <si>
    <t>• The opening in the front wall of the garage is to be
no wider than 40% of the width of the lot frontage.
• On lots narrower than 12m wide the garage door must not be wider than 3m.
• The width of the opening is unrestricted if vehicle access is from a laneway.</t>
  </si>
  <si>
    <t>834383E</t>
  </si>
  <si>
    <t>834386X</t>
  </si>
  <si>
    <t xml:space="preserve">Winton </t>
  </si>
  <si>
    <t>832960C</t>
  </si>
  <si>
    <r>
      <t xml:space="preserve">• </t>
    </r>
    <r>
      <rPr>
        <sz val="10"/>
        <color rgb="FF000000"/>
        <rFont val="Montserrat-Regular"/>
      </rPr>
      <t>For lots between 300m2 - 450m2, the minimum ground floor area is 120m2</t>
    </r>
  </si>
  <si>
    <t>All dwellings on lots more than 300sqm are to be connected to a
rainwater tank and plumbed to all toilets as a minimum.</t>
  </si>
  <si>
    <t>On lots greater than 300sqm porticos should have
a minimum area of 4sqm. On lots smaller than 300sqm, porticos
should have a minimum area of 3sqm. All porticos must have a
minimum depth of 1m</t>
  </si>
  <si>
    <t>For lots with a frontage under 12.5m, a single garage is required
with a maximum door width of 2.6m unless Small Lot Housing
Code applies to the lot.</t>
  </si>
  <si>
    <t>832976L</t>
  </si>
  <si>
    <t>- excluding garage, porch, verandah, pergola, balcony or alfresco areas.</t>
  </si>
  <si>
    <t>832980V</t>
  </si>
  <si>
    <r>
      <t xml:space="preserve">• </t>
    </r>
    <r>
      <rPr>
        <sz val="10"/>
        <color rgb="FF000000"/>
        <rFont val="Montserrat-Regular"/>
      </rPr>
      <t>For lots greater than 450m2, the minimum ground floor area is 150m2</t>
    </r>
  </si>
  <si>
    <t>832984M</t>
  </si>
  <si>
    <t>832988D</t>
  </si>
  <si>
    <t>846576A</t>
  </si>
  <si>
    <t>832945X</t>
  </si>
  <si>
    <t>Wollahra Rise</t>
  </si>
  <si>
    <t>816492B</t>
  </si>
  <si>
    <t>Manish Sharma</t>
  </si>
  <si>
    <t>0448 899 471</t>
  </si>
  <si>
    <t>msharma@coreprojects.com.au</t>
  </si>
  <si>
    <t>Lot size less than 300m2 = at least 100m2
300m2-399m2 = at least 120m2
400m2-499m2= at least 140m2
500m2 and above = at least 160m2</t>
  </si>
  <si>
    <t>816493Y</t>
  </si>
  <si>
    <t>847297Y</t>
  </si>
  <si>
    <t>849873C</t>
  </si>
  <si>
    <t>816494W</t>
  </si>
  <si>
    <t>Wollert Rise</t>
  </si>
  <si>
    <t>837652M</t>
  </si>
  <si>
    <t>For allotments less than 300m² there is
no minimum dwelling size.
b. Lots between 300m2 and 450m2 must
have a minimum living area (excluding
garage, porticos, verandas) of 120m2.
c. Lots over 450m2 must have a minimum
living area of 150m2</t>
  </si>
  <si>
    <t>Lots less than 10.5m wide must
incorporate a single garage only</t>
  </si>
  <si>
    <t>841658A</t>
  </si>
  <si>
    <t>905186N</t>
  </si>
  <si>
    <t>905182W</t>
  </si>
  <si>
    <t>Wonderland</t>
  </si>
  <si>
    <t>Wonga Park Estate</t>
  </si>
  <si>
    <t>Wonga Park 3115</t>
  </si>
  <si>
    <t>644679Q</t>
  </si>
  <si>
    <t>Woodland Park</t>
  </si>
  <si>
    <t>829546G</t>
  </si>
  <si>
    <t>0408 365 130</t>
  </si>
  <si>
    <t>david@charleslloyd.com.au</t>
  </si>
  <si>
    <t>Woodlea Estate</t>
  </si>
  <si>
    <t>725978E</t>
  </si>
  <si>
    <t>Paige</t>
  </si>
  <si>
    <t>1300 966 353</t>
  </si>
  <si>
    <t>admin@woodlea.com.au</t>
  </si>
  <si>
    <t>****Read guidelines page 25, 3 scenarios****  $2750</t>
  </si>
  <si>
    <t>725979C</t>
  </si>
  <si>
    <t>739555G</t>
  </si>
  <si>
    <t>744856M</t>
  </si>
  <si>
    <t>747844D</t>
  </si>
  <si>
    <t>801211W</t>
  </si>
  <si>
    <t>801228D</t>
  </si>
  <si>
    <t>801236E</t>
  </si>
  <si>
    <t>807001B</t>
  </si>
  <si>
    <t>806995E</t>
  </si>
  <si>
    <t>810111A</t>
  </si>
  <si>
    <t>810117M</t>
  </si>
  <si>
    <t>810130V</t>
  </si>
  <si>
    <t>816935S</t>
  </si>
  <si>
    <t>810141Q</t>
  </si>
  <si>
    <t>816945P</t>
  </si>
  <si>
    <t>814024X</t>
  </si>
  <si>
    <t>819192X</t>
  </si>
  <si>
    <t>819177T</t>
  </si>
  <si>
    <t>822247F</t>
  </si>
  <si>
    <t>828135K</t>
  </si>
  <si>
    <t>832963V</t>
  </si>
  <si>
    <t>837882T</t>
  </si>
  <si>
    <t>842480L</t>
  </si>
  <si>
    <t>842449E</t>
  </si>
  <si>
    <t>842438K</t>
  </si>
  <si>
    <t>846549D</t>
  </si>
  <si>
    <t>846558C</t>
  </si>
  <si>
    <t>846550U</t>
  </si>
  <si>
    <t>846578V</t>
  </si>
  <si>
    <t>901654C</t>
  </si>
  <si>
    <t>906047X</t>
  </si>
  <si>
    <t>Lot 6601, 6612 - 6622, 6624, 6629, 6631, 6640 - 6647 (all inclusive)
Double storey only</t>
  </si>
  <si>
    <t>Lot 6601 - 6606, 6610 - 6624, 6650 - 6656 (all inclusive)
BAL 19 rated site including the following items:
- fully sarked roof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 $600</t>
  </si>
  <si>
    <t>Wyndham Harbour Estate</t>
  </si>
  <si>
    <t>Werribee South 3030</t>
  </si>
  <si>
    <t>540313Q/S5</t>
  </si>
  <si>
    <t>Wyndham Harbour</t>
  </si>
  <si>
    <t>Sudha Pon</t>
  </si>
  <si>
    <t>sudha@wyndhamharbour.com.au</t>
  </si>
  <si>
    <t>Coastal lots fencing allowance</t>
  </si>
  <si>
    <t>Wyndham Vale Central</t>
  </si>
  <si>
    <t>Wynnbrook Estate</t>
  </si>
  <si>
    <t>732559L</t>
  </si>
  <si>
    <t>Michelle Forbes</t>
  </si>
  <si>
    <t>0487 888 353</t>
  </si>
  <si>
    <t>wynbrook@rpmrealestate.com.au</t>
  </si>
  <si>
    <t>739578T</t>
  </si>
  <si>
    <t>739563H</t>
  </si>
  <si>
    <t>739577V</t>
  </si>
  <si>
    <t>744829Q</t>
  </si>
  <si>
    <t>744845S</t>
  </si>
  <si>
    <t>744853T</t>
  </si>
  <si>
    <t>801259R</t>
  </si>
  <si>
    <t>803954L</t>
  </si>
  <si>
    <t>803957E</t>
  </si>
  <si>
    <t>803964H</t>
  </si>
  <si>
    <t>803965F</t>
  </si>
  <si>
    <t>806957N</t>
  </si>
  <si>
    <t>Yaringa</t>
  </si>
  <si>
    <t>826460J</t>
  </si>
  <si>
    <t>Jeremy Gleeson</t>
  </si>
  <si>
    <t>0409 151 896</t>
  </si>
  <si>
    <t>jeremy@maxwellcollins.com.au</t>
  </si>
  <si>
    <t>Entire for doubles 3300</t>
  </si>
  <si>
    <t>Less 300 m2 .........................................................................................................................75m2
300 m2 or more and less than 400 m2 ..............................................................................100m2
400 m2 or more and less than 500 m2 ..............................................................................130m2
More than 500 m2 ..............................................................................................................160m2</t>
  </si>
  <si>
    <t>Side setbacks must be minimum of 1m from at least one side boundary and 2m from a secondary street boundary (no boundary to boundary products)</t>
  </si>
  <si>
    <t>Lots with a width of greater than 12.5m must provide a double width garage</t>
  </si>
  <si>
    <t>838255S</t>
  </si>
  <si>
    <t>838256Q</t>
  </si>
  <si>
    <t>847802N</t>
  </si>
  <si>
    <t>Yorkdale Estate</t>
  </si>
  <si>
    <t>725279H</t>
  </si>
  <si>
    <t>Costaland</t>
  </si>
  <si>
    <t>Tim Britt</t>
  </si>
  <si>
    <t>0474 222 002</t>
  </si>
  <si>
    <t>tim@costaland.com.au</t>
  </si>
  <si>
    <t>729122W</t>
  </si>
  <si>
    <t>800554U</t>
  </si>
  <si>
    <t>809806U</t>
  </si>
  <si>
    <t>817845N</t>
  </si>
  <si>
    <t>817846L</t>
  </si>
  <si>
    <t>824619H</t>
  </si>
  <si>
    <t>824620Y</t>
  </si>
  <si>
    <t>824621W</t>
  </si>
  <si>
    <t>824622U</t>
  </si>
  <si>
    <t>Single List - 
Don't touch this column</t>
  </si>
  <si>
    <t>BDM</t>
  </si>
  <si>
    <t>Bec</t>
  </si>
  <si>
    <t>comms inc GST</t>
  </si>
  <si>
    <t>comms %</t>
  </si>
  <si>
    <t>regstd for GST</t>
  </si>
  <si>
    <t>Layal</t>
  </si>
  <si>
    <t>Simone</t>
  </si>
  <si>
    <t>Josh</t>
  </si>
  <si>
    <t>Peter</t>
  </si>
  <si>
    <t>William</t>
  </si>
  <si>
    <t>AOU Consulting</t>
  </si>
  <si>
    <t>10 in 10</t>
  </si>
  <si>
    <t>Abizz Group</t>
  </si>
  <si>
    <t>APIC</t>
  </si>
  <si>
    <t>A2Z Financial</t>
  </si>
  <si>
    <t>Accrue</t>
  </si>
  <si>
    <t>ASG</t>
  </si>
  <si>
    <t>Australia Equi Group</t>
  </si>
  <si>
    <t>Austrump</t>
  </si>
  <si>
    <t>CLN Home loans</t>
  </si>
  <si>
    <t>Australian Property Group</t>
  </si>
  <si>
    <t>Alliance Property Solutions</t>
  </si>
  <si>
    <t>DMJ Consulting</t>
  </si>
  <si>
    <t>BPMG</t>
  </si>
  <si>
    <t>DE Silva Accounting</t>
  </si>
  <si>
    <t>Blue Wealth</t>
  </si>
  <si>
    <t>Investate International</t>
  </si>
  <si>
    <t>CDG Real Estate</t>
  </si>
  <si>
    <t>Bold Vision</t>
  </si>
  <si>
    <t>Rockstar Property Solutions Pty Ltd</t>
  </si>
  <si>
    <t>Calla Property</t>
  </si>
  <si>
    <t>Atlas</t>
  </si>
  <si>
    <t>Dwellings Property Group</t>
  </si>
  <si>
    <t>Real Estate For Success</t>
  </si>
  <si>
    <t>Better Homes &amp; Gardens</t>
  </si>
  <si>
    <t>Freedom</t>
  </si>
  <si>
    <t>Caesia Investments</t>
  </si>
  <si>
    <t>Reventon</t>
  </si>
  <si>
    <t>Carter Sier</t>
  </si>
  <si>
    <t>Gallagher</t>
  </si>
  <si>
    <t xml:space="preserve">Crest Property Investment </t>
  </si>
  <si>
    <t>Titanium Realty</t>
  </si>
  <si>
    <t>GIM Capital</t>
  </si>
  <si>
    <t>Landmark</t>
  </si>
  <si>
    <t>GBE</t>
  </si>
  <si>
    <t>DMB Reality</t>
  </si>
  <si>
    <t>Verve Group</t>
  </si>
  <si>
    <t>GUZE Real Estate</t>
  </si>
  <si>
    <t>Procure Wealth</t>
  </si>
  <si>
    <t>Gold Coin</t>
  </si>
  <si>
    <t>Empowered Liveability</t>
  </si>
  <si>
    <t>Wise Group</t>
  </si>
  <si>
    <t>Inreach Investments</t>
  </si>
  <si>
    <t>Goldfish</t>
  </si>
  <si>
    <t>Equidel</t>
  </si>
  <si>
    <t>Investo Property</t>
  </si>
  <si>
    <t>First Select Finance</t>
  </si>
  <si>
    <t>Freedom Property Investors</t>
  </si>
  <si>
    <t>Investment Property Providers</t>
  </si>
  <si>
    <t>Jenso Corp</t>
  </si>
  <si>
    <t>GPS</t>
  </si>
  <si>
    <t>IPPA</t>
  </si>
  <si>
    <t>Moment Pty Ltd</t>
  </si>
  <si>
    <t>Mayfair Investment Group</t>
  </si>
  <si>
    <t>Grit</t>
  </si>
  <si>
    <t>N-Spire Homes</t>
  </si>
  <si>
    <t>Milestone Real Estate</t>
  </si>
  <si>
    <t>NWA Group</t>
  </si>
  <si>
    <t>Mayfair Advocacy</t>
  </si>
  <si>
    <t>Origin Advisory</t>
  </si>
  <si>
    <t>Emerson Property Group</t>
  </si>
  <si>
    <t>S.A.P Express</t>
  </si>
  <si>
    <t>Park Street Capital</t>
  </si>
  <si>
    <t>Maple Group</t>
  </si>
  <si>
    <t>MPAI</t>
  </si>
  <si>
    <t>Property Avenue</t>
  </si>
  <si>
    <t>Nash Housing</t>
  </si>
  <si>
    <t>One Haven</t>
  </si>
  <si>
    <t>Neue Property</t>
  </si>
  <si>
    <t>Property Investment &amp; Growth</t>
  </si>
  <si>
    <t>NIA</t>
  </si>
  <si>
    <t>Younoia</t>
  </si>
  <si>
    <t>ProperT Network</t>
  </si>
  <si>
    <t>Savaa properties</t>
  </si>
  <si>
    <t>Sprout Wealth</t>
  </si>
  <si>
    <t>RNB Services</t>
  </si>
  <si>
    <t>Elever Property Group</t>
  </si>
  <si>
    <t>Findselectbuy</t>
  </si>
  <si>
    <t>Suburban Plus</t>
  </si>
  <si>
    <t>Property In A Box</t>
  </si>
  <si>
    <t>ABG Australia</t>
  </si>
  <si>
    <t>Your Property Search</t>
  </si>
  <si>
    <t>Aussland</t>
  </si>
  <si>
    <t>Oxford Hill</t>
  </si>
  <si>
    <t>Square Yards</t>
  </si>
  <si>
    <t>Ausun Enterprises</t>
  </si>
  <si>
    <t>Stack Property</t>
  </si>
  <si>
    <t>ANB Properties HK</t>
  </si>
  <si>
    <t>Care Builders</t>
  </si>
  <si>
    <t>Invst Now</t>
  </si>
  <si>
    <t>Mcewen Real Estate</t>
  </si>
  <si>
    <t>AAS International Properties</t>
  </si>
  <si>
    <t>Rockstar Property</t>
  </si>
  <si>
    <t>DY Home Loans</t>
  </si>
  <si>
    <t>Simply Property</t>
  </si>
  <si>
    <t>Lycasis Group</t>
  </si>
  <si>
    <t>Ming Ming</t>
  </si>
  <si>
    <t>Uplus</t>
  </si>
  <si>
    <t>Real Alliance</t>
  </si>
  <si>
    <t>Wacore Real Estate</t>
  </si>
  <si>
    <t>Mashal homes</t>
  </si>
  <si>
    <t>Home N Loan</t>
  </si>
  <si>
    <t>Home and Loan Property Experts</t>
  </si>
  <si>
    <t>Nexcon</t>
  </si>
  <si>
    <t>Date added</t>
  </si>
  <si>
    <t>***PACKS***</t>
  </si>
  <si>
    <t>***CEILING HEIGHTS***</t>
  </si>
  <si>
    <t>***EXTERNALS***</t>
  </si>
  <si>
    <t>Provide a Re-Establishment Survey due to shared crossover.</t>
  </si>
  <si>
    <t>Provide 1No. 2040mm high x 820mm wide PMAD Door with Obscure Glazing to the Front Entry in lieu of standard with Clear Glazing.</t>
  </si>
  <si>
    <t>Provide 1No. 2040mm high x 820mm wide PMAD Door with Translucent Glazing to the Front Entry in lieu of standard with Clear Glazing.</t>
  </si>
  <si>
    <t>Provide 1No. 2040mm high x 920mm wide PMAD Door with Clear Glazing to the Front Entry in lieu of 2040mm high x 820mm wide PMAD Door with Clear Glazing.</t>
  </si>
  <si>
    <t>Provide 1No. 2040mm high x 1020mm wide PMAD Door with Clear Glazing to the Front Entry in lieu of 2040mm high x 820mm wide PMAD Door with Clear Glazing.</t>
  </si>
  <si>
    <t>Provide 1No. 2000 litre Water Tank including plumbing and connections to up to 3No. Toilets.</t>
  </si>
  <si>
    <t>Provide 1No. 5000 litre Water Tank including plumbing and connections to up to 3No. Toilets.</t>
  </si>
  <si>
    <t>Provide 450mm wide eaves to the front Façade, returning 1500mm around the house.</t>
  </si>
  <si>
    <t>Provide 450mm wide eaves to the front Façade, returning 3000mm around the house.</t>
  </si>
  <si>
    <t>Provide colour through concrete driveway and path to the front porch in lieu of colour on concrete.</t>
  </si>
  <si>
    <t>Provide Instant Turf to Nature Strip.</t>
  </si>
  <si>
    <t>Provide 1No. Lockwood Nexion Lever Entrance Set with L3 Lever, in Satin Chrome, to the Front Entry in lieu of standard Entrance Set.</t>
  </si>
  <si>
    <t>***INTERNALS***</t>
  </si>
  <si>
    <t>Provide 1No. 2040mm high x 820mm wide hinged and latched flush panel door with standard lever handles in lieu of opening.</t>
  </si>
  <si>
    <t>Provide 1No. 2040mm high x 820mm wide Hinged Aluminium Barrier Door with Black Diamond Grille and Fibreglass Mesh to the #########. (#No. Total).</t>
  </si>
  <si>
    <t>Provide 1No. 2040mm high x 1020mm wide Hinged Aluminium Barrier Door with Black Diamond Grille and Fibreglass Mesh to the #########. (#No. Total).</t>
  </si>
  <si>
    <t>Provide 1No. Painted 2040mm high x 820mm wide Hinged &amp; Latched Flush Panel Garage/House Access Door, with 1No. Entrance Set, from the Entry to the Garage in lieu of standard 90mm plaster wall.</t>
  </si>
  <si>
    <t>Provide 1No. 2000mm high set of 4No. 508mm wide standard Drawers and 2No. adjustable Shelves to ###########. (#No. Total)</t>
  </si>
  <si>
    <t>Provide soft close hinges to the cabinet doors to the whole House in lieu of standard hinges.</t>
  </si>
  <si>
    <t>Provide 1No. ###mm wide Cavity Sliding Door to the ########### in lieu of opening.</t>
  </si>
  <si>
    <t>Provide an L Shaped fingerpull throughout Home in lieu of standard Cabinet Handles.</t>
  </si>
  <si>
    <t>***ELECTRICAL***</t>
  </si>
  <si>
    <t>Provide 1No. Light Batten &amp; Nogg for future Pendant.</t>
  </si>
  <si>
    <t>Provide 1No. additional TV point for NBNco Community.</t>
  </si>
  <si>
    <t>Provide 1No. Panacom PAN830SK Colour Doorbell Video Intercom with Touchscreen including:
- 1No. Surface Colour Camera
- 1No. 7” Touchscreen LCD Monitor
- 1No. GPO behind Monitor</t>
  </si>
  <si>
    <t>***HEATING &amp; COOLING***</t>
  </si>
  <si>
    <t>Provide 1No. additional 3.5kw split system unit to the Master Bedroom.</t>
  </si>
  <si>
    <t>Provide Evaporative Cooling with 8No. outlets to a single storey.</t>
  </si>
  <si>
    <t>Provide Evaporative Cooling with 5No. outlets to upstairs only of a double storey.</t>
  </si>
  <si>
    <t>***KITCHEN***</t>
  </si>
  <si>
    <t>Provide 1No. Capped water point to the Fridge space.</t>
  </si>
  <si>
    <t>Provide Inalto appliances in lieu of Domain including:
- 900mm Freestanding Dual Fuel Cooker RU9EGB
- 900mm Canopy Rangehood ARC90BS
- 600mm Freestanding Dishwasher 7 Programs IDW7CS</t>
  </si>
  <si>
    <t>Provide built in appliances in lieu of standard including:
- 1No. Domain 900mm 9 Function Fan Forced Electric Oven – DEO – R90A to the Kitchen in lieu of standard 900mm Freestanding Cooker  
- 1No. Domain 860mm Cooktop with Cast Iron Trivets and Wok Burner – IGC90-WOK-A.</t>
  </si>
  <si>
    <t>Provide #No. Bank of #No. approx. #mm wide Standard Laminate Pot Drawers to the ########### in lieu of standard #No. Cabinet Doors. (#No. Drawers total)</t>
  </si>
  <si>
    <t>Provide Hafele - 5 Wire baskets - RRPTY - 400</t>
  </si>
  <si>
    <t>Provide Vinyl Wrap cabinetry to all cabinetry in the Kitchen, Powder Room, Ensuite and Bathroom in lieu of standard laminate.</t>
  </si>
  <si>
    <t>Needs Estimating</t>
  </si>
  <si>
    <t>***LAUNDRY***</t>
  </si>
  <si>
    <t>Provide approx. 900mm wide x 660mm high x 320mm deep Laminate Overhead Cabinets and 900mm wide x 300mm high Category 1 Splashback Wall Tiles to the Laundry wall above Trough and Cabinet.</t>
  </si>
  <si>
    <t>***BATHROOM/ENSUITE/POWDER***</t>
  </si>
  <si>
    <t>***FLOOR COVERINGS***</t>
  </si>
  <si>
    <t>Provide category 2 Carpet to the entire house excluding tiled and wet areas (refer to standard plans) in lieu of category 1.</t>
  </si>
  <si>
    <t>Provide Category 1 Bronze Range Floor Tiles to the Lounge, Study, Master Bedroom, Bed 2, Bed 3 and Bed 4 in lieu of Category 1 Carpet.</t>
  </si>
  <si>
    <t>***GROUP/HOUSE RELATED***</t>
  </si>
  <si>
    <t>Shared crossovers?</t>
  </si>
  <si>
    <t>Side Easement m?</t>
  </si>
  <si>
    <t>Suburb:</t>
  </si>
  <si>
    <t>Has the land titled?</t>
  </si>
  <si>
    <t>Are we building the crossover?</t>
  </si>
  <si>
    <t>Rear Easement m?</t>
  </si>
  <si>
    <t>If not, when titling?</t>
  </si>
  <si>
    <t>Plan of Subdivision:</t>
  </si>
  <si>
    <t>COST PRICE (including GST)</t>
  </si>
  <si>
    <t>Auto</t>
  </si>
  <si>
    <t>Est.</t>
  </si>
  <si>
    <t>ESTIMATOR</t>
  </si>
  <si>
    <t>Wholesale Group</t>
  </si>
  <si>
    <t>Lot No</t>
  </si>
  <si>
    <t>Street Name</t>
  </si>
  <si>
    <t>Lot Size (m2)</t>
  </si>
  <si>
    <t>Corner Block?</t>
  </si>
  <si>
    <t>House Type</t>
  </si>
  <si>
    <t>Custom House Design?</t>
  </si>
  <si>
    <t>Façade Type</t>
  </si>
  <si>
    <t>Land Price</t>
  </si>
  <si>
    <t>House Price</t>
  </si>
  <si>
    <t>Façade Price</t>
  </si>
  <si>
    <t>Discounts/ Price Increase</t>
  </si>
  <si>
    <t>Comms adjustment (inc GST)</t>
  </si>
  <si>
    <t>Total Build Price</t>
  </si>
  <si>
    <t>Total Package Price</t>
  </si>
  <si>
    <t>Actual Comms (incl GST)</t>
  </si>
  <si>
    <t>Rear Easement</t>
  </si>
  <si>
    <t>Fall on block
mm</t>
  </si>
  <si>
    <t>Rock
$$</t>
  </si>
  <si>
    <t>Piers
$$</t>
  </si>
  <si>
    <t>Check
Façade</t>
  </si>
  <si>
    <t xml:space="preserve">Provide a preliminary site clean including but not limited to removal of trees, tree root system, rubbish, long grass etc. </t>
  </si>
  <si>
    <t>Sales Estimator:</t>
  </si>
  <si>
    <t>Lot</t>
  </si>
  <si>
    <t>FBC $</t>
  </si>
  <si>
    <t>FBC %</t>
  </si>
  <si>
    <t>Round $</t>
  </si>
  <si>
    <t>BDM's Notes</t>
  </si>
  <si>
    <t>Price valid 30 days from:</t>
  </si>
  <si>
    <t>Name</t>
  </si>
  <si>
    <t>Date</t>
  </si>
  <si>
    <t>Signature</t>
  </si>
  <si>
    <t>BDM:</t>
  </si>
  <si>
    <t>Estimator's Notes</t>
  </si>
  <si>
    <t>Final approval:</t>
  </si>
  <si>
    <t>Developer</t>
  </si>
  <si>
    <t>Contact</t>
  </si>
  <si>
    <t>Contact mobile</t>
  </si>
  <si>
    <t>Contact email</t>
  </si>
  <si>
    <t>Concatenate</t>
  </si>
  <si>
    <t>Design Guidelines</t>
  </si>
  <si>
    <t>Upgrades</t>
  </si>
  <si>
    <t>Site Costs</t>
  </si>
  <si>
    <t>Extra Landscaping</t>
  </si>
  <si>
    <t>Stage List - 
Don't touch this column</t>
  </si>
  <si>
    <t>House List</t>
  </si>
  <si>
    <t>selected Facade List</t>
  </si>
  <si>
    <t>table on the right</t>
  </si>
  <si>
    <t>Column1</t>
  </si>
  <si>
    <t>Design source/reason</t>
  </si>
  <si>
    <t>Façade source/reason</t>
  </si>
  <si>
    <t>Frontage</t>
  </si>
  <si>
    <t>HH</t>
  </si>
  <si>
    <t>KB Parkdale</t>
  </si>
  <si>
    <t>Keep as an option, will rarely be used, but needs to be in as an option</t>
  </si>
  <si>
    <t>Double selected Facade List</t>
  </si>
  <si>
    <t>Development Agency</t>
  </si>
  <si>
    <t>21-1</t>
  </si>
  <si>
    <t>21-2</t>
  </si>
  <si>
    <t>21-3</t>
  </si>
  <si>
    <t>21-4</t>
  </si>
  <si>
    <t>21-5</t>
  </si>
  <si>
    <t>21-6</t>
  </si>
  <si>
    <t>21-7</t>
  </si>
  <si>
    <t>21-8</t>
  </si>
  <si>
    <t>21-9</t>
  </si>
  <si>
    <t>20-10</t>
  </si>
  <si>
    <t>21-10</t>
  </si>
  <si>
    <t>22-1</t>
  </si>
  <si>
    <t>22-2</t>
  </si>
  <si>
    <t>22-3</t>
  </si>
  <si>
    <t>22-4</t>
  </si>
  <si>
    <t>22-5</t>
  </si>
  <si>
    <t>22-6</t>
  </si>
  <si>
    <t>22-7</t>
  </si>
  <si>
    <t>22-8</t>
  </si>
  <si>
    <t>22-9</t>
  </si>
  <si>
    <t>%</t>
  </si>
  <si>
    <t>FBC Day 2</t>
  </si>
  <si>
    <t>FBC Day 1</t>
  </si>
  <si>
    <t>Chris McEvey / David Glavich / Amy Albrecht</t>
  </si>
  <si>
    <t>Notes</t>
  </si>
  <si>
    <t>Comms</t>
  </si>
  <si>
    <t>Total</t>
  </si>
  <si>
    <t>Lot Width</t>
  </si>
  <si>
    <t>Lot Depth</t>
  </si>
  <si>
    <t>Upgrade</t>
  </si>
  <si>
    <t>Standard</t>
  </si>
  <si>
    <t>(If required)</t>
  </si>
  <si>
    <t>22-10</t>
  </si>
  <si>
    <t>Structural House Modifications</t>
  </si>
  <si>
    <t xml:space="preserve"> (refer to sketch dated: ##/##/#### )</t>
  </si>
  <si>
    <t>23-1</t>
  </si>
  <si>
    <t>23-2</t>
  </si>
  <si>
    <t>23-3</t>
  </si>
  <si>
    <t>23-4</t>
  </si>
  <si>
    <t>23-5</t>
  </si>
  <si>
    <t>23-6</t>
  </si>
  <si>
    <t>23-7</t>
  </si>
  <si>
    <t>23-8</t>
  </si>
  <si>
    <t>Estate Guideline Requirements</t>
  </si>
  <si>
    <t>Depth</t>
  </si>
  <si>
    <t>House Fits?</t>
  </si>
  <si>
    <t>Cardinia Park</t>
  </si>
  <si>
    <t>North Quarter</t>
  </si>
  <si>
    <t>E7</t>
  </si>
  <si>
    <t>Stotts Hill</t>
  </si>
  <si>
    <t>Frankston South 3199</t>
  </si>
  <si>
    <t>905132N</t>
  </si>
  <si>
    <t>906852V</t>
  </si>
  <si>
    <t>8333710U</t>
  </si>
  <si>
    <t>845105X</t>
  </si>
  <si>
    <t>908095A</t>
  </si>
  <si>
    <t>819157A</t>
  </si>
  <si>
    <t>91514H</t>
  </si>
  <si>
    <t>909584D</t>
  </si>
  <si>
    <t>908410U</t>
  </si>
  <si>
    <t>908399D</t>
  </si>
  <si>
    <t>816058T/S9</t>
  </si>
  <si>
    <t>910055A</t>
  </si>
  <si>
    <t>Adam Peterson</t>
  </si>
  <si>
    <t>0475 260 969</t>
  </si>
  <si>
    <t>adam@engagepm.com.au</t>
  </si>
  <si>
    <t>829688K</t>
  </si>
  <si>
    <t>824077T</t>
  </si>
  <si>
    <t>906823D</t>
  </si>
  <si>
    <t>905387C</t>
  </si>
  <si>
    <t>906371N</t>
  </si>
  <si>
    <t>809264F</t>
  </si>
  <si>
    <t>902121K</t>
  </si>
  <si>
    <t>6m front setback to front façade instead of normal 4m setback. Please add additional 2m to required lot length size</t>
  </si>
  <si>
    <t>Entire house = $3300</t>
  </si>
  <si>
    <t>Standard Lots - Provide Front Feature Fencing approx. 900mmH in Vertical Treated Pine Slats 90x22 and exposed 125x75mm posts with spear tops top 1200mmH. $6000
Corner Lots - Provide Front Feature Fencing approx. 900mmH in Vertical Treated Pine Slats 90x22 and exposed 125x75mm posts with spear tops top 1200mmH, continuing on the secondary frontage to abut corner fencing. $7400</t>
  </si>
  <si>
    <t>All lots are required to have double car garages</t>
  </si>
  <si>
    <t>min 1m setback from both side boundaries</t>
  </si>
  <si>
    <t>1950mm high</t>
  </si>
  <si>
    <t>Note in POS whether a Double Storey Dwelling is required for the lot</t>
  </si>
  <si>
    <t>A minimum three different materials must
be provided to the façade, including one feature material such as
stained timber, stone, steel etc. Two materials must equate to a
minimum 30% each (total 60%), and the third material covering a
minimum 10% of the facade.
Materials used on the façade are to return to the side of the
dwelling a minimum 2m of non-corner allotments.
FC sheeting is not permitted above windows and openings on
façades visible to the public, including garage door</t>
  </si>
  <si>
    <t>Minimum 180m² ground floor area for Lots under 600m²
excluding garages, verandahs, &amp; alfrescos
Minimum 200m² ground floor area for Lots 601m² or greater
excluding garages, verandahs, &amp; alfrescos</t>
  </si>
  <si>
    <t>Colorbond fencing will be provided by the Developer to the rear
and side boundaries of lots 1015 - 1023 (inclusive). This fence
must be maintained and not removed or modified without the
written approval from the DRP. The return fence of lots 1015 -
1023 (inclusive) is to match the side and rear fencing above, by
owner.</t>
  </si>
  <si>
    <t>Where a pitched roof is adopted, single storey dwellings must
have a minimum roof pitch of 25 degrees.
16.4 Where a pitched roof is adopted, double storey dwellings must
have a minimum roof pitch of 22 degrees with a minimum of 450
millimetres eaves to the entire dwelling</t>
  </si>
  <si>
    <t>Garage openings must not exceed 40% of the lot frontage.</t>
  </si>
  <si>
    <t>Minimum 2550mm ceiling height to single storey homes and
ground floor of double storey dwellings. Higher ceilings are
preferred but not mandatory</t>
  </si>
  <si>
    <t>Garage doors should be no wider than 50% of the effective width of the lot, up to a maximum of 6.48m. SLHC lots are exempt from this requirement.</t>
  </si>
  <si>
    <t>A single storey dwelling on a lot with a width of less than 12.5 metres must not provide a garage with more than one car space.
Single storey dwellings on lots with frontages 12.5 metres to 13.5 metres wide must have a garage opening which does not occupy greater than 50 per cent of the dwelling frontage.
Single storey dwellings on lots with frontages greater than 13.5 metres wide must have a garage opening which does not occupy greater than 40 percent of the dwelling frontage.</t>
  </si>
  <si>
    <t>Where the lot has a frontage of 15m or greater there should be;
- At least two advanced trees $1650</t>
  </si>
  <si>
    <t>Sunbury 3430</t>
  </si>
  <si>
    <t>9741 2000</t>
  </si>
  <si>
    <t>905366L</t>
  </si>
  <si>
    <t>846167T</t>
  </si>
  <si>
    <t>Melton 3338</t>
  </si>
  <si>
    <t>844170R</t>
  </si>
  <si>
    <t>Clyde North 3979</t>
  </si>
  <si>
    <t>3000L 6500 for lots greater 300m3</t>
  </si>
  <si>
    <t>PS842537H/S3</t>
  </si>
  <si>
    <t>Kalkallo 3065</t>
  </si>
  <si>
    <t>419 835 548</t>
  </si>
  <si>
    <t>905616P</t>
  </si>
  <si>
    <t>905608N</t>
  </si>
  <si>
    <t>31A</t>
  </si>
  <si>
    <t>908107V</t>
  </si>
  <si>
    <t>1801 463 743</t>
  </si>
  <si>
    <t>902139P</t>
  </si>
  <si>
    <t>Melton South 3339</t>
  </si>
  <si>
    <t>1801 981 644</t>
  </si>
  <si>
    <t>Clyde 3979</t>
  </si>
  <si>
    <t>Entire if double 3301</t>
  </si>
  <si>
    <t>Porch needs to be at least 4m3</t>
  </si>
  <si>
    <t>9085403R</t>
  </si>
  <si>
    <t>906805F</t>
  </si>
  <si>
    <t>Heartford Estate</t>
  </si>
  <si>
    <t>906442R</t>
  </si>
  <si>
    <t>Porch must be min 4m2 and 1.5m in depth</t>
  </si>
  <si>
    <t>Provide corner treatment to side or rear bounderies facing a reserve - 4620</t>
  </si>
  <si>
    <t>Garage must not exceed 50% of the lots width</t>
  </si>
  <si>
    <t>848510W</t>
  </si>
  <si>
    <t>906382H</t>
  </si>
  <si>
    <t>900389A</t>
  </si>
  <si>
    <t>Truganina 3030</t>
  </si>
  <si>
    <t>1301 303 420</t>
  </si>
  <si>
    <t>906034H</t>
  </si>
  <si>
    <t>Rockbank 3336</t>
  </si>
  <si>
    <t>1301 966 353</t>
  </si>
  <si>
    <t>****Read guidelines page 25, 3 scenarios****  $2751</t>
  </si>
  <si>
    <t>846559A</t>
  </si>
  <si>
    <t>902136V</t>
  </si>
  <si>
    <t>Lots 3701-3711 and 3713-3717 require double storey dwellings</t>
  </si>
  <si>
    <t>Lots 3806, 3832, 3836, 3837 and 3841 to 3851 Require double storey dwellings</t>
  </si>
  <si>
    <t>839059M/S7</t>
  </si>
  <si>
    <t>902144W</t>
  </si>
  <si>
    <t>Kilmore 3765</t>
  </si>
  <si>
    <t>476 888 017</t>
  </si>
  <si>
    <t>Lots greater than 349m3</t>
  </si>
  <si>
    <t>910051J</t>
  </si>
  <si>
    <t>Fraser Rise 3337</t>
  </si>
  <si>
    <t>430 262 870</t>
  </si>
  <si>
    <t>Dwellings Over 300m2 $4951</t>
  </si>
  <si>
    <t>905211S</t>
  </si>
  <si>
    <t>Wyndham Vale 3025</t>
  </si>
  <si>
    <t>401 638 781</t>
  </si>
  <si>
    <t>908404P</t>
  </si>
  <si>
    <t>839059M/S12</t>
  </si>
  <si>
    <t>829691W</t>
  </si>
  <si>
    <t>Lot Size less than 300m2, provide 2000L tank = 4950
Lot size 301m2-350m2 , Provide 2500L tank = 5350 
Lot size +351m2, Provide 3000L tank = 6500</t>
  </si>
  <si>
    <t>23D</t>
  </si>
  <si>
    <t>543210K/S232</t>
  </si>
  <si>
    <t>900075A</t>
  </si>
  <si>
    <t>815492G</t>
  </si>
  <si>
    <t>361-363 Centre Road</t>
  </si>
  <si>
    <t>821095H</t>
  </si>
  <si>
    <t>Garage must be less than 40% of the width of the home. Doesn't apply to double storey</t>
  </si>
  <si>
    <t>821096F</t>
  </si>
  <si>
    <t>848514N</t>
  </si>
  <si>
    <t>Banksia Rise</t>
  </si>
  <si>
    <t>846365P</t>
  </si>
  <si>
    <t>844184E</t>
  </si>
  <si>
    <t xml:space="preserve">Maple Lane </t>
  </si>
  <si>
    <t>837926A</t>
  </si>
  <si>
    <t>For lots between 300m² - 450m², the minimum dwelling size 120m² - excluding garage, porch, verandah, pergola, balcony or alfresco areas.
 For lots between 451m² - 699m², the minimum dwelling size 175m² - excluding garage, porch, verandah, pergola, balcony or alfresco areas.
For lots greater than 700m², the minimum dwelling size is 200m² - excluding garage, porch, verandah, pergola, balcony or alfresco areas. (excluding Lots 11 and 12)</t>
  </si>
  <si>
    <t>Porch min 4m2</t>
  </si>
  <si>
    <t>Minimum front setback of 7m for lots 4-10 and 13-18 (add additional site costs for extended driveway on these lots, 3K)</t>
  </si>
  <si>
    <t>Jackson 18 GE</t>
  </si>
  <si>
    <t>4 Bed, 3 Bath, Single Car Garage, 1 Living Area</t>
  </si>
  <si>
    <t>912554U</t>
  </si>
  <si>
    <t>819020E</t>
  </si>
  <si>
    <t>Entire if Doubles - 3300</t>
  </si>
  <si>
    <t>830455C</t>
  </si>
  <si>
    <t>Alex Selway</t>
  </si>
  <si>
    <t>Armstrong Real Estate</t>
  </si>
  <si>
    <t>0460 308 225</t>
  </si>
  <si>
    <t>alex@armstrongrealestate.com.au</t>
  </si>
  <si>
    <t>Lots 1-10 and 12-22 require min. 1m side setback from one side boundary</t>
  </si>
  <si>
    <t>843593R</t>
  </si>
  <si>
    <t xml:space="preserve"> &lt;500m2 requires planning permit, $5k</t>
  </si>
  <si>
    <t>Moe, Morwell, Traralgon, Churchill, Boolarra, Glengarry, Newborough, Traralgon South, Toongabbie, Tyers, Yallourn North, Yinnar</t>
  </si>
  <si>
    <t>Clyde 3980</t>
  </si>
  <si>
    <t>912255F</t>
  </si>
  <si>
    <t>825787E</t>
  </si>
  <si>
    <t>Stain Entire Fence in Woodland Grey - $40 per lm</t>
  </si>
  <si>
    <t>Provide Access Stone Bricks to comply with Design Guidelines - 1800 Single, 3400 Double</t>
  </si>
  <si>
    <t>839263N</t>
  </si>
  <si>
    <t>835644W</t>
  </si>
  <si>
    <t>GPG</t>
  </si>
  <si>
    <t>908222V</t>
  </si>
  <si>
    <t>Lot 1402 to 1407 need to be doubles
Lot 1444, 1445, 1447, 1448, 1450, 1451, 1453, 1454, 1456, 1457, 1459 and 1460 need to be single storey</t>
  </si>
  <si>
    <t>848729Q</t>
  </si>
  <si>
    <t>Combination of plants, mulch and toppings to front and rear. 1No. tree to front yard.</t>
  </si>
  <si>
    <t>912235M</t>
  </si>
  <si>
    <t>Ballarat</t>
  </si>
  <si>
    <t>Bakery Hill 3350</t>
  </si>
  <si>
    <t>Ballarat Central 3350</t>
  </si>
  <si>
    <t>Ballarat East 3350</t>
  </si>
  <si>
    <t>Ballarat North 3350</t>
  </si>
  <si>
    <t>Ballarat West 3350</t>
  </si>
  <si>
    <t>Black Hill 3350</t>
  </si>
  <si>
    <t>Eureka 3350</t>
  </si>
  <si>
    <t>Golden Point 3350</t>
  </si>
  <si>
    <t>Invermay Park 3350</t>
  </si>
  <si>
    <t>Lake Wendouree 3350</t>
  </si>
  <si>
    <t>Mount Clear 3350</t>
  </si>
  <si>
    <t>Mount Pleasant 3350</t>
  </si>
  <si>
    <t>Nerrina 3350</t>
  </si>
  <si>
    <t>Newington 3350</t>
  </si>
  <si>
    <t>Redan 3350</t>
  </si>
  <si>
    <t>Soldiers Hill 3350</t>
  </si>
  <si>
    <t>Sovereign Hill 3350</t>
  </si>
  <si>
    <t>Berringa 3351</t>
  </si>
  <si>
    <t>Bo Peep 3351</t>
  </si>
  <si>
    <t>Cape Clear 3351</t>
  </si>
  <si>
    <t>Carngham 3351</t>
  </si>
  <si>
    <t>Chepstowe 3351</t>
  </si>
  <si>
    <t>Haddon 3351</t>
  </si>
  <si>
    <t>Happy Valley 3351</t>
  </si>
  <si>
    <t>Hillcrest 3351</t>
  </si>
  <si>
    <t>Illabarook 3351</t>
  </si>
  <si>
    <t>Lake Bolac 3351</t>
  </si>
  <si>
    <t>Mininera 3351</t>
  </si>
  <si>
    <t>Mortchup 3351</t>
  </si>
  <si>
    <t>Mount Emu 3351</t>
  </si>
  <si>
    <t>Nerrin Nerrin 3351</t>
  </si>
  <si>
    <t>Newtown 3351</t>
  </si>
  <si>
    <t>Nintingbool 3351</t>
  </si>
  <si>
    <t>Piggoreet 3351</t>
  </si>
  <si>
    <t>Pitfield 3351</t>
  </si>
  <si>
    <t>Rokewood Junction 3351</t>
  </si>
  <si>
    <t>Ross Creek 3351</t>
  </si>
  <si>
    <t>Scarsdale 3351</t>
  </si>
  <si>
    <t>Smythesdale 3351</t>
  </si>
  <si>
    <t>Snake Valley 3351</t>
  </si>
  <si>
    <t>Springdallah 3351</t>
  </si>
  <si>
    <t>Staffordshire Reef 3351</t>
  </si>
  <si>
    <t>Streatham 3351</t>
  </si>
  <si>
    <t>Wallinduc 3351</t>
  </si>
  <si>
    <t>Westmere 3351</t>
  </si>
  <si>
    <t>Ballarat Roadside Delivery 3352</t>
  </si>
  <si>
    <t>Barkstead 3352</t>
  </si>
  <si>
    <t>Blowhard 3352</t>
  </si>
  <si>
    <t>Bolwarrah 3352</t>
  </si>
  <si>
    <t>Brewster 3352</t>
  </si>
  <si>
    <t>Bullarook 3352</t>
  </si>
  <si>
    <t>Bungaree 3352</t>
  </si>
  <si>
    <t>Bunkers Hill 3352</t>
  </si>
  <si>
    <t>Burrumbeet 3352</t>
  </si>
  <si>
    <t>Cambrian Hill 3352</t>
  </si>
  <si>
    <t>Cardigan 3352</t>
  </si>
  <si>
    <t>Cardigan Village 3352</t>
  </si>
  <si>
    <t>Chapel Flat 3352</t>
  </si>
  <si>
    <t>Clarendon 3352</t>
  </si>
  <si>
    <t>Claretown 3352</t>
  </si>
  <si>
    <t>Clarkes Hill 3352</t>
  </si>
  <si>
    <t>Corindhap 3352</t>
  </si>
  <si>
    <t>Dereel 3352</t>
  </si>
  <si>
    <t>Dunnstown 3352</t>
  </si>
  <si>
    <t>Durham Lead 3352</t>
  </si>
  <si>
    <t>Enfield 3352</t>
  </si>
  <si>
    <t>Ercildoune 3352</t>
  </si>
  <si>
    <t>Garibaldi 3352</t>
  </si>
  <si>
    <t>Glen Park 3352</t>
  </si>
  <si>
    <t>Glenbrae 3352</t>
  </si>
  <si>
    <t>Gong Gong 3352</t>
  </si>
  <si>
    <t>Grenville 3352</t>
  </si>
  <si>
    <t>Invermay 3352</t>
  </si>
  <si>
    <t>Lal Lal 3352</t>
  </si>
  <si>
    <t>Lamplough 3352</t>
  </si>
  <si>
    <t>Langi Kal Kal 3352</t>
  </si>
  <si>
    <t>Learmonth 3352</t>
  </si>
  <si>
    <t>Leigh Creek 3352</t>
  </si>
  <si>
    <t>Lexton 3352</t>
  </si>
  <si>
    <t>Magpie 3352</t>
  </si>
  <si>
    <t>Millbrook 3352</t>
  </si>
  <si>
    <t>Mitchell Park 3352</t>
  </si>
  <si>
    <t>Mollongghip 3352</t>
  </si>
  <si>
    <t>Mount Bolton 3352</t>
  </si>
  <si>
    <t>Mount Egerton 3352</t>
  </si>
  <si>
    <t>Mount Mercer 3352</t>
  </si>
  <si>
    <t>Mount Mitchell 3352</t>
  </si>
  <si>
    <t>Mount Rowan 3352</t>
  </si>
  <si>
    <t>Napoleons 3352</t>
  </si>
  <si>
    <t>Navigators 3352</t>
  </si>
  <si>
    <t>Pootilla 3352</t>
  </si>
  <si>
    <t>Scotchmans Lead 3352</t>
  </si>
  <si>
    <t>Scotsburn 3352</t>
  </si>
  <si>
    <t>Springbank 3352</t>
  </si>
  <si>
    <t>Sulky 3352</t>
  </si>
  <si>
    <t>Wallace 3352</t>
  </si>
  <si>
    <t>Warrenheip 3352</t>
  </si>
  <si>
    <t>Wattle Flat 3352</t>
  </si>
  <si>
    <t>Waubra 3352</t>
  </si>
  <si>
    <t>Weatherboard 3352</t>
  </si>
  <si>
    <t>Werneth 3352</t>
  </si>
  <si>
    <t>Windermere 3352</t>
  </si>
  <si>
    <t>Yendon 3352</t>
  </si>
  <si>
    <t>Ballarat 3353</t>
  </si>
  <si>
    <t>Bakery Hill 3354</t>
  </si>
  <si>
    <t>Ballarat Mc 3354</t>
  </si>
  <si>
    <t>Lake Gardens 3355</t>
  </si>
  <si>
    <t>Mitchell Park 3355</t>
  </si>
  <si>
    <t>Wendouree 3355</t>
  </si>
  <si>
    <t>Bonshaw 3356</t>
  </si>
  <si>
    <t>Buninyong 3357</t>
  </si>
  <si>
    <t>Scotsmans Lead 3357</t>
  </si>
  <si>
    <t>Yarrowee 3357</t>
  </si>
  <si>
    <t>Region</t>
  </si>
  <si>
    <t>913565J</t>
  </si>
  <si>
    <t>900698L</t>
  </si>
  <si>
    <t>Lucas Gibson</t>
  </si>
  <si>
    <t>903116W</t>
  </si>
  <si>
    <t>908401V</t>
  </si>
  <si>
    <t>Heartland</t>
  </si>
  <si>
    <t>914829U</t>
  </si>
  <si>
    <t>914830L</t>
  </si>
  <si>
    <t>The dwelling (front building line) must be setback a
minimum of 4m from the front boundary
• Garages accessed from the front of a Lot should be set
back 5m minimum from the front boundary of the lot.
• Porches, verandas, and porticos less than 4 metres in
height may encroach up to 1.5 metre into the front
setback.
• All dwellings with a frontage less than 20m must employ
a 1m side setback on at least one side of the dwelling.
• Eaves, facias, gutters, chimney, flue pipes, water tanks
and heating or cooling or other services may encroach
0.5m into the setback around the whole dwelling
excluding garage walls on the boundary.
• Dwellings on corner lots must be setback a minimum of 2
metres from the secondary street frontage.</t>
  </si>
  <si>
    <t>Lots with a width of 10 metres or less at the frontage must only
have a single garage, where access is from the front of the lot.
Garage door openings on single storey homes must not exceed
40% of the width of the lot frontage.</t>
  </si>
  <si>
    <t>Required if lots are greater than 300m2. Otherwise optional
Provide 1No. 2000 litre Slim Line Poly Water Tank including plumbing and connections for up to 3No. Toilets. $4950</t>
  </si>
  <si>
    <t>Required if lots are greater than 300m2 Otherwise Optional
Provide 1No. 2000 litre Slim Line Poly Water Tank including plumbing and connections for up to 3No. Toilets. $4950</t>
  </si>
  <si>
    <t>824650P</t>
  </si>
  <si>
    <t>Permit Fee's for lots under 300m2 - $1410</t>
  </si>
  <si>
    <t>Heming On Pound</t>
  </si>
  <si>
    <t>904006Y</t>
  </si>
  <si>
    <t>Wise Group Real Estate</t>
  </si>
  <si>
    <t>Davis Vineyard</t>
  </si>
  <si>
    <t>829574B/S3</t>
  </si>
  <si>
    <t>All single storey dwellings with a frontage of 18 metres or greater employ a minimum side setback
of 1 metre on both sides (garages may be built to the boundary).</t>
  </si>
  <si>
    <t xml:space="preserve">Lots abutting the Western Estate Boundary require a 6m Front Setback instead of standard 4m. SLHC lots are exempt
</t>
  </si>
  <si>
    <t>Rear setback min 2m</t>
  </si>
  <si>
    <t xml:space="preserve"> - 3 bedrooms or more homes require double car garage
 - For all lots where the garage is located at the front of a dwelling, the door or opening must not occupy
more than 40% of the width of the allotment street frontage if the dwelling is single storey.</t>
  </si>
  <si>
    <t>Doubles Entire - 3300</t>
  </si>
  <si>
    <t>Provide 450mm wide eaves to the front Façade, returning 2000mm down both sides of house (excluding walls on boundary). - 1430</t>
  </si>
  <si>
    <t>Lots facing public open space - Provide approx. 1200mm high front fence with cypress posts and black tubular inserts
$305/lm</t>
  </si>
  <si>
    <t>905190X</t>
  </si>
  <si>
    <t>900406D</t>
  </si>
  <si>
    <t>825788C</t>
  </si>
  <si>
    <t>806157X/S6</t>
  </si>
  <si>
    <t>836792A</t>
  </si>
  <si>
    <t>819190C/S20</t>
  </si>
  <si>
    <t>Lot 2034 and 2035 - Allowance to comply with Restriction C of POS. $10,000</t>
  </si>
  <si>
    <t>24C</t>
  </si>
  <si>
    <t>838490G</t>
  </si>
  <si>
    <t>ARPI</t>
  </si>
  <si>
    <t>905635K</t>
  </si>
  <si>
    <t>900051Q</t>
  </si>
  <si>
    <t>L4</t>
  </si>
  <si>
    <t>848311D</t>
  </si>
  <si>
    <t>909585B</t>
  </si>
  <si>
    <t>21 Heany St</t>
  </si>
  <si>
    <t>844456W</t>
  </si>
  <si>
    <t>Lot Greater than 300m2</t>
  </si>
  <si>
    <t>Minimum Dwelling Size (excluding Porch, ODL and Garage)
less than 300m2 - 100m2
300m2-499m2 - 120m2
500m2+ - 140m2</t>
  </si>
  <si>
    <t>Lots 6916-6924 - Allowance for Acoustic rated walls. $15000 single, $20000 double.</t>
  </si>
  <si>
    <t>Lots 6613-6625 - Allowance for Acoustic rated walls. $15000 single, $20000 double.</t>
  </si>
  <si>
    <t>Lots 6712 - 6720 Allowance for Acoustic rated walls. $15000 single, $20000 double.</t>
  </si>
  <si>
    <t>837149W</t>
  </si>
  <si>
    <t>Credit to Remove Front Landscaping, to be Completed by Developer after Handover -$810</t>
  </si>
  <si>
    <t>2E</t>
  </si>
  <si>
    <t>856151K</t>
  </si>
  <si>
    <t>Emerald Waters</t>
  </si>
  <si>
    <t>838403E</t>
  </si>
  <si>
    <t>Stockdale Leggo</t>
  </si>
  <si>
    <t>03 9529 4955</t>
  </si>
  <si>
    <t>admin@stockdaleleggo.com.au</t>
  </si>
  <si>
    <t>Provide Depth Extension to Prominent Facade Porch to comply with SLHC Requirements.</t>
  </si>
  <si>
    <t>Provide Depth Extension to Alpha Façade Porch to comply with SLHC Requirements.</t>
  </si>
  <si>
    <t>908226M</t>
  </si>
  <si>
    <t>902134A</t>
  </si>
  <si>
    <t>Lots 3503-3505, 3513, 3514, 3519, 3521, 3524, 3525 and 3533 Require a Double Storey Dwelling</t>
  </si>
  <si>
    <t>Provide 1No. Whirlybird.</t>
  </si>
  <si>
    <t xml:space="preserve">Provide 1No. ###mm wide Cavity Sliding Door and 1No. additional heating outlet to the Ensuite in lieu of opening. </t>
  </si>
  <si>
    <t>Provide 1No. 2340mm high Front Entry Door in lieu of standard 2040mm.
Note: Requires 2720mm high ceilings.</t>
  </si>
  <si>
    <t>Provide category 1 Brickwork above the Garage door in lieu of painted infill panel.</t>
  </si>
  <si>
    <t>Provide Category 4 Flat profile Roof Tiles and Full Sarking where required in lieu of category 1 Shaped Roof Tiles.</t>
  </si>
  <si>
    <t>Provide Colorbond Roofing with 1No. Whirlybird and Sarking in lieu of category 1 Roof Tiles.</t>
  </si>
  <si>
    <t>Provide 1No. 2040mm high x 820mm wide Stained VMAD104 Door, with Clear Glazing, to the Front Entry in lieu of PMAD101 with Clear Glazing
Provide Colorbond roofing in lieu of category 1 Roof Tiles.
Provide Timbagrain sectional panel door in lieu of standard.
Provide Austral Access Stone Category 3 Brickwork in lieu of Category 1 to the entire house.</t>
  </si>
  <si>
    <t>Provide Neutralizing to all Brickwork.
Note: For light coloured Bricks, the acid wash needs to be neutralized to help prevent iron staining, acid burning or vanadium staining.</t>
  </si>
  <si>
    <t>Provide a Rendered finish to the front projection in lieu of face Brickwork.</t>
  </si>
  <si>
    <t>Provide a Rendered finish to the whole front Façade in lieu of face Brickwork.</t>
  </si>
  <si>
    <t>Provide category 1 Brickwork above all windows &amp; doors in lieu of painted infill panel.
Note: This excludes Garage sectional panel.</t>
  </si>
  <si>
    <t>Provide 1No. 760mm x 460mm Rectangular Skylight, to suit a Tiled Roof, to #####.
Note: Exact location to be decided on site and is based off Roof Truss layout.</t>
  </si>
  <si>
    <t>Provide 1No. 760mm x 460mm Rectangular Skylight, to suit a Colorbond Roof, to #####.
Note: Exact location to be decided on site and is based off Roof Truss layout.</t>
  </si>
  <si>
    <t>Provide 1No. Capped Gas point to the Outdoor Living.</t>
  </si>
  <si>
    <t>Provide Provisions to Outdoor Living; including:
- 1No. Capped Gas point
- 1No. Capped Cold and 1No. Capped Hot Water Point
- 1No. additional Waste Point</t>
  </si>
  <si>
    <t>Provide Double Glazed Aluminium Windows and Sliding Doors to the entire Single Storey House in lieu of Single Glazing.
Note: All windows will be changed to Awning.</t>
  </si>
  <si>
    <t>Provide Double Glazed Aluminium Windows and Sliding Doors to the entire Double Storey House in lieu of Single Glazing.
Note: All windows will be changed to Awning.</t>
  </si>
  <si>
    <t>Provide 1No. 1800mm high x 1500mm wide Single Glazed Aluminium Sliding Window to the ######## in lieu of Brickwork.</t>
  </si>
  <si>
    <t>Provide 1No. 1200mm high x 600mm wide Single Glazed Aluminium Sliding Window with Obscure Glazing to the ######## in lieu of Brickwork.</t>
  </si>
  <si>
    <t>Provide 1No. 2340mm high internal flush panel door to the ############# in lieu of 2040mm high (#No. Total).
Note: Requires 2720mm high ceilings.</t>
  </si>
  <si>
    <t>Provide a Stained Hardwood Timber Staircase in lieu of standard carpeted MDF staircase including:
- Stained Hardwood Timber Treads and Closed Risers
- Painted Posts, Balustrading &amp; Handrail where applicable
- Painted Handrail only where closed by walls</t>
  </si>
  <si>
    <t>Provide 1No. ###mm wide Cavity Sliding Door to the WIR in lieu of opening, 1No. ###mm wide Cavity Sliding Door and 1No. additional heating outlet to the Ensuite in lieu of opening. (2No. total)</t>
  </si>
  <si>
    <t>Provide 1No. additional Amphis Jasper Single LED Black Flood Light with sensor to the ########. (1No. Total)</t>
  </si>
  <si>
    <t>Provide 1No. additional Amphis Jasper Double LED Black Flood Light with sensor to the #########. (1No. Total)</t>
  </si>
  <si>
    <t>Provide 1No. 2040mm high x up to 1800mm wide Sliding Door unit with 2No. Vinyl Sliding Doors to ########## in lieu of standard hinged only doors. (1No. Unit total)</t>
  </si>
  <si>
    <t>Provide 1No. 2040mm high x up to 1800mm wide Sliding Door unit with 2No. Mirror Sliding Doors to ########## in lieu of standard hinged only doors. (1No. Unit total)</t>
  </si>
  <si>
    <t>Provide 1No. Whitco Privacy Lock to ########## in lieu of standard Passage Set. (1No. Total)</t>
  </si>
  <si>
    <t>Provide 1No. additional Weatherproof Double GPO to the ##########. (1No. Total)</t>
  </si>
  <si>
    <t>Provide 1No. additional Double GPO with 2No. USB ports to the ##########. (1No. Total)</t>
  </si>
  <si>
    <t>Provide 3No. Piatto 240 Pendant Lights Black in Colour over Kitchen Island.</t>
  </si>
  <si>
    <t>Provide 1No. 48” ceiling fan with light to ######### in lieu of LED light. (#No. Total)</t>
  </si>
  <si>
    <t>Provide 1No. 48" ceiling fan to the #######. (#No. Total)</t>
  </si>
  <si>
    <t>Provide 1No. additional Double GPO to the #########. (#No. Total)</t>
  </si>
  <si>
    <t>Provide Fire Safety inclusions:
- Provide Photoelectric Smoke Alarms
- Provide Thermal Alarms
- Provide evacuation Lights including relay from smoke alarms
- Provide 2.5kg Dry Powder Extinguisher
- Provide Exit Door Hardware
- Includes return trip to fit off</t>
  </si>
  <si>
    <t>Provide 1No. Fan/Light/Heater with 4No. Heat Globes to the ######### in lieu of 1No. Exhaust Fan and 1No. Light Point. (##No. total)</t>
  </si>
  <si>
    <t>Provide 2No. Supply and install CLIPSAL WDL830 up/down lights to front Porch (2No. total)</t>
  </si>
  <si>
    <t>Provide 1No. additional LED Dimmable Downlight Warm White.</t>
  </si>
  <si>
    <t>Provide a Category 1, colour on clear glass splashback to the Kitchen in lieu of wall tiles.
Note: Refer to Colour Selection for colour. Glass has a green tinge to it, not 100% clear. Maximum 3600mm wide Panel.</t>
  </si>
  <si>
    <t>Provide a Category 3 Low Iron Glass Solid Colour Splashback to the Kitchen in lieu of wall tiles.
Note: Refer to Colour Selection for colour. Maximum 3600mm wide Panel.</t>
  </si>
  <si>
    <t>Provide 60mm Square Edge to the Kitchen Wall and Island Cabinets in lieu of 40mm in the upgrade pack.</t>
  </si>
  <si>
    <t>Provide 60mm Square Edge to the Kitchen Wall and Island Cabinets in lieu of standard 20mm.</t>
  </si>
  <si>
    <t>Provide 1No. 600mm wide x 400mm high Microwave Space with 1No. Double GPO and 1No. approx. 350mm high x 600mm wide Pot Drawer below to the Kitchen Island in lieu of standard Doors.</t>
  </si>
  <si>
    <t>Provide built in rangehood Domain 900mm Under Mount Rangehood - UMH-90B in lieu of standard.</t>
  </si>
  <si>
    <t>Provide 1No. Step free tiled shower base recessed into slab including 12mm water stops to the Bedroom 1, 2 &amp; 3 Ensuite in lieu of hobbed shower. (3No. Total)</t>
  </si>
  <si>
    <t>Provide category 1 floor to ceiling wall tiles to the Bathroom, Guest Ensuite and Ensuite.
Note: Excludes Ensuite WC if applicable.</t>
  </si>
  <si>
    <t>Provide 1No. approx. 330mm high x 535mm wide Tiled Shower Niche to the ##########. (1No. Total)</t>
  </si>
  <si>
    <t>Provide Stainless Steel Brick Ties due to proximity of Salt Water.</t>
  </si>
  <si>
    <t>Total m2</t>
  </si>
  <si>
    <t>GF m2</t>
  </si>
  <si>
    <t>809295T</t>
  </si>
  <si>
    <t>902790N</t>
  </si>
  <si>
    <t>912552J</t>
  </si>
  <si>
    <t>829574B/S2</t>
  </si>
  <si>
    <t>821033G/S11</t>
  </si>
  <si>
    <t>908983T</t>
  </si>
  <si>
    <t>913220V</t>
  </si>
  <si>
    <t>Vic Mobile Mortgages</t>
  </si>
  <si>
    <t>902497L</t>
  </si>
  <si>
    <t>906387W</t>
  </si>
  <si>
    <t>Lots 3303 to 3325 - Allowance for Acoustic rated walls. $15000 single, $20000 double.</t>
  </si>
  <si>
    <t>Westbrook Estate - Southern Precinct</t>
  </si>
  <si>
    <t>Westbrook Estate - Northern Precinct</t>
  </si>
  <si>
    <t>Westbrook Estate - The Edge</t>
  </si>
  <si>
    <t>To comply with façade articulation, President or Duke façades required for single storey</t>
  </si>
  <si>
    <t>Check POS to see if LL or acoustic requirements apply</t>
  </si>
  <si>
    <t>Aria Living</t>
  </si>
  <si>
    <t>810955T</t>
  </si>
  <si>
    <t>Whitlam Façade does not comply, façade needs articulation</t>
  </si>
  <si>
    <t>Lots with a frontage of less than 12.5m are limited to a single garage, with a maximum door width of 2.6m.
For double storey dwellings, garage doors exceeding 40% of the lot width may be permitted where the
first floor is directly above the garage</t>
  </si>
  <si>
    <t>Lots Greater than 300m2 - 4950</t>
  </si>
  <si>
    <t>J2</t>
  </si>
  <si>
    <t>844952J</t>
  </si>
  <si>
    <t>902501Y</t>
  </si>
  <si>
    <t>M3</t>
  </si>
  <si>
    <t>8413531B</t>
  </si>
  <si>
    <t>908921S</t>
  </si>
  <si>
    <t>809759B</t>
  </si>
  <si>
    <t>908266Y</t>
  </si>
  <si>
    <t>902308S</t>
  </si>
  <si>
    <t>831959R</t>
  </si>
  <si>
    <t>906182R</t>
  </si>
  <si>
    <t>9 Chestnut Way</t>
  </si>
  <si>
    <t>617320S/S48</t>
  </si>
  <si>
    <t>908383U</t>
  </si>
  <si>
    <t>0439 951 663</t>
  </si>
  <si>
    <t>Lot 2111, 2115, 2126, 2127, 2137, 2151 and 2164 Must be Double Storey</t>
  </si>
  <si>
    <t>817136U</t>
  </si>
  <si>
    <t>814735M</t>
  </si>
  <si>
    <t>912247E</t>
  </si>
  <si>
    <t>913259R</t>
  </si>
  <si>
    <t>Allowance to finish off nature strip with a neat and even
grass coverage and that any damage caused to the nature strip during
construction of the home is rectified: $1400</t>
  </si>
  <si>
    <t>824081D</t>
  </si>
  <si>
    <t>30B</t>
  </si>
  <si>
    <t>5-1</t>
  </si>
  <si>
    <t>5-2</t>
  </si>
  <si>
    <t>5-3</t>
  </si>
  <si>
    <t>5-4</t>
  </si>
  <si>
    <t>5-5</t>
  </si>
  <si>
    <t>5-6</t>
  </si>
  <si>
    <t>5-7</t>
  </si>
  <si>
    <t>5-8</t>
  </si>
  <si>
    <t>5-9</t>
  </si>
  <si>
    <t>5-10</t>
  </si>
  <si>
    <t>5-11</t>
  </si>
  <si>
    <t>5-12</t>
  </si>
  <si>
    <t>5 - EXTERNAL ITEMS</t>
  </si>
  <si>
    <t>6 - INTERNAL ITEMS</t>
  </si>
  <si>
    <t>6-13</t>
  </si>
  <si>
    <t>6-14</t>
  </si>
  <si>
    <t>7 - GARAGE</t>
  </si>
  <si>
    <t>8 - WINDOWS</t>
  </si>
  <si>
    <t>8-5</t>
  </si>
  <si>
    <t>8-6</t>
  </si>
  <si>
    <t>12-3</t>
  </si>
  <si>
    <t>12-4</t>
  </si>
  <si>
    <t>12-5</t>
  </si>
  <si>
    <t>12-6</t>
  </si>
  <si>
    <t>12-7</t>
  </si>
  <si>
    <t>12-8</t>
  </si>
  <si>
    <t>12-9</t>
  </si>
  <si>
    <t>16-3</t>
  </si>
  <si>
    <t>20 - LANDSCAPING</t>
  </si>
  <si>
    <t>21 - ESTATE GUIDELINE REQUIREMENTS</t>
  </si>
  <si>
    <t>21-11</t>
  </si>
  <si>
    <t>21-12</t>
  </si>
  <si>
    <t>21-13</t>
  </si>
  <si>
    <t>21-14</t>
  </si>
  <si>
    <t>21-15</t>
  </si>
  <si>
    <t>21-16</t>
  </si>
  <si>
    <t>21-17</t>
  </si>
  <si>
    <t>21-18</t>
  </si>
  <si>
    <t>21-19</t>
  </si>
  <si>
    <t>21-20</t>
  </si>
  <si>
    <t>21-21</t>
  </si>
  <si>
    <t>21-22</t>
  </si>
  <si>
    <t>21-23</t>
  </si>
  <si>
    <t>21-24</t>
  </si>
  <si>
    <t>21-25</t>
  </si>
  <si>
    <t>21-26</t>
  </si>
  <si>
    <t>21-27</t>
  </si>
  <si>
    <t>23 - UPGRADES</t>
  </si>
  <si>
    <t>23-9</t>
  </si>
  <si>
    <t>23-10</t>
  </si>
  <si>
    <t>23-11</t>
  </si>
  <si>
    <t>23-12</t>
  </si>
  <si>
    <t>23-13</t>
  </si>
  <si>
    <t>24 - GENERAL</t>
  </si>
  <si>
    <t>24-1</t>
  </si>
  <si>
    <t>24-2</t>
  </si>
  <si>
    <t>24-3</t>
  </si>
  <si>
    <t>24-4</t>
  </si>
  <si>
    <t>24-5</t>
  </si>
  <si>
    <t>24-6</t>
  </si>
  <si>
    <t>24-7</t>
  </si>
  <si>
    <t>24-8</t>
  </si>
  <si>
    <t>9 -ENERGY EFFICIENCY</t>
  </si>
  <si>
    <t>10 - ELECTRICAL</t>
  </si>
  <si>
    <t>10-6</t>
  </si>
  <si>
    <t>10-7</t>
  </si>
  <si>
    <t>10-8</t>
  </si>
  <si>
    <t>10-9</t>
  </si>
  <si>
    <t>11 - HEATING / COOLING</t>
  </si>
  <si>
    <t>12 - KITCHEN</t>
  </si>
  <si>
    <t>12-10</t>
  </si>
  <si>
    <t>13 - ENSUITE</t>
  </si>
  <si>
    <t>14 - BATHROOM</t>
  </si>
  <si>
    <t>15 - WC</t>
  </si>
  <si>
    <t>16 - LAUNDRY</t>
  </si>
  <si>
    <t>17 - FLOOR COVERINGS</t>
  </si>
  <si>
    <t>17-4</t>
  </si>
  <si>
    <t>18 - LANDSCAPING</t>
  </si>
  <si>
    <t>18-5</t>
  </si>
  <si>
    <t>18-6</t>
  </si>
  <si>
    <t>18-7</t>
  </si>
  <si>
    <t>18-8</t>
  </si>
  <si>
    <t>19 - ESTATE GUIDELINE REQUIREMENTS</t>
  </si>
  <si>
    <t>19-9</t>
  </si>
  <si>
    <t>19-10</t>
  </si>
  <si>
    <t>19-11</t>
  </si>
  <si>
    <t>19-12</t>
  </si>
  <si>
    <t>19-13</t>
  </si>
  <si>
    <t>19-14</t>
  </si>
  <si>
    <t>19-15</t>
  </si>
  <si>
    <t>19-16</t>
  </si>
  <si>
    <t>19-17</t>
  </si>
  <si>
    <t>19-18</t>
  </si>
  <si>
    <t>19-19</t>
  </si>
  <si>
    <t>19-20</t>
  </si>
  <si>
    <t>19-21</t>
  </si>
  <si>
    <t>19-22</t>
  </si>
  <si>
    <t>19-23</t>
  </si>
  <si>
    <t>19-24</t>
  </si>
  <si>
    <t>19-25</t>
  </si>
  <si>
    <t>19-26</t>
  </si>
  <si>
    <t>19-27</t>
  </si>
  <si>
    <t>21 - UPGRADES</t>
  </si>
  <si>
    <t>22 - GENERAL</t>
  </si>
  <si>
    <t>Liliana Fierro Martinez</t>
  </si>
  <si>
    <t>lilian.fierro-martinez@cedarwoods.com.au</t>
  </si>
  <si>
    <t>908202C</t>
  </si>
  <si>
    <t>Please look at MCP for minimum floor area requirements</t>
  </si>
  <si>
    <t>908233Q</t>
  </si>
  <si>
    <t>Lot 1501 to 1505 and 1511 to 1519 need to be Double Storey</t>
  </si>
  <si>
    <t>910783P</t>
  </si>
  <si>
    <t>Lot 4613 must be double storey</t>
  </si>
  <si>
    <t>Refer to POS for DS Lots</t>
  </si>
  <si>
    <t>Lots 2307 and 2311 must be double storey</t>
  </si>
  <si>
    <t>Broadstead</t>
  </si>
  <si>
    <t>902811H</t>
  </si>
  <si>
    <t>Lots 101-103, 119-123, 126-138 Require 2720mm Ceilings - $8000</t>
  </si>
  <si>
    <t>The total width of the front of the building must occupy at least 70% of the width of the lot at the lot’s front boundary.</t>
  </si>
  <si>
    <t>Refer to Building Envelope Plan for Front, Rear and Side Setbacks requires - these differ throughout</t>
  </si>
  <si>
    <t>Lots 101-103, 119-123, 126-138  require min 1.8m deep and min 3.5m wide Porch.
Singles - Duke and Sorrento only
Doubles - Elite and Keating Only</t>
  </si>
  <si>
    <t>Traditional Façade and Whitlam Façade do not comply with Estate DG's</t>
  </si>
  <si>
    <t>Garage must be less than 50% of the width of the front façade</t>
  </si>
  <si>
    <t>Provide Front Feature Fencing approx. 1000mmH in Vertical Treated Pine Slats 90x22 and exposed 125x75mm posts with spear tops top 1200mmH. $6000</t>
  </si>
  <si>
    <t>905621W</t>
  </si>
  <si>
    <t>Provide approx. 1800mm high Merbau fencing arranged horizontally to wing fence and Gate in lieu of timber palings = $1100</t>
  </si>
  <si>
    <t>909260G</t>
  </si>
  <si>
    <t>8D</t>
  </si>
  <si>
    <t>909256W</t>
  </si>
  <si>
    <t>843617E</t>
  </si>
  <si>
    <t>Lot 1001-1012 and 1015-1025 require 1m side setback on one side minimum</t>
  </si>
  <si>
    <t>900015U</t>
  </si>
  <si>
    <t>I / We understand that it is the policy of Hermitage Building Group Pty Ltd (ABN: 79 150 694 572) not to enter into verbal agreements, therefore I / we agree that our special requirements are to be written down and form part of our final building documentation.</t>
  </si>
  <si>
    <t>902422U</t>
  </si>
  <si>
    <t>No Design Guidelines  - Note Only</t>
  </si>
  <si>
    <t>846204Q</t>
  </si>
  <si>
    <t>844172M</t>
  </si>
  <si>
    <t>844516F</t>
  </si>
  <si>
    <t>848072U</t>
  </si>
  <si>
    <t>The combined width of garage door openings must not
exceed 40% of the primary frontage unless the building is two
or more storeys and on a lot with an area between 250m2 to
300m2 whereby the garage opening must not exceed 30% of
the area of the front façade of the dwelling with the area of the
front façade measured from a two dimensional elevation plan
of the façade excluding the area of the roof of the dwelling.</t>
  </si>
  <si>
    <t>Lots with a width of 12.5m or greater must provide
a double garage</t>
  </si>
  <si>
    <t>A rainwater tank with a minimum volume of 2,000 Litres
(for lots greater than 300m²);</t>
  </si>
  <si>
    <t>House Must Achieve a 7 Star rating.</t>
  </si>
  <si>
    <t>Inspired Property Inversting</t>
  </si>
  <si>
    <t>819382S</t>
  </si>
  <si>
    <t>845076C</t>
  </si>
  <si>
    <t xml:space="preserve"> Lots less than 12.5m require Single Car Garages Only.
 Doubles Storey Garages must not exceed 25% of the area of the Front Façade</t>
  </si>
  <si>
    <t>Allowance for Acoustic rated walls. $15000 single, $20000 double. **Lots 74-80 and 87-99**</t>
  </si>
  <si>
    <t>900720W</t>
  </si>
  <si>
    <t>848741B</t>
  </si>
  <si>
    <t>Creekbank</t>
  </si>
  <si>
    <t>913560U</t>
  </si>
  <si>
    <t>Kayla Kendall</t>
  </si>
  <si>
    <t>Providence - Officer</t>
  </si>
  <si>
    <t>901724H</t>
  </si>
  <si>
    <t>Lucas Grange Estate (Butler Street Stage)</t>
  </si>
  <si>
    <t>846150M</t>
  </si>
  <si>
    <t>Provide OPTICOMM entry level pack including:
- Upgrade to WSC – new Opticomm regulation effective 15/04/2013
- Lead in cable for Opticomm fibre-optic from Meter Box to the Hub
- 1No. Double GPO for Optical Network Termination (ONT) Box
- 1No. Phone Point (terminated at WSC) in lieu of standard
- 2No. Data Points
- CAT6 cable CAT 6 mech.
- 2No. TV Points (terminated at WSC) in lieu of standard
Note:  Excludes connection.</t>
  </si>
  <si>
    <t>803165Q</t>
  </si>
  <si>
    <t>3 - Atkin</t>
  </si>
  <si>
    <t>906448D</t>
  </si>
  <si>
    <t>908940N</t>
  </si>
  <si>
    <t>846205N</t>
  </si>
  <si>
    <t>845653P</t>
  </si>
  <si>
    <t>Front fencing required if frontage is less than 12.5m and lot size is less than 320sqm. Must be steel picket. $500 per L/M</t>
  </si>
  <si>
    <t>744907W</t>
  </si>
  <si>
    <t>900395F</t>
  </si>
  <si>
    <t>JR Prosperity</t>
  </si>
  <si>
    <t>825905B</t>
  </si>
  <si>
    <t>Wattle Park</t>
  </si>
  <si>
    <t>908227K</t>
  </si>
  <si>
    <t>Doubles entire = $3300</t>
  </si>
  <si>
    <t>Whitlam and Traditional Façade do not comply</t>
  </si>
  <si>
    <t>Porch minimum area of 4m2 and depth of 1.5m</t>
  </si>
  <si>
    <t xml:space="preserve">Design Guidelines require a balcony (Keating, Elite &amp; Menzies), or modifications to Prominent and Alpha to comply with additional articulation
Provide Depth Extension to Prominent Facade Porch to comply with SLHC Requirements. =$2100
Provide Depth Extension to Alpha Façade Porch to comply with SLHC Requirements. =$2500
</t>
  </si>
  <si>
    <t>If home width is equal to or greater than 13m wide, one of the following is required:
• A step in the front facade of a
minimum 840mm (this step must be in
addition to any step at the garage), or
• A portico/verandah with a minimum
area of 10sqm. The porch must also
have a depth of minimum 1.5m deep at
some point, or
• A verandah for the full length of the
frontage (excluding the garage).
Note: An entry recess is not a step in
the facade.</t>
  </si>
  <si>
    <t>Provide approx. 1800mm high Colourbond fencing, colour in Grey Ridge, with 100x100mm expressed posts, capping and 150mm plinth detail in black. Corner fencing only. $440/lm</t>
  </si>
  <si>
    <t>909581K</t>
  </si>
  <si>
    <t>903559D</t>
  </si>
  <si>
    <t>822233S</t>
  </si>
  <si>
    <t>Elever</t>
  </si>
  <si>
    <t>846747Y</t>
  </si>
  <si>
    <t>842453P</t>
  </si>
  <si>
    <t>Landco</t>
  </si>
  <si>
    <t>844188V</t>
  </si>
  <si>
    <t>Banksia - Armstrong Creek</t>
  </si>
  <si>
    <t>908932M</t>
  </si>
  <si>
    <t>Your home must have a porch, portico
or verandah with a minimum area of 4.0
square meters and a minimum depth of
1.5m at some point</t>
  </si>
  <si>
    <t>Where your home frontage is 13.0m
wide or greater at least one of the
following is required:
A step in the front facade of a
minimum 840mm (this step must be in
addition to any step at the garage), or
• A portico/verandah with a minimum
area of 10sqm. The porch must also
have a depth of minimum 1.5m deep at
some point, or
• A verandah for the full length of the
frontage (excluding the garage).
Note: An entry recess is not a step in
the facade.</t>
  </si>
  <si>
    <t>846516U</t>
  </si>
  <si>
    <t>909266T</t>
  </si>
  <si>
    <t>If building a Double Storey on lots 2701, 2704, 2715, 2717, 2723, 2728, 2735, 2736 and 2739, change corner treatment to 10620 to comply with restriction A-1 of the Plan of Sub. Leave in notes : "Leave in Estimator Notes: Additional allowance to corner treatment to comply with POS restriction A-1"</t>
  </si>
  <si>
    <t>2701, 2717, 2723, 2728 and 2735 requre Double Storey</t>
  </si>
  <si>
    <t>906523R</t>
  </si>
  <si>
    <t>843610U</t>
  </si>
  <si>
    <t>Allotments Siding Delphi Boulevard.
Articulation to the side of the home adjoining the main Boulevard can be created by verandahs, porches, balconies, blade walls or pergolas.
Side fencing on the main Boulevard on designated lots will be semi permeable and provided for by the Developer.
Landscaping to the main frontage on designated lots will be provided for by the Developer.
Allotments with Front Facing Aspect to Delphi Boulevard.
Double storey building requirement for homes with a front facing aspect to Delphi Boulevard.
Specified dwellings with a front facing aspect to the main Boulevard will have landscaping to the main frontage completed, which will be provided for by the Developer.</t>
  </si>
  <si>
    <t>Acoustic Rail Treatment Allotment.
Specified dwellings within 100m of the train line willbe required to construct in accordance with therequirements and recommendations set out in the
''Marshall Day Acoustics—Raes Road Development RailNoise Assessment—26 June 2020" as noted in therelevant Plan of Subdivision.
Homes are to meet minimum sound insulation requirements, such as double glazing and increased levels of insulation.</t>
  </si>
  <si>
    <t>All homes must allow for an enclosed double garage for car accommodation for lots greater than 12.5 metres wide.</t>
  </si>
  <si>
    <t>Allotments with Developer Constructed Fencing.
Lots with allocated Developer Installed Fencing as per the Fencing Plan are eligible for installation. Owners of eligible lots will be required to read through the below information and follow the steps for installation.
Refer to Appendix 2 for Fencing Plan for eligible lots.
Refer to Appendix 3 for Fencing Plan Detail.
Refer to FAQ Fencing on the Kimberley website</t>
  </si>
  <si>
    <t>The number of plants per garden varies with the size of the lots. As a guide lots, less than 12.5 metres wide shall have a minimum of 25 plants and one feature tree, lots 12.5–16 metres shall have a minimum of 40 plants and one (preferably two) feature trees and lots greater than 16 metres to have a minimum of 50 plants and two (preferably three) feature trees. $1650</t>
  </si>
  <si>
    <t>901207E</t>
  </si>
  <si>
    <t>912378N</t>
  </si>
  <si>
    <t>840150U</t>
  </si>
  <si>
    <t>905209D</t>
  </si>
  <si>
    <t>Refer to POS for lots that require a Double Storey Home</t>
  </si>
  <si>
    <t>Greenwood</t>
  </si>
  <si>
    <t>Junction Village</t>
  </si>
  <si>
    <t>737506G</t>
  </si>
  <si>
    <t>Victorian House &amp; Land Specialists</t>
  </si>
  <si>
    <t>Matthew Robins</t>
  </si>
  <si>
    <t>900608Q</t>
  </si>
  <si>
    <t>Garage Door must not exceed 40% of the lots width</t>
  </si>
  <si>
    <t>Entire = 3300</t>
  </si>
  <si>
    <t>909575E</t>
  </si>
  <si>
    <t>0401 638 781</t>
  </si>
  <si>
    <t>912244L</t>
  </si>
  <si>
    <t>846544P</t>
  </si>
  <si>
    <t>North</t>
  </si>
  <si>
    <t>No Design Guielines - Note Only</t>
  </si>
  <si>
    <t>908254G</t>
  </si>
  <si>
    <t>Provide exposed aggregate concrete Driveway, Path, Front Porch and Outdoor Living (if applicable) in lieu of colour on concrete.</t>
  </si>
  <si>
    <t>Winterfield North</t>
  </si>
  <si>
    <t>Sam Graffeo</t>
  </si>
  <si>
    <t>0472 353 930</t>
  </si>
  <si>
    <t>sgraffeo@coreprojects.com.au</t>
  </si>
  <si>
    <t>Lots equal to or greater than 12.5m frontage must incorporate a Double Garage.</t>
  </si>
  <si>
    <t>Dwelling size (excluding and porch, verandah, Garage etc):
Less than 300m2 = min 100m2
Between 300-400m2 = min 110m2
Greater than 400m2 = min 130m2</t>
  </si>
  <si>
    <t>Side setbacks must be a minimum of 1.0 from
at least 1 side boundary. Where the lot is
on a corner, the side street elevation of the
swelling must be setback a minimum of 2m.</t>
  </si>
  <si>
    <t>Tramonto Views</t>
  </si>
  <si>
    <t>843107E</t>
  </si>
  <si>
    <t>Lots with a frontage equal to or less than 10m require a single garage</t>
  </si>
  <si>
    <t>No Design Guidelines - Note Only</t>
  </si>
  <si>
    <t>847636D</t>
  </si>
  <si>
    <t>835646S</t>
  </si>
  <si>
    <t>816058T/S26</t>
  </si>
  <si>
    <t>Flush Panel Doors 2040mm high throughout (including robes)</t>
  </si>
  <si>
    <t xml:space="preserve">1No. Split System Air Conditioner to Main Living Area </t>
  </si>
  <si>
    <t>913469E</t>
  </si>
  <si>
    <t>909251H</t>
  </si>
  <si>
    <t>Diamond grille on security doors not permitted on façade. Only applicable for sliding doors to façade such as Balcony. Provide Home Style Barrier Door (Marine Grade Steel Mesh) to Sliding Door in lieu of standard $605</t>
  </si>
  <si>
    <t>846227C</t>
  </si>
  <si>
    <t>908278R</t>
  </si>
  <si>
    <t>836035T</t>
  </si>
  <si>
    <t>847489P</t>
  </si>
  <si>
    <t>Bonshaw Run</t>
  </si>
  <si>
    <t>909410P</t>
  </si>
  <si>
    <t>Jellis Craig Ballarat</t>
  </si>
  <si>
    <t>other than one private dwelling and usual residential outbuildings of a minimum size
(excluding garage, carport, veranda, pergola, outdoor alfresco and other outbuildings)
of 130 square metres, but on lots with an area of 400 square metres or less of a
minimum size (excluding garage, carport, veranda, pergola, outdoor alfresco and other
outbuildings) of 110 square metres;</t>
  </si>
  <si>
    <t>that is a dwelling with a setback less than 4 metres from the front boundary of the Land,
and 1 metre from any side boundary of the Land (excluding entry porch, veranda,
balcony and pergola)</t>
  </si>
  <si>
    <t>819190C/S22</t>
  </si>
  <si>
    <t xml:space="preserve">Coburns Rise </t>
  </si>
  <si>
    <t>803092R</t>
  </si>
  <si>
    <t>Augment Realestate</t>
  </si>
  <si>
    <t>0433 533 686</t>
  </si>
  <si>
    <t>sing@augmentgroup.com.au</t>
  </si>
  <si>
    <t>Prince Singh</t>
  </si>
  <si>
    <t>Each dwelling (on lots over 300m2) must use rainwater tank for toilet flushing as a minimum</t>
  </si>
  <si>
    <t>Entire 450mm minimum eaves on doubles. $3300</t>
  </si>
  <si>
    <t>Full face brick is not permitted.
- Dwelling facades must incorporate a maximum of 75% total wall coverage (excluding windows / openings) of any one material or colour.</t>
  </si>
  <si>
    <t>Activation Elements:
Porticos
- Minimum depth: 1.5m
- Minimum width: 1.6m
- Maximum height: 3.6m
Verandahs
- Minimum depth: 1.5m
- Minimum width: 4m or 40% of frontage, whichever is greater
- Maximum height: 3.6m
Balconies
- Minimum depth: 1.2m
- Minimum width: 4m external width or 30% of frontage whichever is the greater -
Maximum height: 9m</t>
  </si>
  <si>
    <t>For two storey dwellings, garages that exceed 40% of the width of the allotments frontage are discouraged. Notwithstanding, they will only be permitted where balconies or windows are provided above the garage.
- The external width of the garage structure should be 6m or less</t>
  </si>
  <si>
    <t>902309Q</t>
  </si>
  <si>
    <t>Fencing needs to be stepped and not sloped. Refer to DG</t>
  </si>
  <si>
    <t>849115X</t>
  </si>
  <si>
    <t>844118T</t>
  </si>
  <si>
    <t>837400R/S6</t>
  </si>
  <si>
    <t>910056X</t>
  </si>
  <si>
    <t>The Murray</t>
  </si>
  <si>
    <t>918044M</t>
  </si>
  <si>
    <t>If the Lots are fronting Tower Road or within a street. Provide allowance for acoustic requirements. 15,000 Singles, 25,000 Doubles</t>
  </si>
  <si>
    <t xml:space="preserve"> - Lots with a width of 10 metres or less at the frontage must only have
a single garage, where access is from the front of the lot.
- Lots with a frontage of more than 12.5m should provide a double
garage. Maximum width allowable for the garage door is 5.5m.
- Garage door openings on single storey homes must not exceed
40% of the width of the lot frontage.</t>
  </si>
  <si>
    <t>Lots Fronting Railway Corridor - Provide Front Feature Fencing approx. 1000mmH in Vertical Treated Pine Slats 90x22 and exposed 125x75mm posts with spear tops top 1200mmH. $6000</t>
  </si>
  <si>
    <t>Corner Lots Only</t>
  </si>
  <si>
    <t>845602H</t>
  </si>
  <si>
    <t>846230P</t>
  </si>
  <si>
    <t>Provide 3rd pipe recycled water including connections to all Toilets, Washing Machine tap and 1No. Garden tap.</t>
  </si>
  <si>
    <t>902511V</t>
  </si>
  <si>
    <t>Provide the Double Garage Option to the Jackson 18, as per sketch. 
*Note, minimum lot width to be 12.5m wide.</t>
  </si>
  <si>
    <t>Provide the Double Garage Option to the Lucas 16, as per sketch. 
*Note, minimum lot width to be 10.5m wide.</t>
  </si>
  <si>
    <t>904389D</t>
  </si>
  <si>
    <t>Lots 1718-1728 must be Double Storey Homes</t>
  </si>
  <si>
    <t>902515M</t>
  </si>
  <si>
    <t>818935G</t>
  </si>
  <si>
    <t>Refer to POS if applicable to Lot = 4950</t>
  </si>
  <si>
    <t>728916M/S14</t>
  </si>
  <si>
    <t>908963A</t>
  </si>
  <si>
    <t>900095T</t>
  </si>
  <si>
    <t>835620M</t>
  </si>
  <si>
    <t>908269S</t>
  </si>
  <si>
    <t>847805G</t>
  </si>
  <si>
    <t>Ocean Grove 3227</t>
  </si>
  <si>
    <t>489 525 625</t>
  </si>
  <si>
    <t>816900N</t>
  </si>
  <si>
    <t>749041J</t>
  </si>
  <si>
    <t>845101G</t>
  </si>
  <si>
    <t>Ifield Road</t>
  </si>
  <si>
    <t>908225P</t>
  </si>
  <si>
    <t>Beveridge 3754</t>
  </si>
  <si>
    <t>1301 035 791</t>
  </si>
  <si>
    <t>844258B</t>
  </si>
  <si>
    <t>908923N</t>
  </si>
  <si>
    <t>Habitat Estate - Cranbourne East</t>
  </si>
  <si>
    <t>Habitat Estate - Tarneit</t>
  </si>
  <si>
    <t>832419V</t>
  </si>
  <si>
    <t>Garage openings not to exceed 40% of the lot frontage, unless you are a Double storey home, whereby garage opening should not exceed 30% area of the front façade</t>
  </si>
  <si>
    <t>Provide 1No. 2000 litre Slim Line Poly Water Tank including 1No. Garden tap.</t>
  </si>
  <si>
    <t>Landmark Property Finance</t>
  </si>
  <si>
    <t>8425537H/S24</t>
  </si>
  <si>
    <t>0489 967 640</t>
  </si>
  <si>
    <t>Tarneit 3030</t>
  </si>
  <si>
    <t>420 565 601</t>
  </si>
  <si>
    <t>836022D</t>
  </si>
  <si>
    <t>Provide approx. 1800mm high Merbau fencing arranged horizontally in lieu of timber palings. Includes wing fence and Gate. CORNER = $9001</t>
  </si>
  <si>
    <t>902227S</t>
  </si>
  <si>
    <t>845134Q</t>
  </si>
  <si>
    <t>819190C/S21</t>
  </si>
  <si>
    <t>816897X</t>
  </si>
  <si>
    <t>Clara Place</t>
  </si>
  <si>
    <t>902772Q</t>
  </si>
  <si>
    <t>0498 001 489</t>
  </si>
  <si>
    <t>claraplace@cedarwoods.com.au</t>
  </si>
  <si>
    <t>Building size requirements:
- 90sqm excluding garage, porches, porticos, verandahs and
alfrescos for lots with an area up to 300sqm
- 100sqm excluding garage, porches, porticos, verandahs and
alfrescos for lots with an area of 300sqm or greater;
- 120sqm excluding garage, porches, porticos, verandahs and
alfrescos for lots with an area of 400sqm or greater;
- 150sqm excluding garage, porches, porticos, verandahs and
alfrescos for lots with an area of 500sqm or greater;</t>
  </si>
  <si>
    <t>Traditional façade does not comply with Porch Size requirements. If Alpha or Prominent are selected, please add in Alpha/Prominent Porch Depth Extension Modification in the Modifications. Applies to all lots</t>
  </si>
  <si>
    <t>The width of the garage door or opening must not exceed 50%
of the width of the façade.</t>
  </si>
  <si>
    <t>If Primary Frontage of lot is facing a reserve, a Double Storey Home with a balcony needs to be selected - Keating, Elite or Menzies</t>
  </si>
  <si>
    <t>Lots greater than 300m2 = Provide 1No. 2000 litre Slim Line Poly Water Tank including plumbing and connections for up to 3No. Toilets. = $4950</t>
  </si>
  <si>
    <t>902779A</t>
  </si>
  <si>
    <t>Acquisitions Collective</t>
  </si>
  <si>
    <t>Lots less than 12.5m wide Single storey dwellings restricted to a single garage with a maximum door opening of 2.6m
Double storey dwelling restricted to a double garage with a maximum door opening must not exceed 25% of the area of the front façade of any dwelling</t>
  </si>
  <si>
    <t>905650P</t>
  </si>
  <si>
    <t>Marshal Place</t>
  </si>
  <si>
    <t>Williams Landing</t>
  </si>
  <si>
    <t>Each dwelling must have at least one of the following design
features provided to the front of the building:
– porch, verandah or pergola;
– balcony; or
– fin or sunhood</t>
  </si>
  <si>
    <t>The width of the garage door or opening must not exceed 50
percent of the width of the frontage of the allotment; or
The area or the garage door or opening must not exceed 30% of
the area of the front façade of the building</t>
  </si>
  <si>
    <t>Lots fronting Overton road must be double storey</t>
  </si>
  <si>
    <t>provide Marine Grade Mesh in lieu of standard Diamond Grille for double storey $750</t>
  </si>
  <si>
    <t>All garages need to be double</t>
  </si>
  <si>
    <t>A Porch, Verandah or Pegola must be contemporary in nature that complements the style of the home and:
- Be open on at least two sides
- Have a width that does not exceed 80% of the wdith of the lot or 4.0m. Whichever is greater
- Project at least 800mm and not more than 1500mm Forward of the front wall</t>
  </si>
  <si>
    <t>810963U</t>
  </si>
  <si>
    <t>Garages Must not be greater than 40% of the lot frontage</t>
  </si>
  <si>
    <t>Entire House = $3300</t>
  </si>
  <si>
    <t>$45/lm for painting fence Woodland Grey to Corner Fencing Only</t>
  </si>
  <si>
    <t>Wealth for Life</t>
  </si>
  <si>
    <t>Provide Category 7 Hybrid Flooring to the Lounge, Study, Master Bedroom, Bed 2, Bed 3 and Bed 4 in lieu of Category 1 Carpet.
*Note - Upgrade only applies to Ground Floor. No timber laminate to First Floor.</t>
  </si>
  <si>
    <t>906369Y</t>
  </si>
  <si>
    <t>Armstrong Creek 3218</t>
  </si>
  <si>
    <t>Provide 3rd pipe recycled water including connections to all Toilets and 2No. Garden tap. =$3941</t>
  </si>
  <si>
    <t>Minimum Floor Areas. 
Lots less than 300m2 - 100m2
More than 300 &amp; less than 450m2 - 120m2
More than 450m2 - 150m3</t>
  </si>
  <si>
    <t>845130Y</t>
  </si>
  <si>
    <t>Panorama Estate Morwell</t>
  </si>
  <si>
    <t>908159A</t>
  </si>
  <si>
    <t>908158C</t>
  </si>
  <si>
    <t>908160R</t>
  </si>
  <si>
    <t>906345P</t>
  </si>
  <si>
    <t>Hilltop</t>
  </si>
  <si>
    <t>Rachel Vanderzee</t>
  </si>
  <si>
    <t>1300 753 466</t>
  </si>
  <si>
    <t>info@hilltopofficer.com.au</t>
  </si>
  <si>
    <t xml:space="preserve"> Lots equal to or under 450sqm require a
dwelling of over 120sqm (not including
garage, eaves, portico and decks).
 Lots equal to or over 451sqm require a
dwelling of over 150sqm (not including
garage, eaves, portico and decks)</t>
  </si>
  <si>
    <t>Traditional and Whitlam Façade do not comply
Provide Depth extension modification  to the Alpha or Prominent Façade to comply if selected</t>
  </si>
  <si>
    <t>On lots with a frontage greater than 12.5 metres: Double Garages Only 
On lots with a frontage of 12.5 metres or less: Single Storey Homes must have Single Garage Only. For double story dwellings garage openings must not exceed 25% of the area of the front facade of any dwelling</t>
  </si>
  <si>
    <t>907594L</t>
  </si>
  <si>
    <t>Provide the Double Garage Option to the Boomer 14 and 17, as per sketch. 
*Note, minimum lot width to be 10.5m wide.</t>
  </si>
  <si>
    <t>490 967 640</t>
  </si>
  <si>
    <t>Provide 450mm wide eaves to the front Façade, returning 6000mm down both sides of house (excluding walls on boundary). 1871</t>
  </si>
  <si>
    <t>entire if double 3301</t>
  </si>
  <si>
    <t>3000L 6500 for lots greater 300m4</t>
  </si>
  <si>
    <t>PS842537H/S6</t>
  </si>
  <si>
    <t>Syaloville Consulting</t>
  </si>
  <si>
    <t>838169K</t>
  </si>
  <si>
    <t>Mitchell Grove Estate1</t>
  </si>
  <si>
    <t>912518Y</t>
  </si>
  <si>
    <t>1 Lot A</t>
  </si>
  <si>
    <t>1 Lot C</t>
  </si>
  <si>
    <t>838359E</t>
  </si>
  <si>
    <t>837400R/S4</t>
  </si>
  <si>
    <t>Property Wealth123</t>
  </si>
  <si>
    <t>Cobble Springs</t>
  </si>
  <si>
    <t>907830B</t>
  </si>
  <si>
    <t>NB Eye Land</t>
  </si>
  <si>
    <t>1300 348 797</t>
  </si>
  <si>
    <t>No Boundary to Boundary</t>
  </si>
  <si>
    <t>Traditional Fcade does not comply with articulation requirements</t>
  </si>
  <si>
    <t>Lots 1-6, 40, 74, 102-106 - Provide allowance for acoustic rated walls: Singles $15,000 Double $20,000</t>
  </si>
  <si>
    <t>Frontage less than 12.5m, single garage only
Garage door openings must not exceed 40% of the lots width</t>
  </si>
  <si>
    <t>If lot is greater than 300m2 = $4,950</t>
  </si>
  <si>
    <t>Provide additional drainage to Sealed System to for minimum 70% roof coverage = $2200</t>
  </si>
  <si>
    <t>907834S</t>
  </si>
  <si>
    <t>911070Y</t>
  </si>
  <si>
    <t>911084M</t>
  </si>
  <si>
    <t>Ballarat 3351</t>
  </si>
  <si>
    <t>424 050 864</t>
  </si>
  <si>
    <t>913040X</t>
  </si>
  <si>
    <t>908240T</t>
  </si>
  <si>
    <t>R3 Realtors</t>
  </si>
  <si>
    <t>Absolut Property Group</t>
  </si>
  <si>
    <t>Iverness</t>
  </si>
  <si>
    <t>Sumit</t>
  </si>
  <si>
    <t>0428 715 132</t>
  </si>
  <si>
    <t>846518Q</t>
  </si>
  <si>
    <t>907690Q</t>
  </si>
  <si>
    <t>Fortune Realtors</t>
  </si>
  <si>
    <t>Wealth For Life</t>
  </si>
  <si>
    <t>Number 8 Property Group</t>
  </si>
  <si>
    <t>Werribee 3031</t>
  </si>
  <si>
    <t>409 888 408</t>
  </si>
  <si>
    <t>Provide approx. 1800mm high Merbau fencing arranged horizontally in lieu of timber palings. Includes wing fence and Gate. CORNER = $8101</t>
  </si>
  <si>
    <t>Provide approx. 1800mm high Merbau fencing arranged horizontally to wing fence and Gate in lieu of timber palings. CORNER= $1101</t>
  </si>
  <si>
    <t>842938N</t>
  </si>
  <si>
    <t>Refer to POS to confirm if lot has to be Double Storey</t>
  </si>
  <si>
    <t>Gabriel Investments</t>
  </si>
  <si>
    <t>Berwick 3807</t>
  </si>
  <si>
    <t>432 285 115</t>
  </si>
  <si>
    <t>Entire for doubles $3301</t>
  </si>
  <si>
    <t>Where the lot has a frontage of
13m or greater there should be;
- At least two advanced trees $1651</t>
  </si>
  <si>
    <t>816058T/S51</t>
  </si>
  <si>
    <t>825293G</t>
  </si>
  <si>
    <t>Please refer to BEP for LL lots and setbacks</t>
  </si>
  <si>
    <t>Provide approx. 1800mm high Miniscreen Monument Colourbond fencing with stained timber fencing including capping and 125x125 stained cypress post. This excludes rear and feature fencing. Developer to provide as per Design Guidelines. $335/m</t>
  </si>
  <si>
    <t>806375M/S8</t>
  </si>
  <si>
    <t>Grand Central Estate16</t>
  </si>
  <si>
    <t>906526K</t>
  </si>
  <si>
    <t>Officer 3810</t>
  </si>
  <si>
    <t>422 096 981</t>
  </si>
  <si>
    <t>Double storey entire $3301</t>
  </si>
  <si>
    <t>901971P</t>
  </si>
  <si>
    <t>805404N</t>
  </si>
  <si>
    <t>805408E</t>
  </si>
  <si>
    <t>845608U</t>
  </si>
  <si>
    <t>Lots 33601-33606, 33622-33627 - Allowance to provide acoustic rated walls throughout</t>
  </si>
  <si>
    <t>The Roads</t>
  </si>
  <si>
    <t>Mt Clear 3350</t>
  </si>
  <si>
    <t>841955T</t>
  </si>
  <si>
    <t>Lots 1-5 must have a rear setback of min 5m</t>
  </si>
  <si>
    <t>buildings must not occupy more than 50% of a
lot, except if specified in the notations to the Building Envelope. In
calculating the site coverage, roofs over areas such as terraces, patios,
and decks must be included.</t>
  </si>
  <si>
    <t>&lt; Fill R1 with l/m</t>
  </si>
  <si>
    <t>Provide Category 3 Flat profile roof tiles in lieu of category 1 Shaped roof tiles.</t>
  </si>
  <si>
    <t>Provide the Ensuite to Bed 2 Option to the Heath 21, as per sketch.</t>
  </si>
  <si>
    <t>841626P</t>
  </si>
  <si>
    <t>908293V</t>
  </si>
  <si>
    <t>lots 401, 402 and 457 to 462 require to be double</t>
  </si>
  <si>
    <t>825318S</t>
  </si>
  <si>
    <t>Provide the Double Garage Option to the Cabot 13, as per sketch. 
*Note, minimum lot width to be 10.5m wide.</t>
  </si>
  <si>
    <t>Rowville 3179</t>
  </si>
  <si>
    <t>Provide approx. 1950mm high Return Fence &amp; Gate in Hardwood Timber Uprights at 150mm centres including 150x150mm timber post with clear stained= $2521</t>
  </si>
  <si>
    <t>902275F</t>
  </si>
  <si>
    <t>Drake 19 GE</t>
  </si>
  <si>
    <t>4 Bed, 3 Bath, Double Car Garage, 1 Living Area, Study</t>
  </si>
  <si>
    <t>Heath 21 GE</t>
  </si>
  <si>
    <t>Note Only</t>
  </si>
  <si>
    <t>916559M</t>
  </si>
  <si>
    <t>Provide 1No. Posh Domaine Single Rail Shower in Chrome, in lieu of standard. (1No. Total)</t>
  </si>
  <si>
    <t>Provide 1No. Posh Domaine Single Rail Shower in Matte Black, in lieu of standard. (1No. Total)</t>
  </si>
  <si>
    <t>Provide 1No. Posh Bristol Single Rail Shower in chrome to the ############## in lieu of standard arm &amp; rose. (1No. Total)</t>
  </si>
  <si>
    <t>Provide 1No. Posh Solus Freestanding 1500mm Bath to Bathroom in lieu of standard Bath in Hob including:
- Remove Hob and standard inset Bath
- Category 1 Wall and Floor Tiles
- 1No. Posh Solus MK3 Wall Bath Mixer Set Chrome
- 1No. Posh Solus Freestanding 1500mm Bath</t>
  </si>
  <si>
    <t>Provide 1No. Posh Solus Freestanding 1780mm Bath to Bathroom in lieu of standard Bath in Hob including:
- Remove Hob and standard inset Bath
- Category 1 Wall and Floor Tiles
- 1No. Posh Solus MK3 Wall Bath Mixer Set Chrome
- 1No. Posh Solus Freestanding 1780mm Bath</t>
  </si>
  <si>
    <t>Provide 1No. Posh Domaine Twin Rail Shower in Chrome, in lieu of standard. (1No. Total)</t>
  </si>
  <si>
    <t>Provide 1No. Posh Domaine Twin Rail Shower in Matte Black, in lieu of standard Shower. (1No. Total)</t>
  </si>
  <si>
    <t>Provide 1No. Posh Domaine Rimless Close Coupled Back to Wall Toilet Suite  to the ########## in lieu of standard. (1No. Total)</t>
  </si>
  <si>
    <t>Provide 1No. Posh Domaine Close Coupled Rimless Toilet Suite to the ########## in lieu of standard. (1No. Total)</t>
  </si>
  <si>
    <t>Provide 1No. Posh Solus Undermount Basin to the ########## in lieu of standard Basin. (1No. total)</t>
  </si>
  <si>
    <t>Provide 1No. Posh Solus MK2 Double Towel Rail in Chrome to the ######### in lieu of Single Towel Rail. (#No. Total)</t>
  </si>
  <si>
    <t>Provide 1No. Posh Solus MK2 Guest Towel Ring Chrome to the ########. (#No. Total)</t>
  </si>
  <si>
    <t>Provide above counter top basin in lieu of standard including:
- 1No. ADP Louie Above Counter Basin (no taphole)
-  Posh Solus MK3 Extended Basin Mixer Tap Chrome</t>
  </si>
  <si>
    <t>Provide 1No. Posh Domaine Semi Inset Basin to the ######### in lieu of standard. (#No. Total)</t>
  </si>
  <si>
    <t>Provide 1No. Posh Solus MK3 Wall Bath Mixer Set in Chrome to the Bathroom Bath in lieu of standard. (1No. Total)</t>
  </si>
  <si>
    <t>Provide 1No. Posh Solus MK3 Basin Mixer Tap in Chrome to the ######### in lieu of standard. (#No. Total)</t>
  </si>
  <si>
    <t>Provide 1No. Posh Solus MK3 Wall Bath Mixer Set in Matte Black to the Bathroom Bath in lieu of standard. (1No. Total)</t>
  </si>
  <si>
    <t>Provide 1No. Clark Square Wall Hung Basin with Standard Basin Mixer to the WC.</t>
  </si>
  <si>
    <t>Provide 1No. Posh Solus MK3 Shower/Wall Mixer in Matte Black to the ########## in lieu of standard. (#No. Total)</t>
  </si>
  <si>
    <t>Provide 1No. Posh Solus MK3 Shower/Wall Mixer in Chrome to the ########## in lieu of standard. (#No. Total)</t>
  </si>
  <si>
    <t>Provide 1No. Posh Solus MK3 Basin Mixer Tap in Matte Black to the ######### in lieu of standard. (#No. Total)</t>
  </si>
  <si>
    <t>Provide Matte Black finishes to all standard Chrome Fittings/Fixtures. This includes and is not limited to EVERYTHING in the Bathroom/Ensuite, Internal &amp; External Door Handles/Hinges/Latches/Strikers/Stops, Plug &amp; Waste, Shower Screens, Tile Trims, Sink Mixers &amp; Cabinet Handles. 
- Posh Solus MK3 Basin Mixer Tap in Matte Black in lieu of standard
- Posh Solus MK3 Shower/Wall Mixer in Matte Black in lieu of standard
- Posh Solus MK3 Wall Bath Mixer Set in Matte Black in lieu of standard
- Posh Solus MK3 Gooseneck Sink Mixer in Matte Black to the Kitchen and Laundry in lieu of standard
- Posh Domaine Single Rail Shower in Matte Black in lieu of standard
- Posh Solus MK2 Toilet Roll Holder Matte Black in Matte Black
- Posh Solus MK2 Single Towel Rail 750mm Matte Black
- Lockwood Velocity passage/privacy set and dummy handles, in Matte Black, in lieu of standard
- Lockwood Symmetry series entrance set Element Lever – 7550 Matte Black in lieu of standard
- Window frames to be Black
- Sliding door frame to be Black</t>
  </si>
  <si>
    <t>902274H</t>
  </si>
  <si>
    <t>906487S</t>
  </si>
  <si>
    <t>3000L $5500</t>
  </si>
  <si>
    <t>833334Y</t>
  </si>
  <si>
    <t>844178Y</t>
  </si>
  <si>
    <t>419 514 277</t>
  </si>
  <si>
    <t>838524R</t>
  </si>
  <si>
    <t>Mattana</t>
  </si>
  <si>
    <t>905958J</t>
  </si>
  <si>
    <t>Avenue Five</t>
  </si>
  <si>
    <t>Cameron King</t>
  </si>
  <si>
    <t>0409 533 796</t>
  </si>
  <si>
    <t>Minimum  Dwelling Sizes:
- Less than 300m2 = 75m2
- 300-399m2 = 100m2
- 400-499 = 130m2
- 500m2+ = 160m2</t>
  </si>
  <si>
    <t>Mirage Park</t>
  </si>
  <si>
    <t>904619N</t>
  </si>
  <si>
    <t>Caitlin</t>
  </si>
  <si>
    <t>MPA</t>
  </si>
  <si>
    <t>Infiniti-8</t>
  </si>
  <si>
    <t>900048D</t>
  </si>
  <si>
    <t>908920U</t>
  </si>
  <si>
    <t>Lots Greater than 300m2 = $2640</t>
  </si>
  <si>
    <t>Refer to POS for lots which can not have a single storey built on them</t>
  </si>
  <si>
    <t>839566T</t>
  </si>
  <si>
    <t>426 869 940</t>
  </si>
  <si>
    <t>915125J</t>
  </si>
  <si>
    <t>432 583 240</t>
  </si>
  <si>
    <t>900617P</t>
  </si>
  <si>
    <t>Donnybrook 3065</t>
  </si>
  <si>
    <t>900893N</t>
  </si>
  <si>
    <t>438 487 701</t>
  </si>
  <si>
    <t>Less than 300m2 - minimum floor area 90m2
350 or more &amp; 450 or less - 120m2
more than 450m2 - 150m3</t>
  </si>
  <si>
    <t>813121F</t>
  </si>
  <si>
    <t>Craigieburn 3065</t>
  </si>
  <si>
    <t>424 758 118</t>
  </si>
  <si>
    <t>908942J</t>
  </si>
  <si>
    <t>900705S</t>
  </si>
  <si>
    <t xml:space="preserve">4m2 min. porch </t>
  </si>
  <si>
    <t>908941L</t>
  </si>
  <si>
    <t>Pakenham East  3811</t>
  </si>
  <si>
    <t>Entire if Double = $3301</t>
  </si>
  <si>
    <t>All verandahs, porches, and porticos on the front
façade must have a minimum depth of 1.0m and a
minimum area of 3m3</t>
  </si>
  <si>
    <t>918633R</t>
  </si>
  <si>
    <t>913477F</t>
  </si>
  <si>
    <t>831714Y</t>
  </si>
  <si>
    <t>837400R/S3</t>
  </si>
  <si>
    <t>Equity Strategy</t>
  </si>
  <si>
    <t>Pakenham 3811</t>
  </si>
  <si>
    <t>Provide approx. 1800mm high Timber Slat fencing arranged horizontally to wing fence and Gate in lieu of timber palings. 1101</t>
  </si>
  <si>
    <t>915528E</t>
  </si>
  <si>
    <t>827548N</t>
  </si>
  <si>
    <t>440 951 663</t>
  </si>
  <si>
    <t>Entire for Doubles $3301</t>
  </si>
  <si>
    <t>Allowance to finish off nature strip with a neat and even
grass coverage and that any damage caused to the nature strip during
construction of the home is rectified: $1401</t>
  </si>
  <si>
    <t>Allowance to finish off nature strip with a neat and even
grass coverage and that any damage caused to the nature strip during
construction of the home is rectified: $1402</t>
  </si>
  <si>
    <t>Allowance to finish off nature strip with a neat and even
grass coverage and that any damage caused to the nature strip during
construction of the home is rectified: $1403</t>
  </si>
  <si>
    <t>Allowance to finish off nature strip with a neat and even
grass coverage and that any damage caused to the nature strip during
construction of the home is rectified: $1404</t>
  </si>
  <si>
    <t>Allowance to finish off nature strip with a neat and even
grass coverage and that any damage caused to the nature strip during
construction of the home is rectified: $1405</t>
  </si>
  <si>
    <t>Allowance to finish off nature strip with a neat and even
grass coverage and that any damage caused to the nature strip during
construction of the home is rectified: $1406</t>
  </si>
  <si>
    <t>Allowance to finish off nature strip with a neat and even
grass coverage and that any damage caused to the nature strip during
construction of the home is rectified: $1407</t>
  </si>
  <si>
    <t>Allowance to finish off nature strip with a neat and even
grass coverage and that any damage caused to the nature strip during
construction of the home is rectified: $1408</t>
  </si>
  <si>
    <t>Allowance to finish off nature strip with a neat and even
grass coverage and that any damage caused to the nature strip during
construction of the home is rectified: $1409</t>
  </si>
  <si>
    <t>Allowance to finish off nature strip with a neat and even
grass coverage and that any damage caused to the nature strip during
construction of the home is rectified: $1410</t>
  </si>
  <si>
    <t>912249A</t>
  </si>
  <si>
    <t>908296P</t>
  </si>
  <si>
    <t>Lot 1614, 1615, 1618, 1621 and 1624 need to be single storey</t>
  </si>
  <si>
    <t>Thornhill Park 3336</t>
  </si>
  <si>
    <t>438 116 679</t>
  </si>
  <si>
    <t>Doubles entire $3301</t>
  </si>
  <si>
    <t>3000L $6501</t>
  </si>
  <si>
    <t>846543R</t>
  </si>
  <si>
    <t>900610E</t>
  </si>
  <si>
    <t>906031P</t>
  </si>
  <si>
    <t>Lots 2616-2626 and Lot 2651: Allowance for Acoustic rated walls. $15000 single, $20000 double.</t>
  </si>
  <si>
    <t>returning 4000mm $1651</t>
  </si>
  <si>
    <t>915532P</t>
  </si>
  <si>
    <t>8425537H/S23</t>
  </si>
  <si>
    <t>489 967 640</t>
  </si>
  <si>
    <t>Warragul 3821</t>
  </si>
  <si>
    <t>417 677 588</t>
  </si>
  <si>
    <t>844519Y</t>
  </si>
  <si>
    <t>Tommy's Run</t>
  </si>
  <si>
    <t>919006Q</t>
  </si>
  <si>
    <t>Andrew Bratina</t>
  </si>
  <si>
    <t>abratina@coreprojects.com.au</t>
  </si>
  <si>
    <t>For lots less than 300m2, siting must be in accordance with SLHC</t>
  </si>
  <si>
    <t>Minimum Dwelling size
Lot size Below 350m2 - 100m2
350m2-450m2 - 110m2
Greater than 450m2 - 140m2</t>
  </si>
  <si>
    <t>All homes must have a verandah, portico,
or porch and these must be incorporated
with the dwelling entrance and must be
consistent with the overall house design.</t>
  </si>
  <si>
    <t>$1430 2m return</t>
  </si>
  <si>
    <t>A minimum of 2 different materials (excluding
windows and garage doors) should be used
on the front façade. The secondary material
should constitute a minimum of 20% of the
overall façade area.</t>
  </si>
  <si>
    <t>910791Q</t>
  </si>
  <si>
    <t>489 600 771</t>
  </si>
  <si>
    <t>746186P</t>
  </si>
  <si>
    <t>906799W</t>
  </si>
  <si>
    <t>Craigieburn 3066</t>
  </si>
  <si>
    <t>425 758 118</t>
  </si>
  <si>
    <t>908943G</t>
  </si>
  <si>
    <t>900396D</t>
  </si>
  <si>
    <t>1801 650 371</t>
  </si>
  <si>
    <t>906028C</t>
  </si>
  <si>
    <t>Lochnaben B</t>
  </si>
  <si>
    <t>913036G</t>
  </si>
  <si>
    <t>Provide 1No. Posh Solus MK3 Double Bowl Undermount Sink in Stainless Steel to the ######### in lieu of standard double bowl sink.</t>
  </si>
  <si>
    <t>413 938 359</t>
  </si>
  <si>
    <t>918636K</t>
  </si>
  <si>
    <t>819180F</t>
  </si>
  <si>
    <t xml:space="preserve">Provide 1No. Additional Double GPO to all bedrooms. </t>
  </si>
  <si>
    <t>Worthington Estate</t>
  </si>
  <si>
    <t>Pakenham</t>
  </si>
  <si>
    <t>825887A</t>
  </si>
  <si>
    <t>Magdy Mikhael</t>
  </si>
  <si>
    <t>0402 281 724</t>
  </si>
  <si>
    <t>magdy@worthingtonestate.com.au</t>
  </si>
  <si>
    <t>Lots less than 420m2 – The total
enclosed living area shall be greater
than 120m2
(b) Lots 420m2 to 590m2 – The total
enclosed living area shall be greater
than 140m2
(c) Lots 590m2 and above - The total
enclosed living area shall be greater
than 160m2
(d) Areas not included – floor areas of
garages, carports, areas under soffits,
entry porches and breezeways are not
included in the calculation of minimum
floor area unless specifically approved
by the Vendor.</t>
  </si>
  <si>
    <t>lots with frontages 12m or less can have single or double garage. Anything above requires double garage.</t>
  </si>
  <si>
    <t xml:space="preserve">Wedge Road. Skye </t>
  </si>
  <si>
    <t>Skye 3977</t>
  </si>
  <si>
    <t>909596V</t>
  </si>
  <si>
    <t>YourLand Developments</t>
  </si>
  <si>
    <t>melbourne@yourland.com</t>
  </si>
  <si>
    <t>9123 1130</t>
  </si>
  <si>
    <t>Prominent Lots (Lots 101–110 &amp; 112–127) Requirements:
- Dwellings must be two storeys in height.
- Dwellings must have large windows facing the Green Wedge area.
- For dwellings located on corner lots, the wall facing the secondary street frontage must include a window of at least 1.5m2 to each level.
- A minimum ceiling height of 2.7m is required for the ground floor.
- Pitched roofs must include a 450mm eave to the entire first floor.</t>
  </si>
  <si>
    <t>• The dwelling façade (front building line) must be setback a minimum of 4m from the front boundary.
• Garages must be setback a minimum of 5.4m from the street and at least 500mm behind the dwelling front façade.
• Side setbacks must be a minimum of 1m from at least one side boundary and 2m from a secondary street boundary.</t>
  </si>
  <si>
    <t>All dwellings are required to have at least one front entry porch, portico, balcony or verandah of at least 3m2 in area with a minimum depth of 1.5m.</t>
  </si>
  <si>
    <t>Garages must be incorporated into the main roofline of the dwelling to reduce the visual impact the garage has on the façade. Garage openings for single storey dwellings should not exceed 50% of the dwelling width. Garage openings must not exceed 6m wide.</t>
  </si>
  <si>
    <t>912536W</t>
  </si>
  <si>
    <t>816058T/S27</t>
  </si>
  <si>
    <t>Plumpton 3336</t>
  </si>
  <si>
    <t>404 667 420</t>
  </si>
  <si>
    <t>905653H</t>
  </si>
  <si>
    <t>916579F</t>
  </si>
  <si>
    <t>839696E</t>
  </si>
  <si>
    <t>803093P</t>
  </si>
  <si>
    <t>824069S</t>
  </si>
  <si>
    <t>836024Y</t>
  </si>
  <si>
    <t>Provide 1No.Bonaire Optima ODT-14ID, ODT-14OT 14.0kW single phase reverse cycle ducted system to 8 outlets, 3 to ground floor, 5 to first floor, to accommodate for Spencer 24 Floor plan
2 x zone motors to service the following
Zone 1 = Ground Floor                                                        4.1kW cooling*
Zone 2 = First Floor                                                            6.2kW cooling*
1 x filtered return air grill
1 x thermostat with zone control</t>
  </si>
  <si>
    <t>835654T</t>
  </si>
  <si>
    <t>917434D</t>
  </si>
  <si>
    <t>917454W</t>
  </si>
  <si>
    <t>908993Q</t>
  </si>
  <si>
    <t>500 383 713</t>
  </si>
  <si>
    <t>Doubles = Entire home $3301</t>
  </si>
  <si>
    <t>For lots with areas larger than or equal to 300 m2 and
smaller than 400m2, the floor area must be at least
135m2
• For lots with areas larger than or equal to 400m2 and
smaller than 500m2, the floor area must be at least
149m2 
• For lots equal to or larger than 500m2, the floor area
must be at least 175m3</t>
  </si>
  <si>
    <t>900090E</t>
  </si>
  <si>
    <t>905692W</t>
  </si>
  <si>
    <t>Birchmore</t>
  </si>
  <si>
    <t>info@birchmoregroup.com.au</t>
  </si>
  <si>
    <t>Waurn Ponds 3216</t>
  </si>
  <si>
    <t>901734E</t>
  </si>
  <si>
    <t>901718C</t>
  </si>
  <si>
    <t>On lots of 400 – 450m2, minimum home floor area of 120m2
(excluding garages and verandah’s).
On lots greater than 450m2, minimum home floor area of 160m2
(excluding garages and verandah’s).</t>
  </si>
  <si>
    <t xml:space="preserve"> All houses are to be setback a minimum of 4.5m and maximum of
6.5m from the front boundary
All houses facing Hams Rd to be setback a minimum of 5m and a
maximum of 7m from the front boundary.</t>
  </si>
  <si>
    <t>905214L</t>
  </si>
  <si>
    <t>915520W</t>
  </si>
  <si>
    <t>915529C</t>
  </si>
  <si>
    <t xml:space="preserve">Oaklands Estate </t>
  </si>
  <si>
    <t>Bonnie Brook 3335</t>
  </si>
  <si>
    <t>918446Q</t>
  </si>
  <si>
    <t>1300 582 020</t>
  </si>
  <si>
    <t>oaklandsestate.com.au</t>
  </si>
  <si>
    <t xml:space="preserve"> Lots 108, 109, 127, 128, 140 to 144, 151 to 157 and 163 to 167 (all inclusive)
- Required a Double Storey House.</t>
  </si>
  <si>
    <t>All dwellings over 300m2 must include a rainwater tank of minimum capacity 2000ltrs and plumbed for toilets and irrigation purposes</t>
  </si>
  <si>
    <t>Preferably the garage should be set behind the house structure min 500mm.</t>
  </si>
  <si>
    <t>The garage entrance width should not exceed 4.8m on lots that are less than 12.5m mwide. Single garages are encouraged</t>
  </si>
  <si>
    <t>Lots less than or equal to 300m² must
have a minimum floor area of 100m²
• Lots of 301 - 400m²
must have a minimum floor area of 120m²
• Lots of 401 - 550m²
must have a minimum floor area of 150m²
• Lots of 551 - 800m²
must have a minimum floor area of 180m131</t>
  </si>
  <si>
    <t>908979J</t>
  </si>
  <si>
    <t>0420 288 233</t>
  </si>
  <si>
    <t>Weca Realty</t>
  </si>
  <si>
    <t>SPGR Mel</t>
  </si>
  <si>
    <t>Eassy Consult8</t>
  </si>
  <si>
    <t>Easegroup</t>
  </si>
  <si>
    <t>AusPac</t>
  </si>
  <si>
    <t>Global Realty</t>
  </si>
  <si>
    <t>Rayaus Property</t>
  </si>
  <si>
    <t>JR Group Aus</t>
  </si>
  <si>
    <t>Roy Watman</t>
  </si>
  <si>
    <t>Saffron Estate</t>
  </si>
  <si>
    <t>816057V</t>
  </si>
  <si>
    <t>Zoe Malinowski</t>
  </si>
  <si>
    <t>0488 972 777</t>
  </si>
  <si>
    <t>zoe@kaikura.com.au</t>
  </si>
  <si>
    <t>420 835 548</t>
  </si>
  <si>
    <t>905623S</t>
  </si>
  <si>
    <t>Gisborne 3437</t>
  </si>
  <si>
    <t>902473B</t>
  </si>
  <si>
    <t>$6 m3</t>
  </si>
  <si>
    <t>902261S</t>
  </si>
  <si>
    <t>Riverbank Gardens Estate</t>
  </si>
  <si>
    <t xml:space="preserve">NO Dgs required for this estate
</t>
  </si>
  <si>
    <t>Goronis</t>
  </si>
  <si>
    <t>Raul Guzman</t>
  </si>
  <si>
    <t>0401 188 069</t>
  </si>
  <si>
    <t>905649X</t>
  </si>
  <si>
    <t>Returns 4 metres $1801</t>
  </si>
  <si>
    <t>737966U</t>
  </si>
  <si>
    <t>0435 447 880</t>
  </si>
  <si>
    <t xml:space="preserve">Needed for Corner lots </t>
  </si>
  <si>
    <t>8425537H/S25</t>
  </si>
  <si>
    <t>0409 888 408</t>
  </si>
  <si>
    <t>907685H</t>
  </si>
  <si>
    <t>Doubles Entire - 3301</t>
  </si>
  <si>
    <t>913226H</t>
  </si>
  <si>
    <t>Maax Global</t>
  </si>
  <si>
    <t>Wollert 3751</t>
  </si>
  <si>
    <t>lot with side boundaries to public open space reserves must be double storey. If dwelling fronts the public space, balcony must be provided with at least 5m3</t>
  </si>
  <si>
    <t>844123B</t>
  </si>
  <si>
    <t>920962H</t>
  </si>
  <si>
    <t>909284R</t>
  </si>
  <si>
    <t>914108J</t>
  </si>
  <si>
    <t>460 955 509</t>
  </si>
  <si>
    <t>906038Y</t>
  </si>
  <si>
    <t>902483X</t>
  </si>
  <si>
    <t>909252F</t>
  </si>
  <si>
    <t>912256D</t>
  </si>
  <si>
    <t>649490K</t>
  </si>
  <si>
    <t>Provide 1No. 3000 litre Slim Line Poly Water Tank including plumbing and connections for up to 3No. Toilets. (only for lots over 400m2) $6500</t>
  </si>
  <si>
    <t>916595H</t>
  </si>
  <si>
    <t>Hermitage Homes - Upgrades</t>
  </si>
  <si>
    <t>Kingsbridge Complete - Upgrades</t>
  </si>
  <si>
    <t>Lachy's Notes</t>
  </si>
  <si>
    <t>Somi Nasab</t>
  </si>
  <si>
    <t>Dimple Mayani</t>
  </si>
  <si>
    <t>Daniel Kuo</t>
  </si>
  <si>
    <t>Andrew Guanzon</t>
  </si>
  <si>
    <t>849531H</t>
  </si>
  <si>
    <t>0429 715 132</t>
  </si>
  <si>
    <t>908201E</t>
  </si>
  <si>
    <t>903577H</t>
  </si>
  <si>
    <t>845622B</t>
  </si>
  <si>
    <t>902278Y</t>
  </si>
  <si>
    <t>Portarlington 3224</t>
  </si>
  <si>
    <t>410 554 949</t>
  </si>
  <si>
    <t>Required for Double storey: $1651</t>
  </si>
  <si>
    <t>906356J</t>
  </si>
  <si>
    <t>Portarlington 3225</t>
  </si>
  <si>
    <t>411 554 949</t>
  </si>
  <si>
    <t>Required for Double storey: $1652</t>
  </si>
  <si>
    <t>907819N</t>
  </si>
  <si>
    <t>Access 18 IL</t>
  </si>
  <si>
    <t>3 Bed, 3 Bath, Single Car Garage, 1 Living, ODL</t>
  </si>
  <si>
    <t>Access 22 IL</t>
  </si>
  <si>
    <t>3 Bed, 3 Bath, Single Car Garage, 1 Living, Study, ODL</t>
  </si>
  <si>
    <t>Access 24 IL</t>
  </si>
  <si>
    <t>Access 30 IL</t>
  </si>
  <si>
    <t>4 Bed, 4 Bath, Double Car Garage, 2 Living, Study, ODL</t>
  </si>
  <si>
    <t>28 Huxtable Avenue</t>
  </si>
  <si>
    <t>816058T/S19</t>
  </si>
  <si>
    <t>816058T/S92</t>
  </si>
  <si>
    <t>Altona North 3025</t>
  </si>
  <si>
    <t>821033G/S91</t>
  </si>
  <si>
    <t>842299W</t>
  </si>
  <si>
    <t>849336V</t>
  </si>
  <si>
    <t>805033X</t>
  </si>
  <si>
    <t>906036D</t>
  </si>
  <si>
    <t>Homelea</t>
  </si>
  <si>
    <t>844151V</t>
  </si>
  <si>
    <t>Garages must be setback a minimum of 5 metres and be at least 0.5m
behind the front building line.</t>
  </si>
  <si>
    <t>The minimum rear setback is 5 metres for single storey and 7.5
metres for walls greater than 3.6 metres in height</t>
  </si>
  <si>
    <t>For Corner Lots - Eaves of at least 0.45 metres are required for the full length of
the façade addressing the secondary street frontage or public
space. $80 per lm</t>
  </si>
  <si>
    <t>Lot frontage 12.5 metres or more must have a double garage, and
Lot frontage 10 metres or less must have a single garage.</t>
  </si>
  <si>
    <t xml:space="preserve">In the case of lots with a side boundary abutting a public road build, erect or allow to be built, erected or remain on the lot or any part of it any
dwelling unless the first level of the said dwelling is set back from the ground level of the said dwelling at least an additional 900mm from the
relevant side boundary which abuts a public road.
</t>
  </si>
  <si>
    <t>842264S</t>
  </si>
  <si>
    <t>Drouin Fields</t>
  </si>
  <si>
    <t>Allison Coleman</t>
  </si>
  <si>
    <t>0466 990 241</t>
  </si>
  <si>
    <t>sales@drouinfields.com.au</t>
  </si>
  <si>
    <t>847861V</t>
  </si>
  <si>
    <t>For lots more than or equal to 300m2 &amp; less than 450m2: 120m2 minimum floor area
For lots more than or equal to 450m2 : 150m2 minimum floor area</t>
  </si>
  <si>
    <t>Skyline Vista</t>
  </si>
  <si>
    <t>Bunyip 3815</t>
  </si>
  <si>
    <t>849747H/S2</t>
  </si>
  <si>
    <t>The Ave Property Co.</t>
  </si>
  <si>
    <t>NO DGS</t>
  </si>
  <si>
    <t>821033G/S19</t>
  </si>
  <si>
    <t>4 8787 8498</t>
  </si>
  <si>
    <t>Porch must be at least 4m3</t>
  </si>
  <si>
    <t>902221F</t>
  </si>
  <si>
    <t>848525H</t>
  </si>
  <si>
    <t>904411P</t>
  </si>
  <si>
    <t>420 191 407</t>
  </si>
  <si>
    <t>Greater than 450m2
350m2 – 450m2
Below 350m2
M I N I M U M D W E L L I N G S I Z E
140m2
110m2
100m3</t>
  </si>
  <si>
    <t>1301 732 353</t>
  </si>
  <si>
    <t>Provide 1No. 2000 litre Slim Line Poly Water Tank including plumbing and connections for up to 3No. Toilets. $4950 - for lots over 300m3</t>
  </si>
  <si>
    <t>902774L</t>
  </si>
  <si>
    <t>Clyde North 3980</t>
  </si>
  <si>
    <t>returning 4000mm $1652</t>
  </si>
  <si>
    <t>Provide Garden Tap and Weatherproof GPO to side of dwelling adjacent to side gate/fence to service Front Garden - $311</t>
  </si>
  <si>
    <t>Credit to Remove Front Landscaping, to be Completed by Developer after Handover -$811</t>
  </si>
  <si>
    <t>915533M</t>
  </si>
  <si>
    <t>Provide Fire Sprinklers to the home as designed by Fire Consultancy including:
External Water tank serviced by mains cold water point.
Thermal detectors
Smoke alarms
Indicator strobe with sounder
Connection to pump
Number of ceiling mounted fire sprinklers (location and quantity design dependant)
Certificates and compliance included.</t>
  </si>
  <si>
    <t>Provide 1No. Bonaire Optima ODT-16ID, ODT-16OT 15.5kW single phase reverse cycle ducted system to 10 outlets, 4 to ground floor, 6 to first floor, to accommodate for Cambridge 28 Floor plan
2 x zone motors to service the following
Zone 1 = Ground Floor                                                        4.1kW cooling*
Zone 2 = First Floor                                                            6.2kW cooling*
1 x filtered return air grill
1 x thermostat with zone control</t>
  </si>
  <si>
    <t>Provide 1No. Bonaire Optima ODT-16ID, ODT-16OT 15.5kW single phase reverse cycle ducted system to 11 outlets, 5 to ground floor, 6 to first floor, to accommodate for Cambridge 31 Floor plan
2 x zone motors to service the following
Zone 1 = Ground Floor                                                        4.1kW cooling*
Zone 2 = First Floor                                                            6.2kW cooling*
1 x filtered return air grill
1 x thermostat with zone control</t>
  </si>
  <si>
    <t>Access 18 HPS</t>
  </si>
  <si>
    <t>Access 22 HPS</t>
  </si>
  <si>
    <t>Access 24 HPS</t>
  </si>
  <si>
    <t>Access 30 HPS</t>
  </si>
  <si>
    <t>844141Y</t>
  </si>
  <si>
    <t>909555L</t>
  </si>
  <si>
    <t>20-11</t>
  </si>
  <si>
    <t>KBC</t>
  </si>
  <si>
    <t>826698X</t>
  </si>
  <si>
    <t>Fixed Price Site Costs including rock excavation &amp; removal if required.</t>
  </si>
  <si>
    <t>Mickleham 3065</t>
  </si>
  <si>
    <t>404 400 414</t>
  </si>
  <si>
    <t>Lots Greater than 300m2 = $2641</t>
  </si>
  <si>
    <t>913260H</t>
  </si>
  <si>
    <t>902262Q</t>
  </si>
  <si>
    <t>901205J</t>
  </si>
  <si>
    <t>Deanside 3337</t>
  </si>
  <si>
    <t>489 615 762</t>
  </si>
  <si>
    <t>Provide approx. 1800mm high Merbau fencing arranged horizontally to wing fence and Gate in lieu of timber palings. $1101</t>
  </si>
  <si>
    <t>833335W</t>
  </si>
  <si>
    <t>Eynesbury 3339</t>
  </si>
  <si>
    <t>543210K/S153</t>
  </si>
  <si>
    <t>414 491 303</t>
  </si>
  <si>
    <t>Façade Allowance $3001</t>
  </si>
  <si>
    <t>Provide 600mm wide eaves to the front Façade, returning 1500mm down both sides of house (excluding walls on boundary).#####PREMIUM LOT##### $2001</t>
  </si>
  <si>
    <t>Provide front fencing as per Design Guidelines.$3001</t>
  </si>
  <si>
    <t>***PREMIUM LOTS***Provide a 27 degree roof pitch in lieu of 22.5 degrees. $10/m3</t>
  </si>
  <si>
    <t>**PREMIUM LOTS** 8001</t>
  </si>
  <si>
    <t>Provide allowance for Native Landscaping.$5501</t>
  </si>
  <si>
    <t>543210K/S181</t>
  </si>
  <si>
    <t>Marriot Waters</t>
  </si>
  <si>
    <t>604024U/S34</t>
  </si>
  <si>
    <t>Walls and associated parts of a
building to an "S" or "T" profile
boundary are permitted to be on
the boundary or 1.0 metre from
the boundary. On the boundary
means 0 -200 mm from the title
boundary</t>
  </si>
  <si>
    <t>Front: The following may
encroach into the specified front
street setback distances by no
more than 1500mm:
• Porches, verandahs and
balconies to a minimum height
of 4.5 metres.
• Decks and uncovered landings
of not more than 2 square
metres and less than 0.8
metres high from natural
ground
• Eaves and architectural
features.</t>
  </si>
  <si>
    <t>Octa Group PTY LTD</t>
  </si>
  <si>
    <t>Positive Income</t>
  </si>
  <si>
    <t>Truganina 3031</t>
  </si>
  <si>
    <t>1302 303 420</t>
  </si>
  <si>
    <t>915741E</t>
  </si>
  <si>
    <t>905192T/S5</t>
  </si>
  <si>
    <t>491 405 581</t>
  </si>
  <si>
    <t>For Lots greater than 350m2 - $4951</t>
  </si>
  <si>
    <t>All homes must have double glazed - single $8,000, double $13,001</t>
  </si>
  <si>
    <t>Woodstock 3752</t>
  </si>
  <si>
    <t>1301 775 380</t>
  </si>
  <si>
    <t>846570N</t>
  </si>
  <si>
    <t>One</t>
  </si>
  <si>
    <t>840058G</t>
  </si>
  <si>
    <t>840061T</t>
  </si>
  <si>
    <t>The following setbacks are required:
• The dwelling (front building line) must
be setback a minimum of 4m from the
front boundary.
• Garages must be setback a minimum
of 5m from the front boundary.
• Side setbacks must be a minimum of
1m from at least one side boundary
and 2m from a secondary street
boundary.
• Dwellings on corner lots must be
setback a minimum of 2 metres from
the secondary street frontage.
• Rear setbacks must be a minimum of
2m.
• Entry features such as verandahs,
porches, porticos and balconies may
encroach 1.5 m into the front setback
as long as the encroachment is less
than 3.6 m above natural ground level.
• Eaves, gutters, fascias may encroach
up to 0.6m into a setback.</t>
  </si>
  <si>
    <t>Lots at least 12.5m wide and 14m wide or
less
The maximum width allowable for the
garage door opening is 5.5m.
Lots more than 14m wide
For single storey dwellings, the garage
door opening must not exceed 40% of
the width of the lot.
For two storey dwellings, garage door
openings that exceed 40% of the lot
width are discouraged. Notwithstanding,
they will only be permitted where
balconies or windows are provided above
the garage.</t>
  </si>
  <si>
    <t>Required on lots &gt;300m2 $4950</t>
  </si>
  <si>
    <t>Required if lots are greater than 300m2. Otherwise optional
Provide 1No. 2000 litre Slim Line Poly Water Tank including plumbing and connections for up to 3No. Toilets. $4951</t>
  </si>
  <si>
    <t>919146X</t>
  </si>
  <si>
    <t>832966P</t>
  </si>
  <si>
    <t>841719G/S1</t>
  </si>
  <si>
    <t>W</t>
  </si>
  <si>
    <t>B</t>
  </si>
  <si>
    <t>Dover 13</t>
  </si>
  <si>
    <t>Bristol 14</t>
  </si>
  <si>
    <t>Salisbury 18</t>
  </si>
  <si>
    <t>Haven 19</t>
  </si>
  <si>
    <t>Kenton 17</t>
  </si>
  <si>
    <t>Ashwood 18</t>
  </si>
  <si>
    <t>Camberwell 20</t>
  </si>
  <si>
    <t>Newcastle 15</t>
  </si>
  <si>
    <t>Newcastle 16</t>
  </si>
  <si>
    <t xml:space="preserve">Camden 17 </t>
  </si>
  <si>
    <t>Lancaster 16</t>
  </si>
  <si>
    <t>Esperance</t>
  </si>
  <si>
    <t>Airlie</t>
  </si>
  <si>
    <t>Stanley</t>
  </si>
  <si>
    <t>3 Bed, 2 Bath, Single Car Garage, 1 Living Area, 1 Study</t>
  </si>
  <si>
    <t>Orient-ation</t>
  </si>
  <si>
    <t>Best / Worst</t>
  </si>
  <si>
    <t>Garage side?</t>
  </si>
  <si>
    <t>Garage Side</t>
  </si>
  <si>
    <t>Left</t>
  </si>
  <si>
    <t>Right</t>
  </si>
  <si>
    <t>Orientation</t>
  </si>
  <si>
    <t>Updated Star Rating</t>
  </si>
  <si>
    <t>Cost</t>
  </si>
  <si>
    <t>Insulation to walls and ceilings</t>
  </si>
  <si>
    <t>7 Star Energy Rating</t>
  </si>
  <si>
    <t>N</t>
  </si>
  <si>
    <t>NE</t>
  </si>
  <si>
    <t>SE</t>
  </si>
  <si>
    <t>S</t>
  </si>
  <si>
    <t>SW</t>
  </si>
  <si>
    <t>NW</t>
  </si>
  <si>
    <t>E</t>
  </si>
  <si>
    <t>Provide 1No. Domain 900mm 9 Function Fan Forced Electric Oven – DEO-R90A in lieu of standard and provide 1No. Domain Dual Bridge Induction Cooktop with Triple Flexi-Zone Burners and Touch Controls – 900mm – IND90-EC. =$1560</t>
  </si>
  <si>
    <t>U-Homes</t>
  </si>
  <si>
    <t xml:space="preserve">Third Gardens </t>
  </si>
  <si>
    <t>906408R</t>
  </si>
  <si>
    <t>temp pricing</t>
  </si>
  <si>
    <t>Entry door 2040mm x 870mm with clear glazing.</t>
  </si>
  <si>
    <t>2590mm ceiling height to ground floor</t>
  </si>
  <si>
    <t>2720mm ceiling height to ground floor</t>
  </si>
  <si>
    <t xml:space="preserve">Redstone The Sanctuary </t>
  </si>
  <si>
    <t>a rear wall of a building not exceeding 3.6 metres in height must be set back from
the rear boundary a minimum of 3 metres, and a rear wall of a building exceeding 3.6 metres
in height must be set back from the rear boundary a minimum of 5.5 metres</t>
  </si>
  <si>
    <t>Unless otherwise noted only one side boundary may be built to the boundary,
the other side must have a minimum of one (1) metre off the boundary</t>
  </si>
  <si>
    <t>• 75 square metres in the case of a lot having an area of less than 300 square metres; or
• 100 square metres in the case of a lot having an area of 300 square metres or greater,
but less than 400 square metres; or
• 130 square metres in the case of a lot having an area of 400 square metres or greater,
but less than 500 square metres; or
• 160 square metres in the case of a lot having an area of 500 square metres or greater</t>
  </si>
  <si>
    <t>Provide York 17kW single phase reverse cycle ducted heating/cooling unit in lieu of standard heating unit including:
- York inverter unit in lieu of standard Bonaire MB3 30i
- Provide 6No. outlets (dependant on house type)
- Provide 1No. Filtered Return Air Grille</t>
  </si>
  <si>
    <t>831990X</t>
  </si>
  <si>
    <t>Di Natale Real Estate</t>
  </si>
  <si>
    <t>NO DGS ON THIS ESTATE</t>
  </si>
  <si>
    <t>Clyde 3981</t>
  </si>
  <si>
    <t>403 519 055</t>
  </si>
  <si>
    <t>Cranbourne East 3978</t>
  </si>
  <si>
    <t>900099K</t>
  </si>
  <si>
    <t xml:space="preserve">Homestead Road (Saltwater Prom) </t>
  </si>
  <si>
    <t>Tania Mackenzie</t>
  </si>
  <si>
    <t>Brick Infills above windows to balance of home &amp; garage</t>
  </si>
  <si>
    <t>Entrance Set (to all external hinged doors) Choice of black or chrome.</t>
  </si>
  <si>
    <t>Concrete Roof Tiles From Builder's Range Category 1</t>
  </si>
  <si>
    <t>Lever door handles to passage doors. Choice of black or chrome.</t>
  </si>
  <si>
    <t>Privacy locks to be installed on all Bathrooms, Ensuites, WC's, Master bedroom and Powder Rooms</t>
  </si>
  <si>
    <t>8-7</t>
  </si>
  <si>
    <t>Roller blinds to front windows, roller blinds to remaining clear glass windows &amp; sliding doors</t>
  </si>
  <si>
    <t>Double glazing to all external windows and glass sliding doors</t>
  </si>
  <si>
    <t xml:space="preserve">Electric heat pump hot water service </t>
  </si>
  <si>
    <t xml:space="preserve">900mm Inalto Stainless Steel Canopy Rangehood </t>
  </si>
  <si>
    <t>Sink mixer tap. Choice of black or chrome</t>
  </si>
  <si>
    <t xml:space="preserve">900mm Inalto 9 Function Freestanding Cooker </t>
  </si>
  <si>
    <t xml:space="preserve">600mm Inalto Stainless Steel Dishwasher </t>
  </si>
  <si>
    <t>13-11</t>
  </si>
  <si>
    <t>13-12</t>
  </si>
  <si>
    <t>13-13</t>
  </si>
  <si>
    <t>Mixer tap  &amp; shower outlet choice of black or chrome</t>
  </si>
  <si>
    <t>Double towel rail and toilet roll holder choice of black or chrome</t>
  </si>
  <si>
    <t>Shower waste from category 1. Choice of black or chrome</t>
  </si>
  <si>
    <t>Tile trim. Choice of black or chrome</t>
  </si>
  <si>
    <t>14-11</t>
  </si>
  <si>
    <t>14-12</t>
  </si>
  <si>
    <t>14-13</t>
  </si>
  <si>
    <t>Freestanding acrylic bath (Design Specific)</t>
  </si>
  <si>
    <t>Mixer tap &amp; shower outlet choice of black or chrome</t>
  </si>
  <si>
    <t>Shower waste from category 1. Choice of black or chrome.</t>
  </si>
  <si>
    <t>Toilet roll holder. Choice of black or chrome</t>
  </si>
  <si>
    <t>Sink mixer tap choice of black or chrome</t>
  </si>
  <si>
    <t>Wall Tiles to wet areas from category 1</t>
  </si>
  <si>
    <t>Floor tiles to wet areas from category 1</t>
  </si>
  <si>
    <t>12 months of RACV emergency home assist</t>
  </si>
  <si>
    <t xml:space="preserve">Coastal Rise </t>
  </si>
  <si>
    <t>905320M</t>
  </si>
  <si>
    <t>standard now 2590mm</t>
  </si>
  <si>
    <t>Joy Property</t>
  </si>
  <si>
    <t>Seedz Property</t>
  </si>
  <si>
    <t>Flourish Realestate</t>
  </si>
  <si>
    <t>Kodeliving</t>
  </si>
  <si>
    <t>908386N</t>
  </si>
  <si>
    <t>825096J</t>
  </si>
  <si>
    <t>840059E</t>
  </si>
  <si>
    <t>913225K</t>
  </si>
  <si>
    <t>Brickstone</t>
  </si>
  <si>
    <t>Brix and Mortar (Landmark Property)</t>
  </si>
  <si>
    <t>Capital Jerry Parker</t>
  </si>
  <si>
    <t>Equity Rise</t>
  </si>
  <si>
    <t>Fortune 8</t>
  </si>
  <si>
    <t>Foundation Property</t>
  </si>
  <si>
    <t>GW Investments</t>
  </si>
  <si>
    <t>High Income</t>
  </si>
  <si>
    <t>I Sale</t>
  </si>
  <si>
    <t>Impressive Property</t>
  </si>
  <si>
    <t>IPAN</t>
  </si>
  <si>
    <t>IT Manifest</t>
  </si>
  <si>
    <t>Meridian</t>
  </si>
  <si>
    <t>One Central</t>
  </si>
  <si>
    <t>Orion Star</t>
  </si>
  <si>
    <t>Property Locator</t>
  </si>
  <si>
    <t>Property Portfolio Hub (Syaloville Consulting)</t>
  </si>
  <si>
    <t>Real Ezi</t>
  </si>
  <si>
    <t>Spectrum</t>
  </si>
  <si>
    <t>Supreme Investments</t>
  </si>
  <si>
    <t>The Avenue Property Co</t>
  </si>
  <si>
    <t>847747T</t>
  </si>
  <si>
    <t>Willow Estate - Gisborne13</t>
  </si>
  <si>
    <t>902464C</t>
  </si>
  <si>
    <t>844165J</t>
  </si>
  <si>
    <t>Antonio Rimi</t>
  </si>
  <si>
    <t>0499 160 075</t>
  </si>
  <si>
    <t>antoniorimi@moremac.com.au</t>
  </si>
  <si>
    <t>918153G</t>
  </si>
  <si>
    <t>Garage openings must not exceed 40% of the width of the primary frontage of the lot, unless the building is two
or more storeys whereby the garage opening must not exceed 30% of the area of the front façade of the dwelling</t>
  </si>
  <si>
    <t>Garages or carports on each lot shall not be setback at less than 5.5 metres from the primary frontage unless
a building envelope with an associated plan of subdivision allows a primary frontage setback of 3 metres,
whereby the garage or carport shall not be setback less than 5 metres from the primary frontage.</t>
  </si>
  <si>
    <t>The dwelling (front building line)
must be set back a minimum of 4m
from the front boundary, except for
lots of between 250 and 300 square
metres opposite or abutting the
passive or active open space area or
local centre where the front setback
may be reduced to 3m</t>
  </si>
  <si>
    <t>Garages must be stepped back a
minimum of 840mm from the front
building line</t>
  </si>
  <si>
    <t>An entrance porch or portico must
have an area of at least 4m2 and a
depth of at least 1.0m</t>
  </si>
  <si>
    <t>Lots with frontages equal to or
greater than 12.5m must incorporate
a double car garage, Lots with a frontage less than 12.5m
must incorporate (as a minimum)
a single car garage</t>
  </si>
  <si>
    <t>Somerford Estate</t>
  </si>
  <si>
    <t>Clyde North</t>
  </si>
  <si>
    <t>Lots with 15m frontage or greater to have double doors or sidelight with at least 10% glazing</t>
  </si>
  <si>
    <t>Garages must be set back min 5.5m from street and must be set back 840mm min behind main front wall. Garage not more than 40% of the street width frontage</t>
  </si>
  <si>
    <t>Lots on Pound Rd Tree Reserve refer specific DG's</t>
  </si>
  <si>
    <t>No single retaining greater than 1.2m high, any retaining to front cannot be timber sleepers</t>
  </si>
  <si>
    <t>Kala Estate</t>
  </si>
  <si>
    <t>Nar Nar Goon</t>
  </si>
  <si>
    <t>Less than 300m2 lot size dwelling 100m2  300m2 to 450m2 dwelling 120m2 greater than 450m2 dwelling 150m2</t>
  </si>
  <si>
    <t>Interface Housing Area:
If the lot abuts Mt Ararat South Road:
• the house must be set back from the front boundary of
the lot by at least 8m; and
• any fence within 3m of the front boundary of the lot must
be no higher above Natural Ground Level than 1200mm</t>
  </si>
  <si>
    <t>If the lot is more than 12.5m wide, the Front Façade of the
house must include at least two habitable room windows
per level.</t>
  </si>
  <si>
    <t>A façade will be deemed to meet this standard if it includes:
• A horizontal step of at least 500mm, excluding to
a garage</t>
  </si>
  <si>
    <t>A front entry structure, such as a porch or veranda, must be
provided as part of the Front Façade, with a covered area of
at least 3m2 and a depth of at least 1.5m.
4.3 Materials and Finishes
4.3.1
The colour scheme of the house exterior must use muted
neutral colours in light tones. A material schedule with colour
samples must be included in the application.
4.3.2
The Front Façade must include at least two materials,
finishes, or colours. Each must cover between 15% and 70%
of the walls of the Front Façade, excluding all openings, such
as windows and doors. Contrasting render colours will be
deemed to comply, but not two colours of face brick.
4.3.3
Suggested materials for the Front Façade include:
render, face brick, timber cladding, stone and painted
weatherboards. Other materials may be approved by
the DRP.
4.3.4
Both side façades must be treated with the same materials,
colours and finishes as the Front Façade for at least the
front 1.5m.
4.3.5
If the lot is 12.5m wide or narrower, the Front Façade of the
house must include at least one habitable room window
per level.
4.3.6
If the lot is more than 12.5m wide, the Front Façade of the
house must include at least two habitable room windows
per leve</t>
  </si>
  <si>
    <t>Sliding windows must not be installed on any façade facing
the Public Realm, unless on the ground floor behind a
privacy fence</t>
  </si>
  <si>
    <t>If the lot is 12.5m wide or wider, development on the lot must
include a garage with capacity for at least two cars.
If the Front Façade of the house includes a garage
opening, the total width of any openings must not be
more than 40% of the Lot Width.
If the Front Façade of the house is more than one storey,
the area of the garage opening must be no larger than
30% of the total area of the Front Façade.</t>
  </si>
  <si>
    <t>PS 908880E</t>
  </si>
  <si>
    <t>1300 809 194</t>
  </si>
  <si>
    <t>902436H</t>
  </si>
  <si>
    <t>53A</t>
  </si>
  <si>
    <t>Specific Property</t>
  </si>
  <si>
    <t xml:space="preserve">First Homes Specialists </t>
  </si>
  <si>
    <t>Double roller blinds to front windows, single roller blind to remaining clear glass windows &amp; sliding doors</t>
  </si>
  <si>
    <t>838331D</t>
  </si>
  <si>
    <t>Turnkey NDIS Property</t>
  </si>
  <si>
    <t>918638F</t>
  </si>
  <si>
    <t>918640U</t>
  </si>
  <si>
    <t>Wealthflow PTY LTD - Empire 8</t>
  </si>
  <si>
    <t>901658T</t>
  </si>
  <si>
    <t xml:space="preserve">Heritage Place </t>
  </si>
  <si>
    <t>913064H</t>
  </si>
  <si>
    <t>The Land Co.</t>
  </si>
  <si>
    <t>Michael Hamilton</t>
  </si>
  <si>
    <t>0478 950 888</t>
  </si>
  <si>
    <t>michael@thelandco.com.au</t>
  </si>
  <si>
    <t>Lots up to 400m2 shall have a minimum dwelling size of 140m2
Lots over 500m2 shall have a minimum dwelling size of 160m2
Lots over 600m2 shall have a minimum dwelling size of 180m2</t>
  </si>
  <si>
    <t>The garage must be setback a minimum 5.5m from the lot
frontage and a minimum 500mm behind the main building line.
Rear setbacks must be a minimum 3m (as per building envelopes).</t>
  </si>
  <si>
    <t>Entry features must be a minimum 4m² with a minimum depth of
1.5m</t>
  </si>
  <si>
    <t xml:space="preserve">The main entry must provide articulation to the front façade.
Simple or plain facades won't comply. Check façade before signing off.
</t>
  </si>
  <si>
    <t>Corner lots to have eaves to full length of the second street frontage. $80 per lm</t>
  </si>
  <si>
    <t>On Lots greater than 401m2 a minimum of double garage shall be
built at the same time as the house.</t>
  </si>
  <si>
    <t>Raleigh 17 GE</t>
  </si>
  <si>
    <t>3 Bed, 3 Bath, Double Car Garage, 1 Living Area (Gama 17 GE)</t>
  </si>
  <si>
    <t>Cartier 15 GE</t>
  </si>
  <si>
    <t xml:space="preserve">Vanilla property International </t>
  </si>
  <si>
    <t>Vanilla property Aus</t>
  </si>
  <si>
    <t>909566F</t>
  </si>
  <si>
    <t xml:space="preserve">Tribella Rise </t>
  </si>
  <si>
    <t>1800 229 763</t>
  </si>
  <si>
    <t>Tribellarise@rpmgrp.com.au</t>
  </si>
  <si>
    <t>919142G</t>
  </si>
  <si>
    <t xml:space="preserve">Lots along the Resever - Lots 409, 419, and 460
Along the Reserve sided boundary, side fencing must be no more than 1.2 metres in height for a
minimum 25% of the length of the boundary </t>
  </si>
  <si>
    <t>Rear loaded lots - Lots 111 to 118, Lots 240 to 247, Lots 304 to 311.
Check the Design Guidelines for requirements.</t>
  </si>
  <si>
    <t xml:space="preserve"> Lots abutting land at 416 Ballan Road, Wyndham Vale - Lots 206 to 215.
- A minimum 5m rear setback.</t>
  </si>
  <si>
    <t>Add to tender: Water tank water to be primary source to Laundry if required. = $200</t>
  </si>
  <si>
    <t>920325Q</t>
  </si>
  <si>
    <t>829574B/S4</t>
  </si>
  <si>
    <t>822978N/S2</t>
  </si>
  <si>
    <t>822978N/S3</t>
  </si>
  <si>
    <t>822978N/S4</t>
  </si>
  <si>
    <t>822978N/S5</t>
  </si>
  <si>
    <t>Brunt Road</t>
  </si>
  <si>
    <t>919035H</t>
  </si>
  <si>
    <t>59A</t>
  </si>
  <si>
    <t>849132X</t>
  </si>
  <si>
    <t>BUILD OR CAUSE TO BE BUILT OR ALLOW TO BE BUILT OR ALLOW TO REMAIN STANDING A DWELLING-HOUSE WITH A FLOOR AREA OF LESS THAN:
(A) 160 SQUARE METRES IN THE CASE OF A LOT HAVING AN AREA OF 500 SQUARE METRES OR GREATER; OR
(B) 130 SQUARE METRES IN THE CASE OF A LOT HAVING AN AREA OF 400 SQUARE METRES OR GREATER BUT LESS THAN 500 SQUARE METRES; OR
(C) 100 SQUARE METRES IN THE CASE OF A LOT HAVING AN AREA OF 300 SQUARE METRES OR GREATER BUT LESS THAN 400 SQUARE METRES; OR
(D) 75 SQUARE METRES IN THE CASE OF A LOT HAVING AN AREA OF LESS THAN 300 SQUARE METRES</t>
  </si>
  <si>
    <t>910775N</t>
  </si>
  <si>
    <t>3-2</t>
  </si>
  <si>
    <t>Plaster lined ceiling to porch and outdoor living (If applicable)</t>
  </si>
  <si>
    <t>2040mm x 1020mm Entry door with clear glazing</t>
  </si>
  <si>
    <t xml:space="preserve">Plain concrete path 1200mm wide providing access as required at Builders discretion </t>
  </si>
  <si>
    <t>5-13</t>
  </si>
  <si>
    <t>AS1428 compliant Entrance set to Front Door and Garage/House Door</t>
  </si>
  <si>
    <t>Melamine shelf with 1No. hanging rail to bedroom robes</t>
  </si>
  <si>
    <t>2040mm high Flush Panel Doors throughout (excluding robes)</t>
  </si>
  <si>
    <t>AS1428 compliant door handles throughout</t>
  </si>
  <si>
    <t>Door hardware to be installed between 900mm - 1100mm above finished floor level</t>
  </si>
  <si>
    <t>1No. 2040mm high x up to 1800mm wide Sliding Door unit with 2No. Vinyl Sliding Doors to all Bedroom Robes</t>
  </si>
  <si>
    <t>AS1428 compliant Privacy locks to SDA Spec Ensuites</t>
  </si>
  <si>
    <t>Pedestrian weatherproof door</t>
  </si>
  <si>
    <t>Flush panel internal access door</t>
  </si>
  <si>
    <t>Concrete floor to garage to have a Brushed finish</t>
  </si>
  <si>
    <t>7-5</t>
  </si>
  <si>
    <t>0mm Step Down to Garage with threshold ramp if required</t>
  </si>
  <si>
    <t>7-6</t>
  </si>
  <si>
    <t>Garage Door module integrating operation of auto Garage door with alarm</t>
  </si>
  <si>
    <t>Dual Roller Blinds to the Front Facade windows, roller blinds to remaining clear glass windows &amp; sliding doors</t>
  </si>
  <si>
    <t>1No. Single GPO's above each window for future blind automation systems to Bedrooms &amp; Living Areas</t>
  </si>
  <si>
    <t>8-8</t>
  </si>
  <si>
    <t>Window sills on ground level no higher than 1000mm above the finished floor level</t>
  </si>
  <si>
    <t>8-9</t>
  </si>
  <si>
    <t>Double GPO's throughout (includes 1No. External power point to outdoor living (if applicable) &amp; Single GPO's to fridge, dishwasher &amp; range hood</t>
  </si>
  <si>
    <t>LED downlights to all Bedrooms &amp; Living areas</t>
  </si>
  <si>
    <t>Batten holder with shade to remainder of home</t>
  </si>
  <si>
    <t>LED downlight to Porch and Outdoor Living area</t>
  </si>
  <si>
    <t>1No.  TV antenna (may be deleted if not allowed in estate)</t>
  </si>
  <si>
    <t>10-10</t>
  </si>
  <si>
    <t>NBN Co basic fibre pack including:
- Internal conduit with draw string
- 1No. GPO
- 2No. Phone points (run to plates on wall in Garage for patching to NBNCo supplied product)
- 1No. Data point (run to plates on wall in Garage for patching to NBNCo supplied product)
- CAT6 cable CAT6 mech
Note: Excludes connection.</t>
  </si>
  <si>
    <t>10-11</t>
  </si>
  <si>
    <t>2No. External Wall Lights to Front Façade</t>
  </si>
  <si>
    <t>10-12</t>
  </si>
  <si>
    <t>Lights and GPO switches with rocker action, toggle or push pad with a recommended width of 35mm throughout</t>
  </si>
  <si>
    <t>10-13</t>
  </si>
  <si>
    <t xml:space="preserve">Hardwired Ring Satin Nickel Video Doorbell </t>
  </si>
  <si>
    <t>10-14</t>
  </si>
  <si>
    <t>3No. Double GPO's to all SDA Spec Bedrooms, above where bed is likely to be placed</t>
  </si>
  <si>
    <t>10-15</t>
  </si>
  <si>
    <t>1No.Double GPO to all SDA Spec Bedrooms, opposite wall to where bed is likely to be placed</t>
  </si>
  <si>
    <t>10-16</t>
  </si>
  <si>
    <t>Dimmable light switches to Living areas and Bedrooms</t>
  </si>
  <si>
    <t>10-17</t>
  </si>
  <si>
    <t>Battery Backup System to provide 2hrs battery backup at 1.5kVA Load</t>
  </si>
  <si>
    <t>10-18</t>
  </si>
  <si>
    <t>Task lighting to the Underside of the overhead cabinets to the Kitchen</t>
  </si>
  <si>
    <t>10-19</t>
  </si>
  <si>
    <t>1No. Single GPO above Entry &amp; SDA Spec Bedroom doors for future installation of automation devices</t>
  </si>
  <si>
    <t>1No. 2.7kw Inverter Split System air conditioner to all Bedrooms &amp; Lounge (If applicable)</t>
  </si>
  <si>
    <t>Tiles to splashback</t>
  </si>
  <si>
    <t>Inalto Care 600mm 67L 5 Function side opening Oven (IOSO605M)</t>
  </si>
  <si>
    <t>Inalto 750mm ceramic cooktop with front touch controls (ICC705TB)</t>
  </si>
  <si>
    <t>Inalto 900mm Integrated Canopy Rangehood (AIH90W)</t>
  </si>
  <si>
    <t>Inalto 600mm 7 Place Stainless Steel Single Dishwasher Drawer (IDWD60SS)</t>
  </si>
  <si>
    <t>1No. Laminate Wall Tower to contain Oven with pot drawers beneath</t>
  </si>
  <si>
    <t>Feature lever or capstan style tap hardware with a central spout to Sinks</t>
  </si>
  <si>
    <t>12-11</t>
  </si>
  <si>
    <t>12-12</t>
  </si>
  <si>
    <t>2No. Pull out pantry's to the Kitchen Wall</t>
  </si>
  <si>
    <t>12-13</t>
  </si>
  <si>
    <t>1No. Electric Adjustable Bench to the Kitchen Wall</t>
  </si>
  <si>
    <t>13 - ENSUITE 1</t>
  </si>
  <si>
    <t>Inset Vanity basin (design specific)</t>
  </si>
  <si>
    <t>Basin Mixer Tap</t>
  </si>
  <si>
    <t>Laminate cabinet (design specific)</t>
  </si>
  <si>
    <t>Handles from builder's range category 1 (design specific)</t>
  </si>
  <si>
    <t>Tiled shower base with raised hob</t>
  </si>
  <si>
    <t>Semi framed shower screen - clear glass</t>
  </si>
  <si>
    <t>Shower Mixer &amp; Outlet</t>
  </si>
  <si>
    <t>14 - OTHER ENSUITES (SDA SPEC)</t>
  </si>
  <si>
    <t>Reinforce all walls to support safe installation of grabrails</t>
  </si>
  <si>
    <t>1No. Linea grate central to room in additional to 1 waste point central to shower</t>
  </si>
  <si>
    <t>600mm Caroma Sculptural Rectangle wall hung Basin with 1 taphole and Shelf</t>
  </si>
  <si>
    <t>Feature lever or capstan style tap hardware with a central spout to basin</t>
  </si>
  <si>
    <t>Tiled hob less shower base</t>
  </si>
  <si>
    <t>Shower Curtain</t>
  </si>
  <si>
    <t>AS1428 Compliant Hand Shower rose on hose</t>
  </si>
  <si>
    <t>AS1428 Compliant Toilet with Grey seat and buttons</t>
  </si>
  <si>
    <t>Single toilet roll holder</t>
  </si>
  <si>
    <t>Grab rails including transfer bar, toilet backrest, toilet straight grab bar, shower T style grab bar and shower seat</t>
  </si>
  <si>
    <t xml:space="preserve">15 - POWDER ROOM (SDA SPEC)  (if applicable) </t>
  </si>
  <si>
    <t>15-3</t>
  </si>
  <si>
    <t>Feature lever or capstan style tap hardware with a central spout to Basin</t>
  </si>
  <si>
    <t>15-4</t>
  </si>
  <si>
    <t>15-5</t>
  </si>
  <si>
    <t>15-6</t>
  </si>
  <si>
    <t>Toilet roll holder</t>
  </si>
  <si>
    <t>15-7</t>
  </si>
  <si>
    <t>Grab rails including transfer bar, toilet backrest &amp; toilet straight grab bar</t>
  </si>
  <si>
    <t>Laminate cabinet with Tiled skirting</t>
  </si>
  <si>
    <t>Laundry Trough</t>
  </si>
  <si>
    <t>16-4</t>
  </si>
  <si>
    <t>Feature lever or capstan style tap hardware with a central spout to Trough</t>
  </si>
  <si>
    <t>16-5</t>
  </si>
  <si>
    <t>Wall Tiles to wet areas</t>
  </si>
  <si>
    <t>P4 slip resistant Tiled flooring to balance of home</t>
  </si>
  <si>
    <t>Combination of plants, mulch and toppings to front and rear. 1No. tree to front yard</t>
  </si>
  <si>
    <t>19 - LIVABLE HOUSING ITEMS</t>
  </si>
  <si>
    <t>Compliance with NDIS Checklist items for circulation and access spaces</t>
  </si>
  <si>
    <t>LHA certification to High Physical Support level</t>
  </si>
  <si>
    <t>Class 1B certification items and fees (If applicable)</t>
  </si>
  <si>
    <t>Certification of Ceiling Trusses capable of sustaining 250kg loads for future ceiling hoists to all SDA Spec Bedrooms &amp; adjoining Ensuites</t>
  </si>
  <si>
    <t>20 - ESTATE GUIDELINE REQUIREMENTS</t>
  </si>
  <si>
    <t>20-12</t>
  </si>
  <si>
    <t>20-13</t>
  </si>
  <si>
    <t>20-14</t>
  </si>
  <si>
    <t>20-15</t>
  </si>
  <si>
    <t>20-16</t>
  </si>
  <si>
    <t>20-17</t>
  </si>
  <si>
    <t>20-18</t>
  </si>
  <si>
    <t>20-19</t>
  </si>
  <si>
    <t>20-20</t>
  </si>
  <si>
    <t>20-21</t>
  </si>
  <si>
    <t>20-22</t>
  </si>
  <si>
    <t>20-23</t>
  </si>
  <si>
    <t>20-24</t>
  </si>
  <si>
    <t>20-25</t>
  </si>
  <si>
    <t>20-26</t>
  </si>
  <si>
    <t>20-27</t>
  </si>
  <si>
    <t>22 - UPGRADES</t>
  </si>
  <si>
    <t>22-11</t>
  </si>
  <si>
    <t>22-12</t>
  </si>
  <si>
    <t>22-13</t>
  </si>
  <si>
    <t>23 - GENERAL</t>
  </si>
  <si>
    <t xml:space="preserve">Min 1000mm wide Plain concrete path providing access as required at Builders discretion </t>
  </si>
  <si>
    <t>AS1428 compliant Entrance set to front door and Garage/House Door</t>
  </si>
  <si>
    <t>2040mm high Flush Panel Doors throughout (Excluding robes)</t>
  </si>
  <si>
    <t>Internal doors and corridors that facilitate comfortable and unimpeded movement between spaces</t>
  </si>
  <si>
    <t>6-15</t>
  </si>
  <si>
    <t>LED downlight to porch and outdoor living area</t>
  </si>
  <si>
    <t>Dimmable light switches to living areas and bedrooms</t>
  </si>
  <si>
    <t>Domain 900mm 9 function fan forced electric Oven (DEO-R90A)</t>
  </si>
  <si>
    <t xml:space="preserve">Domain 900mm Ceramic Glass Electric Cooktop with Touch Controls </t>
  </si>
  <si>
    <t>Domain 900mm Stainless Steel Curved Glass Canopy Rangehood (RHD90-CURV)</t>
  </si>
  <si>
    <t>Dishwasher - stainless steel</t>
  </si>
  <si>
    <t xml:space="preserve">4No. Melamine shelving to pantry </t>
  </si>
  <si>
    <t>13 - ENSUITES (NON SDA SPEC)</t>
  </si>
  <si>
    <t>14 - ENSUITE (SDA SPEC)</t>
  </si>
  <si>
    <t>15 - POWDER ROOM (NON SDA SPEC) (if applicable)</t>
  </si>
  <si>
    <t>15-8</t>
  </si>
  <si>
    <t>LHA certification to Improved Liveability level</t>
  </si>
  <si>
    <t>Class 1B certification items and fees (if applicable)</t>
  </si>
  <si>
    <t>Certification of Ceiling Trusses capable of sustaining 250kg loads for future ceiling hoists to SDA Specific Bedroom &amp; adjoining Ensuite</t>
  </si>
  <si>
    <t>Fixed Price Site Costs including rock excavation &amp; removal (if required)</t>
  </si>
  <si>
    <t>BAL12.5 rating area the following items (if required):</t>
  </si>
  <si>
    <t>912107W</t>
  </si>
  <si>
    <t>Jubilee Estate68</t>
  </si>
  <si>
    <t>849127Q</t>
  </si>
  <si>
    <t>821913Y/S57</t>
  </si>
  <si>
    <t>908279P</t>
  </si>
  <si>
    <t>Masall Estate</t>
  </si>
  <si>
    <t>George Racz</t>
  </si>
  <si>
    <t>0458 607 043</t>
  </si>
  <si>
    <t>george@red23.com.au</t>
  </si>
  <si>
    <t>905404F</t>
  </si>
  <si>
    <t>905521U</t>
  </si>
  <si>
    <t>906848L</t>
  </si>
  <si>
    <t>Electric Heat Pump Hot Water</t>
  </si>
  <si>
    <t>31B</t>
  </si>
  <si>
    <t>907107V</t>
  </si>
  <si>
    <t>Access 23 HPS</t>
  </si>
  <si>
    <t>4 Bed, 4 Bath, Single Car Garage, 2 Living, ODL</t>
  </si>
  <si>
    <t>Access 23 IL</t>
  </si>
  <si>
    <t>Leave this cell for Neutralising formula</t>
  </si>
  <si>
    <t>2No. Robe hooks to each Ensuite</t>
  </si>
  <si>
    <t>Category 1 Floor to Ceiling Wall Tiles
Note: Only applies to Ceiling Height of 2720mm. This option requires Laser Battening and Square Set Plaster to the ceiling to make sure the plaster corners are as straight as possible. Includes Tiled Plaster Reveals to Windows</t>
  </si>
  <si>
    <t>900097P</t>
  </si>
  <si>
    <t>Is it a KDRB?</t>
  </si>
  <si>
    <t>Entire house if double $3300.</t>
  </si>
  <si>
    <t>For single story dwellings on lots with a width less than 12.5m, garage doors must not be wider
than 2.6m.
For single story dwellings on lots with a width of 12.5m or greater and 14m or less, the maximum
allowable width for the garage door is 5.5m</t>
  </si>
  <si>
    <t>905656B</t>
  </si>
  <si>
    <t>Provide the Double Garage Option to the Access 18, as per sketch. 
*Note, minimum lot width to be 12.5m wide.</t>
  </si>
  <si>
    <t>Provide the Double Garage Option to the Access 22, as per sketch. 
*Note, minimum lot width to be 13.5m wide.</t>
  </si>
  <si>
    <t>Allowance for Dual Pump System, Sewer Cut Back &amp; Stormwater Lowering</t>
  </si>
  <si>
    <t>3-3</t>
  </si>
  <si>
    <t>Planning Permit Application (if required)</t>
  </si>
  <si>
    <t>The client is responsible for providing demolition certificate, asbestos certificate, asset protection permit (covering the demolition and build), electricity pit, legal point of discharge for stormwater, water tapping, sewer point, confirmation of capped services and gas main prior to the Builder commencing on site.</t>
  </si>
  <si>
    <t xml:space="preserve">Reconnection to capped services (excluding customer account opening &amp; fibre optic connection) </t>
  </si>
  <si>
    <t>Letterbox with Numbers</t>
  </si>
  <si>
    <t>913460Y</t>
  </si>
  <si>
    <t>900723Q</t>
  </si>
  <si>
    <t>Provide approx. 1800mm high timber fencing with capping and 150x150 exposed posts with capping and 150mm bottom plinth in lieu of timber palings. Includes wing fence and Gate. = $53 per lm</t>
  </si>
  <si>
    <t xml:space="preserve">Tulloh Street Estate </t>
  </si>
  <si>
    <t>Melton</t>
  </si>
  <si>
    <t>900637H</t>
  </si>
  <si>
    <t>Squared Property Group</t>
  </si>
  <si>
    <t>hello@tullohst.com.au</t>
  </si>
  <si>
    <t>For dwellings on lots with frontages of 20 metres and greater (except for
corner lots), the side boundary setbacks including that of garages must be a
minimum of 1 metre.
For dwelling on lots with frontages less than 20 metres (except corner lots), at
least one side boundary including that of the garage must be set back a
minimum of 1 metre.</t>
  </si>
  <si>
    <t>The building facades should be articulated along both primary and secondary
frontages using openings, balconies, variation of materials, recessed and
projected elements on ground and upper floor to reduce the overall mass of
buildings.</t>
  </si>
  <si>
    <t xml:space="preserve">For lots with a frontage less than 12.5m, a single garage is required
with a maximum door width of 2.6m. </t>
  </si>
  <si>
    <t>Carpet to balance of home</t>
  </si>
  <si>
    <t>Floor Tiles to Entry and Living areas connected to the Kitchen (refer plan)</t>
  </si>
  <si>
    <t>HH Stocklist</t>
  </si>
  <si>
    <t>913246B</t>
  </si>
  <si>
    <t>905196K</t>
  </si>
  <si>
    <t>KDRB</t>
  </si>
  <si>
    <t>916598B</t>
  </si>
  <si>
    <t>Society</t>
  </si>
  <si>
    <t>918478B</t>
  </si>
  <si>
    <t>Side setbacks must be a minimum of 1m from at least one
side boundary</t>
  </si>
  <si>
    <t>902492W</t>
  </si>
  <si>
    <t>847492B</t>
  </si>
  <si>
    <t>Grand Central Estate17</t>
  </si>
  <si>
    <t>906528F</t>
  </si>
  <si>
    <t>905698J</t>
  </si>
  <si>
    <t>908211B</t>
  </si>
  <si>
    <t>908224R</t>
  </si>
  <si>
    <t>844266C</t>
  </si>
  <si>
    <t>844523J</t>
  </si>
  <si>
    <t>HH $5K Markup</t>
  </si>
  <si>
    <t>SA Thompson</t>
  </si>
  <si>
    <t>834312E</t>
  </si>
  <si>
    <t>915535H</t>
  </si>
  <si>
    <t>824649X</t>
  </si>
  <si>
    <t>Provide dwelling in accordance with NCC22 May 24 edition including liveability, energy and condensation management requirements.</t>
  </si>
  <si>
    <t>24-9</t>
  </si>
  <si>
    <t>831553W</t>
  </si>
  <si>
    <t>900612A</t>
  </si>
  <si>
    <t xml:space="preserve">BC Property Agents </t>
  </si>
  <si>
    <t xml:space="preserve">KM Financial </t>
  </si>
  <si>
    <t>BIPA</t>
  </si>
  <si>
    <t>905294P</t>
  </si>
  <si>
    <t>Mega Single Bowl Sink</t>
  </si>
  <si>
    <t>835615E</t>
  </si>
  <si>
    <t>Alexander Estate</t>
  </si>
  <si>
    <t>Delacombe</t>
  </si>
  <si>
    <t>828012C</t>
  </si>
  <si>
    <t>Michael Daren</t>
  </si>
  <si>
    <t>0408 853 284</t>
  </si>
  <si>
    <t>Augment Group</t>
  </si>
  <si>
    <t>902448A</t>
  </si>
  <si>
    <t>34541/32</t>
  </si>
  <si>
    <t>821913Y/S56</t>
  </si>
  <si>
    <t>908205V</t>
  </si>
  <si>
    <t>No</t>
  </si>
  <si>
    <t>828080J</t>
  </si>
  <si>
    <t>906185K</t>
  </si>
  <si>
    <t>847525N</t>
  </si>
  <si>
    <t>Hume  entry door 2040mm x 870mm with clear glazing. Selected from standard range.</t>
  </si>
  <si>
    <r>
      <t xml:space="preserve">Choice of a 1 </t>
    </r>
    <r>
      <rPr>
        <sz val="12"/>
        <color rgb="FF000000"/>
        <rFont val="Calibri"/>
        <family val="2"/>
        <scheme val="minor"/>
      </rPr>
      <t>¾</t>
    </r>
    <r>
      <rPr>
        <sz val="10"/>
        <color indexed="8"/>
        <rFont val="Calibri"/>
        <family val="2"/>
        <scheme val="minor"/>
      </rPr>
      <t xml:space="preserve"> sink or Double bowl sink - stainless steel</t>
    </r>
  </si>
  <si>
    <t>908208P</t>
  </si>
  <si>
    <t>921360H</t>
  </si>
  <si>
    <t>1No. Hobless shower with semi-framed shower screen to either the Ensuite or Bathroom. Soft Line semi framed shower screens - clear glass, to the remaining showers. Note, location design specific. Refer to plans</t>
  </si>
  <si>
    <t>1 ¾ sink bowl sink - stainless steel</t>
  </si>
  <si>
    <t>Provide downgrade pack to a single storey including:
- Provide standard laminate benchtop in lieu of M0 Mineral Surface benchtop
- Provide standard light points in lieu of LED lights
- Provide Cat 1 carpet in lieu of Cat 2
- Remove 1No. split system to the Living</t>
  </si>
  <si>
    <t>Provide Double Storey Upgrade Package including:
- 2720mm high ceilings to the Ground Floor and 2590mm high ceilings to the First Floor
- Provide Evaporative Cooling with 5No. outlets to upstairs only of a double storey in lieu of split system to the First Floor.
- Provide Laminate Laundry Cabinets and M0 Mineral Surface Benchtop in lieu of standard Trough and Steel Cabinet including:
  - 900mm wide x 580mm deep Laminate Cabinets with 1No. Doors
  - 20mm M0 Mineral Surface Benchtop with 20mm Square Edge
  - 1No. Posh Domaine Trough 45L Stainless Steel Trough
  - 900mm wide x 400mm high Category 1 Tiled Splashback
- Provide approx. 900mm wide x 660mm high x 320mm deep Laminate Overhead Cabinets and 900mm wide x 300mm high Category 1 Splashback Wall Tiles to the Laundry wall above Laundry Benchtop</t>
  </si>
  <si>
    <t>Provide 40mm square edge to the Kitchen wall and island cabinets.
Please note: M0 Mineral Surface benchtops over 3000mm in length will require a join in the benchtop. This join will be placed in the most inconspicuous position.</t>
  </si>
  <si>
    <t>Provide 1No. 800mm wide x 900mm high Category 1 M0 Mineral Surface Waterfall End with 40mm Square Edging to one side of the Kitchen Island Benchtop. (1No. total)</t>
  </si>
  <si>
    <t>Provide 1No. 800mm wide x 900mm high Category 1 M0 Mineral Surface Waterfall End with 20mm Square Edging to either side of the Kitchen Island Benchtop. (2No. total)</t>
  </si>
  <si>
    <t>Provide 1No. 800mm wide x 900mm high Category 1 M0 Mineral Surface Waterfall End with 20mm Square Edging to one side of the Kitchen Island Benchtop. (1No. total)</t>
  </si>
  <si>
    <t>Provide 1No. 800mm wide x 900mm high Category 1 M0 Mineral Surface Waterfall End with 40mm Square Edging to either side of the Kitchen Island Benchtop. (2No. total)</t>
  </si>
  <si>
    <t>Provide a 1500mm wide Double Vanity option to the ######### in lieu of standard including:
- 20mm M0 Mineral Surface Benchtop
- 4No. 500mm wide doors in lieu of 2No. 500mm wide
- 1500mm wide Mirror in lieu of 1000mm wide
- 1No. additional standard Basin Mixer
- 1No. additional standard Inset Basin</t>
  </si>
  <si>
    <t>Provide 20mm M0 Mineral Surface Benchtops with a 20mm square edge to the Kitchen wall and island cabinets.
Please note: Benchtops over 3000mm in length will require a join in the benchtop. This join will be placed in the most inconspicuous position.</t>
  </si>
  <si>
    <t>20mm M0 Mineral Surface Benchtops with a 20mm square edge to the Ensuite</t>
  </si>
  <si>
    <t>20mm M0 Mineral Surface Benchtops with a 20mm square edge to the Bathroom.</t>
  </si>
  <si>
    <t>20mm M0 Mineral Surface Benchtops with a 20mm square edge to the Kitchen wall and island cabinets
Please note: Engineered M0 Mineral Surface Benchtop over 3000mm in length will require a join in the benchtop. This join will be placed in the most inconspicuous position</t>
  </si>
  <si>
    <t>20mm M0 Mineral Surface Benchtop with a 20mm square edge</t>
  </si>
  <si>
    <t xml:space="preserve">20mm M0 Mineral Surface Benchtop with a 20mm square edge </t>
  </si>
  <si>
    <t>Provide downgrade pack to a double storey including:
- Provide standard laminate benchtop in lieu of M0 Mineral Surface benchtop
- Provide standard light points in lieu of LED lights
- Provide Cat 1 carpet in lieu of Cat 2
- Remove 1No. split system to the Living and 1No. to the Master (2No. Total)</t>
  </si>
  <si>
    <t>Retaining $$</t>
  </si>
  <si>
    <t>908934H</t>
  </si>
  <si>
    <t>822831V</t>
  </si>
  <si>
    <t>913224M</t>
  </si>
  <si>
    <t>911020Q</t>
  </si>
  <si>
    <t>Golden Win</t>
  </si>
  <si>
    <t>911901F</t>
  </si>
  <si>
    <t xml:space="preserve">Officer </t>
  </si>
  <si>
    <t>Peake</t>
  </si>
  <si>
    <t>brix@peakere.com.au</t>
  </si>
  <si>
    <t>Clearwater</t>
  </si>
  <si>
    <t>Colac</t>
  </si>
  <si>
    <t>916609Y</t>
  </si>
  <si>
    <t>Adam Eladam</t>
  </si>
  <si>
    <t>0499 113 720</t>
  </si>
  <si>
    <t>clearwater@rpmgrp.com.au</t>
  </si>
  <si>
    <t>Access 19 HPS</t>
  </si>
  <si>
    <t>Access 19 IL</t>
  </si>
  <si>
    <t>Lakeside</t>
  </si>
  <si>
    <t>Jane Bezzina</t>
  </si>
  <si>
    <t>493 852 235</t>
  </si>
  <si>
    <t>913044P</t>
  </si>
  <si>
    <t>provide 1.0 metre clear horizontal access along the full length of a
minimum one side of the lot</t>
  </si>
  <si>
    <t>300m2 lot - 100m2 living area
300-400m2 lot - 110m2 living area
above 400m2 lot - 130m2 living area</t>
  </si>
  <si>
    <t xml:space="preserve">Must be 2000mm high </t>
  </si>
  <si>
    <t>3 Bed, 3 Bath, Double Car Garage, 1 Living, ODL</t>
  </si>
  <si>
    <t>Simply Wealth</t>
  </si>
  <si>
    <t xml:space="preserve">Waterford Rise </t>
  </si>
  <si>
    <t>Sanctuary Release</t>
  </si>
  <si>
    <t>Any dwelling (excluding any garage, terrace, pergola or verandah) shall have a minimum floor area of 150 m2.</t>
  </si>
  <si>
    <t>Garages must be a minimum of 840 mm behind the main building line.</t>
  </si>
  <si>
    <t>No dwelling shall be set back more than 7 metres from the front boundary.</t>
  </si>
  <si>
    <t>Corner lot dwellings must include eaves to both street frontages - $80 per lm</t>
  </si>
  <si>
    <t xml:space="preserve">VICTORIA GREENFIELD FIXED SITE COSTS </t>
  </si>
  <si>
    <t>Ranges</t>
  </si>
  <si>
    <t>Siting Particulars (Refer to Land Connect Siting)</t>
  </si>
  <si>
    <t>Yes</t>
  </si>
  <si>
    <t>Hermitage</t>
  </si>
  <si>
    <t>Lot Address</t>
  </si>
  <si>
    <t>Garage Front Setback (m)</t>
  </si>
  <si>
    <t>KB Complete</t>
  </si>
  <si>
    <t>Range (Inspire/Elegance?)</t>
  </si>
  <si>
    <t>Garage Side Setback (m)</t>
  </si>
  <si>
    <t>Inspire</t>
  </si>
  <si>
    <t>Existing Neighbours?</t>
  </si>
  <si>
    <t>Rear Easement Depth (m) (If Req)</t>
  </si>
  <si>
    <t>Rear House Setback (m)</t>
  </si>
  <si>
    <t>Elegance</t>
  </si>
  <si>
    <t>Ground Floor Area (m2)</t>
  </si>
  <si>
    <t>LHS House Side Setback (m)</t>
  </si>
  <si>
    <t xml:space="preserve">Single or Double Storey </t>
  </si>
  <si>
    <t>Postcode</t>
  </si>
  <si>
    <t>RHS House Side Setback (m)</t>
  </si>
  <si>
    <t>Land Engineering Calculator (Refer to Land Engineering)</t>
  </si>
  <si>
    <t>Note: Only use Finished Ridge levels (FR/BL, etc) when garage front setback is 6m +</t>
  </si>
  <si>
    <t xml:space="preserve">Fall over Lot </t>
  </si>
  <si>
    <t>FS Level</t>
  </si>
  <si>
    <t>ES Level</t>
  </si>
  <si>
    <t xml:space="preserve">Developer Fill </t>
  </si>
  <si>
    <t>Any Walls (side), Structures, Trees, Dam?</t>
  </si>
  <si>
    <t>Highest Finished Level</t>
  </si>
  <si>
    <t>Corner 1</t>
  </si>
  <si>
    <t>Lowest Finished Level</t>
  </si>
  <si>
    <t>Corner 2</t>
  </si>
  <si>
    <t>Any Retaining Walls to front of lot/driveway?</t>
  </si>
  <si>
    <t>Total Fall over Lot (mm)</t>
  </si>
  <si>
    <t>Corner 3</t>
  </si>
  <si>
    <t>Corner 4</t>
  </si>
  <si>
    <t>Package Terms &amp; Conditions</t>
  </si>
  <si>
    <r>
      <t xml:space="preserve">This Fixed Site Cost figure includes site works only based on the site information provided at the time of assessment, for Greenfield sites only (Melbourne Metro &amp; Geelong Only). Fixed Site Costs excludes items such as but not limited to; Report &amp; Consent, Council/Developer/Estate Requirements, Side easements, Flood Prone Land (AHD), Bushfire (BAL) and additional Bracing (Wind classification) requirements. </t>
    </r>
    <r>
      <rPr>
        <b/>
        <i/>
        <sz val="12"/>
        <rFont val="Euclid Circular B Light"/>
        <family val="2"/>
      </rPr>
      <t>Excludes sites with more than 2000mm site fall over lot or more than 2000mm deep developer placed fill on lot. Does not cover Protection/Prevention measures that may be required to Existing or Neighbouring Properties and/or Structures such as underpinning/Protection Works. Fixed site costs cover standard home only, any additional requirements due to dispensation and/or build envelope compliance to be charged as variation.</t>
    </r>
  </si>
  <si>
    <t>Basic site costs allowance on all jobs</t>
  </si>
  <si>
    <t>Provide H2 class waffle foundation system ilo M class inc re-bar</t>
  </si>
  <si>
    <t>Provide Piering to Dwelling (Minimum Charge)</t>
  </si>
  <si>
    <t>Soil Removal &amp; Fill Import - Up to 1m of fall over lot</t>
  </si>
  <si>
    <t>Rock removal - area 1</t>
  </si>
  <si>
    <t>Rock Allowance</t>
  </si>
  <si>
    <t>FILL OVER 2m STOP</t>
  </si>
  <si>
    <t>Front retaining walls? Franna cranes</t>
  </si>
  <si>
    <t>Provide Second Soil Test &amp; Re-estab Survey</t>
  </si>
  <si>
    <t>Provide manual handling due to restricted site &amp; Local Gov/OHS - Asset/Silt Protect</t>
  </si>
  <si>
    <t xml:space="preserve">Services &amp; Connections under 650m2. </t>
  </si>
  <si>
    <r>
      <rPr>
        <sz val="16"/>
        <color theme="0"/>
        <rFont val="Euclid Circular B Light"/>
        <family val="2"/>
      </rPr>
      <t>Site Costs - Extra Over -</t>
    </r>
    <r>
      <rPr>
        <b/>
        <sz val="16"/>
        <color theme="0"/>
        <rFont val="Euclid Circular B"/>
        <family val="2"/>
      </rPr>
      <t xml:space="preserve"> </t>
    </r>
    <r>
      <rPr>
        <b/>
        <sz val="16"/>
        <color theme="0"/>
        <rFont val="Euclid Circular B Semibold"/>
        <family val="2"/>
      </rPr>
      <t>0 to 1000mm Fall</t>
    </r>
  </si>
  <si>
    <t>Single Storey Site Cost</t>
  </si>
  <si>
    <t>Double Storey Site Cost</t>
  </si>
  <si>
    <t>Base site costs package including H2 class waffle foundation system, minimum piering, cut/fill excavation up to 1000mm fall.</t>
  </si>
  <si>
    <t>Single &lt;190</t>
  </si>
  <si>
    <t>Double &lt;190</t>
  </si>
  <si>
    <t>Single 191-249m2</t>
  </si>
  <si>
    <t>Double 191-249m2</t>
  </si>
  <si>
    <t>Single 250-300m2</t>
  </si>
  <si>
    <t>Double 250-300m2</t>
  </si>
  <si>
    <t>Single 300m2+</t>
  </si>
  <si>
    <t>Double 300m2+</t>
  </si>
  <si>
    <r>
      <rPr>
        <b/>
        <u/>
        <sz val="11"/>
        <rFont val="Euclid Circular B"/>
        <family val="2"/>
      </rPr>
      <t xml:space="preserve">Refer to Item 11."Total Fall over Site" - </t>
    </r>
    <r>
      <rPr>
        <sz val="11"/>
        <rFont val="Euclid Circular B"/>
        <family val="2"/>
      </rPr>
      <t>If fall is under 0.30m select Quantity = 0. If fall is over 0.30m select Quantity = 1</t>
    </r>
  </si>
  <si>
    <t>Fully piered home (Fill/Trees)</t>
  </si>
  <si>
    <t>If house is sited within 2m of easement select Quantity = 1</t>
  </si>
  <si>
    <t>LHS Retaining</t>
  </si>
  <si>
    <t>RHS Retaining</t>
  </si>
  <si>
    <r>
      <rPr>
        <b/>
        <u/>
        <sz val="11"/>
        <rFont val="Euclid Circular B"/>
        <family val="2"/>
      </rPr>
      <t>Refer to Item 5. "Rear Setback" -</t>
    </r>
    <r>
      <rPr>
        <sz val="11"/>
        <rFont val="Euclid Circular B"/>
        <family val="2"/>
      </rPr>
      <t xml:space="preserve"> If lot is greater than 650m2 select Quantity = 1</t>
    </r>
  </si>
  <si>
    <t>460mm slab</t>
  </si>
  <si>
    <t>Unbalanced Cut/Fill due to GWH</t>
  </si>
  <si>
    <t>Total Fixed Site Costs</t>
  </si>
  <si>
    <r>
      <rPr>
        <b/>
        <sz val="16"/>
        <color theme="0"/>
        <rFont val="Euclid Circular B Light"/>
        <family val="2"/>
      </rPr>
      <t>Site Costs - Extra Over -</t>
    </r>
    <r>
      <rPr>
        <b/>
        <sz val="16"/>
        <color theme="0"/>
        <rFont val="Euclid Circular B Semibold"/>
        <family val="2"/>
      </rPr>
      <t xml:space="preserve"> 1001 to 1500mm Fall</t>
    </r>
  </si>
  <si>
    <t>Site costs including soil removal/importation of fill, piering to soil bearing capacity, cut/fill excavation up to 1500mm fall.</t>
  </si>
  <si>
    <t>Excavation</t>
  </si>
  <si>
    <t>Always selectable, please select Quantity = 1</t>
  </si>
  <si>
    <r>
      <rPr>
        <b/>
        <sz val="16"/>
        <color theme="0"/>
        <rFont val="Euclid Circular B Light"/>
        <family val="2"/>
      </rPr>
      <t xml:space="preserve">Site Costs - Extra Over - </t>
    </r>
    <r>
      <rPr>
        <b/>
        <sz val="16"/>
        <color theme="0"/>
        <rFont val="Euclid Circular B Semibold"/>
        <family val="2"/>
      </rPr>
      <t>1501 to 2000mm Fall</t>
    </r>
  </si>
  <si>
    <t>Site costs beyond general scope of works including excavation up to 2000mm fall, soil removal/importation of fill, piering/screw piles to additional depth, site retaining where applicable.</t>
  </si>
  <si>
    <t>If the house is sited within 2m of easement select Quantity = 1</t>
  </si>
  <si>
    <t>Unbalanced cut/fill due to GWH</t>
  </si>
  <si>
    <t>Unbalanced Cut/Fill due to Driveway Grad</t>
  </si>
  <si>
    <t>Greenfields Site Costs Fixed as per T&amp;C's</t>
  </si>
  <si>
    <t>Date:</t>
  </si>
  <si>
    <t>Client Signature:</t>
  </si>
  <si>
    <t xml:space="preserve">* Please refer to full Terms and Conditions as per standard package inclusions.  </t>
  </si>
  <si>
    <t>905704S</t>
  </si>
  <si>
    <t>919013T</t>
  </si>
  <si>
    <t>916632E</t>
  </si>
  <si>
    <t>909553Q</t>
  </si>
  <si>
    <t>Cabot 15  (Cabot 13 with double Garage)</t>
  </si>
  <si>
    <t>Chelsea 18 (Chelsea 16 with double Garage)</t>
  </si>
  <si>
    <t>4 Bed, 3 Bath, Double Car Garage, 1 Living Area</t>
  </si>
  <si>
    <t>Jackson 20 GE (Jackon 18 with double Garage)</t>
  </si>
  <si>
    <t>Jackson 20 (Jackon 18 with double Garage)</t>
  </si>
  <si>
    <t>Lucas 15 (Lucas 14 with double Garage)</t>
  </si>
  <si>
    <t>709524N/S72</t>
  </si>
  <si>
    <t>Where a home is 13m wide or greater, at least one of
the following is required:
– A setback in the front façade of a minimum
840mm. This step must be in addition to the
garage; or
– A portico/verandah with a minimum area of 10sqm.
The porch must also have a minimum 1.2m depth
at some point; or
– A verandah for the full length of the frontage
(excluding the garage)</t>
  </si>
  <si>
    <t>916543D</t>
  </si>
  <si>
    <t>Mobile:</t>
  </si>
  <si>
    <t>Email:</t>
  </si>
  <si>
    <t>724513H/S36</t>
  </si>
  <si>
    <t>PS900704U</t>
  </si>
  <si>
    <t>PS908170N</t>
  </si>
  <si>
    <t>918568A</t>
  </si>
  <si>
    <t>Meridian Estate48</t>
  </si>
  <si>
    <t>Heritage</t>
  </si>
  <si>
    <t>Moe 3821</t>
  </si>
  <si>
    <t>908166D</t>
  </si>
  <si>
    <t>Bennett Williams Pty Ltd</t>
  </si>
  <si>
    <t>0481 818 838</t>
  </si>
  <si>
    <t>908170N</t>
  </si>
  <si>
    <t>Provide Laminate Laundry Cabinets and M0 Mineral Surface Benchtop in lieu of standard Trough and Steel Cabinet including:
- 900mm wide x 580mm deep Laminate Base Cabinets with 2No. Doors
- 20mm M0 Mineral Surface Benchtop with 20mm Square Edge
- 1No. Posh Domaine 45ltr Stainless Steel Trough
- 900mm wide x 400mm high Category 1 Tiled Splashback</t>
  </si>
  <si>
    <t>922033T</t>
  </si>
  <si>
    <t>Boutique Aluminium Accessible Sliding Door to the Outdoor Living</t>
  </si>
  <si>
    <t>Matt Folkman / Chris McEvey / David Glavich / Amy Albrecht</t>
  </si>
  <si>
    <t>Provide exposed aggregate concrete driveway, path to the front porch and outdoor living in lieu of colour on concrete.</t>
  </si>
  <si>
    <t xml:space="preserve">Wyndham Vale </t>
  </si>
  <si>
    <t>Wyndham Vale</t>
  </si>
  <si>
    <t>Ballan 3024</t>
  </si>
  <si>
    <t>Matt Nesci</t>
  </si>
  <si>
    <t>Kode Living</t>
  </si>
  <si>
    <t>0499 883 888</t>
  </si>
  <si>
    <t>matt@kodeliving.com.au</t>
  </si>
  <si>
    <t>378 Ballan Road</t>
  </si>
  <si>
    <t>Along the Reserve sided boundary, side fencing must be no more than 1.2 metres in height for a
minimum 25% of the length of the boundary measured from the primary frontage of the lot.</t>
  </si>
  <si>
    <t>Doodwe 3KW standard inverter 5 x 440w Tier 1 panels - 2.2KW System.</t>
  </si>
  <si>
    <t>Doodwe 3KW standard inverter 12 x 440w Tier 1 panels - 5.28KW System.</t>
  </si>
  <si>
    <t>PS836026U</t>
  </si>
  <si>
    <t>Tarneit Point</t>
  </si>
  <si>
    <t>TARNEIT 3029</t>
  </si>
  <si>
    <t>920411X</t>
  </si>
  <si>
    <t xml:space="preserve">Daniel Muscut </t>
  </si>
  <si>
    <t>10% Holding costs:</t>
  </si>
  <si>
    <t>Is this a 10/90 deal?</t>
  </si>
  <si>
    <t>Timberbelle Place</t>
  </si>
  <si>
    <t>Yarra Junction 3797</t>
  </si>
  <si>
    <t>Melinda Darwall</t>
  </si>
  <si>
    <t>5967 1800</t>
  </si>
  <si>
    <t>mel@mcmath.com.au</t>
  </si>
  <si>
    <t>Sherwood Grange</t>
  </si>
  <si>
    <t>842444Q</t>
  </si>
  <si>
    <t>Non standard front, rear and side setbacks are needed. Please refer to the MCP Building Envelope.</t>
  </si>
  <si>
    <t>Maximum 50% site coverage.</t>
  </si>
  <si>
    <t>Minimum Front Setback - 7m to the front building line
Minimum Side Setbacks:
- For lots with a frontage of over 18m:  3m on one side and 1m on the other.
- For lots with a frontage of 18m or under:  2m on one side and 1m on the other.
Minimum Rear Setbacks - For lots with a minimum depth of:
- Lot Dpeth more than 34m, a rear wall of a building not exceeding 3.6 metres in
height must be set back from the rear boundary a minimum of 8
metres, and a rear wall of a building exceeding 3.6 metres in height
must be set back from the rear boundary a minimum of 10 metres.
Minimum Rear Setbacks - For lots with a minimum depth of:
- Lot Dpeth 34m or less, on lots less than 34 metres deep no walls shall be closer than 5
metres for single storey and 7.5 metres for walls greater than 3.6
metres in height</t>
  </si>
  <si>
    <t>The minimum dwelling size is:
• 160 square metres in the case of a lot having an area of 500
square metres or greater</t>
  </si>
  <si>
    <t>The garage setback must be a minimum of one 1m back from the front building line</t>
  </si>
  <si>
    <t>832946V</t>
  </si>
  <si>
    <t>832950F</t>
  </si>
  <si>
    <t>842475D</t>
  </si>
  <si>
    <t>901652G</t>
  </si>
  <si>
    <t>906055Y</t>
  </si>
  <si>
    <t>913250L</t>
  </si>
  <si>
    <t>Completed Homes</t>
  </si>
  <si>
    <t>COMPLETED HOMES INCLUSIONS:
Provide 40mm square edge to the Kitchen wall and island cabinets.
Please note: Engineered stone benchtops over 3000mm in length will require a join in the benchtop. This join will be placed in the most inconspicuous position.
Provide 1No. Posh Solus MK3 Gooseneck Sink Mixer in Chrome to the Kitchen in lieu of standard.
Provide 1No. Capped water point to the Fridge space.
Provide Laminate Laundry Cabinets and Engineered Stone Benchtop in lieu of standard Trough and Steel Cabinet including:
- 900mm wide x 580mm deep Laminate Cabinets with 2No. Doors
- 20mm Engineered Stone Benchtop with 20mm Square Edge
- 1No. Everhard Benchline 45ltr Stainless Steel Trough
- 900mm wide x 400mm high Category 1 Tiled Splashback
Provide category 1 floor to ceiling wall tiles to the Bathroom, Guest Ensuite and Ensuite.
Note: Excludes Ensuite WC if applicable.
Provide Matte Black finishes to all standard Chrome Fittings/Fixtures. This includes and is not limited to EVERYTHING in the Bathroom/Ensuite, Internal &amp; External Door Handles/Hinges/Latches/Strikers/Stops, Plug &amp; Waste, Shower Screens, Tile Trims, Sink Mixers &amp; Cabinet Handles. 
- Posh Solus MK3 Basin Mixer Tap in Matte Black in lieu of standard
- Posh Solus MK3 Shower/Wall Mixer in Matte Black in lieu of standard
- Posh Solus MK3 Wall Bath Mixer Set in Matte Black in lieu of standard
- Posh Solus MK3 Gooseneck Sink Mixer in Matte Black to the Kitchen and Laundry in lieu of standard
- Posh Domaine Single Rail Shower in Matte Black in lieu of standard
- Posh Solus MK2 Toilet Roll Holder Matte Black in Matte Black
- Posh Solus MK2 Single Towel Rail 750mm Matte Black
- Lockwood Velocity passage/privacy set and dummy handles, in Matte Black, in lieu of standard
- Lockwood Symmetry series entrance set Element Lever – 7550 Matte Black in lieu of standard
- Window frames to be Black
- Sliding door frame to be Black
Provide Stainless Steel Brick Ties due to proximity of Salt Water.
Provide 1No. approx. 330mm high x 535mm wide Tiled Shower Niche to the Bathroom and Ensuite showers. (2No. Total)
Provide 1No. Posh Bristol Single Rail Shower in chrome to the Bathroom and Ensuite showers in lieu of standard arm &amp; rose. (2No. Total)
Provide 1No. Posh Solus MK3 Double Bowl Undermount Sink in Stainless Steel to the ######### in lieu of standard double bowl sink.</t>
  </si>
  <si>
    <t>908246F/S5</t>
  </si>
  <si>
    <t>Please be mindful of the Building Exclusion Zones and review the trees that are remaining in the estate and the Tree Protection Zones surrounding them. 
Our Build can only take up 10% of the Zone, anything above that won't be approved by the Council.</t>
  </si>
  <si>
    <t>Lots 8, 9, 10, 11, 12, and 13 are affected by BAL-29. Add the following item and price.
BAL 29 rated site including the following items (if required):
- whirlybird to roof with ember guard
- aluminium flyscreens with aluminium mesh to all openable windows
- metal mesh to weepholes
- metal external door frames
- 4mm thick A Grade Safety glass to windows within 400mm of ground
- 5mm upgraded glazing to all windows 
- 6mm upgraded glazing to glass sliding doors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$3,500</t>
  </si>
  <si>
    <t xml:space="preserve">Lots 1, 2, 3, 4, 5, 6, and 7 are affected by BAL-19. Add the following item and price.
BAL 19 rated site including the following items (if required):
- whirlybird to roof with ember guard
- KD Hardwood external door frames
- aluminium flyscreens with aluminium mesh to all openable windows
- metal mesh to weepholes
- 4mm thick A Grade Safety glass to windows within 400mm of ground
- solid timber external doors
- ember seal on all Garage doors
- weather strips to the base of all external side hinged doors
- metal gas &amp; water pipes if exposed
Note: Once the BAL report is received, this rating may be increased and further charges applied due to construction requirements.
$2,100
</t>
  </si>
  <si>
    <t>Lots 1, 2, 10, 11, 12 ,13. Add in the item and price:
Provide 1No. 10,000 litre Static Metal Rain Water Tank connected to all toilets, garden usage, and for fire fighting purposes. Tank to have supplied &amp; installed CFA Kit.
$7,000</t>
  </si>
  <si>
    <t>Lots 3, 4, 5, 6, 7, 8, 9. Add in the items and price:
Provide 1No. 7,000 litre Static Metal Rain Water Tank connected to all toilets, garden usage, and for fire fighting purposes. Tank to have supplied &amp; installed CFA Kit.
$7,000</t>
  </si>
  <si>
    <t>Obscure glazing to Ensuite, Bathroom and WC (if applicable)</t>
  </si>
  <si>
    <t>Flood light with sensor outside laundry (if applicable)</t>
  </si>
  <si>
    <t>Aluminium awning windows (unless an alternative is required due to energy rating)</t>
  </si>
  <si>
    <t>Tiled Shower niche 330mm x 535mm</t>
  </si>
  <si>
    <t>R6.0 Insulation Batts to Ceiling (excludes Garage, Porch &amp; Outdoor Living as applicable)</t>
  </si>
  <si>
    <t>9-6</t>
  </si>
  <si>
    <t>R2.5 Insulation batts &amp; Sisalation to external Walls &amp; Garage/House internal wall (excludes Garage External walls)</t>
  </si>
  <si>
    <t>Carpet to balance of home, including stairs (if applicable)</t>
  </si>
  <si>
    <t>Brick Infills above windows to front Façade</t>
  </si>
  <si>
    <t>Choice of Category 2 Timber look laminate flooring Or Category 1 tiles to Entry and Living areas connected to the Kitchen (refer plan) from category 1 (Expansion trim/joint required for lengths greater then 12 meters)</t>
  </si>
  <si>
    <t>908223T</t>
  </si>
  <si>
    <t>The Grove Estate53</t>
  </si>
  <si>
    <t xml:space="preserve">Northside </t>
  </si>
  <si>
    <t>Clyde North 3977</t>
  </si>
  <si>
    <t>913569A</t>
  </si>
  <si>
    <t>0473 081 200</t>
  </si>
  <si>
    <t>rob@machgreen.com.au</t>
  </si>
  <si>
    <t>The following lots need to be double storeys:</t>
  </si>
  <si>
    <t>Refer to POS to confirm if lot has to be Double Storey:
- Lot 102 - 109, 141, 150 - 154.</t>
  </si>
  <si>
    <t>Minimum Dwelling Size:
- Greater than 400m2 - 140m2 ground floor living.
- 300 - 450m2 - 110m2 ground floor living.
- Below 300m2 - 80m2 ground floor living.</t>
  </si>
  <si>
    <t>garage openings are to occupy no more than 40% of the
width of the primary lot frontage, unless the dwelling
is two (2) or more storeys. On a lot with an area
between 250 to 300sqm the garage opening must
not exceed 30% of the area of the front façade of the
dwelling</t>
  </si>
  <si>
    <t>Provide 1No. 3000 litre Slim Line Poly Water Tank including back up to plumbing and connections for up to 3No. Toilets. (only for lots over 300m2) $6500</t>
  </si>
  <si>
    <t>Acoustic Allowance needed for the following lots:
- 141 - 144, 915 - 918, 1013 - 1016.
Allowance for Acoustic rated walls. $15000 single, $20000 double.</t>
  </si>
  <si>
    <t>Soft Line semi framed shower screen 1950mm high - clear glass choice from black or chrome frame</t>
  </si>
  <si>
    <t>920920A</t>
  </si>
  <si>
    <t>920921X</t>
  </si>
  <si>
    <t>902161W</t>
  </si>
  <si>
    <t>Note: * Developer Design Guidelines do not apply, Covenant only (refer POS)
** Lots 75 to 78 (inclusive) have a minimum 6mt front building setback</t>
  </si>
  <si>
    <t>Min 1.0 metre clear horizontal access down the entire length of at least one side boundary of the lot for the purpose of access to sewer.</t>
  </si>
  <si>
    <t xml:space="preserve">Garage must be setback min 800mm from the front wall of the dwelling;
Double car garage when the Lot's frontage is equal to or greater than 12 metres
Single car garage (as a minimum) with an additional area available on the lot to park a second car when the Lot's frontage is less than 12 metres
</t>
  </si>
  <si>
    <t>With a floor area less than 140m² excluding any verandahs and garage
Which is externally constructed out of materials other than clay or masonry brick, painted weatherboard, rendered masonry block, rendered brick or rendered cement sheeting</t>
  </si>
  <si>
    <t>16C</t>
  </si>
  <si>
    <t>PS848061A</t>
  </si>
  <si>
    <t>PS848492V</t>
  </si>
  <si>
    <t>3 Bed, 3 Bath, Single Car Garage, 1 Living Area</t>
  </si>
  <si>
    <t>Provide Single Storey Kickstarter Package including:
- Provide Single Storey Upgrade Package including:
  - 2590mm ceiling height to Single Storey
  - 40mm Square Edge to M0 Mineral Surface Benchtops in Kitchen
  - Provide Evaporative Cooling, up to 8No. outlets, to Single Storey in lieu of 1No. Split System
  - 2No. external Lights to Façade
- Provide 1No. Capped water point to the Fridge space
- Provide 1No. additional Double GPO to the Kitchen Island (1No. total)
- Provide 1No. 2040mm high x up to 1800mm wide Sliding Door unit with 2No. Mirror Sliding Doors to Bed 2, Bed 3 &amp; Bed 4 if applicable in lieu of standard hinged only doors (3No. Units total)</t>
  </si>
  <si>
    <t>Golden Rise</t>
  </si>
  <si>
    <t>For lots 300m² or greater, garage openings may not exceed 40% of the width of the primary street frontage.</t>
  </si>
  <si>
    <t>For Lots between 250-300m² where dwellings of two or more storeys are proposed, the
garage opening must not exceed 30% of the area of the front façade</t>
  </si>
  <si>
    <t>corner lots to have eaves to full length of the second street frontage. $80 per lm</t>
  </si>
  <si>
    <t>Woodlands Estate</t>
  </si>
  <si>
    <t>Woodstock</t>
  </si>
  <si>
    <t>905206K</t>
  </si>
  <si>
    <t>Adrian Di Girolamo</t>
  </si>
  <si>
    <t>1300 266 291</t>
  </si>
  <si>
    <t>info@PeppercornHill.com.au</t>
  </si>
  <si>
    <t>Irrespective of lot size (excluding Small Lot Housing Code (SLHC)
lots), the area of a dwelling (excluding porticos, verandahs, garages
and alfresco areas) cannot be less than 150m2</t>
  </si>
  <si>
    <t>corner lot dwellings must include eaves to both street frontages - $80 per lm</t>
  </si>
  <si>
    <t>A minimum roof pitch of 22.5 degrees is required for double
storey dwellings and associated garages</t>
  </si>
  <si>
    <t>Lot depth 10.5 or less needs a single car garage.
Lot depth above 10.5 can have a single or a double.</t>
  </si>
  <si>
    <t>908212Y</t>
  </si>
  <si>
    <t>Mattana2</t>
  </si>
  <si>
    <t>905980R</t>
  </si>
  <si>
    <t>Equity Strategy NDIS</t>
  </si>
  <si>
    <t>Access 20 HPS (Access 18 with Double Garage)</t>
  </si>
  <si>
    <t>Access 20 IL (Access 18 with Double Garage)</t>
  </si>
  <si>
    <t>Provide the Corner Treatment Option for the Cabot 13 including:
- Provide approx.350mm width reduction to the Bathroom.
- Provide a 1000mm high x 600mm wide Aluminium Sliding Window to the Bathroom in lieu of brickwork.
- Re arrange the Bathroom to suit.</t>
  </si>
  <si>
    <t>Unity Park9</t>
  </si>
  <si>
    <t>908396K</t>
  </si>
  <si>
    <t>901723K</t>
  </si>
  <si>
    <t>919028E</t>
  </si>
  <si>
    <t>CR Property Solutions</t>
  </si>
  <si>
    <t>Provide Kitchen Promotion Pack including:
- 40mm square edge to the Kitchen wall and island cabinets. Please note: M0 Mineral Surface benchtops over 3000mm in length will require a join in the benchtop. This join will be placed in the most inconspicuous position.
- 1No. Posh Solus MK3 Double Bowl Undermount Sink in Stainless Steel to the Kitchen in lieu of standard double bowl sink.
- 1No. Posh Solus MK2 Gooseneck Sink Mixer in Chrome to the Kitchen in lieu of standard Sink Mixer.
- 1No. 800mm wide x 900mm high Category 1 M0 Mineral Surface Waterfall End with 40mm Square Edging to either side of the Kitchen Island Benchtop if applicable, otherwise to one side of the Kitchen Island Benchtop.
- 1No. Capped water point to the Fridge space.
- 3No. Piatto 240 Black in Colour over Kitchen Island.
- Built in Domain 900mm Under Mount Rangehood (UMH90B).
- Category 1, colour on clear glass splashback to the Kitchen in lieu of wall tiles. Note: Refer to Colour Selection for colour. Glass has a green tinge to it, not 100% clear.</t>
  </si>
  <si>
    <t>Monarch</t>
  </si>
  <si>
    <t xml:space="preserve"> Deanside </t>
  </si>
  <si>
    <t>909268P</t>
  </si>
  <si>
    <t xml:space="preserve">CENTRAL EQUITY LIMITED </t>
  </si>
  <si>
    <t>TanmayS@centralequity.com.au</t>
  </si>
  <si>
    <t>0401 990 904</t>
  </si>
  <si>
    <t>909269P</t>
  </si>
  <si>
    <t>918625Q</t>
  </si>
  <si>
    <t>NEW HOMES DIRECT PTY LTD CAN</t>
  </si>
  <si>
    <t>921784A</t>
  </si>
  <si>
    <t>12 B</t>
  </si>
  <si>
    <t>Ooranya12B</t>
  </si>
  <si>
    <t>848025E</t>
  </si>
  <si>
    <t>Provide Electric appliances in lieu of standard including:
- 1No. Domain 900mm Premium Quality 10 Function Electric Oven - DEO-X90
- 1No. Domain Dual Bridge Induction Cooktop with Triple Flexi-Zone Burners and Touch Controls – 900mm – IND90-EC</t>
  </si>
  <si>
    <t>PS921361F</t>
  </si>
  <si>
    <t>PS836925H</t>
  </si>
  <si>
    <t>915744X</t>
  </si>
  <si>
    <t>901641M</t>
  </si>
  <si>
    <t>Nar Nar Goon North</t>
  </si>
  <si>
    <t>PS906428K</t>
  </si>
  <si>
    <t>917445X</t>
  </si>
  <si>
    <t>908246F/S4</t>
  </si>
  <si>
    <t>Mandalay Estate25</t>
  </si>
  <si>
    <t>617320S/S52</t>
  </si>
  <si>
    <t>901661F</t>
  </si>
  <si>
    <t>The Tarneit Place8</t>
  </si>
  <si>
    <t>904067C</t>
  </si>
  <si>
    <t>2.2kW Solar PV array with 5No. Solar PV Panels and 3kW Inverter</t>
  </si>
  <si>
    <t>7 Star Energy Rating report including Whole of Home assessment and compliance</t>
  </si>
  <si>
    <t>Maplewood12</t>
  </si>
  <si>
    <t>703224J</t>
  </si>
  <si>
    <t>Unity Park8</t>
  </si>
  <si>
    <t>906803K</t>
  </si>
  <si>
    <t xml:space="preserve">Dylan Cropley </t>
  </si>
  <si>
    <t>0437 532 999  </t>
  </si>
  <si>
    <t>pm4@pdinatale.com.au   </t>
  </si>
  <si>
    <t>PDI natale</t>
  </si>
  <si>
    <t xml:space="preserve">Danthonia Ave </t>
  </si>
  <si>
    <t>Aspire</t>
  </si>
  <si>
    <t>913291V</t>
  </si>
  <si>
    <t>Leave this cell for Shared crossover formula</t>
  </si>
  <si>
    <t>8.50/m2</t>
  </si>
  <si>
    <t>25.00/m2</t>
  </si>
  <si>
    <t>41.00/m2</t>
  </si>
  <si>
    <t>63.00/m2</t>
  </si>
  <si>
    <t>100.00/m2</t>
  </si>
  <si>
    <t>75.00/m2</t>
  </si>
  <si>
    <t>Provide Category 3 Gold Range 600mm x 600mm Floor Tiles (Non rectified edge) to the Lounge, Study, Master Bedroom, Bed 2, Bed 3 and Bed 4 in lieu of Category 1 Carpet.</t>
  </si>
  <si>
    <t>Provide Category 3 Gold Range 600mm x 600mm Floor Tiles (Non rectified edge) to the Entry, Kitchen, Living areas, Rear Hallway and Wet Areas in lieu of Cat 1 Bronze Range Floor Tiles.</t>
  </si>
  <si>
    <t>Provide Category 7 Hybrid Flooring to the Entry, Kitchen, Living areas and Rear Hallway if applicable in lieu of Category 1 Bronze Range Floor Tiles.</t>
  </si>
  <si>
    <t>Leave this cell for Stainless brick ties formula</t>
  </si>
  <si>
    <t>$426/each unit</t>
  </si>
  <si>
    <t>$6.00/m2</t>
  </si>
  <si>
    <t>$440/each</t>
  </si>
  <si>
    <t>$537/each</t>
  </si>
  <si>
    <t>$215/each</t>
  </si>
  <si>
    <t>$315/each</t>
  </si>
  <si>
    <t>$187/each</t>
  </si>
  <si>
    <t>$25/each</t>
  </si>
  <si>
    <t>Provide LED downlights in lieu of standard light points. (#No. Total) Refer to plans for locations.</t>
  </si>
  <si>
    <t>Provide LED downlights in lieu of standard light points throughout House for Single Storey. Refer to plans for locations.</t>
  </si>
  <si>
    <t>Provide LED downlights in lieu of standard light points throughout House for Double Storey. Refer to plans for locations.</t>
  </si>
  <si>
    <t>$132/each</t>
  </si>
  <si>
    <t>$85/each drawer</t>
  </si>
  <si>
    <t xml:space="preserve">MPAI INCLUSIONS:
- Provide Colorbond roofing in lieu of category 1 Roof Tiles
- Provide 1No. York 3.0kw Split System Air Conditioner to the #########
- Provide Standard light point and conical light shade throughout home in lieu of Supply &amp; Install LED Downlights.
- Provide 1No. Light Batten &amp; Nogg and Bollene Small Pendant – Frosted Glass
- Provide Domain 600mm Oven , 580mm Cooktop and 600mm Rangehood in lieu of 900mm Domain appliances.
- Provide 1No. 600mm wide x 400mm high Microwave Space with 1No. Double GPO and 1No. approx. 350mm high x 600mm wide Pot Drawer below to the ######### in lieu of standard Doors
- Provide 1No. Oliveri Sonetto Double Bowl Universal Sink - SN63TU - Stainless Steel to the ######### in lieu of standard double bowl sink
- Provide Laminate benchtops throughout home in lieu of M0 Mineral Surface Benchtops throughout home
- Provide 1No. approx. 280mm high x 280mm wide Tiled Shower Niche to the ######### Shower
- Provide exposed aggregate concrete driveway, front porch and outdoor living </t>
  </si>
  <si>
    <t>Leave this cell for Porch extension formula</t>
  </si>
  <si>
    <t>Leave this cell for co-living requirements formula</t>
  </si>
  <si>
    <t>Leave this cell only applicable for "HSP" NDIS houses.</t>
  </si>
  <si>
    <t>918569X</t>
  </si>
  <si>
    <t>849695A</t>
  </si>
  <si>
    <t>821913Y/S58</t>
  </si>
  <si>
    <t>927164A</t>
  </si>
  <si>
    <t>Lucio</t>
  </si>
  <si>
    <t>837922J</t>
  </si>
  <si>
    <t>913306K</t>
  </si>
  <si>
    <t>739560P</t>
  </si>
  <si>
    <t>913276R</t>
  </si>
  <si>
    <t>837653K</t>
  </si>
  <si>
    <t>Modeina Estate33</t>
  </si>
  <si>
    <t>Modeina Estate34</t>
  </si>
  <si>
    <t>Dunhelen</t>
  </si>
  <si>
    <t>908897L</t>
  </si>
  <si>
    <t>There is SLHC Type B in this Estate. Check the relevant lots against the SLHC Type B restrictions.</t>
  </si>
  <si>
    <t>The total width of the front of the building must
occupy at least 70% of the width of the lot at
the lot’s front boundary</t>
  </si>
  <si>
    <t>The house must be set back from one
of the lot’s side boundaries at least 1.0 m
unless the lot is SLHC.</t>
  </si>
  <si>
    <t>Every façade facing a street or park must be
at least moderately articulated. Plain facades such as Summit, Whitlam, Holt etc. won't be accepted.
If the house is double storey, the front façade
must be articulated with structures such as
balconies and gables.</t>
  </si>
  <si>
    <t xml:space="preserve"> A lot with a frontage of 12.5 m or more must
provide a double garage. 
The width of the garage door opening must not
exceed 40% of the primary lot frontage</t>
  </si>
  <si>
    <t>Winery Hill</t>
  </si>
  <si>
    <t xml:space="preserve">Greg Bettiol </t>
  </si>
  <si>
    <t>900108M</t>
  </si>
  <si>
    <t>Floor area must be at least 140m2 excluding the Porch, ODL and Garage. 
Check the POS incase this changed with the different stages.</t>
  </si>
  <si>
    <t>The Garage should be a minimum 800mm behind the front wall of the dwelling.
Lots that are 12.5m or wider, need a double garage.</t>
  </si>
  <si>
    <t>Hillview South</t>
  </si>
  <si>
    <t>902163S</t>
  </si>
  <si>
    <t>Floor area must be at least 110m2 excluding the Porch, ODL and Garage. 
Check the POS incase this changed with the different stages.
Garage set back to be no less than 5.4m.</t>
  </si>
  <si>
    <t>Madison Hill</t>
  </si>
  <si>
    <t>Mornington 3931</t>
  </si>
  <si>
    <t>804338E</t>
  </si>
  <si>
    <t>Check POS for specific restriction for Lot 19</t>
  </si>
  <si>
    <t>902488M</t>
  </si>
  <si>
    <t>824655D</t>
  </si>
  <si>
    <t>Kimberley - Keysborough</t>
  </si>
  <si>
    <t>Kimberley - Sunbury</t>
  </si>
  <si>
    <t>03 9684 8100</t>
  </si>
  <si>
    <t>Refer to specific neighbourhood for eave requirements</t>
  </si>
  <si>
    <t>Homes must be equipped with the ‘provision’ for electric 
vehicle (EV) charging.</t>
  </si>
  <si>
    <t>Minimum of three differentmaterials and textures. The main feature finish may constitute up to 70% of the overall front façade. (refer to specific Neighbourhood for requirements)</t>
  </si>
  <si>
    <t>Stained Timber fencing required for Neighbourhoods 2,3 &amp; 6</t>
  </si>
  <si>
    <t>Vista</t>
  </si>
  <si>
    <t>846424A</t>
  </si>
  <si>
    <t>Gull &amp; Company</t>
  </si>
  <si>
    <t>Travis McCarthy</t>
  </si>
  <si>
    <t>0421 668 564</t>
  </si>
  <si>
    <t>travis@gullgroup.com.au</t>
  </si>
  <si>
    <t>846424A/S2</t>
  </si>
  <si>
    <t>Drews Paddock</t>
  </si>
  <si>
    <t>903719P</t>
  </si>
  <si>
    <t>160 square metres in the case of a lot having an area of 500 square metres or greater; or
• 130 square metres in the case of a lot having an area of 400 square metres or greater but
less than 500 square metres.</t>
  </si>
  <si>
    <t>The Meadows on Eureka</t>
  </si>
  <si>
    <t>824292P/S2</t>
  </si>
  <si>
    <t>Min dwelling house size (excluding garage, verandah and usual outbuildings) of 150 square metres (except lots 10,19,33 and 34)</t>
  </si>
  <si>
    <t>Bal 12.5 for lots 1 to 4, 11 to 15
Bal 19 for lots 6 to 8 and 28
Bal 29 for lots 9, 10, 23 to 27 and 29 to 35.</t>
  </si>
  <si>
    <t>Tanks for lots 4 to 15, 23 to 32, 34, 35 will hold 5000L for fire fighting puposes
Lot 33 will hold 10,000L for fire fighting puposes</t>
  </si>
  <si>
    <t>Provide 1No. 5,000L water tank required for firefighting services for lots less than 1,000m2. = $5676
Provide 1No. 10,000L water tank required for firefighting services for lots 1,000L and above. = $6529</t>
  </si>
  <si>
    <t>E9</t>
  </si>
  <si>
    <t>Rosenthal EstateE9</t>
  </si>
  <si>
    <t>915274K</t>
  </si>
  <si>
    <t>918452V</t>
  </si>
  <si>
    <t>Mambourin Green</t>
  </si>
  <si>
    <t>923380Q</t>
  </si>
  <si>
    <t>Neil Mowat</t>
  </si>
  <si>
    <t>0420 803 047</t>
  </si>
  <si>
    <t xml:space="preserve"> Neil.Mowat@frasersproperty.com.au</t>
  </si>
  <si>
    <t>923380Q/S2</t>
  </si>
  <si>
    <t>906059Q</t>
  </si>
  <si>
    <t>905192T/S10</t>
  </si>
  <si>
    <t>Wallan</t>
  </si>
  <si>
    <t>8425537H/S26</t>
  </si>
  <si>
    <t>Woodsong</t>
  </si>
  <si>
    <t>906535J</t>
  </si>
  <si>
    <t>Minimum Floor Areas:
- Minimum 100m² on lots less than 350m²
- Minimum 120m² on lots between 350m² —600m²
- Minimum 150m² on lots over 601m²</t>
  </si>
  <si>
    <t>Garages must be setback a minimum 5.5m from the
primary frontage (or as approved by Council) and a
minimum 840mm from the main building line.</t>
  </si>
  <si>
    <t>Single storey dwellings on
lots with a width of 18m or more must have a minimum
dwelling width of 13m, including garage</t>
  </si>
  <si>
    <t>On lots with a width of 12.5m or greater, a double garage must
be constructed. The Garage opening must not exceed 40% of
the lot width for a single storey. For a double storey dwelling,
garage openings should not exceed 30% of the area of the
front façade of the dwelling.</t>
  </si>
  <si>
    <t>Corner lot fencing Only</t>
  </si>
  <si>
    <t>918451X</t>
  </si>
  <si>
    <t>Flinders Walk</t>
  </si>
  <si>
    <t>912185A</t>
  </si>
  <si>
    <t>Developer to provide boundary fencing</t>
  </si>
  <si>
    <t>912187V</t>
  </si>
  <si>
    <t>922269M</t>
  </si>
  <si>
    <t>Taylors Run10</t>
  </si>
  <si>
    <t>8462221Q</t>
  </si>
  <si>
    <t>Darling Darley</t>
  </si>
  <si>
    <t>922428T</t>
  </si>
  <si>
    <t>steve forte</t>
  </si>
  <si>
    <t>info@darlingdarley.com.au</t>
  </si>
  <si>
    <t>Lots with frontages equal or greater than 12.5 metres
must incorporate a double car garage</t>
  </si>
  <si>
    <t>Provide approx. 1950mm high Colourbond fencing in lieu of timber palings. Includes wing fence and Gate. Colour to be Monument</t>
  </si>
  <si>
    <t>All roofs (12.5m
frontage or above) must include minimum eaves width of 450mm to the
street frontage. Eaves to the frontage of a dwelling must have a 1.0m
minimum return.</t>
  </si>
  <si>
    <t>5 Bed, 5 Bath, Double Car Garage, 1 Living Area</t>
  </si>
  <si>
    <t>923380Q/S3</t>
  </si>
  <si>
    <t>915735Y</t>
  </si>
  <si>
    <t>837660N</t>
  </si>
  <si>
    <t>839572Y</t>
  </si>
  <si>
    <t>Acre Ridge</t>
  </si>
  <si>
    <t>Beaconsfield</t>
  </si>
  <si>
    <t>Taylors Development Strategists</t>
  </si>
  <si>
    <t>03 9501 2800</t>
  </si>
  <si>
    <t>design.guidelines@taylorsds.com.au</t>
  </si>
  <si>
    <t>Garages must be set back a minimum of 5m metres from
the front property boundary and a minimum 500mm behind
the main dwelling line.</t>
  </si>
  <si>
    <t>Lightweight infill is not permitted above windows and doors
visible to the public</t>
  </si>
  <si>
    <t>On lots with a width of 12.5m or greater, a double garage
must be constructed. The garage opening must not exceed
40% of the dwelling frontage for a single storey. Garage
openings must not exceed 25% of the area of the front façade
of any double storey dwelling.</t>
  </si>
  <si>
    <t>incloude</t>
  </si>
  <si>
    <t>913570R</t>
  </si>
  <si>
    <t>Solar panels should be positioned for maximum efficiency.</t>
  </si>
  <si>
    <t>Minimum 140m² ground floor area for Lots under 600m²
excluding garages, porches, verandahs, &amp; alfrescos.
Minimum 180m² ground floor area for Lots 601m² - 999m</t>
  </si>
  <si>
    <t>921302X</t>
  </si>
  <si>
    <t>909962W</t>
  </si>
  <si>
    <t>819190C/S41</t>
  </si>
  <si>
    <t>909277N</t>
  </si>
  <si>
    <t>912546T</t>
  </si>
  <si>
    <t>Oak Grove</t>
  </si>
  <si>
    <t>922061N</t>
  </si>
  <si>
    <t>Sokha Ieng</t>
  </si>
  <si>
    <t>0467 561 811</t>
  </si>
  <si>
    <t xml:space="preserve">oakgrove@rpmgrp.com.au </t>
  </si>
  <si>
    <t>Lot Size Greater than 450m2, living area must be at least 140m2
Lot Size between 300m2 - 450m2, living area must be at least 110m2
Lot Size between Below 300m2, living area must be at least 100m2</t>
  </si>
  <si>
    <t xml:space="preserve">For lots where the SLHC does not apply, garage openings are to occupy no
more than 40% of the width of the lot frontage, unless the dwelling is two or more storeys. </t>
  </si>
  <si>
    <t>Garages must be setback a minimum of 1.0 metre behind the building line
and be a minimum of 5.5 metres from the front boundary</t>
  </si>
  <si>
    <t>Properties over 300m2 - Provide 1No. 3000 litre Slim Line Poly Water Tank including plumbing and connections for up to 3No. Toilets. $6500</t>
  </si>
  <si>
    <t>Corner Lots only</t>
  </si>
  <si>
    <t>913263B</t>
  </si>
  <si>
    <t>902284E</t>
  </si>
  <si>
    <t>Manor Lakes Estate - Lakeside197</t>
  </si>
  <si>
    <t>846235D</t>
  </si>
  <si>
    <t>906184M</t>
  </si>
  <si>
    <t>842969B</t>
  </si>
  <si>
    <t>30 Carroll Lane</t>
  </si>
  <si>
    <t>908235L</t>
  </si>
  <si>
    <t>906551L</t>
  </si>
  <si>
    <t>918607S</t>
  </si>
  <si>
    <t>Eastleigh</t>
  </si>
  <si>
    <t>Orana11</t>
  </si>
  <si>
    <t>902147Q</t>
  </si>
  <si>
    <t>Timbarra Estate1</t>
  </si>
  <si>
    <t>900407B</t>
  </si>
  <si>
    <t>7 - Atkin</t>
  </si>
  <si>
    <t>917421N</t>
  </si>
  <si>
    <t>927198G</t>
  </si>
  <si>
    <t>724936C</t>
  </si>
  <si>
    <t>Crestwood Place</t>
  </si>
  <si>
    <t>839287X</t>
  </si>
  <si>
    <t>819658B</t>
  </si>
  <si>
    <t>Garage openings cannot exceed 25% of front façade
Garage openings must occupy no more than 40% of the width of the primary frontage of the lot.</t>
  </si>
  <si>
    <t>916570A</t>
  </si>
  <si>
    <t>UFG</t>
  </si>
  <si>
    <t>919014R</t>
  </si>
  <si>
    <t>Provide 1No. Inalto 600mm Dishwasher with Cutlery Tray (IDW7CS) to the ########## in lieu of standard Dishwasher.
$434</t>
  </si>
  <si>
    <t>4G</t>
  </si>
  <si>
    <t>Lucas Grange Estate4G</t>
  </si>
  <si>
    <t>903098V</t>
  </si>
  <si>
    <t>917397G</t>
  </si>
  <si>
    <t>843076N</t>
  </si>
  <si>
    <t>836025W</t>
  </si>
  <si>
    <t>Taylors Rise</t>
  </si>
  <si>
    <t>902438D</t>
  </si>
  <si>
    <t>The minimum floor area of a dwelling, excluding garages,
porches, pergolas, verandahs and the like, shall be 110.0m2</t>
  </si>
  <si>
    <t>a 2000L water tank to all lots 300m2 or greater</t>
  </si>
  <si>
    <t>906861U</t>
  </si>
  <si>
    <t>908409D</t>
  </si>
  <si>
    <t>913563N</t>
  </si>
  <si>
    <t>Westbrook Estate - Northern Precinct59</t>
  </si>
  <si>
    <t>828052P</t>
  </si>
  <si>
    <t>The Grange</t>
  </si>
  <si>
    <t>905325B</t>
  </si>
  <si>
    <t>On lots of 400 - 450m2, minimum home floor area of 120m2 
(excluding garages and verandah’s).
4On lots greater than 450m2, minimum home floor area of 160m2 
(excluding garages and verandah’s).
On lots greater than 800m2, minimum home floor area of 240m2 
(excluding garages and verandah’s).</t>
  </si>
  <si>
    <t>Stoprent Properties Pty Ltd</t>
  </si>
  <si>
    <t>Corner Lots - Provide a corner treatment, as per design guidelines, to the second street frontage.  $4,620</t>
  </si>
  <si>
    <t>Double Storey Eaves: $3300 to entire home</t>
  </si>
  <si>
    <t>Corner Lots: Additional charge for eaves required to return the full length of the home when facing a secondary frontage.</t>
  </si>
  <si>
    <t>Double garage door width must not exceed 6m.
For two storey dwellings, on lots with a frontage 18m or greater, 
garages that exceed 40% of the width of the allotments frontage are 
discouraged.</t>
  </si>
  <si>
    <t>Any retaining walls installed on a property must be stenciled coloured 
concrete or stone.
No timber retaining walls permitted that are visible to the street.</t>
  </si>
  <si>
    <t>Olive Court</t>
  </si>
  <si>
    <t>Colac 3250</t>
  </si>
  <si>
    <t>844290F</t>
  </si>
  <si>
    <t>Mannagum View</t>
  </si>
  <si>
    <t>911628W</t>
  </si>
  <si>
    <t>All dwellings to be greater than 150m2</t>
  </si>
  <si>
    <t>Reeves Place</t>
  </si>
  <si>
    <t>919934V</t>
  </si>
  <si>
    <t>Lantix</t>
  </si>
  <si>
    <t>913070N</t>
  </si>
  <si>
    <t>906407T</t>
  </si>
  <si>
    <t>906449B</t>
  </si>
  <si>
    <t>Category 1 Wall Tiles as nominated (refer working drawings)</t>
  </si>
  <si>
    <t>Leon 22-1B GE</t>
  </si>
  <si>
    <t>17-5</t>
  </si>
  <si>
    <t>P4 slip resistant Tiled flooring to master ensuite</t>
  </si>
  <si>
    <t>Interconnected smoke detectors with battery backup connected to emergency lighting</t>
  </si>
  <si>
    <t>All permits as required by Building Regulations -1B Building Permit</t>
  </si>
  <si>
    <t>903998G</t>
  </si>
  <si>
    <t>Helping Hands Property</t>
  </si>
  <si>
    <t>HH $2K Markup</t>
  </si>
  <si>
    <t>Prosper</t>
  </si>
  <si>
    <t>906331B</t>
  </si>
  <si>
    <t>Min house size 120 square metres</t>
  </si>
  <si>
    <t>Lucas Central</t>
  </si>
  <si>
    <t>910995X</t>
  </si>
  <si>
    <t>Julie Brooks</t>
  </si>
  <si>
    <t>julie@red23.com.au</t>
  </si>
  <si>
    <t>3H</t>
  </si>
  <si>
    <t>911037W</t>
  </si>
  <si>
    <t>with a minimum dwelling
size (excluding integrated garage) of 120.78 square metres</t>
  </si>
  <si>
    <t>Sunhak Bun</t>
  </si>
  <si>
    <t>917387K</t>
  </si>
  <si>
    <t>For all lots over 300m2- $4950</t>
  </si>
  <si>
    <t>543210K/S53</t>
  </si>
  <si>
    <t xml:space="preserve">Samara </t>
  </si>
  <si>
    <t>920333R</t>
  </si>
  <si>
    <t>920336K</t>
  </si>
  <si>
    <t>Prashansa Prashar</t>
  </si>
  <si>
    <t>0468 826 124</t>
  </si>
  <si>
    <t>prashansa@salesxwise.com.au</t>
  </si>
  <si>
    <t>Lots with a width of 10m or less at the frontage must only have a single garage,
where access is from the front of the lot.
Lots with a frontage of more than 12.5m should provide a double garage.
Garage door openings on single storey homes mustnot exceed 40% of the width of the lot frontage.</t>
  </si>
  <si>
    <t>One Bells Estate16</t>
  </si>
  <si>
    <t>902223B</t>
  </si>
  <si>
    <t>Mattana4</t>
  </si>
  <si>
    <t>Provide 1800mm high Lapped timber fencing with capping and 50mm bottom plinth. Includes wing fence and Gate.  $80 per meter</t>
  </si>
  <si>
    <t>Nelson Village</t>
  </si>
  <si>
    <t>Nelson Village2</t>
  </si>
  <si>
    <t>Mandalay Estate53</t>
  </si>
  <si>
    <t>Mandalay Estate52</t>
  </si>
  <si>
    <t>617320S / S52</t>
  </si>
  <si>
    <t>617320S / S53</t>
  </si>
  <si>
    <t>Turnkey Building Group (TKBG)</t>
  </si>
  <si>
    <t>Verdant Hill Estate17</t>
  </si>
  <si>
    <t>900101C</t>
  </si>
  <si>
    <t>908252L</t>
  </si>
  <si>
    <t>836794V</t>
  </si>
  <si>
    <t>Rathdowne Estate31</t>
  </si>
  <si>
    <t>819166Y/S32</t>
  </si>
  <si>
    <t>909280A</t>
  </si>
  <si>
    <t>913462U</t>
  </si>
  <si>
    <t>Flockhard St</t>
  </si>
  <si>
    <t>846155B</t>
  </si>
  <si>
    <t>Beveridge Williams</t>
  </si>
  <si>
    <t>5327 2000</t>
  </si>
  <si>
    <t>ballarat@bevwill.com.au</t>
  </si>
  <si>
    <t xml:space="preserve">Avenue Hill Estimate </t>
  </si>
  <si>
    <t>Gull &amp; company</t>
  </si>
  <si>
    <t>Travis Mccarthy</t>
  </si>
  <si>
    <t>716600J/S7</t>
  </si>
  <si>
    <t>716600J/S6</t>
  </si>
  <si>
    <t>All allotments require a sewerage pump–cost to the purchaser approximately $30k.</t>
  </si>
  <si>
    <t>Provide 2590mm high ceilings in lieu of 2440mm to the first floor of a double storey.</t>
  </si>
  <si>
    <t>included</t>
  </si>
  <si>
    <t>$6/m2</t>
  </si>
  <si>
    <r>
      <t xml:space="preserve">Provide 2720mm high ceilings </t>
    </r>
    <r>
      <rPr>
        <sz val="10"/>
        <color rgb="FF000000"/>
        <rFont val="Calibri"/>
        <family val="2"/>
      </rPr>
      <t xml:space="preserve">in lieu of 2590mm </t>
    </r>
    <r>
      <rPr>
        <sz val="10"/>
        <color rgb="FF0000FF"/>
        <rFont val="Calibri"/>
        <family val="2"/>
      </rPr>
      <t>to a single storey.</t>
    </r>
  </si>
  <si>
    <t>Provide 2720mm high ceilings in lieu of 2590mm to the ground floor of a double storey.</t>
  </si>
  <si>
    <t>836803X</t>
  </si>
  <si>
    <t>821033G/S21</t>
  </si>
  <si>
    <t>841955T/S2</t>
  </si>
  <si>
    <t>Clayton Rise</t>
  </si>
  <si>
    <t>903083K</t>
  </si>
  <si>
    <t>Provide 1No. 3000 litre Water Tank including plumbing and connections to up to 3No. Toilets. $4870</t>
  </si>
  <si>
    <t>any fence is new colorbond fencing in Woodland Grey colour 
and is to  be a height not less than 1.8 metres and not more than 2.0 metres above natural ground level</t>
  </si>
  <si>
    <t>829574B/S5</t>
  </si>
  <si>
    <t>Satin Water based Enamel Paint to Internal Doors, Skirting &amp; Architrave</t>
  </si>
  <si>
    <t>835074N</t>
  </si>
  <si>
    <t>901733G</t>
  </si>
  <si>
    <t>611333Q/S21</t>
  </si>
  <si>
    <t>Rosalia</t>
  </si>
  <si>
    <t>924392C</t>
  </si>
  <si>
    <t>Eaves 
to the frontage of a dwelling must return and 
continue a minimum distance of 1.0m along 
the connecting return wall and or walls.</t>
  </si>
  <si>
    <t>Corner lot dwellings must 
include eaves to both street frontages.</t>
  </si>
  <si>
    <t>Dwellings on a lot &gt;301sqm require a minimum 
3000L water tank. Dwellings on a lot 300sqm 
or less require a 2000L water tank.</t>
  </si>
  <si>
    <t>Provide a garage door(s) which does not 
exceed 40% of the lot frontage, where 
the house proposal is single storey.</t>
  </si>
  <si>
    <t>Constructed to a height of 2.0m  
(allowing for plinth and capping).</t>
  </si>
  <si>
    <t>923554H</t>
  </si>
  <si>
    <t>912238F</t>
  </si>
  <si>
    <t>Unity Park12</t>
  </si>
  <si>
    <t>916557R</t>
  </si>
  <si>
    <t>909375N</t>
  </si>
  <si>
    <t>Sebastopol 3350</t>
  </si>
  <si>
    <t>Lachlan Sylvia</t>
  </si>
  <si>
    <t>21Hertford</t>
  </si>
  <si>
    <t>904669W</t>
  </si>
  <si>
    <t>Garages should not take up more than 50% of the lot frontage</t>
  </si>
  <si>
    <t>Two car spaces should be provided for each dwelling with 3 or more bedrooms</t>
  </si>
  <si>
    <t>Lots greater than 400m2 = $4950</t>
  </si>
  <si>
    <t>821033G/S151</t>
  </si>
  <si>
    <t xml:space="preserve">Provide Single Storey Upgrade Package including:
- 2720mm high ceilings to a single storey
- Provide Evaporative Cooling with up to 8No. Outlets, to the whole single storey house in lieu of 1No. split system in Living Area
- Provide Laminate Laundry Cabinets and M0 Mineral Surface Benchtop in lieu of standard Trough and Steel Cabinet including:
  - 900mm wide x 580mm deep Laminate Cabinets with 1No. Doors
  - 20mm M0 Mineral Surface Benchtop with 20mm Square Edge
  - 1No.Posh Domaine Trough 45L Stainless Steel Trough
  - 900mm wide x 700mm high Category 1 Tiled Splashback above the Cabinet with approx. 600mm return
- Provide approx. 900mm wide x 660mm high x 320mm deep Laminate Overhead Cabinets </t>
  </si>
  <si>
    <t>Provide Evaporative Cooling with up to 8No. outlets, to the whole single storey house in lieu of 1No. split system in Living Area.</t>
  </si>
  <si>
    <t>Provide Evaporative Cooling with up to 5No. outlets to upstairs only of a double storey in lieu of 1No. split system in Master Bedroom.</t>
  </si>
  <si>
    <t>1No. Inverter Split System air conditioner to Living Area attached to Kitchen</t>
  </si>
  <si>
    <t>900641S</t>
  </si>
  <si>
    <t>Drews Paddock3</t>
  </si>
  <si>
    <t>843735X</t>
  </si>
  <si>
    <t>North Quarter1</t>
  </si>
  <si>
    <t>North Quarter3</t>
  </si>
  <si>
    <t>910058T</t>
  </si>
  <si>
    <t>Aberdeen</t>
  </si>
  <si>
    <t>924835T</t>
  </si>
  <si>
    <t>integra</t>
  </si>
  <si>
    <t>landsales@integragroup.com.au</t>
  </si>
  <si>
    <t>903111H</t>
  </si>
  <si>
    <t>912109S</t>
  </si>
  <si>
    <t>City Views Estate</t>
  </si>
  <si>
    <t>834400H</t>
  </si>
  <si>
    <t>sales@lenniumgroup.com.au</t>
  </si>
  <si>
    <t xml:space="preserve">Lennium Estate Covenants Coordinator </t>
  </si>
  <si>
    <t xml:space="preserve">The following minimum dwelling sizes shall apply (excludes garages, verandas and portico areas): 
300 – 399 sq. metres 110 sq. metres 
400 – 499 sq. metres 135 sq. metres 
&gt; 500 sq metres 150 sq. metres </t>
  </si>
  <si>
    <t>Provide approx. 1800mm high Colorbond Neetascreen Fencing in lieu of timber pailings. Includes Wing fence and Gate. Colour to be Grey.
$207 inc. gst (per lm - Half Share Fencing)
$413 inc. gst (per lm - Fulll Share Fencing)</t>
  </si>
  <si>
    <t>All houses must have a porch with a minimum size of 4 square metres</t>
  </si>
  <si>
    <t xml:space="preserve">All homes with the exception of lots with less than a 12 metre frontage must provide accommodation for 
at least a two car garage side by side, which must be integrated into the design of the house and constructed 
of the same materials.  </t>
  </si>
  <si>
    <t>913459H</t>
  </si>
  <si>
    <t>Burton 36</t>
  </si>
  <si>
    <t>Burton 40</t>
  </si>
  <si>
    <t>Allegra</t>
  </si>
  <si>
    <t>Leopold</t>
  </si>
  <si>
    <t>913047H</t>
  </si>
  <si>
    <t>RJ &amp; AM Clifton</t>
  </si>
  <si>
    <t>Elisha court</t>
  </si>
  <si>
    <t>AG 6/02/2025 - WIP door now 1No. Digital 
Deadbolt and 1No. Passage Set ilo entrance
set approved by management</t>
  </si>
  <si>
    <t xml:space="preserve">Provide the GE living pack including:
- Additional Ensuite with standard fixtures and fittings (design dependant)
- Solid Flush panel doors to the bedrooms only including Digital Deadbolts additional to the passage sets.
- Solid Flush panel door to WIP (Number of and location design dependant) 
- Lockable Pull out pantries and/or WIP with 1No. Digital Deadbolt and 1No. Passage Set (Number of and location design dependant) </t>
  </si>
  <si>
    <t>Evergreen Estate9</t>
  </si>
  <si>
    <t>921362D</t>
  </si>
  <si>
    <t>E8</t>
  </si>
  <si>
    <t>905396B</t>
  </si>
  <si>
    <t>Emu Springs3</t>
  </si>
  <si>
    <t>904671L</t>
  </si>
  <si>
    <t>Provide 1No. Posh Solus MK2 Gooseneck Sink Mixer in Chrome to the Kitchen in lieu of standard.</t>
  </si>
  <si>
    <t>Barrabool Views</t>
  </si>
  <si>
    <t>INVERLEIGH 3321</t>
  </si>
  <si>
    <t>908124V</t>
  </si>
  <si>
    <t>03 5202 4600</t>
  </si>
  <si>
    <t>only single storey with gross area more than 150m2</t>
  </si>
  <si>
    <t>INVERLEIGH 3320</t>
  </si>
  <si>
    <t>841609P</t>
  </si>
  <si>
    <t>only single storey with gross area more than 150m1</t>
  </si>
  <si>
    <t>Primrose Park</t>
  </si>
  <si>
    <t>900645J/S2</t>
  </si>
  <si>
    <t>Kinship</t>
  </si>
  <si>
    <t>928183Q</t>
  </si>
  <si>
    <t>inclued</t>
  </si>
  <si>
    <t>whole house double storey $3300</t>
  </si>
  <si>
    <t>STEVE FORTE</t>
  </si>
  <si>
    <t>0455 473 061</t>
  </si>
  <si>
    <t>sforte@coreprojects.com.au</t>
  </si>
  <si>
    <t>Kaylana</t>
  </si>
  <si>
    <t>928210Q</t>
  </si>
  <si>
    <t>0402 551 569</t>
  </si>
  <si>
    <t>Lots 132, 133 and 136 - Type A SLHC
Lots 101 to 108 and 121 to 125 (all inclusive) - Type B SLHC</t>
  </si>
  <si>
    <t>211B</t>
  </si>
  <si>
    <t>920928H</t>
  </si>
  <si>
    <t>Orana10</t>
  </si>
  <si>
    <t>904409A</t>
  </si>
  <si>
    <t xml:space="preserve">Apollo Investment </t>
  </si>
  <si>
    <t>32A</t>
  </si>
  <si>
    <t>913052Q</t>
  </si>
  <si>
    <t>Montview Estate</t>
  </si>
  <si>
    <t>918469C</t>
  </si>
  <si>
    <t>0434 624 565</t>
  </si>
  <si>
    <t>826444G</t>
  </si>
  <si>
    <t>908238E</t>
  </si>
  <si>
    <t>901737X</t>
  </si>
  <si>
    <t>903591P</t>
  </si>
  <si>
    <t>Berthon Park</t>
  </si>
  <si>
    <t>836052T</t>
  </si>
  <si>
    <t>Five Farms Estate2</t>
  </si>
  <si>
    <t>842537H/S2</t>
  </si>
  <si>
    <t>Harli</t>
  </si>
  <si>
    <t>927207J</t>
  </si>
  <si>
    <t>906468W</t>
  </si>
  <si>
    <t>916292C</t>
  </si>
  <si>
    <t>Riverfield26</t>
  </si>
  <si>
    <t>913557H</t>
  </si>
  <si>
    <t>Mawson 18</t>
  </si>
  <si>
    <t>909272Y</t>
  </si>
  <si>
    <t>Tulloh Street Estate 2</t>
  </si>
  <si>
    <t>900638F</t>
  </si>
  <si>
    <t>E10</t>
  </si>
  <si>
    <t>Rosenthal EstateE10</t>
  </si>
  <si>
    <t>922274U</t>
  </si>
  <si>
    <t>Lyndarum North19</t>
  </si>
  <si>
    <t>906433S</t>
  </si>
  <si>
    <t>918994G</t>
  </si>
  <si>
    <t>Provide Bathroom &amp; Ensuite Promotion Pack for up to 2No. Wet areas including:
- Category 1 floor to ceiling wall tiles to 2No. Wet Areas (excluding WC) includes square set plaster and laser battening to ceiling
- 1No. approx. 330mm high x 535mm wide Tiled Shower Niche to each shower up to 2No. showers
- Provide Posh Domaine Semi Inset Basin to all Basins in lieu of standard Basin
- Posh Solus MK3 Basin Mixer Tap in Chrome to all Basins in lieu of standard Basin Mixer
- Posh Domaine Twin Rail Shower in Chrome to all the showers in lieu of standard shower outlet
- Posh Domaine Close Coupled Rimless Toilet Suite to all the Toilets in lieu of standard</t>
  </si>
  <si>
    <t>Provide Bathroom &amp; Ensuite Promotion Pack for up to 3No. Wet Areas (Co Living Designs) including:
- Category 1 floor to ceiling wall tiles to 3No. Wet Areas (excluding WC) includes square set plaster and laser battening to ceiling
- 1No. approx. 330mm high x 535mm wide Tiled Shower Niche to each shower up to 3No. showers
- Provide Posh Domaine Semi Inset Basin to all Basins in lieu of standard Basin
- Posh Solus MK3 Basin Mixer Tap in Chrome to all Basins in lieu of standard Basin Mixer
- Posh Domaine Twin Rail Shower in Chrome to all the showers in lieu of standard shower outlet
- Posh Domaine Close Coupled Rimless Toilet Suite to all the Toilets in lieu of standard</t>
  </si>
  <si>
    <t>Up to 3 wet areas (bathroom/ensuites), 3 basins, 3 basin mixers, 3 shower niches, 3 toilets and 3 Shower rails. 3 full height tiled areas</t>
  </si>
  <si>
    <t>Up to 2 wet areas (bathroom/ensuites), 2 basins, 2 basin mixers, 2 shower niches, 2 toilets and 2 Shower rails. 2 full height tiled areas</t>
  </si>
  <si>
    <t>Provide Bathroom &amp; Ensuite Promotion Pack to the Leon 22 GE including:
- Category 1 floor to ceiling wall tiles to Ensuite 1, 2, 3, 4 and 5 (excluding WC) includes square set plaster and laser battening to ceiling
- 1No. approx. 330mm high x 535mm wide Tiled Shower Niche to Ensuite 2, 3, 4 and 5 showers
- Provide Posh Domaine Semi Inset Basin to Ensuite 2, 3, 4 and 5 Basins in lieu of standard Basin
- Posh Solus MK3 Basin Mixer Tap in Chrome to Ensuite 2, 3, 4 and 5 Basins in lieu of standard Basin Mixer
- Posh Domaine Twin Rail Shower in Chrome to Ensuite 2, 3, 4 and 5 showers in lieu of standard shower outlet
- Posh Domaine Close Coupled Rimless Toilet Suite to Ensuite 2, 3, 4 and 5  Toilets in lieu of standard</t>
  </si>
  <si>
    <t>Up to 5 wet areas (bathroom/ensuites) but consider Ensuite 1 only gets the full height tiling nothing else as it is a specificlly designed accessible room, 4 basins, 4 basin mixers, 4 shower niches, 4 toilets and 4 Shower rails. 5 full height tiled areas</t>
  </si>
  <si>
    <t>841637J</t>
  </si>
  <si>
    <t>906524P</t>
  </si>
  <si>
    <t>Ellery Estate15</t>
  </si>
  <si>
    <t>906462K</t>
  </si>
  <si>
    <t>908253J</t>
  </si>
  <si>
    <t>The Grove Estate54</t>
  </si>
  <si>
    <t>Banks 12</t>
  </si>
  <si>
    <t>2 Bed, 1 Bath, Single Car Garage, 1 Living</t>
  </si>
  <si>
    <t>Gibson 13</t>
  </si>
  <si>
    <t>3 Bed, 1 Bath, Single Car Garage, 1 Living Area</t>
  </si>
  <si>
    <t>Hume 15</t>
  </si>
  <si>
    <t>3 Bed, 2 Bath , Double Car Garage, 1 Living Areas</t>
  </si>
  <si>
    <t>Evans 20</t>
  </si>
  <si>
    <t>4 Bed, 3 Bath, Double Car Garage, 2 Living Areas, Study</t>
  </si>
  <si>
    <t xml:space="preserve"> Please note for selections, this design may not meet the required unshaded private open space at all orientations, 16m x 16m allotment may be required in some instances.</t>
  </si>
  <si>
    <t>Developer Land Referrals?</t>
  </si>
  <si>
    <t>902306W</t>
  </si>
  <si>
    <t>916639P</t>
  </si>
  <si>
    <t>924414U</t>
  </si>
  <si>
    <t>Seventh Bend Estate20</t>
  </si>
  <si>
    <t>906045C</t>
  </si>
  <si>
    <t>908288N</t>
  </si>
  <si>
    <t>No DGS for this estate</t>
  </si>
  <si>
    <t>No DGS for this estat</t>
  </si>
  <si>
    <t>921349U</t>
  </si>
  <si>
    <t>L3</t>
  </si>
  <si>
    <t>Lucas SanctuaryL3</t>
  </si>
  <si>
    <t>848310F</t>
  </si>
  <si>
    <t>23 A Bennet Street</t>
  </si>
  <si>
    <t>738773B</t>
  </si>
  <si>
    <t>923380Q/S4</t>
  </si>
  <si>
    <t>Jubilee Estate92</t>
  </si>
  <si>
    <t>809335J/S92</t>
  </si>
  <si>
    <t>912550D</t>
  </si>
  <si>
    <t>Orana22</t>
  </si>
  <si>
    <t>918620B</t>
  </si>
  <si>
    <t>Allora Avenue</t>
  </si>
  <si>
    <t>Ferntree Gully</t>
  </si>
  <si>
    <t>832533X</t>
  </si>
  <si>
    <t>Hall&amp; Wilcox</t>
  </si>
  <si>
    <t>www.hallandwilcox.com.au</t>
  </si>
  <si>
    <t>846209E</t>
  </si>
  <si>
    <t>PS847791Q</t>
  </si>
  <si>
    <t>921350L</t>
  </si>
  <si>
    <t>BC Property</t>
  </si>
  <si>
    <t>Low Deposit Homes</t>
  </si>
  <si>
    <t>MX Property Australia</t>
  </si>
  <si>
    <t>Property Wealth Qld</t>
  </si>
  <si>
    <t xml:space="preserve">Emerald Estate </t>
  </si>
  <si>
    <t>823970A</t>
  </si>
  <si>
    <t>Simon</t>
  </si>
  <si>
    <t>0421 333 114</t>
  </si>
  <si>
    <t xml:space="preserve">simon@fnlatrobe.com.au </t>
  </si>
  <si>
    <t>There are no Design Guidelines or Engineering Plan. 
You can use Canibuild to see contour lines to estimate the amount of fall on the block.</t>
  </si>
  <si>
    <t>921808N</t>
  </si>
  <si>
    <t>906443P</t>
  </si>
  <si>
    <t>Saltwater Coast Estate5</t>
  </si>
  <si>
    <t xml:space="preserve">37 Mary Street </t>
  </si>
  <si>
    <t>842348L</t>
  </si>
  <si>
    <t>Altura Estate</t>
  </si>
  <si>
    <t>Drouin</t>
  </si>
  <si>
    <t>919814G</t>
  </si>
  <si>
    <t>On a corner lot, any fence built to a secondary  boundary which is a street or public space, must:
 - Return a minimum of 2 metres behind the front building line
 - Provide approx. 2000mm high timber fencing with capping and 125x125 exposed posts in lieu of timber palings. Includes wing fence and Gate.</t>
  </si>
  <si>
    <t>Side and rear facing fences must:
 - Provide approx. 2000mm high timber fencing with capping and 125x75 exposed posts in lieu of timber palings. Includes wing fence and Gate.</t>
  </si>
  <si>
    <t>Your garage door or opening must take up 
no more than 40% of the width of the lot.</t>
  </si>
  <si>
    <t xml:space="preserve"> The front façade finishes must also continue 
for at least one metre around the sides 
of your home (excluding parapets).</t>
  </si>
  <si>
    <t>906863Q</t>
  </si>
  <si>
    <t>Provide 1No. additional 3.5kw split system unit to the Master Bedroom in lieu of Gas Ducted Heating due to no gas in the estate. -$307</t>
  </si>
  <si>
    <t>Redstone Estate</t>
  </si>
  <si>
    <t>21A</t>
  </si>
  <si>
    <t>912537U</t>
  </si>
  <si>
    <t>912375U</t>
  </si>
  <si>
    <t>31C</t>
  </si>
  <si>
    <t>Lara 3211</t>
  </si>
  <si>
    <t>Provide an additional Garden Tap. $187</t>
  </si>
  <si>
    <t>920558Q</t>
  </si>
  <si>
    <t>908108T</t>
  </si>
  <si>
    <t>Hunter Park Estate</t>
  </si>
  <si>
    <t>848603P</t>
  </si>
  <si>
    <t xml:space="preserve">(03) 5176 6990  </t>
  </si>
  <si>
    <t xml:space="preserve">Simon Burns </t>
  </si>
  <si>
    <t>908420R</t>
  </si>
  <si>
    <t>Eastleigh2</t>
  </si>
  <si>
    <t>918154E</t>
  </si>
  <si>
    <t>Floriana</t>
  </si>
  <si>
    <t>Floriana2</t>
  </si>
  <si>
    <t>54A</t>
  </si>
  <si>
    <t>929819P</t>
  </si>
  <si>
    <t>Clyde Springs Estate6</t>
  </si>
  <si>
    <t>808383C</t>
  </si>
  <si>
    <t>828050T</t>
  </si>
  <si>
    <t>924390G</t>
  </si>
  <si>
    <t>838320J</t>
  </si>
  <si>
    <t xml:space="preserve">Franklin North </t>
  </si>
  <si>
    <t>917894R</t>
  </si>
  <si>
    <t>834401F</t>
  </si>
  <si>
    <t>927225G</t>
  </si>
  <si>
    <t>922817G</t>
  </si>
  <si>
    <t>garima.pahuja@stockland.com.au</t>
  </si>
  <si>
    <t>0461 405 624</t>
  </si>
  <si>
    <t>Garima Pahuja</t>
  </si>
  <si>
    <t>Must have 2590mm ceilings</t>
  </si>
  <si>
    <t>porch, portico or
verandah with a minimum area of 4.0m2
and a minimum depth of 1.5m</t>
  </si>
  <si>
    <t>Single and double garages must be set
back a minimum of 840mm from the
front or side building line (not including
the porch). The exception to this is where
the house is double storey and the
second level covers 50% of the garage
area. In this case, the garage can be in
line with the front or side building line</t>
  </si>
  <si>
    <t>Where your home frontage is 13.0m wide
or greater at least one of the following is
required:
• A step in the front facade of a minimum
840mm (this step must be in addition
to any step at the garage), or
• A portico/verandah with a minimum
area of 10m2. The porch must also have
a depth of minimum 1.5m deep at
some point, or
• A verandah for the full length of
the frontage (excluding the garage).
Note: An entry recess is not a step in
the facade.</t>
  </si>
  <si>
    <t>The vertical face of any retaining wall
cannot be more than 1.2m in height,
otherwise it must be terraced.
Retaining walls which abut a street must
be constructed of stone or rendered
masonry, in line with the village character
and to the satisfaction of Stockland’s
Design Services Team. Concrete sleepers
will be assessed on merit.
Timber sleeper retaining walls may be
acceptable within the front yard, provided
they are painted to match the fence
colour or the dwelling colour scheme.</t>
  </si>
  <si>
    <t xml:space="preserve">Provide approx. 1890mm High Colorbond Neetascreen Fencing, Woodland Grey in colour in lieu of timber palings. Includes wing fence and Gate. </t>
  </si>
  <si>
    <t>929642D</t>
  </si>
  <si>
    <t>900522B</t>
  </si>
  <si>
    <t xml:space="preserve">Colour through concrete driveway and front path, porch &amp; outdoor living (if applicable) </t>
  </si>
  <si>
    <t xml:space="preserve">Colour through concrete driveway and front path, porch &amp; outdoor living (design specific) </t>
  </si>
  <si>
    <t>912552Y</t>
  </si>
  <si>
    <t>Parkside Berwick</t>
  </si>
  <si>
    <t>926698Q</t>
  </si>
  <si>
    <t>No Design guidelines, use Rescode and SLHC</t>
  </si>
  <si>
    <t>Provide a 32A Single GPO to the garage internal wall for electric vehicle charging. $570</t>
  </si>
  <si>
    <t>Provide R2.7 wall insulation to the external Walls &amp; Garage/House internal (excludes Garage
External walls) in lieu of standard Note: Price included double stringing of the walls to keep the
insulation in place while plastering $2,296</t>
  </si>
  <si>
    <t>Fully Electric Homes - Remove Gas run in, meter and gas lines
Provide Electric Hot Water Service in lieu of Gas Booster Solar Hot Water service
Provide Electric Hotplate in lieu of Gas cooktop
Provide Reverse Cycle Ducted Refrigerated heating and cooling unit in lieu of Gas Ducted Heater and split system $20,000</t>
  </si>
  <si>
    <t>Tapware and toilets to comply with developer set minimum WELS ratings $1500</t>
  </si>
  <si>
    <t>Provide 3 phase power to the home in lieu of single phase $2000</t>
  </si>
  <si>
    <t>Appliances upgrade to satisfy developer set requirements for energy star rating within 1 star of best avaialble $12,000</t>
  </si>
  <si>
    <t>Note: Any additional items required to meet Residential Building Codes or Developer Guidlines will be priced accordingly when a
Building Permit is requested. If a cost is incurred, this will be passed onto the client via a Variation</t>
  </si>
  <si>
    <t>918611C</t>
  </si>
  <si>
    <t>Refer Harpley fact sheet in folder with eng. High acoustic treament requires double glazing and sarking to roof $10k, low acoustic treatment we comply with already</t>
  </si>
  <si>
    <t>846231M</t>
  </si>
  <si>
    <t>Little Hampton</t>
  </si>
  <si>
    <t>928227W</t>
  </si>
  <si>
    <t>Building Envelope plan applicable in this estate</t>
  </si>
  <si>
    <t>For lots under 16m wide</t>
  </si>
  <si>
    <t>For lots over 16m wide</t>
  </si>
  <si>
    <t>$6m2</t>
  </si>
  <si>
    <t>***REGULATORY***</t>
  </si>
  <si>
    <t>DG reviewed price with Suni and Shifa 12/5/2025</t>
  </si>
  <si>
    <t>3000L to toilets including laundry $6500</t>
  </si>
  <si>
    <t>835202G</t>
  </si>
  <si>
    <t>849138K</t>
  </si>
  <si>
    <t>835206X</t>
  </si>
  <si>
    <t>835208T</t>
  </si>
  <si>
    <t>846211T</t>
  </si>
  <si>
    <t>Baker 14</t>
  </si>
  <si>
    <t>3 Bed, 2 Bath, Single Car Garage, 2 Living</t>
  </si>
  <si>
    <t>Leon 25 GE</t>
  </si>
  <si>
    <t>6 Bed, 6 Bath, Double Car Garage, 2 Living Areas</t>
  </si>
  <si>
    <t>House &amp; Land Co.</t>
  </si>
  <si>
    <t>Unity Assets</t>
  </si>
  <si>
    <t>922804R</t>
  </si>
  <si>
    <t>906498M</t>
  </si>
  <si>
    <t>Fellow Estate</t>
  </si>
  <si>
    <t>Oreana</t>
  </si>
  <si>
    <t>Lucy Hamiton</t>
  </si>
  <si>
    <t>Westbrook Kilmore</t>
  </si>
  <si>
    <t>Fencing of a lot boundary abutting an open space reserve must be semi transparent.</t>
  </si>
  <si>
    <t>Allowance for Native Plants $2000</t>
  </si>
  <si>
    <t>Regal &amp; Co</t>
  </si>
  <si>
    <t>Allemore</t>
  </si>
  <si>
    <t>Check BBZ envelope for where on boundary can apply otherwise min side setback is 1m</t>
  </si>
  <si>
    <t>encroachment allowed 600mm</t>
  </si>
  <si>
    <t>cut and fill limited to 1m - estate wants use of slop of land</t>
  </si>
  <si>
    <t>150 square metres in the case of a lot having an area of 500 square metres or greater; or
110 square metres in the case of a lot having an area of 400 square metres or greater but less than 500 square metres; or
85 square metres in the case of a lot having an area of less than 300</t>
  </si>
  <si>
    <t>Double garages must be provided on lots greater than 12.5 metres in width</t>
  </si>
  <si>
    <t>921494K</t>
  </si>
  <si>
    <t>allemore@jrdapprovals.com.au</t>
  </si>
  <si>
    <t>Le's Buy Property</t>
  </si>
  <si>
    <t>907123D</t>
  </si>
  <si>
    <t>922625R</t>
  </si>
  <si>
    <t>Perch</t>
  </si>
  <si>
    <t>830465Y</t>
  </si>
  <si>
    <t>Building Envelope applies</t>
  </si>
  <si>
    <t>Up to 500m2 min 130m2 excluding porch, garage and verandah. Over 500m2 160m2 excluding</t>
  </si>
  <si>
    <t>House fronatage must occupy at least 75% of lot width</t>
  </si>
  <si>
    <t>Garage not to occupy more than 40% of lot frontage</t>
  </si>
  <si>
    <t>902454F</t>
  </si>
  <si>
    <t>900626N</t>
  </si>
  <si>
    <t>923528J</t>
  </si>
  <si>
    <t>921920U</t>
  </si>
  <si>
    <t xml:space="preserve">Chillingham Rd </t>
  </si>
  <si>
    <t>No estate small subdivision</t>
  </si>
  <si>
    <t>Provide 1No.  Mizu Soothe MK2 Gooseneck Pull Out Sink Mixer Curved Chrome (5 Star) Lead Free with Vege Spray (2267440) in lieu of standard mixer</t>
  </si>
  <si>
    <t>915512V</t>
  </si>
  <si>
    <t>901732J</t>
  </si>
  <si>
    <t>918479Y</t>
  </si>
  <si>
    <t>903592M</t>
  </si>
  <si>
    <t>Stretton Estate</t>
  </si>
  <si>
    <t>846772A</t>
  </si>
  <si>
    <t>On corner lots, the house entry should be located on the long side of the lot to avoid an
extended blank side with little surveillance</t>
  </si>
  <si>
    <t>Upper level walls longer than 10m are to be stepped back a minimum of 1m and provide
articulation.</t>
  </si>
  <si>
    <t>Garages are restricted to a single width garage (maximum exposed façade width of 4
metres) on Lots with frontages 12.5 metres wide or less, to ensure they do not dominate the
streetscape.
Double width garages are only permitted on Lots greater than 12.5m wide (being the
minimum lot width to which STDC applies)</t>
  </si>
  <si>
    <t>Garages on corner lots should be accessed from the secondary street (unless solar
orientation would be compromised). Setbacks for garages on secondary frontages are as</t>
  </si>
  <si>
    <t>Porch min 1.5m deep</t>
  </si>
  <si>
    <t>6m2</t>
  </si>
  <si>
    <t>904201B</t>
  </si>
  <si>
    <t>848067M</t>
  </si>
  <si>
    <t>845077A</t>
  </si>
  <si>
    <t>6 Bushy Rd Clyde North</t>
  </si>
  <si>
    <t>Garage door cannot exceed 40% of lot width</t>
  </si>
  <si>
    <t>$1430 LL</t>
  </si>
  <si>
    <t>$$6/m2m2 LL</t>
  </si>
  <si>
    <t>$5000 LL</t>
  </si>
  <si>
    <t>901742F</t>
  </si>
  <si>
    <t>901749Q</t>
  </si>
  <si>
    <t xml:space="preserve">7 Illawarra Rd </t>
  </si>
  <si>
    <t>Hampton Park</t>
  </si>
  <si>
    <t>846959H</t>
  </si>
  <si>
    <t xml:space="preserve">Lot 27 No. 12 Indra Street </t>
  </si>
  <si>
    <t>63 Eliza Street Keilor Park</t>
  </si>
  <si>
    <t>Keilor Park</t>
  </si>
  <si>
    <t xml:space="preserve">KDRB </t>
  </si>
  <si>
    <t>For corner externd eaves to entire length of side street elevation $60 lin m.</t>
  </si>
  <si>
    <t/>
  </si>
  <si>
    <t>913056G</t>
  </si>
  <si>
    <t>Axon Property Group</t>
  </si>
  <si>
    <t>Uinvest</t>
  </si>
  <si>
    <t>Focus Property Group</t>
  </si>
  <si>
    <t>Care Building Group</t>
  </si>
  <si>
    <t>Matilda</t>
  </si>
  <si>
    <t>908985P</t>
  </si>
  <si>
    <t>If the area of the lot is between 300m2-450m2, the dwelling
must have a minimum habitable ground floor area (excluding
porch, garage, or outdoor living areas) of 100m2 for a singlestorey home and 75m2 for a double-storey home.
If the area of the lot is between 451m2-600m2, the dwelling
must have a minimum habitable ground floor area (excluding
porch, garage or outdoor living areas) of 120m2 for a singlestorey home and 85m2 for a double-storey home.
If the area of the lot is larger than 600m2, the dwelling must
have a minimum habitable ground floor area of 200m2</t>
  </si>
  <si>
    <t>Porch min 4m2 and 1.5m deep</t>
  </si>
  <si>
    <t>Garage no wider than 4.8m</t>
  </si>
  <si>
    <t>Corner lots to have eaves down side street side</t>
  </si>
  <si>
    <t>1950mm high $1420</t>
  </si>
  <si>
    <t>908988H</t>
  </si>
  <si>
    <t>923524S</t>
  </si>
  <si>
    <t>902263N</t>
  </si>
  <si>
    <t>912252M</t>
  </si>
  <si>
    <t>Zeal Estate</t>
  </si>
  <si>
    <t>Must have 1m clear down 1 side</t>
  </si>
  <si>
    <t>915920E</t>
  </si>
  <si>
    <t>909361A</t>
  </si>
  <si>
    <t>No estate guidelines</t>
  </si>
  <si>
    <t>921815R</t>
  </si>
  <si>
    <t>842537H/S28</t>
  </si>
  <si>
    <t>923553K</t>
  </si>
  <si>
    <t xml:space="preserve">AWPS </t>
  </si>
  <si>
    <t>Calise Consultancy</t>
  </si>
  <si>
    <t>IFIG</t>
  </si>
  <si>
    <t>GL INVESTMENT</t>
  </si>
  <si>
    <t xml:space="preserve">Jinding </t>
  </si>
  <si>
    <t>SPGR China</t>
  </si>
  <si>
    <t>SPGR SYD</t>
  </si>
  <si>
    <t>918444U</t>
  </si>
  <si>
    <t xml:space="preserve">DG priced via fraser air. </t>
  </si>
  <si>
    <t>Provide Refrigerated Reverse Cycle Cooling to a Single Storey up to 20 Squares in lieu of standard gas ducted and split system including:
- 1No. Rinnai DINLR09B1/DONSR09B1 Electric Reverse Cycle one phase air conditioning system ducted to
8 ceiling points.
- Up to 8No. outlets 
- 2No. Zone Motors *Zone 1 (Day): Living * Zone 2: (Night) Sleeping
- 1 No. Programmable Controller with separate 2 zone manual gang switch Day/night Zoning (no individual temp control to zones)
- 1No. Filtered Return Air Grille
- 1200mm (W) x 650mm (D) Concrete Pad for Condenser Unit
- 25amp external isolated weatherproof GPO for condenser unit to RHS of condenser unit
- 16amp single GPO for roof space unit</t>
  </si>
  <si>
    <t>The Lookout</t>
  </si>
  <si>
    <t>Eliminyt 3250</t>
  </si>
  <si>
    <t>927784S</t>
  </si>
  <si>
    <t>0429 136 677</t>
  </si>
  <si>
    <t>Min 1m on one side boundary</t>
  </si>
  <si>
    <t>Eaves to full length of corner side</t>
  </si>
  <si>
    <t>12.5m lot must have a double garage</t>
  </si>
  <si>
    <t>Under 300m2 100m2
300 - 400 - 110m2
400+ - 130m2</t>
  </si>
  <si>
    <t>cut fill max 1m - Developer wants split levels.</t>
  </si>
  <si>
    <t>Doubles require full perimeter eaves $3300</t>
  </si>
  <si>
    <t>Reventon Charity Mark up DO NOT ADD TO TENDER</t>
  </si>
  <si>
    <t>Desmond St Moe</t>
  </si>
  <si>
    <t>No DG's</t>
  </si>
  <si>
    <t>Colorbond for western boundry only assume where estate ends</t>
  </si>
  <si>
    <t>929643B</t>
  </si>
  <si>
    <t>Returning min 2000mm $1430</t>
  </si>
  <si>
    <t>Returning min 2000mm $1431</t>
  </si>
  <si>
    <t>Returning min 2000mm $1432</t>
  </si>
  <si>
    <t>Returning min 2000mm $1433</t>
  </si>
  <si>
    <t>Returning min 2000mm $1434</t>
  </si>
  <si>
    <t>Returning min 2000mm $1435</t>
  </si>
  <si>
    <t>Returning min 2000mm $1436</t>
  </si>
  <si>
    <t>Returning min 2000mm $1437</t>
  </si>
  <si>
    <t>Returning min 2000mm $1438</t>
  </si>
  <si>
    <t>Returning min 2000mm $1439</t>
  </si>
  <si>
    <t>Returning min 2000mm $1440</t>
  </si>
  <si>
    <t>Returning min 2000mm $1441</t>
  </si>
  <si>
    <t>Returning min 2000mm $1442</t>
  </si>
  <si>
    <t>Returning min 2000mm $1443</t>
  </si>
  <si>
    <t>Returning min 2000mm $1444</t>
  </si>
  <si>
    <t>Returning min 2000mm $1445</t>
  </si>
  <si>
    <t>Returning min 2000mm $1446</t>
  </si>
  <si>
    <t>Returning min 2000mm $1447</t>
  </si>
  <si>
    <t>Returning min 2000mm $1448</t>
  </si>
  <si>
    <t>Returning min 2000mm $1449</t>
  </si>
  <si>
    <t>Returning min 2000mm $1450</t>
  </si>
  <si>
    <t>Returning min 2000mm $1451</t>
  </si>
  <si>
    <t>Returning min 2000mm $1452</t>
  </si>
  <si>
    <t>Returning min 2000mm $1453</t>
  </si>
  <si>
    <t>Returning min 2000mm $1454</t>
  </si>
  <si>
    <t>Returning min 2000mm $1455</t>
  </si>
  <si>
    <t>Returning min 2000mm $1456</t>
  </si>
  <si>
    <t>Returning min 2000mm $1457</t>
  </si>
  <si>
    <t>Returning min 2000mm $1458</t>
  </si>
  <si>
    <t>Returning min 2000mm $1459</t>
  </si>
  <si>
    <t>Returning min 2000mm $1460</t>
  </si>
  <si>
    <t>Returning min 2000mm $1461</t>
  </si>
  <si>
    <t>Returning min 2000mm $1462</t>
  </si>
  <si>
    <t>Returning min 2000mm $1463</t>
  </si>
  <si>
    <t>Returning min 2000mm $1464</t>
  </si>
  <si>
    <t>Returning min 2000mm $1465</t>
  </si>
  <si>
    <t>Returning min 2000mm $1466</t>
  </si>
  <si>
    <t>Returning min 2000mm $1467</t>
  </si>
  <si>
    <t>Returning min 2000mm $1468</t>
  </si>
  <si>
    <t>Returning min 2000mm $1469</t>
  </si>
  <si>
    <t>Returning min 2000mm $1470</t>
  </si>
  <si>
    <t>Returning min 2000mm $1471</t>
  </si>
  <si>
    <t>Returning min 2000mm $1472</t>
  </si>
  <si>
    <t>Returning min 2000mm $1473</t>
  </si>
  <si>
    <t>Returning min 2000mm $1474</t>
  </si>
  <si>
    <t>Returning min 2000mm $1475</t>
  </si>
  <si>
    <t>Returning min 2000mm $1476</t>
  </si>
  <si>
    <t>Returning min 2000mm $1477</t>
  </si>
  <si>
    <t>Returning min 2000mm $1478</t>
  </si>
  <si>
    <t>Returning min 2000mm $1479</t>
  </si>
  <si>
    <t>Returning min 2000mm $1480</t>
  </si>
  <si>
    <t>Returning min 2000mm $1481</t>
  </si>
  <si>
    <t>Returning min 2000mm $1482</t>
  </si>
  <si>
    <t>The Rise Traralgon</t>
  </si>
  <si>
    <t>903991W</t>
  </si>
  <si>
    <t>Up to 600m2 - 100m2 of living area excl. Garage,Porch, Outdoor Living
Over 600m2 - 140m of living area excl. Garage,Porch, Outdoor Living</t>
  </si>
  <si>
    <t>Lots 36, 37, 121, 122 and 130 are affected by Design Guidelines. Rest run off covenant which is the basic stuff.</t>
  </si>
  <si>
    <t>919018H</t>
  </si>
  <si>
    <t>923763X</t>
  </si>
  <si>
    <t>900506Y</t>
  </si>
  <si>
    <t>Free Front landscaping and fecning for titled lots</t>
  </si>
  <si>
    <t>842537H/S29</t>
  </si>
  <si>
    <t>Alma Estate Clyde North</t>
  </si>
  <si>
    <t>923769K</t>
  </si>
  <si>
    <t xml:space="preserve">Lucy Hamilton </t>
  </si>
  <si>
    <t>Corner lot to have eaves on street side full length $80lin m</t>
  </si>
  <si>
    <t>10m wide lot single Garage, 12,5m lot must have double garage. Garage door width no more than 40% of lot width.</t>
  </si>
  <si>
    <t>Retaining no more than 1m tall.</t>
  </si>
  <si>
    <t>Fence with plinth</t>
  </si>
  <si>
    <t>3000L connected to toilet sand laundry $6500</t>
  </si>
  <si>
    <t>921073L</t>
  </si>
  <si>
    <t>825886C</t>
  </si>
  <si>
    <t>906454J</t>
  </si>
  <si>
    <t>Billion Finance Group</t>
  </si>
  <si>
    <t>Acrylic Bath (Design Specific)</t>
  </si>
  <si>
    <t>905397Y</t>
  </si>
  <si>
    <t>923526N</t>
  </si>
  <si>
    <t>Flinders View Drysdale</t>
  </si>
  <si>
    <t>906878B</t>
  </si>
  <si>
    <t>Provide approx. 1950mm high timber fencing with capping and 125x75 exposed posts in lieu of timber palings. Includes wing fence and Gate. $540</t>
  </si>
  <si>
    <t>Corner lot eaves to return full length of secondary street side $80lin m</t>
  </si>
  <si>
    <t>Doubel Gargage a must for 12.5m or greater</t>
  </si>
  <si>
    <t>Double storey eaves to full perimeter</t>
  </si>
  <si>
    <t>Allotment Size: Minimum Dwelling Size:
Under 300m2 80m2
300m2-400m2 100m2
400m2-500m2 130m2
Above 500m2 150m</t>
  </si>
  <si>
    <t>26a</t>
  </si>
  <si>
    <t>922972T</t>
  </si>
  <si>
    <t>1.2m side setback unless dwelling is boundary to boundary
Lot with easement such as stormwater or sewer cannot be boundary to boundary - must have 1.2m side access</t>
  </si>
  <si>
    <t>Porch min 2m2</t>
  </si>
  <si>
    <t>Corner lot eave to return down entire secondary street side $80 lin m</t>
  </si>
  <si>
    <t>Min 1m down 1 side required</t>
  </si>
  <si>
    <t>drokka@coreproperty.com.au</t>
  </si>
  <si>
    <t>923573D</t>
  </si>
  <si>
    <t>PS915745V</t>
  </si>
  <si>
    <t>Provide 1No. Additional TV point and Double GPO at 300mm high from FFL to all bedrooms of a GE product. Additional TV points include for TV signal booster.</t>
  </si>
  <si>
    <t xml:space="preserve">Applies to Co Living product and price based off Leon </t>
  </si>
  <si>
    <t>Leopold Green Estate</t>
  </si>
  <si>
    <t>Leopold 3225</t>
  </si>
  <si>
    <t>901908W</t>
  </si>
  <si>
    <t>LOT 8 REMOVE OR ALTER THE SEMI-PERMEABLE BOUNDARY FENCING ALONG THE SHARED
TITLE BETWEEN RESERVE AND LOT 8</t>
  </si>
  <si>
    <t>LOTS 13,14 &amp; 30 PROVIDE 1.0 METRE CLEAR HORIZONTAL ACCESS TO THE SOUTHERN TITLE
BOUNDARY
LOTS 10,11 &amp; 12  1.0 METRE CLEAR HORIZONTAL ACCESS TO THE WESTERN TITLE
BOUNDARY</t>
  </si>
  <si>
    <t>917845F</t>
  </si>
  <si>
    <t>Grand Central Estate18</t>
  </si>
  <si>
    <t>906532Q</t>
  </si>
  <si>
    <t>Provide a Goodwe 3KW standard inverter 12 x 440w Tier 1 panels - 5.28KW System in lieu of standard system.
$3200</t>
  </si>
  <si>
    <t>Provide a Goodwe 3KW standard inverter 12 x 440w Tier 1 panels - 5.28KW System in lieu of standard system.  $3200</t>
  </si>
  <si>
    <t>Solar Photovoltaic system upgrade designed to generate renewable energy equal to 100% of the homes electrical demand on an
annualised basis. Allowance for a Goodwe 3KW standard inverter 12 x 440w Tier 1 panels - 5.28KW System in lieu of standard system.
$3200</t>
  </si>
  <si>
    <t>Provide the Aspire Group upgrade pack including:
Provide Neutralizing to all Brickwork.
Note: For light coloured Bricks, the acid wash needs to be neutralized to help prevent iron staining, acid burning or vanadium staining.
Provide 1No. additional Weatherproof Double GPO to the Outdoor Living (1No. Total)
Provide Category 7 Hybrid Flooring to the Entry, Kitchen, Living areas and Rear Hallway if applicable in lieu of Category 1 Bronze Range Floor Tiles.
Provide 1No. 2040mm high x 920mm wide PMAD Door with Clear Glazing to the Front Entry in lieu of 2040mm high x 820mm wide PMAD Door with Clear Glazing.
Provide 1No. Additional Double GPO to all bedrooms. 
Provide 1No. 2040mm high x up to 1800mm wide Sliding Door unit with 2No. Mirror Sliding Doors to Bed 2, 3 &amp; 4in lieu of standard hinged only doors. (3No. Unit total)
Provide Evaporative Cooling with up to 8No. outlets, to the whole single storey house in lieu of 1No. split system in Living Area.
Provide 1No. Posh Solus MK2 Gooseneck Sink Mixer in Chrome to the Kitchen in lieu of standard.
Provide category 1 Brickwork above all windows &amp; doors in lieu of painted infill panel.
Note: This excludes Garage sectional panel.
Provide 1No. additional TV point for NBNco Community.
Provide 40mm square edge to the Kitchen wall and island cabinets.
Please note: M0 Mineral Surface benchtops over 3000mm in length will require a join in the benchtop. This join will be placed in the most inconspicuous position.
Provide category 1 floor to ceiling wall tiles to the Bathroom, Guest Ensuite (if applicable) and Ensuite.
Note: Excludes Ensuite WC if applicable.
Provide 1No. 800mm wide x 900mm high Category 1 M0 Mineral Surface Waterfall End with 20mm Square Edging to either side of the Kitchen Island Benchtop. (2No. total)</t>
  </si>
  <si>
    <t>Aspire Group only, requested by Layal 22/7</t>
  </si>
  <si>
    <t>Sunrise Estate</t>
  </si>
  <si>
    <t>914919T</t>
  </si>
  <si>
    <t>Supavest</t>
  </si>
  <si>
    <t>The minimum front wall setback is 4.5m from the primary frontage, except for lots between 250 and
300 square metres opposite or abutting a passive or active open space area or local town centre /
activity centre, where the front setback can be reduced to 3m
At least a 3m rear setback from the rear boundary</t>
  </si>
  <si>
    <t>On corner, eaves to contiue down side $80m</t>
  </si>
  <si>
    <t>Gaage not to exceed 40% of width of lot. Lots under 12.5 single garage only.</t>
  </si>
  <si>
    <t>Porticos min 4m2 and 1m depth for over 300m2 
Under 300m2 3m2 and 1m depth</t>
  </si>
  <si>
    <t>914920K</t>
  </si>
  <si>
    <t>914923D</t>
  </si>
  <si>
    <t>914924B</t>
  </si>
  <si>
    <t>Bricks from Builder's Range Category 1</t>
  </si>
  <si>
    <t>906051H</t>
  </si>
  <si>
    <t>The Mount - Mount Duneed</t>
  </si>
  <si>
    <t>Belle Property</t>
  </si>
  <si>
    <t>03 5295 0009</t>
  </si>
  <si>
    <t>905317A</t>
  </si>
  <si>
    <t>Min floor area 140m2 not including portico, outdoor living and garage</t>
  </si>
  <si>
    <t>Front Setback 4m no encroachment</t>
  </si>
  <si>
    <t>12m wide frontage must have double garage, belwo 12m can be single or double</t>
  </si>
  <si>
    <t xml:space="preserve"> Lots 101 to 108, 115 to 119, 121, 124 to 126, 130 to 132, 135 to 137 (all inclusive)  need 1m clear horizontal access down one side for access to sewer</t>
  </si>
  <si>
    <t>927176S</t>
  </si>
  <si>
    <t>915747R</t>
  </si>
  <si>
    <t>Roofing must meet Solar Reflectance Index (SRI) greater than 34. Compliant Roof Tile colours include "Wild Rice" "Mist Grey" "Seashell" "Salt Spray"</t>
  </si>
  <si>
    <t>916581U</t>
  </si>
  <si>
    <t>Ballarat East</t>
  </si>
  <si>
    <t xml:space="preserve">Lot 54 No. 11 Castle Court </t>
  </si>
  <si>
    <t>331095P</t>
  </si>
  <si>
    <t>Infill lot, estate is long built and old. Rescode applies, treat as per KDRB as house has since been demolished post demo.</t>
  </si>
  <si>
    <t>Bricks from Builder's Range Category 1 (design specific, refer to floorplan)</t>
  </si>
  <si>
    <t>844114C</t>
  </si>
  <si>
    <t>St Ronan</t>
  </si>
  <si>
    <t>902519D</t>
  </si>
  <si>
    <t>RPM Group</t>
  </si>
  <si>
    <t>rishav@rpmgroup.com.au</t>
  </si>
  <si>
    <t>for lots over 300m2 $4950</t>
  </si>
  <si>
    <t>Dweeling Size exclludes porch, alfresco, garage
Less than 300m² 100m²
300m² – 399m² 110m²
400m² – 499m² 130m²
500m² and above 160m²</t>
  </si>
  <si>
    <t>Front retaining no higher than 1.2m and match dwelling (no timber sleepers)
Retaining not visible fromt street cannot exceed 1.6m
Developer aiming for split level rather than cut/fill</t>
  </si>
  <si>
    <t>No Gas in this esate - Note Only</t>
  </si>
  <si>
    <t>Sinlge return 1000mm $1200 Doubles need full eaves $3300</t>
  </si>
  <si>
    <t>rovide 1No. Domain 900mm 9 Function Fan Forced Electric Oven – DEO-R90A in lieu of standard and provide 1No. Domain Dual Bridge Induction Cooktop with Triple Flexi-Zone Burners and Touch Controls – 900mm – IND90-EC. =$1559</t>
  </si>
  <si>
    <t>912171M</t>
  </si>
  <si>
    <t>7422223Q</t>
  </si>
  <si>
    <t>932287D</t>
  </si>
  <si>
    <t>KB Complete Packages - Pricing Sheet (as of 1st August 2025)</t>
  </si>
  <si>
    <t>Interio</t>
  </si>
  <si>
    <t>913252G</t>
  </si>
  <si>
    <t>923755W</t>
  </si>
  <si>
    <t>922818E</t>
  </si>
  <si>
    <t>927241J</t>
  </si>
  <si>
    <t>923540U</t>
  </si>
  <si>
    <t>920949Y</t>
  </si>
  <si>
    <t>927211T</t>
  </si>
  <si>
    <t>Lucas Estate</t>
  </si>
  <si>
    <t>C4</t>
  </si>
  <si>
    <t>Min dwellig size excluding garage 120.78m2</t>
  </si>
  <si>
    <t>14m frontage lots must have 1m clear from both sides.</t>
  </si>
  <si>
    <t>Lot equal to or less than 14m must have full perimter eaves $3300</t>
  </si>
  <si>
    <t>908231U</t>
  </si>
  <si>
    <t>Area Specialist</t>
  </si>
  <si>
    <t>McMullan Bird</t>
  </si>
  <si>
    <t>Propell Property</t>
  </si>
  <si>
    <t>Sovereign Maxwell</t>
  </si>
  <si>
    <t>Three Kings &amp; a Queen</t>
  </si>
  <si>
    <t>Wisdom Property Investors</t>
  </si>
  <si>
    <t>Provide 1950mm high NEETASCREEN Colorbond Fencing in Lieu of Timber palings. All Fence terminations must include double posts and extended posts. 
Includes wing fence and Gate. Colour to be Basalt.
$12,000</t>
  </si>
  <si>
    <t>909253D</t>
  </si>
  <si>
    <t>Waverly Woods</t>
  </si>
  <si>
    <t>Mulgrave</t>
  </si>
  <si>
    <t>913300X</t>
  </si>
  <si>
    <t>Wyndham Gardens</t>
  </si>
  <si>
    <t>930562T</t>
  </si>
  <si>
    <t>wyndhamgardens@jrdapprovals.com.au</t>
  </si>
  <si>
    <t>Dwellings must comply with the following
(excluding any porch, veranda, garage,
alfresco or similar):
LOT SIZE
MINIMUM DWELLING
SIZE
Less than 300m2 100m2
300m2- 399m2 120m2
400m2- 499m2 140m2
500m2and above 160m2</t>
  </si>
  <si>
    <t>930572Q</t>
  </si>
  <si>
    <t>906538C</t>
  </si>
  <si>
    <t>920968U</t>
  </si>
  <si>
    <t>Highfields</t>
  </si>
  <si>
    <t>914111V</t>
  </si>
  <si>
    <t>Returning 5m $2230 Double storey needs full eaves $3300</t>
  </si>
  <si>
    <t>Garaeg Doors
Primary frontage of up to 12.5m Maximum 45%
Primary frontage 12.5m to 15m 40%
Primary frontage greater than 15m 35%</t>
  </si>
  <si>
    <t>When visible from the public realm, any new
retaining walls must positively contribute to
streetscapes. All new retaining walls within
front setbacks (1.0m back or otherwise)
must be natural rock or have a rendered
finish. Prefinished garden blocks, and
timber or concrete sleeper walls within the
front setbacks of dwellings, and publicly
visible side setbacks of corner lots, are
not permitted</t>
  </si>
  <si>
    <t>913018Q</t>
  </si>
  <si>
    <t>922134M</t>
  </si>
  <si>
    <t>Merrifield Estate - Aitkin Release</t>
  </si>
  <si>
    <t>918489V</t>
  </si>
  <si>
    <t>Provide Refrigerated Reverse Cycle Cooling to a Single Storey up to 16 Squares in lieu of standard gas ducted and split system including:
- 1No. Rinnai DINLR07B1/DONSR07B1 Electric Reverse Cycle one phase air conditioning system ducted to
7 ceiling points.
- Up to 7No. outlets 
- 2No. Zone Motors *Zone 1 (Day): Living * Zone 2: (Night) Sleeping
- 1 No. Programmable Controller with separate 2 zone manual gang switch Day/night Zoning (no individual temp control to zones)
- 1No. Filtered Return Air Grille
- 1200mm (W) x 650mm (D) Concrete Pad for Condenser Unit
- 20amp external isolated weatherproof GPO for condenser unit to RHS of condenser unit
- 16amp single GPO for roof space unit</t>
  </si>
  <si>
    <t>923762A</t>
  </si>
  <si>
    <t>Vattey</t>
  </si>
  <si>
    <t>Provide Axon Property Group inclusions including:
1No. Capped cold water point to the fridge space
1no 48" Ceiling fan to each bedroom and living not including light. (5No. Total)</t>
  </si>
  <si>
    <t>The Waves</t>
  </si>
  <si>
    <t>836925H</t>
  </si>
  <si>
    <t>923380Q/S5</t>
  </si>
  <si>
    <t>923380Q/S6</t>
  </si>
  <si>
    <t>842537H/S9</t>
  </si>
  <si>
    <t>924407R</t>
  </si>
  <si>
    <t>842988W</t>
  </si>
  <si>
    <t>847803L</t>
  </si>
  <si>
    <t>50B</t>
  </si>
  <si>
    <t>Dwelling to be 120m2 excluding Garage and outdoor areas.</t>
  </si>
  <si>
    <t>Provide Refrigerated Reverse Cycle Cooling to the Leon 22 with 6 zones in lieu of standard gas ducted and split system including:
Rinnai DINLR11B1/DONSR11B1 Single Phase to 8 outlets
Including Touch Screen Smart Tablet, 6 zones with air management system as detailed &amp; Wi-Fi
Bypass airflow management system and upgraded square vents in lieu of round
Zone 1: Family/Meals/Kitchen, Entry Zone 2: Bed 1
Zone 3: Bed 2 Zone 4: Bed 3
Zone 5: Bed 4 Zone 6: Bed 5
R1.5 Insulated duct work to upper roof space
16Amp isolated GPO in roof space 
32Amp Weatherproof isolated GPO to outdoor Condenser unit
1200 x 650mm concrete slab for condenser unit</t>
  </si>
  <si>
    <t>Atlas  Rockbank</t>
  </si>
  <si>
    <t>930559G</t>
  </si>
  <si>
    <t>Shared Crossovers</t>
  </si>
  <si>
    <t>Corner lots to have eaves for full secondary frontage $80lm</t>
  </si>
  <si>
    <t>Garage door can't exceed 40% of lot width. Less than 10m lot width must be single garage</t>
  </si>
  <si>
    <t>916582S</t>
  </si>
  <si>
    <t>929823Y</t>
  </si>
  <si>
    <t>ColaccCaC</t>
  </si>
  <si>
    <t>Geelong</t>
  </si>
  <si>
    <t>922062L</t>
  </si>
  <si>
    <t>21B</t>
  </si>
  <si>
    <t>912537U/S2</t>
  </si>
  <si>
    <t>Panorama Estate DO NOT PACKAGE</t>
  </si>
  <si>
    <t>Forrest 32-1B GE</t>
  </si>
  <si>
    <t>9 Bed, 9 Bath, No Garage, 1 Living Area</t>
  </si>
  <si>
    <t>Provide 1No. Additional TV point and Double GPO at 300mm high from FFL to all bedrooms to the Forrest 32. Additional TV points include for TV signal booster.</t>
  </si>
  <si>
    <t>213B</t>
  </si>
  <si>
    <t>927193S</t>
  </si>
  <si>
    <t>841719G/S4</t>
  </si>
  <si>
    <t>917270H</t>
  </si>
  <si>
    <t>908228H</t>
  </si>
  <si>
    <t>902947F</t>
  </si>
  <si>
    <t>Allara Winchelsea</t>
  </si>
  <si>
    <t>918241K</t>
  </si>
  <si>
    <t>Winchelsea 3241</t>
  </si>
  <si>
    <t>Lot 1010-105 &amp; 202,203 cannot be built in hatched area - refer POS</t>
  </si>
  <si>
    <t>Lots 114 -117 inclusive must have 1m clear access down 1 side.</t>
  </si>
  <si>
    <t>No DG's just MCP</t>
  </si>
  <si>
    <t>Catalina Heights</t>
  </si>
  <si>
    <t>Lethbridge 3332</t>
  </si>
  <si>
    <t>918223M</t>
  </si>
  <si>
    <t>Bakerland</t>
  </si>
  <si>
    <t>Robert Gamble</t>
  </si>
  <si>
    <t>0411 575 696</t>
  </si>
  <si>
    <t>928933W</t>
  </si>
  <si>
    <t>Emerlad Estate Elliminyt</t>
  </si>
  <si>
    <t>Elliminyt 3250</t>
  </si>
  <si>
    <t>915912D</t>
  </si>
  <si>
    <t>0493 508 158</t>
  </si>
  <si>
    <t>926313Q</t>
  </si>
  <si>
    <t>926314N</t>
  </si>
  <si>
    <t>Riverview Winchelsea</t>
  </si>
  <si>
    <t>monument</t>
  </si>
  <si>
    <t>849520N</t>
  </si>
  <si>
    <t>916912X</t>
  </si>
  <si>
    <t>909288H</t>
  </si>
  <si>
    <t>916544B</t>
  </si>
  <si>
    <t>739590E</t>
  </si>
  <si>
    <t>920938E</t>
  </si>
  <si>
    <t>The Reserve - Drouin</t>
  </si>
  <si>
    <t>928215E</t>
  </si>
  <si>
    <t>908275X</t>
  </si>
  <si>
    <t>845659B</t>
  </si>
  <si>
    <t>C</t>
  </si>
  <si>
    <t>D</t>
  </si>
  <si>
    <t>922747B</t>
  </si>
  <si>
    <t>924842W</t>
  </si>
  <si>
    <t>Wing fencing must match front fencing (If front fencing is required)</t>
  </si>
  <si>
    <t>Lot 2 No. 60 Longley St</t>
  </si>
  <si>
    <t>Brownfield Lot</t>
  </si>
  <si>
    <t>$5k offset DO NOT ADD TO TENDER</t>
  </si>
  <si>
    <t>902789W</t>
  </si>
  <si>
    <t>Palomino</t>
  </si>
  <si>
    <t>908234N</t>
  </si>
  <si>
    <t>1.8m high brush fence with a 150mm kick board and with 1m wide vertical timber slat feature panels spaced between 4m to 6m along the said fence Corner lots. =$693 per lm</t>
  </si>
  <si>
    <t>For corner lots, must bea  window within 3m of the corner facing side.</t>
  </si>
  <si>
    <t>Lots 109 to 115 1.0 metre clear horizontal access along the full length</t>
  </si>
  <si>
    <t>908289L</t>
  </si>
  <si>
    <t>916622H</t>
  </si>
  <si>
    <t>916620M</t>
  </si>
  <si>
    <t>923401K</t>
  </si>
  <si>
    <t>908246F</t>
  </si>
  <si>
    <t>No Gas</t>
  </si>
  <si>
    <t>924459V</t>
  </si>
  <si>
    <t>Not less than 110m2 exclusive of garage</t>
  </si>
  <si>
    <t>Double storey full eaves #4400</t>
  </si>
  <si>
    <t>Retaining walls in front can't be timber and no retaining wall can be greater than 1.2m high</t>
  </si>
  <si>
    <t>Garages no more than 40%</t>
  </si>
  <si>
    <t>Loom Estate</t>
  </si>
  <si>
    <t>924464D</t>
  </si>
  <si>
    <t>Check POS for restriction on double storey</t>
  </si>
  <si>
    <t>837661L</t>
  </si>
  <si>
    <t>Vista Verde</t>
  </si>
  <si>
    <t>913039G</t>
  </si>
  <si>
    <t>Zoe McKinnon</t>
  </si>
  <si>
    <t xml:space="preserve">0457 174 502 </t>
  </si>
  <si>
    <t>zmckinnon@larare.com.au</t>
  </si>
  <si>
    <t>Lots 101-155 provide 1m clear on 1 side boundary</t>
  </si>
  <si>
    <t>Lots fronting to an open space reserbce building must have min 2m side setback from side boundary</t>
  </si>
  <si>
    <t>Rear setback of 3m is required</t>
  </si>
  <si>
    <t>Garages not to exceed 50%</t>
  </si>
  <si>
    <t>Corner fencing to have transparency between panels. 20mm</t>
  </si>
  <si>
    <t>Indigenous plant speicies only $1650</t>
  </si>
  <si>
    <t>Ocean Grand</t>
  </si>
  <si>
    <t>912166E</t>
  </si>
  <si>
    <t>Min 4m setback with 1m setback to garage from façade face. Min 3m to porch. Min 1m side setback when abutting reserve.</t>
  </si>
  <si>
    <t>only sorrento or duke façade wilol comply due to lightewright cladding requirement.</t>
  </si>
  <si>
    <t>Min dwelelign size total 135m2</t>
  </si>
  <si>
    <t>906189B</t>
  </si>
  <si>
    <t>No Gas estate all electric.</t>
  </si>
  <si>
    <t>Provide Reverse Cycle Ducted Refrigerated heating and cooling unit in lieu of Gas Ducted Heater and split system $20,000 or $15k for singles</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</si>
  <si>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t>
  </si>
  <si>
    <t>918488X</t>
  </si>
  <si>
    <t>901635G</t>
  </si>
  <si>
    <t>844535B</t>
  </si>
  <si>
    <t>921351J</t>
  </si>
  <si>
    <t>922431F</t>
  </si>
  <si>
    <t>921921S</t>
  </si>
  <si>
    <t>837649A</t>
  </si>
  <si>
    <t>Note Acoustic Requirements apply, refer Rail noise impacts doc</t>
  </si>
  <si>
    <t>Provide the Leon 22 Upgrade Pack including:
2720mm high ceilings
900mm wide x 660mm high x 320mm deep Laminate Overhead Cabinets and 900mm wide x 300mm high Category 1 Splashback Wall Tiles to the Laundry wall above Trough and Cabinet.
1No. Additional 2.5KW Split system to each of the bedrooms (5No. Total)
Three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t>
  </si>
  <si>
    <t>$20k value, JC approved $16,999</t>
  </si>
  <si>
    <t>928859G</t>
  </si>
  <si>
    <t>Thornhill Gardens</t>
  </si>
  <si>
    <t>838322E</t>
  </si>
  <si>
    <t>Sameer Kapoor</t>
  </si>
  <si>
    <t>0410 241 099</t>
  </si>
  <si>
    <t>sameer@salesxwise.com.au</t>
  </si>
  <si>
    <t>Lots less than 12.5m wide
9. Single storey dwellings require a single garage with
a maximum door width of 2.6m. Double garages
are not permitted on single storey dwellings
Lots at least 12.5m wide and 14m wide or less
11. The maximum width allowable for the garage door
opening is 5.5m.</t>
  </si>
  <si>
    <t>Required on lots greater than 300m2 connected to front and rear tap $6150</t>
  </si>
  <si>
    <t>920322W</t>
  </si>
  <si>
    <t>822854H</t>
  </si>
  <si>
    <t>922144J</t>
  </si>
  <si>
    <t>Capital Edge</t>
  </si>
  <si>
    <t>No. 8 Lot 1843 Biota Way Mambourin</t>
  </si>
  <si>
    <t>813467R</t>
  </si>
  <si>
    <t>The Grove Estate55</t>
  </si>
  <si>
    <t>908259V</t>
  </si>
  <si>
    <t>849144Q</t>
  </si>
  <si>
    <t>928560L</t>
  </si>
  <si>
    <t>3F</t>
  </si>
  <si>
    <t>911000W</t>
  </si>
  <si>
    <t>Heartford Estate East Village</t>
  </si>
  <si>
    <t>Porch area 4m2 and 1.5m depth min unless SLHC</t>
  </si>
  <si>
    <t>Tanks required 
&lt;300m2 2000L $4950
300-488 3000L $6500
&gt;500 5000L $8000
Provide 1No. #### litre Slim Line Poly Water Tank including plumbing and connections for up to 3No. Toilets, Laundry and Garden watering.</t>
  </si>
  <si>
    <t>918460W</t>
  </si>
  <si>
    <t>923393F</t>
  </si>
  <si>
    <t>Matthew</t>
  </si>
  <si>
    <t>917267V</t>
  </si>
  <si>
    <t>17P</t>
  </si>
  <si>
    <t>848070Y</t>
  </si>
  <si>
    <t>17AW</t>
  </si>
  <si>
    <t>848068K</t>
  </si>
  <si>
    <t>912549M</t>
  </si>
  <si>
    <t>Provide 1No. Midea 280 litre Electric Heat Pump Water Heater with 1No. 20amp Weatherproof GPO on Isolator Switch in lieu of standard Solar Hot Water System. 130</t>
  </si>
  <si>
    <t>Provide 1No. Domain 900mm 9 Function Fan Forced Electric Oven – DEO-R90A in lieu of standard and provide 1No. Domain Dual Bridge Induction Cooktop with Triple Flexi-Zone Burners and Touch Controls – 900mm – IND90-EC.1559</t>
  </si>
  <si>
    <t>Provide Reverse Cycle Ducted Refrigerated heating and cooling unit in lieu of Gas Ducted Heater and split system</t>
  </si>
  <si>
    <t>Provide 1No. Midea 280 litre Electric Heat Pump Water Heater with 1No. 20amp Weatherproof GPO on Isolator Switch in lieu of standard Solar Hot Water System. 131</t>
  </si>
  <si>
    <t>Provide 1No. Domain 900mm 9 Function Fan Forced Electric Oven – DEO-R90A in lieu of standard and provide 1No. Domain Dual Bridge Induction Cooktop with Triple Flexi-Zone Burners and Touch Controls – 900mm – IND90-EC.1560</t>
  </si>
  <si>
    <t>Provide 1No. Midea 280 litre Electric Heat Pump Water Heater with 1No. 20amp Weatherproof GPO on Isolator Switch in lieu of standard Solar Hot Water System. 132</t>
  </si>
  <si>
    <t>Provide 1No. Domain 900mm 9 Function Fan Forced Electric Oven – DEO-R90A in lieu of standard and provide 1No. Domain Dual Bridge Induction Cooktop with Triple Flexi-Zone Burners and Touch Controls – 900mm – IND90-EC.1561</t>
  </si>
  <si>
    <t>Provide 1No. Midea 280 litre Electric Heat Pump Water Heater with 1No. 20amp Weatherproof GPO on Isolator Switch in lieu of standard Solar Hot Water System. 133</t>
  </si>
  <si>
    <t>Provide 1No. Domain 900mm 9 Function Fan Forced Electric Oven – DEO-R90A in lieu of standard and provide 1No. Domain Dual Bridge Induction Cooktop with Triple Flexi-Zone Burners and Touch Controls – 900mm – IND90-EC.1562</t>
  </si>
  <si>
    <t>Provide 1No. Midea 280 litre Electric Heat Pump Water Heater with 1No. 20amp Weatherproof GPO on Isolator Switch in lieu of standard Solar Hot Water System. 134</t>
  </si>
  <si>
    <t>Provide 1No. Domain 900mm 9 Function Fan Forced Electric Oven – DEO-R90A in lieu of standard and provide 1No. Domain Dual Bridge Induction Cooktop with Triple Flexi-Zone Burners and Touch Controls – 900mm – IND90-EC.1563</t>
  </si>
  <si>
    <t>Planning permit requirement $1500</t>
  </si>
  <si>
    <t>Planning permit requirement $1501</t>
  </si>
  <si>
    <t>Planning permit requirement $1502</t>
  </si>
  <si>
    <t>Planning permit requirement $1503</t>
  </si>
  <si>
    <t>Planning permit requirement $1504</t>
  </si>
  <si>
    <t>916703H</t>
  </si>
  <si>
    <t>922187P</t>
  </si>
  <si>
    <t>902268C</t>
  </si>
  <si>
    <t>13 Linnet St Altona</t>
  </si>
  <si>
    <t>No Stage</t>
  </si>
  <si>
    <t>Altona</t>
  </si>
  <si>
    <t>929659K</t>
  </si>
  <si>
    <t>The Precinct Winchelsea</t>
  </si>
  <si>
    <t>845372X</t>
  </si>
  <si>
    <t>East 35</t>
  </si>
  <si>
    <t xml:space="preserve">Cameron King </t>
  </si>
  <si>
    <t>cameronking@mcgrath.com.au</t>
  </si>
  <si>
    <t>McGrath Armstrong Creek</t>
  </si>
  <si>
    <t>Front porch to be at least 1,8m deep</t>
  </si>
  <si>
    <t xml:space="preserve">Garage door to be less than 3m wide on lots 9m or less. </t>
  </si>
  <si>
    <t>16m lots widths need 2 rooms to the frontage (developer does not consider ensuites or WIR)</t>
  </si>
  <si>
    <t>Provide 1No. Midea 280 litre Electric Heat Pump Water Heater with 1No. 20amp Weatherproof GPO on Isolator Switch in lieu of standard Solar Hot Water System. $-130
Provide 1No. Domain 900mm 9 Function Fan Forced Electric Oven – DEO-R90A in lieu of standard and provide 1No. Domain Dual Bridge Induction Cooktop with Triple Flexi-Zone Burners and Touch Controls – 900mm – IND90-EC. =$1559
Provide Reverse Cycle Ducted Refrigerated heating and cooling unit in lieu of Gas Ducted Heater and split system $20,000 or $15k for singles</t>
  </si>
  <si>
    <t>921377P</t>
  </si>
  <si>
    <t>917260L</t>
  </si>
  <si>
    <t>13 BLUESTONE WAY</t>
  </si>
  <si>
    <t>837937U</t>
  </si>
  <si>
    <t>SEBASTOPOL</t>
  </si>
  <si>
    <t>Owners Corp applies</t>
  </si>
  <si>
    <t>SE1</t>
  </si>
  <si>
    <t>930872C</t>
  </si>
  <si>
    <t>909271B</t>
  </si>
  <si>
    <t>Acclaim</t>
  </si>
  <si>
    <t>917475N</t>
  </si>
  <si>
    <t>hello@acclaimdonnybrook.com.au</t>
  </si>
  <si>
    <t>0483 302 661</t>
  </si>
  <si>
    <t>Doubles need 900mm articulation on corener side.</t>
  </si>
  <si>
    <t>Single garage only on 10m or less</t>
  </si>
  <si>
    <t>Any lotting abutting a reservce ir widened landscape verges must be double storey with Balcony</t>
  </si>
  <si>
    <t>connection to laundry and garden for water tank $400
Recycled water is to be a back up for tank water.</t>
  </si>
  <si>
    <t>Site costs add $15k for rock</t>
  </si>
  <si>
    <t>Entry porches less than 3.6m in height can encroach into min 4m front setback</t>
  </si>
  <si>
    <t>Porch min 3m2 and 1.5m deep</t>
  </si>
  <si>
    <t>2000mm return 1510</t>
  </si>
  <si>
    <t>Any retaining wall visible to publs to be painted or concrete</t>
  </si>
  <si>
    <t>Acoustic treatments are required $15k to singles $20k to doubles</t>
  </si>
  <si>
    <t>Strategy 360</t>
  </si>
  <si>
    <t>Land Referral Fee DO NOT ADD TO TENDER</t>
  </si>
  <si>
    <t>KINGSBRIDGE COMPLETE PROMO</t>
  </si>
  <si>
    <t>Provide a Colour And Electrical Voucher including:
Pay $2,999
$10,000 to be used for colours and electrical upgrades
Can be used to upgrade cooling on single storey homes</t>
  </si>
  <si>
    <t>Berwick Waters Estate - The Cove</t>
  </si>
  <si>
    <t>any building other than one dwelling house with the usual outbuildings such dwelling
house having a minimum floor area (excluding any verandah, carport or garage) of:
(i) 170 square metres excluding garage for allotments with an area 600 square metres
or greater;
(ii) 150 square metres excluding garage for allotments with an area between 500 and
599 square metres;
(iii) 120 square metres excluding garage for allotments with an area of between 400
and 499 square metres; or
(iv) 100 square metres excluding garage for allotments with an area of 399 square
metres or less;</t>
  </si>
  <si>
    <t>double garage on lots 12.5 or greater. 40% max</t>
  </si>
  <si>
    <t>Double Roller blinds to front windows, Single roller blinds to remaining clear glass windows &amp; sliding doors</t>
  </si>
  <si>
    <t>848059L</t>
  </si>
  <si>
    <t>20B</t>
  </si>
  <si>
    <t>848071W</t>
  </si>
  <si>
    <t>Evermore</t>
  </si>
  <si>
    <t>Kilmore</t>
  </si>
  <si>
    <t>906884G</t>
  </si>
  <si>
    <t>0457 174 502</t>
  </si>
  <si>
    <t xml:space="preserve">zmckinnon@larare.com.au </t>
  </si>
  <si>
    <t>For single storey dwellings the width of the door(s) or opening(s) of any garage must not
exceed 50% of the width of the of the frontage of the allotment unless otherwise approved
by the DRP.</t>
  </si>
  <si>
    <t>3000L for garden only with minimum detention volume of 1000L $6500</t>
  </si>
  <si>
    <t>Parkview - Kilmore</t>
  </si>
  <si>
    <t xml:space="preserve">Sandy </t>
  </si>
  <si>
    <t>0425 855 040</t>
  </si>
  <si>
    <t>sandy@thorsen.com.au</t>
  </si>
  <si>
    <t>847401H</t>
  </si>
  <si>
    <t>Lots 1 to 88 Garage must be setback min 6m from front
Lots 89 to 118 Garage must be setback min 5.5m from front</t>
  </si>
  <si>
    <t>Portico min 2m2</t>
  </si>
  <si>
    <t>Garagemax 40% of lot width
Lots 90 to 96 garages may only be a single door width</t>
  </si>
  <si>
    <t>Pale Eucalypt colour</t>
  </si>
  <si>
    <t>915757N</t>
  </si>
  <si>
    <t>AHD survey for flooring $2k</t>
  </si>
  <si>
    <t>922026Q</t>
  </si>
  <si>
    <t>ALL ELECTRIC ESTATE
Provide 1No. Midea 280 litre Electric Heat Pump Water Heater with 1No. 20amp Weatherproof GPO on Isolator Switch in lieu of standard Solar Hot Water System. $-130
Provide 1No. Domain 900mm 9 Function Fan Forced Electric Oven – DEO-R90A in lieu of standard and provide 1No. Domain Dual Bridge Induction Cooktop with Triple Flexi-Zone Burners and Touch Controls – 900mm – IND90-EC. =$1559
Provide Reverse Cycle Ducted Refrigerated heating and cooling unit in lieu of Gas Ducted Heater and split system $20,000 or $15k for singles</t>
  </si>
  <si>
    <t>929910E</t>
  </si>
  <si>
    <t>921369N</t>
  </si>
  <si>
    <t>909282V</t>
  </si>
  <si>
    <t>250 Princess Hwy (DO NOT PACKAGE)</t>
  </si>
  <si>
    <t>DO NOT PACKAGE PLANNING ESTATE</t>
  </si>
  <si>
    <t>927180C</t>
  </si>
  <si>
    <t>920321Y</t>
  </si>
  <si>
    <t>Provide a 1000mm wide plain concrete path around the home. From the Garage rear door, continuing around three sides and terminating at the side gate/wing fence. For homes up to and including 22 Squares</t>
  </si>
  <si>
    <t>912552Y/S2</t>
  </si>
  <si>
    <t xml:space="preserve">Standard 1800mm high paling fence (half share) </t>
  </si>
  <si>
    <t>Carters Investments</t>
  </si>
  <si>
    <t>933882H</t>
  </si>
  <si>
    <t>926401T</t>
  </si>
  <si>
    <t>905686R</t>
  </si>
  <si>
    <t>115B</t>
  </si>
  <si>
    <t>906881N</t>
  </si>
  <si>
    <t>908246F/S3</t>
  </si>
  <si>
    <t>Dwellings must comply with the following minimum sizes (excluding garages, porches,
verandahs, balconies and alfresco areas):
a) 130m2 in the case of a lot having an area of 500m2 or greater; or
b) 110m2 in the case of a lot having an area of less than 500m2
c) Under 300m2 refer to small lot Res code.</t>
  </si>
  <si>
    <t xml:space="preserve">Double garages must be provided on lots with a frontage of 12.5m or greater. Lots with a frontage of less than 12.5m must provide an enclosed garage for at least one vehicle. </t>
  </si>
  <si>
    <t>Provide Artificial turf to the front yard only in lieu of natural turf $120m2 Calculated by plan</t>
  </si>
  <si>
    <t>####</t>
  </si>
  <si>
    <t>Leave this cell for Performance Solution formula</t>
  </si>
  <si>
    <t>830466W</t>
  </si>
  <si>
    <t>923748T</t>
  </si>
  <si>
    <t>$$Retail</t>
  </si>
  <si>
    <t>Up to 2 wet areas (bathroom/ensuites), 2 basins, 2 basin mixers, 2 shower niches, 2 toilets and 2 Shower rails.</t>
  </si>
  <si>
    <t>Up to 3 wet areas (bathroom/ensuites), 3 basins, 3 basin mixers, 3 shower niches, 3 toilets and 3 Shower rails.</t>
  </si>
  <si>
    <t>Provide 1No. 2040mm high x up to 1800mm wide Sliding Door unit with 2No. Mirror Sliding Doors in lieu of standard vinyl sliding doors. (1No. Unit total)</t>
  </si>
  <si>
    <t>each item - add location and Qty for additonal</t>
  </si>
  <si>
    <t>Full house</t>
  </si>
  <si>
    <t>Flyscreen Package to all windows. Includes barrier door to sliding doors.</t>
  </si>
  <si>
    <t>Based on Genesis 17R</t>
  </si>
  <si>
    <t>Cool white spec</t>
  </si>
  <si>
    <t>Provide 1No. Brivis HSNRP35B 3.5kw Split System Air Conditioner to the Living.</t>
  </si>
  <si>
    <t>Provide additonal 2 head multi head split units. Note: Refer to Electrical plan for location.</t>
  </si>
  <si>
    <t>TBC</t>
  </si>
  <si>
    <t>includes staircase</t>
  </si>
  <si>
    <t>Provide 1No. Panacom PAN820SKHD Colour Doorbell Video Intercom including:
- 1No. Surface Colour Camera
- 1No. 7” LCD Monitor
- 1No. GPO behind Monitor</t>
  </si>
  <si>
    <t>KTH</t>
  </si>
  <si>
    <t>Location</t>
  </si>
  <si>
    <t>Qty</t>
  </si>
  <si>
    <t>HOUSE TYPE</t>
  </si>
  <si>
    <t>FACADE</t>
  </si>
  <si>
    <t>SITE COSTS</t>
  </si>
  <si>
    <t>BAL 12.5</t>
  </si>
  <si>
    <t>EXTERNAL ITEMS</t>
  </si>
  <si>
    <t>INTERNAL ITEMS</t>
  </si>
  <si>
    <t>GARAGE</t>
  </si>
  <si>
    <t>WINDOWS</t>
  </si>
  <si>
    <t>ENERGY EFFICIENCY</t>
  </si>
  <si>
    <t>ELECTRICAL</t>
  </si>
  <si>
    <t>HEATING / COOLING</t>
  </si>
  <si>
    <t>KITCHEN</t>
  </si>
  <si>
    <t>ENSUITE</t>
  </si>
  <si>
    <t>BATHROOM</t>
  </si>
  <si>
    <t>WC</t>
  </si>
  <si>
    <t>LAUNDRY</t>
  </si>
  <si>
    <t>FLOOR COVERINGS</t>
  </si>
  <si>
    <t>LANDSCAPING</t>
  </si>
  <si>
    <t>ESTATE GUIDELINE REQUIREMENTS</t>
  </si>
  <si>
    <t>UPGRADES</t>
  </si>
  <si>
    <t>GENERAL</t>
  </si>
  <si>
    <t>Standard
(If required)</t>
  </si>
  <si>
    <t>Concrete Roof Tiles or metal roof - Design Dependent</t>
  </si>
  <si>
    <t>Colorbond Fascia, Gutter &amp; Downpipes</t>
  </si>
  <si>
    <t>Rendered AAC or rendered EPS cladding - Design Dependent</t>
  </si>
  <si>
    <t>Bricks From Builder's Range Category 1 - Design Dependent</t>
  </si>
  <si>
    <t>Natural Colour Mortar with Rolled Joints - Design Dependent</t>
  </si>
  <si>
    <t>Two part Termite Treatment in accordance with AS 3660</t>
  </si>
  <si>
    <t>Entrance Set with double cylinder deadbolt to front entry and garage rear</t>
  </si>
  <si>
    <t>Skylights (if applicable)</t>
  </si>
  <si>
    <t>2440mm ceiling height to ground floor</t>
  </si>
  <si>
    <t>Two coat paint system throughout</t>
  </si>
  <si>
    <t>Gloss paint to skirting boards and architraves</t>
  </si>
  <si>
    <t>Flush Panel Doors 2040mm high throughout</t>
  </si>
  <si>
    <t>Vinyl sliding robe doors</t>
  </si>
  <si>
    <t>Lever door handles to passage doors </t>
  </si>
  <si>
    <t>Lever half set door handles to vinyl robe doors</t>
  </si>
  <si>
    <t>Privacy locks to all Bathrooms, Ensuites WC's &amp; Powder Rooms (if applicable)</t>
  </si>
  <si>
    <t>Enclosed staircase with painted MDF treads, risers and landing with carpet, painted MDF handrail and dwarf wall to first floor</t>
  </si>
  <si>
    <t>Linen cupboard with door and four rows of melamine shelves</t>
  </si>
  <si>
    <t>Colorbond sectional garage door with 2 remotes</t>
  </si>
  <si>
    <t>Aluminium sliding windows (unless alternative required due to energy rating)</t>
  </si>
  <si>
    <t>Single roller blinds to windows &amp; sliding doors</t>
  </si>
  <si>
    <t>7 Star energy rating report including whole of home assessment and compliance</t>
  </si>
  <si>
    <t>R4.0  insulation batts to ceiling and between ground and first floors (excludes Garage, Porch &amp; Outdoor Living)</t>
  </si>
  <si>
    <t>R2.5 insulation batts &amp; sisalation to external walls and Garage/house internal walls (excludes Garage external walls)</t>
  </si>
  <si>
    <t>Self sealing exhaust fan positioned above all showers</t>
  </si>
  <si>
    <t>Double GPO throughout (includes 1 x external GPO to outdoor living</t>
  </si>
  <si>
    <t>(if applicable) &amp; single GPO to fridge, dishwasher &amp; range hood</t>
  </si>
  <si>
    <t>One (1) x TV antenna (may be deleted if not allowed in estate)</t>
  </si>
  <si>
    <t>Two (2) pre-wired phone points</t>
  </si>
  <si>
    <t>Batten lights throughout</t>
  </si>
  <si>
    <t>Electric heating wall panels to all bedrooms and main living areas</t>
  </si>
  <si>
    <t>600mm electric cooktop &amp; 600mm under bench oven</t>
  </si>
  <si>
    <t>600mm Stainless Steel Canopy Rangehood </t>
  </si>
  <si>
    <t>Dishwasher provision</t>
  </si>
  <si>
    <t>Laminate cabinets, including overhead cupboards and soft close cabinetry and doors</t>
  </si>
  <si>
    <t>Melamine shelving to pantry x 4 shelves with equal spacing (plan specific)</t>
  </si>
  <si>
    <t>Inset Vanity basin with basin mixer</t>
  </si>
  <si>
    <t>Polished edge mirror to vanity</t>
  </si>
  <si>
    <t>Mixer tap  &amp; shower outlet</t>
  </si>
  <si>
    <t>Laminate Benchtop &amp; wall tiles as per colour selection</t>
  </si>
  <si>
    <t>100mm tiled skirting to ensuite, bathroom, powder &amp; laundry (plan specific)</t>
  </si>
  <si>
    <t>1No. Hobless shower with semi-framed shower screen to either the Ensuite or Bathroom. Semi-framed shower screens - clear glass, to the remaining showers.
Note: location design specific. Refer to plans</t>
  </si>
  <si>
    <t>Laminate cabinet </t>
  </si>
  <si>
    <t>Acrylic Bath (design specific)</t>
  </si>
  <si>
    <t>32L Stainless Steel Laundry  Trough and Cabinet</t>
  </si>
  <si>
    <t>Timber look laminate to Entry &amp; Living areas connected to Kitchen (refer plan)</t>
  </si>
  <si>
    <t>Carpet to balance of home with 7mm underlay</t>
  </si>
  <si>
    <t>Home Owners Warranty</t>
  </si>
  <si>
    <t>Full house clean on completion</t>
  </si>
  <si>
    <t>Independent Quality Inspections </t>
  </si>
  <si>
    <t>12 Months RACV Emergency Home Assist</t>
  </si>
  <si>
    <t>All service connections (excl customer account opening &amp; fibre optic connection)</t>
  </si>
  <si>
    <t>Provide dwelling in accordance with NCC22 May 24 edition including liveability, energy and condensation management requirements</t>
  </si>
  <si>
    <t>Combination of plants, mulch &amp; toppings to front and rear including 1 tree to the front yard</t>
  </si>
  <si>
    <t>Provide 20mm M0 Mineral Surface Benchtops including:
 •  20mm square edge to the Kitchen wall and island cabinets.
 •  Benchtops over 3000mm in length will require a join in the benchtop.
 •  This join will be placed in the most inconspicuous position.</t>
  </si>
  <si>
    <t>BAL12.5 rating including if required:
 •  Fully sarked roof
 •  Whirlybird to roof with ember guard
 •  Aluminium flyscreens with Aluminium mesh to all openable windows
 •  Metal mesh to weepholes - Design dependant
 •  4mm thick a grade safety glass to windows within 400mm of ground
 •  Solid timber external doors
 •  Weather strips to the base of all external side hinged doors
 •  Metal gas &amp; water pipes if exposed</t>
  </si>
  <si>
    <t>Colour through concrete driveway and paths (if applicable) to porch &amp; outdoor living
(if applicable)</t>
  </si>
  <si>
    <t>Townhomes - Modern Living</t>
  </si>
  <si>
    <t>Provide Bathroom &amp; Ensuite Promotion Pack for up to 2No. Wet areas including:
- 1No. approx. 559mm x 365mm Tiled Shower Niche to each shower up to 2No. showers
- Provide Posh Domaine Semi Inset Basin to all Basins in lieu of standard Basin
- Posh Solus MK3 Basin Mixer Tap in Chrome to all Basins in lieu of standard Basin Mixer
- Posh Domaine Twin Rail Shower in Chrome to all the showers in lieu of standard shower outlet
- Posh Domaine Close Coupled Rimless Toilet Suite to all the Toilets in lieu of standard</t>
  </si>
  <si>
    <t>Provide Kitchen Promotion Pack including:
- 40mm square edge to the Kitchen wall and island cabinets. Please note: M0 Mineral Surface benchtops over 3000mm in length will require a join in the benchtop. This joint will be placed in the most inconspicuous position
- 1No. Posh Solus MK3 Undermount Sink in Stainless Steel to the Kitchen in lieu of standard double bowl sink
- 1No. Posh Solus MK2 Gooseneck Sink Mixer in Chrome to the Kitchen in lieu of standard Sink Mixer
- M0 Mineral Surface Waterfall End with 40mm Square Edging to the Kitchen Island Benchtop
- 1No. Capped water point to the Fridge space
- Built-in 600mm Under Mount Rangehood (Provide overhead cabinets to suit)
- 600mm Dishwasher from the builder range
- Category 1, colour on low iron glass splashback to the Kitchen in lieu of wall tiles. Note: Refer to Colour Selection for colour. Glass has a green tinge to it, not 100% clear</t>
  </si>
  <si>
    <t>Provide Matte Black finishes throughout including:
- Mizu Drift Basin Mixer Tap Straight Spout Matte Black (LF) in lieu of standard
- Mizu Drift Mk2 Shower Mixer Kit Matte Black in lieu of standard
- Mizu Drift Wall Basin / Bath Mixer Set with Straight Spout 2 Piece Kit Matte Black (6*) (LF) in lieu of standard
- Mizu Drift MK2 Gooseneck Sink Mixer Tap Matte Black (4*) to the Kitchen and Laundry in lieu of standard
- Mizu Drift Single Waterrail Matte Black (3*) in lieu of standard
- Mizu Drift Straight Toilet Roll Holder Matte Black
- Mizu Drift Single Towel Rail 700mm Matte Black
- Lockwood Velocity passage/privacy set and dummy handles, in Matte Black, in lieu of standard
- Lockwood Symmetry series entrance set Element Lever Matte Black in lieu of standard
- Sliding robe door frame to be BlackProvide approx. 660mm high x 320mm Note: Included on any structural change which adds extra Fittings/Fixtures
Not applicable to upgraded items, only applicable to standard Category 1 items. Semi-Framed Shower Screens to be 1950mm high in lieu of 1850mm high with tile height to be 2100mm high nominal in lieu of 2000mm high.
Note: Refer to Colour Document for exact selections.</t>
  </si>
  <si>
    <t>Provide 1No. additional Weatherproof Single LED Flood Light with sensor.
Note: Refer to Electrical plan for exact location.</t>
  </si>
  <si>
    <t>Provide 1No. Light Batten &amp; Noggin for future Pendant.
Note: Refer to Electrical plan for exact location.</t>
  </si>
  <si>
    <t>Provide 1No. additional Double GPO with 2No. USB ports.
Note: Refer to Electrical plan for exact location.</t>
  </si>
  <si>
    <t>Provide LED downlights in lieu of standard light points throughout House for Double Storey.
Note: Refer to Electrical plan for exact location.</t>
  </si>
  <si>
    <t>Provide 1No. additional Double GPO.
Note: Refer to Electrical plan for exact location.</t>
  </si>
  <si>
    <t>Provide soft close doors and drawers to all cabinetry in lieu of standard.</t>
  </si>
  <si>
    <t>Provide approx. 660mm high x 320mm deep Laminate Overhead Cabinets and Category 1 Splashback Wall Tiles to the Laundry wall above Trough and Cabinet.</t>
  </si>
  <si>
    <t>Provide category 2 Carpet to the house in lieu of category 1.
Note: Refer to standard plans for exact locations.</t>
  </si>
  <si>
    <t>Provide connection between the Security System and a mobile app including 1No. Comnav and 1No. Data Point.</t>
  </si>
  <si>
    <t>Provide 900mm Electric appliances in lieu of standard including:
- 1No. Inalto 900mm x 600mm 9 Function Oven - IO9060XL9T
- 1No. Inalto 900mm Integrated Canopy Rangehood - AIH90W, including additional cabinetry
- 1No. Inalto Ceramic Glass Electric Cooktop ICC905TB</t>
  </si>
  <si>
    <t>Provide Bathroom &amp; Ensuite Promotion Pack for up to 3No. Wet Areas including:
- 1No. approx. 559mm x 365mm Tiled Shower Niche to each shower up to 3No. showers
- Provide Posh Domaine Semi Inset Basin to all Basins in lieu of standard Basin
- Posh Solus MK3 Basin Mixer Tap in Chrome to all Basins in lieu of standard Basin Mixer
- Posh Domaine Twin Rail Shower in Chrome to all the showers in lieu of standard shower outlet
- Posh Domaine Close Coupled Rimless Toilet Suite to all the Toilets in lieu of standard</t>
  </si>
  <si>
    <t>Provide 1No. Luna White Ceiling Fan to the Master Bedrooom. (1No. Total)
Note: Refer to Electrical plan for exact location.</t>
  </si>
  <si>
    <t>Provide 1No. approx. 559mm x 365mm Tiled Shower Niche to the Master Ensuite. (1No. Total)</t>
  </si>
  <si>
    <t>waiting for quote- Frazers</t>
  </si>
  <si>
    <t>Provide NBN Co basic fibre pack including:
- Internal conduit with draw string
- 1No. GPO
- 1No. Phone point (run to plates on wall in Garage for patching to NBNCo supplied product)
- 2No. Data points (run to plates on wall in Garage for patching to NBNCo supplied product)
- CAT6 cable &amp; mech
Note: Excludes connection &amp; enclosure.</t>
  </si>
  <si>
    <t>Provide approx. 1800mm high timber fencing with capping, wing fence and Gate.</t>
  </si>
  <si>
    <t>Address</t>
  </si>
  <si>
    <t>Genesis 17 Corner  -  3 Bed, 2.5 Bath, Double Car Garage</t>
  </si>
  <si>
    <t>London</t>
  </si>
  <si>
    <t>Genesis 17  -  3 Bed, 2.5 Bath, Double Car Garage</t>
  </si>
  <si>
    <t>Genesis 18  -  4 Bed, 3 Bath, Double Car Garage</t>
  </si>
  <si>
    <t>Lot 1, No. 26B Gardenvale Avenue, Mambourin, VIC, 3024</t>
  </si>
  <si>
    <t>Lot 2 No. 26A Gardenvale Avenue, Mambourin, VIC, 3024</t>
  </si>
  <si>
    <t>Lot 3, No. 24B Gardenvale Avenue, Mambourin, VIC, 3024</t>
  </si>
  <si>
    <t>Lot 4, No. 24A Gardenvale Avenue, Mambourin, VIC, 3024</t>
  </si>
  <si>
    <t>Lot 5, No. 22B Gardenvale Avenue, Mambourin, VIC, 3024</t>
  </si>
  <si>
    <t>Lot 6, No. 22A Gardenvale Avenue, Mambourin, VIC, 3024</t>
  </si>
  <si>
    <t>Lot 7, No. 20B Gardenvale Avenue, Mambourin, VIC, 3024</t>
  </si>
  <si>
    <t>Lot 8, No. 20A Gardenvale Avenue, Mambourin, VIC, 3024</t>
  </si>
  <si>
    <t>Windemere</t>
  </si>
  <si>
    <t>927201W</t>
  </si>
  <si>
    <t>922046J</t>
  </si>
  <si>
    <t>Upgrades - 57.43</t>
  </si>
  <si>
    <t>Std inclusions - 74.71</t>
  </si>
  <si>
    <t>T&amp;Cs - 87.71</t>
  </si>
  <si>
    <t>Column widths:</t>
  </si>
  <si>
    <t>Builder:___________________________________________________________________Date:___________________________</t>
  </si>
  <si>
    <t>Client:____________________________________________________________________Date:___________________________</t>
  </si>
  <si>
    <t xml:space="preserve">Your Home Property </t>
  </si>
  <si>
    <t>Lyndale</t>
  </si>
  <si>
    <t>Tarneir 3029</t>
  </si>
  <si>
    <t>0447 444 756</t>
  </si>
  <si>
    <t>lyndale@rpmgrp.com.au</t>
  </si>
  <si>
    <t>933261S</t>
  </si>
  <si>
    <t>55A</t>
  </si>
  <si>
    <t>929824W</t>
  </si>
  <si>
    <t>Kallea Property Group</t>
  </si>
  <si>
    <t>Key Property Solutions</t>
  </si>
  <si>
    <t>929964E</t>
  </si>
  <si>
    <t>Mina Youssf</t>
  </si>
  <si>
    <t>Radison</t>
  </si>
  <si>
    <t>839507L</t>
  </si>
  <si>
    <t>Garages not to occupy more than 60% of lot width</t>
  </si>
  <si>
    <t>Building Envelope applies refer MCP</t>
  </si>
  <si>
    <t>908406K</t>
  </si>
  <si>
    <t>725408Y/S17</t>
  </si>
  <si>
    <t>923362S</t>
  </si>
  <si>
    <t>Francis Goh</t>
  </si>
  <si>
    <t>Bigbrother</t>
  </si>
  <si>
    <t>Property Club</t>
  </si>
  <si>
    <t>842537H/S7</t>
  </si>
  <si>
    <t>Temple Views</t>
  </si>
  <si>
    <t>915278B</t>
  </si>
  <si>
    <t>Dwellings must have a minimum rear setback of 2 metres.</t>
  </si>
  <si>
    <t>Corner lots to run eaves along full secondary street frontage $80lin m</t>
  </si>
  <si>
    <t>A minimum 1m side setback must be provided for all lots of 10.5m width and greater, except for
garage components which can be built on boundary</t>
  </si>
  <si>
    <t>Porticos should have a minimum area of 4sqm for 300m2 and greater and 3sqm for all lots less
than 300m2 and a minimum depth of 1m.</t>
  </si>
  <si>
    <t>For lots with a frontage of under 12.5m in width, a single garage is required with a maximum door
width of 2.6m</t>
  </si>
  <si>
    <t>To be used on secondary street side for corner lots use $80lin m 
Fencing abutting or overlooking areas of open space must:
• Be highly permeable, minimum 50% transparent.
• Must not exceed 1.2m in height.
• Be in accordance with the required specifications (height and materials)</t>
  </si>
  <si>
    <t xml:space="preserve">LB Commercial </t>
  </si>
  <si>
    <t>Malv Pty Ltd</t>
  </si>
  <si>
    <t>Buy Melbourne Apartments</t>
  </si>
  <si>
    <t>925957X</t>
  </si>
  <si>
    <t>912237H</t>
  </si>
  <si>
    <t>Elysium</t>
  </si>
  <si>
    <t>918251G</t>
  </si>
  <si>
    <t>Lot Size Minimum Floor Area
Less than 330 m2 100 m2
330 m2 or more and less or equal to 450m2 120 m2
More than 450m2 150 m2
For the purposes of this requirement, the floor area excludes the garage and any un-enclosed areas.</t>
  </si>
  <si>
    <t>Lots with a frontage of more than 12.5m must provide a double width garage.</t>
  </si>
  <si>
    <t>Enchanted Estate</t>
  </si>
  <si>
    <t>901493A</t>
  </si>
  <si>
    <t>Ascot Springs</t>
  </si>
  <si>
    <t>Sebastapol 3356</t>
  </si>
  <si>
    <t>911011R</t>
  </si>
  <si>
    <t>Goldfish Real Estate</t>
  </si>
  <si>
    <t>Mayan Dhingra</t>
  </si>
  <si>
    <t>0466 889 305</t>
  </si>
  <si>
    <t>845387J</t>
  </si>
  <si>
    <t>908236J</t>
  </si>
  <si>
    <t>913463S</t>
  </si>
  <si>
    <t>Regatta</t>
  </si>
  <si>
    <t>Viridian</t>
  </si>
  <si>
    <t>933084N</t>
  </si>
  <si>
    <t>Vebi Ferzulla</t>
  </si>
  <si>
    <t>0467 424 757</t>
  </si>
  <si>
    <t>viridian@rpmgrp.com.au</t>
  </si>
  <si>
    <t>lot between 300m2-450m2- min floor area 100m2
Lot between 451m2- 600m2, min floor area 140m2, 
Lot over 600m2, min floor area 160m2</t>
  </si>
  <si>
    <t>garage door openings must not exceed 40% 
of the primary frontage unless the building is two or more storeys and on a 
lot with an area between 250m2 to 300m2 whereby the garage opening must 
not exceed 30% of the area of the front façade of the dwelling</t>
  </si>
  <si>
    <t>Lots over 12.5m in width, required double garage
- garage openings must not exceed 40% of the dwelling frontage for single storeys</t>
  </si>
  <si>
    <t>All household appliances including cooktops, ovens, water 
heaters, heating and cooling must be 100% electric.</t>
  </si>
  <si>
    <t>Resmon Greenvale</t>
  </si>
  <si>
    <t>933949B</t>
  </si>
  <si>
    <t>920942P</t>
  </si>
  <si>
    <t>930402S</t>
  </si>
  <si>
    <t>819166Y/S23</t>
  </si>
  <si>
    <t>906461M</t>
  </si>
  <si>
    <t>Seventh Bend Estate21</t>
  </si>
  <si>
    <t>909598R</t>
  </si>
  <si>
    <t>918476F</t>
  </si>
  <si>
    <t>906470L</t>
  </si>
  <si>
    <t>Cherry Side Estate</t>
  </si>
  <si>
    <t>Flush Panel Doors 2040mm high throughout (excluding robes)</t>
  </si>
  <si>
    <t>Rockcliffe</t>
  </si>
  <si>
    <t>Sunbury</t>
  </si>
  <si>
    <t>908949T</t>
  </si>
  <si>
    <t>Pask</t>
  </si>
  <si>
    <t>at least 1m side setback from one side for lots greater than 300m2</t>
  </si>
  <si>
    <t>for lots greater than 350m2 $4950</t>
  </si>
  <si>
    <t>Max cut fill 1m.</t>
  </si>
  <si>
    <t>Porch must be 4m2 and 1.5m deep</t>
  </si>
  <si>
    <t>Sliding windows not permitted to secondary street side must be changed to awning.</t>
  </si>
  <si>
    <t>Eaves on corners to return full house length $80 lin m</t>
  </si>
  <si>
    <t>Entrance Blvd lots have extra requirements, refer DG's page 12</t>
  </si>
  <si>
    <t xml:space="preserve">Lot s greater than 12m must have a double garage </t>
  </si>
  <si>
    <t>Provide 1No. Midea 280 litre Electric Heat Pump Water Heater with 1No. 20amp Weatherproof GPO on Isolator Switch in lieu of standard Solar Hot Water System. $-130
Provide 1No. Domain 900mm 9 Function Fan Forced Electric Oven – DEO-R90A in lieu of standard and provide 1No. Domain Dual Bridge Induction Cooktop with Triple Flexi-Zone Burners and Touch Controls – 900mm – IND90-EC. =$1559
Provide Reverse Cycle Ducted Refrigerated heating and cooling unit in lieu of Gas Ducted Heater and split system $20,000 or $15k for singles
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$2300</t>
  </si>
  <si>
    <t>912174F</t>
  </si>
  <si>
    <t>Anthony Battista</t>
  </si>
  <si>
    <t>0400 004 232</t>
  </si>
  <si>
    <t>1 ⅓ sink bowl sink - stainless steel</t>
  </si>
  <si>
    <t>14 - OTHER ENSUITES</t>
  </si>
  <si>
    <t>Provide performance solution for stepless entry to be deemed to comply with requirements due to more than 400mm of fall over the site</t>
  </si>
  <si>
    <t>The Nook</t>
  </si>
  <si>
    <t>929703K</t>
  </si>
  <si>
    <t>m.Huynh@oliverhume.com.au</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</si>
  <si>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$2300
Provide 1No. Midea 280 litre Electric Heat Pump Water Heater with 1No. 20amp Weatherproof GPO on Isolator Switch in lieu of standard Solar Hot Water System. $-130
Provide 1No. Domain 900mm 9 Function Fan Forced Electric Oven – DEO-R90A in lieu of standard and provide 1No. Domain Dual Bridge Induction Cooktop with Triple Flexi-Zone Burners and Touch Controls – 900mm – IND90-EC. =$1559
Provide Reverse Cycle Ducted Refrigerated heating and cooling unit in lieu of Gas Ducted Heater and split system $20,000 or $15k for singles</t>
  </si>
  <si>
    <t>No house shall be built with an area of less than 110sqm (exclusive of garage). Please note: This provision
does not apply to lots of 300m2 .</t>
  </si>
  <si>
    <t>corenr lot eaves to continue full secondary street side $80lin m</t>
  </si>
  <si>
    <t>Retaining must be stone, rendered block or masonary if viewed from public areas. Must not exceed 1.2m height</t>
  </si>
  <si>
    <t>Garages no more than 40% of lot frontage does not apply to lots under 300m2</t>
  </si>
  <si>
    <t>931746C</t>
  </si>
  <si>
    <t>931747A</t>
  </si>
  <si>
    <t>923571H</t>
  </si>
  <si>
    <t>915758L</t>
  </si>
  <si>
    <t>842537H/S30</t>
  </si>
  <si>
    <t>928212L</t>
  </si>
  <si>
    <t>900609N</t>
  </si>
  <si>
    <t>847799X</t>
  </si>
  <si>
    <t>Provide NBN Co basic fibre pack including:
- Internal conduit with draw string
- 1No. GPO
- 1No. Phone point (run to plates on wall in Garage for patching to NBNCo supplied product) (terminated at WSC)
- 2No. Data points (run to plates on wall in Garage for patching to NBNCo supplied product)
- CAT6 cable CAT6 mech
Note: Excludes connection &amp; Enclosure.</t>
  </si>
  <si>
    <t>The Willows at Botanical</t>
  </si>
  <si>
    <t>Porch min 4m2 with 1.5m depth unless SLHC</t>
  </si>
  <si>
    <t>For corner side or abutting a reserve 90 lin m</t>
  </si>
  <si>
    <t>933962K</t>
  </si>
  <si>
    <t>821033G/S161</t>
  </si>
  <si>
    <t>803026F</t>
  </si>
  <si>
    <t>909281X</t>
  </si>
  <si>
    <t>Berwick Waters - Emerald Bend</t>
  </si>
  <si>
    <t>919026J</t>
  </si>
  <si>
    <t>Garage opening no more than 40%</t>
  </si>
  <si>
    <t>824645G</t>
  </si>
  <si>
    <t>935366R</t>
  </si>
  <si>
    <t>Hamilton Heights</t>
  </si>
  <si>
    <t>916923S</t>
  </si>
  <si>
    <t>Seebeck Group</t>
  </si>
  <si>
    <t>sales@seebeckgroup.com.au</t>
  </si>
  <si>
    <t>Minimum dwelling size:
• 120m² on lots not more than 600m²
• 140m² on lots not less than 600m²
• 250m2 on lots not less than 2000m2</t>
  </si>
  <si>
    <t>926383S</t>
  </si>
  <si>
    <t>Fence Extra meterage</t>
  </si>
  <si>
    <t xml:space="preserve">Half Cost </t>
  </si>
  <si>
    <t>Lot Total</t>
  </si>
  <si>
    <t>Retaining</t>
  </si>
  <si>
    <t>Fencing Extra</t>
  </si>
  <si>
    <t>$615/each</t>
  </si>
  <si>
    <t>Provide a Bosch 3000 Alarm Security System including:
1 x Bosch 3000 16 Zone Alarm System with Icon Keypad &amp; Battery Back-up
3 x Standard PIR Sensors
1 x External siren/strobe
1 x Internal Siren
Including pre-wire, installation and programming</t>
  </si>
  <si>
    <t>$490/each</t>
  </si>
  <si>
    <t>X9</t>
  </si>
  <si>
    <t>Lucas PlatinumX9</t>
  </si>
  <si>
    <t>820575X</t>
  </si>
  <si>
    <t>Fisher</t>
  </si>
  <si>
    <t>Deakin</t>
  </si>
  <si>
    <t>Barton</t>
  </si>
  <si>
    <t>Chifley</t>
  </si>
  <si>
    <t>922807K</t>
  </si>
  <si>
    <t>841640V/S17</t>
  </si>
  <si>
    <t>53B</t>
  </si>
  <si>
    <t>709524N/S55</t>
  </si>
  <si>
    <t>Profession Property Investors</t>
  </si>
  <si>
    <t>Finance Family Connection</t>
  </si>
  <si>
    <t>920586K</t>
  </si>
  <si>
    <t>Positive Real Estate</t>
  </si>
  <si>
    <t>Min Dwelling size exclusive of Garage and outdoor areas 300-800m2 = 100m2 Min floor area</t>
  </si>
  <si>
    <t>Entry porch must be 3m2 and 1.5m deep</t>
  </si>
  <si>
    <t>Garages door no more than 40% of lot width. Lots 12.5 must have a double garage</t>
  </si>
  <si>
    <t>for corner lots. Wing must be constructed of same fencing type</t>
  </si>
  <si>
    <t>Retainingn max from street 1.2m high and cannot be timber sleeprs</t>
  </si>
  <si>
    <t>845381W</t>
  </si>
  <si>
    <t>Provide 1No. White 48" ceiling fan without light to each Bedroom, Living area, Lounge (if applicable) and Outdoor Living (up to 7No. Total)</t>
  </si>
  <si>
    <t>For CR Property group only</t>
  </si>
  <si>
    <t>Lucas Parkside</t>
  </si>
  <si>
    <t>3GB</t>
  </si>
  <si>
    <t>928954N</t>
  </si>
  <si>
    <t>$200 tank to laundry</t>
  </si>
  <si>
    <t>Provide levels to AHD of no less than specified level in Restriction 2 of POS $1000</t>
  </si>
  <si>
    <t>842537H/S10</t>
  </si>
  <si>
    <t>846236B</t>
  </si>
  <si>
    <t>917379J</t>
  </si>
  <si>
    <t>927206L</t>
  </si>
  <si>
    <t>922048E</t>
  </si>
  <si>
    <t>Please note that any customer requested changes after the Tender, Colour, or Electrical appointments will be treated as a variation and will incur an administrative fee.  All post appointment changes are also subject to Manager approval.
All variations issued are required to be reviewed, signed, and returned within three (3) business days of receipt.  Variations not returned within this timeframe may result in delays.</t>
  </si>
  <si>
    <t>906529D</t>
  </si>
  <si>
    <t>915733D</t>
  </si>
  <si>
    <t>Watsons Reach</t>
  </si>
  <si>
    <t>922173B</t>
  </si>
  <si>
    <t>Secondary street sides need eaves to full length $80 lin m</t>
  </si>
  <si>
    <t>Garage door sno more than 40% of lot frontage. 12,5m and above must have a double garage door</t>
  </si>
  <si>
    <t>for lots under 300m2 $4950
For lots over 300m2 3000L $6500</t>
  </si>
  <si>
    <t>4m min front setback
1.5m min rear setback
less than 3.6 porch height can encorach up to 1.5m
1m side setback from each side unless VBA approves.</t>
  </si>
  <si>
    <t>933981F</t>
  </si>
  <si>
    <t>848069H</t>
  </si>
  <si>
    <t>928222H</t>
  </si>
  <si>
    <t>926729G</t>
  </si>
  <si>
    <t>845078X</t>
  </si>
  <si>
    <t>909287K</t>
  </si>
  <si>
    <t>Willowstone</t>
  </si>
  <si>
    <t>12.5 and above must have double garage</t>
  </si>
  <si>
    <t>less than 12.5 can only be 40% of frontage</t>
  </si>
  <si>
    <t>Retaining no greater than 1.2m</t>
  </si>
  <si>
    <t>Investment Packages - Pricing Sheet 1st February 2026</t>
  </si>
  <si>
    <t>933883F</t>
  </si>
  <si>
    <t>914905F</t>
  </si>
  <si>
    <t>929655T</t>
  </si>
  <si>
    <t>923556D</t>
  </si>
  <si>
    <t>Builders Choice</t>
  </si>
  <si>
    <t>922036M</t>
  </si>
  <si>
    <t>921374V</t>
  </si>
  <si>
    <t>926728J</t>
  </si>
  <si>
    <t>Provide 1No. Brilliant White Vector-III 52’’ AC Ceiling Fan with CCT LED Light to the ceiling of the Outdoor Living in lieu of standard light point</t>
  </si>
  <si>
    <t>906858H</t>
  </si>
  <si>
    <t>Creswick 3363</t>
  </si>
  <si>
    <t>NA</t>
  </si>
  <si>
    <t>Bayview Estate Officer</t>
  </si>
  <si>
    <t>35 Elizabeth Rd</t>
  </si>
  <si>
    <t>832061P</t>
  </si>
  <si>
    <t>Provide 1No. 5000L Aquasteel water with CFA kit on concrete pad with pump with mains backup to service flushing of toilets and satisfy BMO. $10,000</t>
  </si>
  <si>
    <t>Provide 6mm thick cmenet sheet infills over windows and doors in lieu of standard to comply with BAL 29 requirements $2000</t>
  </si>
  <si>
    <t>37 Elizabeth Rd</t>
  </si>
  <si>
    <t>922819C</t>
  </si>
  <si>
    <t>924483Y</t>
  </si>
  <si>
    <t>846237Y</t>
  </si>
  <si>
    <t>819190C/S342</t>
  </si>
  <si>
    <t>Allotment Size (m²) Minimum Floor Area (m²)
300 – 350 100m2
351 – 450 115m2
451 – 600 150m2
601+ 200m²</t>
  </si>
  <si>
    <t>Allotment Size (m²) Minimum Floor Area (m²)
300 – 350 100m2
351 – 450 115m2
451 – 600 150m2
601+ 200m131</t>
  </si>
  <si>
    <t>Allotment Size (m²) Minimum Floor Area (m²)
300 – 350 100m2
351 – 450 115m2
451 – 600 150m2
601+ 200m132</t>
  </si>
  <si>
    <t>Allotment Size (m²) Minimum Floor Area (m²)
300 – 350 100m2
351 – 450 115m2
451 – 600 150m2
601+ 200m133</t>
  </si>
  <si>
    <t>Allotment Size (m²) Minimum Floor Area (m²)
300 – 350 100m2
351 – 450 115m2
451 – 600 150m2
601+ 200m134</t>
  </si>
  <si>
    <t>$8k offset DO NOT ADD TO TENDER</t>
  </si>
  <si>
    <t>901750G</t>
  </si>
  <si>
    <t>922088R</t>
  </si>
  <si>
    <t>921782E</t>
  </si>
  <si>
    <t>Swarna Estate</t>
  </si>
  <si>
    <t>912474S</t>
  </si>
  <si>
    <t>At least 1m to one side boundary setback</t>
  </si>
  <si>
    <t xml:space="preserve">For lots with a frontage under 12.5m, a single
garage is required with a maximum door width of 2.6m
For lots with a frontage of 12.5m or greater and
14m or less, the maximum width allowable for the
garage door is 5.5m. </t>
  </si>
  <si>
    <t>Lots subject to Small Lot Housing Code Type B
are rear loaded lots and must have garages accessed
via the rear laneway. Garages are not permitted along
the frontage of these lots.</t>
  </si>
  <si>
    <t>Lots 110-124 and lots 601 - 602 must be double storey</t>
  </si>
  <si>
    <t>Motivate Property Group Pty Ltd</t>
  </si>
  <si>
    <t>Min 100m2 internal area</t>
  </si>
  <si>
    <t>934411U</t>
  </si>
  <si>
    <t>16A</t>
  </si>
  <si>
    <t>924404X</t>
  </si>
  <si>
    <t>933966B</t>
  </si>
  <si>
    <t>915736W</t>
  </si>
  <si>
    <t xml:space="preserve">Note for Leon Barwon Water requires $7k deed charge added        Provide Development Deed for Barwon Water connection compliance                      </t>
  </si>
  <si>
    <t>844180N</t>
  </si>
  <si>
    <t>930094B</t>
  </si>
  <si>
    <t>929657P</t>
  </si>
  <si>
    <t>931763C</t>
  </si>
  <si>
    <t>Purple Stone RE</t>
  </si>
  <si>
    <t>920941R</t>
  </si>
  <si>
    <t>915732F</t>
  </si>
  <si>
    <t>All Electric Estate</t>
  </si>
  <si>
    <t>819166Y/S10</t>
  </si>
  <si>
    <t>923558Y</t>
  </si>
  <si>
    <t>Access Wealth</t>
  </si>
  <si>
    <t>The Property Mentors</t>
  </si>
  <si>
    <t>930095Y</t>
  </si>
  <si>
    <t>848017D</t>
  </si>
  <si>
    <t>903120G</t>
  </si>
  <si>
    <t xml:space="preserve">Somerley Estate </t>
  </si>
  <si>
    <t>Porch must be min 3m2 and 1.0m deep</t>
  </si>
  <si>
    <t>Width of Garage door must not exceed 50% of façade width</t>
  </si>
  <si>
    <t>For lots over 300m2 $4950</t>
  </si>
  <si>
    <t>For corner lots</t>
  </si>
  <si>
    <t>Somerset</t>
  </si>
  <si>
    <t>Bannockburn03331</t>
  </si>
  <si>
    <t>829162B</t>
  </si>
  <si>
    <t>No DG's only MCP on page 126 of contract with no notable items.</t>
  </si>
  <si>
    <t>816058T/S293</t>
  </si>
  <si>
    <t>908895Q</t>
  </si>
  <si>
    <t>709524N/S71</t>
  </si>
  <si>
    <t>917278Q</t>
  </si>
  <si>
    <t>913476H</t>
  </si>
  <si>
    <t>913458K</t>
  </si>
  <si>
    <t>846237Y/S44</t>
  </si>
  <si>
    <t>Ghost</t>
  </si>
  <si>
    <t>Orison</t>
  </si>
  <si>
    <t>913235G</t>
  </si>
  <si>
    <t>Lots with a frontage less than 10.5 metres
must provide for a garage door with a
maximum width of 2.6 metres.
Lots with a frontage of 12.5 metres or
greater and 14 metres or less must provide
a double garage. The maximum width of a
garage door is 5.5 metres.</t>
  </si>
  <si>
    <t>Corner Fencing only</t>
  </si>
  <si>
    <t>Retaining to be masonary when viewed from public space.  Avoid large cuts - these will not be approved 1m max retaining</t>
  </si>
  <si>
    <t>4950 and for lots only over 300m2</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</si>
  <si>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$2300</t>
  </si>
  <si>
    <t>Domain Dual Bridge Induction Cooktop with Triple Flexi-Zone Burners and Touch Controls – 900mm – IND90-EC. $1599</t>
  </si>
  <si>
    <t>908230W</t>
  </si>
  <si>
    <t>933990E</t>
  </si>
  <si>
    <t>924385Y</t>
  </si>
  <si>
    <t>918445S</t>
  </si>
  <si>
    <t>933270R</t>
  </si>
  <si>
    <t>SE2</t>
  </si>
  <si>
    <t>930886Q</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</si>
  <si>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connection.$2300</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</si>
  <si>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connection.$2301</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</si>
  <si>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connection.$2302</t>
  </si>
  <si>
    <t>Provide 1No. Domain 900mm 9 Function Fan Forced Electric Oven – DEO-R90A in lieu of standard and provide 1No. Domain Dual Bridge Induction Cooktop with Triple Flexi-Zone Burners and Touch Controls – 900mm – IND90-EC. =$1561</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</si>
  <si>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connection.$2303</t>
  </si>
  <si>
    <t>Provide 1No. Domain 900mm 9 Function Fan Forced Electric Oven – DEO-R90A in lieu of standard and provide 1No. Domain Dual Bridge Induction Cooktop with Triple Flexi-Zone Burners and Touch Controls – 900mm – IND90-EC. =$1562</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</si>
  <si>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connection.$2304</t>
  </si>
  <si>
    <t>Provide 1No. Domain 900mm 9 Function Fan Forced Electric Oven – DEO-R90A in lieu of standard and provide 1No. Domain Dual Bridge Induction Cooktop with Triple Flexi-Zone Burners and Touch Controls – 900mm – IND90-EC. =$1563</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</si>
  <si>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connection.$2305</t>
  </si>
  <si>
    <t>Provide 1No. Domain 900mm 9 Function Fan Forced Electric Oven – DEO-R90A in lieu of standard and provide 1No. Domain Dual Bridge Induction Cooktop with Triple Flexi-Zone Burners and Touch Controls – 900mm – IND90-EC. =$1564</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</si>
  <si>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connection.$2306</t>
  </si>
  <si>
    <t>Provide 1No. Domain 900mm 9 Function Fan Forced Electric Oven – DEO-R90A in lieu of standard and provide 1No. Domain Dual Bridge Induction Cooktop with Triple Flexi-Zone Burners and Touch Controls – 900mm – IND90-EC. =$1565</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</si>
  <si>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connection.$2307</t>
  </si>
  <si>
    <t>Provide 1No. Domain 900mm 9 Function Fan Forced Electric Oven – DEO-R90A in lieu of standard and provide 1No. Domain Dual Bridge Induction Cooktop with Triple Flexi-Zone Burners and Touch Controls – 900mm – IND90-EC. =$1566</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</si>
  <si>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connection.$2308</t>
  </si>
  <si>
    <t>Provide 1No. Domain 900mm 9 Function Fan Forced Electric Oven – DEO-R90A in lieu of standard and provide 1No. Domain Dual Bridge Induction Cooktop with Triple Flexi-Zone Burners and Touch Controls – 900mm – IND90-EC. =$1567</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</si>
  <si>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connection.$2309</t>
  </si>
  <si>
    <t>Provide 1No. Domain 900mm 9 Function Fan Forced Electric Oven – DEO-R90A in lieu of standard and provide 1No. Domain Dual Bridge Induction Cooktop with Triple Flexi-Zone Burners and Touch Controls – 900mm – IND90-EC. =$1568</t>
  </si>
  <si>
    <t>Orient-
ation</t>
  </si>
  <si>
    <t>Refer to Land eng - are there retaining walls to the front of your lot marked?</t>
  </si>
  <si>
    <t>Developer retaining Walls to front driveway</t>
  </si>
  <si>
    <t>Refer to Land eng - on your lot does the land eng show any overlapping structures or trees? If Yes select "Y"</t>
  </si>
  <si>
    <t>Structures or Trees to be removed</t>
  </si>
  <si>
    <t>Refer to Land eng - this is your lot fill, pick the lot corner with greatest difference in finished and existing levels</t>
  </si>
  <si>
    <t>Lot Corner (FS-ES)</t>
  </si>
  <si>
    <t>Refer to Land eng - this is your lowest design surface level on land eng- may be nominated as FS, F, BL, D level - check legend</t>
  </si>
  <si>
    <t>Refer to Land eng - this is your highest design surface level on land eng- may be nominated as FS, F, BL, D level - check legend</t>
  </si>
  <si>
    <t>Postcode of the suburb on Lot Address</t>
  </si>
  <si>
    <t>Is the house a double (eg. Winchester) or single storey home (eg. Stanford)</t>
  </si>
  <si>
    <t>Double or Single Storey</t>
  </si>
  <si>
    <t>Refer to Land Connect siting, LHS house setback (NOT GARAGE) to boundary (m)</t>
  </si>
  <si>
    <t>RHS House Setback</t>
  </si>
  <si>
    <t>LHS House Setback</t>
  </si>
  <si>
    <t>Refer to Land Connect siting, enter in rear setback to boundary from house or alfresco (end of home)</t>
  </si>
  <si>
    <t>Rear house setback</t>
  </si>
  <si>
    <t>Refer to Land Connect siting, enter in garage side setback to boundary</t>
  </si>
  <si>
    <t>Garage side setback</t>
  </si>
  <si>
    <t>Refer to Land Connect siting, enter in garage front setback</t>
  </si>
  <si>
    <t>Garage front setback</t>
  </si>
  <si>
    <t>Refer to Land Connect siting, Rear house setback to Rear boundary line m</t>
  </si>
  <si>
    <t>Rear Setback</t>
  </si>
  <si>
    <t>Only applicable if your lot has a rear easement - enter in easement depth in meters (eg. 2, 2.5, 3, etc)</t>
  </si>
  <si>
    <t>Rear Easement Depth</t>
  </si>
  <si>
    <t>Your homes product range (KB Complete/Elegance/Inspire) - Dropdown menu</t>
  </si>
  <si>
    <t>Range</t>
  </si>
  <si>
    <t>Refer to Land Connect siting, this is your 'Lot Size" figure m2</t>
  </si>
  <si>
    <t>Lot Size</t>
  </si>
  <si>
    <t>Refer to Land Connect siting, this is your 'Total House' area m2</t>
  </si>
  <si>
    <t>What to select/fill in</t>
  </si>
  <si>
    <t>Cell Heading</t>
  </si>
  <si>
    <t>Vic Site costs calculator how to use guide</t>
  </si>
  <si>
    <t>913564L</t>
  </si>
  <si>
    <t>902468T</t>
  </si>
  <si>
    <t>921375T</t>
  </si>
  <si>
    <t>906496R</t>
  </si>
  <si>
    <t xml:space="preserve">Lot 237 Woodcutters Way </t>
  </si>
  <si>
    <t>918217G</t>
  </si>
  <si>
    <t>932192Q</t>
  </si>
  <si>
    <t>806361Y</t>
  </si>
  <si>
    <t>Alpha B</t>
  </si>
  <si>
    <t>918257T</t>
  </si>
  <si>
    <t>Alpha A</t>
  </si>
  <si>
    <t>824647C</t>
  </si>
  <si>
    <t>1W</t>
  </si>
  <si>
    <t>917902V</t>
  </si>
  <si>
    <t>927242G</t>
  </si>
  <si>
    <t>Solar Photovoltaic system 3kWh Single Phase Inverter 5 x 475w Tier 1 panels - 2.37kW System as to NCC22 May 24 edition WOH requirements</t>
  </si>
  <si>
    <t>Solar Photovoltaic system 3kWh Single Phase Inverter 5 x 475w Tier 1 panels - 2.37kW System as to NCC22 May 24 edition WOH requirements (or similar)</t>
  </si>
  <si>
    <t>908893U</t>
  </si>
  <si>
    <t>937443P</t>
  </si>
  <si>
    <t>917259U</t>
  </si>
  <si>
    <t>922631W</t>
  </si>
  <si>
    <t>Check doc for which lots have GAS.</t>
  </si>
  <si>
    <t>Provide 1No. Domain 900mm 9 Function Fan Forced Electric Oven – DEO-R90A in lieu of standard and provide 1No. Domain Dual Bridge Induction Cooktop with Triple Flexi-Zone Burners and Touch Controls – 900mm – IND90-EC. $1599</t>
  </si>
  <si>
    <t xml:space="preserve">Provide Reverse Cycle Ducted Refrigerated heating and cooling unit in lieu of Gas Ducted Heater and split system </t>
  </si>
  <si>
    <t>842977C</t>
  </si>
  <si>
    <t>936472M</t>
  </si>
  <si>
    <t>Burvilles Grove</t>
  </si>
  <si>
    <t>929722F</t>
  </si>
  <si>
    <t>Provide NBN Co basic fibre pack including:
- Internal conduit with draw string
- 1No. GPO
- 1No. Phone point (run to plates on wall in Garage for patching to NBNCo supplied product) (terminated at WSC)
- 2No. Data points (run to plates on wall in Garage f</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</si>
  <si>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$3200</t>
  </si>
  <si>
    <t>Provide 1No. Domain 900mm 9 Function Fan Forced Electric Oven – DEO-R90A in lieu of standard and provide 1No. Domain Dual Bridge Induction Cooktop with Triple Flexi-Zone Burners and Touch Controls – 900mm – IND90-EC. $1559</t>
  </si>
  <si>
    <t>Atmos Propertis</t>
  </si>
  <si>
    <t>Floriana1</t>
  </si>
  <si>
    <t>PS 909410P</t>
  </si>
  <si>
    <t>Ashwood</t>
  </si>
  <si>
    <t>Traralgon 384</t>
  </si>
  <si>
    <t>935238B</t>
  </si>
  <si>
    <t>Rachel Buglisi</t>
  </si>
  <si>
    <t>rachelb@areaspecialist.com.au</t>
  </si>
  <si>
    <t>0401 098 763</t>
  </si>
  <si>
    <t>Additional drainage requirements to connect all roof areas to water tank $5,000</t>
  </si>
  <si>
    <t>Beware lots 1-6 have overhead power on other side of road, Will need franna with spotters to unload frame and truss</t>
  </si>
  <si>
    <t>919011X</t>
  </si>
  <si>
    <t>913020E</t>
  </si>
  <si>
    <t>Lera Estate</t>
  </si>
  <si>
    <t>Vladimir Taraskin</t>
  </si>
  <si>
    <t>0438 265 798</t>
  </si>
  <si>
    <t>lera@rpmgrp.com.au</t>
  </si>
  <si>
    <t>garage door opening accessed from the primary frontage must not exceed 40%
of the frontage width of an allotment. Lots with a lot width of 12.5m and over must have a double garage.</t>
  </si>
  <si>
    <t>Dwellings must support architectural design that is modern and contemporary. No posts  or colponial elements. Duke, Barton, Chifley ok</t>
  </si>
  <si>
    <t>Retaining walls that are visible from the Public Realm must not be higher than 1.2m Retaining walls should be constructed from materials which are complimentary to the dwelling. These include stone,
render and face finish masonry.</t>
  </si>
  <si>
    <t>Olearia</t>
  </si>
  <si>
    <t>930489B</t>
  </si>
  <si>
    <t>Oceana</t>
  </si>
  <si>
    <t>928789B</t>
  </si>
  <si>
    <t>Min 4m front setback</t>
  </si>
  <si>
    <t>Not less than 90m2 excluding Garage, Porch Outdoor living</t>
  </si>
  <si>
    <t>Double Garage on lots 12.5 or greater</t>
  </si>
  <si>
    <t>Lots 7, 8, 24, 25 and 34 to 51 need 1m clear down side of home</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</si>
  <si>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$2301</t>
  </si>
  <si>
    <t>Provide 1No. Domain 900mm 9 Function Fan Forced Electric Oven – DEO-R90A in lieu of standard and provide 1No. Domain Dual Bridge Induction Cooktop with Triple Flexi-Zone Burners and Touch Controls – 900mm – IND90-EC. $1560</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</si>
  <si>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$2302</t>
  </si>
  <si>
    <t>Provide 1No. Domain 900mm 9 Function Fan Forced Electric Oven – DEO-R90A in lieu of standard and provide 1No. Domain Dual Bridge Induction Cooktop with Triple Flexi-Zone Burners and Touch Controls – 900mm – IND90-EC. $1561</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</si>
  <si>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$2303</t>
  </si>
  <si>
    <t>Provide 1No. Domain 900mm 9 Function Fan Forced Electric Oven – DEO-R90A in lieu of standard and provide 1No. Domain Dual Bridge Induction Cooktop with Triple Flexi-Zone Burners and Touch Controls – 900mm – IND90-EC. $1562</t>
  </si>
  <si>
    <t>Provide 3 phase power to the home in lieu of single phase including additional internal switchboard for increased number of modules. Pending 3 phase availability in power pit. If deemed not available client to organise at their cost or a reduction in number of appliances in home will be required to comply with single phase connection. $2304</t>
  </si>
  <si>
    <t>Provide 1No. Domain 900mm 9 Function Fan Forced Electric Oven – DEO-R90A in lieu of standard and provide 1No. Domain Dual Bridge Induction Cooktop with Triple Flexi-Zone Burners and Touch Controls – 900mm – IND90-EC. $1563</t>
  </si>
  <si>
    <t>Scenic Botanica</t>
  </si>
  <si>
    <t>Note there are 2 guidelines Standard lots and Special lots Gorge lots, refer DG's for which is which</t>
  </si>
  <si>
    <t>Provide 600mm wide eaves to the entire house (excluding walls on boundary). $5000</t>
  </si>
  <si>
    <t>Secondary façades on corner allotments to be set back a minimum of 2.5m from the secondary street frontage.</t>
  </si>
  <si>
    <t>Garages to be set back a minimum of 5m from the principal street frontage and no less 0.5m behind the principal façade</t>
  </si>
  <si>
    <t>Cut and fill is discouraged, dwelling design should work with the natural topography. Where it occurs, retaining walls are limited to 0.5m to the rear boundary and a maximum of 1m overall to side boundaries, with no more than 0.5m to each adjacent property</t>
  </si>
  <si>
    <t>The finished ground floor level of the house and garage are to be no more than +/- 300mm different in height from the footpath level at the centre of the lot. This may be varied by the DRP on steep, or otherwise constrained lots.</t>
  </si>
  <si>
    <t>Garage width not to exceed 40%
Double Garages not permitted on frontage less than 12.5m</t>
  </si>
  <si>
    <t>836276U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</si>
</sst>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Red]\-&quot;$&quot;#,##0"/>
    <numFmt numFmtId="44" formatCode="_-&quot;$&quot;* #,##0.00_-;\-&quot;$&quot;* #,##0.00_-;_-&quot;$&quot;* &quot;-&quot;??_-;_-@_-"/>
    <numFmt numFmtId="43" formatCode="_-* #,##0.00_-;\-* #,##0.00_-;_-* &quot;-&quot;??_-;_-@_-"/>
    <numFmt numFmtId="164" formatCode="&quot;$&quot;#,##0.00"/>
    <numFmt numFmtId="165" formatCode="[$$-C09]#,##0"/>
    <numFmt numFmtId="166" formatCode="&quot;$&quot;#,##0"/>
    <numFmt numFmtId="167" formatCode="_(&quot;$&quot;* #,##0.00_);_(&quot;$&quot;* \(#,##0.00\);_(&quot;$&quot;* &quot;-&quot;??_);_(@_)"/>
    <numFmt numFmtId="168" formatCode="0.0%"/>
    <numFmt numFmtId="169" formatCode="0.0"/>
    <numFmt numFmtId="170" formatCode="&quot;$&quot;#,#00;\-0;;@"/>
  </numFmts>
  <fonts count="89">
    <font>
      <sz val="11"/>
      <color theme="1"/>
      <name val="Calibri"/>
      <family val="2"/>
      <scheme val="minor"/>
    </font>
    <font>
      <b/>
      <sz val="11"/>
      <color theme="1"/>
      <name val="Calibri"/>
      <family val="2"/>
      <scheme val="minor"/>
    </font>
    <font>
      <sz val="8"/>
      <name val="Calibri"/>
      <family val="2"/>
      <scheme val="minor"/>
    </font>
    <font>
      <b/>
      <sz val="10"/>
      <color indexed="8"/>
      <name val="Calibri"/>
      <family val="2"/>
      <scheme val="minor"/>
    </font>
    <font>
      <sz val="10"/>
      <color indexed="8"/>
      <name val="Calibri"/>
      <family val="2"/>
      <scheme val="minor"/>
    </font>
    <font>
      <b/>
      <u/>
      <sz val="10"/>
      <color indexed="8"/>
      <name val="Calibri"/>
      <family val="2"/>
      <scheme val="minor"/>
    </font>
    <font>
      <b/>
      <sz val="10"/>
      <color theme="1"/>
      <name val="Calibri"/>
      <family val="2"/>
      <scheme val="minor"/>
    </font>
    <font>
      <b/>
      <sz val="10"/>
      <color theme="1" tint="0.249977111117893"/>
      <name val="Calibri"/>
      <family val="2"/>
      <scheme val="minor"/>
    </font>
    <font>
      <sz val="11"/>
      <color theme="1" tint="0.249977111117893"/>
      <name val="Calibri"/>
      <family val="2"/>
      <scheme val="minor"/>
    </font>
    <font>
      <b/>
      <u/>
      <sz val="10"/>
      <color theme="1" tint="0.249977111117893"/>
      <name val="Calibri"/>
      <family val="2"/>
      <scheme val="minor"/>
    </font>
    <font>
      <sz val="10"/>
      <name val="Arial"/>
      <family val="2"/>
    </font>
    <font>
      <sz val="11"/>
      <color rgb="FFFF0000"/>
      <name val="Calibri"/>
      <family val="2"/>
      <scheme val="minor"/>
    </font>
    <font>
      <u/>
      <sz val="11"/>
      <color theme="10"/>
      <name val="Calibri"/>
      <family val="2"/>
      <scheme val="minor"/>
    </font>
    <font>
      <b/>
      <sz val="11"/>
      <color rgb="FFFF0000"/>
      <name val="Calibri"/>
      <family val="2"/>
      <scheme val="minor"/>
    </font>
    <font>
      <b/>
      <sz val="10"/>
      <color rgb="FF0000FF"/>
      <name val="Calibri"/>
      <family val="2"/>
      <scheme val="minor"/>
    </font>
    <font>
      <sz val="5"/>
      <color rgb="FF003A40"/>
      <name val="Roboto-Light"/>
    </font>
    <font>
      <sz val="9"/>
      <color rgb="FF003A40"/>
      <name val="Roboto-Light"/>
    </font>
    <font>
      <sz val="10"/>
      <color rgb="FF000000"/>
      <name val="Montserrat-Regular"/>
    </font>
    <font>
      <sz val="11"/>
      <name val="Calibri"/>
      <family val="2"/>
      <scheme val="minor"/>
    </font>
    <font>
      <b/>
      <sz val="14"/>
      <color theme="1"/>
      <name val="Calibri"/>
      <family val="2"/>
      <scheme val="minor"/>
    </font>
    <font>
      <sz val="11"/>
      <color theme="1"/>
      <name val="Calibri"/>
      <family val="2"/>
      <scheme val="minor"/>
    </font>
    <font>
      <sz val="11"/>
      <color rgb="FF006100"/>
      <name val="Calibri"/>
      <family val="2"/>
      <scheme val="minor"/>
    </font>
    <font>
      <b/>
      <sz val="11"/>
      <name val="Calibri"/>
      <family val="2"/>
      <scheme val="minor"/>
    </font>
    <font>
      <b/>
      <sz val="11"/>
      <color rgb="FF000080"/>
      <name val="Century Gothic"/>
      <family val="2"/>
    </font>
    <font>
      <sz val="11"/>
      <color rgb="FF000000"/>
      <name val="Calibri"/>
      <family val="2"/>
    </font>
    <font>
      <sz val="10"/>
      <color theme="1"/>
      <name val="Times New Roman"/>
      <family val="1"/>
    </font>
    <font>
      <sz val="10"/>
      <color rgb="FF0000FF"/>
      <name val="Calibri"/>
      <family val="2"/>
      <scheme val="minor"/>
    </font>
    <font>
      <b/>
      <sz val="12"/>
      <name val="Calibri"/>
      <family val="2"/>
      <scheme val="minor"/>
    </font>
    <font>
      <sz val="10"/>
      <name val="Calibri"/>
      <family val="2"/>
      <scheme val="minor"/>
    </font>
    <font>
      <sz val="11"/>
      <color rgb="FF0000FF"/>
      <name val="Calibri"/>
      <family val="2"/>
      <scheme val="minor"/>
    </font>
    <font>
      <sz val="10"/>
      <color rgb="FFFF0000"/>
      <name val="Calibri"/>
      <family val="2"/>
      <scheme val="minor"/>
    </font>
    <font>
      <b/>
      <sz val="10"/>
      <name val="Calibri"/>
      <family val="2"/>
      <scheme val="minor"/>
    </font>
    <font>
      <sz val="10"/>
      <color indexed="30"/>
      <name val="Calibri"/>
      <family val="2"/>
      <scheme val="minor"/>
    </font>
    <font>
      <sz val="10"/>
      <color rgb="FF242729"/>
      <name val="Consolas"/>
      <family val="3"/>
    </font>
    <font>
      <sz val="10"/>
      <color rgb="FF0070C0"/>
      <name val="Calibri"/>
      <family val="2"/>
      <scheme val="minor"/>
    </font>
    <font>
      <sz val="12"/>
      <name val="Calibri"/>
      <family val="2"/>
      <scheme val="minor"/>
    </font>
    <font>
      <sz val="12"/>
      <color rgb="FF0070C0"/>
      <name val="Calibri"/>
      <family val="2"/>
      <scheme val="minor"/>
    </font>
    <font>
      <b/>
      <sz val="11"/>
      <color indexed="8"/>
      <name val="Calibri"/>
      <family val="2"/>
      <scheme val="minor"/>
    </font>
    <font>
      <sz val="26"/>
      <color rgb="FF000000"/>
      <name val="Calibri"/>
      <family val="2"/>
    </font>
    <font>
      <b/>
      <sz val="10"/>
      <color rgb="FF0070C0"/>
      <name val="Calibri"/>
      <family val="2"/>
      <scheme val="minor"/>
    </font>
    <font>
      <sz val="10"/>
      <color theme="1"/>
      <name val="Calibri"/>
      <family val="2"/>
      <scheme val="minor"/>
    </font>
    <font>
      <sz val="11"/>
      <color theme="0"/>
      <name val="Calibri"/>
      <family val="2"/>
      <scheme val="minor"/>
    </font>
    <font>
      <b/>
      <sz val="22"/>
      <color theme="0"/>
      <name val="Calibri"/>
      <family val="2"/>
      <scheme val="minor"/>
    </font>
    <font>
      <sz val="11"/>
      <color theme="10"/>
      <name val="Calibri"/>
      <family val="2"/>
      <scheme val="minor"/>
    </font>
    <font>
      <sz val="16"/>
      <name val="Calibri"/>
      <family val="2"/>
      <scheme val="minor"/>
    </font>
    <font>
      <b/>
      <sz val="110"/>
      <color indexed="8"/>
      <name val="Calibri"/>
      <family val="2"/>
      <scheme val="minor"/>
    </font>
    <font>
      <sz val="12"/>
      <color rgb="FF000000"/>
      <name val="Calibri"/>
      <family val="2"/>
      <scheme val="minor"/>
    </font>
    <font>
      <sz val="10"/>
      <color rgb="FF000000"/>
      <name val="Calibri"/>
      <family val="2"/>
      <scheme val="minor"/>
    </font>
    <font>
      <sz val="11"/>
      <color theme="1"/>
      <name val="Aptos"/>
      <family val="2"/>
    </font>
    <font>
      <sz val="10"/>
      <color theme="1" tint="0.249977111117893"/>
      <name val="Calibri"/>
      <family val="2"/>
      <scheme val="minor"/>
    </font>
    <font>
      <b/>
      <sz val="107"/>
      <color indexed="8"/>
      <name val="Calibri"/>
      <family val="2"/>
      <scheme val="minor"/>
    </font>
    <font>
      <b/>
      <sz val="10"/>
      <color rgb="FF404040"/>
      <name val="Calibri"/>
      <family val="2"/>
      <scheme val="minor"/>
    </font>
    <font>
      <b/>
      <sz val="16"/>
      <color theme="0"/>
      <name val="Euclid Circular B"/>
      <family val="2"/>
    </font>
    <font>
      <b/>
      <sz val="18"/>
      <color theme="0"/>
      <name val="Euclid Circular B"/>
      <family val="2"/>
    </font>
    <font>
      <b/>
      <sz val="10"/>
      <name val="Euclid Circular B"/>
      <family val="2"/>
    </font>
    <font>
      <sz val="11"/>
      <name val="Euclid Circular B"/>
      <family val="2"/>
    </font>
    <font>
      <b/>
      <sz val="12"/>
      <name val="Euclid Circular B"/>
    </font>
    <font>
      <sz val="10"/>
      <name val="Euclid Circular B"/>
      <family val="2"/>
    </font>
    <font>
      <b/>
      <sz val="14"/>
      <name val="Euclid Circular B"/>
      <family val="2"/>
    </font>
    <font>
      <b/>
      <sz val="16"/>
      <color theme="0"/>
      <name val="Euclid Circular B Semibold"/>
      <family val="2"/>
    </font>
    <font>
      <sz val="12"/>
      <name val="Euclid Circular B Light"/>
      <family val="2"/>
    </font>
    <font>
      <b/>
      <i/>
      <sz val="12"/>
      <name val="Euclid Circular B Light"/>
      <family val="2"/>
    </font>
    <font>
      <sz val="12"/>
      <name val="Euclid Circular B"/>
      <family val="2"/>
    </font>
    <font>
      <b/>
      <sz val="11"/>
      <name val="Euclid Circular B"/>
      <family val="2"/>
    </font>
    <font>
      <sz val="16"/>
      <color theme="0"/>
      <name val="Euclid Circular B Light"/>
      <family val="2"/>
    </font>
    <font>
      <b/>
      <sz val="11"/>
      <name val="Museo 500"/>
      <family val="3"/>
    </font>
    <font>
      <sz val="9"/>
      <name val="Calibri"/>
      <family val="2"/>
      <scheme val="minor"/>
    </font>
    <font>
      <b/>
      <u/>
      <sz val="11"/>
      <name val="Euclid Circular B"/>
      <family val="2"/>
    </font>
    <font>
      <b/>
      <i/>
      <sz val="11"/>
      <name val="Museo 500"/>
      <family val="3"/>
    </font>
    <font>
      <sz val="11"/>
      <name val="Museo 500"/>
      <family val="3"/>
    </font>
    <font>
      <b/>
      <sz val="16"/>
      <name val="Euclid Circular B Semibold"/>
      <family val="2"/>
    </font>
    <font>
      <b/>
      <sz val="18"/>
      <name val="Euclid Circular B"/>
      <family val="2"/>
    </font>
    <font>
      <b/>
      <sz val="16"/>
      <color theme="0"/>
      <name val="Euclid Circular B Light"/>
      <family val="2"/>
    </font>
    <font>
      <sz val="14"/>
      <name val="Euclid Circular B"/>
      <family val="2"/>
    </font>
    <font>
      <b/>
      <sz val="8"/>
      <name val="Euclid Circular B"/>
      <family val="2"/>
    </font>
    <font>
      <b/>
      <sz val="10"/>
      <color theme="0"/>
      <name val="Euclid Circular B"/>
    </font>
    <font>
      <sz val="14"/>
      <name val="Euclid Circular B Light"/>
      <family val="2"/>
    </font>
    <font>
      <sz val="10"/>
      <name val="Times New Roman"/>
      <family val="1"/>
    </font>
    <font>
      <sz val="14"/>
      <name val="Calibri"/>
      <family val="2"/>
    </font>
    <font>
      <sz val="11"/>
      <name val="Calibri"/>
      <family val="2"/>
    </font>
    <font>
      <sz val="9"/>
      <color rgb="FF000000"/>
      <name val="Arial"/>
      <family val="2"/>
    </font>
    <font>
      <i/>
      <sz val="11"/>
      <color theme="1"/>
      <name val="Calibri"/>
      <family val="2"/>
      <scheme val="minor"/>
    </font>
    <font>
      <sz val="10"/>
      <color rgb="FF0000FF"/>
      <name val="Calibri"/>
      <family val="2"/>
    </font>
    <font>
      <sz val="10"/>
      <color rgb="FF000000"/>
      <name val="Calibri"/>
      <family val="2"/>
    </font>
    <font>
      <sz val="12"/>
      <color theme="1"/>
      <name val="Aptos"/>
      <family val="2"/>
    </font>
    <font>
      <b/>
      <sz val="95"/>
      <color indexed="8"/>
      <name val="Calibri"/>
      <family val="2"/>
      <scheme val="minor"/>
    </font>
    <font>
      <sz val="36"/>
      <color theme="1"/>
      <name val="Calibri"/>
      <family val="2"/>
      <scheme val="minor"/>
    </font>
    <font>
      <b/>
      <sz val="11"/>
      <color theme="0"/>
      <name val="Calibri"/>
      <family val="2"/>
      <scheme val="minor"/>
    </font>
    <font>
      <b/>
      <i/>
      <sz val="10"/>
      <color theme="1" tint="0.249977111117893"/>
      <name val="Calibri"/>
      <family val="2"/>
      <scheme val="minor"/>
    </font>
  </fonts>
  <fills count="35">
    <fill>
      <patternFill patternType="none"/>
    </fill>
    <fill>
      <patternFill patternType="gray125"/>
    </fill>
    <fill>
      <patternFill patternType="solid">
        <fgColor rgb="FFE2EDC1"/>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C6EFCE"/>
      </patternFill>
    </fill>
    <fill>
      <patternFill patternType="solid">
        <fgColor rgb="FFFFFF99"/>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6"/>
      </patternFill>
    </fill>
    <fill>
      <patternFill patternType="solid">
        <fgColor rgb="FFFF0000"/>
        <bgColor indexed="64"/>
      </patternFill>
    </fill>
    <fill>
      <patternFill patternType="solid">
        <fgColor rgb="FF92D050"/>
        <bgColor indexed="64"/>
      </patternFill>
    </fill>
    <fill>
      <patternFill patternType="solid">
        <fgColor rgb="FFFAF8F5"/>
        <bgColor indexed="64"/>
      </patternFill>
    </fill>
    <fill>
      <patternFill patternType="solid">
        <fgColor theme="3"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99CCFF"/>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9"/>
        <bgColor indexed="64"/>
      </patternFill>
    </fill>
    <fill>
      <patternFill patternType="solid">
        <fgColor rgb="FF7030A0"/>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theme="0" tint="-0.34998626667073579"/>
        <bgColor indexed="64"/>
      </patternFill>
    </fill>
  </fills>
  <borders count="47">
    <border>
      <left/>
      <right/>
      <top/>
      <bottom/>
      <diagonal/>
    </border>
    <border>
      <left/>
      <right/>
      <top/>
      <bottom style="dotted">
        <color rgb="FFA6CE39"/>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bottom style="dotted">
        <color auto="1"/>
      </bottom>
      <diagonal/>
    </border>
    <border>
      <left/>
      <right/>
      <top style="thin">
        <color rgb="FF8EA9DB"/>
      </top>
      <bottom style="thin">
        <color rgb="FF8EA9DB"/>
      </bottom>
      <diagonal/>
    </border>
    <border>
      <left style="medium">
        <color rgb="FF95B3D7"/>
      </left>
      <right/>
      <top style="medium">
        <color rgb="FF95B3D7"/>
      </top>
      <bottom style="medium">
        <color rgb="FF95B3D7"/>
      </bottom>
      <diagonal/>
    </border>
    <border>
      <left/>
      <right/>
      <top style="medium">
        <color rgb="FF95B3D7"/>
      </top>
      <bottom style="medium">
        <color rgb="FF95B3D7"/>
      </bottom>
      <diagonal/>
    </border>
    <border>
      <left style="medium">
        <color rgb="FF95B3D7"/>
      </left>
      <right/>
      <top/>
      <bottom style="medium">
        <color rgb="FF95B3D7"/>
      </bottom>
      <diagonal/>
    </border>
    <border>
      <left/>
      <right/>
      <top/>
      <bottom style="medium">
        <color rgb="FF95B3D7"/>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4" tint="0.39997558519241921"/>
      </top>
      <bottom style="thin">
        <color theme="4" tint="0.39997558519241921"/>
      </bottom>
      <diagonal/>
    </border>
    <border>
      <left/>
      <right/>
      <top style="dotted">
        <color auto="1"/>
      </top>
      <bottom/>
      <diagonal/>
    </border>
    <border>
      <left/>
      <right/>
      <top/>
      <bottom style="thin">
        <color theme="4" tint="0.39997558519241921"/>
      </bottom>
      <diagonal/>
    </border>
    <border>
      <left/>
      <right/>
      <top style="thin">
        <color theme="4" tint="0.39997558519241921"/>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0">
    <xf numFmtId="0" fontId="0" fillId="0" borderId="0"/>
    <xf numFmtId="44" fontId="10" fillId="0" borderId="0" applyFont="0" applyFill="0" applyBorder="0" applyAlignment="0" applyProtection="0"/>
    <xf numFmtId="0" fontId="12" fillId="0" borderId="0" applyNumberFormat="0" applyFill="0" applyBorder="0" applyAlignment="0" applyProtection="0"/>
    <xf numFmtId="167" fontId="10" fillId="0" borderId="0" applyFont="0" applyFill="0" applyBorder="0" applyAlignment="0" applyProtection="0"/>
    <xf numFmtId="44" fontId="20" fillId="0" borderId="0" applyFont="0" applyFill="0" applyBorder="0" applyAlignment="0" applyProtection="0"/>
    <xf numFmtId="9" fontId="20" fillId="0" borderId="0" applyFont="0" applyFill="0" applyBorder="0" applyAlignment="0" applyProtection="0"/>
    <xf numFmtId="0" fontId="21" fillId="10" borderId="0" applyNumberFormat="0" applyBorder="0" applyAlignment="0" applyProtection="0"/>
    <xf numFmtId="0" fontId="10" fillId="0" borderId="0"/>
    <xf numFmtId="0" fontId="41" fillId="17" borderId="0" applyNumberFormat="0" applyBorder="0" applyAlignment="0" applyProtection="0"/>
    <xf numFmtId="43" fontId="20" fillId="0" borderId="0" applyFont="0" applyFill="0" applyBorder="0" applyAlignment="0" applyProtection="0"/>
  </cellStyleXfs>
  <cellXfs count="632">
    <xf numFmtId="0" fontId="0" fillId="0" borderId="0" xfId="0"/>
    <xf numFmtId="0" fontId="0" fillId="0" borderId="0" xfId="0" applyAlignment="1">
      <alignment vertical="top"/>
    </xf>
    <xf numFmtId="49" fontId="0" fillId="0" borderId="0" xfId="0" applyNumberFormat="1" applyAlignment="1">
      <alignment vertical="top"/>
    </xf>
    <xf numFmtId="0" fontId="0" fillId="0" borderId="0" xfId="0" applyAlignment="1">
      <alignment vertical="top" wrapText="1"/>
    </xf>
    <xf numFmtId="0" fontId="0" fillId="0" borderId="0" xfId="0" applyAlignment="1">
      <alignment horizontal="right" vertical="top"/>
    </xf>
    <xf numFmtId="0" fontId="1" fillId="0" borderId="0" xfId="0" applyFont="1" applyAlignment="1">
      <alignment vertical="top" wrapText="1"/>
    </xf>
    <xf numFmtId="49" fontId="1" fillId="0" borderId="0" xfId="0" applyNumberFormat="1" applyFont="1" applyAlignment="1">
      <alignment vertical="top"/>
    </xf>
    <xf numFmtId="0" fontId="1" fillId="0" borderId="0" xfId="0" applyFont="1" applyAlignment="1">
      <alignment horizontal="right" vertical="top"/>
    </xf>
    <xf numFmtId="49" fontId="3" fillId="0" borderId="0" xfId="0" applyNumberFormat="1" applyFont="1" applyAlignment="1">
      <alignment vertical="top"/>
    </xf>
    <xf numFmtId="0" fontId="3" fillId="0" borderId="0" xfId="0" applyFont="1" applyAlignment="1">
      <alignment vertical="top" wrapText="1"/>
    </xf>
    <xf numFmtId="49" fontId="3" fillId="0" borderId="0" xfId="0" applyNumberFormat="1" applyFont="1" applyAlignment="1">
      <alignment vertical="top" readingOrder="1"/>
    </xf>
    <xf numFmtId="0" fontId="3" fillId="0" borderId="0" xfId="0" applyFont="1" applyAlignment="1">
      <alignment vertical="top" wrapText="1" readingOrder="1"/>
    </xf>
    <xf numFmtId="0" fontId="5" fillId="0" borderId="0" xfId="0" applyFont="1" applyAlignment="1">
      <alignment vertical="top" wrapText="1"/>
    </xf>
    <xf numFmtId="0" fontId="5" fillId="0" borderId="0" xfId="0" applyFont="1" applyAlignment="1">
      <alignment horizontal="right" vertical="top"/>
    </xf>
    <xf numFmtId="49" fontId="4" fillId="0" borderId="0" xfId="0" applyNumberFormat="1" applyFont="1" applyAlignment="1">
      <alignment horizontal="left" vertical="top"/>
    </xf>
    <xf numFmtId="0" fontId="4" fillId="0" borderId="0" xfId="0" applyFont="1" applyAlignment="1">
      <alignment vertical="top" wrapText="1"/>
    </xf>
    <xf numFmtId="6" fontId="4" fillId="0" borderId="0" xfId="0" applyNumberFormat="1" applyFont="1" applyAlignment="1">
      <alignment horizontal="right" vertical="top"/>
    </xf>
    <xf numFmtId="0" fontId="4" fillId="0" borderId="0" xfId="0" applyFont="1" applyAlignment="1">
      <alignment horizontal="left" vertical="top" wrapText="1"/>
    </xf>
    <xf numFmtId="0" fontId="4" fillId="0" borderId="0" xfId="0" applyFont="1" applyAlignment="1">
      <alignment horizontal="right" vertical="top"/>
    </xf>
    <xf numFmtId="49" fontId="4" fillId="0" borderId="0" xfId="0" applyNumberFormat="1" applyFont="1" applyAlignment="1">
      <alignment vertical="top"/>
    </xf>
    <xf numFmtId="0" fontId="4" fillId="0" borderId="0" xfId="0" applyFont="1" applyAlignment="1">
      <alignment vertical="top" wrapText="1" readingOrder="1"/>
    </xf>
    <xf numFmtId="16" fontId="4" fillId="0" borderId="0" xfId="0" applyNumberFormat="1" applyFont="1" applyAlignment="1">
      <alignment vertical="top" wrapText="1"/>
    </xf>
    <xf numFmtId="49" fontId="5" fillId="0" borderId="0" xfId="0" applyNumberFormat="1" applyFont="1" applyAlignment="1">
      <alignment horizontal="left" vertical="top"/>
    </xf>
    <xf numFmtId="0" fontId="3" fillId="0" borderId="0" xfId="0" applyFont="1" applyAlignment="1">
      <alignment horizontal="right" vertical="top" readingOrder="1"/>
    </xf>
    <xf numFmtId="0" fontId="3" fillId="0" borderId="0" xfId="0" applyFont="1" applyAlignment="1">
      <alignment horizontal="right" vertical="top"/>
    </xf>
    <xf numFmtId="49" fontId="5" fillId="0" borderId="0" xfId="0" applyNumberFormat="1" applyFont="1" applyAlignment="1">
      <alignment vertical="top" readingOrder="1"/>
    </xf>
    <xf numFmtId="0" fontId="4" fillId="0" borderId="0" xfId="0" applyFont="1" applyAlignment="1">
      <alignment vertical="top"/>
    </xf>
    <xf numFmtId="49" fontId="4" fillId="0" borderId="0" xfId="0" applyNumberFormat="1" applyFont="1" applyAlignment="1">
      <alignment vertical="top" readingOrder="1"/>
    </xf>
    <xf numFmtId="49" fontId="3" fillId="0" borderId="1" xfId="0" applyNumberFormat="1" applyFont="1" applyBorder="1" applyAlignment="1">
      <alignment vertical="top" readingOrder="1"/>
    </xf>
    <xf numFmtId="0" fontId="3" fillId="2" borderId="0" xfId="0" applyFont="1" applyFill="1" applyAlignment="1">
      <alignment horizontal="left" vertical="top" wrapText="1" indent="1" readingOrder="1"/>
    </xf>
    <xf numFmtId="0" fontId="0" fillId="2" borderId="0" xfId="0" applyFill="1" applyAlignment="1">
      <alignment horizontal="left" vertical="top" indent="1"/>
    </xf>
    <xf numFmtId="49" fontId="0" fillId="2" borderId="0" xfId="0" applyNumberFormat="1" applyFill="1" applyAlignment="1">
      <alignment horizontal="left" vertical="top" indent="1"/>
    </xf>
    <xf numFmtId="0" fontId="0" fillId="2" borderId="0" xfId="0" applyFill="1" applyAlignment="1">
      <alignment horizontal="left" vertical="top" wrapText="1" indent="1"/>
    </xf>
    <xf numFmtId="49" fontId="3" fillId="2" borderId="0" xfId="0" applyNumberFormat="1" applyFont="1" applyFill="1" applyAlignment="1">
      <alignment horizontal="left" vertical="top" indent="1" readingOrder="1"/>
    </xf>
    <xf numFmtId="0" fontId="4" fillId="2" borderId="0" xfId="0" applyFont="1" applyFill="1" applyAlignment="1">
      <alignment horizontal="left" vertical="top" indent="1"/>
    </xf>
    <xf numFmtId="0" fontId="3" fillId="2" borderId="0" xfId="0" applyFont="1" applyFill="1" applyAlignment="1">
      <alignment vertical="top" wrapText="1" readingOrder="1"/>
    </xf>
    <xf numFmtId="0" fontId="0" fillId="2" borderId="0" xfId="0" applyFill="1" applyAlignment="1">
      <alignment vertical="top"/>
    </xf>
    <xf numFmtId="0" fontId="0" fillId="2" borderId="0" xfId="0" applyFill="1" applyAlignment="1">
      <alignment vertical="top" wrapText="1"/>
    </xf>
    <xf numFmtId="0" fontId="4" fillId="2" borderId="0" xfId="0" applyFont="1" applyFill="1" applyAlignment="1">
      <alignment vertical="top"/>
    </xf>
    <xf numFmtId="49" fontId="7" fillId="2" borderId="0" xfId="0" applyNumberFormat="1" applyFont="1" applyFill="1" applyAlignment="1">
      <alignment horizontal="left" vertical="top" indent="1" readingOrder="1"/>
    </xf>
    <xf numFmtId="49" fontId="7" fillId="2" borderId="0" xfId="0" applyNumberFormat="1" applyFont="1" applyFill="1" applyAlignment="1">
      <alignment horizontal="left" indent="1" readingOrder="1"/>
    </xf>
    <xf numFmtId="0" fontId="7" fillId="0" borderId="0" xfId="0" applyFont="1" applyAlignment="1">
      <alignment horizontal="right" vertical="top" wrapText="1"/>
    </xf>
    <xf numFmtId="49" fontId="7" fillId="0" borderId="1" xfId="0" applyNumberFormat="1" applyFont="1" applyBorder="1" applyAlignment="1">
      <alignment vertical="top" readingOrder="1"/>
    </xf>
    <xf numFmtId="0" fontId="7" fillId="0" borderId="1" xfId="0" applyFont="1" applyBorder="1" applyAlignment="1">
      <alignment vertical="top" wrapText="1" readingOrder="1"/>
    </xf>
    <xf numFmtId="0" fontId="8" fillId="0" borderId="1" xfId="0" applyFont="1" applyBorder="1" applyAlignment="1">
      <alignment vertical="top"/>
    </xf>
    <xf numFmtId="49" fontId="9" fillId="0" borderId="0" xfId="0" applyNumberFormat="1" applyFont="1" applyAlignment="1">
      <alignment vertical="top"/>
    </xf>
    <xf numFmtId="166" fontId="0" fillId="0" borderId="0" xfId="0" applyNumberFormat="1"/>
    <xf numFmtId="166" fontId="0" fillId="0" borderId="0" xfId="0" applyNumberFormat="1" applyAlignment="1">
      <alignment horizontal="center"/>
    </xf>
    <xf numFmtId="0" fontId="0" fillId="0" borderId="0" xfId="0" applyAlignment="1">
      <alignment wrapText="1"/>
    </xf>
    <xf numFmtId="6" fontId="0" fillId="0" borderId="0" xfId="0" applyNumberFormat="1" applyAlignment="1">
      <alignment wrapText="1"/>
    </xf>
    <xf numFmtId="6" fontId="0" fillId="0" borderId="0" xfId="0" applyNumberFormat="1" applyAlignment="1" applyProtection="1">
      <alignment wrapText="1"/>
      <protection locked="0"/>
    </xf>
    <xf numFmtId="166" fontId="0" fillId="0" borderId="0" xfId="0" applyNumberFormat="1" applyAlignment="1">
      <alignment wrapText="1"/>
    </xf>
    <xf numFmtId="166" fontId="0" fillId="0" borderId="0" xfId="0" applyNumberFormat="1" applyAlignment="1">
      <alignment horizontal="center" wrapText="1"/>
    </xf>
    <xf numFmtId="164" fontId="0" fillId="0" borderId="0" xfId="0" applyNumberFormat="1" applyAlignment="1">
      <alignment horizontal="center" wrapText="1"/>
    </xf>
    <xf numFmtId="164" fontId="13" fillId="0" borderId="0" xfId="0" applyNumberFormat="1" applyFont="1" applyAlignment="1">
      <alignment horizontal="center" wrapText="1"/>
    </xf>
    <xf numFmtId="164" fontId="0" fillId="0" borderId="0" xfId="0" applyNumberFormat="1" applyAlignment="1">
      <alignment horizontal="right" wrapText="1"/>
    </xf>
    <xf numFmtId="2" fontId="14" fillId="5" borderId="0" xfId="3" applyNumberFormat="1" applyFont="1" applyFill="1" applyAlignment="1" applyProtection="1">
      <alignment horizontal="center" wrapText="1"/>
      <protection locked="0"/>
    </xf>
    <xf numFmtId="6" fontId="0" fillId="0" borderId="0" xfId="0" applyNumberFormat="1"/>
    <xf numFmtId="0" fontId="0" fillId="0" borderId="0" xfId="0" applyProtection="1">
      <protection locked="0"/>
    </xf>
    <xf numFmtId="164" fontId="0" fillId="0" borderId="0" xfId="0" applyNumberFormat="1" applyAlignment="1">
      <alignment horizontal="center"/>
    </xf>
    <xf numFmtId="164" fontId="0" fillId="0" borderId="0" xfId="0" applyNumberFormat="1"/>
    <xf numFmtId="0" fontId="11" fillId="0" borderId="0" xfId="0" applyFont="1"/>
    <xf numFmtId="0" fontId="0" fillId="0" borderId="0" xfId="0" applyAlignment="1">
      <alignment horizontal="center"/>
    </xf>
    <xf numFmtId="0" fontId="12" fillId="8" borderId="0" xfId="2" applyFill="1" applyAlignment="1"/>
    <xf numFmtId="0" fontId="18" fillId="4" borderId="2" xfId="0" applyFont="1" applyFill="1" applyBorder="1" applyAlignment="1">
      <alignment horizontal="center" vertical="center" wrapText="1"/>
    </xf>
    <xf numFmtId="0" fontId="18" fillId="8" borderId="2" xfId="0" applyFont="1" applyFill="1" applyBorder="1" applyAlignment="1">
      <alignment horizontal="center" vertical="center" wrapText="1"/>
    </xf>
    <xf numFmtId="0" fontId="18" fillId="9" borderId="2" xfId="0" applyFont="1" applyFill="1" applyBorder="1" applyAlignment="1">
      <alignment horizontal="center" wrapText="1"/>
    </xf>
    <xf numFmtId="0" fontId="19" fillId="7" borderId="0" xfId="0" applyFont="1" applyFill="1" applyAlignment="1">
      <alignment horizontal="center" vertical="center" wrapText="1"/>
    </xf>
    <xf numFmtId="14" fontId="0" fillId="0" borderId="0" xfId="0" applyNumberFormat="1"/>
    <xf numFmtId="0" fontId="0" fillId="0" borderId="0" xfId="0" applyAlignment="1">
      <alignment horizontal="center" vertical="center"/>
    </xf>
    <xf numFmtId="0" fontId="29" fillId="11" borderId="0" xfId="7" applyFont="1" applyFill="1" applyAlignment="1" applyProtection="1">
      <alignment vertical="center"/>
      <protection locked="0"/>
    </xf>
    <xf numFmtId="0" fontId="29" fillId="11" borderId="0" xfId="7" applyFont="1" applyFill="1" applyAlignment="1" applyProtection="1">
      <alignment horizontal="center" vertical="center"/>
      <protection locked="0"/>
    </xf>
    <xf numFmtId="14" fontId="29" fillId="11" borderId="0" xfId="7" applyNumberFormat="1" applyFont="1" applyFill="1" applyAlignment="1" applyProtection="1">
      <alignment vertical="center"/>
      <protection locked="0"/>
    </xf>
    <xf numFmtId="0" fontId="26" fillId="11" borderId="2" xfId="7" applyFont="1" applyFill="1" applyBorder="1" applyAlignment="1" applyProtection="1">
      <alignment horizontal="center" vertical="center"/>
      <protection locked="0"/>
    </xf>
    <xf numFmtId="0" fontId="26" fillId="11" borderId="2" xfId="7" applyFont="1" applyFill="1" applyBorder="1" applyAlignment="1" applyProtection="1">
      <alignment horizontal="center" vertical="center" wrapText="1"/>
      <protection locked="0"/>
    </xf>
    <xf numFmtId="0" fontId="26" fillId="11" borderId="3" xfId="7" applyFont="1" applyFill="1" applyBorder="1" applyAlignment="1" applyProtection="1">
      <alignment horizontal="center" vertical="center"/>
      <protection locked="0"/>
    </xf>
    <xf numFmtId="0" fontId="26" fillId="11" borderId="3" xfId="7" applyFont="1" applyFill="1" applyBorder="1" applyAlignment="1" applyProtection="1">
      <alignment horizontal="center" vertical="center" wrapText="1"/>
      <protection locked="0"/>
    </xf>
    <xf numFmtId="166" fontId="26" fillId="11" borderId="2" xfId="4" applyNumberFormat="1" applyFont="1" applyFill="1" applyBorder="1" applyAlignment="1" applyProtection="1">
      <alignment horizontal="center" vertical="center"/>
      <protection locked="0"/>
    </xf>
    <xf numFmtId="166" fontId="26" fillId="11" borderId="2" xfId="3" applyNumberFormat="1" applyFont="1" applyFill="1" applyBorder="1" applyAlignment="1" applyProtection="1">
      <alignment horizontal="center" vertical="center"/>
      <protection locked="0"/>
    </xf>
    <xf numFmtId="0" fontId="1" fillId="7" borderId="0" xfId="0" applyFont="1" applyFill="1" applyAlignment="1">
      <alignment horizontal="center" vertical="center" wrapText="1"/>
    </xf>
    <xf numFmtId="165" fontId="37" fillId="0" borderId="0" xfId="0" applyNumberFormat="1" applyFont="1" applyAlignment="1">
      <alignment vertical="top" wrapText="1"/>
    </xf>
    <xf numFmtId="0" fontId="1" fillId="0" borderId="0" xfId="0" applyFont="1"/>
    <xf numFmtId="0" fontId="23" fillId="0" borderId="0" xfId="0" applyFont="1"/>
    <xf numFmtId="0" fontId="18" fillId="0" borderId="0" xfId="0" applyFont="1"/>
    <xf numFmtId="0" fontId="18" fillId="7" borderId="2" xfId="0" applyFont="1" applyFill="1" applyBorder="1"/>
    <xf numFmtId="0" fontId="12" fillId="7" borderId="0" xfId="2" applyFill="1" applyProtection="1"/>
    <xf numFmtId="10" fontId="0" fillId="0" borderId="0" xfId="0" applyNumberFormat="1"/>
    <xf numFmtId="0" fontId="24" fillId="0" borderId="0" xfId="0" applyFont="1" applyAlignment="1">
      <alignment vertical="center"/>
    </xf>
    <xf numFmtId="6" fontId="24" fillId="0" borderId="0" xfId="0" applyNumberFormat="1" applyFont="1" applyAlignment="1">
      <alignment horizontal="right" vertical="center"/>
    </xf>
    <xf numFmtId="0" fontId="25" fillId="0" borderId="0" xfId="0" applyFont="1"/>
    <xf numFmtId="0" fontId="24" fillId="0" borderId="0" xfId="0" applyFont="1" applyAlignment="1">
      <alignment horizontal="right" vertical="center"/>
    </xf>
    <xf numFmtId="0" fontId="18" fillId="0" borderId="0" xfId="0" applyFont="1" applyAlignment="1">
      <alignment vertical="center"/>
    </xf>
    <xf numFmtId="166" fontId="0" fillId="0" borderId="0" xfId="0" applyNumberFormat="1" applyAlignment="1">
      <alignment horizontal="right" vertical="center"/>
    </xf>
    <xf numFmtId="14" fontId="1" fillId="3" borderId="0" xfId="0" applyNumberFormat="1" applyFont="1" applyFill="1"/>
    <xf numFmtId="2" fontId="0" fillId="0" borderId="0" xfId="0" applyNumberFormat="1" applyAlignment="1">
      <alignment horizontal="center"/>
    </xf>
    <xf numFmtId="1" fontId="0" fillId="0" borderId="0" xfId="0" applyNumberFormat="1" applyAlignment="1">
      <alignment horizontal="center"/>
    </xf>
    <xf numFmtId="0" fontId="21" fillId="10" borderId="0" xfId="6" applyAlignment="1" applyProtection="1"/>
    <xf numFmtId="0" fontId="21" fillId="10" borderId="0" xfId="6" applyAlignment="1" applyProtection="1">
      <alignment horizontal="center"/>
    </xf>
    <xf numFmtId="0" fontId="1" fillId="7" borderId="6" xfId="0" applyFont="1" applyFill="1" applyBorder="1"/>
    <xf numFmtId="0" fontId="1" fillId="7" borderId="8" xfId="0" applyFont="1" applyFill="1" applyBorder="1"/>
    <xf numFmtId="0" fontId="1" fillId="7" borderId="9" xfId="0" applyFont="1" applyFill="1" applyBorder="1"/>
    <xf numFmtId="0" fontId="22" fillId="7" borderId="0" xfId="0" applyFont="1" applyFill="1"/>
    <xf numFmtId="169" fontId="0" fillId="0" borderId="0" xfId="0" applyNumberFormat="1" applyAlignment="1">
      <alignment horizontal="center"/>
    </xf>
    <xf numFmtId="0" fontId="26" fillId="6" borderId="5" xfId="7" applyFont="1" applyFill="1" applyBorder="1" applyAlignment="1">
      <alignment vertical="center" wrapText="1"/>
    </xf>
    <xf numFmtId="14" fontId="0" fillId="0" borderId="0" xfId="0" applyNumberFormat="1" applyAlignment="1">
      <alignment horizontal="center" vertical="center"/>
    </xf>
    <xf numFmtId="0" fontId="26" fillId="11" borderId="5" xfId="7" applyFont="1" applyFill="1" applyBorder="1" applyAlignment="1">
      <alignment vertical="center" wrapText="1"/>
    </xf>
    <xf numFmtId="0" fontId="26" fillId="6" borderId="5" xfId="7" applyFont="1" applyFill="1" applyBorder="1" applyAlignment="1">
      <alignment vertical="center"/>
    </xf>
    <xf numFmtId="0" fontId="26" fillId="11" borderId="5" xfId="7" applyFont="1" applyFill="1" applyBorder="1" applyAlignment="1">
      <alignment vertical="center"/>
    </xf>
    <xf numFmtId="0" fontId="26" fillId="11" borderId="5" xfId="7" applyFont="1" applyFill="1" applyBorder="1" applyAlignment="1">
      <alignment horizontal="left" vertical="center" wrapText="1"/>
    </xf>
    <xf numFmtId="0" fontId="28" fillId="0" borderId="0" xfId="7" applyFont="1" applyAlignment="1">
      <alignment vertical="center"/>
    </xf>
    <xf numFmtId="0" fontId="28" fillId="0" borderId="0" xfId="7" applyFont="1" applyAlignment="1">
      <alignment vertical="center" wrapText="1"/>
    </xf>
    <xf numFmtId="0" fontId="22" fillId="0" borderId="0" xfId="7" applyFont="1" applyAlignment="1">
      <alignment horizontal="right" vertical="center"/>
    </xf>
    <xf numFmtId="0" fontId="29" fillId="0" borderId="0" xfId="7" applyFont="1" applyAlignment="1">
      <alignment vertical="center"/>
    </xf>
    <xf numFmtId="0" fontId="18" fillId="0" borderId="0" xfId="7" applyFont="1" applyAlignment="1">
      <alignment vertical="center"/>
    </xf>
    <xf numFmtId="0" fontId="18" fillId="12" borderId="0" xfId="7" applyFont="1" applyFill="1" applyAlignment="1">
      <alignment vertical="center"/>
    </xf>
    <xf numFmtId="0" fontId="30" fillId="0" borderId="0" xfId="7" applyFont="1" applyAlignment="1">
      <alignment horizontal="left" vertical="center"/>
    </xf>
    <xf numFmtId="0" fontId="27" fillId="11" borderId="6" xfId="7" applyFont="1" applyFill="1" applyBorder="1" applyAlignment="1">
      <alignment horizontal="center" vertical="center"/>
    </xf>
    <xf numFmtId="0" fontId="27" fillId="5" borderId="9" xfId="7" applyFont="1" applyFill="1" applyBorder="1" applyAlignment="1">
      <alignment horizontal="center" vertical="center"/>
    </xf>
    <xf numFmtId="0" fontId="27" fillId="11" borderId="9" xfId="7" applyFont="1" applyFill="1" applyBorder="1" applyAlignment="1">
      <alignment horizontal="center" vertical="center"/>
    </xf>
    <xf numFmtId="0" fontId="31" fillId="4" borderId="6" xfId="7" applyFont="1" applyFill="1" applyBorder="1" applyAlignment="1">
      <alignment horizontal="center" vertical="center" wrapText="1"/>
    </xf>
    <xf numFmtId="0" fontId="31" fillId="4" borderId="7" xfId="7" applyFont="1" applyFill="1" applyBorder="1" applyAlignment="1">
      <alignment horizontal="center" vertical="center" wrapText="1"/>
    </xf>
    <xf numFmtId="0" fontId="31" fillId="4" borderId="8" xfId="7" applyFont="1" applyFill="1" applyBorder="1" applyAlignment="1">
      <alignment horizontal="center" vertical="center" wrapText="1"/>
    </xf>
    <xf numFmtId="0" fontId="31" fillId="12" borderId="6" xfId="7" applyFont="1" applyFill="1" applyBorder="1" applyAlignment="1">
      <alignment horizontal="center" vertical="center" wrapText="1"/>
    </xf>
    <xf numFmtId="0" fontId="31" fillId="12" borderId="8" xfId="7" applyFont="1" applyFill="1" applyBorder="1" applyAlignment="1">
      <alignment horizontal="center" vertical="center" wrapText="1"/>
    </xf>
    <xf numFmtId="0" fontId="31" fillId="5" borderId="9" xfId="7" applyFont="1" applyFill="1" applyBorder="1" applyAlignment="1">
      <alignment horizontal="center" vertical="center" wrapText="1"/>
    </xf>
    <xf numFmtId="0" fontId="31" fillId="4" borderId="9" xfId="7" applyFont="1" applyFill="1" applyBorder="1" applyAlignment="1">
      <alignment horizontal="center" vertical="center" wrapText="1"/>
    </xf>
    <xf numFmtId="0" fontId="31" fillId="12" borderId="7" xfId="7" applyFont="1" applyFill="1" applyBorder="1" applyAlignment="1">
      <alignment horizontal="center" vertical="center" wrapText="1"/>
    </xf>
    <xf numFmtId="0" fontId="28" fillId="0" borderId="0" xfId="7" applyFont="1" applyAlignment="1">
      <alignment horizontal="left" vertical="center"/>
    </xf>
    <xf numFmtId="166" fontId="28" fillId="12" borderId="2" xfId="4" applyNumberFormat="1" applyFont="1" applyFill="1" applyBorder="1" applyAlignment="1" applyProtection="1">
      <alignment horizontal="center" vertical="center" wrapText="1"/>
    </xf>
    <xf numFmtId="166" fontId="28" fillId="12" borderId="2" xfId="4" applyNumberFormat="1" applyFont="1" applyFill="1" applyBorder="1" applyAlignment="1" applyProtection="1">
      <alignment horizontal="center" vertical="center"/>
    </xf>
    <xf numFmtId="166" fontId="26" fillId="5" borderId="2" xfId="3" applyNumberFormat="1" applyFont="1" applyFill="1" applyBorder="1" applyAlignment="1" applyProtection="1">
      <alignment horizontal="center" vertical="center"/>
    </xf>
    <xf numFmtId="166" fontId="26" fillId="12" borderId="2" xfId="3" applyNumberFormat="1" applyFont="1" applyFill="1" applyBorder="1" applyAlignment="1" applyProtection="1">
      <alignment horizontal="center" vertical="center"/>
    </xf>
    <xf numFmtId="166" fontId="28" fillId="12" borderId="2" xfId="3" applyNumberFormat="1" applyFont="1" applyFill="1" applyBorder="1" applyAlignment="1" applyProtection="1">
      <alignment horizontal="center" vertical="center"/>
    </xf>
    <xf numFmtId="0" fontId="28" fillId="0" borderId="0" xfId="7" applyFont="1" applyAlignment="1">
      <alignment horizontal="center" vertical="center"/>
    </xf>
    <xf numFmtId="166" fontId="28" fillId="0" borderId="0" xfId="7" applyNumberFormat="1" applyFont="1" applyAlignment="1">
      <alignment horizontal="center" vertical="center"/>
    </xf>
    <xf numFmtId="0" fontId="32" fillId="0" borderId="0" xfId="7" applyFont="1" applyAlignment="1">
      <alignment horizontal="left" vertical="center"/>
    </xf>
    <xf numFmtId="0" fontId="33" fillId="0" borderId="0" xfId="0" applyFont="1" applyAlignment="1">
      <alignment horizontal="left" vertical="center"/>
    </xf>
    <xf numFmtId="166" fontId="26" fillId="12" borderId="3" xfId="4" applyNumberFormat="1" applyFont="1" applyFill="1" applyBorder="1" applyAlignment="1" applyProtection="1">
      <alignment horizontal="right" vertical="center"/>
    </xf>
    <xf numFmtId="166" fontId="26" fillId="11" borderId="3" xfId="4" applyNumberFormat="1" applyFont="1" applyFill="1" applyBorder="1" applyAlignment="1" applyProtection="1">
      <alignment horizontal="left" vertical="center"/>
    </xf>
    <xf numFmtId="0" fontId="34" fillId="0" borderId="0" xfId="7" applyFont="1" applyAlignment="1">
      <alignment vertical="center"/>
    </xf>
    <xf numFmtId="0" fontId="30" fillId="0" borderId="0" xfId="7" applyFont="1" applyAlignment="1">
      <alignment vertical="center"/>
    </xf>
    <xf numFmtId="166" fontId="26" fillId="14" borderId="3" xfId="4" applyNumberFormat="1" applyFont="1" applyFill="1" applyBorder="1" applyAlignment="1" applyProtection="1">
      <alignment horizontal="left" vertical="center"/>
    </xf>
    <xf numFmtId="166" fontId="26" fillId="12" borderId="3" xfId="4" applyNumberFormat="1" applyFont="1" applyFill="1" applyBorder="1" applyAlignment="1" applyProtection="1">
      <alignment horizontal="right" vertical="center" wrapText="1"/>
    </xf>
    <xf numFmtId="0" fontId="31" fillId="0" borderId="0" xfId="7" applyFont="1" applyAlignment="1">
      <alignment horizontal="right" vertical="center"/>
    </xf>
    <xf numFmtId="0" fontId="36" fillId="5" borderId="0" xfId="7" applyFont="1" applyFill="1" applyAlignment="1">
      <alignment vertical="center"/>
    </xf>
    <xf numFmtId="168" fontId="28" fillId="0" borderId="0" xfId="5" applyNumberFormat="1" applyFont="1" applyAlignment="1" applyProtection="1">
      <alignment horizontal="center" vertical="center"/>
    </xf>
    <xf numFmtId="0" fontId="31" fillId="0" borderId="0" xfId="7" applyFont="1" applyAlignment="1">
      <alignment vertical="center"/>
    </xf>
    <xf numFmtId="0" fontId="28" fillId="15" borderId="0" xfId="7" applyFont="1" applyFill="1" applyAlignment="1">
      <alignment vertical="center"/>
    </xf>
    <xf numFmtId="0" fontId="34" fillId="15" borderId="0" xfId="7" applyFont="1" applyFill="1" applyAlignment="1">
      <alignment vertical="center"/>
    </xf>
    <xf numFmtId="0" fontId="30" fillId="0" borderId="0" xfId="7" applyFont="1" applyAlignment="1">
      <alignment vertical="center" wrapText="1"/>
    </xf>
    <xf numFmtId="0" fontId="28" fillId="15" borderId="15" xfId="7" applyFont="1" applyFill="1" applyBorder="1" applyAlignment="1">
      <alignment vertical="center"/>
    </xf>
    <xf numFmtId="168" fontId="30" fillId="0" borderId="0" xfId="7" applyNumberFormat="1" applyFont="1" applyAlignment="1">
      <alignment vertical="center"/>
    </xf>
    <xf numFmtId="0" fontId="39" fillId="0" borderId="0" xfId="7" applyFont="1" applyAlignment="1">
      <alignment horizontal="center" vertical="center"/>
    </xf>
    <xf numFmtId="0" fontId="40" fillId="0" borderId="0" xfId="0" applyFont="1" applyAlignment="1">
      <alignment horizontal="right" vertical="top"/>
    </xf>
    <xf numFmtId="166" fontId="26" fillId="12" borderId="2" xfId="3" applyNumberFormat="1" applyFont="1" applyFill="1" applyBorder="1" applyAlignment="1" applyProtection="1">
      <alignment horizontal="center" vertical="center" wrapText="1"/>
    </xf>
    <xf numFmtId="0" fontId="28" fillId="0" borderId="18" xfId="7" applyFont="1" applyBorder="1" applyAlignment="1">
      <alignment horizontal="center" vertical="center" wrapText="1"/>
    </xf>
    <xf numFmtId="0" fontId="28" fillId="0" borderId="19" xfId="7" applyFont="1" applyBorder="1" applyAlignment="1">
      <alignment horizontal="center" vertical="center" wrapText="1"/>
    </xf>
    <xf numFmtId="0" fontId="0" fillId="7" borderId="0" xfId="0" applyFill="1"/>
    <xf numFmtId="0" fontId="12" fillId="7" borderId="0" xfId="2" applyFill="1" applyAlignment="1"/>
    <xf numFmtId="166" fontId="0" fillId="7" borderId="0" xfId="0" applyNumberFormat="1" applyFill="1" applyAlignment="1">
      <alignment horizontal="center"/>
    </xf>
    <xf numFmtId="166" fontId="0" fillId="7" borderId="0" xfId="0" applyNumberFormat="1" applyFill="1"/>
    <xf numFmtId="0" fontId="0" fillId="3" borderId="0" xfId="0" applyFill="1" applyAlignment="1">
      <alignment horizontal="center"/>
    </xf>
    <xf numFmtId="166" fontId="0" fillId="8" borderId="0" xfId="0" applyNumberFormat="1" applyFill="1" applyAlignment="1">
      <alignment horizontal="center"/>
    </xf>
    <xf numFmtId="166" fontId="0" fillId="16" borderId="0" xfId="0" applyNumberFormat="1" applyFill="1" applyAlignment="1">
      <alignment horizontal="center"/>
    </xf>
    <xf numFmtId="2" fontId="0" fillId="0" borderId="0" xfId="0" applyNumberFormat="1" applyAlignment="1">
      <alignment horizontal="center" wrapText="1"/>
    </xf>
    <xf numFmtId="1" fontId="0" fillId="0" borderId="0" xfId="0" applyNumberFormat="1" applyAlignment="1">
      <alignment horizontal="center" wrapText="1"/>
    </xf>
    <xf numFmtId="0" fontId="21" fillId="10" borderId="0" xfId="6" applyAlignment="1" applyProtection="1">
      <alignment wrapText="1"/>
    </xf>
    <xf numFmtId="49" fontId="0" fillId="0" borderId="0" xfId="0" applyNumberFormat="1" applyAlignment="1">
      <alignment wrapText="1"/>
    </xf>
    <xf numFmtId="43" fontId="0" fillId="0" borderId="0" xfId="9" applyFont="1" applyAlignment="1">
      <alignment horizontal="center"/>
    </xf>
    <xf numFmtId="166" fontId="24" fillId="0" borderId="0" xfId="0" applyNumberFormat="1" applyFont="1" applyAlignment="1">
      <alignment horizontal="right" vertical="center"/>
    </xf>
    <xf numFmtId="0" fontId="0" fillId="18" borderId="0" xfId="0" applyFill="1" applyAlignment="1">
      <alignment horizontal="center"/>
    </xf>
    <xf numFmtId="0" fontId="0" fillId="4" borderId="0" xfId="0" applyFill="1" applyAlignment="1">
      <alignment horizontal="left"/>
    </xf>
    <xf numFmtId="0" fontId="43" fillId="8" borderId="0" xfId="2" applyFont="1" applyFill="1" applyAlignment="1"/>
    <xf numFmtId="0" fontId="43" fillId="7" borderId="0" xfId="2" applyFont="1" applyFill="1" applyAlignment="1"/>
    <xf numFmtId="0" fontId="26" fillId="11" borderId="21" xfId="7" applyFont="1" applyFill="1" applyBorder="1" applyAlignment="1">
      <alignment vertical="center" wrapText="1"/>
    </xf>
    <xf numFmtId="0" fontId="12" fillId="11" borderId="0" xfId="2" applyFill="1" applyAlignment="1"/>
    <xf numFmtId="0" fontId="0" fillId="0" borderId="0" xfId="7" applyFont="1" applyAlignment="1">
      <alignment horizontal="center" vertical="center"/>
    </xf>
    <xf numFmtId="164" fontId="0" fillId="0" borderId="0" xfId="4" applyNumberFormat="1" applyFont="1" applyAlignment="1">
      <alignment horizontal="center"/>
    </xf>
    <xf numFmtId="0" fontId="34" fillId="0" borderId="0" xfId="7" applyFont="1" applyAlignment="1">
      <alignment vertical="center" wrapText="1"/>
    </xf>
    <xf numFmtId="0" fontId="0" fillId="19" borderId="0" xfId="0" applyFill="1" applyAlignment="1">
      <alignment horizontal="center"/>
    </xf>
    <xf numFmtId="0" fontId="27" fillId="0" borderId="0" xfId="7" applyFont="1" applyAlignment="1">
      <alignment vertical="center"/>
    </xf>
    <xf numFmtId="0" fontId="27" fillId="0" borderId="0" xfId="7" applyFont="1" applyAlignment="1" applyProtection="1">
      <alignment vertical="center"/>
      <protection locked="0"/>
    </xf>
    <xf numFmtId="0" fontId="31" fillId="0" borderId="4" xfId="7" applyFont="1" applyBorder="1" applyAlignment="1">
      <alignment vertical="center"/>
    </xf>
    <xf numFmtId="0" fontId="22" fillId="0" borderId="0" xfId="7" applyFont="1" applyAlignment="1">
      <alignment vertical="center"/>
    </xf>
    <xf numFmtId="0" fontId="35" fillId="5" borderId="0" xfId="7" applyFont="1" applyFill="1"/>
    <xf numFmtId="14" fontId="18" fillId="0" borderId="0" xfId="0" applyNumberFormat="1" applyFont="1" applyAlignment="1">
      <alignment horizontal="center" vertical="center"/>
    </xf>
    <xf numFmtId="166" fontId="28" fillId="0" borderId="0" xfId="4" applyNumberFormat="1" applyFont="1" applyFill="1" applyBorder="1" applyAlignment="1" applyProtection="1">
      <alignment horizontal="right" vertical="center"/>
    </xf>
    <xf numFmtId="0" fontId="18" fillId="0" borderId="0" xfId="0" applyFont="1" applyAlignment="1">
      <alignment horizontal="center" vertical="center"/>
    </xf>
    <xf numFmtId="0" fontId="41" fillId="0" borderId="0" xfId="0" applyFont="1" applyAlignment="1">
      <alignment horizontal="center"/>
    </xf>
    <xf numFmtId="0" fontId="0" fillId="20" borderId="0" xfId="0" applyFill="1" applyAlignment="1">
      <alignment horizontal="left" vertical="top" indent="1"/>
    </xf>
    <xf numFmtId="49" fontId="0" fillId="20" borderId="0" xfId="0" applyNumberFormat="1" applyFill="1" applyAlignment="1">
      <alignment horizontal="left" vertical="top" indent="1"/>
    </xf>
    <xf numFmtId="0" fontId="0" fillId="20" borderId="0" xfId="0" applyFill="1" applyAlignment="1">
      <alignment horizontal="left" vertical="top" wrapText="1" indent="1"/>
    </xf>
    <xf numFmtId="49" fontId="7" fillId="20" borderId="0" xfId="0" applyNumberFormat="1" applyFont="1" applyFill="1" applyAlignment="1">
      <alignment horizontal="left" vertical="top" indent="1" readingOrder="1"/>
    </xf>
    <xf numFmtId="0" fontId="4" fillId="20" borderId="0" xfId="0" applyFont="1" applyFill="1" applyAlignment="1">
      <alignment horizontal="left" vertical="top" indent="1"/>
    </xf>
    <xf numFmtId="49" fontId="3" fillId="20" borderId="0" xfId="0" applyNumberFormat="1" applyFont="1" applyFill="1" applyAlignment="1">
      <alignment horizontal="left" vertical="top" indent="1" readingOrder="1"/>
    </xf>
    <xf numFmtId="0" fontId="0" fillId="20" borderId="0" xfId="0" applyFill="1" applyAlignment="1">
      <alignment vertical="top"/>
    </xf>
    <xf numFmtId="0" fontId="0" fillId="20" borderId="0" xfId="0" applyFill="1" applyAlignment="1">
      <alignment vertical="top" wrapText="1"/>
    </xf>
    <xf numFmtId="0" fontId="4" fillId="20" borderId="0" xfId="0" applyFont="1" applyFill="1" applyAlignment="1">
      <alignment vertical="top"/>
    </xf>
    <xf numFmtId="49" fontId="3" fillId="0" borderId="23" xfId="0" applyNumberFormat="1" applyFont="1" applyBorder="1" applyAlignment="1">
      <alignment vertical="top" readingOrder="1"/>
    </xf>
    <xf numFmtId="0" fontId="4" fillId="0" borderId="23" xfId="0" applyFont="1" applyBorder="1" applyAlignment="1">
      <alignment horizontal="right" vertical="top"/>
    </xf>
    <xf numFmtId="0" fontId="45" fillId="0" borderId="0" xfId="0" applyFont="1" applyAlignment="1">
      <alignment vertical="top" wrapText="1"/>
    </xf>
    <xf numFmtId="0" fontId="46" fillId="0" borderId="0" xfId="0" applyFont="1"/>
    <xf numFmtId="0" fontId="0" fillId="0" borderId="24" xfId="0" applyBorder="1"/>
    <xf numFmtId="0" fontId="0" fillId="0" borderId="0" xfId="0" applyAlignment="1">
      <alignment horizontal="center" wrapText="1"/>
    </xf>
    <xf numFmtId="166" fontId="0" fillId="7" borderId="0" xfId="0" applyNumberFormat="1" applyFill="1" applyAlignment="1">
      <alignment wrapText="1"/>
    </xf>
    <xf numFmtId="0" fontId="40" fillId="0" borderId="0" xfId="0" applyFont="1" applyAlignment="1">
      <alignment vertical="top" wrapText="1"/>
    </xf>
    <xf numFmtId="0" fontId="47" fillId="0" borderId="0" xfId="0" applyFont="1" applyAlignment="1">
      <alignment vertical="top" wrapText="1"/>
    </xf>
    <xf numFmtId="0" fontId="48" fillId="0" borderId="0" xfId="0" applyFont="1"/>
    <xf numFmtId="0" fontId="0" fillId="7" borderId="0" xfId="0" applyFill="1" applyAlignment="1">
      <alignment horizontal="center"/>
    </xf>
    <xf numFmtId="49" fontId="7" fillId="0" borderId="0" xfId="0" applyNumberFormat="1" applyFont="1" applyAlignment="1">
      <alignment vertical="top" readingOrder="1"/>
    </xf>
    <xf numFmtId="49" fontId="49" fillId="0" borderId="0" xfId="0" applyNumberFormat="1" applyFont="1" applyAlignment="1">
      <alignment vertical="top" readingOrder="1"/>
    </xf>
    <xf numFmtId="49" fontId="49" fillId="0" borderId="0" xfId="0" applyNumberFormat="1" applyFont="1" applyAlignment="1">
      <alignment vertical="top" wrapText="1" readingOrder="1"/>
    </xf>
    <xf numFmtId="49" fontId="50" fillId="0" borderId="0" xfId="0" applyNumberFormat="1" applyFont="1" applyAlignment="1">
      <alignment vertical="top"/>
    </xf>
    <xf numFmtId="0" fontId="40" fillId="0" borderId="0" xfId="0" applyFont="1"/>
    <xf numFmtId="49" fontId="51" fillId="0" borderId="1" xfId="0" applyNumberFormat="1" applyFont="1" applyBorder="1" applyAlignment="1">
      <alignment vertical="top" readingOrder="1"/>
    </xf>
    <xf numFmtId="49" fontId="28" fillId="0" borderId="0" xfId="0" applyNumberFormat="1" applyFont="1" applyAlignment="1">
      <alignment vertical="top" readingOrder="1"/>
    </xf>
    <xf numFmtId="49" fontId="4" fillId="0" borderId="0" xfId="0" applyNumberFormat="1" applyFont="1" applyAlignment="1">
      <alignment horizontal="right" vertical="top" readingOrder="1"/>
    </xf>
    <xf numFmtId="0" fontId="12" fillId="0" borderId="0" xfId="2" applyAlignment="1">
      <alignment vertical="center"/>
    </xf>
    <xf numFmtId="0" fontId="18" fillId="16" borderId="0" xfId="0" applyFont="1" applyFill="1"/>
    <xf numFmtId="0" fontId="22" fillId="0" borderId="0" xfId="0" applyFont="1"/>
    <xf numFmtId="0" fontId="54" fillId="22" borderId="29" xfId="0" applyFont="1" applyFill="1" applyBorder="1" applyAlignment="1">
      <alignment horizontal="left" vertical="center" indent="1"/>
    </xf>
    <xf numFmtId="2" fontId="55" fillId="0" borderId="29" xfId="0" applyNumberFormat="1" applyFont="1" applyBorder="1" applyAlignment="1" applyProtection="1">
      <alignment horizontal="left" vertical="center" indent="1"/>
      <protection locked="0"/>
    </xf>
    <xf numFmtId="0" fontId="55" fillId="0" borderId="6" xfId="0" applyFont="1" applyBorder="1" applyAlignment="1" applyProtection="1">
      <alignment horizontal="left" vertical="center" indent="1"/>
      <protection locked="0"/>
    </xf>
    <xf numFmtId="0" fontId="55" fillId="0" borderId="8" xfId="0" applyFont="1" applyBorder="1" applyAlignment="1" applyProtection="1">
      <alignment horizontal="left" vertical="center" indent="1"/>
      <protection locked="0"/>
    </xf>
    <xf numFmtId="0" fontId="54" fillId="22" borderId="9" xfId="0" applyFont="1" applyFill="1" applyBorder="1" applyAlignment="1">
      <alignment horizontal="left" vertical="center" indent="1"/>
    </xf>
    <xf numFmtId="2" fontId="55" fillId="0" borderId="9" xfId="0" applyNumberFormat="1" applyFont="1" applyBorder="1" applyAlignment="1" applyProtection="1">
      <alignment horizontal="left" vertical="center" wrapText="1" indent="1"/>
      <protection locked="0"/>
    </xf>
    <xf numFmtId="0" fontId="54" fillId="22" borderId="9" xfId="0" applyFont="1" applyFill="1" applyBorder="1" applyAlignment="1">
      <alignment horizontal="left" vertical="center" wrapText="1" indent="1"/>
    </xf>
    <xf numFmtId="0" fontId="54" fillId="22" borderId="30" xfId="0" applyFont="1" applyFill="1" applyBorder="1" applyAlignment="1">
      <alignment horizontal="left" vertical="center" wrapText="1" indent="1"/>
    </xf>
    <xf numFmtId="0" fontId="55" fillId="0" borderId="31" xfId="0" applyFont="1" applyBorder="1" applyAlignment="1" applyProtection="1">
      <alignment horizontal="left" vertical="center" indent="1"/>
      <protection locked="0"/>
    </xf>
    <xf numFmtId="0" fontId="55" fillId="0" borderId="30" xfId="0" applyFont="1" applyBorder="1" applyAlignment="1" applyProtection="1">
      <alignment horizontal="left" vertical="center" wrapText="1" indent="1"/>
      <protection locked="0"/>
    </xf>
    <xf numFmtId="0" fontId="54" fillId="22" borderId="30" xfId="0" applyFont="1" applyFill="1" applyBorder="1" applyAlignment="1">
      <alignment horizontal="left" vertical="center" indent="1"/>
    </xf>
    <xf numFmtId="0" fontId="54" fillId="22" borderId="6" xfId="0" applyFont="1" applyFill="1" applyBorder="1" applyAlignment="1">
      <alignment horizontal="left" vertical="center" wrapText="1" indent="1"/>
    </xf>
    <xf numFmtId="0" fontId="54" fillId="22" borderId="7" xfId="0" applyFont="1" applyFill="1" applyBorder="1" applyAlignment="1">
      <alignment horizontal="left" vertical="center" wrapText="1" indent="1"/>
    </xf>
    <xf numFmtId="2" fontId="55" fillId="0" borderId="9" xfId="0" applyNumberFormat="1" applyFont="1" applyBorder="1" applyAlignment="1" applyProtection="1">
      <alignment horizontal="left" vertical="center" indent="1"/>
      <protection locked="0"/>
    </xf>
    <xf numFmtId="2" fontId="56" fillId="0" borderId="9" xfId="0" applyNumberFormat="1" applyFont="1" applyBorder="1" applyAlignment="1">
      <alignment horizontal="left" vertical="center" wrapText="1" indent="1"/>
    </xf>
    <xf numFmtId="0" fontId="57" fillId="16" borderId="9" xfId="0" applyFont="1" applyFill="1" applyBorder="1" applyAlignment="1" applyProtection="1">
      <alignment horizontal="center" vertical="center" wrapText="1"/>
      <protection locked="0"/>
    </xf>
    <xf numFmtId="2" fontId="55" fillId="0" borderId="30" xfId="0" applyNumberFormat="1" applyFont="1" applyBorder="1" applyAlignment="1" applyProtection="1">
      <alignment horizontal="left" vertical="center" indent="1"/>
      <protection locked="0"/>
    </xf>
    <xf numFmtId="0" fontId="57" fillId="16" borderId="30" xfId="0" applyFont="1" applyFill="1" applyBorder="1" applyAlignment="1" applyProtection="1">
      <alignment horizontal="center" vertical="center" wrapText="1"/>
      <protection locked="0"/>
    </xf>
    <xf numFmtId="0" fontId="63" fillId="0" borderId="10" xfId="0" applyFont="1" applyBorder="1" applyAlignment="1">
      <alignment horizontal="center"/>
    </xf>
    <xf numFmtId="0" fontId="63" fillId="0" borderId="12" xfId="0" applyFont="1" applyBorder="1" applyAlignment="1">
      <alignment horizontal="center"/>
    </xf>
    <xf numFmtId="166" fontId="55" fillId="16" borderId="16" xfId="0" applyNumberFormat="1" applyFont="1" applyFill="1" applyBorder="1" applyAlignment="1">
      <alignment horizontal="center" vertical="center"/>
    </xf>
    <xf numFmtId="166" fontId="55" fillId="16" borderId="17" xfId="0" applyNumberFormat="1" applyFont="1" applyFill="1" applyBorder="1" applyAlignment="1">
      <alignment horizontal="center" vertical="center"/>
    </xf>
    <xf numFmtId="0" fontId="55" fillId="0" borderId="0" xfId="0" applyFont="1" applyAlignment="1">
      <alignment horizontal="left"/>
    </xf>
    <xf numFmtId="0" fontId="55" fillId="0" borderId="17" xfId="0" applyFont="1" applyBorder="1" applyAlignment="1">
      <alignment horizontal="left"/>
    </xf>
    <xf numFmtId="0" fontId="22" fillId="16" borderId="0" xfId="0" applyFont="1" applyFill="1" applyAlignment="1">
      <alignment horizontal="center"/>
    </xf>
    <xf numFmtId="0" fontId="22" fillId="16" borderId="0" xfId="0" applyFont="1" applyFill="1"/>
    <xf numFmtId="166" fontId="55" fillId="16" borderId="3" xfId="0" applyNumberFormat="1" applyFont="1" applyFill="1" applyBorder="1" applyAlignment="1">
      <alignment horizontal="center" vertical="center"/>
    </xf>
    <xf numFmtId="0" fontId="55" fillId="0" borderId="3" xfId="0" applyFont="1" applyBorder="1" applyAlignment="1">
      <alignment horizontal="left"/>
    </xf>
    <xf numFmtId="0" fontId="18" fillId="16" borderId="0" xfId="0" applyFont="1" applyFill="1" applyAlignment="1">
      <alignment horizontal="center"/>
    </xf>
    <xf numFmtId="0" fontId="18" fillId="16" borderId="0" xfId="2" applyNumberFormat="1" applyFont="1" applyFill="1" applyBorder="1" applyAlignment="1" applyProtection="1">
      <alignment horizontal="center" vertical="center" wrapText="1"/>
    </xf>
    <xf numFmtId="166" fontId="55" fillId="16" borderId="0" xfId="0" applyNumberFormat="1" applyFont="1" applyFill="1" applyAlignment="1">
      <alignment horizontal="center" vertical="center"/>
    </xf>
    <xf numFmtId="0" fontId="65" fillId="16" borderId="0" xfId="0" applyFont="1" applyFill="1" applyAlignment="1">
      <alignment horizontal="center" vertical="center" wrapText="1"/>
    </xf>
    <xf numFmtId="0" fontId="66" fillId="16" borderId="0" xfId="0" applyFont="1" applyFill="1" applyAlignment="1">
      <alignment horizontal="center" vertical="center"/>
    </xf>
    <xf numFmtId="0" fontId="66" fillId="16" borderId="0" xfId="0" applyFont="1" applyFill="1"/>
    <xf numFmtId="0" fontId="55" fillId="16" borderId="0" xfId="0" applyFont="1" applyFill="1" applyAlignment="1">
      <alignment horizontal="center" vertical="center"/>
    </xf>
    <xf numFmtId="0" fontId="68" fillId="0" borderId="0" xfId="0" applyFont="1" applyAlignment="1">
      <alignment horizontal="center" vertical="center" textRotation="90" wrapText="1"/>
    </xf>
    <xf numFmtId="166" fontId="69" fillId="16" borderId="0" xfId="0" applyNumberFormat="1" applyFont="1" applyFill="1" applyAlignment="1">
      <alignment horizontal="center" vertical="center"/>
    </xf>
    <xf numFmtId="0" fontId="18" fillId="16" borderId="0" xfId="0" applyFont="1" applyFill="1" applyAlignment="1">
      <alignment horizontal="center" vertical="center"/>
    </xf>
    <xf numFmtId="166" fontId="71" fillId="19" borderId="30" xfId="0" applyNumberFormat="1" applyFont="1" applyFill="1" applyBorder="1" applyAlignment="1">
      <alignment horizontal="center"/>
    </xf>
    <xf numFmtId="0" fontId="73" fillId="16" borderId="0" xfId="0" applyFont="1" applyFill="1" applyAlignment="1">
      <alignment horizontal="center" vertical="center" wrapText="1"/>
    </xf>
    <xf numFmtId="0" fontId="55" fillId="16" borderId="0" xfId="0" applyFont="1" applyFill="1" applyAlignment="1">
      <alignment horizontal="center" vertical="center" wrapText="1"/>
    </xf>
    <xf numFmtId="166" fontId="71" fillId="3" borderId="30" xfId="0" applyNumberFormat="1" applyFont="1" applyFill="1" applyBorder="1" applyAlignment="1">
      <alignment horizontal="center"/>
    </xf>
    <xf numFmtId="0" fontId="69" fillId="16" borderId="0" xfId="0" applyFont="1" applyFill="1" applyAlignment="1">
      <alignment horizontal="center" vertical="center" wrapText="1"/>
    </xf>
    <xf numFmtId="0" fontId="55" fillId="16" borderId="0" xfId="0" applyFont="1" applyFill="1"/>
    <xf numFmtId="166" fontId="71" fillId="26" borderId="9" xfId="0" applyNumberFormat="1" applyFont="1" applyFill="1" applyBorder="1" applyAlignment="1">
      <alignment horizontal="center"/>
    </xf>
    <xf numFmtId="166" fontId="55" fillId="16" borderId="34" xfId="0" applyNumberFormat="1" applyFont="1" applyFill="1" applyBorder="1" applyAlignment="1" applyProtection="1">
      <alignment vertical="center"/>
      <protection locked="0"/>
    </xf>
    <xf numFmtId="166" fontId="55" fillId="16" borderId="35" xfId="0" applyNumberFormat="1" applyFont="1" applyFill="1" applyBorder="1" applyProtection="1">
      <protection locked="0"/>
    </xf>
    <xf numFmtId="166" fontId="55" fillId="16" borderId="16" xfId="0" applyNumberFormat="1" applyFont="1" applyFill="1" applyBorder="1" applyAlignment="1" applyProtection="1">
      <alignment vertical="center"/>
      <protection locked="0"/>
    </xf>
    <xf numFmtId="166" fontId="55" fillId="16" borderId="17" xfId="0" applyNumberFormat="1" applyFont="1" applyFill="1" applyBorder="1" applyProtection="1">
      <protection locked="0"/>
    </xf>
    <xf numFmtId="0" fontId="76" fillId="0" borderId="0" xfId="0" applyFont="1" applyAlignment="1">
      <alignment vertical="center"/>
    </xf>
    <xf numFmtId="0" fontId="77" fillId="0" borderId="0" xfId="0" applyFont="1"/>
    <xf numFmtId="0" fontId="78" fillId="0" borderId="0" xfId="0" applyFont="1" applyAlignment="1">
      <alignment vertical="center"/>
    </xf>
    <xf numFmtId="0" fontId="79" fillId="0" borderId="0" xfId="0" applyFont="1" applyAlignment="1">
      <alignment vertical="center"/>
    </xf>
    <xf numFmtId="0" fontId="12" fillId="0" borderId="0" xfId="2" applyFill="1" applyAlignment="1"/>
    <xf numFmtId="164" fontId="18" fillId="0" borderId="0" xfId="7" applyNumberFormat="1" applyFont="1" applyAlignment="1">
      <alignment vertical="center"/>
    </xf>
    <xf numFmtId="0" fontId="29" fillId="0" borderId="0" xfId="7" applyFont="1" applyAlignment="1" applyProtection="1">
      <alignment vertical="center"/>
      <protection locked="0"/>
    </xf>
    <xf numFmtId="0" fontId="0" fillId="4" borderId="0" xfId="0" applyFill="1" applyAlignment="1">
      <alignment horizontal="right"/>
    </xf>
    <xf numFmtId="0" fontId="31" fillId="0" borderId="0" xfId="0" applyFont="1" applyAlignment="1">
      <alignment vertical="top" wrapText="1"/>
    </xf>
    <xf numFmtId="0" fontId="0" fillId="19" borderId="0" xfId="0" applyFill="1" applyAlignment="1">
      <alignment horizontal="center" vertical="top"/>
    </xf>
    <xf numFmtId="0" fontId="13" fillId="0" borderId="0" xfId="0" applyFont="1" applyAlignment="1">
      <alignment vertical="top" wrapText="1"/>
    </xf>
    <xf numFmtId="166" fontId="26" fillId="6" borderId="3" xfId="4" applyNumberFormat="1" applyFont="1" applyFill="1" applyBorder="1" applyAlignment="1" applyProtection="1">
      <alignment horizontal="right" vertical="top"/>
    </xf>
    <xf numFmtId="166" fontId="26" fillId="11" borderId="3" xfId="4" applyNumberFormat="1" applyFont="1" applyFill="1" applyBorder="1" applyAlignment="1" applyProtection="1">
      <alignment horizontal="right" vertical="top"/>
    </xf>
    <xf numFmtId="166" fontId="26" fillId="11" borderId="3" xfId="4" applyNumberFormat="1" applyFont="1" applyFill="1" applyBorder="1" applyAlignment="1" applyProtection="1">
      <alignment horizontal="right" vertical="top" wrapText="1"/>
    </xf>
    <xf numFmtId="166" fontId="26" fillId="11" borderId="3" xfId="4" applyNumberFormat="1" applyFont="1" applyFill="1" applyBorder="1" applyAlignment="1">
      <alignment horizontal="right" vertical="top"/>
    </xf>
    <xf numFmtId="166" fontId="26" fillId="11" borderId="22" xfId="4" applyNumberFormat="1" applyFont="1" applyFill="1" applyBorder="1" applyAlignment="1" applyProtection="1">
      <alignment horizontal="right" vertical="top"/>
    </xf>
    <xf numFmtId="0" fontId="0" fillId="19" borderId="0" xfId="0" applyFill="1" applyAlignment="1">
      <alignment vertical="top"/>
    </xf>
    <xf numFmtId="0" fontId="18" fillId="4" borderId="0" xfId="0" applyFont="1" applyFill="1" applyAlignment="1">
      <alignment horizontal="left" vertical="center" wrapText="1"/>
    </xf>
    <xf numFmtId="0" fontId="18" fillId="8" borderId="0" xfId="0" applyFont="1" applyFill="1" applyAlignment="1">
      <alignment horizontal="left" vertical="center" wrapText="1"/>
    </xf>
    <xf numFmtId="0" fontId="12" fillId="8" borderId="0" xfId="2" applyFill="1" applyBorder="1" applyAlignment="1">
      <alignment horizontal="left"/>
    </xf>
    <xf numFmtId="166" fontId="18" fillId="9" borderId="0" xfId="0" applyNumberFormat="1" applyFont="1" applyFill="1" applyAlignment="1">
      <alignment horizontal="left"/>
    </xf>
    <xf numFmtId="0" fontId="0" fillId="0" borderId="0" xfId="0" applyAlignment="1">
      <alignment horizontal="left"/>
    </xf>
    <xf numFmtId="166" fontId="18" fillId="9" borderId="0" xfId="0" applyNumberFormat="1" applyFont="1" applyFill="1" applyAlignment="1">
      <alignment horizontal="left" wrapText="1"/>
    </xf>
    <xf numFmtId="0" fontId="12" fillId="8" borderId="0" xfId="2" applyFill="1" applyBorder="1" applyAlignment="1"/>
    <xf numFmtId="166" fontId="18" fillId="16" borderId="0" xfId="0" applyNumberFormat="1" applyFont="1" applyFill="1" applyAlignment="1">
      <alignment horizontal="center"/>
    </xf>
    <xf numFmtId="0" fontId="0" fillId="0" borderId="36" xfId="0" applyBorder="1" applyAlignment="1">
      <alignment vertical="top"/>
    </xf>
    <xf numFmtId="0" fontId="26" fillId="11" borderId="22" xfId="7" applyFont="1" applyFill="1" applyBorder="1" applyAlignment="1">
      <alignment vertical="center" wrapText="1"/>
    </xf>
    <xf numFmtId="166" fontId="26" fillId="11" borderId="21" xfId="4" applyNumberFormat="1" applyFont="1" applyFill="1" applyBorder="1" applyAlignment="1" applyProtection="1">
      <alignment horizontal="right" vertical="top"/>
    </xf>
    <xf numFmtId="166" fontId="26" fillId="11" borderId="5" xfId="4" applyNumberFormat="1" applyFont="1" applyFill="1" applyBorder="1" applyAlignment="1" applyProtection="1">
      <alignment horizontal="right" vertical="top"/>
    </xf>
    <xf numFmtId="0" fontId="12" fillId="28" borderId="0" xfId="2" applyFill="1" applyAlignment="1"/>
    <xf numFmtId="166" fontId="0" fillId="28" borderId="0" xfId="0" applyNumberFormat="1" applyFill="1" applyAlignment="1">
      <alignment horizontal="center"/>
    </xf>
    <xf numFmtId="0" fontId="0" fillId="28" borderId="0" xfId="0" applyFill="1" applyAlignment="1">
      <alignment horizontal="center"/>
    </xf>
    <xf numFmtId="0" fontId="82" fillId="11" borderId="18" xfId="0" applyFont="1" applyFill="1" applyBorder="1" applyAlignment="1">
      <alignment vertical="center"/>
    </xf>
    <xf numFmtId="0" fontId="26" fillId="0" borderId="0" xfId="0" applyFont="1"/>
    <xf numFmtId="0" fontId="0" fillId="8" borderId="0" xfId="0" applyFill="1" applyAlignment="1">
      <alignment horizontal="center"/>
    </xf>
    <xf numFmtId="170" fontId="26" fillId="5" borderId="2" xfId="3" applyNumberFormat="1" applyFont="1" applyFill="1" applyBorder="1" applyAlignment="1" applyProtection="1">
      <alignment horizontal="center" vertical="center"/>
    </xf>
    <xf numFmtId="0" fontId="12" fillId="19" borderId="0" xfId="2" applyFill="1" applyAlignment="1"/>
    <xf numFmtId="166" fontId="0" fillId="19" borderId="0" xfId="0" applyNumberFormat="1" applyFill="1" applyAlignment="1">
      <alignment horizontal="center"/>
    </xf>
    <xf numFmtId="0" fontId="26" fillId="11" borderId="3" xfId="7" applyFont="1" applyFill="1" applyBorder="1" applyAlignment="1">
      <alignment vertical="center" wrapText="1"/>
    </xf>
    <xf numFmtId="0" fontId="0" fillId="0" borderId="36" xfId="0" applyBorder="1" applyAlignment="1">
      <alignment vertical="top" wrapText="1"/>
    </xf>
    <xf numFmtId="166" fontId="0" fillId="0" borderId="0" xfId="4" applyNumberFormat="1" applyFont="1" applyFill="1"/>
    <xf numFmtId="0" fontId="24" fillId="0" borderId="26" xfId="0" applyFont="1" applyBorder="1" applyAlignment="1">
      <alignment horizontal="center" vertical="center"/>
    </xf>
    <xf numFmtId="0" fontId="24" fillId="0" borderId="26" xfId="0" applyFont="1" applyBorder="1" applyAlignment="1">
      <alignment vertical="center"/>
    </xf>
    <xf numFmtId="6" fontId="24" fillId="0" borderId="26" xfId="0" applyNumberFormat="1" applyFont="1" applyBorder="1" applyAlignment="1">
      <alignment horizontal="right" vertical="center"/>
    </xf>
    <xf numFmtId="0" fontId="25" fillId="0" borderId="26" xfId="0" applyFont="1" applyBorder="1"/>
    <xf numFmtId="0" fontId="24" fillId="0" borderId="28" xfId="0" applyFont="1" applyBorder="1" applyAlignment="1">
      <alignment horizontal="center" vertical="center"/>
    </xf>
    <xf numFmtId="0" fontId="24" fillId="0" borderId="28" xfId="0" applyFont="1" applyBorder="1" applyAlignment="1">
      <alignment vertical="center"/>
    </xf>
    <xf numFmtId="6" fontId="24" fillId="0" borderId="28" xfId="0" applyNumberFormat="1" applyFont="1" applyBorder="1" applyAlignment="1">
      <alignment horizontal="right" vertical="center"/>
    </xf>
    <xf numFmtId="0" fontId="25" fillId="0" borderId="28" xfId="0" applyFont="1" applyBorder="1"/>
    <xf numFmtId="0" fontId="13" fillId="0" borderId="36" xfId="0" applyFont="1" applyBorder="1" applyAlignment="1">
      <alignment vertical="top" wrapText="1"/>
    </xf>
    <xf numFmtId="166" fontId="18" fillId="0" borderId="0" xfId="0" applyNumberFormat="1" applyFont="1" applyAlignment="1">
      <alignment horizontal="center"/>
    </xf>
    <xf numFmtId="0" fontId="79" fillId="0" borderId="25" xfId="0" applyFont="1" applyBorder="1" applyAlignment="1">
      <alignment vertical="center"/>
    </xf>
    <xf numFmtId="6" fontId="79" fillId="0" borderId="26" xfId="0" applyNumberFormat="1" applyFont="1" applyBorder="1" applyAlignment="1">
      <alignment horizontal="center" vertical="center"/>
    </xf>
    <xf numFmtId="0" fontId="79" fillId="0" borderId="27" xfId="0" applyFont="1" applyBorder="1" applyAlignment="1">
      <alignment vertical="center"/>
    </xf>
    <xf numFmtId="6" fontId="79" fillId="0" borderId="28" xfId="0" applyNumberFormat="1" applyFont="1" applyBorder="1" applyAlignment="1">
      <alignment horizontal="center" vertical="center"/>
    </xf>
    <xf numFmtId="0" fontId="0" fillId="7" borderId="0" xfId="0" applyFill="1" applyAlignment="1">
      <alignment horizontal="right"/>
    </xf>
    <xf numFmtId="14" fontId="1" fillId="7" borderId="0" xfId="0" applyNumberFormat="1" applyFont="1" applyFill="1"/>
    <xf numFmtId="0" fontId="0" fillId="30" borderId="38" xfId="0" applyFill="1" applyBorder="1"/>
    <xf numFmtId="0" fontId="0" fillId="30" borderId="39" xfId="0" applyFill="1" applyBorder="1"/>
    <xf numFmtId="0" fontId="0" fillId="30" borderId="37" xfId="0" applyFill="1" applyBorder="1"/>
    <xf numFmtId="6" fontId="24" fillId="30" borderId="39" xfId="0" applyNumberFormat="1" applyFont="1" applyFill="1" applyBorder="1" applyAlignment="1">
      <alignment horizontal="right" vertical="center"/>
    </xf>
    <xf numFmtId="0" fontId="22" fillId="7" borderId="2" xfId="0" applyFont="1" applyFill="1" applyBorder="1"/>
    <xf numFmtId="0" fontId="3" fillId="20" borderId="0" xfId="0" applyFont="1" applyFill="1" applyAlignment="1" applyProtection="1">
      <alignment horizontal="left" vertical="top" wrapText="1" indent="1" readingOrder="1"/>
      <protection locked="0"/>
    </xf>
    <xf numFmtId="0" fontId="0" fillId="0" borderId="0" xfId="0" applyAlignment="1" applyProtection="1">
      <alignment vertical="top"/>
      <protection locked="0"/>
    </xf>
    <xf numFmtId="0" fontId="0" fillId="8" borderId="0" xfId="0" applyFill="1" applyAlignment="1">
      <alignment horizontal="left"/>
    </xf>
    <xf numFmtId="0" fontId="4" fillId="0" borderId="0" xfId="0" applyFont="1" applyAlignment="1" applyProtection="1">
      <alignment vertical="top" wrapText="1"/>
      <protection locked="0"/>
    </xf>
    <xf numFmtId="2" fontId="26" fillId="11" borderId="3" xfId="7" applyNumberFormat="1" applyFont="1" applyFill="1" applyBorder="1" applyAlignment="1" applyProtection="1">
      <alignment horizontal="center" vertical="center"/>
      <protection locked="0"/>
    </xf>
    <xf numFmtId="0" fontId="18" fillId="4" borderId="0" xfId="0" applyFont="1" applyFill="1" applyAlignment="1">
      <alignment horizontal="left" vertical="center"/>
    </xf>
    <xf numFmtId="0" fontId="18" fillId="8" borderId="0" xfId="0" applyFont="1" applyFill="1" applyAlignment="1">
      <alignment horizontal="left" vertical="center"/>
    </xf>
    <xf numFmtId="0" fontId="12" fillId="0" borderId="0" xfId="2" applyAlignment="1"/>
    <xf numFmtId="14" fontId="0" fillId="0" borderId="0" xfId="0" applyNumberFormat="1" applyAlignment="1">
      <alignment vertical="center"/>
    </xf>
    <xf numFmtId="0" fontId="0" fillId="0" borderId="0" xfId="0" applyAlignment="1">
      <alignment vertical="center" wrapText="1"/>
    </xf>
    <xf numFmtId="166" fontId="0" fillId="0" borderId="0" xfId="0" applyNumberFormat="1" applyAlignment="1">
      <alignment vertical="center"/>
    </xf>
    <xf numFmtId="0" fontId="40" fillId="0" borderId="0" xfId="0" applyFont="1" applyAlignment="1">
      <alignment wrapText="1"/>
    </xf>
    <xf numFmtId="49" fontId="7" fillId="0" borderId="23" xfId="0" applyNumberFormat="1" applyFont="1" applyBorder="1" applyAlignment="1">
      <alignment vertical="top" readingOrder="1"/>
    </xf>
    <xf numFmtId="0" fontId="18" fillId="9" borderId="0" xfId="0" applyFont="1" applyFill="1"/>
    <xf numFmtId="166" fontId="18" fillId="9" borderId="0" xfId="0" applyNumberFormat="1" applyFont="1" applyFill="1"/>
    <xf numFmtId="0" fontId="18" fillId="9" borderId="0" xfId="0" applyFont="1" applyFill="1" applyAlignment="1">
      <alignment horizontal="center"/>
    </xf>
    <xf numFmtId="0" fontId="4" fillId="0" borderId="41" xfId="0" applyFont="1" applyBorder="1" applyAlignment="1">
      <alignment vertical="top" wrapText="1"/>
    </xf>
    <xf numFmtId="0" fontId="85" fillId="0" borderId="0" xfId="0" applyFont="1" applyAlignment="1">
      <alignment vertical="top" wrapText="1"/>
    </xf>
    <xf numFmtId="0" fontId="86" fillId="0" borderId="9" xfId="0" applyFont="1" applyBorder="1"/>
    <xf numFmtId="0" fontId="3" fillId="0" borderId="0" xfId="0" applyFont="1" applyAlignment="1">
      <alignment vertical="top"/>
    </xf>
    <xf numFmtId="0" fontId="87" fillId="31" borderId="42" xfId="0" applyFont="1" applyFill="1" applyBorder="1" applyAlignment="1">
      <alignment wrapText="1"/>
    </xf>
    <xf numFmtId="166" fontId="87" fillId="31" borderId="42" xfId="0" applyNumberFormat="1" applyFont="1" applyFill="1" applyBorder="1" applyAlignment="1">
      <alignment wrapText="1"/>
    </xf>
    <xf numFmtId="0" fontId="0" fillId="0" borderId="42" xfId="0" applyBorder="1"/>
    <xf numFmtId="0" fontId="0" fillId="0" borderId="40" xfId="0" applyBorder="1"/>
    <xf numFmtId="166" fontId="0" fillId="32" borderId="40" xfId="0" applyNumberFormat="1" applyFill="1" applyBorder="1" applyAlignment="1">
      <alignment horizontal="center"/>
    </xf>
    <xf numFmtId="0" fontId="0" fillId="32" borderId="40" xfId="0" applyFill="1" applyBorder="1"/>
    <xf numFmtId="0" fontId="0" fillId="32" borderId="43" xfId="0" applyFill="1" applyBorder="1"/>
    <xf numFmtId="0" fontId="0" fillId="0" borderId="43" xfId="0" applyBorder="1"/>
    <xf numFmtId="0" fontId="4" fillId="0" borderId="0" xfId="0" applyFont="1" applyAlignment="1">
      <alignment horizontal="left" vertical="top"/>
    </xf>
    <xf numFmtId="0" fontId="4" fillId="0" borderId="0" xfId="0" applyFont="1" applyAlignment="1">
      <alignment horizontal="right" vertical="top" wrapText="1"/>
    </xf>
    <xf numFmtId="0" fontId="1" fillId="0" borderId="0" xfId="0" applyFont="1" applyAlignment="1">
      <alignment vertical="top"/>
    </xf>
    <xf numFmtId="0" fontId="3" fillId="0" borderId="0" xfId="0" applyFont="1" applyAlignment="1">
      <alignment vertical="top" readingOrder="1"/>
    </xf>
    <xf numFmtId="166" fontId="4" fillId="0" borderId="0" xfId="0" applyNumberFormat="1" applyFont="1" applyAlignment="1">
      <alignment horizontal="right" vertical="top"/>
    </xf>
    <xf numFmtId="165" fontId="22" fillId="0" borderId="0" xfId="0" applyNumberFormat="1" applyFont="1" applyAlignment="1">
      <alignment vertical="top" wrapText="1"/>
    </xf>
    <xf numFmtId="49" fontId="7" fillId="33" borderId="0" xfId="0" applyNumberFormat="1" applyFont="1" applyFill="1" applyAlignment="1">
      <alignment readingOrder="1"/>
    </xf>
    <xf numFmtId="0" fontId="0" fillId="33" borderId="0" xfId="0" applyFill="1" applyAlignment="1">
      <alignment horizontal="left" vertical="top" indent="1"/>
    </xf>
    <xf numFmtId="49" fontId="0" fillId="33" borderId="0" xfId="0" applyNumberFormat="1" applyFill="1" applyAlignment="1">
      <alignment horizontal="left" vertical="top" indent="1"/>
    </xf>
    <xf numFmtId="0" fontId="0" fillId="33" borderId="0" xfId="0" applyFill="1" applyAlignment="1">
      <alignment horizontal="left" vertical="top" wrapText="1" indent="1"/>
    </xf>
    <xf numFmtId="49" fontId="7" fillId="33" borderId="0" xfId="0" applyNumberFormat="1" applyFont="1" applyFill="1" applyAlignment="1">
      <alignment horizontal="left" readingOrder="1"/>
    </xf>
    <xf numFmtId="0" fontId="0" fillId="33" borderId="0" xfId="0" applyFill="1" applyAlignment="1">
      <alignment vertical="top"/>
    </xf>
    <xf numFmtId="49" fontId="40" fillId="0" borderId="0" xfId="0" applyNumberFormat="1" applyFont="1" applyAlignment="1">
      <alignment wrapText="1"/>
    </xf>
    <xf numFmtId="0" fontId="0" fillId="0" borderId="0" xfId="0" applyAlignment="1">
      <alignment horizontal="right"/>
    </xf>
    <xf numFmtId="6" fontId="79" fillId="0" borderId="3" xfId="0" applyNumberFormat="1" applyFont="1" applyBorder="1" applyAlignment="1">
      <alignment horizontal="center" vertical="center" wrapText="1"/>
    </xf>
    <xf numFmtId="0" fontId="0" fillId="4" borderId="0" xfId="0" applyFill="1"/>
    <xf numFmtId="0" fontId="0" fillId="8" borderId="0" xfId="0" applyFill="1"/>
    <xf numFmtId="0" fontId="0" fillId="28" borderId="0" xfId="0" applyFill="1"/>
    <xf numFmtId="0" fontId="81" fillId="4" borderId="0" xfId="0" applyFont="1" applyFill="1"/>
    <xf numFmtId="0" fontId="0" fillId="3" borderId="0" xfId="0" applyFill="1"/>
    <xf numFmtId="0" fontId="0" fillId="18" borderId="0" xfId="0" applyFill="1"/>
    <xf numFmtId="0" fontId="0" fillId="11" borderId="0" xfId="0" applyFill="1"/>
    <xf numFmtId="0" fontId="48" fillId="8" borderId="0" xfId="0" applyFont="1" applyFill="1"/>
    <xf numFmtId="0" fontId="0" fillId="19" borderId="0" xfId="0" applyFill="1"/>
    <xf numFmtId="0" fontId="80" fillId="0" borderId="0" xfId="0" applyFont="1"/>
    <xf numFmtId="0" fontId="81" fillId="7" borderId="0" xfId="0" applyFont="1" applyFill="1"/>
    <xf numFmtId="0" fontId="84" fillId="0" borderId="0" xfId="0" applyFont="1"/>
    <xf numFmtId="0" fontId="84" fillId="8" borderId="0" xfId="0" applyFont="1" applyFill="1"/>
    <xf numFmtId="166" fontId="0" fillId="19" borderId="0" xfId="0" applyNumberFormat="1" applyFill="1"/>
    <xf numFmtId="2" fontId="28" fillId="0" borderId="0" xfId="7" applyNumberFormat="1" applyFont="1" applyAlignment="1">
      <alignment horizontal="left" vertical="center"/>
    </xf>
    <xf numFmtId="0" fontId="18" fillId="27" borderId="6" xfId="7" applyFont="1" applyFill="1" applyBorder="1" applyAlignment="1">
      <alignment horizontal="center" vertical="center" wrapText="1"/>
    </xf>
    <xf numFmtId="0" fontId="28" fillId="0" borderId="20" xfId="7" applyFont="1" applyBorder="1" applyAlignment="1">
      <alignment horizontal="center" vertical="center" wrapText="1"/>
    </xf>
    <xf numFmtId="164" fontId="1" fillId="0" borderId="0" xfId="0" applyNumberFormat="1" applyFont="1" applyAlignment="1">
      <alignment horizontal="center"/>
    </xf>
    <xf numFmtId="164" fontId="1" fillId="0" borderId="0" xfId="0" applyNumberFormat="1" applyFont="1"/>
    <xf numFmtId="2" fontId="24" fillId="0" borderId="26" xfId="0" applyNumberFormat="1" applyFont="1" applyBorder="1" applyAlignment="1">
      <alignment horizontal="center" vertical="center"/>
    </xf>
    <xf numFmtId="2" fontId="24" fillId="0" borderId="28" xfId="0" applyNumberFormat="1" applyFont="1" applyBorder="1" applyAlignment="1">
      <alignment horizontal="center" vertical="center"/>
    </xf>
    <xf numFmtId="0" fontId="28" fillId="0" borderId="20" xfId="7" applyFont="1" applyBorder="1" applyAlignment="1">
      <alignment horizontal="left" vertical="center" wrapText="1"/>
    </xf>
    <xf numFmtId="0" fontId="28" fillId="0" borderId="19" xfId="7" applyFont="1" applyBorder="1" applyAlignment="1">
      <alignment vertical="center" wrapText="1"/>
    </xf>
    <xf numFmtId="0" fontId="28" fillId="0" borderId="19" xfId="7" applyFont="1" applyBorder="1" applyAlignment="1">
      <alignment vertical="center"/>
    </xf>
    <xf numFmtId="0" fontId="0" fillId="0" borderId="38" xfId="0" applyBorder="1"/>
    <xf numFmtId="0" fontId="0" fillId="30" borderId="0" xfId="0" applyFill="1"/>
    <xf numFmtId="6" fontId="24" fillId="0" borderId="39" xfId="0" applyNumberFormat="1" applyFont="1" applyBorder="1" applyAlignment="1">
      <alignment horizontal="right" vertical="center"/>
    </xf>
    <xf numFmtId="6" fontId="24" fillId="30" borderId="0" xfId="0" applyNumberFormat="1" applyFont="1" applyFill="1" applyAlignment="1">
      <alignment horizontal="right" vertical="center"/>
    </xf>
    <xf numFmtId="0" fontId="0" fillId="0" borderId="39" xfId="0" applyBorder="1"/>
    <xf numFmtId="0" fontId="0" fillId="0" borderId="37" xfId="0" applyBorder="1"/>
    <xf numFmtId="0" fontId="27" fillId="12" borderId="6" xfId="7" applyFont="1" applyFill="1" applyBorder="1" applyAlignment="1">
      <alignment horizontal="center" vertical="center"/>
    </xf>
    <xf numFmtId="0" fontId="27" fillId="12" borderId="7" xfId="7" applyFont="1" applyFill="1" applyBorder="1" applyAlignment="1">
      <alignment horizontal="center" vertical="center"/>
    </xf>
    <xf numFmtId="0" fontId="0" fillId="0" borderId="29" xfId="0" applyBorder="1"/>
    <xf numFmtId="0" fontId="1" fillId="22" borderId="29" xfId="0" applyFont="1" applyFill="1" applyBorder="1"/>
    <xf numFmtId="0" fontId="0" fillId="0" borderId="31" xfId="0" applyBorder="1"/>
    <xf numFmtId="0" fontId="1" fillId="22" borderId="31" xfId="0" applyFont="1" applyFill="1" applyBorder="1"/>
    <xf numFmtId="0" fontId="0" fillId="0" borderId="30" xfId="0" applyBorder="1"/>
    <xf numFmtId="0" fontId="1" fillId="22" borderId="30" xfId="0" applyFont="1" applyFill="1" applyBorder="1"/>
    <xf numFmtId="0" fontId="1" fillId="22" borderId="9" xfId="0" applyFont="1" applyFill="1" applyBorder="1"/>
    <xf numFmtId="166" fontId="0" fillId="0" borderId="0" xfId="9" applyNumberFormat="1" applyFont="1" applyAlignment="1">
      <alignment horizontal="center"/>
    </xf>
    <xf numFmtId="166" fontId="12" fillId="8" borderId="0" xfId="2" applyNumberFormat="1" applyFill="1" applyAlignment="1">
      <alignment horizontal="center"/>
    </xf>
    <xf numFmtId="166" fontId="12" fillId="8" borderId="0" xfId="2" applyNumberFormat="1" applyFill="1" applyAlignment="1"/>
    <xf numFmtId="0" fontId="84" fillId="0" borderId="0" xfId="0" applyFont="1" applyAlignment="1">
      <alignment vertical="center"/>
    </xf>
    <xf numFmtId="0" fontId="42" fillId="29" borderId="6" xfId="8" applyFont="1" applyFill="1" applyBorder="1" applyAlignment="1">
      <alignment horizontal="center" vertical="center"/>
    </xf>
    <xf numFmtId="0" fontId="42" fillId="29" borderId="7" xfId="8" applyFont="1" applyFill="1" applyBorder="1" applyAlignment="1">
      <alignment horizontal="center" vertical="center"/>
    </xf>
    <xf numFmtId="0" fontId="42" fillId="29" borderId="8" xfId="8" applyFont="1" applyFill="1" applyBorder="1" applyAlignment="1">
      <alignment horizontal="center" vertical="center"/>
    </xf>
    <xf numFmtId="0" fontId="27" fillId="13" borderId="6" xfId="7" applyFont="1" applyFill="1" applyBorder="1" applyAlignment="1">
      <alignment horizontal="center" vertical="center"/>
    </xf>
    <xf numFmtId="0" fontId="27" fillId="13" borderId="7" xfId="7" applyFont="1" applyFill="1" applyBorder="1" applyAlignment="1">
      <alignment horizontal="center" vertical="center"/>
    </xf>
    <xf numFmtId="0" fontId="27" fillId="13" borderId="8" xfId="7" applyFont="1" applyFill="1" applyBorder="1" applyAlignment="1">
      <alignment horizontal="center" vertical="center"/>
    </xf>
    <xf numFmtId="0" fontId="27" fillId="11" borderId="6" xfId="7" applyFont="1" applyFill="1" applyBorder="1" applyAlignment="1">
      <alignment horizontal="center" vertical="center"/>
    </xf>
    <xf numFmtId="0" fontId="27" fillId="11" borderId="7" xfId="7" applyFont="1" applyFill="1" applyBorder="1" applyAlignment="1">
      <alignment horizontal="center" vertical="center"/>
    </xf>
    <xf numFmtId="0" fontId="27" fillId="11" borderId="8" xfId="7" applyFont="1" applyFill="1" applyBorder="1" applyAlignment="1">
      <alignment horizontal="center" vertical="center"/>
    </xf>
    <xf numFmtId="0" fontId="27" fillId="12" borderId="6" xfId="7" applyFont="1" applyFill="1" applyBorder="1" applyAlignment="1">
      <alignment horizontal="center" vertical="center"/>
    </xf>
    <xf numFmtId="0" fontId="27" fillId="12" borderId="8" xfId="7" applyFont="1" applyFill="1" applyBorder="1" applyAlignment="1">
      <alignment horizontal="center" vertical="center"/>
    </xf>
    <xf numFmtId="0" fontId="27" fillId="12" borderId="7" xfId="7" applyFont="1" applyFill="1" applyBorder="1" applyAlignment="1">
      <alignment horizontal="center" vertical="center"/>
    </xf>
    <xf numFmtId="0" fontId="26" fillId="11" borderId="5" xfId="7" applyFont="1" applyFill="1" applyBorder="1" applyAlignment="1" applyProtection="1">
      <alignment vertical="center" wrapText="1"/>
      <protection locked="0"/>
    </xf>
    <xf numFmtId="0" fontId="26" fillId="11" borderId="13" xfId="7" applyFont="1" applyFill="1" applyBorder="1" applyAlignment="1" applyProtection="1">
      <alignment vertical="center" wrapText="1"/>
      <protection locked="0"/>
    </xf>
    <xf numFmtId="0" fontId="26" fillId="11" borderId="14" xfId="7" applyFont="1" applyFill="1" applyBorder="1" applyAlignment="1" applyProtection="1">
      <alignment vertical="center" wrapText="1"/>
      <protection locked="0"/>
    </xf>
    <xf numFmtId="166" fontId="26" fillId="11" borderId="2" xfId="3" applyNumberFormat="1" applyFont="1" applyFill="1" applyBorder="1" applyAlignment="1" applyProtection="1">
      <alignment horizontal="center" vertical="center"/>
      <protection locked="0"/>
    </xf>
    <xf numFmtId="0" fontId="31" fillId="4" borderId="6" xfId="7" applyFont="1" applyFill="1" applyBorder="1" applyAlignment="1">
      <alignment horizontal="center" vertical="center" wrapText="1"/>
    </xf>
    <xf numFmtId="0" fontId="31" fillId="4" borderId="8" xfId="7" applyFont="1" applyFill="1" applyBorder="1" applyAlignment="1">
      <alignment horizontal="center" vertical="center" wrapText="1"/>
    </xf>
    <xf numFmtId="0" fontId="26" fillId="12" borderId="5" xfId="7" applyFont="1" applyFill="1" applyBorder="1" applyAlignment="1">
      <alignment vertical="center"/>
    </xf>
    <xf numFmtId="0" fontId="26" fillId="12" borderId="13" xfId="7" applyFont="1" applyFill="1" applyBorder="1" applyAlignment="1">
      <alignment vertical="center"/>
    </xf>
    <xf numFmtId="0" fontId="26" fillId="12" borderId="14" xfId="7" applyFont="1" applyFill="1" applyBorder="1" applyAlignment="1">
      <alignment vertical="center"/>
    </xf>
    <xf numFmtId="0" fontId="26" fillId="11" borderId="3" xfId="7" applyFont="1" applyFill="1" applyBorder="1" applyAlignment="1" applyProtection="1">
      <alignment horizontal="center" vertical="center" wrapText="1"/>
      <protection locked="0"/>
    </xf>
    <xf numFmtId="0" fontId="26" fillId="14" borderId="5" xfId="7" applyFont="1" applyFill="1" applyBorder="1" applyAlignment="1" applyProtection="1">
      <alignment vertical="center" wrapText="1"/>
      <protection locked="0"/>
    </xf>
    <xf numFmtId="0" fontId="26" fillId="14" borderId="13" xfId="7" applyFont="1" applyFill="1" applyBorder="1" applyAlignment="1" applyProtection="1">
      <alignment vertical="center" wrapText="1"/>
      <protection locked="0"/>
    </xf>
    <xf numFmtId="0" fontId="26" fillId="14" borderId="14" xfId="7" applyFont="1" applyFill="1" applyBorder="1" applyAlignment="1" applyProtection="1">
      <alignment vertical="center" wrapText="1"/>
      <protection locked="0"/>
    </xf>
    <xf numFmtId="0" fontId="31" fillId="0" borderId="0" xfId="7" applyFont="1" applyAlignment="1">
      <alignment horizontal="right" vertical="center"/>
    </xf>
    <xf numFmtId="0" fontId="31" fillId="0" borderId="16" xfId="7" applyFont="1" applyBorder="1" applyAlignment="1">
      <alignment horizontal="right" vertical="center"/>
    </xf>
    <xf numFmtId="0" fontId="26" fillId="14" borderId="13" xfId="7" applyFont="1" applyFill="1" applyBorder="1" applyAlignment="1" applyProtection="1">
      <alignment vertical="center"/>
      <protection locked="0"/>
    </xf>
    <xf numFmtId="0" fontId="34" fillId="15" borderId="0" xfId="7" applyFont="1" applyFill="1" applyAlignment="1">
      <alignment horizontal="center" vertical="center"/>
    </xf>
    <xf numFmtId="0" fontId="34" fillId="15" borderId="15" xfId="7" applyFont="1" applyFill="1" applyBorder="1" applyAlignment="1">
      <alignment horizontal="center" vertical="center"/>
    </xf>
    <xf numFmtId="0" fontId="26" fillId="12" borderId="5" xfId="7" applyFont="1" applyFill="1" applyBorder="1" applyAlignment="1">
      <alignment vertical="center" wrapText="1"/>
    </xf>
    <xf numFmtId="0" fontId="26" fillId="12" borderId="13" xfId="7" applyFont="1" applyFill="1" applyBorder="1" applyAlignment="1">
      <alignment vertical="center" wrapText="1"/>
    </xf>
    <xf numFmtId="0" fontId="26" fillId="12" borderId="14" xfId="7" applyFont="1" applyFill="1" applyBorder="1" applyAlignment="1">
      <alignment vertical="center" wrapText="1"/>
    </xf>
    <xf numFmtId="0" fontId="28" fillId="5" borderId="18" xfId="7" applyFont="1" applyFill="1" applyBorder="1" applyAlignment="1">
      <alignment horizontal="center" vertical="center"/>
    </xf>
    <xf numFmtId="0" fontId="28" fillId="5" borderId="19" xfId="7" applyFont="1" applyFill="1" applyBorder="1" applyAlignment="1">
      <alignment horizontal="center" vertical="center"/>
    </xf>
    <xf numFmtId="0" fontId="28" fillId="5" borderId="20" xfId="7" applyFont="1" applyFill="1" applyBorder="1" applyAlignment="1">
      <alignment horizontal="center" vertical="center"/>
    </xf>
    <xf numFmtId="0" fontId="28" fillId="11" borderId="10" xfId="7" applyFont="1" applyFill="1" applyBorder="1" applyAlignment="1" applyProtection="1">
      <alignment vertical="center" wrapText="1"/>
      <protection locked="0"/>
    </xf>
    <xf numFmtId="0" fontId="28" fillId="11" borderId="11" xfId="7" applyFont="1" applyFill="1" applyBorder="1" applyAlignment="1" applyProtection="1">
      <alignment vertical="center" wrapText="1"/>
      <protection locked="0"/>
    </xf>
    <xf numFmtId="0" fontId="28" fillId="11" borderId="12" xfId="7" applyFont="1" applyFill="1" applyBorder="1" applyAlignment="1" applyProtection="1">
      <alignment vertical="center" wrapText="1"/>
      <protection locked="0"/>
    </xf>
    <xf numFmtId="0" fontId="28" fillId="11" borderId="16" xfId="7" applyFont="1" applyFill="1" applyBorder="1" applyAlignment="1" applyProtection="1">
      <alignment horizontal="center" vertical="center" wrapText="1"/>
      <protection locked="0"/>
    </xf>
    <xf numFmtId="0" fontId="28" fillId="11" borderId="0" xfId="7" applyFont="1" applyFill="1" applyAlignment="1" applyProtection="1">
      <alignment horizontal="center" vertical="center" wrapText="1"/>
      <protection locked="0"/>
    </xf>
    <xf numFmtId="0" fontId="28" fillId="11" borderId="17" xfId="7" applyFont="1" applyFill="1" applyBorder="1" applyAlignment="1" applyProtection="1">
      <alignment horizontal="center" vertical="center" wrapText="1"/>
      <protection locked="0"/>
    </xf>
    <xf numFmtId="0" fontId="28" fillId="15" borderId="0" xfId="7" applyFont="1" applyFill="1" applyAlignment="1">
      <alignment horizontal="center" vertical="center"/>
    </xf>
    <xf numFmtId="0" fontId="28" fillId="15" borderId="15" xfId="7" applyFont="1" applyFill="1" applyBorder="1" applyAlignment="1">
      <alignment horizontal="center" vertical="center"/>
    </xf>
    <xf numFmtId="0" fontId="28" fillId="11" borderId="18" xfId="7" applyFont="1" applyFill="1" applyBorder="1" applyAlignment="1" applyProtection="1">
      <alignment horizontal="center" vertical="center" wrapText="1"/>
      <protection locked="0"/>
    </xf>
    <xf numFmtId="0" fontId="28" fillId="11" borderId="19" xfId="7" applyFont="1" applyFill="1" applyBorder="1" applyAlignment="1" applyProtection="1">
      <alignment horizontal="center" vertical="center" wrapText="1"/>
      <protection locked="0"/>
    </xf>
    <xf numFmtId="0" fontId="28" fillId="11" borderId="20" xfId="7" applyFont="1" applyFill="1" applyBorder="1" applyAlignment="1" applyProtection="1">
      <alignment horizontal="center" vertical="center" wrapText="1"/>
      <protection locked="0"/>
    </xf>
    <xf numFmtId="0" fontId="28" fillId="5" borderId="10" xfId="7" applyFont="1" applyFill="1" applyBorder="1" applyAlignment="1">
      <alignment horizontal="center" vertical="center"/>
    </xf>
    <xf numFmtId="0" fontId="28" fillId="5" borderId="11" xfId="7" applyFont="1" applyFill="1" applyBorder="1" applyAlignment="1">
      <alignment horizontal="center" vertical="center"/>
    </xf>
    <xf numFmtId="0" fontId="28" fillId="5" borderId="12" xfId="7" applyFont="1" applyFill="1" applyBorder="1" applyAlignment="1">
      <alignment horizontal="center" vertical="center"/>
    </xf>
    <xf numFmtId="0" fontId="28" fillId="5" borderId="16" xfId="7" applyFont="1" applyFill="1" applyBorder="1" applyAlignment="1">
      <alignment horizontal="center" vertical="center"/>
    </xf>
    <xf numFmtId="0" fontId="28" fillId="5" borderId="0" xfId="7" applyFont="1" applyFill="1" applyAlignment="1">
      <alignment horizontal="center" vertical="center"/>
    </xf>
    <xf numFmtId="0" fontId="28" fillId="5" borderId="17" xfId="7" applyFont="1" applyFill="1" applyBorder="1" applyAlignment="1">
      <alignment horizontal="center" vertical="center"/>
    </xf>
    <xf numFmtId="0" fontId="35" fillId="5" borderId="0" xfId="7" applyFont="1" applyFill="1" applyAlignment="1">
      <alignment horizontal="center"/>
    </xf>
    <xf numFmtId="0" fontId="35" fillId="5" borderId="0" xfId="7" applyFont="1" applyFill="1" applyAlignment="1">
      <alignment horizontal="center" vertical="center"/>
    </xf>
    <xf numFmtId="0" fontId="35" fillId="5" borderId="15" xfId="7" applyFont="1" applyFill="1" applyBorder="1" applyAlignment="1">
      <alignment horizontal="center" vertical="center"/>
    </xf>
    <xf numFmtId="14" fontId="44" fillId="5" borderId="0" xfId="7" applyNumberFormat="1" applyFont="1" applyFill="1" applyAlignment="1">
      <alignment horizontal="center" vertical="center"/>
    </xf>
    <xf numFmtId="0" fontId="44" fillId="5" borderId="0" xfId="7" applyFont="1" applyFill="1" applyAlignment="1">
      <alignment horizontal="center" vertical="center"/>
    </xf>
    <xf numFmtId="0" fontId="44" fillId="5" borderId="15" xfId="7" applyFont="1" applyFill="1" applyBorder="1" applyAlignment="1">
      <alignment horizontal="center" vertical="center"/>
    </xf>
    <xf numFmtId="166" fontId="28" fillId="12" borderId="2" xfId="4" applyNumberFormat="1" applyFont="1" applyFill="1" applyBorder="1" applyAlignment="1" applyProtection="1">
      <alignment horizontal="center" vertical="center"/>
    </xf>
    <xf numFmtId="0" fontId="22" fillId="0" borderId="0" xfId="7" applyFont="1" applyAlignment="1">
      <alignment horizontal="right" vertical="center"/>
    </xf>
    <xf numFmtId="0" fontId="29" fillId="11" borderId="0" xfId="7" applyFont="1" applyFill="1" applyAlignment="1" applyProtection="1">
      <alignment vertical="center"/>
      <protection locked="0"/>
    </xf>
    <xf numFmtId="0" fontId="29" fillId="12" borderId="0" xfId="7" applyFont="1" applyFill="1" applyAlignment="1">
      <alignment vertical="center"/>
    </xf>
    <xf numFmtId="0" fontId="31" fillId="12" borderId="7" xfId="7" applyFont="1" applyFill="1" applyBorder="1" applyAlignment="1">
      <alignment horizontal="center" vertical="center" wrapText="1"/>
    </xf>
    <xf numFmtId="0" fontId="31" fillId="12" borderId="8" xfId="7" applyFont="1" applyFill="1" applyBorder="1" applyAlignment="1">
      <alignment horizontal="center" vertical="center" wrapText="1"/>
    </xf>
    <xf numFmtId="0" fontId="39" fillId="0" borderId="44" xfId="7" applyFont="1" applyBorder="1" applyAlignment="1">
      <alignment horizontal="center" vertical="center"/>
    </xf>
    <xf numFmtId="0" fontId="39" fillId="0" borderId="45" xfId="7" applyFont="1" applyBorder="1" applyAlignment="1">
      <alignment horizontal="center" vertical="center"/>
    </xf>
    <xf numFmtId="0" fontId="39" fillId="0" borderId="46" xfId="7" applyFont="1" applyBorder="1" applyAlignment="1">
      <alignment horizontal="center" vertical="center"/>
    </xf>
    <xf numFmtId="0" fontId="31" fillId="4" borderId="7" xfId="7" applyFont="1" applyFill="1" applyBorder="1" applyAlignment="1">
      <alignment horizontal="center" vertical="center" wrapText="1"/>
    </xf>
    <xf numFmtId="0" fontId="26" fillId="11" borderId="2" xfId="7" applyFont="1" applyFill="1" applyBorder="1" applyAlignment="1" applyProtection="1">
      <alignment horizontal="center" vertical="center" wrapText="1"/>
      <protection locked="0"/>
    </xf>
    <xf numFmtId="0" fontId="26" fillId="12" borderId="3" xfId="7" applyFont="1" applyFill="1" applyBorder="1" applyAlignment="1">
      <alignment horizontal="left" vertical="center"/>
    </xf>
    <xf numFmtId="0" fontId="26" fillId="12" borderId="3" xfId="7" applyFont="1" applyFill="1" applyBorder="1" applyAlignment="1">
      <alignment horizontal="left" vertical="center" wrapText="1"/>
    </xf>
    <xf numFmtId="0" fontId="31" fillId="0" borderId="4" xfId="7" applyFont="1" applyBorder="1" applyAlignment="1">
      <alignment horizontal="center" vertical="center"/>
    </xf>
    <xf numFmtId="0" fontId="27" fillId="0" borderId="0" xfId="7" applyFont="1" applyAlignment="1">
      <alignment vertical="center"/>
    </xf>
    <xf numFmtId="0" fontId="28" fillId="11" borderId="10" xfId="7" applyFont="1" applyFill="1" applyBorder="1" applyAlignment="1" applyProtection="1">
      <alignment horizontal="center" vertical="center" wrapText="1"/>
      <protection locked="0"/>
    </xf>
    <xf numFmtId="0" fontId="28" fillId="11" borderId="11" xfId="7" applyFont="1" applyFill="1" applyBorder="1" applyAlignment="1" applyProtection="1">
      <alignment horizontal="center" vertical="center" wrapText="1"/>
      <protection locked="0"/>
    </xf>
    <xf numFmtId="0" fontId="28" fillId="11" borderId="12" xfId="7" applyFont="1" applyFill="1" applyBorder="1" applyAlignment="1" applyProtection="1">
      <alignment horizontal="center" vertical="center" wrapText="1"/>
      <protection locked="0"/>
    </xf>
    <xf numFmtId="0" fontId="27" fillId="0" borderId="0" xfId="7" applyFont="1" applyAlignment="1" applyProtection="1">
      <alignment vertical="center"/>
      <protection locked="0"/>
    </xf>
    <xf numFmtId="0" fontId="26" fillId="11" borderId="5" xfId="7" applyFont="1" applyFill="1" applyBorder="1" applyAlignment="1">
      <alignment vertical="center" wrapText="1"/>
    </xf>
    <xf numFmtId="0" fontId="26" fillId="11" borderId="13" xfId="7" applyFont="1" applyFill="1" applyBorder="1" applyAlignment="1">
      <alignment vertical="center" wrapText="1"/>
    </xf>
    <xf numFmtId="0" fontId="26" fillId="11" borderId="14" xfId="7" applyFont="1" applyFill="1" applyBorder="1" applyAlignment="1">
      <alignment vertical="center" wrapText="1"/>
    </xf>
    <xf numFmtId="0" fontId="26" fillId="12" borderId="2" xfId="7" applyFont="1" applyFill="1" applyBorder="1" applyAlignment="1">
      <alignment horizontal="left" vertical="center"/>
    </xf>
    <xf numFmtId="0" fontId="18" fillId="0" borderId="16" xfId="7" applyFont="1" applyBorder="1" applyAlignment="1">
      <alignment horizontal="center" vertical="center" wrapText="1"/>
    </xf>
    <xf numFmtId="0" fontId="39" fillId="0" borderId="6" xfId="7" applyFont="1" applyBorder="1" applyAlignment="1">
      <alignment horizontal="center" vertical="center"/>
    </xf>
    <xf numFmtId="0" fontId="39" fillId="0" borderId="7" xfId="7" applyFont="1" applyBorder="1" applyAlignment="1">
      <alignment horizontal="center" vertical="center"/>
    </xf>
    <xf numFmtId="0" fontId="39" fillId="0" borderId="8" xfId="7" applyFont="1" applyBorder="1" applyAlignment="1">
      <alignment horizontal="center" vertical="center"/>
    </xf>
    <xf numFmtId="0" fontId="52" fillId="21" borderId="0" xfId="0" applyFont="1" applyFill="1" applyAlignment="1">
      <alignment horizontal="center" vertical="center"/>
    </xf>
    <xf numFmtId="0" fontId="55" fillId="24" borderId="0" xfId="0" applyFont="1" applyFill="1" applyAlignment="1">
      <alignment horizontal="left" vertical="top" wrapText="1"/>
    </xf>
    <xf numFmtId="0" fontId="63" fillId="25" borderId="0" xfId="0" applyFont="1" applyFill="1" applyAlignment="1">
      <alignment horizontal="left" vertical="center" wrapText="1" indent="1"/>
    </xf>
    <xf numFmtId="0" fontId="63" fillId="25" borderId="19" xfId="0" applyFont="1" applyFill="1" applyBorder="1" applyAlignment="1">
      <alignment horizontal="left" vertical="center" wrapText="1" indent="1"/>
    </xf>
    <xf numFmtId="0" fontId="55" fillId="25" borderId="0" xfId="0" applyFont="1" applyFill="1" applyAlignment="1">
      <alignment horizontal="left" vertical="top" wrapText="1"/>
    </xf>
    <xf numFmtId="0" fontId="55" fillId="25" borderId="17" xfId="0" applyFont="1" applyFill="1" applyBorder="1" applyAlignment="1">
      <alignment horizontal="left" vertical="top" wrapText="1"/>
    </xf>
    <xf numFmtId="0" fontId="55" fillId="25" borderId="19" xfId="0" applyFont="1" applyFill="1" applyBorder="1" applyAlignment="1">
      <alignment horizontal="left" vertical="top" wrapText="1"/>
    </xf>
    <xf numFmtId="0" fontId="55" fillId="25" borderId="20" xfId="0" applyFont="1" applyFill="1" applyBorder="1" applyAlignment="1">
      <alignment horizontal="left" vertical="top" wrapText="1"/>
    </xf>
    <xf numFmtId="0" fontId="58" fillId="16" borderId="6" xfId="0" applyFont="1" applyFill="1" applyBorder="1" applyAlignment="1">
      <alignment horizontal="center" vertical="center" wrapText="1"/>
    </xf>
    <xf numFmtId="0" fontId="58" fillId="16" borderId="8" xfId="0" applyFont="1" applyFill="1" applyBorder="1" applyAlignment="1">
      <alignment horizontal="center" vertical="center" wrapText="1"/>
    </xf>
    <xf numFmtId="0" fontId="63" fillId="16" borderId="6" xfId="0" applyFont="1" applyFill="1" applyBorder="1" applyAlignment="1">
      <alignment horizontal="center" vertical="center" wrapText="1"/>
    </xf>
    <xf numFmtId="0" fontId="63" fillId="16" borderId="8" xfId="0" applyFont="1" applyFill="1" applyBorder="1" applyAlignment="1">
      <alignment horizontal="center" vertical="center" wrapText="1"/>
    </xf>
    <xf numFmtId="0" fontId="67" fillId="16" borderId="6" xfId="0" applyFont="1" applyFill="1" applyBorder="1" applyAlignment="1">
      <alignment horizontal="center" vertical="center" wrapText="1"/>
    </xf>
    <xf numFmtId="0" fontId="67" fillId="16" borderId="8" xfId="0" applyFont="1" applyFill="1" applyBorder="1" applyAlignment="1">
      <alignment horizontal="center" vertical="center" wrapText="1"/>
    </xf>
    <xf numFmtId="0" fontId="55" fillId="16" borderId="6" xfId="0" applyFont="1" applyFill="1" applyBorder="1" applyAlignment="1">
      <alignment horizontal="center" vertical="center" wrapText="1"/>
    </xf>
    <xf numFmtId="0" fontId="55" fillId="16" borderId="8" xfId="0" applyFont="1" applyFill="1" applyBorder="1" applyAlignment="1">
      <alignment horizontal="center" vertical="center" wrapText="1"/>
    </xf>
    <xf numFmtId="0" fontId="58" fillId="25" borderId="16" xfId="0" applyFont="1" applyFill="1" applyBorder="1" applyAlignment="1">
      <alignment horizontal="left" vertical="center" wrapText="1"/>
    </xf>
    <xf numFmtId="0" fontId="58" fillId="25" borderId="0" xfId="0" applyFont="1" applyFill="1" applyAlignment="1">
      <alignment horizontal="left" vertical="center" wrapText="1"/>
    </xf>
    <xf numFmtId="0" fontId="58" fillId="25" borderId="18" xfId="0" applyFont="1" applyFill="1" applyBorder="1" applyAlignment="1">
      <alignment horizontal="left" vertical="center" wrapText="1"/>
    </xf>
    <xf numFmtId="0" fontId="58" fillId="25" borderId="19" xfId="0" applyFont="1" applyFill="1" applyBorder="1" applyAlignment="1">
      <alignment horizontal="left" vertical="center" wrapText="1"/>
    </xf>
    <xf numFmtId="0" fontId="79" fillId="0" borderId="0" xfId="0" applyFont="1" applyAlignment="1">
      <alignment vertical="center"/>
    </xf>
    <xf numFmtId="0" fontId="70" fillId="25" borderId="6" xfId="0" applyFont="1" applyFill="1" applyBorder="1" applyAlignment="1">
      <alignment horizontal="left" vertical="center"/>
    </xf>
    <xf numFmtId="0" fontId="70" fillId="25" borderId="7" xfId="0" applyFont="1" applyFill="1" applyBorder="1" applyAlignment="1">
      <alignment horizontal="left" vertical="center"/>
    </xf>
    <xf numFmtId="0" fontId="70" fillId="25" borderId="8" xfId="0" applyFont="1" applyFill="1" applyBorder="1" applyAlignment="1">
      <alignment horizontal="left" vertical="center"/>
    </xf>
    <xf numFmtId="0" fontId="67" fillId="16" borderId="18" xfId="0" applyFont="1" applyFill="1" applyBorder="1" applyAlignment="1">
      <alignment horizontal="center" vertical="center" wrapText="1"/>
    </xf>
    <xf numFmtId="0" fontId="67" fillId="16" borderId="20" xfId="0" applyFont="1" applyFill="1" applyBorder="1" applyAlignment="1">
      <alignment horizontal="center" vertical="center" wrapText="1"/>
    </xf>
    <xf numFmtId="0" fontId="75" fillId="21" borderId="0" xfId="0" applyFont="1" applyFill="1" applyAlignment="1">
      <alignment horizontal="right" vertical="center"/>
    </xf>
    <xf numFmtId="0" fontId="58" fillId="21" borderId="0" xfId="0" applyFont="1" applyFill="1" applyAlignment="1">
      <alignment horizontal="right" vertical="center"/>
    </xf>
    <xf numFmtId="0" fontId="74" fillId="16" borderId="10" xfId="0" applyFont="1" applyFill="1" applyBorder="1" applyAlignment="1">
      <alignment horizontal="left"/>
    </xf>
    <xf numFmtId="0" fontId="74" fillId="16" borderId="11" xfId="0" applyFont="1" applyFill="1" applyBorder="1" applyAlignment="1">
      <alignment horizontal="left"/>
    </xf>
    <xf numFmtId="0" fontId="74" fillId="16" borderId="12" xfId="0" applyFont="1" applyFill="1" applyBorder="1" applyAlignment="1">
      <alignment horizontal="left"/>
    </xf>
    <xf numFmtId="0" fontId="74" fillId="16" borderId="16" xfId="0" applyFont="1" applyFill="1" applyBorder="1" applyAlignment="1">
      <alignment horizontal="left"/>
    </xf>
    <xf numFmtId="0" fontId="74" fillId="16" borderId="0" xfId="0" applyFont="1" applyFill="1" applyAlignment="1">
      <alignment horizontal="left"/>
    </xf>
    <xf numFmtId="0" fontId="74" fillId="16" borderId="17" xfId="0" applyFont="1" applyFill="1" applyBorder="1" applyAlignment="1">
      <alignment horizontal="left"/>
    </xf>
    <xf numFmtId="166" fontId="63" fillId="16" borderId="32" xfId="0" applyNumberFormat="1" applyFont="1" applyFill="1" applyBorder="1" applyAlignment="1">
      <alignment horizontal="center" vertical="center"/>
    </xf>
    <xf numFmtId="166" fontId="63" fillId="16" borderId="33" xfId="0" applyNumberFormat="1" applyFont="1" applyFill="1" applyBorder="1" applyAlignment="1">
      <alignment horizontal="center" vertical="center"/>
    </xf>
    <xf numFmtId="0" fontId="55" fillId="0" borderId="0" xfId="0" applyFont="1" applyAlignment="1">
      <alignment horizontal="left" vertical="center" wrapText="1"/>
    </xf>
    <xf numFmtId="0" fontId="55" fillId="0" borderId="17" xfId="0" applyFont="1" applyBorder="1" applyAlignment="1">
      <alignment horizontal="left" vertical="center" wrapText="1"/>
    </xf>
    <xf numFmtId="0" fontId="55" fillId="0" borderId="0" xfId="0" applyFont="1" applyAlignment="1">
      <alignment horizontal="left"/>
    </xf>
    <xf numFmtId="0" fontId="55" fillId="0" borderId="17" xfId="0" applyFont="1" applyBorder="1" applyAlignment="1">
      <alignment horizontal="left"/>
    </xf>
    <xf numFmtId="0" fontId="65" fillId="16" borderId="0" xfId="0" applyFont="1" applyFill="1" applyAlignment="1">
      <alignment horizontal="center" vertical="center" wrapText="1"/>
    </xf>
    <xf numFmtId="0" fontId="63" fillId="24" borderId="0" xfId="0" applyFont="1" applyFill="1" applyAlignment="1">
      <alignment horizontal="left" vertical="center" wrapText="1" indent="1"/>
    </xf>
    <xf numFmtId="0" fontId="63" fillId="24" borderId="19" xfId="0" applyFont="1" applyFill="1" applyBorder="1" applyAlignment="1">
      <alignment horizontal="left" vertical="center" wrapText="1" indent="1"/>
    </xf>
    <xf numFmtId="0" fontId="68" fillId="0" borderId="0" xfId="0" applyFont="1" applyAlignment="1">
      <alignment horizontal="center" vertical="center" textRotation="90" wrapText="1"/>
    </xf>
    <xf numFmtId="0" fontId="70" fillId="24" borderId="10" xfId="0" applyFont="1" applyFill="1" applyBorder="1" applyAlignment="1">
      <alignment horizontal="left" vertical="center"/>
    </xf>
    <xf numFmtId="0" fontId="71" fillId="24" borderId="11" xfId="0" applyFont="1" applyFill="1" applyBorder="1" applyAlignment="1">
      <alignment horizontal="left" vertical="center"/>
    </xf>
    <xf numFmtId="0" fontId="71" fillId="24" borderId="12" xfId="0" applyFont="1" applyFill="1" applyBorder="1" applyAlignment="1">
      <alignment horizontal="left" vertical="center"/>
    </xf>
    <xf numFmtId="0" fontId="58" fillId="24" borderId="16" xfId="0" applyFont="1" applyFill="1" applyBorder="1" applyAlignment="1">
      <alignment horizontal="left" vertical="center" wrapText="1"/>
    </xf>
    <xf numFmtId="0" fontId="58" fillId="24" borderId="0" xfId="0" applyFont="1" applyFill="1" applyAlignment="1">
      <alignment horizontal="left" vertical="center" wrapText="1"/>
    </xf>
    <xf numFmtId="0" fontId="58" fillId="24" borderId="18" xfId="0" applyFont="1" applyFill="1" applyBorder="1" applyAlignment="1">
      <alignment horizontal="left" vertical="center" wrapText="1"/>
    </xf>
    <xf numFmtId="0" fontId="58" fillId="24" borderId="19" xfId="0" applyFont="1" applyFill="1" applyBorder="1" applyAlignment="1">
      <alignment horizontal="left" vertical="center" wrapText="1"/>
    </xf>
    <xf numFmtId="0" fontId="63" fillId="9" borderId="0" xfId="0" applyFont="1" applyFill="1" applyAlignment="1">
      <alignment horizontal="left" vertical="center" wrapText="1" indent="1"/>
    </xf>
    <xf numFmtId="0" fontId="63" fillId="9" borderId="19" xfId="0" applyFont="1" applyFill="1" applyBorder="1" applyAlignment="1">
      <alignment horizontal="left" vertical="center" wrapText="1" indent="1"/>
    </xf>
    <xf numFmtId="0" fontId="55" fillId="16" borderId="18" xfId="0" applyFont="1" applyFill="1" applyBorder="1" applyAlignment="1">
      <alignment horizontal="center" vertical="center" wrapText="1"/>
    </xf>
    <xf numFmtId="0" fontId="55" fillId="16" borderId="20" xfId="0" applyFont="1" applyFill="1" applyBorder="1" applyAlignment="1">
      <alignment horizontal="center" vertical="center" wrapText="1"/>
    </xf>
    <xf numFmtId="0" fontId="55" fillId="9" borderId="0" xfId="0" applyFont="1" applyFill="1" applyAlignment="1">
      <alignment horizontal="left" vertical="top" wrapText="1"/>
    </xf>
    <xf numFmtId="0" fontId="55" fillId="9" borderId="17" xfId="0" applyFont="1" applyFill="1" applyBorder="1" applyAlignment="1">
      <alignment horizontal="left" vertical="top" wrapText="1"/>
    </xf>
    <xf numFmtId="0" fontId="70" fillId="9" borderId="10" xfId="0" applyFont="1" applyFill="1" applyBorder="1" applyAlignment="1">
      <alignment vertical="center"/>
    </xf>
    <xf numFmtId="0" fontId="71" fillId="9" borderId="11" xfId="0" applyFont="1" applyFill="1" applyBorder="1" applyAlignment="1">
      <alignment vertical="center"/>
    </xf>
    <xf numFmtId="0" fontId="71" fillId="9" borderId="12" xfId="0" applyFont="1" applyFill="1" applyBorder="1" applyAlignment="1">
      <alignment vertical="center"/>
    </xf>
    <xf numFmtId="0" fontId="54" fillId="22" borderId="6" xfId="0" applyFont="1" applyFill="1" applyBorder="1" applyAlignment="1">
      <alignment horizontal="left" vertical="center" indent="1"/>
    </xf>
    <xf numFmtId="0" fontId="54" fillId="22" borderId="8" xfId="0" applyFont="1" applyFill="1" applyBorder="1" applyAlignment="1">
      <alignment horizontal="left" vertical="center" indent="1"/>
    </xf>
    <xf numFmtId="0" fontId="58" fillId="9" borderId="16" xfId="0" applyFont="1" applyFill="1" applyBorder="1" applyAlignment="1">
      <alignment horizontal="left" vertical="center" wrapText="1"/>
    </xf>
    <xf numFmtId="0" fontId="58" fillId="9" borderId="0" xfId="0" applyFont="1" applyFill="1" applyAlignment="1">
      <alignment horizontal="left" vertical="center" wrapText="1"/>
    </xf>
    <xf numFmtId="0" fontId="58" fillId="9" borderId="18" xfId="0" applyFont="1" applyFill="1" applyBorder="1" applyAlignment="1">
      <alignment horizontal="left" vertical="center" wrapText="1"/>
    </xf>
    <xf numFmtId="0" fontId="58" fillId="9" borderId="19" xfId="0" applyFont="1" applyFill="1" applyBorder="1" applyAlignment="1">
      <alignment horizontal="left" vertical="center" wrapText="1"/>
    </xf>
    <xf numFmtId="0" fontId="54" fillId="22" borderId="10" xfId="0" applyFont="1" applyFill="1" applyBorder="1" applyAlignment="1">
      <alignment horizontal="left" vertical="center" indent="1"/>
    </xf>
    <xf numFmtId="0" fontId="54" fillId="22" borderId="16" xfId="0" applyFont="1" applyFill="1" applyBorder="1" applyAlignment="1">
      <alignment horizontal="left" vertical="center" indent="1"/>
    </xf>
    <xf numFmtId="1" fontId="58" fillId="22" borderId="10" xfId="0" applyNumberFormat="1" applyFont="1" applyFill="1" applyBorder="1" applyAlignment="1">
      <alignment horizontal="left" vertical="center" indent="1"/>
    </xf>
    <xf numFmtId="1" fontId="58" fillId="22" borderId="16" xfId="0" applyNumberFormat="1" applyFont="1" applyFill="1" applyBorder="1" applyAlignment="1">
      <alignment horizontal="left" vertical="center" indent="1"/>
    </xf>
    <xf numFmtId="0" fontId="54" fillId="22" borderId="30" xfId="0" applyFont="1" applyFill="1" applyBorder="1" applyAlignment="1">
      <alignment horizontal="center" vertical="center" wrapText="1"/>
    </xf>
    <xf numFmtId="0" fontId="54" fillId="22" borderId="29" xfId="0" applyFont="1" applyFill="1" applyBorder="1" applyAlignment="1">
      <alignment horizontal="center" vertical="center" wrapText="1"/>
    </xf>
    <xf numFmtId="0" fontId="59" fillId="21" borderId="0" xfId="0" applyFont="1" applyFill="1" applyAlignment="1">
      <alignment horizontal="center" vertical="center" wrapText="1"/>
    </xf>
    <xf numFmtId="0" fontId="60" fillId="23" borderId="18" xfId="0" applyFont="1" applyFill="1" applyBorder="1" applyAlignment="1">
      <alignment horizontal="left" vertical="center" wrapText="1" indent="2"/>
    </xf>
    <xf numFmtId="0" fontId="62" fillId="23" borderId="19" xfId="0" applyFont="1" applyFill="1" applyBorder="1" applyAlignment="1">
      <alignment horizontal="left" vertical="center" wrapText="1" indent="2"/>
    </xf>
    <xf numFmtId="0" fontId="62" fillId="23" borderId="20" xfId="0" applyFont="1" applyFill="1" applyBorder="1" applyAlignment="1">
      <alignment horizontal="left" vertical="center" wrapText="1" indent="2"/>
    </xf>
    <xf numFmtId="0" fontId="63" fillId="0" borderId="10" xfId="0" applyFont="1" applyBorder="1" applyAlignment="1">
      <alignment horizontal="center" vertical="center"/>
    </xf>
    <xf numFmtId="0" fontId="63" fillId="0" borderId="11" xfId="0" applyFont="1" applyBorder="1" applyAlignment="1">
      <alignment horizontal="center" vertical="center"/>
    </xf>
    <xf numFmtId="0" fontId="63" fillId="0" borderId="16" xfId="0" applyFont="1" applyBorder="1" applyAlignment="1">
      <alignment horizontal="center" vertical="center"/>
    </xf>
    <xf numFmtId="0" fontId="63" fillId="0" borderId="0" xfId="0" applyFont="1" applyAlignment="1">
      <alignment horizontal="center" vertical="center"/>
    </xf>
    <xf numFmtId="0" fontId="55" fillId="0" borderId="6" xfId="0" applyFont="1" applyBorder="1" applyAlignment="1">
      <alignment horizontal="left"/>
    </xf>
    <xf numFmtId="0" fontId="55" fillId="0" borderId="8" xfId="0" applyFont="1" applyBorder="1" applyAlignment="1">
      <alignment horizontal="left"/>
    </xf>
    <xf numFmtId="0" fontId="55" fillId="0" borderId="0" xfId="0" applyFont="1" applyAlignment="1">
      <alignment horizontal="left" wrapText="1"/>
    </xf>
    <xf numFmtId="0" fontId="55" fillId="0" borderId="17" xfId="0" applyFont="1" applyBorder="1" applyAlignment="1">
      <alignment horizontal="left" wrapText="1"/>
    </xf>
    <xf numFmtId="0" fontId="53" fillId="21" borderId="0" xfId="0" applyFont="1" applyFill="1" applyAlignment="1">
      <alignment horizontal="center" vertical="center"/>
    </xf>
    <xf numFmtId="0" fontId="55" fillId="0" borderId="6" xfId="0" applyFont="1" applyBorder="1" applyAlignment="1" applyProtection="1">
      <alignment horizontal="left" vertical="center"/>
      <protection locked="0"/>
    </xf>
    <xf numFmtId="0" fontId="55" fillId="0" borderId="7" xfId="0" applyFont="1" applyBorder="1" applyAlignment="1" applyProtection="1">
      <alignment horizontal="left" vertical="center"/>
      <protection locked="0"/>
    </xf>
    <xf numFmtId="0" fontId="55" fillId="0" borderId="8" xfId="0" applyFont="1" applyBorder="1" applyAlignment="1" applyProtection="1">
      <alignment horizontal="left" vertical="center"/>
      <protection locked="0"/>
    </xf>
    <xf numFmtId="0" fontId="54" fillId="0" borderId="18" xfId="0" applyFont="1" applyBorder="1" applyAlignment="1">
      <alignment horizontal="center" vertical="center" wrapText="1"/>
    </xf>
    <xf numFmtId="0" fontId="54" fillId="0" borderId="19" xfId="0" applyFont="1" applyBorder="1" applyAlignment="1">
      <alignment horizontal="center" vertical="center" wrapText="1"/>
    </xf>
    <xf numFmtId="0" fontId="54" fillId="0" borderId="20" xfId="0" applyFont="1" applyBorder="1" applyAlignment="1">
      <alignment horizontal="center" vertical="center" wrapText="1"/>
    </xf>
    <xf numFmtId="0" fontId="54" fillId="22" borderId="10" xfId="0" applyFont="1" applyFill="1" applyBorder="1" applyAlignment="1">
      <alignment horizontal="left" vertical="center" wrapText="1" indent="1"/>
    </xf>
    <xf numFmtId="0" fontId="54" fillId="22" borderId="12" xfId="0" applyFont="1" applyFill="1" applyBorder="1" applyAlignment="1">
      <alignment horizontal="left" vertical="center" wrapText="1" indent="1"/>
    </xf>
    <xf numFmtId="0" fontId="54" fillId="22" borderId="18" xfId="0" applyFont="1" applyFill="1" applyBorder="1" applyAlignment="1">
      <alignment horizontal="left" vertical="center" wrapText="1" indent="1"/>
    </xf>
    <xf numFmtId="0" fontId="54" fillId="22" borderId="20" xfId="0" applyFont="1" applyFill="1" applyBorder="1" applyAlignment="1">
      <alignment horizontal="left" vertical="center" wrapText="1" indent="1"/>
    </xf>
    <xf numFmtId="0" fontId="1" fillId="34" borderId="6" xfId="0" applyFont="1" applyFill="1" applyBorder="1" applyAlignment="1">
      <alignment horizontal="left"/>
    </xf>
    <xf numFmtId="0" fontId="1" fillId="34" borderId="8" xfId="0" applyFont="1" applyFill="1" applyBorder="1" applyAlignment="1">
      <alignment horizontal="left"/>
    </xf>
    <xf numFmtId="0" fontId="0" fillId="6" borderId="0" xfId="0" applyFill="1" applyAlignment="1">
      <alignment horizontal="center" wrapText="1"/>
    </xf>
    <xf numFmtId="0" fontId="0" fillId="7" borderId="0" xfId="0" applyFill="1" applyAlignment="1">
      <alignment horizontal="center"/>
    </xf>
    <xf numFmtId="0" fontId="6" fillId="0" borderId="0" xfId="0" applyFont="1" applyAlignment="1">
      <alignment horizontal="left" vertical="center" wrapText="1"/>
    </xf>
    <xf numFmtId="49" fontId="3" fillId="0" borderId="0" xfId="0" applyNumberFormat="1" applyFont="1" applyAlignment="1">
      <alignment horizontal="left" wrapText="1" readingOrder="1"/>
    </xf>
    <xf numFmtId="49" fontId="7" fillId="0" borderId="0" xfId="0" applyNumberFormat="1" applyFont="1" applyAlignment="1">
      <alignment vertical="top" readingOrder="1"/>
    </xf>
    <xf numFmtId="49" fontId="7" fillId="0" borderId="1" xfId="0" applyNumberFormat="1" applyFont="1" applyBorder="1" applyAlignment="1">
      <alignment vertical="top" readingOrder="1"/>
    </xf>
    <xf numFmtId="0" fontId="7" fillId="0" borderId="1" xfId="0" applyFont="1" applyBorder="1" applyAlignment="1">
      <alignment vertical="top" readingOrder="1"/>
    </xf>
    <xf numFmtId="49" fontId="3" fillId="0" borderId="0" xfId="0" applyNumberFormat="1" applyFont="1" applyAlignment="1">
      <alignment horizontal="left" vertical="center" wrapText="1" readingOrder="1"/>
    </xf>
    <xf numFmtId="49" fontId="7" fillId="20" borderId="0" xfId="0" applyNumberFormat="1" applyFont="1" applyFill="1" applyAlignment="1">
      <alignment readingOrder="1"/>
    </xf>
    <xf numFmtId="49" fontId="7" fillId="20" borderId="0" xfId="0" applyNumberFormat="1" applyFont="1" applyFill="1" applyAlignment="1">
      <alignment horizontal="left" readingOrder="1"/>
    </xf>
    <xf numFmtId="49" fontId="7" fillId="0" borderId="23" xfId="0" applyNumberFormat="1" applyFont="1" applyBorder="1" applyAlignment="1">
      <alignment vertical="top" readingOrder="1"/>
    </xf>
    <xf numFmtId="0" fontId="7" fillId="0" borderId="23" xfId="0" applyFont="1" applyBorder="1" applyAlignment="1">
      <alignment vertical="top" readingOrder="1"/>
    </xf>
    <xf numFmtId="49" fontId="4" fillId="0" borderId="0" xfId="0" applyNumberFormat="1" applyFont="1" applyAlignment="1">
      <alignment vertical="top"/>
    </xf>
    <xf numFmtId="49" fontId="4" fillId="0" borderId="0" xfId="0" applyNumberFormat="1" applyFont="1" applyAlignment="1">
      <alignment vertical="top" wrapText="1"/>
    </xf>
    <xf numFmtId="0" fontId="4" fillId="0" borderId="0" xfId="0" applyFont="1" applyAlignment="1" applyProtection="1">
      <alignment vertical="top" wrapText="1"/>
      <protection locked="0"/>
    </xf>
    <xf numFmtId="0" fontId="4" fillId="0" borderId="0" xfId="0" applyFont="1" applyAlignment="1">
      <alignment vertical="top" readingOrder="1"/>
    </xf>
    <xf numFmtId="0" fontId="4" fillId="33" borderId="0" xfId="0" applyFont="1" applyFill="1" applyAlignment="1" applyProtection="1">
      <alignment vertical="top" wrapText="1" readingOrder="1"/>
      <protection locked="0"/>
    </xf>
    <xf numFmtId="0" fontId="4" fillId="33" borderId="0" xfId="0" applyFont="1" applyFill="1" applyAlignment="1">
      <alignment vertical="top" wrapText="1" readingOrder="1"/>
    </xf>
    <xf numFmtId="49" fontId="7" fillId="33" borderId="0" xfId="0" applyNumberFormat="1" applyFont="1" applyFill="1" applyAlignment="1">
      <alignment horizontal="left" vertical="top" readingOrder="1"/>
    </xf>
    <xf numFmtId="49" fontId="4" fillId="0" borderId="0" xfId="0" applyNumberFormat="1" applyFont="1" applyAlignment="1">
      <alignment vertical="top" readingOrder="1"/>
    </xf>
    <xf numFmtId="49" fontId="5" fillId="0" borderId="0" xfId="0" applyNumberFormat="1" applyFont="1" applyAlignment="1">
      <alignment vertical="top" readingOrder="1"/>
    </xf>
    <xf numFmtId="49" fontId="9" fillId="0" borderId="0" xfId="0" applyNumberFormat="1" applyFont="1" applyAlignment="1">
      <alignment vertical="top"/>
    </xf>
    <xf numFmtId="0" fontId="4" fillId="0" borderId="0" xfId="0" applyFont="1" applyAlignment="1">
      <alignment vertical="top" wrapText="1"/>
    </xf>
    <xf numFmtId="0" fontId="4" fillId="0" borderId="0" xfId="0" applyFont="1" applyAlignment="1">
      <alignment vertical="top"/>
    </xf>
    <xf numFmtId="0" fontId="3" fillId="0" borderId="0" xfId="0" applyFont="1" applyAlignment="1">
      <alignment horizontal="right" vertical="top"/>
    </xf>
    <xf numFmtId="0" fontId="7" fillId="0" borderId="0" xfId="0" applyFont="1" applyAlignment="1">
      <alignment horizontal="right" vertical="top" wrapText="1"/>
    </xf>
    <xf numFmtId="49" fontId="88" fillId="33" borderId="0" xfId="0" applyNumberFormat="1" applyFont="1" applyFill="1" applyAlignment="1">
      <alignment readingOrder="1"/>
    </xf>
    <xf numFmtId="0" fontId="4" fillId="0" borderId="41" xfId="0" applyFont="1" applyBorder="1" applyAlignment="1">
      <alignment vertical="top" wrapText="1"/>
    </xf>
    <xf numFmtId="0" fontId="0" fillId="4" borderId="0" xfId="0" applyFill="1" applyAlignment="1"/>
    <xf numFmtId="0" fontId="0" fillId="8" borderId="0" xfId="0" applyFill="1" applyAlignment="1"/>
    <xf numFmtId="166" fontId="0" fillId="0" borderId="0" xfId="0" applyNumberFormat="1" applyAlignment="1"/>
    <xf numFmtId="0" fontId="0" fillId="0" borderId="0" xfId="0" applyAlignment="1"/>
  </cellXfs>
  <cellStyles count="10">
    <cellStyle name="Accent3" xfId="8" builtinId="37"/>
    <cellStyle name="Comma" xfId="9" builtinId="3"/>
    <cellStyle name="Currency" xfId="4" builtinId="4"/>
    <cellStyle name="Currency 2 2" xfId="3" xr:uid="{EB018F7E-8F3F-4248-A1E6-61000CC12B8C}"/>
    <cellStyle name="Currency 8" xfId="1" xr:uid="{DF9C6458-522E-4152-A6BF-77FA5CE8F253}"/>
    <cellStyle name="Good" xfId="6" builtinId="26"/>
    <cellStyle name="Hyperlink" xfId="2" builtinId="8"/>
    <cellStyle name="Normal" xfId="0" builtinId="0"/>
    <cellStyle name="Normal 9 2" xfId="7" xr:uid="{89C5057E-F57E-41E3-BDE7-0BC1657F9869}"/>
    <cellStyle name="Percent" xfId="5" builtinId="5"/>
  </cellStyles>
  <dxfs count="256">
    <dxf>
      <border diagonalUp="0" diagonalDown="0">
        <left/>
        <right/>
        <top style="thin">
          <color theme="4" tint="0.39997558519241921"/>
        </top>
        <bottom style="thin">
          <color theme="4" tint="0.39997558519241921"/>
        </bottom>
        <vertical/>
        <horizontal/>
      </border>
      <protection locked="1" hidden="0"/>
    </dxf>
    <dxf>
      <numFmt numFmtId="166" formatCode="&quot;$&quot;#,##0"/>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protection locked="1" hidden="0"/>
    </dxf>
    <dxf>
      <font>
        <color auto="1"/>
      </font>
      <numFmt numFmtId="10" formatCode="&quot;$&quot;#,##0;[Red]\-&quot;$&quot;#,##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border diagonalUp="0" diagonalDown="0">
        <left/>
        <right/>
        <top style="thin">
          <color theme="4" tint="0.39997558519241921"/>
        </top>
        <bottom style="thin">
          <color theme="4" tint="0.39997558519241921"/>
        </bottom>
        <vertical/>
        <horizontal/>
      </border>
      <protection locked="1" hidden="0"/>
    </dxf>
    <dxf>
      <border diagonalUp="0" diagonalDown="0">
        <left/>
        <right/>
        <top style="thin">
          <color theme="4" tint="0.39997558519241921"/>
        </top>
        <bottom style="thin">
          <color theme="4" tint="0.39997558519241921"/>
        </bottom>
        <vertical/>
        <horizontal/>
      </border>
      <protection locked="1" hidden="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protection locked="1" hidden="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protection locked="1" hidden="0"/>
    </dxf>
    <dxf>
      <protection locked="1" hidden="0"/>
    </dxf>
    <dxf>
      <protection locked="1" hidden="0"/>
    </dxf>
    <dxf>
      <protection locked="1" hidden="0"/>
    </dxf>
    <dxf>
      <protection locked="1" hidden="0"/>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protection locked="1" hidden="0"/>
    </dxf>
    <dxf>
      <fill>
        <patternFill patternType="none">
          <fgColor indexed="64"/>
          <bgColor auto="1"/>
        </patternFill>
      </fill>
      <protection locked="1" hidden="0"/>
    </dxf>
    <dxf>
      <fill>
        <patternFill patternType="none">
          <fgColor rgb="FF000000"/>
          <bgColor auto="1"/>
        </patternFill>
      </fill>
      <protection locked="1" hidden="0"/>
    </dxf>
    <dxf>
      <protection locked="1" hidden="0"/>
    </dxf>
    <dxf>
      <protection locked="1" hidden="0"/>
    </dxf>
    <dxf>
      <numFmt numFmtId="166" formatCode="&quot;$&quot;#,##0"/>
      <protection locked="1" hidden="0"/>
    </dxf>
    <dxf>
      <protection locked="1" hidden="0"/>
    </dxf>
    <dxf>
      <protection locked="1" hidden="0"/>
    </dxf>
    <dxf>
      <protection locked="1" hidden="0"/>
    </dxf>
    <dxf>
      <fill>
        <patternFill patternType="none">
          <fgColor indexed="64"/>
          <bgColor auto="1"/>
        </patternFill>
      </fill>
      <protection locked="1" hidden="0"/>
    </dxf>
    <dxf>
      <fill>
        <patternFill patternType="none">
          <bgColor auto="1"/>
        </patternFill>
      </fill>
      <protection locked="1" hidden="0"/>
    </dxf>
    <dxf>
      <numFmt numFmtId="1" formatCode="0"/>
      <fill>
        <patternFill patternType="none">
          <bgColor auto="1"/>
        </patternFill>
      </fill>
      <alignment horizontal="center" vertical="bottom" textRotation="0" wrapText="0" indent="0" justifyLastLine="0" shrinkToFit="0" readingOrder="0"/>
      <protection locked="1" hidden="0"/>
    </dxf>
    <dxf>
      <numFmt numFmtId="2" formatCode="0.00"/>
      <alignment horizontal="center" vertical="bottom" textRotation="0" wrapText="0" indent="0" justifyLastLine="0" shrinkToFit="0" readingOrder="0"/>
    </dxf>
    <dxf>
      <numFmt numFmtId="2" formatCode="0.00"/>
      <fill>
        <patternFill patternType="none">
          <bgColor auto="1"/>
        </patternFill>
      </fill>
      <alignment horizontal="center" vertical="bottom" textRotation="0" wrapText="0" indent="0" justifyLastLine="0" shrinkToFit="0" readingOrder="0"/>
      <protection locked="1" hidden="0"/>
    </dxf>
    <dxf>
      <numFmt numFmtId="2" formatCode="0.00"/>
      <fill>
        <patternFill patternType="none">
          <bgColor auto="1"/>
        </patternFill>
      </fill>
      <alignment horizontal="center" vertical="bottom" textRotation="0" wrapText="0" indent="0" justifyLastLine="0" shrinkToFit="0" readingOrder="0"/>
    </dxf>
    <dxf>
      <numFmt numFmtId="169" formatCode="0.0"/>
      <fill>
        <patternFill patternType="none">
          <bgColor auto="1"/>
        </patternFill>
      </fill>
      <alignment horizontal="center" vertical="bottom" textRotation="0" wrapText="0" indent="0" justifyLastLine="0" shrinkToFit="0" readingOrder="0"/>
    </dxf>
    <dxf>
      <numFmt numFmtId="169" formatCode="0.0"/>
      <fill>
        <patternFill patternType="none">
          <bgColor auto="1"/>
        </patternFill>
      </fill>
      <alignment horizontal="center" vertical="bottom" textRotation="0" wrapText="0" indent="0" justifyLastLine="0" shrinkToFit="0" readingOrder="0"/>
      <protection locked="1" hidden="0"/>
    </dxf>
    <dxf>
      <numFmt numFmtId="166" formatCode="&quot;$&quot;#,##0"/>
      <fill>
        <patternFill patternType="none">
          <bgColor auto="1"/>
        </patternFill>
      </fill>
      <alignment horizontal="center" vertical="bottom" textRotation="0" wrapText="0" indent="0" justifyLastLine="0" shrinkToFit="0" readingOrder="0"/>
      <protection locked="1" hidden="0"/>
    </dxf>
    <dxf>
      <numFmt numFmtId="166" formatCode="&quot;$&quot;#,##0"/>
      <fill>
        <patternFill patternType="none">
          <fgColor indexed="64"/>
          <bgColor auto="1"/>
        </patternFill>
      </fill>
      <alignment horizontal="center" vertical="bottom" textRotation="0" wrapText="0" indent="0" justifyLastLine="0" shrinkToFit="0" readingOrder="0"/>
      <protection locked="1" hidden="0"/>
    </dxf>
    <dxf>
      <fill>
        <patternFill patternType="none">
          <fgColor indexed="64"/>
          <bgColor auto="1"/>
        </patternFill>
      </fill>
      <protection locked="1" hidden="0"/>
    </dxf>
    <dxf>
      <protection locked="1" hidden="0"/>
    </dxf>
    <dxf>
      <alignment vertical="bottom" textRotation="0" wrapText="1" indent="0" justifyLastLine="0" shrinkToFit="0" readingOrder="0"/>
      <protection locked="1" hidden="0"/>
    </dxf>
    <dxf>
      <font>
        <color theme="1"/>
      </font>
      <fill>
        <patternFill>
          <bgColor rgb="FF92D050"/>
        </patternFill>
      </fill>
    </dxf>
    <dxf>
      <font>
        <color theme="1"/>
      </font>
      <fill>
        <patternFill>
          <bgColor rgb="FF00B0F0"/>
        </patternFill>
      </fill>
    </dxf>
    <dxf>
      <font>
        <color theme="1"/>
      </font>
      <fill>
        <patternFill>
          <bgColor theme="5" tint="0.39994506668294322"/>
        </patternFill>
      </fill>
    </dxf>
    <dxf>
      <font>
        <color theme="0"/>
      </font>
      <fill>
        <patternFill>
          <bgColor theme="0"/>
        </patternFill>
      </fill>
    </dxf>
    <dxf>
      <font>
        <color rgb="FF9C0006"/>
      </font>
      <fill>
        <patternFill>
          <bgColor rgb="FFFFC7CE"/>
        </patternFill>
      </fill>
    </dxf>
    <dxf>
      <fill>
        <patternFill>
          <bgColor rgb="FFFFC000"/>
        </patternFill>
      </fill>
    </dxf>
    <dxf>
      <fill>
        <patternFill>
          <bgColor rgb="FFFF0000"/>
        </patternFill>
      </fill>
    </dxf>
    <dxf>
      <alignment textRotation="0" wrapText="0" indent="0" justifyLastLine="0" shrinkToFit="0" readingOrder="0"/>
    </dxf>
    <dxf>
      <numFmt numFmtId="166" formatCode="&quot;$&quot;#,##0"/>
    </dxf>
    <dxf>
      <numFmt numFmtId="166" formatCode="&quot;$&quot;#,##0"/>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center" vertical="center"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general"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patternType="solid">
          <fgColor indexed="64"/>
          <bgColor theme="4" tint="0.79998168889431442"/>
        </patternFill>
      </fill>
      <alignment horizontal="general"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59999389629810485"/>
        </patternFill>
      </fill>
    </dxf>
    <dxf>
      <border outline="0">
        <top style="thin">
          <color indexed="64"/>
        </top>
      </border>
    </dxf>
    <dxf>
      <alignment horizontal="center" vertical="bottom" textRotation="0" wrapText="0" indent="0" justifyLastLine="0" shrinkToFit="0" readingOrder="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indexed="64"/>
        </left>
        <right style="thin">
          <color indexed="64"/>
        </right>
        <top/>
        <bottom/>
      </border>
    </dxf>
    <dxf>
      <fill>
        <patternFill patternType="solid">
          <fgColor indexed="64"/>
          <bgColor rgb="FFFFFF00"/>
        </patternFill>
      </fill>
      <protection locked="1" hidden="0"/>
    </dxf>
    <dxf>
      <fill>
        <patternFill patternType="solid">
          <fgColor indexed="64"/>
          <bgColor rgb="FFFFFF00"/>
        </patternFill>
      </fill>
      <protection locked="1" hidden="0"/>
    </dxf>
    <dxf>
      <font>
        <b val="0"/>
        <i val="0"/>
        <strike val="0"/>
        <condense val="0"/>
        <extend val="0"/>
        <outline val="0"/>
        <shadow val="0"/>
        <u val="none"/>
        <vertAlign val="baseline"/>
        <sz val="11"/>
        <color auto="1"/>
        <name val="Calibri"/>
        <family val="2"/>
        <scheme val="minor"/>
      </font>
      <protection locked="1" hidden="0"/>
    </dxf>
    <dxf>
      <font>
        <b val="0"/>
        <i val="0"/>
        <strike val="0"/>
        <condense val="0"/>
        <extend val="0"/>
        <outline val="0"/>
        <shadow val="0"/>
        <u val="none"/>
        <vertAlign val="baseline"/>
        <sz val="10"/>
        <color theme="1"/>
        <name val="Times New Roman"/>
        <family val="1"/>
        <scheme val="none"/>
      </font>
      <protection locked="1" hidden="0"/>
    </dxf>
    <dxf>
      <font>
        <b val="0"/>
        <i val="0"/>
        <strike val="0"/>
        <condense val="0"/>
        <extend val="0"/>
        <outline val="0"/>
        <shadow val="0"/>
        <u val="none"/>
        <vertAlign val="baseline"/>
        <sz val="10"/>
        <color theme="1"/>
        <name val="Times New Roman"/>
        <family val="1"/>
        <scheme val="none"/>
      </font>
      <protection locked="1" hidden="0"/>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protection locked="1" hidden="0"/>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numFmt numFmtId="166" formatCode="&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numFmt numFmtId="166" formatCode="&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font>
        <b val="0"/>
        <i val="0"/>
        <strike val="0"/>
        <condense val="0"/>
        <extend val="0"/>
        <outline val="0"/>
        <shadow val="0"/>
        <u val="none"/>
        <vertAlign val="baseline"/>
        <sz val="11"/>
        <color rgb="FF000000"/>
        <name val="Calibri"/>
        <family val="2"/>
        <scheme val="none"/>
      </font>
      <numFmt numFmtId="10" formatCode="&quot;$&quot;#,##0;[Red]\-&quot;$&quot;#,##0"/>
      <alignment horizontal="right" vertical="center" textRotation="0" wrapText="0" indent="0" justifyLastLine="0" shrinkToFit="0" readingOrder="0"/>
      <protection locked="1" hidden="0"/>
    </dxf>
    <dxf>
      <font>
        <b val="0"/>
        <i val="0"/>
        <strike val="0"/>
        <condense val="0"/>
        <extend val="0"/>
        <outline val="0"/>
        <shadow val="0"/>
        <u val="none"/>
        <vertAlign val="baseline"/>
        <sz val="11"/>
        <color rgb="FF000000"/>
        <name val="Calibri"/>
        <family val="2"/>
        <scheme val="none"/>
      </font>
      <alignment horizontal="general" vertical="center" textRotation="0" wrapText="0" indent="0" justifyLastLine="0" shrinkToFit="0" readingOrder="0"/>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numFmt numFmtId="14" formatCode="0.00%"/>
      <protection locked="1" hidden="0"/>
    </dxf>
    <dxf>
      <numFmt numFmtId="10" formatCode="&quot;$&quot;#,##0;[Red]\-&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numFmt numFmtId="166" formatCode="&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protection locked="1" hidden="0"/>
    </dxf>
    <dxf>
      <protection locked="1" hidden="0"/>
    </dxf>
    <dxf>
      <numFmt numFmtId="166" formatCode="&quot;$&quot;#,##0"/>
      <protection locked="1" hidden="0"/>
    </dxf>
    <dxf>
      <protection locked="1" hidden="0"/>
    </dxf>
    <dxf>
      <border outline="0">
        <top style="thin">
          <color indexed="64"/>
        </top>
      </border>
    </dxf>
    <dxf>
      <protection locked="1" hidden="0"/>
    </dxf>
    <dxf>
      <border outline="0">
        <bottom style="thin">
          <color indexed="64"/>
        </bottom>
      </border>
    </dxf>
    <dxf>
      <font>
        <strike val="0"/>
        <outline val="0"/>
        <shadow val="0"/>
        <u val="none"/>
        <vertAlign val="baseline"/>
        <sz val="11"/>
        <color auto="1"/>
        <name val="Calibri"/>
        <family val="2"/>
        <scheme val="minor"/>
      </font>
      <fill>
        <patternFill patternType="solid">
          <fgColor indexed="64"/>
          <bgColor rgb="FFFFFF00"/>
        </patternFill>
      </fill>
      <border diagonalUp="0" diagonalDown="0">
        <left style="thin">
          <color indexed="64"/>
        </left>
        <right style="thin">
          <color indexed="64"/>
        </right>
        <top/>
        <bottom/>
      </border>
      <protection locked="1" hidden="0"/>
    </dxf>
    <dxf>
      <alignment horizontal="general" vertical="center" textRotation="0" wrapText="1" indent="0" justifyLastLine="0" shrinkToFit="0" readingOrder="0"/>
    </dxf>
    <dxf>
      <numFmt numFmtId="166" formatCode="&quot;$&quot;#,##0"/>
      <alignment horizontal="general" vertical="center" textRotation="0" indent="0" justifyLastLine="0" shrinkToFit="0" readingOrder="0"/>
    </dxf>
    <dxf>
      <font>
        <strike val="0"/>
        <outline val="0"/>
        <shadow val="0"/>
        <u val="none"/>
        <vertAlign val="baseline"/>
        <sz val="10"/>
        <color theme="1"/>
        <name val="Calibri"/>
        <family val="2"/>
        <scheme val="minor"/>
      </font>
      <alignment horizontal="general" vertical="bottom" textRotation="0" wrapText="1" indent="0" justifyLastLine="0" shrinkToFit="0" readingOrder="0"/>
    </dxf>
    <dxf>
      <numFmt numFmtId="19" formatCode="d/mm/yyyy"/>
      <alignment horizontal="general" vertical="center"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6" tint="0.59999389629810485"/>
        </patternFill>
      </fill>
    </dxf>
    <dxf>
      <font>
        <strike val="0"/>
        <outline val="0"/>
        <shadow val="0"/>
        <u val="none"/>
        <vertAlign val="baseline"/>
        <color auto="1"/>
        <name val="Calibri"/>
        <family val="2"/>
        <scheme val="minor"/>
      </font>
      <fill>
        <patternFill patternType="none">
          <fgColor indexed="64"/>
          <bgColor auto="1"/>
        </patternFill>
      </fill>
    </dxf>
    <dxf>
      <font>
        <b val="0"/>
        <i val="0"/>
        <strike val="0"/>
        <condense val="0"/>
        <extend val="0"/>
        <outline val="0"/>
        <shadow val="0"/>
        <u val="none"/>
        <vertAlign val="baseline"/>
        <sz val="10"/>
        <color auto="1"/>
        <name val="Calibri"/>
        <family val="2"/>
        <scheme val="minor"/>
      </font>
      <numFmt numFmtId="166" formatCode="&quot;$&quot;#,##0"/>
      <fill>
        <patternFill patternType="none">
          <fgColor indexed="64"/>
          <bgColor auto="1"/>
        </patternFill>
      </fill>
      <alignment horizontal="right" vertical="center" textRotation="0" wrapText="0" indent="0" justifyLastLine="0" shrinkToFit="0" readingOrder="0"/>
      <protection locked="1" hidden="0"/>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color auto="1"/>
        <name val="Calibri"/>
        <family val="2"/>
        <scheme val="minor"/>
      </font>
      <numFmt numFmtId="19" formatCode="d/m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auto="1"/>
        <name val="Calibri"/>
        <family val="2"/>
        <scheme val="minor"/>
      </font>
      <fill>
        <patternFill patternType="none">
          <fgColor indexed="64"/>
          <bgColor auto="1"/>
        </patternFill>
      </fill>
    </dxf>
    <dxf>
      <font>
        <strike val="0"/>
        <outline val="0"/>
        <shadow val="0"/>
        <u val="none"/>
        <vertAlign val="baseline"/>
        <sz val="11"/>
        <color theme="0"/>
        <name val="Calibri"/>
        <family val="2"/>
        <scheme val="minor"/>
      </font>
      <fill>
        <patternFill patternType="none">
          <fgColor indexed="64"/>
          <bgColor auto="1"/>
        </patternFill>
      </fill>
      <alignment horizontal="center" vertical="bottom" textRotation="0" wrapText="0" indent="0" justifyLastLine="0" shrinkToFit="0" readingOrder="0"/>
    </dxf>
    <dxf>
      <alignment vertical="top" textRotation="0" indent="0" justifyLastLine="0" shrinkToFit="0" readingOrder="0"/>
      <border>
        <left style="thin">
          <color indexed="64"/>
        </left>
      </border>
    </dxf>
    <dxf>
      <font>
        <b val="0"/>
        <i val="0"/>
        <strike val="0"/>
        <condense val="0"/>
        <extend val="0"/>
        <outline val="0"/>
        <shadow val="0"/>
        <u val="none"/>
        <vertAlign val="baseline"/>
        <sz val="10"/>
        <color rgb="FF0000FF"/>
        <name val="Calibri"/>
        <family val="2"/>
        <scheme val="minor"/>
      </font>
      <numFmt numFmtId="166" formatCode="&quot;$&quot;#,##0"/>
      <fill>
        <patternFill patternType="solid">
          <fgColor indexed="64"/>
          <bgColor rgb="FFFFFF99"/>
        </patternFill>
      </fill>
      <alignment horizontal="right" vertical="top" textRotation="0" wrapText="0" indent="0" justifyLastLine="0" shrinkToFit="0" readingOrder="0"/>
      <border diagonalUp="0" diagonalDown="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0"/>
        <color rgb="FF0000FF"/>
        <name val="Calibri"/>
        <family val="2"/>
        <scheme val="minor"/>
      </font>
      <fill>
        <patternFill patternType="solid">
          <fgColor indexed="64"/>
          <bgColor rgb="FFFFFF9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19" formatCode="d/mm/yyyy"/>
      <alignment horizontal="center" vertical="center" textRotation="0" wrapText="0" indent="0" justifyLastLine="0" shrinkToFit="0" readingOrder="0"/>
    </dxf>
    <dxf>
      <fill>
        <patternFill patternType="solid">
          <fgColor indexed="64"/>
          <bgColor rgb="FF92D050"/>
        </patternFill>
      </fill>
      <alignment horizontal="center" vertical="bottom" textRotation="0" wrapText="0" indent="0" justifyLastLine="0" shrinkToFit="0" readingOrder="0"/>
    </dxf>
    <dxf>
      <numFmt numFmtId="166" formatCode="&quot;$&quot;#,##0"/>
    </dxf>
    <dxf>
      <alignment horizontal="center" vertical="bottom" textRotation="0" indent="0" justifyLastLine="0" shrinkToFit="0" readingOrder="0"/>
    </dxf>
    <dxf>
      <alignment horizontal="center" vertical="bottom" textRotation="0" indent="0" justifyLastLine="0" shrinkToFit="0" readingOrder="0"/>
    </dxf>
    <dxf>
      <alignment horizontal="general" vertical="bottom" textRotation="0" wrapText="1" indent="0" justifyLastLine="0" shrinkToFit="0" readingOrder="0"/>
    </dxf>
    <dxf>
      <protection locked="1" hidden="0"/>
    </dxf>
    <dxf>
      <protection locked="1" hidden="0"/>
    </dxf>
    <dxf>
      <protection locked="1" hidden="0"/>
    </dxf>
    <dxf>
      <protection locked="1" hidden="0"/>
    </dxf>
    <dxf>
      <font>
        <b/>
        <i val="0"/>
        <strike val="0"/>
        <condense val="0"/>
        <extend val="0"/>
        <outline val="0"/>
        <shadow val="0"/>
        <u val="none"/>
        <vertAlign val="baseline"/>
        <sz val="11"/>
        <color auto="1"/>
        <name val="Calibri"/>
        <family val="2"/>
        <scheme val="minor"/>
      </font>
      <fill>
        <patternFill patternType="solid">
          <fgColor indexed="64"/>
          <bgColor rgb="FFFFFF00"/>
        </patternFill>
      </fill>
      <alignment horizontal="center" vertical="bottom" textRotation="0" wrapText="0" indent="0" justifyLastLine="0" shrinkToFit="0" readingOrder="0"/>
      <protection locked="1" hidden="0"/>
    </dxf>
    <dxf>
      <fill>
        <patternFill patternType="none">
          <fgColor indexed="64"/>
          <bgColor auto="1"/>
        </patternFill>
      </fill>
      <protection locked="1" hidden="0"/>
    </dxf>
    <dxf>
      <fill>
        <patternFill patternType="none">
          <fgColor indexed="64"/>
          <bgColor auto="1"/>
        </patternFill>
      </fill>
      <protection locked="1" hidden="0"/>
    </dxf>
    <dxf>
      <protection locked="1" hidden="0"/>
    </dxf>
    <dxf>
      <fill>
        <patternFill patternType="none">
          <fgColor indexed="64"/>
          <bgColor auto="1"/>
        </patternFill>
      </fill>
      <protection locked="1" hidden="0"/>
    </dxf>
    <dxf>
      <numFmt numFmtId="166" formatCode="&quot;$&quot;#,##0"/>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numFmt numFmtId="166" formatCode="&quot;$&quot;#,##0"/>
      <fill>
        <patternFill patternType="none">
          <fgColor indexed="64"/>
          <bgColor auto="1"/>
        </patternFill>
      </fill>
      <protection locked="1" hidden="0"/>
    </dxf>
    <dxf>
      <fill>
        <patternFill patternType="none">
          <fgColor indexed="64"/>
          <bgColor auto="1"/>
        </patternFill>
      </fill>
      <protection locked="1" hidden="0"/>
    </dxf>
    <dxf>
      <fill>
        <patternFill patternType="none">
          <fgColor indexed="64"/>
          <bgColor auto="1"/>
        </patternFill>
      </fill>
      <protection locked="1" hidden="0"/>
    </dxf>
    <dxf>
      <numFmt numFmtId="1" formatCode="0"/>
      <fill>
        <patternFill patternType="none">
          <fgColor indexed="64"/>
          <bgColor auto="1"/>
        </patternFill>
      </fill>
      <alignment horizontal="center" vertical="bottom" textRotation="0" wrapText="0" indent="0" justifyLastLine="0" shrinkToFit="0" readingOrder="0"/>
      <protection locked="1" hidden="0"/>
    </dxf>
    <dxf>
      <numFmt numFmtId="2" formatCode="0.00"/>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protection locked="1" hidden="0"/>
    </dxf>
    <dxf>
      <numFmt numFmtId="2" formatCode="0.00"/>
      <fill>
        <patternFill patternType="none">
          <fgColor indexed="64"/>
          <bgColor auto="1"/>
        </patternFill>
      </fill>
      <alignment horizontal="center" vertical="bottom" textRotation="0" wrapText="0" indent="0" justifyLastLine="0" shrinkToFit="0" readingOrder="0"/>
    </dxf>
    <dxf>
      <numFmt numFmtId="169" formatCode="0.0"/>
      <fill>
        <patternFill patternType="none">
          <fgColor indexed="64"/>
          <bgColor auto="1"/>
        </patternFill>
      </fill>
      <alignment horizontal="center" vertical="bottom" textRotation="0" wrapText="0" indent="0" justifyLastLine="0" shrinkToFit="0" readingOrder="0"/>
    </dxf>
    <dxf>
      <numFmt numFmtId="169" formatCode="0.0"/>
      <fill>
        <patternFill patternType="none">
          <fgColor indexed="64"/>
          <bgColor auto="1"/>
        </patternFill>
      </fill>
      <alignment horizontal="center" vertical="bottom" textRotation="0" wrapText="0" indent="0" justifyLastLine="0" shrinkToFit="0" readingOrder="0"/>
      <protection locked="1" hidden="0"/>
    </dxf>
    <dxf>
      <numFmt numFmtId="166" formatCode="&quot;$&quot;#,##0"/>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sz val="11"/>
        <color auto="1"/>
        <name val="Calibri"/>
        <family val="2"/>
      </font>
      <numFmt numFmtId="166" formatCode="&quot;$&quot;#,##0"/>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sz val="11"/>
        <color auto="1"/>
        <name val="Calibri"/>
        <family val="2"/>
      </font>
      <fill>
        <patternFill patternType="none">
          <fgColor indexed="64"/>
          <bgColor auto="1"/>
        </patternFill>
      </fill>
      <protection locked="1" hidden="0"/>
    </dxf>
    <dxf>
      <fill>
        <patternFill patternType="none">
          <fgColor indexed="64"/>
          <bgColor auto="1"/>
        </patternFill>
      </fill>
      <protection locked="1" hidden="0"/>
    </dxf>
    <dxf>
      <alignment vertical="bottom" textRotation="0" wrapText="1" indent="0" justifyLastLine="0" shrinkToFit="0" readingOrder="0"/>
      <protection locked="1" hidden="0"/>
    </dxf>
    <dxf>
      <font>
        <color theme="1"/>
      </font>
      <fill>
        <patternFill>
          <bgColor rgb="FF92D050"/>
        </patternFill>
      </fill>
    </dxf>
    <dxf>
      <font>
        <color theme="1"/>
      </font>
      <fill>
        <patternFill>
          <bgColor rgb="FF00B0F0"/>
        </patternFill>
      </fill>
    </dxf>
    <dxf>
      <font>
        <color theme="1"/>
      </font>
      <fill>
        <patternFill>
          <bgColor theme="5" tint="0.39994506668294322"/>
        </patternFill>
      </fill>
    </dxf>
    <dxf>
      <font>
        <color theme="0"/>
      </font>
      <fill>
        <patternFill>
          <bgColor theme="0"/>
        </patternFill>
      </fill>
    </dxf>
    <dxf>
      <font>
        <color rgb="FF9C0006"/>
      </font>
      <fill>
        <patternFill>
          <bgColor rgb="FFFFC7CE"/>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FF99"/>
        </patternFill>
      </fill>
    </dxf>
    <dxf>
      <fill>
        <patternFill>
          <bgColor rgb="FFFF0000"/>
        </patternFill>
      </fill>
    </dxf>
    <dxf>
      <fill>
        <patternFill>
          <bgColor rgb="FFFF0000"/>
        </patternFill>
      </fill>
    </dxf>
    <dxf>
      <font>
        <color rgb="FF9C0006"/>
      </font>
      <fill>
        <patternFill>
          <bgColor rgb="FFFFC7CE"/>
        </patternFill>
      </fill>
    </dxf>
    <dxf>
      <fill>
        <patternFill>
          <bgColor theme="9" tint="-0.24994659260841701"/>
        </patternFill>
      </fill>
    </dxf>
    <dxf>
      <fill>
        <patternFill>
          <bgColor rgb="FFFF0000"/>
        </patternFill>
      </fill>
    </dxf>
    <dxf>
      <fill>
        <patternFill>
          <bgColor rgb="FFFFFF99"/>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FF99"/>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s>
  <tableStyles count="0" defaultTableStyle="TableStyleMedium2" defaultPivotStyle="PivotStyleLight16"/>
  <colors>
    <mruColors>
      <color rgb="FFFFFF99"/>
      <color rgb="FFA6CE39"/>
      <color rgb="FF467C9C"/>
      <color rgb="FFFAF8F5"/>
      <color rgb="FF7FE547"/>
      <color rgb="FF9FEB75"/>
      <color rgb="FFE2ED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alcChain" Target="calcChain.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66675</xdr:colOff>
          <xdr:row>0</xdr:row>
          <xdr:rowOff>66675</xdr:rowOff>
        </xdr:from>
        <xdr:to>
          <xdr:col>28</xdr:col>
          <xdr:colOff>38100</xdr:colOff>
          <xdr:row>2</xdr:row>
          <xdr:rowOff>180975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600" b="0" i="0" u="none" strike="noStrike" baseline="0">
                  <a:solidFill>
                    <a:srgbClr val="000000"/>
                  </a:solidFill>
                  <a:latin typeface="Calibri"/>
                  <a:ea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3</xdr:row>
          <xdr:rowOff>28575</xdr:rowOff>
        </xdr:from>
        <xdr:to>
          <xdr:col>28</xdr:col>
          <xdr:colOff>38100</xdr:colOff>
          <xdr:row>6</xdr:row>
          <xdr:rowOff>28575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600" b="0" i="0" u="none" strike="noStrike" baseline="0">
                  <a:solidFill>
                    <a:srgbClr val="000000"/>
                  </a:solidFill>
                  <a:latin typeface="Calibri"/>
                  <a:ea typeface="Calibri"/>
                  <a:cs typeface="Calibri"/>
                </a:rPr>
                <a:t>CLOSE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59928</xdr:colOff>
      <xdr:row>125</xdr:row>
      <xdr:rowOff>34362</xdr:rowOff>
    </xdr:from>
    <xdr:to>
      <xdr:col>1</xdr:col>
      <xdr:colOff>421822</xdr:colOff>
      <xdr:row>125</xdr:row>
      <xdr:rowOff>272142</xdr:rowOff>
    </xdr:to>
    <xdr:sp macro="" textlink="">
      <xdr:nvSpPr>
        <xdr:cNvPr id="2" name="TextBox 1">
          <a:extLst>
            <a:ext uri="{FF2B5EF4-FFF2-40B4-BE49-F238E27FC236}">
              <a16:creationId xmlns:a16="http://schemas.microsoft.com/office/drawing/2014/main" id="{E9335A5F-7E42-422D-AA7B-4CD6DC53E216}"/>
            </a:ext>
          </a:extLst>
        </xdr:cNvPr>
        <xdr:cNvSpPr txBox="1"/>
      </xdr:nvSpPr>
      <xdr:spPr>
        <a:xfrm>
          <a:off x="56118" y="22656237"/>
          <a:ext cx="994354" cy="144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a:solidFill>
                <a:schemeClr val="bg1"/>
              </a:solidFill>
              <a:latin typeface="Euclid Circular B Light" panose="020B0304000000000000" pitchFamily="34" charset="77"/>
            </a:rPr>
            <a:t>Version 1     01/07/2024</a:t>
          </a:r>
        </a:p>
      </xdr:txBody>
    </xdr:sp>
    <xdr:clientData/>
  </xdr:twoCellAnchor>
  <xdr:oneCellAnchor>
    <xdr:from>
      <xdr:col>6</xdr:col>
      <xdr:colOff>1740775</xdr:colOff>
      <xdr:row>0</xdr:row>
      <xdr:rowOff>9525</xdr:rowOff>
    </xdr:from>
    <xdr:ext cx="1448619" cy="720235"/>
    <xdr:pic>
      <xdr:nvPicPr>
        <xdr:cNvPr id="3" name="Picture 2">
          <a:extLst>
            <a:ext uri="{FF2B5EF4-FFF2-40B4-BE49-F238E27FC236}">
              <a16:creationId xmlns:a16="http://schemas.microsoft.com/office/drawing/2014/main" id="{EDA8F4E1-525D-4567-856A-412370C71CC6}"/>
            </a:ext>
          </a:extLst>
        </xdr:cNvPr>
        <xdr:cNvPicPr>
          <a:picLocks noChangeAspect="1"/>
        </xdr:cNvPicPr>
      </xdr:nvPicPr>
      <xdr:blipFill>
        <a:blip xmlns:r="http://schemas.openxmlformats.org/officeDocument/2006/relationships" r:embed="rId1"/>
        <a:stretch>
          <a:fillRect/>
        </a:stretch>
      </xdr:blipFill>
      <xdr:spPr>
        <a:xfrm>
          <a:off x="4403965" y="11430"/>
          <a:ext cx="1448619" cy="72023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147253</xdr:colOff>
      <xdr:row>0</xdr:row>
      <xdr:rowOff>0</xdr:rowOff>
    </xdr:from>
    <xdr:to>
      <xdr:col>2</xdr:col>
      <xdr:colOff>586171</xdr:colOff>
      <xdr:row>1</xdr:row>
      <xdr:rowOff>22</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twoCellAnchor editAs="oneCell">
    <xdr:from>
      <xdr:col>1</xdr:col>
      <xdr:colOff>4006850</xdr:colOff>
      <xdr:row>250</xdr:row>
      <xdr:rowOff>47625</xdr:rowOff>
    </xdr:from>
    <xdr:to>
      <xdr:col>2</xdr:col>
      <xdr:colOff>692716</xdr:colOff>
      <xdr:row>254</xdr:row>
      <xdr:rowOff>149909</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4721225" y="48910875"/>
          <a:ext cx="1651566" cy="8261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147253</xdr:colOff>
      <xdr:row>0</xdr:row>
      <xdr:rowOff>0</xdr:rowOff>
    </xdr:from>
    <xdr:to>
      <xdr:col>2</xdr:col>
      <xdr:colOff>593791</xdr:colOff>
      <xdr:row>1</xdr:row>
      <xdr:rowOff>22</xdr:rowOff>
    </xdr:to>
    <xdr:pic>
      <xdr:nvPicPr>
        <xdr:cNvPr id="2" name="Picture 1">
          <a:extLst>
            <a:ext uri="{FF2B5EF4-FFF2-40B4-BE49-F238E27FC236}">
              <a16:creationId xmlns:a16="http://schemas.microsoft.com/office/drawing/2014/main" id="{E7C2CBED-ABA4-473A-9E80-912E501A6D1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twoCellAnchor editAs="oneCell">
    <xdr:from>
      <xdr:col>1</xdr:col>
      <xdr:colOff>4006850</xdr:colOff>
      <xdr:row>254</xdr:row>
      <xdr:rowOff>47625</xdr:rowOff>
    </xdr:from>
    <xdr:to>
      <xdr:col>2</xdr:col>
      <xdr:colOff>702241</xdr:colOff>
      <xdr:row>258</xdr:row>
      <xdr:rowOff>149909</xdr:rowOff>
    </xdr:to>
    <xdr:pic>
      <xdr:nvPicPr>
        <xdr:cNvPr id="3" name="Picture 2">
          <a:extLst>
            <a:ext uri="{FF2B5EF4-FFF2-40B4-BE49-F238E27FC236}">
              <a16:creationId xmlns:a16="http://schemas.microsoft.com/office/drawing/2014/main" id="{0C504756-3921-454B-B459-542CF6959BD4}"/>
            </a:ext>
          </a:extLst>
        </xdr:cNvPr>
        <xdr:cNvPicPr>
          <a:picLocks noChangeAspect="1"/>
        </xdr:cNvPicPr>
      </xdr:nvPicPr>
      <xdr:blipFill>
        <a:blip xmlns:r="http://schemas.openxmlformats.org/officeDocument/2006/relationships" r:embed="rId2"/>
        <a:stretch>
          <a:fillRect/>
        </a:stretch>
      </xdr:blipFill>
      <xdr:spPr>
        <a:xfrm>
          <a:off x="4702175" y="51254025"/>
          <a:ext cx="1391216" cy="8642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4011039</xdr:colOff>
      <xdr:row>287</xdr:row>
      <xdr:rowOff>53975</xdr:rowOff>
    </xdr:from>
    <xdr:to>
      <xdr:col>3</xdr:col>
      <xdr:colOff>1580</xdr:colOff>
      <xdr:row>291</xdr:row>
      <xdr:rowOff>159434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4722239" y="57451625"/>
          <a:ext cx="1648391" cy="829359"/>
        </a:xfrm>
        <a:prstGeom prst="rect">
          <a:avLst/>
        </a:prstGeom>
      </xdr:spPr>
    </xdr:pic>
    <xdr:clientData/>
  </xdr:twoCellAnchor>
  <xdr:twoCellAnchor editAs="oneCell">
    <xdr:from>
      <xdr:col>0</xdr:col>
      <xdr:colOff>147253</xdr:colOff>
      <xdr:row>0</xdr:row>
      <xdr:rowOff>0</xdr:rowOff>
    </xdr:from>
    <xdr:to>
      <xdr:col>2</xdr:col>
      <xdr:colOff>586171</xdr:colOff>
      <xdr:row>1</xdr:row>
      <xdr:rowOff>22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147253</xdr:colOff>
      <xdr:row>0</xdr:row>
      <xdr:rowOff>0</xdr:rowOff>
    </xdr:from>
    <xdr:to>
      <xdr:col>2</xdr:col>
      <xdr:colOff>586171</xdr:colOff>
      <xdr:row>1</xdr:row>
      <xdr:rowOff>22</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twoCellAnchor editAs="oneCell">
    <xdr:from>
      <xdr:col>1</xdr:col>
      <xdr:colOff>4019550</xdr:colOff>
      <xdr:row>279</xdr:row>
      <xdr:rowOff>47625</xdr:rowOff>
    </xdr:from>
    <xdr:to>
      <xdr:col>3</xdr:col>
      <xdr:colOff>566</xdr:colOff>
      <xdr:row>283</xdr:row>
      <xdr:rowOff>149909</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4733925" y="55841900"/>
          <a:ext cx="1645216" cy="8293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147253</xdr:colOff>
      <xdr:row>0</xdr:row>
      <xdr:rowOff>0</xdr:rowOff>
    </xdr:from>
    <xdr:to>
      <xdr:col>2</xdr:col>
      <xdr:colOff>586171</xdr:colOff>
      <xdr:row>1</xdr:row>
      <xdr:rowOff>22</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47253" y="0"/>
          <a:ext cx="6096768" cy="1724047"/>
        </a:xfrm>
        <a:prstGeom prst="rect">
          <a:avLst/>
        </a:prstGeom>
      </xdr:spPr>
    </xdr:pic>
    <xdr:clientData/>
  </xdr:twoCellAnchor>
  <xdr:twoCellAnchor editAs="oneCell">
    <xdr:from>
      <xdr:col>1</xdr:col>
      <xdr:colOff>4019550</xdr:colOff>
      <xdr:row>251</xdr:row>
      <xdr:rowOff>66675</xdr:rowOff>
    </xdr:from>
    <xdr:to>
      <xdr:col>2</xdr:col>
      <xdr:colOff>692716</xdr:colOff>
      <xdr:row>255</xdr:row>
      <xdr:rowOff>168959</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a:stretch>
          <a:fillRect/>
        </a:stretch>
      </xdr:blipFill>
      <xdr:spPr>
        <a:xfrm>
          <a:off x="4733925" y="49434750"/>
          <a:ext cx="1645216" cy="82618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59928</xdr:colOff>
      <xdr:row>125</xdr:row>
      <xdr:rowOff>34362</xdr:rowOff>
    </xdr:from>
    <xdr:to>
      <xdr:col>1</xdr:col>
      <xdr:colOff>421822</xdr:colOff>
      <xdr:row>125</xdr:row>
      <xdr:rowOff>272142</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59928" y="9549837"/>
          <a:ext cx="2200219" cy="190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a:solidFill>
                <a:schemeClr val="bg1"/>
              </a:solidFill>
              <a:latin typeface="Euclid Circular B Light" panose="020B0304000000000000" pitchFamily="34" charset="77"/>
            </a:rPr>
            <a:t>Version 1     01/07/2024</a:t>
          </a:r>
        </a:p>
      </xdr:txBody>
    </xdr:sp>
    <xdr:clientData/>
  </xdr:twoCellAnchor>
  <xdr:twoCellAnchor editAs="oneCell">
    <xdr:from>
      <xdr:col>6</xdr:col>
      <xdr:colOff>1740775</xdr:colOff>
      <xdr:row>0</xdr:row>
      <xdr:rowOff>9525</xdr:rowOff>
    </xdr:from>
    <xdr:to>
      <xdr:col>7</xdr:col>
      <xdr:colOff>0</xdr:colOff>
      <xdr:row>2</xdr:row>
      <xdr:rowOff>1415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10541875" y="9525"/>
          <a:ext cx="1345325" cy="72531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66675</xdr:colOff>
          <xdr:row>0</xdr:row>
          <xdr:rowOff>66675</xdr:rowOff>
        </xdr:from>
        <xdr:to>
          <xdr:col>28</xdr:col>
          <xdr:colOff>28575</xdr:colOff>
          <xdr:row>2</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D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600" b="0" i="0" u="none" strike="noStrike" baseline="0">
                  <a:solidFill>
                    <a:srgbClr val="000000"/>
                  </a:solidFill>
                  <a:latin typeface="Calibri"/>
                  <a:ea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219075</xdr:colOff>
          <xdr:row>3</xdr:row>
          <xdr:rowOff>66675</xdr:rowOff>
        </xdr:from>
        <xdr:to>
          <xdr:col>30</xdr:col>
          <xdr:colOff>66675</xdr:colOff>
          <xdr:row>6</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D00-000002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AU" sz="2600" b="0" i="0" u="none" strike="noStrike" baseline="0">
                  <a:solidFill>
                    <a:srgbClr val="000000"/>
                  </a:solidFill>
                  <a:latin typeface="Calibri"/>
                  <a:ea typeface="Calibri"/>
                  <a:cs typeface="Calibri"/>
                </a:rPr>
                <a:t>CLOSE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4343400</xdr:colOff>
      <xdr:row>256</xdr:row>
      <xdr:rowOff>171450</xdr:rowOff>
    </xdr:from>
    <xdr:to>
      <xdr:col>2</xdr:col>
      <xdr:colOff>687380</xdr:colOff>
      <xdr:row>259</xdr:row>
      <xdr:rowOff>168324</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stretch>
          <a:fillRect/>
        </a:stretch>
      </xdr:blipFill>
      <xdr:spPr>
        <a:xfrm>
          <a:off x="5019675" y="50977800"/>
          <a:ext cx="1058855" cy="572184"/>
        </a:xfrm>
        <a:prstGeom prst="rect">
          <a:avLst/>
        </a:prstGeom>
      </xdr:spPr>
    </xdr:pic>
    <xdr:clientData/>
  </xdr:twoCellAnchor>
  <xdr:twoCellAnchor editAs="oneCell">
    <xdr:from>
      <xdr:col>0</xdr:col>
      <xdr:colOff>28574</xdr:colOff>
      <xdr:row>0</xdr:row>
      <xdr:rowOff>28575</xdr:rowOff>
    </xdr:from>
    <xdr:to>
      <xdr:col>3</xdr:col>
      <xdr:colOff>719</xdr:colOff>
      <xdr:row>0</xdr:row>
      <xdr:rowOff>1741839</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4" y="28575"/>
          <a:ext cx="6058620" cy="1718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4343400</xdr:colOff>
      <xdr:row>257</xdr:row>
      <xdr:rowOff>171450</xdr:rowOff>
    </xdr:from>
    <xdr:to>
      <xdr:col>2</xdr:col>
      <xdr:colOff>687380</xdr:colOff>
      <xdr:row>260</xdr:row>
      <xdr:rowOff>168324</xdr:rowOff>
    </xdr:to>
    <xdr:pic>
      <xdr:nvPicPr>
        <xdr:cNvPr id="2" name="Picture 1">
          <a:extLst>
            <a:ext uri="{FF2B5EF4-FFF2-40B4-BE49-F238E27FC236}">
              <a16:creationId xmlns:a16="http://schemas.microsoft.com/office/drawing/2014/main" id="{47E933ED-EE96-47FD-ACA9-EB2762AF6C22}"/>
            </a:ext>
          </a:extLst>
        </xdr:cNvPr>
        <xdr:cNvPicPr>
          <a:picLocks noChangeAspect="1"/>
        </xdr:cNvPicPr>
      </xdr:nvPicPr>
      <xdr:blipFill>
        <a:blip xmlns:r="http://schemas.openxmlformats.org/officeDocument/2006/relationships" r:embed="rId1"/>
        <a:stretch>
          <a:fillRect/>
        </a:stretch>
      </xdr:blipFill>
      <xdr:spPr>
        <a:xfrm>
          <a:off x="5038725" y="52520850"/>
          <a:ext cx="1049330" cy="572184"/>
        </a:xfrm>
        <a:prstGeom prst="rect">
          <a:avLst/>
        </a:prstGeom>
      </xdr:spPr>
    </xdr:pic>
    <xdr:clientData/>
  </xdr:twoCellAnchor>
  <xdr:twoCellAnchor editAs="oneCell">
    <xdr:from>
      <xdr:col>0</xdr:col>
      <xdr:colOff>28574</xdr:colOff>
      <xdr:row>0</xdr:row>
      <xdr:rowOff>28575</xdr:rowOff>
    </xdr:from>
    <xdr:to>
      <xdr:col>3</xdr:col>
      <xdr:colOff>719</xdr:colOff>
      <xdr:row>0</xdr:row>
      <xdr:rowOff>1741839</xdr:rowOff>
    </xdr:to>
    <xdr:pic>
      <xdr:nvPicPr>
        <xdr:cNvPr id="3" name="Picture 2">
          <a:extLst>
            <a:ext uri="{FF2B5EF4-FFF2-40B4-BE49-F238E27FC236}">
              <a16:creationId xmlns:a16="http://schemas.microsoft.com/office/drawing/2014/main" id="{F12FC204-4DB9-46F7-AAC2-602302CA5B3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4" y="28575"/>
          <a:ext cx="6068145" cy="17151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39717</xdr:colOff>
      <xdr:row>0</xdr:row>
      <xdr:rowOff>22866</xdr:rowOff>
    </xdr:from>
    <xdr:to>
      <xdr:col>5</xdr:col>
      <xdr:colOff>665851</xdr:colOff>
      <xdr:row>1</xdr:row>
      <xdr:rowOff>662</xdr:rowOff>
    </xdr:to>
    <xdr:pic>
      <xdr:nvPicPr>
        <xdr:cNvPr id="3" name="Picture 2">
          <a:extLst>
            <a:ext uri="{FF2B5EF4-FFF2-40B4-BE49-F238E27FC236}">
              <a16:creationId xmlns:a16="http://schemas.microsoft.com/office/drawing/2014/main" id="{E01EDB37-36E3-4B35-BE3B-9794D9BC159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39717" y="22866"/>
          <a:ext cx="6064909" cy="15170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David Glavich" id="{CFA75E48-D480-4DB6-8EA1-DECB3588728F}" userId="S::DGlavich@kingsbridge.com.au::03a12181-c7a0-424f-a621-545e8a6d35bc"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BE4F6B-A93E-4AB7-A3C2-9A7E3C27D21E}" name="Table1" displayName="Table1" ref="A3:P352" totalsRowShown="0" headerRowDxfId="205" dataDxfId="204">
  <autoFilter ref="A3:P352" xr:uid="{A7BE4F6B-A93E-4AB7-A3C2-9A7E3C27D21E}"/>
  <sortState xmlns:xlrd2="http://schemas.microsoft.com/office/spreadsheetml/2017/richdata2" ref="A4:P353">
    <sortCondition ref="A3:A353"/>
  </sortState>
  <tableColumns count="16">
    <tableColumn id="1" xr3:uid="{6A2B9B0D-66C9-4204-8A03-96C27093548A}" name="House" dataDxfId="203"/>
    <tableColumn id="2" xr3:uid="{03D79CC3-4884-42E4-9436-8EF71344DD83}" name="Price" dataDxfId="202"/>
    <tableColumn id="8" xr3:uid="{C37FD531-50A8-4607-A0AA-939A14CC98A8}" name="Storey" dataDxfId="201"/>
    <tableColumn id="4" xr3:uid="{277F4667-C0E9-4727-AAEF-0B290B1831EA}" name="Frontage" dataDxfId="200"/>
    <tableColumn id="14" xr3:uid="{C2922B0A-EBBB-4B90-8E5A-71AD7A1BAC2C}" name="Depth" dataDxfId="199"/>
    <tableColumn id="15" xr3:uid="{120C8FF7-EF91-41EB-96AA-9EDCC5CFBE1A}" name="GF m2" dataDxfId="198"/>
    <tableColumn id="10" xr3:uid="{37928876-A81A-4354-93B9-D7221384D7D3}" name="Total m2" dataDxfId="197"/>
    <tableColumn id="16" xr3:uid="{A4461FDA-3CDE-490D-9D78-8D8920775DB1}" name="Lot Total" dataDxfId="196">
      <calculatedColumnFormula>(D4*E4)</calculatedColumnFormula>
    </tableColumn>
    <tableColumn id="9" xr3:uid="{AA2BE94C-8B42-44D6-A8BA-2C03147446BB}" name="Squares" dataDxfId="195"/>
    <tableColumn id="3" xr3:uid="{9E4F621E-097E-4C5A-ADDC-BE808A4FC94D}" name="House Details" dataDxfId="194"/>
    <tableColumn id="5" xr3:uid="{3C89AD80-011A-42C9-B141-F618253BAE86}" name="Facade" dataDxfId="193"/>
    <tableColumn id="6" xr3:uid="{8CC4F1E0-714A-4AB4-BB19-9F7908CF8187}" name="Facade Price" dataDxfId="192"/>
    <tableColumn id="7" xr3:uid="{0B69DE62-629F-4378-8544-1604D31836D6}" name="Facade Details" dataDxfId="191"/>
    <tableColumn id="12" xr3:uid="{4FDE3118-1722-4D57-9AEB-528B212BA73D}" name="Design source/reason" dataDxfId="190"/>
    <tableColumn id="11" xr3:uid="{49E27D71-066E-4A72-B48D-B8C34C6C0FBF}" name="Façade source/reason" dataDxfId="189"/>
    <tableColumn id="13" xr3:uid="{104CACAC-1128-426D-806A-DA8A4DDA81A5}" name="Column1" dataDxfId="1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EC5809-8043-410E-8392-5B1D050EB972}" name="Table2" displayName="Table2" ref="Z3:Z11" totalsRowShown="0" headerRowDxfId="187" dataDxfId="186">
  <autoFilter ref="Z3:Z11" xr:uid="{29EC5809-8043-410E-8392-5B1D050EB972}"/>
  <sortState xmlns:xlrd2="http://schemas.microsoft.com/office/spreadsheetml/2017/richdata2" ref="Z4:Z11">
    <sortCondition ref="Z3:Z11"/>
  </sortState>
  <tableColumns count="1">
    <tableColumn id="1" xr3:uid="{56B5888A-D7D5-45BD-830A-A602165D1723}" name="Sales Estimator" dataDxfId="1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DA664F-D969-4835-BBD1-D6B68BCBFF05}" name="Table3" displayName="Table3" ref="AT3:AV39" totalsRowShown="0" headerRowDxfId="184" dataDxfId="183">
  <autoFilter ref="AT3:AV39" xr:uid="{6BDA664F-D969-4835-BBD1-D6B68BCBFF05}"/>
  <tableColumns count="3">
    <tableColumn id="1" xr3:uid="{B46EE27B-8F23-4BE0-8755-A2BE4A5C6630}" name="FBC Day 1" dataDxfId="182"/>
    <tableColumn id="2" xr3:uid="{BC51B701-B41A-469A-8CE7-A38DCBD867A6}" name="FBC Day 2" dataDxfId="181"/>
    <tableColumn id="3" xr3:uid="{724B143B-2997-47B8-A45C-216BC44E0B2E}" name="%" dataDxfId="18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E1C378B-3F44-4A9E-91F6-888A73A2189E}" name="Table12" displayName="Table12" ref="R3:W1123" totalsRowShown="0" headerRowDxfId="179">
  <autoFilter ref="R3:W1123" xr:uid="{5E1C378B-3F44-4A9E-91F6-888A73A2189E}"/>
  <sortState xmlns:xlrd2="http://schemas.microsoft.com/office/spreadsheetml/2017/richdata2" ref="R4:W1123">
    <sortCondition ref="R3:R1123"/>
  </sortState>
  <tableColumns count="6">
    <tableColumn id="1" xr3:uid="{E242BD68-DE90-4766-BA28-947BE50D0183}" name="House"/>
    <tableColumn id="2" xr3:uid="{F55E3A04-13E9-48D1-B526-051EEEC170C3}" name="Garage Side"/>
    <tableColumn id="3" xr3:uid="{188A46C5-B967-4AC1-B496-BF52C0E8EB29}" name="Orientation"/>
    <tableColumn id="4" xr3:uid="{124C2E57-CB07-4AC1-B3CC-AB812BEDF66D}" name="Updated Star Rating" dataDxfId="178"/>
    <tableColumn id="5" xr3:uid="{E5857803-C129-4C7C-8061-FD470B8BE88E}" name="Best / Worst" dataDxfId="177"/>
    <tableColumn id="6" xr3:uid="{A360A9F3-7300-4550-9B0E-4A29E999B0F9}" name="Cost" dataDxfId="17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043AF1F-B361-4404-B091-88F828A70715}" name="Table4" displayName="Table4" ref="A1:D194" totalsRowShown="0" headerRowDxfId="175">
  <autoFilter ref="A1:D194" xr:uid="{8043AF1F-B361-4404-B091-88F828A70715}"/>
  <tableColumns count="4">
    <tableColumn id="1" xr3:uid="{D49BB163-8FE2-4461-BCB7-B60C14070956}" name="Date added" dataDxfId="174"/>
    <tableColumn id="2" xr3:uid="{9CFFB333-87E3-42C8-BD06-5AB8AFB3DD56}" name="Hermitage Homes - Upgrades" dataDxfId="173" dataCellStyle="Normal 9 2"/>
    <tableColumn id="3" xr3:uid="{118F20DE-4209-4BEE-9963-C966556B68B4}" name="$$" dataDxfId="172" dataCellStyle="Currency"/>
    <tableColumn id="4" xr3:uid="{A345FE09-6055-4A09-8845-2B3F50AED365}" name="Notes" dataDxfId="17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9097457-1367-476D-A69C-723700A512A8}" name="Table417" displayName="Table417" ref="J1:M3" totalsRowShown="0" headerRowDxfId="170" dataDxfId="169">
  <autoFilter ref="J1:M3" xr:uid="{29097457-1367-476D-A69C-723700A512A8}"/>
  <tableColumns count="4">
    <tableColumn id="1" xr3:uid="{A78C6C81-B445-488A-82E3-E0F8A7FFD83A}" name="Date added" dataDxfId="168"/>
    <tableColumn id="2" xr3:uid="{2EFAE49C-A6FF-4B61-A8B8-4A5C861A09C2}" name="Kingsbridge Complete - Upgrades" dataDxfId="167" dataCellStyle="Normal 9 2"/>
    <tableColumn id="3" xr3:uid="{8BD47166-636D-45BA-8BB1-E0E05C400461}" name="$$" dataDxfId="166" dataCellStyle="Currency"/>
    <tableColumn id="4" xr3:uid="{FDEBD567-3959-4EF2-A218-4087935F202E}" name="Notes" dataDxfId="16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9C9155D-01A6-47B0-A397-0F9C26636096}" name="Table22" displayName="Table22" ref="P1:S30" totalsRowShown="0" headerRowDxfId="164">
  <autoFilter ref="P1:S30" xr:uid="{79C9155D-01A6-47B0-A397-0F9C26636096}"/>
  <tableColumns count="4">
    <tableColumn id="1" xr3:uid="{4E16AAE3-426B-412C-A335-23C073077275}" name="Date added" dataDxfId="163"/>
    <tableColumn id="2" xr3:uid="{6C82B1B2-6B8F-44A6-931F-CAFFFBE9D220}" name="Townhomes - Modern Living" dataDxfId="162"/>
    <tableColumn id="3" xr3:uid="{68A97A15-F7EE-427A-8531-67657213D19F}" name="$$Retail" dataDxfId="161"/>
    <tableColumn id="4" xr3:uid="{E4A3F7C8-E12C-4332-9CDB-D78E2C4CCF87}" name="Notes" dataDxfId="16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09413C6-291A-411E-A194-DA74033B3C76}" name="Bec" displayName="Bec" ref="C2:F54" totalsRowShown="0" headerRowDxfId="159" dataDxfId="157" headerRowBorderDxfId="158" tableBorderDxfId="156">
  <autoFilter ref="C2:F54" xr:uid="{FCD0E4F2-71B4-48FC-A2DA-453A609738B9}"/>
  <sortState xmlns:xlrd2="http://schemas.microsoft.com/office/spreadsheetml/2017/richdata2" ref="C3:F44">
    <sortCondition ref="C2:C44"/>
  </sortState>
  <tableColumns count="4">
    <tableColumn id="1" xr3:uid="{36966D44-4A03-4E56-BF77-9BA291F0CCFA}" name="Bec" dataDxfId="155"/>
    <tableColumn id="2" xr3:uid="{1B661649-3074-400E-AAC2-1E1B8891101B}" name="comms inc GST" dataDxfId="154"/>
    <tableColumn id="3" xr3:uid="{C9420412-F505-4102-8204-189B31D3FADA}" name="comms %" dataDxfId="153"/>
    <tableColumn id="4" xr3:uid="{29F6EA04-0FD8-4C3F-82CB-8FCB323315A9}" name="regstd for GST" dataDxfId="15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591792-2B2C-470A-A64F-75F34D171E71}" name="Layal" displayName="Layal" ref="H2:K55" totalsRowShown="0" headerRowDxfId="151" dataDxfId="149" headerRowBorderDxfId="150" tableBorderDxfId="148">
  <autoFilter ref="H2:K55" xr:uid="{8BDA71A3-78DB-4BD3-85FA-54042F722EBD}"/>
  <sortState xmlns:xlrd2="http://schemas.microsoft.com/office/spreadsheetml/2017/richdata2" ref="H3:K55">
    <sortCondition ref="H2:H55"/>
  </sortState>
  <tableColumns count="4">
    <tableColumn id="1" xr3:uid="{74F2F957-A706-442A-8AFA-3D6E143417AD}" name="Layal" dataDxfId="147"/>
    <tableColumn id="2" xr3:uid="{6247F8B8-1CBC-4CC4-AB11-F7E0A8494C5F}" name="comms inc GST" dataDxfId="146"/>
    <tableColumn id="3" xr3:uid="{F3B8CDA9-DC3B-45B8-AB2C-0C5D84CFCACE}" name="comms %" dataDxfId="145"/>
    <tableColumn id="4" xr3:uid="{D128970F-489E-4D8F-AF15-9932FB477CF6}" name="regstd for GST" dataDxfId="14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D692520-9BFB-43FF-A938-F94BB4094038}" name="Simone" displayName="Simone" ref="M2:P32" totalsRowShown="0" headerRowDxfId="143" dataDxfId="141" headerRowBorderDxfId="142" tableBorderDxfId="140">
  <autoFilter ref="M2:P32" xr:uid="{25ACF0EB-867B-4377-A97F-3482B82B7CA5}"/>
  <sortState xmlns:xlrd2="http://schemas.microsoft.com/office/spreadsheetml/2017/richdata2" ref="M3:P31">
    <sortCondition ref="M2:M31"/>
  </sortState>
  <tableColumns count="4">
    <tableColumn id="1" xr3:uid="{BAC62633-1CAA-42C6-BA94-EF41F5E57B7D}" name="Simone" dataDxfId="139"/>
    <tableColumn id="2" xr3:uid="{CA6BA358-EF5E-472F-88DA-1B673CC46B87}" name="comms inc GST" dataDxfId="138"/>
    <tableColumn id="3" xr3:uid="{7CB5E0D5-4562-4B7C-8420-7DBD1BE6A80C}" name="comms %" dataDxfId="137"/>
    <tableColumn id="4" xr3:uid="{5444C1F1-59A9-4C39-8989-AE0D73D45172}" name="regstd for GST" dataDxfId="13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8F860D3-4EA9-4ABD-A1C8-C2D41996B236}" name="Caitlin" displayName="Caitlin" ref="R2:U24" totalsRowShown="0" headerRowDxfId="135" dataDxfId="133" headerRowBorderDxfId="134" tableBorderDxfId="132">
  <autoFilter ref="R2:U24" xr:uid="{835ED89B-AF65-4875-A962-B4B83558AD67}"/>
  <sortState xmlns:xlrd2="http://schemas.microsoft.com/office/spreadsheetml/2017/richdata2" ref="R3:U19">
    <sortCondition ref="R2:R19"/>
  </sortState>
  <tableColumns count="4">
    <tableColumn id="1" xr3:uid="{A43CEE9F-FF45-4B8B-97AD-DA9F9F1485FB}" name="Caitlin" dataDxfId="131"/>
    <tableColumn id="2" xr3:uid="{C6A0498A-4708-44A9-A84C-AAFC0DA6F08E}" name="comms inc GST" dataDxfId="130"/>
    <tableColumn id="3" xr3:uid="{02365B1F-BAC6-4C80-A852-7D1C46B9F348}" name="comms %" dataDxfId="129"/>
    <tableColumn id="4" xr3:uid="{A0AD737F-D2F8-4DCD-8B59-BF2F7E9B5742}" name="regstd for GST" dataDxfId="12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7ACE37D-41A2-4EA2-9886-0A9CC01E765C}" name="Josh" displayName="Josh" ref="W2:Z14" totalsRowShown="0" headerRowDxfId="127" dataDxfId="125" headerRowBorderDxfId="126" tableBorderDxfId="124">
  <autoFilter ref="W2:Z14" xr:uid="{0B35600B-91CD-4B9F-909B-5B75072DE250}"/>
  <sortState xmlns:xlrd2="http://schemas.microsoft.com/office/spreadsheetml/2017/richdata2" ref="W3:Z14">
    <sortCondition ref="W2:W14"/>
  </sortState>
  <tableColumns count="4">
    <tableColumn id="1" xr3:uid="{7F51B31D-DB11-404C-85F6-5A35ACEC3926}" name="Josh" dataDxfId="123"/>
    <tableColumn id="2" xr3:uid="{BCEA44B8-815A-4592-AAD3-7984F97B1D85}" name="comms inc GST" dataDxfId="122"/>
    <tableColumn id="3" xr3:uid="{8223C1DB-6186-4041-A286-B07FE3A8F38A}" name="comms %" dataDxfId="121"/>
    <tableColumn id="4" xr3:uid="{7722B769-B7F5-4CA9-A99C-D599F4C2215A}" name="regstd for GST" dataDxfId="12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049F3F-8971-4B94-88DA-53DBD1622CBE}" name="Peter" displayName="Peter" ref="AB2:AE57" totalsRowShown="0" headerRowDxfId="119" dataDxfId="117" headerRowBorderDxfId="118" tableBorderDxfId="116">
  <autoFilter ref="AB2:AE57" xr:uid="{DA18B158-07FA-49C6-BF01-6B447FA2141A}"/>
  <sortState xmlns:xlrd2="http://schemas.microsoft.com/office/spreadsheetml/2017/richdata2" ref="AB3:AE54">
    <sortCondition ref="AB2:AB54"/>
  </sortState>
  <tableColumns count="4">
    <tableColumn id="1" xr3:uid="{2EAB446E-6561-404D-8E43-8B321647BF1F}" name="Peter" dataDxfId="115"/>
    <tableColumn id="2" xr3:uid="{32ADDAC4-82FC-479D-AD0D-96C9019D5E65}" name="comms inc GST" dataDxfId="114"/>
    <tableColumn id="3" xr3:uid="{83D17D4A-CF30-4F74-8A8E-9A1AB3061EB7}" name="comms %" dataDxfId="113"/>
    <tableColumn id="4" xr3:uid="{5A991895-9F1F-494D-BF82-0930178BCDE3}" name="regstd for GST" dataDxfId="11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7CE7D59-A810-41BF-998F-1EC7D685AA47}" name="William" displayName="William" ref="AG2:AJ34" totalsRowShown="0" headerRowDxfId="111" dataDxfId="109" headerRowBorderDxfId="110" tableBorderDxfId="108">
  <autoFilter ref="AG2:AJ34" xr:uid="{116F328B-96C0-4FE0-A2F8-B78730A4200E}"/>
  <sortState xmlns:xlrd2="http://schemas.microsoft.com/office/spreadsheetml/2017/richdata2" ref="AG3:AJ31">
    <sortCondition ref="AG2:AG31"/>
  </sortState>
  <tableColumns count="4">
    <tableColumn id="1" xr3:uid="{5B73FDFF-8E7A-444F-9ACC-0A3D7D9CABE3}" name="William" dataDxfId="107"/>
    <tableColumn id="2" xr3:uid="{CF1EF3CE-3A3E-4AE9-96EA-63D484CDDCA9}" name="comms inc GST" dataDxfId="106"/>
    <tableColumn id="3" xr3:uid="{1325E910-1B3D-4543-8467-726044F0C3A7}" name="comms %" dataDxfId="105"/>
    <tableColumn id="4" xr3:uid="{9138129F-4460-4E12-87A3-0E98E13C3C0D}" name="regstd for GST" dataDxfId="104"/>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1A3F4A5-9AD8-41B6-9A80-77748F89FA04}" name="Table10" displayName="Table10" ref="A2:A12" totalsRowShown="0" headerRowDxfId="103" dataDxfId="102" dataCellStyle="Hyperlink">
  <autoFilter ref="A2:A12" xr:uid="{4A90EB5C-A199-42D6-A419-60EF0DFF0957}"/>
  <tableColumns count="1">
    <tableColumn id="1" xr3:uid="{C56B8460-BE70-40B2-AF91-392785F89B98}" name="BDM" dataDxfId="101" dataCellStyle="Hyperlink"/>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3C75361-39E2-43E8-B0E9-C4463374DE24}" name="Vattey" displayName="Vattey" ref="AL2:AO222" totalsRowShown="0" headerRowDxfId="100" headerRowBorderDxfId="99" tableBorderDxfId="98">
  <autoFilter ref="AL2:AO222" xr:uid="{13C75361-39E2-43E8-B0E9-C4463374DE24}"/>
  <tableColumns count="4">
    <tableColumn id="1" xr3:uid="{C50428B5-27B3-4DC4-8EF0-37E7B2897149}" name="Vattey"/>
    <tableColumn id="2" xr3:uid="{D507A85F-9582-46B8-952E-70E4FD9C2C37}" name="comms inc GST" dataDxfId="97"/>
    <tableColumn id="3" xr3:uid="{92E50BD3-2396-43F6-B1EC-3699594D47AB}" name="comms %"/>
    <tableColumn id="4" xr3:uid="{A1A43680-C2E2-4AE4-A075-932219515993}" name="regstd for GST"/>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4BFE54F-DACC-4EBF-A755-B0C473508C0C}" name="Matthew" displayName="Matthew" ref="AQ2:AT15" totalsRowShown="0" headerRowDxfId="96" headerRowBorderDxfId="95" tableBorderDxfId="94">
  <autoFilter ref="AQ2:AT15" xr:uid="{A4BFE54F-DACC-4EBF-A755-B0C473508C0C}"/>
  <sortState xmlns:xlrd2="http://schemas.microsoft.com/office/spreadsheetml/2017/richdata2" ref="AQ3:AT15">
    <sortCondition ref="AQ2:AQ15"/>
  </sortState>
  <tableColumns count="4">
    <tableColumn id="1" xr3:uid="{E3A011F5-0097-4886-B929-111B8BA7E20C}" name="Matthew"/>
    <tableColumn id="2" xr3:uid="{4762ADAA-7B58-42C1-B06B-44A31F82148A}" name="comms inc GST" dataDxfId="93"/>
    <tableColumn id="3" xr3:uid="{56BED375-C50C-4A1F-A5D8-0E6CDC06E119}" name="comms %"/>
    <tableColumn id="4" xr3:uid="{44D2AE9A-1BD7-4A99-918C-91E47BD6B448}" name="regstd for GST"/>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92D9E2F-978F-4885-8BD5-EB90A1FA2C91}" name="Ghost" displayName="Ghost" ref="AV2:AY222" totalsRowShown="0" headerRowDxfId="92" headerRowBorderDxfId="91" tableBorderDxfId="90">
  <autoFilter ref="AV2:AY222" xr:uid="{A92D9E2F-978F-4885-8BD5-EB90A1FA2C91}"/>
  <sortState xmlns:xlrd2="http://schemas.microsoft.com/office/spreadsheetml/2017/richdata2" ref="AV3:AY3">
    <sortCondition ref="AV2:AV3"/>
  </sortState>
  <tableColumns count="4">
    <tableColumn id="1" xr3:uid="{0E8A62D6-0DCD-4108-810B-2ECF30A4CABD}" name="Ghost"/>
    <tableColumn id="2" xr3:uid="{32E5780D-69C6-4333-A43C-11F3344B117A}" name="comms inc GST" dataDxfId="89"/>
    <tableColumn id="3" xr3:uid="{0BE542F1-41D5-4668-9A47-3D2AA407912B}" name="comms %"/>
    <tableColumn id="4" xr3:uid="{322F0A11-1720-43E7-BFBB-CF10C8A3FBC6}" name="regstd for GST"/>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6ABE63-9DB0-436B-80CC-EF74D0B899E9}" name="Table6" displayName="Table6" ref="A10:AJ4903" totalsRowShown="0" headerRowDxfId="88" dataDxfId="86" headerRowBorderDxfId="87" tableBorderDxfId="85">
  <autoFilter ref="A10:AJ4903" xr:uid="{1E6ABE63-9DB0-436B-80CC-EF74D0B899E9}"/>
  <sortState xmlns:xlrd2="http://schemas.microsoft.com/office/spreadsheetml/2017/richdata2" ref="A11:AJ4903">
    <sortCondition ref="A10:A4903"/>
  </sortState>
  <tableColumns count="36">
    <tableColumn id="1" xr3:uid="{71F64834-9E1F-4CF3-B52E-3E0CBB6881E7}" name="Estate" dataDxfId="84"/>
    <tableColumn id="2" xr3:uid="{F1924FDC-647A-438B-BDAD-5D82D38306EA}" name="Stage" dataDxfId="83"/>
    <tableColumn id="3" xr3:uid="{5E28ACB6-8E8A-48E8-B5A2-64BE9CD7FBAF}" name="Suburb" dataDxfId="82"/>
    <tableColumn id="4" xr3:uid="{6DFE28FC-8AE4-4F61-B463-A88CAD71B09C}" name="Concatenate" dataDxfId="81">
      <calculatedColumnFormula>CONCATENATE(A11,B11)</calculatedColumnFormula>
    </tableColumn>
    <tableColumn id="5" xr3:uid="{A366A98F-1D59-4AD7-9AB0-A8468C4D16C7}" name="POS number" dataDxfId="80"/>
    <tableColumn id="6" xr3:uid="{D17A5E17-DEBA-44A9-9704-B98257D22F18}" name="Developer" dataDxfId="79"/>
    <tableColumn id="7" xr3:uid="{BCE21DB7-89A6-49F4-A15B-2300B020DB5E}" name="Contact" dataDxfId="78"/>
    <tableColumn id="8" xr3:uid="{18D4A4B8-608E-4200-80E8-F662C5DC4420}" name="Contact mobile" dataDxfId="77"/>
    <tableColumn id="9" xr3:uid="{DC69E4B0-1059-47E9-B883-0E44021B172F}" name="Contact email" dataDxfId="76" dataCellStyle="Hyperlink"/>
    <tableColumn id="10" xr3:uid="{03DC3067-85DC-49B3-A8E8-6D3C5900527C}" name="Provide 3rd pipe recycled water including connections to all Toilets, Washing Machine tap and 1No. Garden tap." dataDxfId="75"/>
    <tableColumn id="11" xr3:uid="{802E89F1-0CB5-4A2C-AC2A-9F2B1B467232}" name="Fibre optic - $600" dataDxfId="74"/>
    <tableColumn id="12" xr3:uid="{C2BE02A4-624B-4787-90FD-872EDFB38EE6}" name="Provide 450mm wide eaves to the front Façade, returning 1500mm down both sides of house (excluding walls on boundary)." dataDxfId="73"/>
    <tableColumn id="13" xr3:uid="{A97A65B3-3896-44AA-BA41-3AC7E1E86D9F}" name="Provide 450mm wide eaves to the front Façade, returning 3000mm down both sides of house (excluding walls on boundary)." dataDxfId="72"/>
    <tableColumn id="14" xr3:uid="{888D558D-CFA3-46BC-B8EA-37964FF563FA}" name="Provide 1No. 2000 litre Slim Line Poly Water Tank including 1No. Garden tap." dataDxfId="71"/>
    <tableColumn id="15" xr3:uid="{D61A8F6C-F974-43B5-9D70-A8E0741007FD}" name="Provide 1No. 2000 litre Slim Line Poly Water Tank including plumbing and connections for up to 3No. Toilets." dataDxfId="70">
      <calculatedColumnFormula>O$7</calculatedColumnFormula>
    </tableColumn>
    <tableColumn id="16" xr3:uid="{ED061531-9377-4017-BD0A-78DFB4EAEF67}" name="Provide 1No. 5000 litre Slim Line Poly Water Tank including plumbing and connections for up to 3No. Toilets._x000a_Price includes a crane lift into the backyard." dataDxfId="69"/>
    <tableColumn id="17" xr3:uid="{820475A3-4A45-498F-B83D-A283CBFBBE0E}" name="Provide approx. 1800mm high additional timber fencing. Includes wing fence and Gate." dataDxfId="68"/>
    <tableColumn id="18" xr3:uid="{701C43AA-A925-4625-95D9-10BD9DDD8EA1}" name="Provide approx. 1800mm high timber fencing with capping. Includes wing fence and Gate." dataDxfId="67"/>
    <tableColumn id="19" xr3:uid="{17D6F84D-3E28-47BD-968B-201750B22335}" name="Provide approx. 1800mm high Colourbond fencing in lieu of timber palings. Includes wing fence and Gate. Colour to be ." dataDxfId="66">
      <calculatedColumnFormula>S$2</calculatedColumnFormula>
    </tableColumn>
    <tableColumn id="20" xr3:uid="{FE125394-0B3C-4FC6-9164-878023ACD55A}" name="Provide approx. 1800mm high timber fencing with capping and 125x125 exposed posts in lieu of timber palings. Includes wing fence and Gate." dataDxfId="65"/>
    <tableColumn id="21" xr3:uid="{DB5FCE19-334D-46A3-A3FA-6C87CEF419E5}" name="Provide approx. 1800mm high timber fencing with capping and 125x75 exposed posts in lieu of timber palings. Includes wing fence and Gate." dataDxfId="64"/>
    <tableColumn id="22" xr3:uid="{EFA4251D-0529-48D7-B389-1B1575305AB2}" name="Provide a 25 degree roof pitch in lieu of 22.5 degrees." dataDxfId="63"/>
    <tableColumn id="23" xr3:uid="{FF29AAB2-DB53-4E66-9747-B0746FDA4B1C}" name="Provide Colorbond Roofing with 1No. Whirlybird and Sarking in lieu of category 1 roof tiles." dataDxfId="62"/>
    <tableColumn id="24" xr3:uid="{3C989A32-1899-4C47-ADC4-4BE0040B9558}" name="Provide Category 3 Flat profile roof tiles in lieu of category 1 Shaped roof tiles." dataDxfId="61"/>
    <tableColumn id="25" xr3:uid="{FF6875F0-2BA5-4CD3-A3E0-AB08C6F6B99E}" name="Provide colour through concrete Driveway, Path and Front Porch in lieu of colour on concrete." dataDxfId="60"/>
    <tableColumn id="26" xr3:uid="{E74B601A-3BF7-4603-AFBC-560958DAB242}" name="Provide a corner treatment, as per design guidelines, to the second street frontage." dataDxfId="59">
      <calculatedColumnFormula>Z$7</calculatedColumnFormula>
    </tableColumn>
    <tableColumn id="27" xr3:uid="{9240CBCE-2CFB-4F44-972C-7DD3D6EDDAF6}" name="Provide category 1 brickwork above the Garage door in lieu of painted infill panel." dataDxfId="58"/>
    <tableColumn id="28" xr3:uid="{35340ED4-AA4A-4F2A-8F71-72E45FDD6D4C}" name="Provide category 1 brickwork above all Windows &amp; all Doors in lieu of painted infill panel." dataDxfId="57"/>
    <tableColumn id="29" xr3:uid="{7D90C1AC-5102-454C-9DA0-B40EFCAA54B4}" name="Provide exposed aggregate concrete Driveway, Path, Front Porch and Outdoor Living (if applicable) in lieu of colour on concrete." dataDxfId="56"/>
    <tableColumn id="30" xr3:uid="{E1C14283-7E63-4589-B0FD-B4122F3AE93F}" name="Provide 2590mm high ceilings to the ground floor." dataDxfId="55"/>
    <tableColumn id="31" xr3:uid="{C2A1B480-8679-4D74-B4C7-1CA11F0C504C}" name="Provide 2720mm high ceilings to the ground floor." dataDxfId="54"/>
    <tableColumn id="32" xr3:uid="{1BF47D00-E184-4347-B1B7-AE3FDE3649C3}" name="Provide a Rendered finish to the front projection in lieu of face brickwork." dataDxfId="53"/>
    <tableColumn id="33" xr3:uid="{B802FB6E-7B3D-46C5-BAB7-488B3EE87F32}" name="Provide a Rendered finish to the whole front Façade in lieu of face brickwork." dataDxfId="52"/>
    <tableColumn id="34" xr3:uid="{92FBB74E-EDCC-44E9-8E27-2E58E8CEF971}" name="Travel surcharge." dataDxfId="51">
      <calculatedColumnFormula>IF((COUNTIF(#REF!,C11)&gt;0),(IF('Pricing Sheet'!$C$3&lt;&gt;"",(VLOOKUP(C11,AQ:AQ,2,FALSE)),(VLOOKUP(C11,AQ:AQ,3,FALSE)))),"")</calculatedColumnFormula>
    </tableColumn>
    <tableColumn id="35" xr3:uid="{E419D63B-451A-4D20-8F36-CB0CB1E9C049}" name="Provide 2No. Advanced trees, additional shrubs and ground cover plants." dataDxfId="50"/>
    <tableColumn id="36" xr3:uid="{7142F42D-DEC4-48E4-817B-05E93FDE9E88}" name="Provide 1No. Single crossover and footpath to the primary street frontage." dataDxfId="4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72D152-9014-4452-AF98-A57500C5A1AC}" name="Table5" displayName="Table5" ref="AO10:AQ165" totalsRowShown="0" headerRowDxfId="48" dataDxfId="47">
  <autoFilter ref="AO10:AQ165" xr:uid="{3972D152-9014-4452-AF98-A57500C5A1AC}"/>
  <sortState xmlns:xlrd2="http://schemas.microsoft.com/office/spreadsheetml/2017/richdata2" ref="AO11:AQ165">
    <sortCondition ref="AO10:AO165"/>
  </sortState>
  <tableColumns count="3">
    <tableColumn id="1" xr3:uid="{7B44BDA2-8131-4222-9876-E78045B400CF}" name="Travel Surcharge" dataDxfId="46"/>
    <tableColumn id="2" xr3:uid="{4E6BCA37-3E88-4863-B6AA-5814D5AE9E3B}" name="$$" dataDxfId="45" totalsRowDxfId="44"/>
    <tableColumn id="3" xr3:uid="{2EB89D40-9429-431B-8805-A5D7D3054F74}" name="Region" dataDxfId="4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FD29BDB-DDA1-43FC-9F8A-02BE7846EA8E}" name="Table118" displayName="Table118" ref="A3:P47" totalsRowShown="0" headerRowDxfId="35" dataDxfId="34">
  <autoFilter ref="A3:P47" xr:uid="{A7BE4F6B-A93E-4AB7-A3C2-9A7E3C27D21E}"/>
  <sortState xmlns:xlrd2="http://schemas.microsoft.com/office/spreadsheetml/2017/richdata2" ref="A4:P47">
    <sortCondition ref="A4:A47"/>
    <sortCondition ref="K4:K47"/>
  </sortState>
  <tableColumns count="16">
    <tableColumn id="1" xr3:uid="{ABAE9CFC-7E37-4D1A-BF06-64FF472DC141}" name="House" dataDxfId="33"/>
    <tableColumn id="2" xr3:uid="{32B55857-B1C6-49F4-8DEE-63E7590B51B1}" name="Price" dataDxfId="32"/>
    <tableColumn id="8" xr3:uid="{AB753C23-C157-4329-8E9D-74726093A788}" name="Storey" dataDxfId="31"/>
    <tableColumn id="4" xr3:uid="{E0A5D7C0-EC2F-4383-877F-7B2F6A2C25C4}" name="Frontage" dataDxfId="30"/>
    <tableColumn id="14" xr3:uid="{B26CA13D-FAD4-44E5-8F86-A871DB077017}" name="Depth" dataDxfId="29"/>
    <tableColumn id="15" xr3:uid="{A067CE4B-533B-443F-AA6A-8785A5B852EB}" name="GF m2" dataDxfId="28"/>
    <tableColumn id="10" xr3:uid="{7573C311-35A4-4ABC-AA17-2C2822A7687D}" name="Total m2" dataDxfId="27"/>
    <tableColumn id="16" xr3:uid="{779DC31C-87AD-414E-ACF6-F6607F8CF323}" name="Lot Total" dataDxfId="26">
      <calculatedColumnFormula>(D4*E4)</calculatedColumnFormula>
    </tableColumn>
    <tableColumn id="9" xr3:uid="{D2FD43B7-B8CD-42BF-8E66-EAF9203D62C3}" name="Squares" dataDxfId="25"/>
    <tableColumn id="3" xr3:uid="{90AD1C2A-4273-4E09-A725-2F7E13E194A9}" name="House Details" dataDxfId="24"/>
    <tableColumn id="5" xr3:uid="{1DCA2524-380C-496E-B73D-5CFB03F6B7F4}" name="Facade" dataDxfId="23"/>
    <tableColumn id="6" xr3:uid="{ADD05FF5-4D36-4AA8-A290-EC5B09A3AD22}" name="Facade Price" dataDxfId="22"/>
    <tableColumn id="7" xr3:uid="{03992A9C-917F-4787-AD72-F4FEF2A8C7D7}" name="Facade Details" dataDxfId="21"/>
    <tableColumn id="12" xr3:uid="{AD2D2210-593B-4489-87F9-28112A9728F4}" name="Design source/reason" dataDxfId="20"/>
    <tableColumn id="11" xr3:uid="{04A0BF35-15E7-4790-AC3B-B4447F080220}" name="Façade source/reason" dataDxfId="19"/>
    <tableColumn id="13" xr3:uid="{3D7C2D7F-072A-4151-8BD0-8B17E8424454}" name="Column1" dataDxfId="1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CA9162-1DA1-49C7-B5C7-8F5E5C55D6F8}" name="Table219" displayName="Table219" ref="R3:R11" totalsRowShown="0" headerRowDxfId="17" dataDxfId="16">
  <autoFilter ref="R3:R11" xr:uid="{29EC5809-8043-410E-8392-5B1D050EB972}"/>
  <sortState xmlns:xlrd2="http://schemas.microsoft.com/office/spreadsheetml/2017/richdata2" ref="R4:R11">
    <sortCondition ref="R11"/>
  </sortState>
  <tableColumns count="1">
    <tableColumn id="1" xr3:uid="{A7354ECC-C92A-4D36-9131-AC5B33D17D47}" name="Sales Estimator" dataDxfId="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631710E-E6A0-48B6-9E05-1693F5153DC8}" name="Table320" displayName="Table320" ref="AL3:AN39" totalsRowShown="0" headerRowDxfId="14" dataDxfId="13">
  <autoFilter ref="AL3:AN39" xr:uid="{6BDA664F-D969-4835-BBD1-D6B68BCBFF05}"/>
  <tableColumns count="3">
    <tableColumn id="1" xr3:uid="{54ADEEF7-25CD-449E-A228-62A8595A2F5F}" name="FBC Day 1" dataDxfId="12"/>
    <tableColumn id="2" xr3:uid="{59EF8FD4-AC32-4119-9604-00162680E0FC}" name="FBC Day 2" dataDxfId="11"/>
    <tableColumn id="3" xr3:uid="{B8C30FAA-DC03-4A89-B9B1-0585D6927DE0}" name="%" dataDxfId="1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989B14F-B5D5-4D75-897E-06AEF9B6B86B}" name="Table124" displayName="Table124" ref="I2:M10" totalsRowShown="0" headerRowDxfId="9" dataDxfId="7" headerRowBorderDxfId="8" tableBorderDxfId="6" totalsRowBorderDxfId="5">
  <autoFilter ref="I2:M10" xr:uid="{9989B14F-B5D5-4D75-897E-06AEF9B6B86B}"/>
  <tableColumns count="5">
    <tableColumn id="13" xr3:uid="{8402F5B2-314F-45DB-BC21-1A3E493564F6}" name="Address" dataDxfId="4"/>
    <tableColumn id="1" xr3:uid="{5B3A52E0-1498-4ADE-808C-4B88CF12AFB1}" name="House" dataDxfId="3"/>
    <tableColumn id="2" xr3:uid="{E1ED338F-927C-457D-8047-DD9DC9247DC0}" name="Price" dataDxfId="2"/>
    <tableColumn id="3" xr3:uid="{117B4F41-0B7E-4641-A0E8-A6FE14AD9BAF}" name="Storey" dataDxfId="1"/>
    <tableColumn id="10" xr3:uid="{FA85A5C7-8811-47F6-B131-82F702E7F5FA}" name="Facade" dataDxfId="0"/>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28" dT="2025-05-28T00:53:15.36" personId="{CFA75E48-D480-4DB6-8EA1-DECB3588728F}" id="{8A0C72F7-EB31-4A7B-8B8E-9128C3E2CB33}">
    <text>Not in margin report as it is a double garage option of the Access 18</text>
  </threadedComment>
  <threadedComment ref="A93" dT="2025-05-28T01:23:32.25" personId="{CFA75E48-D480-4DB6-8EA1-DECB3588728F}" id="{03FBC477-9DAA-45AF-AEC0-E9877EFAE966}">
    <text>Double Garage of the Cabot 13</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12" Type="http://schemas.openxmlformats.org/officeDocument/2006/relationships/table" Target="../tables/table18.xml"/><Relationship Id="rId2" Type="http://schemas.openxmlformats.org/officeDocument/2006/relationships/table" Target="../tables/table8.xml"/><Relationship Id="rId1" Type="http://schemas.openxmlformats.org/officeDocument/2006/relationships/printerSettings" Target="../printerSettings/printerSettings5.bin"/><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1827" Type="http://schemas.openxmlformats.org/officeDocument/2006/relationships/hyperlink" Target="mailto:cpearson@westbrookestate.com.au" TargetMode="External"/><Relationship Id="rId3042" Type="http://schemas.openxmlformats.org/officeDocument/2006/relationships/hyperlink" Target="mailto:Aida.Kubat@denniscorp.com.au" TargetMode="External"/><Relationship Id="rId170" Type="http://schemas.openxmlformats.org/officeDocument/2006/relationships/hyperlink" Target="mailto:ted@wolfdene.com.au" TargetMode="External"/><Relationship Id="rId987" Type="http://schemas.openxmlformats.org/officeDocument/2006/relationships/hyperlink" Target="mailto:khewitt@hockingstuart.com.au" TargetMode="External"/><Relationship Id="rId2668" Type="http://schemas.openxmlformats.org/officeDocument/2006/relationships/hyperlink" Target="mailto:admin@harvestrealty.com.au" TargetMode="External"/><Relationship Id="rId2875" Type="http://schemas.openxmlformats.org/officeDocument/2006/relationships/hyperlink" Target="mailto:heather@kaikura.com.au" TargetMode="External"/><Relationship Id="rId847" Type="http://schemas.openxmlformats.org/officeDocument/2006/relationships/hyperlink" Target="mailto:adam@rpmrealestate.com.au" TargetMode="External"/><Relationship Id="rId1477" Type="http://schemas.openxmlformats.org/officeDocument/2006/relationships/hyperlink" Target="mailto:joea@maxbrown.com.au" TargetMode="External"/><Relationship Id="rId1684" Type="http://schemas.openxmlformats.org/officeDocument/2006/relationships/hyperlink" Target="mailto:Leigh@doepels.com.au" TargetMode="External"/><Relationship Id="rId1891" Type="http://schemas.openxmlformats.org/officeDocument/2006/relationships/hyperlink" Target="mailto:info@balmoralestate.com.au" TargetMode="External"/><Relationship Id="rId2528" Type="http://schemas.openxmlformats.org/officeDocument/2006/relationships/hyperlink" Target="mailto:luke@goldfieldsgroup.com.au" TargetMode="External"/><Relationship Id="rId2735" Type="http://schemas.openxmlformats.org/officeDocument/2006/relationships/hyperlink" Target="mailto:thornhillpark@rpmrealestate.com.au" TargetMode="External"/><Relationship Id="rId2942" Type="http://schemas.openxmlformats.org/officeDocument/2006/relationships/hyperlink" Target="mailto:cpearson@westbrookestate.com.au" TargetMode="External"/><Relationship Id="rId707" Type="http://schemas.openxmlformats.org/officeDocument/2006/relationships/hyperlink" Target="mailto:NickC@centralequity.com.au" TargetMode="External"/><Relationship Id="rId914" Type="http://schemas.openxmlformats.org/officeDocument/2006/relationships/hyperlink" Target="mailto:annadale@rpmrealestate.com.au" TargetMode="External"/><Relationship Id="rId1337" Type="http://schemas.openxmlformats.org/officeDocument/2006/relationships/hyperlink" Target="mailto:steviec@satterley.com.au" TargetMode="External"/><Relationship Id="rId1544" Type="http://schemas.openxmlformats.org/officeDocument/2006/relationships/hyperlink" Target="mailto:greg@gblproperty.com" TargetMode="External"/><Relationship Id="rId1751" Type="http://schemas.openxmlformats.org/officeDocument/2006/relationships/hyperlink" Target="mailto:r.footman@oliverhume.com.au" TargetMode="External"/><Relationship Id="rId2802" Type="http://schemas.openxmlformats.org/officeDocument/2006/relationships/hyperlink" Target="mailto:creekstone@rpmrealestate.com.au" TargetMode="External"/><Relationship Id="rId43" Type="http://schemas.openxmlformats.org/officeDocument/2006/relationships/hyperlink" Target="mailto:l.pappalardo@oliverhime.com.au" TargetMode="External"/><Relationship Id="rId1404" Type="http://schemas.openxmlformats.org/officeDocument/2006/relationships/hyperlink" Target="mailto:ashwin.sethi@stockland.com.au" TargetMode="External"/><Relationship Id="rId1611" Type="http://schemas.openxmlformats.org/officeDocument/2006/relationships/hyperlink" Target="mailto:zkovacevic@coreprojects.com.au" TargetMode="External"/><Relationship Id="rId497" Type="http://schemas.openxmlformats.org/officeDocument/2006/relationships/hyperlink" Target="mailto:oliverhume@oliverhume.com.au" TargetMode="External"/><Relationship Id="rId2178" Type="http://schemas.openxmlformats.org/officeDocument/2006/relationships/hyperlink" Target="mailto:Jason.bertram@harcourts.com.au" TargetMode="External"/><Relationship Id="rId2385" Type="http://schemas.openxmlformats.org/officeDocument/2006/relationships/hyperlink" Target="mailto:lucy@rpmrealestate.com.au" TargetMode="External"/><Relationship Id="rId357" Type="http://schemas.openxmlformats.org/officeDocument/2006/relationships/hyperlink" Target="mailto:centralealk@oliverhume.com.au" TargetMode="External"/><Relationship Id="rId1194" Type="http://schemas.openxmlformats.org/officeDocument/2006/relationships/hyperlink" Target="mailto:riverwalk@rpmrealestate.com.au" TargetMode="External"/><Relationship Id="rId2038" Type="http://schemas.openxmlformats.org/officeDocument/2006/relationships/hyperlink" Target="mailto:sales@bisinella.com.au" TargetMode="External"/><Relationship Id="rId2592" Type="http://schemas.openxmlformats.org/officeDocument/2006/relationships/hyperlink" Target="mailto:sales@parkviewlara.com.au" TargetMode="External"/><Relationship Id="rId217" Type="http://schemas.openxmlformats.org/officeDocument/2006/relationships/hyperlink" Target="mailto:n.harb@oliverhume.com.au" TargetMode="External"/><Relationship Id="rId564" Type="http://schemas.openxmlformats.org/officeDocument/2006/relationships/hyperlink" Target="mailto:lreynolds@avidpropertygroup.com.au" TargetMode="External"/><Relationship Id="rId771" Type="http://schemas.openxmlformats.org/officeDocument/2006/relationships/hyperlink" Target="mailto:avishnoi@coreprojects.com.au" TargetMode="External"/><Relationship Id="rId2245" Type="http://schemas.openxmlformats.org/officeDocument/2006/relationships/hyperlink" Target="mailto:sharee@maxwellcollins.com.au" TargetMode="External"/><Relationship Id="rId2452" Type="http://schemas.openxmlformats.org/officeDocument/2006/relationships/hyperlink" Target="mailto:angelo.granata@peet.com.au" TargetMode="External"/><Relationship Id="rId424" Type="http://schemas.openxmlformats.org/officeDocument/2006/relationships/hyperlink" Target="mailto:jbosancic@brightonpropertygroup.com.au" TargetMode="External"/><Relationship Id="rId631" Type="http://schemas.openxmlformats.org/officeDocument/2006/relationships/hyperlink" Target="mailto:tonys@maxbrown.com.au" TargetMode="External"/><Relationship Id="rId1054" Type="http://schemas.openxmlformats.org/officeDocument/2006/relationships/hyperlink" Target="mailto:thornhillpark@rpmrealestate.com.au" TargetMode="External"/><Relationship Id="rId1261" Type="http://schemas.openxmlformats.org/officeDocument/2006/relationships/hyperlink" Target="mailto:robert.l@red23.com.au" TargetMode="External"/><Relationship Id="rId2105" Type="http://schemas.openxmlformats.org/officeDocument/2006/relationships/hyperlink" Target="mailto:Jstojanovski@coreprojects.com.au" TargetMode="External"/><Relationship Id="rId2312" Type="http://schemas.openxmlformats.org/officeDocument/2006/relationships/hyperlink" Target="mailto:jacqueline@goldengroup.com.au" TargetMode="External"/><Relationship Id="rId1121" Type="http://schemas.openxmlformats.org/officeDocument/2006/relationships/hyperlink" Target="mailto:lreynolds@avidpropertygroup.com.au" TargetMode="External"/><Relationship Id="rId3086" Type="http://schemas.openxmlformats.org/officeDocument/2006/relationships/hyperlink" Target="mailto:simon@fnlatrobe.com.au" TargetMode="External"/><Relationship Id="rId1938" Type="http://schemas.openxmlformats.org/officeDocument/2006/relationships/hyperlink" Target="mailto:everleysunbury@rpmrealestate.com.au" TargetMode="External"/><Relationship Id="rId281" Type="http://schemas.openxmlformats.org/officeDocument/2006/relationships/hyperlink" Target="mailto:riverdalevillage@latituderealestate.com.au" TargetMode="External"/><Relationship Id="rId3013" Type="http://schemas.openxmlformats.org/officeDocument/2006/relationships/hyperlink" Target="mailto:admin@woodlea.com.au" TargetMode="External"/><Relationship Id="rId141" Type="http://schemas.openxmlformats.org/officeDocument/2006/relationships/hyperlink" Target="mailto:dspiteri@hermitagehomes.com.au" TargetMode="External"/><Relationship Id="rId7" Type="http://schemas.openxmlformats.org/officeDocument/2006/relationships/hyperlink" Target="mailto:ted@wolfdene.com.au" TargetMode="External"/><Relationship Id="rId2779" Type="http://schemas.openxmlformats.org/officeDocument/2006/relationships/hyperlink" Target="mailto:sales@aldoestate.com.au" TargetMode="External"/><Relationship Id="rId2986" Type="http://schemas.openxmlformats.org/officeDocument/2006/relationships/hyperlink" Target="mailto:forrestgreen@rpmrealestate.com.au" TargetMode="External"/><Relationship Id="rId958" Type="http://schemas.openxmlformats.org/officeDocument/2006/relationships/hyperlink" Target="mailto:patrick@wolfdene.com.au" TargetMode="External"/><Relationship Id="rId1588" Type="http://schemas.openxmlformats.org/officeDocument/2006/relationships/hyperlink" Target="mailto:austin@latituderealestate.com.au" TargetMode="External"/><Relationship Id="rId1795" Type="http://schemas.openxmlformats.org/officeDocument/2006/relationships/hyperlink" Target="mailto:sales@bisinella.com.au" TargetMode="External"/><Relationship Id="rId2639" Type="http://schemas.openxmlformats.org/officeDocument/2006/relationships/hyperlink" Target="mailto:i.tanti@oliverhume.com.au" TargetMode="External"/><Relationship Id="rId2846" Type="http://schemas.openxmlformats.org/officeDocument/2006/relationships/hyperlink" Target="mailto:riverwalk@rpmrealestate.com.au" TargetMode="External"/><Relationship Id="rId87" Type="http://schemas.openxmlformats.org/officeDocument/2006/relationships/hyperlink" Target="mailto:k.spencer@oliverhume.com.au" TargetMode="External"/><Relationship Id="rId818" Type="http://schemas.openxmlformats.org/officeDocument/2006/relationships/hyperlink" Target="mailto:m.huynh@oliverhume.com.au" TargetMode="External"/><Relationship Id="rId1448" Type="http://schemas.openxmlformats.org/officeDocument/2006/relationships/hyperlink" Target="mailto:shayne@red23.com.au" TargetMode="External"/><Relationship Id="rId1655" Type="http://schemas.openxmlformats.org/officeDocument/2006/relationships/hyperlink" Target="mailto:sudha@pottergeorge.com.au" TargetMode="External"/><Relationship Id="rId2706" Type="http://schemas.openxmlformats.org/officeDocument/2006/relationships/hyperlink" Target="mailto:daniel@landforsale.melbourne" TargetMode="External"/><Relationship Id="rId1308" Type="http://schemas.openxmlformats.org/officeDocument/2006/relationships/hyperlink" Target="mailto:oliverhume@oliverhume.com.au" TargetMode="External"/><Relationship Id="rId1862" Type="http://schemas.openxmlformats.org/officeDocument/2006/relationships/hyperlink" Target="mailto:josephine.borg@stockland.com.au" TargetMode="External"/><Relationship Id="rId2913" Type="http://schemas.openxmlformats.org/officeDocument/2006/relationships/hyperlink" Target="mailto:Courtney.tattersall@peet.com.au" TargetMode="External"/><Relationship Id="rId1515" Type="http://schemas.openxmlformats.org/officeDocument/2006/relationships/hyperlink" Target="mailto:botanicridge@rpmrealestate.com.au" TargetMode="External"/><Relationship Id="rId1722" Type="http://schemas.openxmlformats.org/officeDocument/2006/relationships/hyperlink" Target="mailto:k.spencer@oliverhume.com.au" TargetMode="External"/><Relationship Id="rId14" Type="http://schemas.openxmlformats.org/officeDocument/2006/relationships/hyperlink" Target="mailto:arch@lauders.com.au" TargetMode="External"/><Relationship Id="rId2289" Type="http://schemas.openxmlformats.org/officeDocument/2006/relationships/hyperlink" Target="mailto:project@countrylandaustralia.com.au" TargetMode="External"/><Relationship Id="rId2496" Type="http://schemas.openxmlformats.org/officeDocument/2006/relationships/hyperlink" Target="mailto:ashwin.sethi@stockland.com.au" TargetMode="External"/><Relationship Id="rId468" Type="http://schemas.openxmlformats.org/officeDocument/2006/relationships/hyperlink" Target="mailto:lochaven@rpmrealestate.com.au" TargetMode="External"/><Relationship Id="rId675" Type="http://schemas.openxmlformats.org/officeDocument/2006/relationships/hyperlink" Target="mailto:Emma.Nelson@peet.com.au" TargetMode="External"/><Relationship Id="rId882" Type="http://schemas.openxmlformats.org/officeDocument/2006/relationships/hyperlink" Target="mailto:lilium@villaworld.com.au" TargetMode="External"/><Relationship Id="rId1098" Type="http://schemas.openxmlformats.org/officeDocument/2006/relationships/hyperlink" Target="mailto:wynbrook@rpmrealestate.com.au" TargetMode="External"/><Relationship Id="rId2149" Type="http://schemas.openxmlformats.org/officeDocument/2006/relationships/hyperlink" Target="mailto:info@costaland.com.au" TargetMode="External"/><Relationship Id="rId2356" Type="http://schemas.openxmlformats.org/officeDocument/2006/relationships/hyperlink" Target="mailto:newhomesvic@bigpond.com" TargetMode="External"/><Relationship Id="rId2563" Type="http://schemas.openxmlformats.org/officeDocument/2006/relationships/hyperlink" Target="mailto:creekstone@rpmrealestate.com.au" TargetMode="External"/><Relationship Id="rId2770" Type="http://schemas.openxmlformats.org/officeDocument/2006/relationships/hyperlink" Target="mailto:austin@latituderealestate.com.au" TargetMode="External"/><Relationship Id="rId328" Type="http://schemas.openxmlformats.org/officeDocument/2006/relationships/hyperlink" Target="mailto:raj.shergill@stockland.com.au" TargetMode="External"/><Relationship Id="rId535" Type="http://schemas.openxmlformats.org/officeDocument/2006/relationships/hyperlink" Target="mailto:thornhillpark@rpmrealestate.com.au" TargetMode="External"/><Relationship Id="rId742" Type="http://schemas.openxmlformats.org/officeDocument/2006/relationships/hyperlink" Target="mailto:dennis.rabba@growland.com.au" TargetMode="External"/><Relationship Id="rId1165" Type="http://schemas.openxmlformats.org/officeDocument/2006/relationships/hyperlink" Target="mailto:atherstone@lendlease.com" TargetMode="External"/><Relationship Id="rId1372" Type="http://schemas.openxmlformats.org/officeDocument/2006/relationships/hyperlink" Target="mailto:GRACE@OLIVERHUME.COM.AU" TargetMode="External"/><Relationship Id="rId2009" Type="http://schemas.openxmlformats.org/officeDocument/2006/relationships/hyperlink" Target="mailto:bhalsall@buxton.com.au" TargetMode="External"/><Relationship Id="rId2216" Type="http://schemas.openxmlformats.org/officeDocument/2006/relationships/hyperlink" Target="mailto:everleysunbury@rpmrealestate.com.au" TargetMode="External"/><Relationship Id="rId2423" Type="http://schemas.openxmlformats.org/officeDocument/2006/relationships/hyperlink" Target="mailto:k.spencer@oliverhume.com.au" TargetMode="External"/><Relationship Id="rId2630" Type="http://schemas.openxmlformats.org/officeDocument/2006/relationships/hyperlink" Target="mailto:Aida.Kubat@denniscorp.com.au" TargetMode="External"/><Relationship Id="rId602" Type="http://schemas.openxmlformats.org/officeDocument/2006/relationships/hyperlink" Target="mailto:Rothwell@rpmrealestate.com.au" TargetMode="External"/><Relationship Id="rId1025" Type="http://schemas.openxmlformats.org/officeDocument/2006/relationships/hyperlink" Target="mailto:mai.tran@mywindermere.com.au" TargetMode="External"/><Relationship Id="rId1232" Type="http://schemas.openxmlformats.org/officeDocument/2006/relationships/hyperlink" Target="mailto:richard@wyndhamre.com.au" TargetMode="External"/><Relationship Id="rId3057" Type="http://schemas.openxmlformats.org/officeDocument/2006/relationships/hyperlink" Target="mailto:ballarat@bevwill.com.au" TargetMode="External"/><Relationship Id="rId185" Type="http://schemas.openxmlformats.org/officeDocument/2006/relationships/hyperlink" Target="mailto:admin@woodlea.com.au" TargetMode="External"/><Relationship Id="rId1909" Type="http://schemas.openxmlformats.org/officeDocument/2006/relationships/hyperlink" Target="mailto:d.halsey@oliverhume.com.au" TargetMode="External"/><Relationship Id="rId392" Type="http://schemas.openxmlformats.org/officeDocument/2006/relationships/hyperlink" Target="mailto:Libbyt2@bigpond.con" TargetMode="External"/><Relationship Id="rId2073" Type="http://schemas.openxmlformats.org/officeDocument/2006/relationships/hyperlink" Target="mailto:sales@ooranyaestate.com.au" TargetMode="External"/><Relationship Id="rId2280" Type="http://schemas.openxmlformats.org/officeDocument/2006/relationships/hyperlink" Target="mailto:ian@krpeters.com.au" TargetMode="External"/><Relationship Id="rId252" Type="http://schemas.openxmlformats.org/officeDocument/2006/relationships/hyperlink" Target="mailto:arnoldscreek.melton@rh.com.au" TargetMode="External"/><Relationship Id="rId2140" Type="http://schemas.openxmlformats.org/officeDocument/2006/relationships/hyperlink" Target="mailto:ben@prdballarat.com.au" TargetMode="External"/><Relationship Id="rId112" Type="http://schemas.openxmlformats.org/officeDocument/2006/relationships/hyperlink" Target="mailto:manzeene@rpmrealestate.com.au" TargetMode="External"/><Relationship Id="rId1699" Type="http://schemas.openxmlformats.org/officeDocument/2006/relationships/hyperlink" Target="mailto:s.fuss@oliverhume.com.au" TargetMode="External"/><Relationship Id="rId2000" Type="http://schemas.openxmlformats.org/officeDocument/2006/relationships/hyperlink" Target="mailto:jan@trijena.com.au" TargetMode="External"/><Relationship Id="rId2957" Type="http://schemas.openxmlformats.org/officeDocument/2006/relationships/hyperlink" Target="mailto:Tribellarise@rpmgrp.com.au" TargetMode="External"/><Relationship Id="rId929" Type="http://schemas.openxmlformats.org/officeDocument/2006/relationships/hyperlink" Target="mailto:jan@trijena.com.au" TargetMode="External"/><Relationship Id="rId1559" Type="http://schemas.openxmlformats.org/officeDocument/2006/relationships/hyperlink" Target="mailto:ian@krpeters.com.au" TargetMode="External"/><Relationship Id="rId1766" Type="http://schemas.openxmlformats.org/officeDocument/2006/relationships/hyperlink" Target="mailto:ian@krpeters.com.au" TargetMode="External"/><Relationship Id="rId1973" Type="http://schemas.openxmlformats.org/officeDocument/2006/relationships/hyperlink" Target="mailto:mandalay@rpmrealestate.com.au" TargetMode="External"/><Relationship Id="rId2817" Type="http://schemas.openxmlformats.org/officeDocument/2006/relationships/hyperlink" Target="mailto:khoa@wolfdene.com.au" TargetMode="External"/><Relationship Id="rId58" Type="http://schemas.openxmlformats.org/officeDocument/2006/relationships/hyperlink" Target="mailto:jbosancic@brightonpropertygroup.com.au" TargetMode="External"/><Relationship Id="rId1419" Type="http://schemas.openxmlformats.org/officeDocument/2006/relationships/hyperlink" Target="mailto:carol.rubidoux@cedarwoods.com.au" TargetMode="External"/><Relationship Id="rId1626" Type="http://schemas.openxmlformats.org/officeDocument/2006/relationships/hyperlink" Target="mailto:rbhardwaj@coreprojects.com.au" TargetMode="External"/><Relationship Id="rId1833" Type="http://schemas.openxmlformats.org/officeDocument/2006/relationships/hyperlink" Target="mailto:jason@bpg.com.au" TargetMode="External"/><Relationship Id="rId1900" Type="http://schemas.openxmlformats.org/officeDocument/2006/relationships/hyperlink" Target="mailto:stgermain@rpmrealestate.com.au" TargetMode="External"/><Relationship Id="rId579" Type="http://schemas.openxmlformats.org/officeDocument/2006/relationships/hyperlink" Target="mailto:arramont@rpmrealestate.com.au" TargetMode="External"/><Relationship Id="rId786" Type="http://schemas.openxmlformats.org/officeDocument/2006/relationships/hyperlink" Target="mailto:sharee@maxwellcollins.com.au" TargetMode="External"/><Relationship Id="rId993" Type="http://schemas.openxmlformats.org/officeDocument/2006/relationships/hyperlink" Target="mailto:cpearson@westbrookestate.com.au" TargetMode="External"/><Relationship Id="rId2467" Type="http://schemas.openxmlformats.org/officeDocument/2006/relationships/hyperlink" Target="mailto:gabey@coreprojects.com.au" TargetMode="External"/><Relationship Id="rId2674" Type="http://schemas.openxmlformats.org/officeDocument/2006/relationships/hyperlink" Target="mailto:everleysunbury@rpmrealestate.com.au" TargetMode="External"/><Relationship Id="rId439" Type="http://schemas.openxmlformats.org/officeDocument/2006/relationships/hyperlink" Target="mailto:arnoldscreek.melton@rh.com.au" TargetMode="External"/><Relationship Id="rId646" Type="http://schemas.openxmlformats.org/officeDocument/2006/relationships/hyperlink" Target="mailto:Eliston@rpmrealestate.com.au" TargetMode="External"/><Relationship Id="rId1069" Type="http://schemas.openxmlformats.org/officeDocument/2006/relationships/hyperlink" Target="mailto:Rothwell@rpmrealestate.com.au" TargetMode="External"/><Relationship Id="rId1276" Type="http://schemas.openxmlformats.org/officeDocument/2006/relationships/hyperlink" Target="mailto:jason@red23.com.au" TargetMode="External"/><Relationship Id="rId1483" Type="http://schemas.openxmlformats.org/officeDocument/2006/relationships/hyperlink" Target="mailto:admin@woodlea.com.au" TargetMode="External"/><Relationship Id="rId2327" Type="http://schemas.openxmlformats.org/officeDocument/2006/relationships/hyperlink" Target="mailto:mandalay@rpmrealestate.com.au" TargetMode="External"/><Relationship Id="rId2881" Type="http://schemas.openxmlformats.org/officeDocument/2006/relationships/hyperlink" Target="mailto:chris.walker@stockland.com.au" TargetMode="External"/><Relationship Id="rId506" Type="http://schemas.openxmlformats.org/officeDocument/2006/relationships/hyperlink" Target="mailto:mandalay@rpmrealestate.com.au" TargetMode="External"/><Relationship Id="rId853" Type="http://schemas.openxmlformats.org/officeDocument/2006/relationships/hyperlink" Target="mailto:thornhillpark@rpmrealestate.com.au" TargetMode="External"/><Relationship Id="rId1136" Type="http://schemas.openxmlformats.org/officeDocument/2006/relationships/hyperlink" Target="mailto:lilium@villaworld.com.au" TargetMode="External"/><Relationship Id="rId1690" Type="http://schemas.openxmlformats.org/officeDocument/2006/relationships/hyperlink" Target="mailto:ashwin.sethi@stockland.com.au" TargetMode="External"/><Relationship Id="rId2534" Type="http://schemas.openxmlformats.org/officeDocument/2006/relationships/hyperlink" Target="mailto:kunal@red23.com.au" TargetMode="External"/><Relationship Id="rId2741" Type="http://schemas.openxmlformats.org/officeDocument/2006/relationships/hyperlink" Target="mailto:anne.cross@lendlease.com" TargetMode="External"/><Relationship Id="rId713" Type="http://schemas.openxmlformats.org/officeDocument/2006/relationships/hyperlink" Target="mailto:andrewd@villawoodproperties.com" TargetMode="External"/><Relationship Id="rId920" Type="http://schemas.openxmlformats.org/officeDocument/2006/relationships/hyperlink" Target="mailto:simon@maxwellcollins.com.au" TargetMode="External"/><Relationship Id="rId1343" Type="http://schemas.openxmlformats.org/officeDocument/2006/relationships/hyperlink" Target="mailto:ian@krpeters.com.au" TargetMode="External"/><Relationship Id="rId1550" Type="http://schemas.openxmlformats.org/officeDocument/2006/relationships/hyperlink" Target="mailto:patrick@wolfdene.com.au" TargetMode="External"/><Relationship Id="rId2601" Type="http://schemas.openxmlformats.org/officeDocument/2006/relationships/hyperlink" Target="mailto:m.nastic@oliverhume.com.au" TargetMode="External"/><Relationship Id="rId1203" Type="http://schemas.openxmlformats.org/officeDocument/2006/relationships/hyperlink" Target="mailto:angelo.granata@peet.com.au" TargetMode="External"/><Relationship Id="rId1410" Type="http://schemas.openxmlformats.org/officeDocument/2006/relationships/hyperlink" Target="mailto:chris.walker@stockland.com.au" TargetMode="External"/><Relationship Id="rId296" Type="http://schemas.openxmlformats.org/officeDocument/2006/relationships/hyperlink" Target="mailto:steviec@satterley.com.au" TargetMode="External"/><Relationship Id="rId2184" Type="http://schemas.openxmlformats.org/officeDocument/2006/relationships/hyperlink" Target="mailto:alira@rpmrealestate.com.au" TargetMode="External"/><Relationship Id="rId2391" Type="http://schemas.openxmlformats.org/officeDocument/2006/relationships/hyperlink" Target="mailto:mandalay@rpmrealestate.com.au" TargetMode="External"/><Relationship Id="rId3028" Type="http://schemas.openxmlformats.org/officeDocument/2006/relationships/hyperlink" Target="mailto:s.datti@oliverhume.com.au" TargetMode="External"/><Relationship Id="rId156" Type="http://schemas.openxmlformats.org/officeDocument/2006/relationships/hyperlink" Target="mailto:David.maloney@frasers.com.au" TargetMode="External"/><Relationship Id="rId363" Type="http://schemas.openxmlformats.org/officeDocument/2006/relationships/hyperlink" Target="mailto:richard@wyndhamre.com.au" TargetMode="External"/><Relationship Id="rId570" Type="http://schemas.openxmlformats.org/officeDocument/2006/relationships/hyperlink" Target="mailto:angelo.granata@peet.com.au" TargetMode="External"/><Relationship Id="rId2044" Type="http://schemas.openxmlformats.org/officeDocument/2006/relationships/hyperlink" Target="mailto:m.morris@oliverhume.com.au" TargetMode="External"/><Relationship Id="rId2251" Type="http://schemas.openxmlformats.org/officeDocument/2006/relationships/hyperlink" Target="mailto:info@balmoralestate.com.au" TargetMode="External"/><Relationship Id="rId223" Type="http://schemas.openxmlformats.org/officeDocument/2006/relationships/hyperlink" Target="mailto:z.stojanovski@oliverhume.com.au" TargetMode="External"/><Relationship Id="rId430" Type="http://schemas.openxmlformats.org/officeDocument/2006/relationships/hyperlink" Target="mailto:anne.cross@lendlease.com" TargetMode="External"/><Relationship Id="rId1060" Type="http://schemas.openxmlformats.org/officeDocument/2006/relationships/hyperlink" Target="mailto:riverdalevillage@latituderealestate.com.au" TargetMode="External"/><Relationship Id="rId2111" Type="http://schemas.openxmlformats.org/officeDocument/2006/relationships/hyperlink" Target="mailto:rbhardwaj@coreprojects.com.au" TargetMode="External"/><Relationship Id="rId1877" Type="http://schemas.openxmlformats.org/officeDocument/2006/relationships/hyperlink" Target="mailto:ashwin.sethi@stockland.com.au" TargetMode="External"/><Relationship Id="rId2928" Type="http://schemas.openxmlformats.org/officeDocument/2006/relationships/hyperlink" Target="mailto:admin@harvestrealty.com.au" TargetMode="External"/><Relationship Id="rId1737" Type="http://schemas.openxmlformats.org/officeDocument/2006/relationships/hyperlink" Target="mailto:riverdalevillage@latituderealestate.com.au" TargetMode="External"/><Relationship Id="rId1944" Type="http://schemas.openxmlformats.org/officeDocument/2006/relationships/hyperlink" Target="mailto:sales@florianliving.com.au" TargetMode="External"/><Relationship Id="rId3092" Type="http://schemas.openxmlformats.org/officeDocument/2006/relationships/hyperlink" Target="mailto:allemore@jrdapprovals.com.au" TargetMode="External"/><Relationship Id="rId29" Type="http://schemas.openxmlformats.org/officeDocument/2006/relationships/hyperlink" Target="mailto:colin@obrienrealestate.com.au" TargetMode="External"/><Relationship Id="rId1804" Type="http://schemas.openxmlformats.org/officeDocument/2006/relationships/hyperlink" Target="mailto:botanical@satterley.com.au" TargetMode="External"/><Relationship Id="rId897" Type="http://schemas.openxmlformats.org/officeDocument/2006/relationships/hyperlink" Target="mailto:jody@ploughmansarms.com.au" TargetMode="External"/><Relationship Id="rId2578" Type="http://schemas.openxmlformats.org/officeDocument/2006/relationships/hyperlink" Target="mailto:k.spencer@oliverhume.com.au" TargetMode="External"/><Relationship Id="rId2785" Type="http://schemas.openxmlformats.org/officeDocument/2006/relationships/hyperlink" Target="mailto:ben@prdballarat.com.au" TargetMode="External"/><Relationship Id="rId2992" Type="http://schemas.openxmlformats.org/officeDocument/2006/relationships/hyperlink" Target="mailto:Courtney.tattersall@peet.com.au" TargetMode="External"/><Relationship Id="rId757" Type="http://schemas.openxmlformats.org/officeDocument/2006/relationships/hyperlink" Target="mailto:info@kingsleigh.com.au" TargetMode="External"/><Relationship Id="rId964" Type="http://schemas.openxmlformats.org/officeDocument/2006/relationships/hyperlink" Target="mailto:j.termine@oliverhume.com.au" TargetMode="External"/><Relationship Id="rId1387" Type="http://schemas.openxmlformats.org/officeDocument/2006/relationships/hyperlink" Target="mailto:alira@rpmrealestate.com.au" TargetMode="External"/><Relationship Id="rId1594" Type="http://schemas.openxmlformats.org/officeDocument/2006/relationships/hyperlink" Target="mailto:Jstojanovski@coreprojects.com.au" TargetMode="External"/><Relationship Id="rId2438" Type="http://schemas.openxmlformats.org/officeDocument/2006/relationships/hyperlink" Target="mailto:daniels@lotusliving.com.au" TargetMode="External"/><Relationship Id="rId2645" Type="http://schemas.openxmlformats.org/officeDocument/2006/relationships/hyperlink" Target="mailto:oliverhume@oliverhume.com.au" TargetMode="External"/><Relationship Id="rId2852" Type="http://schemas.openxmlformats.org/officeDocument/2006/relationships/hyperlink" Target="mailto:wayne@oceangroverealestate.com.au" TargetMode="External"/><Relationship Id="rId93" Type="http://schemas.openxmlformats.org/officeDocument/2006/relationships/hyperlink" Target="mailto:thuyen@bpg.com.au" TargetMode="External"/><Relationship Id="rId617" Type="http://schemas.openxmlformats.org/officeDocument/2006/relationships/hyperlink" Target="mailto:d.halsey@oliverhume.com.au" TargetMode="External"/><Relationship Id="rId824" Type="http://schemas.openxmlformats.org/officeDocument/2006/relationships/hyperlink" Target="mailto:n.harb@oliverhume.com.au" TargetMode="External"/><Relationship Id="rId1247" Type="http://schemas.openxmlformats.org/officeDocument/2006/relationships/hyperlink" Target="mailto:jason@red23.com.au" TargetMode="External"/><Relationship Id="rId1454" Type="http://schemas.openxmlformats.org/officeDocument/2006/relationships/hyperlink" Target="mailto:sales@katandrarise.com.au" TargetMode="External"/><Relationship Id="rId1661" Type="http://schemas.openxmlformats.org/officeDocument/2006/relationships/hyperlink" Target="mailto:daniel.lock@mirvac.com" TargetMode="External"/><Relationship Id="rId2505" Type="http://schemas.openxmlformats.org/officeDocument/2006/relationships/hyperlink" Target="mailto:n.harb@oliverhume.com.au" TargetMode="External"/><Relationship Id="rId2712" Type="http://schemas.openxmlformats.org/officeDocument/2006/relationships/hyperlink" Target="mailto:atherstone@lendlease.com" TargetMode="External"/><Relationship Id="rId1107" Type="http://schemas.openxmlformats.org/officeDocument/2006/relationships/hyperlink" Target="mailto:anne.cross@lendlease.com" TargetMode="External"/><Relationship Id="rId1314" Type="http://schemas.openxmlformats.org/officeDocument/2006/relationships/hyperlink" Target="mailto:Eliston@rpmrealestate.com.au" TargetMode="External"/><Relationship Id="rId1521" Type="http://schemas.openxmlformats.org/officeDocument/2006/relationships/hyperlink" Target="mailto:khoa@wolfdene.com.au" TargetMode="External"/><Relationship Id="rId20" Type="http://schemas.openxmlformats.org/officeDocument/2006/relationships/hyperlink" Target="mailto:raj.shergill@stockland.com.au" TargetMode="External"/><Relationship Id="rId2088" Type="http://schemas.openxmlformats.org/officeDocument/2006/relationships/hyperlink" Target="mailto:thornhillpark@rpmrealestate.com.au" TargetMode="External"/><Relationship Id="rId2295" Type="http://schemas.openxmlformats.org/officeDocument/2006/relationships/hyperlink" Target="mailto:brad@arborofficer.com.au" TargetMode="External"/><Relationship Id="rId267" Type="http://schemas.openxmlformats.org/officeDocument/2006/relationships/hyperlink" Target="mailto:stgermain@rpmrealestate.com.au" TargetMode="External"/><Relationship Id="rId474" Type="http://schemas.openxmlformats.org/officeDocument/2006/relationships/hyperlink" Target="mailto:Eliston@rpmrealestate.com.au" TargetMode="External"/><Relationship Id="rId2155" Type="http://schemas.openxmlformats.org/officeDocument/2006/relationships/hyperlink" Target="mailto:rivulet@rpmrealestate.com.au" TargetMode="External"/><Relationship Id="rId127" Type="http://schemas.openxmlformats.org/officeDocument/2006/relationships/hyperlink" Target="mailto:greg@gblproperty.com" TargetMode="External"/><Relationship Id="rId681" Type="http://schemas.openxmlformats.org/officeDocument/2006/relationships/hyperlink" Target="mailto:b.ellis@oliverhume.com.au" TargetMode="External"/><Relationship Id="rId2362" Type="http://schemas.openxmlformats.org/officeDocument/2006/relationships/hyperlink" Target="mailto:rob@wolfdene.com.au" TargetMode="External"/><Relationship Id="rId334" Type="http://schemas.openxmlformats.org/officeDocument/2006/relationships/hyperlink" Target="mailto:Georgie@evolve.com.au" TargetMode="External"/><Relationship Id="rId541" Type="http://schemas.openxmlformats.org/officeDocument/2006/relationships/hyperlink" Target="mailto:jason@red23.com.au" TargetMode="External"/><Relationship Id="rId1171" Type="http://schemas.openxmlformats.org/officeDocument/2006/relationships/hyperlink" Target="mailto:rosenthal@rpmrealestate.com.au" TargetMode="External"/><Relationship Id="rId2015" Type="http://schemas.openxmlformats.org/officeDocument/2006/relationships/hyperlink" Target="mailto:greg@gblproperty.com" TargetMode="External"/><Relationship Id="rId2222" Type="http://schemas.openxmlformats.org/officeDocument/2006/relationships/hyperlink" Target="mailto:daniels@lotusliving.com.au" TargetMode="External"/><Relationship Id="rId401" Type="http://schemas.openxmlformats.org/officeDocument/2006/relationships/hyperlink" Target="mailto:Emma.Nelson@peet.com.au" TargetMode="External"/><Relationship Id="rId1031" Type="http://schemas.openxmlformats.org/officeDocument/2006/relationships/hyperlink" Target="mailto:Rothwell@rpmrealestate.com.au" TargetMode="External"/><Relationship Id="rId1988" Type="http://schemas.openxmlformats.org/officeDocument/2006/relationships/hyperlink" Target="mailto:ashwin.sethi@stockland.com.au" TargetMode="External"/><Relationship Id="rId1848" Type="http://schemas.openxmlformats.org/officeDocument/2006/relationships/hyperlink" Target="mailto:k.spencer@oliverhume.com.au" TargetMode="External"/><Relationship Id="rId3063" Type="http://schemas.openxmlformats.org/officeDocument/2006/relationships/hyperlink" Target="mailto:d.rabba@oliverhume.com.au" TargetMode="External"/><Relationship Id="rId191" Type="http://schemas.openxmlformats.org/officeDocument/2006/relationships/hyperlink" Target="mailto:raj.shergill@stockland.com.au" TargetMode="External"/><Relationship Id="rId1708" Type="http://schemas.openxmlformats.org/officeDocument/2006/relationships/hyperlink" Target="mailto:s.fuss@oliverhume.com.au" TargetMode="External"/><Relationship Id="rId1915" Type="http://schemas.openxmlformats.org/officeDocument/2006/relationships/hyperlink" Target="mailto:k.spencer@oliverhume.com.au" TargetMode="External"/><Relationship Id="rId2689" Type="http://schemas.openxmlformats.org/officeDocument/2006/relationships/hyperlink" Target="mailto:jessica.hammond@stockland.com.au" TargetMode="External"/><Relationship Id="rId2896" Type="http://schemas.openxmlformats.org/officeDocument/2006/relationships/hyperlink" Target="mailto:eden@parklea.com" TargetMode="External"/><Relationship Id="rId868" Type="http://schemas.openxmlformats.org/officeDocument/2006/relationships/hyperlink" Target="mailto:jan@trijena.com.au" TargetMode="External"/><Relationship Id="rId1498" Type="http://schemas.openxmlformats.org/officeDocument/2006/relationships/hyperlink" Target="mailto:ted@kohamproperty.com" TargetMode="External"/><Relationship Id="rId2549" Type="http://schemas.openxmlformats.org/officeDocument/2006/relationships/hyperlink" Target="mailto:sales@ooranyaestate.com.au" TargetMode="External"/><Relationship Id="rId2756" Type="http://schemas.openxmlformats.org/officeDocument/2006/relationships/hyperlink" Target="mailto:ben@prdballarat.com.au" TargetMode="External"/><Relationship Id="rId2963" Type="http://schemas.openxmlformats.org/officeDocument/2006/relationships/hyperlink" Target="mailto:josephine.borg@stockland.com.au" TargetMode="External"/><Relationship Id="rId728" Type="http://schemas.openxmlformats.org/officeDocument/2006/relationships/hyperlink" Target="mailto:stgermain@rpmrealestate.com.au" TargetMode="External"/><Relationship Id="rId935" Type="http://schemas.openxmlformats.org/officeDocument/2006/relationships/hyperlink" Target="mailto:kim.mair@frasersproperty.com.au" TargetMode="External"/><Relationship Id="rId1358" Type="http://schemas.openxmlformats.org/officeDocument/2006/relationships/hyperlink" Target="mailto:arvind@krpeters.com.au" TargetMode="External"/><Relationship Id="rId1565" Type="http://schemas.openxmlformats.org/officeDocument/2006/relationships/hyperlink" Target="mailto:sara.lowe@eigdevelopments.com.au" TargetMode="External"/><Relationship Id="rId1772" Type="http://schemas.openxmlformats.org/officeDocument/2006/relationships/hyperlink" Target="mailto:mandalay@rpmrealestate.com.au" TargetMode="External"/><Relationship Id="rId2409" Type="http://schemas.openxmlformats.org/officeDocument/2006/relationships/hyperlink" Target="mailto:jo@monashviews.com.au" TargetMode="External"/><Relationship Id="rId2616" Type="http://schemas.openxmlformats.org/officeDocument/2006/relationships/hyperlink" Target="mailto:Catherine@yourland.com" TargetMode="External"/><Relationship Id="rId64" Type="http://schemas.openxmlformats.org/officeDocument/2006/relationships/hyperlink" Target="mailto:info@dacland.com.au" TargetMode="External"/><Relationship Id="rId1218" Type="http://schemas.openxmlformats.org/officeDocument/2006/relationships/hyperlink" Target="mailto:GRACE@OLIVERHUME.COM.AU" TargetMode="External"/><Relationship Id="rId1425" Type="http://schemas.openxmlformats.org/officeDocument/2006/relationships/hyperlink" Target="mailto:atherstone@lendlease.com" TargetMode="External"/><Relationship Id="rId2823" Type="http://schemas.openxmlformats.org/officeDocument/2006/relationships/hyperlink" Target="mailto:lreynolds@avidpropertygroup.com.au" TargetMode="External"/><Relationship Id="rId1632" Type="http://schemas.openxmlformats.org/officeDocument/2006/relationships/hyperlink" Target="mailto:shana@kaikura.com.au" TargetMode="External"/><Relationship Id="rId2199" Type="http://schemas.openxmlformats.org/officeDocument/2006/relationships/hyperlink" Target="mailto:rachael@kohamproperty.com.au" TargetMode="External"/><Relationship Id="rId378" Type="http://schemas.openxmlformats.org/officeDocument/2006/relationships/hyperlink" Target="mailto:amy.newman@lendlease.com" TargetMode="External"/><Relationship Id="rId585" Type="http://schemas.openxmlformats.org/officeDocument/2006/relationships/hyperlink" Target="mailto:Emma.Nelson@peet.com.au" TargetMode="External"/><Relationship Id="rId792" Type="http://schemas.openxmlformats.org/officeDocument/2006/relationships/hyperlink" Target="mailto:thornhillpark@rpmrealestate.com.au" TargetMode="External"/><Relationship Id="rId2059" Type="http://schemas.openxmlformats.org/officeDocument/2006/relationships/hyperlink" Target="mailto:mai.tran@mywindermere.com.au" TargetMode="External"/><Relationship Id="rId2266" Type="http://schemas.openxmlformats.org/officeDocument/2006/relationships/hyperlink" Target="mailto:s.fuss@oliverhume.com.au" TargetMode="External"/><Relationship Id="rId2473" Type="http://schemas.openxmlformats.org/officeDocument/2006/relationships/hyperlink" Target="mailto:cpearson@westbrookestate.com.au" TargetMode="External"/><Relationship Id="rId2680" Type="http://schemas.openxmlformats.org/officeDocument/2006/relationships/hyperlink" Target="mailto:ben@prdballarat.com.au" TargetMode="External"/><Relationship Id="rId238" Type="http://schemas.openxmlformats.org/officeDocument/2006/relationships/hyperlink" Target="mailto:riverwalk@rpmrealestate.com.au" TargetMode="External"/><Relationship Id="rId445" Type="http://schemas.openxmlformats.org/officeDocument/2006/relationships/hyperlink" Target="mailto:jason.bailes@peet.com.au" TargetMode="External"/><Relationship Id="rId652" Type="http://schemas.openxmlformats.org/officeDocument/2006/relationships/hyperlink" Target="mailto:Adam@red23.com.au" TargetMode="External"/><Relationship Id="rId1075" Type="http://schemas.openxmlformats.org/officeDocument/2006/relationships/hyperlink" Target="mailto:chris.walker@stockland.com.au" TargetMode="External"/><Relationship Id="rId1282" Type="http://schemas.openxmlformats.org/officeDocument/2006/relationships/hyperlink" Target="mailto:admin@woodlea.com.au" TargetMode="External"/><Relationship Id="rId2126" Type="http://schemas.openxmlformats.org/officeDocument/2006/relationships/hyperlink" Target="mailto:msharma@coreprojects.com.au" TargetMode="External"/><Relationship Id="rId2333" Type="http://schemas.openxmlformats.org/officeDocument/2006/relationships/hyperlink" Target="mailto:mai.tran@mywindermere.com.au" TargetMode="External"/><Relationship Id="rId2540" Type="http://schemas.openxmlformats.org/officeDocument/2006/relationships/hyperlink" Target="mailto:sales@parkviewlara.com.au" TargetMode="External"/><Relationship Id="rId305" Type="http://schemas.openxmlformats.org/officeDocument/2006/relationships/hyperlink" Target="mailto:amy.newman@lendlease.com" TargetMode="External"/><Relationship Id="rId512" Type="http://schemas.openxmlformats.org/officeDocument/2006/relationships/hyperlink" Target="mailto:Gem@rpmrealestate.com.au" TargetMode="External"/><Relationship Id="rId1142" Type="http://schemas.openxmlformats.org/officeDocument/2006/relationships/hyperlink" Target="mailto:riverdalevillage@latituderealestate.com.au" TargetMode="External"/><Relationship Id="rId2400" Type="http://schemas.openxmlformats.org/officeDocument/2006/relationships/hyperlink" Target="mailto:b.ellis@oliverhume.com.au" TargetMode="External"/><Relationship Id="rId1002" Type="http://schemas.openxmlformats.org/officeDocument/2006/relationships/hyperlink" Target="mailto:tim@costaland.com.au" TargetMode="External"/><Relationship Id="rId1959" Type="http://schemas.openxmlformats.org/officeDocument/2006/relationships/hyperlink" Target="mailto:adam@rpmrealestate.com.au" TargetMode="External"/><Relationship Id="rId1819" Type="http://schemas.openxmlformats.org/officeDocument/2006/relationships/hyperlink" Target="mailto:approval@ngdd.com.au" TargetMode="External"/><Relationship Id="rId2190" Type="http://schemas.openxmlformats.org/officeDocument/2006/relationships/hyperlink" Target="mailto:bhalsall@buxton.com.au" TargetMode="External"/><Relationship Id="rId3034" Type="http://schemas.openxmlformats.org/officeDocument/2006/relationships/hyperlink" Target="mailto:rob@machgreen.com.au" TargetMode="External"/><Relationship Id="rId162" Type="http://schemas.openxmlformats.org/officeDocument/2006/relationships/hyperlink" Target="mailto:ann@riverinarise.com.au" TargetMode="External"/><Relationship Id="rId2050" Type="http://schemas.openxmlformats.org/officeDocument/2006/relationships/hyperlink" Target="mailto:creekstone@rpmrealestate.com.au" TargetMode="External"/><Relationship Id="rId3101" Type="http://schemas.openxmlformats.org/officeDocument/2006/relationships/hyperlink" Target="mailto:riverwalk@rpmrealestate.com.au" TargetMode="External"/><Relationship Id="rId979" Type="http://schemas.openxmlformats.org/officeDocument/2006/relationships/hyperlink" Target="mailto:daniels@lotusliving.com.au" TargetMode="External"/><Relationship Id="rId839" Type="http://schemas.openxmlformats.org/officeDocument/2006/relationships/hyperlink" Target="mailto:nataliep@wofldene.com.au" TargetMode="External"/><Relationship Id="rId1469" Type="http://schemas.openxmlformats.org/officeDocument/2006/relationships/hyperlink" Target="mailto:kim.mair@frasersproperty.com.au" TargetMode="External"/><Relationship Id="rId2867" Type="http://schemas.openxmlformats.org/officeDocument/2006/relationships/hyperlink" Target="mailto:forrestgreen@rpmrealestate.com.au" TargetMode="External"/><Relationship Id="rId1676" Type="http://schemas.openxmlformats.org/officeDocument/2006/relationships/hyperlink" Target="mailto:ann@emerldparktarneit.com.au" TargetMode="External"/><Relationship Id="rId1883" Type="http://schemas.openxmlformats.org/officeDocument/2006/relationships/hyperlink" Target="mailto:khewitt@hockingstuart.com.au" TargetMode="External"/><Relationship Id="rId2727" Type="http://schemas.openxmlformats.org/officeDocument/2006/relationships/hyperlink" Target="mailto:riverhills@rpmrealestate.com.au" TargetMode="External"/><Relationship Id="rId2934" Type="http://schemas.openxmlformats.org/officeDocument/2006/relationships/hyperlink" Target="mailto:GRACE@OLIVERHUME.COM.AU" TargetMode="External"/><Relationship Id="rId906" Type="http://schemas.openxmlformats.org/officeDocument/2006/relationships/hyperlink" Target="mailto:thuyen@bpg.com.au" TargetMode="External"/><Relationship Id="rId1329" Type="http://schemas.openxmlformats.org/officeDocument/2006/relationships/hyperlink" Target="mailto:s.fuss@oliverhume.com.au" TargetMode="External"/><Relationship Id="rId1536" Type="http://schemas.openxmlformats.org/officeDocument/2006/relationships/hyperlink" Target="mailto:admin@woodlea.com.au" TargetMode="External"/><Relationship Id="rId1743" Type="http://schemas.openxmlformats.org/officeDocument/2006/relationships/hyperlink" Target="mailto:steviec@satterley.com.au" TargetMode="External"/><Relationship Id="rId1950" Type="http://schemas.openxmlformats.org/officeDocument/2006/relationships/hyperlink" Target="mailto:jason@red23.com.au" TargetMode="External"/><Relationship Id="rId35" Type="http://schemas.openxmlformats.org/officeDocument/2006/relationships/hyperlink" Target="mailto:Adam@red23.com.au" TargetMode="External"/><Relationship Id="rId1603" Type="http://schemas.openxmlformats.org/officeDocument/2006/relationships/hyperlink" Target="mailto:nataliep@wofldene.com.au" TargetMode="External"/><Relationship Id="rId1810" Type="http://schemas.openxmlformats.org/officeDocument/2006/relationships/hyperlink" Target="mailto:heather@kaikura.com.au" TargetMode="External"/><Relationship Id="rId489" Type="http://schemas.openxmlformats.org/officeDocument/2006/relationships/hyperlink" Target="mailto:markd@satterley.com.au" TargetMode="External"/><Relationship Id="rId696" Type="http://schemas.openxmlformats.org/officeDocument/2006/relationships/hyperlink" Target="mailto:kristyn@krpeters.com.au" TargetMode="External"/><Relationship Id="rId2377" Type="http://schemas.openxmlformats.org/officeDocument/2006/relationships/hyperlink" Target="mailto:r.newman@oliverhume.com.au" TargetMode="External"/><Relationship Id="rId2584" Type="http://schemas.openxmlformats.org/officeDocument/2006/relationships/hyperlink" Target="mailto:sales@parkviewlara.com.au" TargetMode="External"/><Relationship Id="rId2791" Type="http://schemas.openxmlformats.org/officeDocument/2006/relationships/hyperlink" Target="mailto:admin@woodlea.com.au" TargetMode="External"/><Relationship Id="rId349" Type="http://schemas.openxmlformats.org/officeDocument/2006/relationships/hyperlink" Target="mailto:stgermain@rpmrealestate.com.au" TargetMode="External"/><Relationship Id="rId556" Type="http://schemas.openxmlformats.org/officeDocument/2006/relationships/hyperlink" Target="mailto:alira@rpmrealestate.com.au" TargetMode="External"/><Relationship Id="rId763" Type="http://schemas.openxmlformats.org/officeDocument/2006/relationships/hyperlink" Target="mailto:m.nastic@oliverhume.com.au" TargetMode="External"/><Relationship Id="rId1186" Type="http://schemas.openxmlformats.org/officeDocument/2006/relationships/hyperlink" Target="mailto:wynbrook@rpmrealestate.com.au" TargetMode="External"/><Relationship Id="rId1393" Type="http://schemas.openxmlformats.org/officeDocument/2006/relationships/hyperlink" Target="mailto:daniel.lock@mirvac.com" TargetMode="External"/><Relationship Id="rId2237" Type="http://schemas.openxmlformats.org/officeDocument/2006/relationships/hyperlink" Target="mailto:anne.cross@lendlease.com" TargetMode="External"/><Relationship Id="rId2444" Type="http://schemas.openxmlformats.org/officeDocument/2006/relationships/hyperlink" Target="mailto:Aida.Kubat@denniscorp.com.au" TargetMode="External"/><Relationship Id="rId209" Type="http://schemas.openxmlformats.org/officeDocument/2006/relationships/hyperlink" Target="mailto:drokka@core-projects.com.au" TargetMode="External"/><Relationship Id="rId416" Type="http://schemas.openxmlformats.org/officeDocument/2006/relationships/hyperlink" Target="mailto:b.ellis@oliverhume.com.au" TargetMode="External"/><Relationship Id="rId970" Type="http://schemas.openxmlformats.org/officeDocument/2006/relationships/hyperlink" Target="mailto:sales@bisinella.com.au" TargetMode="External"/><Relationship Id="rId1046" Type="http://schemas.openxmlformats.org/officeDocument/2006/relationships/hyperlink" Target="mailto:stgermain@rpmrealestate.com.au" TargetMode="External"/><Relationship Id="rId1253" Type="http://schemas.openxmlformats.org/officeDocument/2006/relationships/hyperlink" Target="mailto:tim@costaland.com.au" TargetMode="External"/><Relationship Id="rId2651" Type="http://schemas.openxmlformats.org/officeDocument/2006/relationships/hyperlink" Target="mailto:joea@maxbrown.com.au" TargetMode="External"/><Relationship Id="rId623" Type="http://schemas.openxmlformats.org/officeDocument/2006/relationships/hyperlink" Target="mailto:Eliston@rpmrealestate.com.au" TargetMode="External"/><Relationship Id="rId830" Type="http://schemas.openxmlformats.org/officeDocument/2006/relationships/hyperlink" Target="mailto:admin@woodlea.com.au" TargetMode="External"/><Relationship Id="rId1460" Type="http://schemas.openxmlformats.org/officeDocument/2006/relationships/hyperlink" Target="mailto:sales@katandrarise.com.au" TargetMode="External"/><Relationship Id="rId2304" Type="http://schemas.openxmlformats.org/officeDocument/2006/relationships/hyperlink" Target="mailto:jessica.hammond@stockland.com.au" TargetMode="External"/><Relationship Id="rId2511" Type="http://schemas.openxmlformats.org/officeDocument/2006/relationships/hyperlink" Target="mailto:cpearson@westbrookestate.com.au" TargetMode="External"/><Relationship Id="rId1113" Type="http://schemas.openxmlformats.org/officeDocument/2006/relationships/hyperlink" Target="mailto:evin@eightpi.com.au" TargetMode="External"/><Relationship Id="rId1320" Type="http://schemas.openxmlformats.org/officeDocument/2006/relationships/hyperlink" Target="mailto:beau.c@spiregroup.net.au" TargetMode="External"/><Relationship Id="rId3078" Type="http://schemas.openxmlformats.org/officeDocument/2006/relationships/hyperlink" Target="http://www.hallandwilcox.com.au/" TargetMode="External"/><Relationship Id="rId2094" Type="http://schemas.openxmlformats.org/officeDocument/2006/relationships/hyperlink" Target="mailto:alira@rpmrealestate.com.au" TargetMode="External"/><Relationship Id="rId273" Type="http://schemas.openxmlformats.org/officeDocument/2006/relationships/hyperlink" Target="mailto:b.ellis@oliverhume.com.au" TargetMode="External"/><Relationship Id="rId480" Type="http://schemas.openxmlformats.org/officeDocument/2006/relationships/hyperlink" Target="mailto:Jason.Hynek@stockland.com.au" TargetMode="External"/><Relationship Id="rId2161" Type="http://schemas.openxmlformats.org/officeDocument/2006/relationships/hyperlink" Target="mailto:LVojneska@denniscorp.com.au" TargetMode="External"/><Relationship Id="rId3005" Type="http://schemas.openxmlformats.org/officeDocument/2006/relationships/hyperlink" Target="mailto:rob@machgreen.com.au" TargetMode="External"/><Relationship Id="rId133" Type="http://schemas.openxmlformats.org/officeDocument/2006/relationships/hyperlink" Target="mailto:ted@wolfdene.com.au" TargetMode="External"/><Relationship Id="rId340" Type="http://schemas.openxmlformats.org/officeDocument/2006/relationships/hyperlink" Target="mailto:kassy@kaikura.com.au" TargetMode="External"/><Relationship Id="rId2021" Type="http://schemas.openxmlformats.org/officeDocument/2006/relationships/hyperlink" Target="mailto:rivulet@rpmrealestate.com.au" TargetMode="External"/><Relationship Id="rId200" Type="http://schemas.openxmlformats.org/officeDocument/2006/relationships/hyperlink" Target="mailto:tulliallan@rpmrealestate.com.au" TargetMode="External"/><Relationship Id="rId2978" Type="http://schemas.openxmlformats.org/officeDocument/2006/relationships/hyperlink" Target="mailto:michael@thelandco.com.au" TargetMode="External"/><Relationship Id="rId1787" Type="http://schemas.openxmlformats.org/officeDocument/2006/relationships/hyperlink" Target="mailto:kassy@kaikura.com.au" TargetMode="External"/><Relationship Id="rId1994" Type="http://schemas.openxmlformats.org/officeDocument/2006/relationships/hyperlink" Target="mailto:Courtney.tattersall@peet.com.au" TargetMode="External"/><Relationship Id="rId2838" Type="http://schemas.openxmlformats.org/officeDocument/2006/relationships/hyperlink" Target="mailto:Kim.Mair@fraserproperty.com.au" TargetMode="External"/><Relationship Id="rId79" Type="http://schemas.openxmlformats.org/officeDocument/2006/relationships/hyperlink" Target="mailto:r.newman@oliverhume.com.au" TargetMode="External"/><Relationship Id="rId1647" Type="http://schemas.openxmlformats.org/officeDocument/2006/relationships/hyperlink" Target="mailto:jan@catalinapointcook.com.au" TargetMode="External"/><Relationship Id="rId1854" Type="http://schemas.openxmlformats.org/officeDocument/2006/relationships/hyperlink" Target="mailto:andy@red23.com.au" TargetMode="External"/><Relationship Id="rId2905" Type="http://schemas.openxmlformats.org/officeDocument/2006/relationships/hyperlink" Target="mailto:chris.walker@stockland.com.au" TargetMode="External"/><Relationship Id="rId1507" Type="http://schemas.openxmlformats.org/officeDocument/2006/relationships/hyperlink" Target="mailto:stgermain@rpmrealestate.com.au" TargetMode="External"/><Relationship Id="rId1714" Type="http://schemas.openxmlformats.org/officeDocument/2006/relationships/hyperlink" Target="mailto:s.fuss@oliverhume.com.au" TargetMode="External"/><Relationship Id="rId1921" Type="http://schemas.openxmlformats.org/officeDocument/2006/relationships/hyperlink" Target="mailto:ann@emerldparktarneit.com.au" TargetMode="External"/><Relationship Id="rId2488" Type="http://schemas.openxmlformats.org/officeDocument/2006/relationships/hyperlink" Target="mailto:kim.mair@frasersproperty.com.au" TargetMode="External"/><Relationship Id="rId1297" Type="http://schemas.openxmlformats.org/officeDocument/2006/relationships/hyperlink" Target="mailto:will.munro@raywhite.com" TargetMode="External"/><Relationship Id="rId2695" Type="http://schemas.openxmlformats.org/officeDocument/2006/relationships/hyperlink" Target="mailto:sales@parkviewlara.com.au" TargetMode="External"/><Relationship Id="rId667" Type="http://schemas.openxmlformats.org/officeDocument/2006/relationships/hyperlink" Target="mailto:z.stojanovski@oliverhume.com.au" TargetMode="External"/><Relationship Id="rId874" Type="http://schemas.openxmlformats.org/officeDocument/2006/relationships/hyperlink" Target="mailto:rob.polec@denniscorp.com.au" TargetMode="External"/><Relationship Id="rId2348" Type="http://schemas.openxmlformats.org/officeDocument/2006/relationships/hyperlink" Target="mailto:tim@smithspark.com.au" TargetMode="External"/><Relationship Id="rId2555" Type="http://schemas.openxmlformats.org/officeDocument/2006/relationships/hyperlink" Target="mailto:info@costaland.com.au" TargetMode="External"/><Relationship Id="rId2762" Type="http://schemas.openxmlformats.org/officeDocument/2006/relationships/hyperlink" Target="mailto:mandalay@rpmrealestate.com.au" TargetMode="External"/><Relationship Id="rId527" Type="http://schemas.openxmlformats.org/officeDocument/2006/relationships/hyperlink" Target="mailto:markd@satterley.com.au" TargetMode="External"/><Relationship Id="rId734" Type="http://schemas.openxmlformats.org/officeDocument/2006/relationships/hyperlink" Target="mailto:kunal@red23.com.au" TargetMode="External"/><Relationship Id="rId941" Type="http://schemas.openxmlformats.org/officeDocument/2006/relationships/hyperlink" Target="mailto:ian@krpeters.com.au" TargetMode="External"/><Relationship Id="rId1157" Type="http://schemas.openxmlformats.org/officeDocument/2006/relationships/hyperlink" Target="mailto:sergio@acere.com.au" TargetMode="External"/><Relationship Id="rId1364" Type="http://schemas.openxmlformats.org/officeDocument/2006/relationships/hyperlink" Target="mailto:khoa@wolfdene.com.au" TargetMode="External"/><Relationship Id="rId1571" Type="http://schemas.openxmlformats.org/officeDocument/2006/relationships/hyperlink" Target="mailto:olivia@latituderealestate.com.au" TargetMode="External"/><Relationship Id="rId2208" Type="http://schemas.openxmlformats.org/officeDocument/2006/relationships/hyperlink" Target="mailto:sergio@alc.land" TargetMode="External"/><Relationship Id="rId2415" Type="http://schemas.openxmlformats.org/officeDocument/2006/relationships/hyperlink" Target="mailto:dennis.rabba@growland.com.au" TargetMode="External"/><Relationship Id="rId2622" Type="http://schemas.openxmlformats.org/officeDocument/2006/relationships/hyperlink" Target="mailto:kim.mair@frasersproperty.com.au" TargetMode="External"/><Relationship Id="rId70" Type="http://schemas.openxmlformats.org/officeDocument/2006/relationships/hyperlink" Target="mailto:annadale@rpmrealestate.com.au" TargetMode="External"/><Relationship Id="rId801" Type="http://schemas.openxmlformats.org/officeDocument/2006/relationships/hyperlink" Target="mailto:riverdalevillage@latituderealestate.com.au" TargetMode="External"/><Relationship Id="rId1017" Type="http://schemas.openxmlformats.org/officeDocument/2006/relationships/hyperlink" Target="mailto:kassy@kaikura.com.au" TargetMode="External"/><Relationship Id="rId1224" Type="http://schemas.openxmlformats.org/officeDocument/2006/relationships/hyperlink" Target="mailto:wayne@oceangroverealestate.com.au" TargetMode="External"/><Relationship Id="rId1431" Type="http://schemas.openxmlformats.org/officeDocument/2006/relationships/hyperlink" Target="mailto:ben@prdballarat.com.au" TargetMode="External"/><Relationship Id="rId3049" Type="http://schemas.openxmlformats.org/officeDocument/2006/relationships/hyperlink" Target="mailto:ann@emerldparktarneit.com.au" TargetMode="External"/><Relationship Id="rId177" Type="http://schemas.openxmlformats.org/officeDocument/2006/relationships/hyperlink" Target="mailto:m.nastic@oliverhume.com.au" TargetMode="External"/><Relationship Id="rId384" Type="http://schemas.openxmlformats.org/officeDocument/2006/relationships/hyperlink" Target="mailto:markd@satterley.com.au" TargetMode="External"/><Relationship Id="rId591" Type="http://schemas.openxmlformats.org/officeDocument/2006/relationships/hyperlink" Target="mailto:m.nastic@oliverhume.com.au" TargetMode="External"/><Relationship Id="rId2065" Type="http://schemas.openxmlformats.org/officeDocument/2006/relationships/hyperlink" Target="mailto:curtis@armstrongrealestate.com.au" TargetMode="External"/><Relationship Id="rId2272" Type="http://schemas.openxmlformats.org/officeDocument/2006/relationships/hyperlink" Target="mailto:westwood2@rpmrealestate.com.au" TargetMode="External"/><Relationship Id="rId3116" Type="http://schemas.openxmlformats.org/officeDocument/2006/relationships/hyperlink" Target="mailto:oakgrove@rpmgrp.com.au" TargetMode="External"/><Relationship Id="rId244" Type="http://schemas.openxmlformats.org/officeDocument/2006/relationships/hyperlink" Target="mailto:mandalay@rpmrealestate.com.au" TargetMode="External"/><Relationship Id="rId1081" Type="http://schemas.openxmlformats.org/officeDocument/2006/relationships/hyperlink" Target="mailto:daniels@lotusliving.com.au" TargetMode="External"/><Relationship Id="rId451" Type="http://schemas.openxmlformats.org/officeDocument/2006/relationships/hyperlink" Target="mailto:angelo.granata@peet.com.au" TargetMode="External"/><Relationship Id="rId2132" Type="http://schemas.openxmlformats.org/officeDocument/2006/relationships/hyperlink" Target="mailto:ben@prdballarat.com.au" TargetMode="External"/><Relationship Id="rId104" Type="http://schemas.openxmlformats.org/officeDocument/2006/relationships/hyperlink" Target="mailto:Emma.Nelson@peet.com.au" TargetMode="External"/><Relationship Id="rId311" Type="http://schemas.openxmlformats.org/officeDocument/2006/relationships/hyperlink" Target="mailto:diamondrise@rpmrealestate.com.au" TargetMode="External"/><Relationship Id="rId1898" Type="http://schemas.openxmlformats.org/officeDocument/2006/relationships/hyperlink" Target="mailto:platinumrise@a1group.com.au" TargetMode="External"/><Relationship Id="rId2949" Type="http://schemas.openxmlformats.org/officeDocument/2006/relationships/hyperlink" Target="mailto:r.miric@oliverhume.com.au" TargetMode="External"/><Relationship Id="rId1758" Type="http://schemas.openxmlformats.org/officeDocument/2006/relationships/hyperlink" Target="mailto:stgermain@rpmrealestate.com.au" TargetMode="External"/><Relationship Id="rId2809" Type="http://schemas.openxmlformats.org/officeDocument/2006/relationships/hyperlink" Target="mailto:adam@rpmrealestate.com.au" TargetMode="External"/><Relationship Id="rId1965" Type="http://schemas.openxmlformats.org/officeDocument/2006/relationships/hyperlink" Target="mailto:ted@kohamproperty.com" TargetMode="External"/><Relationship Id="rId1618" Type="http://schemas.openxmlformats.org/officeDocument/2006/relationships/hyperlink" Target="mailto:chris.walker@stockland.com.au" TargetMode="External"/><Relationship Id="rId1825" Type="http://schemas.openxmlformats.org/officeDocument/2006/relationships/hyperlink" Target="mailto:steviec@satterley.com.au" TargetMode="External"/><Relationship Id="rId3040" Type="http://schemas.openxmlformats.org/officeDocument/2006/relationships/hyperlink" Target="mailto:thuyen.nguyen@growland.com.au" TargetMode="External"/><Relationship Id="rId2599" Type="http://schemas.openxmlformats.org/officeDocument/2006/relationships/hyperlink" Target="mailto:patricio@rivervalley.com.au" TargetMode="External"/><Relationship Id="rId778" Type="http://schemas.openxmlformats.org/officeDocument/2006/relationships/hyperlink" Target="mailto:Emma.Nelson@peet.com.au" TargetMode="External"/><Relationship Id="rId985" Type="http://schemas.openxmlformats.org/officeDocument/2006/relationships/hyperlink" Target="mailto:riverwalk@rpmrealestate.com.au" TargetMode="External"/><Relationship Id="rId2459" Type="http://schemas.openxmlformats.org/officeDocument/2006/relationships/hyperlink" Target="mailto:lucy@rpmrealestate.com.au" TargetMode="External"/><Relationship Id="rId2666" Type="http://schemas.openxmlformats.org/officeDocument/2006/relationships/hyperlink" Target="mailto:i.tanti@oliverhume.com.au" TargetMode="External"/><Relationship Id="rId2873" Type="http://schemas.openxmlformats.org/officeDocument/2006/relationships/hyperlink" Target="mailto:thuyen@bpg.com.au" TargetMode="External"/><Relationship Id="rId638" Type="http://schemas.openxmlformats.org/officeDocument/2006/relationships/hyperlink" Target="mailto:adam@rpmrealestate.com.au" TargetMode="External"/><Relationship Id="rId845" Type="http://schemas.openxmlformats.org/officeDocument/2006/relationships/hyperlink" Target="mailto:chris.walker@stockland.com.au" TargetMode="External"/><Relationship Id="rId1268" Type="http://schemas.openxmlformats.org/officeDocument/2006/relationships/hyperlink" Target="mailto:kassy@kaikura.com.au" TargetMode="External"/><Relationship Id="rId1475" Type="http://schemas.openxmlformats.org/officeDocument/2006/relationships/hyperlink" Target="mailto:austin@latituderealestate.com.au" TargetMode="External"/><Relationship Id="rId1682" Type="http://schemas.openxmlformats.org/officeDocument/2006/relationships/hyperlink" Target="mailto:info@banriar.com.au" TargetMode="External"/><Relationship Id="rId2319" Type="http://schemas.openxmlformats.org/officeDocument/2006/relationships/hyperlink" Target="mailto:ann@emerldparktarneit.com.au" TargetMode="External"/><Relationship Id="rId2526" Type="http://schemas.openxmlformats.org/officeDocument/2006/relationships/hyperlink" Target="mailto:Kim.Mair@fraserproperty.com.au" TargetMode="External"/><Relationship Id="rId2733" Type="http://schemas.openxmlformats.org/officeDocument/2006/relationships/hyperlink" Target="mailto:thuyen@bpg.com.au" TargetMode="External"/><Relationship Id="rId705" Type="http://schemas.openxmlformats.org/officeDocument/2006/relationships/hyperlink" Target="mailto:Janet.Skinner@peet.com.au" TargetMode="External"/><Relationship Id="rId1128" Type="http://schemas.openxmlformats.org/officeDocument/2006/relationships/hyperlink" Target="mailto:ted@wolfdene.com.au" TargetMode="External"/><Relationship Id="rId1335" Type="http://schemas.openxmlformats.org/officeDocument/2006/relationships/hyperlink" Target="mailto:arnoldscreek.melton@rh.com.au" TargetMode="External"/><Relationship Id="rId1542" Type="http://schemas.openxmlformats.org/officeDocument/2006/relationships/hyperlink" Target="mailto:sfrader@barryplant.com.au" TargetMode="External"/><Relationship Id="rId2940" Type="http://schemas.openxmlformats.org/officeDocument/2006/relationships/hyperlink" Target="mailto:s.datti@oliverhume.com.au" TargetMode="External"/><Relationship Id="rId912" Type="http://schemas.openxmlformats.org/officeDocument/2006/relationships/hyperlink" Target="mailto:ashwin.sethi@stockland.com.au" TargetMode="External"/><Relationship Id="rId2800" Type="http://schemas.openxmlformats.org/officeDocument/2006/relationships/hyperlink" Target="mailto:LVojneska@denniscorp.com.au" TargetMode="External"/><Relationship Id="rId41" Type="http://schemas.openxmlformats.org/officeDocument/2006/relationships/hyperlink" Target="mailto:callum@pinnacledevelopments.com.au" TargetMode="External"/><Relationship Id="rId1402" Type="http://schemas.openxmlformats.org/officeDocument/2006/relationships/hyperlink" Target="mailto:t.leggatt@oliverhume.com.au" TargetMode="External"/><Relationship Id="rId288" Type="http://schemas.openxmlformats.org/officeDocument/2006/relationships/hyperlink" Target="mailto:kassy@kaikura.com.au" TargetMode="External"/><Relationship Id="rId495" Type="http://schemas.openxmlformats.org/officeDocument/2006/relationships/hyperlink" Target="mailto:Adam@red23.com.au" TargetMode="External"/><Relationship Id="rId2176" Type="http://schemas.openxmlformats.org/officeDocument/2006/relationships/hyperlink" Target="mailto:mandalay@rpmrealestate.com.au" TargetMode="External"/><Relationship Id="rId2383" Type="http://schemas.openxmlformats.org/officeDocument/2006/relationships/hyperlink" Target="mailto:asharma@camdenplace.com.au" TargetMode="External"/><Relationship Id="rId2590" Type="http://schemas.openxmlformats.org/officeDocument/2006/relationships/hyperlink" Target="mailto:rivulet@rpmrealestate.com.au" TargetMode="External"/><Relationship Id="rId148" Type="http://schemas.openxmlformats.org/officeDocument/2006/relationships/hyperlink" Target="mailto:kristyn@krpeters.com.au" TargetMode="External"/><Relationship Id="rId355" Type="http://schemas.openxmlformats.org/officeDocument/2006/relationships/hyperlink" Target="mailto:andy@red23.com.au" TargetMode="External"/><Relationship Id="rId562" Type="http://schemas.openxmlformats.org/officeDocument/2006/relationships/hyperlink" Target="mailto:ashwin.sethi@stockland.com.au" TargetMode="External"/><Relationship Id="rId1192" Type="http://schemas.openxmlformats.org/officeDocument/2006/relationships/hyperlink" Target="mailto:kunal@red23.com.au" TargetMode="External"/><Relationship Id="rId2036" Type="http://schemas.openxmlformats.org/officeDocument/2006/relationships/hyperlink" Target="mailto:kunal@red23.com.au" TargetMode="External"/><Relationship Id="rId2243" Type="http://schemas.openxmlformats.org/officeDocument/2006/relationships/hyperlink" Target="mailto:mandalay@rpmrealestate.com.au" TargetMode="External"/><Relationship Id="rId2450" Type="http://schemas.openxmlformats.org/officeDocument/2006/relationships/hyperlink" Target="mailto:Courtney.tattersall@peet.com.au" TargetMode="External"/><Relationship Id="rId215" Type="http://schemas.openxmlformats.org/officeDocument/2006/relationships/hyperlink" Target="mailto:thornhillpark@rpmrealestate.com.au" TargetMode="External"/><Relationship Id="rId422" Type="http://schemas.openxmlformats.org/officeDocument/2006/relationships/hyperlink" Target="mailto:diamondrise@rpmrealestate.com.au" TargetMode="External"/><Relationship Id="rId1052" Type="http://schemas.openxmlformats.org/officeDocument/2006/relationships/hyperlink" Target="mailto:ashwin.sethi@stockland.com.au" TargetMode="External"/><Relationship Id="rId2103" Type="http://schemas.openxmlformats.org/officeDocument/2006/relationships/hyperlink" Target="mailto:austin@latituderealestate.com.au" TargetMode="External"/><Relationship Id="rId2310" Type="http://schemas.openxmlformats.org/officeDocument/2006/relationships/hyperlink" Target="mailto:ian@krpeters.com.au" TargetMode="External"/><Relationship Id="rId1869" Type="http://schemas.openxmlformats.org/officeDocument/2006/relationships/hyperlink" Target="mailto:sales@aldoestate.com.au" TargetMode="External"/><Relationship Id="rId3084" Type="http://schemas.openxmlformats.org/officeDocument/2006/relationships/hyperlink" Target="mailto:b.ellis@oliverhume.com.au" TargetMode="External"/><Relationship Id="rId1729" Type="http://schemas.openxmlformats.org/officeDocument/2006/relationships/hyperlink" Target="mailto:paige.s@red23.com.au" TargetMode="External"/><Relationship Id="rId1936" Type="http://schemas.openxmlformats.org/officeDocument/2006/relationships/hyperlink" Target="mailto:Catherine@yourland.com" TargetMode="External"/><Relationship Id="rId3011" Type="http://schemas.openxmlformats.org/officeDocument/2006/relationships/hyperlink" Target="mailto:daniel.lock@mirvac.com" TargetMode="External"/><Relationship Id="rId5" Type="http://schemas.openxmlformats.org/officeDocument/2006/relationships/hyperlink" Target="mailto:riverwalk@rpmrealestate.com.au" TargetMode="External"/><Relationship Id="rId889" Type="http://schemas.openxmlformats.org/officeDocument/2006/relationships/hyperlink" Target="mailto:t.ogrady@oliverhume.com.au" TargetMode="External"/><Relationship Id="rId2777" Type="http://schemas.openxmlformats.org/officeDocument/2006/relationships/hyperlink" Target="mailto:thuyen@bpg.com.au" TargetMode="External"/><Relationship Id="rId749" Type="http://schemas.openxmlformats.org/officeDocument/2006/relationships/hyperlink" Target="mailto:alira@rpmrealestate.com.au" TargetMode="External"/><Relationship Id="rId1379" Type="http://schemas.openxmlformats.org/officeDocument/2006/relationships/hyperlink" Target="mailto:andrewd@villawoodproperties.com" TargetMode="External"/><Relationship Id="rId1586" Type="http://schemas.openxmlformats.org/officeDocument/2006/relationships/hyperlink" Target="mailto:olivia@latituderealestate.com.au" TargetMode="External"/><Relationship Id="rId2984" Type="http://schemas.openxmlformats.org/officeDocument/2006/relationships/hyperlink" Target="mailto:monica.quaresima@stockland.com.au" TargetMode="External"/><Relationship Id="rId609" Type="http://schemas.openxmlformats.org/officeDocument/2006/relationships/hyperlink" Target="mailto:ashwin.sethi@stockland.com.au" TargetMode="External"/><Relationship Id="rId956" Type="http://schemas.openxmlformats.org/officeDocument/2006/relationships/hyperlink" Target="mailto:tim@costaland.com.au" TargetMode="External"/><Relationship Id="rId1239" Type="http://schemas.openxmlformats.org/officeDocument/2006/relationships/hyperlink" Target="mailto:austin@latituderealestate.com.au" TargetMode="External"/><Relationship Id="rId1793" Type="http://schemas.openxmlformats.org/officeDocument/2006/relationships/hyperlink" Target="mailto:thuyen@bpg.com.au" TargetMode="External"/><Relationship Id="rId2637" Type="http://schemas.openxmlformats.org/officeDocument/2006/relationships/hyperlink" Target="mailto:LVojneska@denniscorp.com.au" TargetMode="External"/><Relationship Id="rId2844" Type="http://schemas.openxmlformats.org/officeDocument/2006/relationships/hyperlink" Target="mailto:sales@estategurus.com.au" TargetMode="External"/><Relationship Id="rId85" Type="http://schemas.openxmlformats.org/officeDocument/2006/relationships/hyperlink" Target="mailto:anne.cross@lendlease.com" TargetMode="External"/><Relationship Id="rId816" Type="http://schemas.openxmlformats.org/officeDocument/2006/relationships/hyperlink" Target="mailto:Rothwell@rpmrealestate.com.au" TargetMode="External"/><Relationship Id="rId1446" Type="http://schemas.openxmlformats.org/officeDocument/2006/relationships/hyperlink" Target="mailto:ann@emerldparktarneit.com.au" TargetMode="External"/><Relationship Id="rId1653" Type="http://schemas.openxmlformats.org/officeDocument/2006/relationships/hyperlink" Target="mailto:khoa@wofldene.com.au" TargetMode="External"/><Relationship Id="rId1860" Type="http://schemas.openxmlformats.org/officeDocument/2006/relationships/hyperlink" Target="mailto:d.halsey@oliverhume.com.au" TargetMode="External"/><Relationship Id="rId2704" Type="http://schemas.openxmlformats.org/officeDocument/2006/relationships/hyperlink" Target="mailto:lreynolds@avidpropertygroup.com.au" TargetMode="External"/><Relationship Id="rId2911" Type="http://schemas.openxmlformats.org/officeDocument/2006/relationships/hyperlink" Target="mailto:ian@krpeters.com.au" TargetMode="External"/><Relationship Id="rId1306" Type="http://schemas.openxmlformats.org/officeDocument/2006/relationships/hyperlink" Target="mailto:cmccormack@avidpropertygroup.com.au" TargetMode="External"/><Relationship Id="rId1513" Type="http://schemas.openxmlformats.org/officeDocument/2006/relationships/hyperlink" Target="mailto:Catherine@yourland.com" TargetMode="External"/><Relationship Id="rId1720" Type="http://schemas.openxmlformats.org/officeDocument/2006/relationships/hyperlink" Target="mailto:d.halsey@oliverhume.com.au" TargetMode="External"/><Relationship Id="rId12" Type="http://schemas.openxmlformats.org/officeDocument/2006/relationships/hyperlink" Target="mailto:chris.walker@stockland.com.au" TargetMode="External"/><Relationship Id="rId399" Type="http://schemas.openxmlformats.org/officeDocument/2006/relationships/hyperlink" Target="mailto:riverwalk@rpmrealestate.com.au" TargetMode="External"/><Relationship Id="rId2287" Type="http://schemas.openxmlformats.org/officeDocument/2006/relationships/hyperlink" Target="mailto:d.halsey@oliverhume.com.au" TargetMode="External"/><Relationship Id="rId2494" Type="http://schemas.openxmlformats.org/officeDocument/2006/relationships/hyperlink" Target="mailto:adam@rpmrealestate.com.au" TargetMode="External"/><Relationship Id="rId259" Type="http://schemas.openxmlformats.org/officeDocument/2006/relationships/hyperlink" Target="mailto:sara.lowe@eigdevelopments.com.au" TargetMode="External"/><Relationship Id="rId466" Type="http://schemas.openxmlformats.org/officeDocument/2006/relationships/hyperlink" Target="mailto:Adam@red23.com.au" TargetMode="External"/><Relationship Id="rId673" Type="http://schemas.openxmlformats.org/officeDocument/2006/relationships/hyperlink" Target="mailto:atherstone@lendlease.com" TargetMode="External"/><Relationship Id="rId880" Type="http://schemas.openxmlformats.org/officeDocument/2006/relationships/hyperlink" Target="mailto:kassy@kaikura.com.au" TargetMode="External"/><Relationship Id="rId1096" Type="http://schemas.openxmlformats.org/officeDocument/2006/relationships/hyperlink" Target="mailto:Elyssia@villaworld.com.au" TargetMode="External"/><Relationship Id="rId2147" Type="http://schemas.openxmlformats.org/officeDocument/2006/relationships/hyperlink" Target="mailto:miloss@satterley.com.au" TargetMode="External"/><Relationship Id="rId2354" Type="http://schemas.openxmlformats.org/officeDocument/2006/relationships/hyperlink" Target="mailto:b.ellis@oliverhume.com.au" TargetMode="External"/><Relationship Id="rId2561" Type="http://schemas.openxmlformats.org/officeDocument/2006/relationships/hyperlink" Target="mailto:s.fuss@oliverhume.com.au" TargetMode="External"/><Relationship Id="rId119" Type="http://schemas.openxmlformats.org/officeDocument/2006/relationships/hyperlink" Target="mailto:LVojneska@denniscorp.com.au" TargetMode="External"/><Relationship Id="rId326" Type="http://schemas.openxmlformats.org/officeDocument/2006/relationships/hyperlink" Target="mailto:theivy@rpmrealestate.com.au" TargetMode="External"/><Relationship Id="rId533" Type="http://schemas.openxmlformats.org/officeDocument/2006/relationships/hyperlink" Target="mailto:nic@merndaonthepark.com.au" TargetMode="External"/><Relationship Id="rId1163" Type="http://schemas.openxmlformats.org/officeDocument/2006/relationships/hyperlink" Target="mailto:daniels@lotusliving.com.au" TargetMode="External"/><Relationship Id="rId1370" Type="http://schemas.openxmlformats.org/officeDocument/2006/relationships/hyperlink" Target="mailto:mario.roccisano@hhs.org.au" TargetMode="External"/><Relationship Id="rId2007" Type="http://schemas.openxmlformats.org/officeDocument/2006/relationships/hyperlink" Target="mailto:chris.walker@stockland.com.au" TargetMode="External"/><Relationship Id="rId2214" Type="http://schemas.openxmlformats.org/officeDocument/2006/relationships/hyperlink" Target="mailto:greg@gblproperty.com" TargetMode="External"/><Relationship Id="rId740" Type="http://schemas.openxmlformats.org/officeDocument/2006/relationships/hyperlink" Target="mailto:rosewood2@rpmrealestate.com.au" TargetMode="External"/><Relationship Id="rId1023" Type="http://schemas.openxmlformats.org/officeDocument/2006/relationships/hyperlink" Target="mailto:j.termine@oliverhume.com.au" TargetMode="External"/><Relationship Id="rId2421" Type="http://schemas.openxmlformats.org/officeDocument/2006/relationships/hyperlink" Target="mailto:Jstojanovski@coreprojects.com.au" TargetMode="External"/><Relationship Id="rId600" Type="http://schemas.openxmlformats.org/officeDocument/2006/relationships/hyperlink" Target="mailto:avishnoi@coreprojects.com.au" TargetMode="External"/><Relationship Id="rId1230" Type="http://schemas.openxmlformats.org/officeDocument/2006/relationships/hyperlink" Target="mailto:rinaldi@thewisegroup.com.au" TargetMode="External"/><Relationship Id="rId3055" Type="http://schemas.openxmlformats.org/officeDocument/2006/relationships/hyperlink" Target="mailto:prashansa@salesxwise.com.au" TargetMode="External"/><Relationship Id="rId183" Type="http://schemas.openxmlformats.org/officeDocument/2006/relationships/hyperlink" Target="mailto:admin@woodlea.com.au" TargetMode="External"/><Relationship Id="rId390" Type="http://schemas.openxmlformats.org/officeDocument/2006/relationships/hyperlink" Target="mailto:info@banriar.com.au" TargetMode="External"/><Relationship Id="rId1907" Type="http://schemas.openxmlformats.org/officeDocument/2006/relationships/hyperlink" Target="mailto:sales@bisinella.com.au" TargetMode="External"/><Relationship Id="rId2071" Type="http://schemas.openxmlformats.org/officeDocument/2006/relationships/hyperlink" Target="mailto:daniel.lock@mirvac.com" TargetMode="External"/><Relationship Id="rId3122" Type="http://schemas.openxmlformats.org/officeDocument/2006/relationships/table" Target="../tables/table20.xml"/><Relationship Id="rId250" Type="http://schemas.openxmlformats.org/officeDocument/2006/relationships/hyperlink" Target="mailto:tulliallan@rpmrealestate.com.au" TargetMode="External"/><Relationship Id="rId110" Type="http://schemas.openxmlformats.org/officeDocument/2006/relationships/hyperlink" Target="mailto:l.pappalardo@oliverhime.com.au" TargetMode="External"/><Relationship Id="rId2888" Type="http://schemas.openxmlformats.org/officeDocument/2006/relationships/hyperlink" Target="mailto:melbourne@yourland.com" TargetMode="External"/><Relationship Id="rId1697" Type="http://schemas.openxmlformats.org/officeDocument/2006/relationships/hyperlink" Target="mailto:s.fuss@oliverhume.com.au" TargetMode="External"/><Relationship Id="rId2748" Type="http://schemas.openxmlformats.org/officeDocument/2006/relationships/hyperlink" Target="mailto:ben@prdballarat.com.au" TargetMode="External"/><Relationship Id="rId2955" Type="http://schemas.openxmlformats.org/officeDocument/2006/relationships/hyperlink" Target="mailto:LVojneska@denniscorp.com.au" TargetMode="External"/><Relationship Id="rId927" Type="http://schemas.openxmlformats.org/officeDocument/2006/relationships/hyperlink" Target="mailto:jlow@core-projects.com.au" TargetMode="External"/><Relationship Id="rId1557" Type="http://schemas.openxmlformats.org/officeDocument/2006/relationships/hyperlink" Target="mailto:Jason.bertram@harcourts.com.au" TargetMode="External"/><Relationship Id="rId1764" Type="http://schemas.openxmlformats.org/officeDocument/2006/relationships/hyperlink" Target="mailto:robert.l@red23.com.au" TargetMode="External"/><Relationship Id="rId1971" Type="http://schemas.openxmlformats.org/officeDocument/2006/relationships/hyperlink" Target="mailto:mandalay@rpmrealestate.com.au" TargetMode="External"/><Relationship Id="rId2608" Type="http://schemas.openxmlformats.org/officeDocument/2006/relationships/hyperlink" Target="mailto:arramont@rpmrealestate.com.au" TargetMode="External"/><Relationship Id="rId2815" Type="http://schemas.openxmlformats.org/officeDocument/2006/relationships/hyperlink" Target="mailto:arramont@rpmrealestate.com.au" TargetMode="External"/><Relationship Id="rId56" Type="http://schemas.openxmlformats.org/officeDocument/2006/relationships/hyperlink" Target="mailto:d.rabba@oliverhume.com.au" TargetMode="External"/><Relationship Id="rId1417" Type="http://schemas.openxmlformats.org/officeDocument/2006/relationships/hyperlink" Target="mailto:ben@prdballarat.com.au" TargetMode="External"/><Relationship Id="rId1624" Type="http://schemas.openxmlformats.org/officeDocument/2006/relationships/hyperlink" Target="mailto:richard@wyndhamre.com.au" TargetMode="External"/><Relationship Id="rId1831" Type="http://schemas.openxmlformats.org/officeDocument/2006/relationships/hyperlink" Target="mailto:jan@trijena.com.au" TargetMode="External"/><Relationship Id="rId2398" Type="http://schemas.openxmlformats.org/officeDocument/2006/relationships/hyperlink" Target="mailto:austin@latituderealestate.com.au" TargetMode="External"/><Relationship Id="rId577" Type="http://schemas.openxmlformats.org/officeDocument/2006/relationships/hyperlink" Target="mailto:GRACE@OLIVERHUME.COM.AU" TargetMode="External"/><Relationship Id="rId2258" Type="http://schemas.openxmlformats.org/officeDocument/2006/relationships/hyperlink" Target="mailto:dennis.rabba@growland.com.au" TargetMode="External"/><Relationship Id="rId784" Type="http://schemas.openxmlformats.org/officeDocument/2006/relationships/hyperlink" Target="mailto:r.footman@oliverhume.com.au" TargetMode="External"/><Relationship Id="rId991" Type="http://schemas.openxmlformats.org/officeDocument/2006/relationships/hyperlink" Target="mailto:botanical@satterley.com.au" TargetMode="External"/><Relationship Id="rId1067" Type="http://schemas.openxmlformats.org/officeDocument/2006/relationships/hyperlink" Target="mailto:steviec@satterley.com.au" TargetMode="External"/><Relationship Id="rId2465" Type="http://schemas.openxmlformats.org/officeDocument/2006/relationships/hyperlink" Target="mailto:matt@wprci.com.au" TargetMode="External"/><Relationship Id="rId2672" Type="http://schemas.openxmlformats.org/officeDocument/2006/relationships/hyperlink" Target="mailto:tim@smithspark.com.au" TargetMode="External"/><Relationship Id="rId437" Type="http://schemas.openxmlformats.org/officeDocument/2006/relationships/hyperlink" Target="mailto:anne.cross@lendlease.com" TargetMode="External"/><Relationship Id="rId644" Type="http://schemas.openxmlformats.org/officeDocument/2006/relationships/hyperlink" Target="mailto:angelo.granata@peet.com.au" TargetMode="External"/><Relationship Id="rId851" Type="http://schemas.openxmlformats.org/officeDocument/2006/relationships/hyperlink" Target="mailto:r.footman@oliverhume.com.au" TargetMode="External"/><Relationship Id="rId1274" Type="http://schemas.openxmlformats.org/officeDocument/2006/relationships/hyperlink" Target="mailto:enquires@heritagerise.com.au" TargetMode="External"/><Relationship Id="rId1481" Type="http://schemas.openxmlformats.org/officeDocument/2006/relationships/hyperlink" Target="mailto:jan@catalinapointcook.com.au" TargetMode="External"/><Relationship Id="rId2118" Type="http://schemas.openxmlformats.org/officeDocument/2006/relationships/hyperlink" Target="mailto:rochelles@allam.com.au" TargetMode="External"/><Relationship Id="rId2325" Type="http://schemas.openxmlformats.org/officeDocument/2006/relationships/hyperlink" Target="mailto:t.leggatt@oliverhume.com.au" TargetMode="External"/><Relationship Id="rId2532" Type="http://schemas.openxmlformats.org/officeDocument/2006/relationships/hyperlink" Target="mailto:cpearson@westbrookestate.com.au" TargetMode="External"/><Relationship Id="rId504" Type="http://schemas.openxmlformats.org/officeDocument/2006/relationships/hyperlink" Target="mailto:kunal@red23.com.au" TargetMode="External"/><Relationship Id="rId711" Type="http://schemas.openxmlformats.org/officeDocument/2006/relationships/hyperlink" Target="mailto:annadale@rpmrealestate.com.au" TargetMode="External"/><Relationship Id="rId1134" Type="http://schemas.openxmlformats.org/officeDocument/2006/relationships/hyperlink" Target="mailto:chris.walker@stockland.com.au" TargetMode="External"/><Relationship Id="rId1341" Type="http://schemas.openxmlformats.org/officeDocument/2006/relationships/hyperlink" Target="mailto:kim.mair@frasersproperty.com.au" TargetMode="External"/><Relationship Id="rId1201" Type="http://schemas.openxmlformats.org/officeDocument/2006/relationships/hyperlink" Target="mailto:atherstone@lendlease.com" TargetMode="External"/><Relationship Id="rId3099" Type="http://schemas.openxmlformats.org/officeDocument/2006/relationships/hyperlink" Target="mailto:j.peric@oliverhume.com.au" TargetMode="External"/><Relationship Id="rId294" Type="http://schemas.openxmlformats.org/officeDocument/2006/relationships/hyperlink" Target="mailto:fputrino@coreprojects.com.au" TargetMode="External"/><Relationship Id="rId2182" Type="http://schemas.openxmlformats.org/officeDocument/2006/relationships/hyperlink" Target="mailto:ian@krpeters.com.au" TargetMode="External"/><Relationship Id="rId3026" Type="http://schemas.openxmlformats.org/officeDocument/2006/relationships/hyperlink" Target="mailto:travis@gullgroup.com.au" TargetMode="External"/><Relationship Id="rId154" Type="http://schemas.openxmlformats.org/officeDocument/2006/relationships/hyperlink" Target="mailto:ben@prdballarat.com.au" TargetMode="External"/><Relationship Id="rId361" Type="http://schemas.openxmlformats.org/officeDocument/2006/relationships/hyperlink" Target="mailto:richard@wyndhamre.com.au" TargetMode="External"/><Relationship Id="rId2042" Type="http://schemas.openxmlformats.org/officeDocument/2006/relationships/hyperlink" Target="mailto:kevin@vhls.net.au" TargetMode="External"/><Relationship Id="rId2999" Type="http://schemas.openxmlformats.org/officeDocument/2006/relationships/hyperlink" Target="mailto:matt@kodeliving.com.au" TargetMode="External"/><Relationship Id="rId221" Type="http://schemas.openxmlformats.org/officeDocument/2006/relationships/hyperlink" Target="mailto:jlow@core-projects.com.au" TargetMode="External"/><Relationship Id="rId2859" Type="http://schemas.openxmlformats.org/officeDocument/2006/relationships/hyperlink" Target="mailto:k.spencer@oliverhume.com.au" TargetMode="External"/><Relationship Id="rId1668" Type="http://schemas.openxmlformats.org/officeDocument/2006/relationships/hyperlink" Target="mailto:simon@maxwellcollins.com.au" TargetMode="External"/><Relationship Id="rId1875" Type="http://schemas.openxmlformats.org/officeDocument/2006/relationships/hyperlink" Target="mailto:ian@krpeters.com.au" TargetMode="External"/><Relationship Id="rId2719" Type="http://schemas.openxmlformats.org/officeDocument/2006/relationships/hyperlink" Target="mailto:lucy@rpmgrp.com.au" TargetMode="External"/><Relationship Id="rId1528" Type="http://schemas.openxmlformats.org/officeDocument/2006/relationships/hyperlink" Target="mailto:rhonda.humpage@stockdaleleggo.com.au" TargetMode="External"/><Relationship Id="rId2926" Type="http://schemas.openxmlformats.org/officeDocument/2006/relationships/hyperlink" Target="mailto:arvind@krpeters.com.au" TargetMode="External"/><Relationship Id="rId3090" Type="http://schemas.openxmlformats.org/officeDocument/2006/relationships/hyperlink" Target="mailto:garima.pahuja@stockland.com.au" TargetMode="External"/><Relationship Id="rId1735" Type="http://schemas.openxmlformats.org/officeDocument/2006/relationships/hyperlink" Target="mailto:jason@red23.com.au" TargetMode="External"/><Relationship Id="rId1942" Type="http://schemas.openxmlformats.org/officeDocument/2006/relationships/hyperlink" Target="mailto:austin@latituderealestate.com.au" TargetMode="External"/><Relationship Id="rId27" Type="http://schemas.openxmlformats.org/officeDocument/2006/relationships/hyperlink" Target="mailto:waterfordestate@rpm.com.au" TargetMode="External"/><Relationship Id="rId1802" Type="http://schemas.openxmlformats.org/officeDocument/2006/relationships/hyperlink" Target="mailto:platinumrise@a1group.com.au" TargetMode="External"/><Relationship Id="rId688" Type="http://schemas.openxmlformats.org/officeDocument/2006/relationships/hyperlink" Target="mailto:mandalay@rpmrealestate.com.au" TargetMode="External"/><Relationship Id="rId895" Type="http://schemas.openxmlformats.org/officeDocument/2006/relationships/hyperlink" Target="mailto:jody@ploughmansarms.com.au" TargetMode="External"/><Relationship Id="rId2369" Type="http://schemas.openxmlformats.org/officeDocument/2006/relationships/hyperlink" Target="mailto:anne.cross@lendlease.com" TargetMode="External"/><Relationship Id="rId2576" Type="http://schemas.openxmlformats.org/officeDocument/2006/relationships/hyperlink" Target="mailto:j.peric@oliverhume.com.au" TargetMode="External"/><Relationship Id="rId2783" Type="http://schemas.openxmlformats.org/officeDocument/2006/relationships/hyperlink" Target="mailto:s.fuss@oliverhume.com.au" TargetMode="External"/><Relationship Id="rId2990" Type="http://schemas.openxmlformats.org/officeDocument/2006/relationships/hyperlink" Target="mailto:m.huynh@oliverhume.com.au" TargetMode="External"/><Relationship Id="rId548" Type="http://schemas.openxmlformats.org/officeDocument/2006/relationships/hyperlink" Target="mailto:jake@red23.com.au" TargetMode="External"/><Relationship Id="rId755" Type="http://schemas.openxmlformats.org/officeDocument/2006/relationships/hyperlink" Target="mailto:David.maloney@frasers.com.au" TargetMode="External"/><Relationship Id="rId962" Type="http://schemas.openxmlformats.org/officeDocument/2006/relationships/hyperlink" Target="mailto:andrewd@villawoodproperties.com" TargetMode="External"/><Relationship Id="rId1178" Type="http://schemas.openxmlformats.org/officeDocument/2006/relationships/hyperlink" Target="mailto:sales@ambervue.com.au" TargetMode="External"/><Relationship Id="rId1385" Type="http://schemas.openxmlformats.org/officeDocument/2006/relationships/hyperlink" Target="mailto:rosenthal@rpmrealestate.com.au" TargetMode="External"/><Relationship Id="rId1592" Type="http://schemas.openxmlformats.org/officeDocument/2006/relationships/hyperlink" Target="mailto:ben@prdballarat.com.au" TargetMode="External"/><Relationship Id="rId2229" Type="http://schemas.openxmlformats.org/officeDocument/2006/relationships/hyperlink" Target="mailto:van.ritchie@yourland.com" TargetMode="External"/><Relationship Id="rId2436" Type="http://schemas.openxmlformats.org/officeDocument/2006/relationships/hyperlink" Target="mailto:anne.cross@lendlease.com" TargetMode="External"/><Relationship Id="rId2643" Type="http://schemas.openxmlformats.org/officeDocument/2006/relationships/hyperlink" Target="mailto:Courtney.tattersall@peet.com.au" TargetMode="External"/><Relationship Id="rId2850" Type="http://schemas.openxmlformats.org/officeDocument/2006/relationships/hyperlink" Target="mailto:thuyen.nguyen@growland.com.au" TargetMode="External"/><Relationship Id="rId91" Type="http://schemas.openxmlformats.org/officeDocument/2006/relationships/hyperlink" Target="mailto:cpearson@westbrookestate.com.au" TargetMode="External"/><Relationship Id="rId408" Type="http://schemas.openxmlformats.org/officeDocument/2006/relationships/hyperlink" Target="mailto:Jason.Hynek@stockland.com.au" TargetMode="External"/><Relationship Id="rId615" Type="http://schemas.openxmlformats.org/officeDocument/2006/relationships/hyperlink" Target="mailto:admin@woodlea.com.au" TargetMode="External"/><Relationship Id="rId822" Type="http://schemas.openxmlformats.org/officeDocument/2006/relationships/hyperlink" Target="mailto:arnoldscreek.melton@rh.com.au" TargetMode="External"/><Relationship Id="rId1038" Type="http://schemas.openxmlformats.org/officeDocument/2006/relationships/hyperlink" Target="mailto:thuyen@bpg.com.au" TargetMode="External"/><Relationship Id="rId1245" Type="http://schemas.openxmlformats.org/officeDocument/2006/relationships/hyperlink" Target="mailto:sales@florianliving.com.au" TargetMode="External"/><Relationship Id="rId1452" Type="http://schemas.openxmlformats.org/officeDocument/2006/relationships/hyperlink" Target="mailto:arramont@rpmrealestate.com.au" TargetMode="External"/><Relationship Id="rId2503" Type="http://schemas.openxmlformats.org/officeDocument/2006/relationships/hyperlink" Target="mailto:Courtney.tattersall@peet.com.au" TargetMode="External"/><Relationship Id="rId1105" Type="http://schemas.openxmlformats.org/officeDocument/2006/relationships/hyperlink" Target="mailto:daniels@lotusliving.com.au" TargetMode="External"/><Relationship Id="rId1312" Type="http://schemas.openxmlformats.org/officeDocument/2006/relationships/hyperlink" Target="mailto:Aida.Kubat@denniscorp.com.au" TargetMode="External"/><Relationship Id="rId2710" Type="http://schemas.openxmlformats.org/officeDocument/2006/relationships/hyperlink" Target="mailto:rosenthal@rpmrealestate.com.au" TargetMode="External"/><Relationship Id="rId198" Type="http://schemas.openxmlformats.org/officeDocument/2006/relationships/hyperlink" Target="mailto:daniels@lotusliving.com.au" TargetMode="External"/><Relationship Id="rId2086" Type="http://schemas.openxmlformats.org/officeDocument/2006/relationships/hyperlink" Target="mailto:s.datti@oliverhume.com.au" TargetMode="External"/><Relationship Id="rId2293" Type="http://schemas.openxmlformats.org/officeDocument/2006/relationships/hyperlink" Target="mailto:sales@ooranyaestate.com.au" TargetMode="External"/><Relationship Id="rId265" Type="http://schemas.openxmlformats.org/officeDocument/2006/relationships/hyperlink" Target="mailto:tulliallan@rpmrealestate.com.au" TargetMode="External"/><Relationship Id="rId472" Type="http://schemas.openxmlformats.org/officeDocument/2006/relationships/hyperlink" Target="mailto:ashwin.sethi@stockland.com.au" TargetMode="External"/><Relationship Id="rId2153" Type="http://schemas.openxmlformats.org/officeDocument/2006/relationships/hyperlink" Target="mailto:josephine.borg@stockland.com.au" TargetMode="External"/><Relationship Id="rId2360" Type="http://schemas.openxmlformats.org/officeDocument/2006/relationships/hyperlink" Target="mailto:kingsfield@rpmrealestate.com.au" TargetMode="External"/><Relationship Id="rId125" Type="http://schemas.openxmlformats.org/officeDocument/2006/relationships/hyperlink" Target="mailto:Janet.Skinner@peet.com.au" TargetMode="External"/><Relationship Id="rId332" Type="http://schemas.openxmlformats.org/officeDocument/2006/relationships/hyperlink" Target="mailto:anne.cross@lendlease.com" TargetMode="External"/><Relationship Id="rId2013" Type="http://schemas.openxmlformats.org/officeDocument/2006/relationships/hyperlink" Target="mailto:amy.newman@lendlease.com" TargetMode="External"/><Relationship Id="rId2220" Type="http://schemas.openxmlformats.org/officeDocument/2006/relationships/hyperlink" Target="mailto:alannah@mpai.com.au" TargetMode="External"/><Relationship Id="rId1779" Type="http://schemas.openxmlformats.org/officeDocument/2006/relationships/hyperlink" Target="mailto:josephine.borg@stockland.com.au" TargetMode="External"/><Relationship Id="rId1986" Type="http://schemas.openxmlformats.org/officeDocument/2006/relationships/hyperlink" Target="mailto:austin@latituderealestate.com.au" TargetMode="External"/><Relationship Id="rId1639" Type="http://schemas.openxmlformats.org/officeDocument/2006/relationships/hyperlink" Target="mailto:stgermain@rpmrealestate.com.au" TargetMode="External"/><Relationship Id="rId1846" Type="http://schemas.openxmlformats.org/officeDocument/2006/relationships/hyperlink" Target="mailto:lreynolds@avidpropertygroup.com.au" TargetMode="External"/><Relationship Id="rId3061" Type="http://schemas.openxmlformats.org/officeDocument/2006/relationships/hyperlink" Target="mailto:jbird@barryplant.com.au" TargetMode="External"/><Relationship Id="rId1706" Type="http://schemas.openxmlformats.org/officeDocument/2006/relationships/hyperlink" Target="mailto:s.fuss@oliverhume.com.au" TargetMode="External"/><Relationship Id="rId1913" Type="http://schemas.openxmlformats.org/officeDocument/2006/relationships/hyperlink" Target="mailto:sudha@pottergeorge.com.au" TargetMode="External"/><Relationship Id="rId799" Type="http://schemas.openxmlformats.org/officeDocument/2006/relationships/hyperlink" Target="mailto:khoa@wofldene.com.au" TargetMode="External"/><Relationship Id="rId2687" Type="http://schemas.openxmlformats.org/officeDocument/2006/relationships/hyperlink" Target="mailto:LVojneska@denniscorp.com.au" TargetMode="External"/><Relationship Id="rId2894" Type="http://schemas.openxmlformats.org/officeDocument/2006/relationships/hyperlink" Target="mailto:ann@emerldparktarneit.com.au" TargetMode="External"/><Relationship Id="rId659" Type="http://schemas.openxmlformats.org/officeDocument/2006/relationships/hyperlink" Target="mailto:sergio@acere.com.au" TargetMode="External"/><Relationship Id="rId866" Type="http://schemas.openxmlformats.org/officeDocument/2006/relationships/hyperlink" Target="mailto:sharee@maxwellcollins.com.au" TargetMode="External"/><Relationship Id="rId1289" Type="http://schemas.openxmlformats.org/officeDocument/2006/relationships/hyperlink" Target="mailto:richard@wyndhamre.com.au" TargetMode="External"/><Relationship Id="rId1496" Type="http://schemas.openxmlformats.org/officeDocument/2006/relationships/hyperlink" Target="mailto:mandalay@rpmrealestate.com.au" TargetMode="External"/><Relationship Id="rId2547" Type="http://schemas.openxmlformats.org/officeDocument/2006/relationships/hyperlink" Target="mailto:kim.mair@frasersproperty.com.au" TargetMode="External"/><Relationship Id="rId519" Type="http://schemas.openxmlformats.org/officeDocument/2006/relationships/hyperlink" Target="mailto:anne.cross@lendlease.com" TargetMode="External"/><Relationship Id="rId1149" Type="http://schemas.openxmlformats.org/officeDocument/2006/relationships/hyperlink" Target="mailto:tim@costaland.com.au" TargetMode="External"/><Relationship Id="rId1356" Type="http://schemas.openxmlformats.org/officeDocument/2006/relationships/hyperlink" Target="mailto:Eliston@rpmrealestate.com.au" TargetMode="External"/><Relationship Id="rId2754" Type="http://schemas.openxmlformats.org/officeDocument/2006/relationships/hyperlink" Target="mailto:Laura@parklea.com" TargetMode="External"/><Relationship Id="rId2961" Type="http://schemas.openxmlformats.org/officeDocument/2006/relationships/hyperlink" Target="mailto:creekstone@rpmrealestate.com.au" TargetMode="External"/><Relationship Id="rId726" Type="http://schemas.openxmlformats.org/officeDocument/2006/relationships/hyperlink" Target="mailto:s.wright@oliverhume.com.au" TargetMode="External"/><Relationship Id="rId933" Type="http://schemas.openxmlformats.org/officeDocument/2006/relationships/hyperlink" Target="mailto:anne.cross@lendlease.com" TargetMode="External"/><Relationship Id="rId1009" Type="http://schemas.openxmlformats.org/officeDocument/2006/relationships/hyperlink" Target="mailto:daniel.lock@mirvac.com" TargetMode="External"/><Relationship Id="rId1563" Type="http://schemas.openxmlformats.org/officeDocument/2006/relationships/hyperlink" Target="mailto:sergio@alc.land" TargetMode="External"/><Relationship Id="rId1770" Type="http://schemas.openxmlformats.org/officeDocument/2006/relationships/hyperlink" Target="mailto:d.halsey@oliverhume.com.au" TargetMode="External"/><Relationship Id="rId2407" Type="http://schemas.openxmlformats.org/officeDocument/2006/relationships/hyperlink" Target="mailto:jan@catalinapointcook.com.au" TargetMode="External"/><Relationship Id="rId2614" Type="http://schemas.openxmlformats.org/officeDocument/2006/relationships/hyperlink" Target="mailto:n.harb@oliverhume.com.au" TargetMode="External"/><Relationship Id="rId2821" Type="http://schemas.openxmlformats.org/officeDocument/2006/relationships/hyperlink" Target="mailto:nataliep@wofldene.com.au" TargetMode="External"/><Relationship Id="rId62" Type="http://schemas.openxmlformats.org/officeDocument/2006/relationships/hyperlink" Target="mailto:steviec@satterley.com.au" TargetMode="External"/><Relationship Id="rId1216" Type="http://schemas.openxmlformats.org/officeDocument/2006/relationships/hyperlink" Target="mailto:cpearson@westbrookestate.com.au" TargetMode="External"/><Relationship Id="rId1423" Type="http://schemas.openxmlformats.org/officeDocument/2006/relationships/hyperlink" Target="mailto:i.tanti@oliverhume.com.au" TargetMode="External"/><Relationship Id="rId1630" Type="http://schemas.openxmlformats.org/officeDocument/2006/relationships/hyperlink" Target="mailto:oliverhume@oliverhume.com.au" TargetMode="External"/><Relationship Id="rId2197" Type="http://schemas.openxmlformats.org/officeDocument/2006/relationships/hyperlink" Target="mailto:kevinmizzi@jxre.com.au" TargetMode="External"/><Relationship Id="rId169" Type="http://schemas.openxmlformats.org/officeDocument/2006/relationships/hyperlink" Target="mailto:andy@red23.com.au" TargetMode="External"/><Relationship Id="rId376" Type="http://schemas.openxmlformats.org/officeDocument/2006/relationships/hyperlink" Target="mailto:riverwalk@rpmrealestate.com.au" TargetMode="External"/><Relationship Id="rId583" Type="http://schemas.openxmlformats.org/officeDocument/2006/relationships/hyperlink" Target="mailto:b.ellis@oliverhume.com.au" TargetMode="External"/><Relationship Id="rId790" Type="http://schemas.openxmlformats.org/officeDocument/2006/relationships/hyperlink" Target="mailto:atherstone@lendlease.com" TargetMode="External"/><Relationship Id="rId2057" Type="http://schemas.openxmlformats.org/officeDocument/2006/relationships/hyperlink" Target="mailto:n.harb@oliverhume.com.au" TargetMode="External"/><Relationship Id="rId2264" Type="http://schemas.openxmlformats.org/officeDocument/2006/relationships/hyperlink" Target="mailto:kingsfield@rpmrealestate.com.au" TargetMode="External"/><Relationship Id="rId2471" Type="http://schemas.openxmlformats.org/officeDocument/2006/relationships/hyperlink" Target="mailto:jason@bpg.com.au" TargetMode="External"/><Relationship Id="rId3108" Type="http://schemas.openxmlformats.org/officeDocument/2006/relationships/hyperlink" Target="mailto:lyndale@rpmgrp.com.au" TargetMode="External"/><Relationship Id="rId236" Type="http://schemas.openxmlformats.org/officeDocument/2006/relationships/hyperlink" Target="mailto:b.ellis@oliverhume.com.au" TargetMode="External"/><Relationship Id="rId443" Type="http://schemas.openxmlformats.org/officeDocument/2006/relationships/hyperlink" Target="mailto:jbosancic@brightonpropertygroup.com.au" TargetMode="External"/><Relationship Id="rId650" Type="http://schemas.openxmlformats.org/officeDocument/2006/relationships/hyperlink" Target="mailto:s.wright@oliverhume.com.au" TargetMode="External"/><Relationship Id="rId1073" Type="http://schemas.openxmlformats.org/officeDocument/2006/relationships/hyperlink" Target="mailto:mai.tran@mywindermere.com.au" TargetMode="External"/><Relationship Id="rId1280" Type="http://schemas.openxmlformats.org/officeDocument/2006/relationships/hyperlink" Target="mailto:adam@rpmrealestate.com.au" TargetMode="External"/><Relationship Id="rId2124" Type="http://schemas.openxmlformats.org/officeDocument/2006/relationships/hyperlink" Target="mailto:j.termine@oliverhume.com.au" TargetMode="External"/><Relationship Id="rId2331" Type="http://schemas.openxmlformats.org/officeDocument/2006/relationships/hyperlink" Target="mailto:info@balmoralestate.com.au" TargetMode="External"/><Relationship Id="rId303" Type="http://schemas.openxmlformats.org/officeDocument/2006/relationships/hyperlink" Target="mailto:markd@satterley.com.au" TargetMode="External"/><Relationship Id="rId1140" Type="http://schemas.openxmlformats.org/officeDocument/2006/relationships/hyperlink" Target="mailto:ben@prdballarat.com.au" TargetMode="External"/><Relationship Id="rId510" Type="http://schemas.openxmlformats.org/officeDocument/2006/relationships/hyperlink" Target="mailto:riverwalk@rpmrealestate.com.au" TargetMode="External"/><Relationship Id="rId1000" Type="http://schemas.openxmlformats.org/officeDocument/2006/relationships/hyperlink" Target="mailto:ian@krpeters.com.au" TargetMode="External"/><Relationship Id="rId1957" Type="http://schemas.openxmlformats.org/officeDocument/2006/relationships/hyperlink" Target="mailto:botanical@satterley.com.au" TargetMode="External"/><Relationship Id="rId1817" Type="http://schemas.openxmlformats.org/officeDocument/2006/relationships/hyperlink" Target="mailto:rob.polec@denniscorp.com.au" TargetMode="External"/><Relationship Id="rId3032" Type="http://schemas.openxmlformats.org/officeDocument/2006/relationships/hyperlink" Target="mailto:melbourne@yourland.com" TargetMode="External"/><Relationship Id="rId160" Type="http://schemas.openxmlformats.org/officeDocument/2006/relationships/hyperlink" Target="mailto:riverdalevillage@latituderealestate.com.au" TargetMode="External"/><Relationship Id="rId2798" Type="http://schemas.openxmlformats.org/officeDocument/2006/relationships/hyperlink" Target="mailto:a.clarke@oliverhume.com.au" TargetMode="External"/><Relationship Id="rId977" Type="http://schemas.openxmlformats.org/officeDocument/2006/relationships/hyperlink" Target="mailto:chris.walker@stockland.com.au" TargetMode="External"/><Relationship Id="rId2658" Type="http://schemas.openxmlformats.org/officeDocument/2006/relationships/hyperlink" Target="mailto:heather@kaikura.com.au" TargetMode="External"/><Relationship Id="rId2865" Type="http://schemas.openxmlformats.org/officeDocument/2006/relationships/hyperlink" Target="mailto:kevin@vhls.net.au" TargetMode="External"/><Relationship Id="rId837" Type="http://schemas.openxmlformats.org/officeDocument/2006/relationships/hyperlink" Target="mailto:nataliep@wofldene.com.au" TargetMode="External"/><Relationship Id="rId1467" Type="http://schemas.openxmlformats.org/officeDocument/2006/relationships/hyperlink" Target="mailto:jason@red23.com.au" TargetMode="External"/><Relationship Id="rId1674" Type="http://schemas.openxmlformats.org/officeDocument/2006/relationships/hyperlink" Target="mailto:lucy@rpmrealestate.com.au" TargetMode="External"/><Relationship Id="rId1881" Type="http://schemas.openxmlformats.org/officeDocument/2006/relationships/hyperlink" Target="mailto:ben@prdballarat.com.au" TargetMode="External"/><Relationship Id="rId2518" Type="http://schemas.openxmlformats.org/officeDocument/2006/relationships/hyperlink" Target="mailto:jessica.hammond@stockland.com.au" TargetMode="External"/><Relationship Id="rId2725" Type="http://schemas.openxmlformats.org/officeDocument/2006/relationships/hyperlink" Target="mailto:b.ellis@oliverhume.com.au" TargetMode="External"/><Relationship Id="rId2932" Type="http://schemas.openxmlformats.org/officeDocument/2006/relationships/hyperlink" Target="mailto:r.miric@oliverhume.com.au" TargetMode="External"/><Relationship Id="rId904" Type="http://schemas.openxmlformats.org/officeDocument/2006/relationships/hyperlink" Target="mailto:i.tanti@oliverhume.com.au" TargetMode="External"/><Relationship Id="rId1327" Type="http://schemas.openxmlformats.org/officeDocument/2006/relationships/hyperlink" Target="mailto:daniels@lotusliving.com.au" TargetMode="External"/><Relationship Id="rId1534" Type="http://schemas.openxmlformats.org/officeDocument/2006/relationships/hyperlink" Target="mailto:Eliston@rpmrealestate.com.au" TargetMode="External"/><Relationship Id="rId1741" Type="http://schemas.openxmlformats.org/officeDocument/2006/relationships/hyperlink" Target="mailto:richard@wyndhamre.com.au" TargetMode="External"/><Relationship Id="rId33" Type="http://schemas.openxmlformats.org/officeDocument/2006/relationships/hyperlink" Target="mailto:Georgie@evolve.com.au" TargetMode="External"/><Relationship Id="rId1601" Type="http://schemas.openxmlformats.org/officeDocument/2006/relationships/hyperlink" Target="mailto:amy.newman@lendlease.com" TargetMode="External"/><Relationship Id="rId487" Type="http://schemas.openxmlformats.org/officeDocument/2006/relationships/hyperlink" Target="mailto:b.ellis@oliverhume.com.au" TargetMode="External"/><Relationship Id="rId694" Type="http://schemas.openxmlformats.org/officeDocument/2006/relationships/hyperlink" Target="mailto:annadale@rpmrealestate.com.au" TargetMode="External"/><Relationship Id="rId2168" Type="http://schemas.openxmlformats.org/officeDocument/2006/relationships/hyperlink" Target="mailto:daniels@lotusliving.com.au" TargetMode="External"/><Relationship Id="rId2375" Type="http://schemas.openxmlformats.org/officeDocument/2006/relationships/hyperlink" Target="mailto:bhalsall@buxton.com.au" TargetMode="External"/><Relationship Id="rId347" Type="http://schemas.openxmlformats.org/officeDocument/2006/relationships/hyperlink" Target="mailto:jacqueline@goldengroup.com.au" TargetMode="External"/><Relationship Id="rId1184" Type="http://schemas.openxmlformats.org/officeDocument/2006/relationships/hyperlink" Target="mailto:rbhardwaj@coreprojects.com.au" TargetMode="External"/><Relationship Id="rId2028" Type="http://schemas.openxmlformats.org/officeDocument/2006/relationships/hyperlink" Target="mailto:van.ritchie@yourland.com" TargetMode="External"/><Relationship Id="rId2582" Type="http://schemas.openxmlformats.org/officeDocument/2006/relationships/hyperlink" Target="mailto:kim.mair@frasersproperty.com.au" TargetMode="External"/><Relationship Id="rId554" Type="http://schemas.openxmlformats.org/officeDocument/2006/relationships/hyperlink" Target="mailto:chris.walker@stockland.com.au" TargetMode="External"/><Relationship Id="rId761" Type="http://schemas.openxmlformats.org/officeDocument/2006/relationships/hyperlink" Target="mailto:Eliston@rpmrealestate.com.au" TargetMode="External"/><Relationship Id="rId1391" Type="http://schemas.openxmlformats.org/officeDocument/2006/relationships/hyperlink" Target="mailto:daniel.lock@mirvac.com" TargetMode="External"/><Relationship Id="rId2235" Type="http://schemas.openxmlformats.org/officeDocument/2006/relationships/hyperlink" Target="mailto:willow@rpmrealestate.com.au" TargetMode="External"/><Relationship Id="rId2442" Type="http://schemas.openxmlformats.org/officeDocument/2006/relationships/hyperlink" Target="mailto:paige.s@red23.com.au" TargetMode="External"/><Relationship Id="rId207" Type="http://schemas.openxmlformats.org/officeDocument/2006/relationships/hyperlink" Target="mailto:sara.lowe@eigdevelopments.com.au" TargetMode="External"/><Relationship Id="rId414" Type="http://schemas.openxmlformats.org/officeDocument/2006/relationships/hyperlink" Target="mailto:mandalay@rpmrealestate.com.au" TargetMode="External"/><Relationship Id="rId621" Type="http://schemas.openxmlformats.org/officeDocument/2006/relationships/hyperlink" Target="mailto:markd@satterley.com.au" TargetMode="External"/><Relationship Id="rId1044" Type="http://schemas.openxmlformats.org/officeDocument/2006/relationships/hyperlink" Target="mailto:LVojneska@denniscorp.com.au" TargetMode="External"/><Relationship Id="rId1251" Type="http://schemas.openxmlformats.org/officeDocument/2006/relationships/hyperlink" Target="mailto:patrick@wolfdene.com.au" TargetMode="External"/><Relationship Id="rId2302" Type="http://schemas.openxmlformats.org/officeDocument/2006/relationships/hyperlink" Target="mailto:rbhardwaj@coreprojects.com.au" TargetMode="External"/><Relationship Id="rId1111" Type="http://schemas.openxmlformats.org/officeDocument/2006/relationships/hyperlink" Target="mailto:olivia@latituderealestate.com.au" TargetMode="External"/><Relationship Id="rId3076" Type="http://schemas.openxmlformats.org/officeDocument/2006/relationships/hyperlink" Target="mailto:lilian.fierro-martinez@cedarwoods.com.au" TargetMode="External"/><Relationship Id="rId1928" Type="http://schemas.openxmlformats.org/officeDocument/2006/relationships/hyperlink" Target="mailto:dennis.rabba@growland.com.au" TargetMode="External"/><Relationship Id="rId2092" Type="http://schemas.openxmlformats.org/officeDocument/2006/relationships/hyperlink" Target="mailto:olivia@latituderealestate.com.au" TargetMode="External"/><Relationship Id="rId271" Type="http://schemas.openxmlformats.org/officeDocument/2006/relationships/hyperlink" Target="mailto:kassy@kaikura.com.au" TargetMode="External"/><Relationship Id="rId3003" Type="http://schemas.openxmlformats.org/officeDocument/2006/relationships/hyperlink" Target="mailto:mel@mcmath.com.au" TargetMode="External"/><Relationship Id="rId131" Type="http://schemas.openxmlformats.org/officeDocument/2006/relationships/hyperlink" Target="mailto:lanaa@satterley.com.au" TargetMode="External"/><Relationship Id="rId2769" Type="http://schemas.openxmlformats.org/officeDocument/2006/relationships/hyperlink" Target="mailto:admin@harvestrealty.com.au" TargetMode="External"/><Relationship Id="rId2976" Type="http://schemas.openxmlformats.org/officeDocument/2006/relationships/hyperlink" Target="mailto:sales@ooranyaestate.com.au" TargetMode="External"/><Relationship Id="rId948" Type="http://schemas.openxmlformats.org/officeDocument/2006/relationships/hyperlink" Target="mailto:i.tanti@oliverhume.com.au" TargetMode="External"/><Relationship Id="rId1578" Type="http://schemas.openxmlformats.org/officeDocument/2006/relationships/hyperlink" Target="mailto:stgermain@rpmrealestate.com.au" TargetMode="External"/><Relationship Id="rId1785" Type="http://schemas.openxmlformats.org/officeDocument/2006/relationships/hyperlink" Target="mailto:Eliston@rpmrealestate.com.au" TargetMode="External"/><Relationship Id="rId1992" Type="http://schemas.openxmlformats.org/officeDocument/2006/relationships/hyperlink" Target="mailto:angelo.granata@peet.com.au" TargetMode="External"/><Relationship Id="rId2629" Type="http://schemas.openxmlformats.org/officeDocument/2006/relationships/hyperlink" Target="mailto:LVojneska@denniscorp.com.au" TargetMode="External"/><Relationship Id="rId2836" Type="http://schemas.openxmlformats.org/officeDocument/2006/relationships/hyperlink" Target="mailto:msharma@coreprojects.com.au" TargetMode="External"/><Relationship Id="rId77" Type="http://schemas.openxmlformats.org/officeDocument/2006/relationships/hyperlink" Target="mailto:r.newman@oliverhume.com.au" TargetMode="External"/><Relationship Id="rId808" Type="http://schemas.openxmlformats.org/officeDocument/2006/relationships/hyperlink" Target="mailto:patrick@wolfdene.com.au" TargetMode="External"/><Relationship Id="rId1438" Type="http://schemas.openxmlformats.org/officeDocument/2006/relationships/hyperlink" Target="mailto:jessica.hammond@stockland.com.au" TargetMode="External"/><Relationship Id="rId1645" Type="http://schemas.openxmlformats.org/officeDocument/2006/relationships/hyperlink" Target="mailto:olivia@latituderealestate.com.au" TargetMode="External"/><Relationship Id="rId1852" Type="http://schemas.openxmlformats.org/officeDocument/2006/relationships/hyperlink" Target="mailto:sharee@maxwellcollins.com.au" TargetMode="External"/><Relationship Id="rId2903" Type="http://schemas.openxmlformats.org/officeDocument/2006/relationships/hyperlink" Target="mailto:m.huynh@oliverhume.com.au" TargetMode="External"/><Relationship Id="rId1505" Type="http://schemas.openxmlformats.org/officeDocument/2006/relationships/hyperlink" Target="mailto:annadale@rpmrealestate.com.au" TargetMode="External"/><Relationship Id="rId1712" Type="http://schemas.openxmlformats.org/officeDocument/2006/relationships/hyperlink" Target="mailto:s.fuss@oliverhume.com.au" TargetMode="External"/><Relationship Id="rId598" Type="http://schemas.openxmlformats.org/officeDocument/2006/relationships/hyperlink" Target="mailto:riverwalk@rpmrealestate.com.au" TargetMode="External"/><Relationship Id="rId2279" Type="http://schemas.openxmlformats.org/officeDocument/2006/relationships/hyperlink" Target="mailto:shane.ruffin@bisinella.com.au" TargetMode="External"/><Relationship Id="rId2486" Type="http://schemas.openxmlformats.org/officeDocument/2006/relationships/hyperlink" Target="mailto:stgermain@rpmrealestate.com.au" TargetMode="External"/><Relationship Id="rId2693" Type="http://schemas.openxmlformats.org/officeDocument/2006/relationships/hyperlink" Target="mailto:bob@latituderealestate.com.au" TargetMode="External"/><Relationship Id="rId458" Type="http://schemas.openxmlformats.org/officeDocument/2006/relationships/hyperlink" Target="mailto:rbhardwaj@coreprojects.com.au" TargetMode="External"/><Relationship Id="rId665" Type="http://schemas.openxmlformats.org/officeDocument/2006/relationships/hyperlink" Target="mailto:markd@satterley.com.au" TargetMode="External"/><Relationship Id="rId872" Type="http://schemas.openxmlformats.org/officeDocument/2006/relationships/hyperlink" Target="mailto:David.maloney@frasers.com.au" TargetMode="External"/><Relationship Id="rId1088" Type="http://schemas.openxmlformats.org/officeDocument/2006/relationships/hyperlink" Target="mailto:riverhills@rpmrealestate.com.au" TargetMode="External"/><Relationship Id="rId1295" Type="http://schemas.openxmlformats.org/officeDocument/2006/relationships/hyperlink" Target="mailto:melbourne@peet.com.au" TargetMode="External"/><Relationship Id="rId2139" Type="http://schemas.openxmlformats.org/officeDocument/2006/relationships/hyperlink" Target="mailto:Jason.bertram@juddwhite.com.au" TargetMode="External"/><Relationship Id="rId2346" Type="http://schemas.openxmlformats.org/officeDocument/2006/relationships/hyperlink" Target="mailto:riverdalevillage@latituderealestate.com.au" TargetMode="External"/><Relationship Id="rId2553" Type="http://schemas.openxmlformats.org/officeDocument/2006/relationships/hyperlink" Target="mailto:Kim.Mair@fraserproperty.com.au" TargetMode="External"/><Relationship Id="rId2760" Type="http://schemas.openxmlformats.org/officeDocument/2006/relationships/hyperlink" Target="mailto:ian@krpeters.com.au" TargetMode="External"/><Relationship Id="rId318" Type="http://schemas.openxmlformats.org/officeDocument/2006/relationships/hyperlink" Target="mailto:thornhillpark@rpmrealestate.com.au" TargetMode="External"/><Relationship Id="rId525" Type="http://schemas.openxmlformats.org/officeDocument/2006/relationships/hyperlink" Target="mailto:sales@belmondclyde.com.au" TargetMode="External"/><Relationship Id="rId732" Type="http://schemas.openxmlformats.org/officeDocument/2006/relationships/hyperlink" Target="mailto:lreynolds@avidpropertygroup.com.au" TargetMode="External"/><Relationship Id="rId1155" Type="http://schemas.openxmlformats.org/officeDocument/2006/relationships/hyperlink" Target="mailto:sharee@maxwellcollins.com.au" TargetMode="External"/><Relationship Id="rId1362" Type="http://schemas.openxmlformats.org/officeDocument/2006/relationships/hyperlink" Target="mailto:ann@emerldparktarneit.com.au" TargetMode="External"/><Relationship Id="rId2206" Type="http://schemas.openxmlformats.org/officeDocument/2006/relationships/hyperlink" Target="mailto:r.newman@oliverhume.com.au" TargetMode="External"/><Relationship Id="rId2413" Type="http://schemas.openxmlformats.org/officeDocument/2006/relationships/hyperlink" Target="mailto:dspiteri@hermitagehomes.com.au" TargetMode="External"/><Relationship Id="rId2620" Type="http://schemas.openxmlformats.org/officeDocument/2006/relationships/hyperlink" Target="mailto:k.spencer@oliverhume.com.au" TargetMode="External"/><Relationship Id="rId1015" Type="http://schemas.openxmlformats.org/officeDocument/2006/relationships/hyperlink" Target="mailto:arramont@rpmrealestate.com.au" TargetMode="External"/><Relationship Id="rId1222" Type="http://schemas.openxmlformats.org/officeDocument/2006/relationships/hyperlink" Target="mailto:evin@eightpi.com.au" TargetMode="External"/><Relationship Id="rId3047" Type="http://schemas.openxmlformats.org/officeDocument/2006/relationships/hyperlink" Target="mailto:t.leggatt@oliverhume.com.au" TargetMode="External"/><Relationship Id="rId175" Type="http://schemas.openxmlformats.org/officeDocument/2006/relationships/hyperlink" Target="mailto:ted@wolfdene.com.au" TargetMode="External"/><Relationship Id="rId382" Type="http://schemas.openxmlformats.org/officeDocument/2006/relationships/hyperlink" Target="mailto:b.ellis@oliverhume.com.au" TargetMode="External"/><Relationship Id="rId2063" Type="http://schemas.openxmlformats.org/officeDocument/2006/relationships/hyperlink" Target="mailto:khoa@wolfdene.com.au" TargetMode="External"/><Relationship Id="rId2270" Type="http://schemas.openxmlformats.org/officeDocument/2006/relationships/hyperlink" Target="mailto:Catherine@yourland.com" TargetMode="External"/><Relationship Id="rId3114" Type="http://schemas.openxmlformats.org/officeDocument/2006/relationships/hyperlink" Target="mailto:sales@seebeckgroup.com.au" TargetMode="External"/><Relationship Id="rId242" Type="http://schemas.openxmlformats.org/officeDocument/2006/relationships/hyperlink" Target="mailto:drokka@core-projects.com.au" TargetMode="External"/><Relationship Id="rId2130" Type="http://schemas.openxmlformats.org/officeDocument/2006/relationships/hyperlink" Target="mailto:arramont@rpmrealestate.com.au" TargetMode="External"/><Relationship Id="rId102" Type="http://schemas.openxmlformats.org/officeDocument/2006/relationships/hyperlink" Target="mailto:miloss@satterley.com.au" TargetMode="External"/><Relationship Id="rId1689" Type="http://schemas.openxmlformats.org/officeDocument/2006/relationships/hyperlink" Target="mailto:bowery@rpmrealestate.com.au" TargetMode="External"/><Relationship Id="rId1896" Type="http://schemas.openxmlformats.org/officeDocument/2006/relationships/hyperlink" Target="mailto:adam@rpmrealestate.com.au" TargetMode="External"/><Relationship Id="rId2947" Type="http://schemas.openxmlformats.org/officeDocument/2006/relationships/hyperlink" Target="mailto:Jessica.Hammond@stockland.com.au" TargetMode="External"/><Relationship Id="rId919" Type="http://schemas.openxmlformats.org/officeDocument/2006/relationships/hyperlink" Target="mailto:amy.newman@lendlease.com" TargetMode="External"/><Relationship Id="rId1549" Type="http://schemas.openxmlformats.org/officeDocument/2006/relationships/hyperlink" Target="mailto:sales@bisinella.com.au" TargetMode="External"/><Relationship Id="rId1756" Type="http://schemas.openxmlformats.org/officeDocument/2006/relationships/hyperlink" Target="mailto:ted@kohamproperty.com.au" TargetMode="External"/><Relationship Id="rId1963" Type="http://schemas.openxmlformats.org/officeDocument/2006/relationships/hyperlink" Target="mailto:avishnoi@coreprojects.com.au" TargetMode="External"/><Relationship Id="rId2807" Type="http://schemas.openxmlformats.org/officeDocument/2006/relationships/hyperlink" Target="mailto:atherstone@lendlease.com" TargetMode="External"/><Relationship Id="rId48" Type="http://schemas.openxmlformats.org/officeDocument/2006/relationships/hyperlink" Target="mailto:daniels@lotusliving.com.au" TargetMode="External"/><Relationship Id="rId1409" Type="http://schemas.openxmlformats.org/officeDocument/2006/relationships/hyperlink" Target="mailto:kingsfield@rpmrealestate.com.au" TargetMode="External"/><Relationship Id="rId1616" Type="http://schemas.openxmlformats.org/officeDocument/2006/relationships/hyperlink" Target="mailto:sharee@maxwellcollins.com.au" TargetMode="External"/><Relationship Id="rId1823" Type="http://schemas.openxmlformats.org/officeDocument/2006/relationships/hyperlink" Target="mailto:d.rabba@oliverhume.com.au" TargetMode="External"/><Relationship Id="rId2597" Type="http://schemas.openxmlformats.org/officeDocument/2006/relationships/hyperlink" Target="mailto:miloss@satterley.com.au" TargetMode="External"/><Relationship Id="rId569" Type="http://schemas.openxmlformats.org/officeDocument/2006/relationships/hyperlink" Target="mailto:rbhardwaj@coreprojects.com.au" TargetMode="External"/><Relationship Id="rId776" Type="http://schemas.openxmlformats.org/officeDocument/2006/relationships/hyperlink" Target="mailto:thornhillpark@rpmrealestate.com.au" TargetMode="External"/><Relationship Id="rId983" Type="http://schemas.openxmlformats.org/officeDocument/2006/relationships/hyperlink" Target="mailto:patrick@wolfdene.com.au" TargetMode="External"/><Relationship Id="rId1199" Type="http://schemas.openxmlformats.org/officeDocument/2006/relationships/hyperlink" Target="mailto:atherstone@lendlease.com" TargetMode="External"/><Relationship Id="rId2457" Type="http://schemas.openxmlformats.org/officeDocument/2006/relationships/hyperlink" Target="mailto:n.harb@oliverhume.com.au" TargetMode="External"/><Relationship Id="rId2664" Type="http://schemas.openxmlformats.org/officeDocument/2006/relationships/hyperlink" Target="mailto:creekstone@rpmrealestate.com.au" TargetMode="External"/><Relationship Id="rId429" Type="http://schemas.openxmlformats.org/officeDocument/2006/relationships/hyperlink" Target="mailto:anne.cross@lendlease.com" TargetMode="External"/><Relationship Id="rId636" Type="http://schemas.openxmlformats.org/officeDocument/2006/relationships/hyperlink" Target="mailto:annadale@rpmrealestate.com.au" TargetMode="External"/><Relationship Id="rId1059" Type="http://schemas.openxmlformats.org/officeDocument/2006/relationships/hyperlink" Target="mailto:Eliston@rpmrealestate.com.au" TargetMode="External"/><Relationship Id="rId1266" Type="http://schemas.openxmlformats.org/officeDocument/2006/relationships/hyperlink" Target="mailto:chris.walker@stockland.com.au" TargetMode="External"/><Relationship Id="rId1473" Type="http://schemas.openxmlformats.org/officeDocument/2006/relationships/hyperlink" Target="mailto:ann@emerldparktarneit.com.au" TargetMode="External"/><Relationship Id="rId2317" Type="http://schemas.openxmlformats.org/officeDocument/2006/relationships/hyperlink" Target="mailto:eward@coreprojects.com.au" TargetMode="External"/><Relationship Id="rId2871" Type="http://schemas.openxmlformats.org/officeDocument/2006/relationships/hyperlink" Target="mailto:kevinmizzi@jxre.com.au" TargetMode="External"/><Relationship Id="rId843" Type="http://schemas.openxmlformats.org/officeDocument/2006/relationships/hyperlink" Target="mailto:d.halsey@oliverhume.com.au" TargetMode="External"/><Relationship Id="rId1126" Type="http://schemas.openxmlformats.org/officeDocument/2006/relationships/hyperlink" Target="mailto:khoa@wolfdene.com.au" TargetMode="External"/><Relationship Id="rId1680" Type="http://schemas.openxmlformats.org/officeDocument/2006/relationships/hyperlink" Target="mailto:nataliep@wofldene.com.au" TargetMode="External"/><Relationship Id="rId2524" Type="http://schemas.openxmlformats.org/officeDocument/2006/relationships/hyperlink" Target="mailto:jason@red23.com.au" TargetMode="External"/><Relationship Id="rId2731" Type="http://schemas.openxmlformats.org/officeDocument/2006/relationships/hyperlink" Target="mailto:monica.quaresima@stockland.com.au" TargetMode="External"/><Relationship Id="rId703" Type="http://schemas.openxmlformats.org/officeDocument/2006/relationships/hyperlink" Target="mailto:rosenthal@rpmrealestate.com.au" TargetMode="External"/><Relationship Id="rId910" Type="http://schemas.openxmlformats.org/officeDocument/2006/relationships/hyperlink" Target="mailto:jake@red23.com.au" TargetMode="External"/><Relationship Id="rId1333" Type="http://schemas.openxmlformats.org/officeDocument/2006/relationships/hyperlink" Target="mailto:kassy@kaikura.com.au" TargetMode="External"/><Relationship Id="rId1540" Type="http://schemas.openxmlformats.org/officeDocument/2006/relationships/hyperlink" Target="mailto:cmccormack@avidpropertygroup.com.au" TargetMode="External"/><Relationship Id="rId1400" Type="http://schemas.openxmlformats.org/officeDocument/2006/relationships/hyperlink" Target="mailto:Daryl.Gould@arbeerealestate.com.au" TargetMode="External"/><Relationship Id="rId286" Type="http://schemas.openxmlformats.org/officeDocument/2006/relationships/hyperlink" Target="mailto:ben@prdballarat.com.au" TargetMode="External"/><Relationship Id="rId493" Type="http://schemas.openxmlformats.org/officeDocument/2006/relationships/hyperlink" Target="mailto:Courtney.tattersall@peet.com.au" TargetMode="External"/><Relationship Id="rId2174" Type="http://schemas.openxmlformats.org/officeDocument/2006/relationships/hyperlink" Target="mailto:shane.ruffin@bisinella.com.au" TargetMode="External"/><Relationship Id="rId2381" Type="http://schemas.openxmlformats.org/officeDocument/2006/relationships/hyperlink" Target="mailto:khewitt@hockingstuart.com.au" TargetMode="External"/><Relationship Id="rId3018" Type="http://schemas.openxmlformats.org/officeDocument/2006/relationships/hyperlink" Target="mailto:jason@bpg.com.au" TargetMode="External"/><Relationship Id="rId146" Type="http://schemas.openxmlformats.org/officeDocument/2006/relationships/hyperlink" Target="mailto:carol.rubidoux@cedarwoods.com.au" TargetMode="External"/><Relationship Id="rId353" Type="http://schemas.openxmlformats.org/officeDocument/2006/relationships/hyperlink" Target="mailto:matthew.petrie@stockland.com.au" TargetMode="External"/><Relationship Id="rId560" Type="http://schemas.openxmlformats.org/officeDocument/2006/relationships/hyperlink" Target="mailto:k.spencer@oliverhume.com.au" TargetMode="External"/><Relationship Id="rId1190" Type="http://schemas.openxmlformats.org/officeDocument/2006/relationships/hyperlink" Target="mailto:ted@wolfdene.com.au" TargetMode="External"/><Relationship Id="rId2034" Type="http://schemas.openxmlformats.org/officeDocument/2006/relationships/hyperlink" Target="mailto:patricio@rivervalley.com.au" TargetMode="External"/><Relationship Id="rId2241" Type="http://schemas.openxmlformats.org/officeDocument/2006/relationships/hyperlink" Target="mailto:Jason.bertram@juddwhite.com.au" TargetMode="External"/><Relationship Id="rId213" Type="http://schemas.openxmlformats.org/officeDocument/2006/relationships/hyperlink" Target="mailto:David.maloney@frasers.com.au" TargetMode="External"/><Relationship Id="rId420" Type="http://schemas.openxmlformats.org/officeDocument/2006/relationships/hyperlink" Target="mailto:shaas@hockingstuart.com.au" TargetMode="External"/><Relationship Id="rId1050" Type="http://schemas.openxmlformats.org/officeDocument/2006/relationships/hyperlink" Target="mailto:lreynolds@avidpropertygroup.com.au" TargetMode="External"/><Relationship Id="rId2101" Type="http://schemas.openxmlformats.org/officeDocument/2006/relationships/hyperlink" Target="mailto:botanical@satterley.com.au" TargetMode="External"/><Relationship Id="rId1867" Type="http://schemas.openxmlformats.org/officeDocument/2006/relationships/hyperlink" Target="mailto:j.termine@oliverhume.com.au" TargetMode="External"/><Relationship Id="rId2918" Type="http://schemas.openxmlformats.org/officeDocument/2006/relationships/hyperlink" Target="mailto:shane.ruffin@bisinella.com.au" TargetMode="External"/><Relationship Id="rId1727" Type="http://schemas.openxmlformats.org/officeDocument/2006/relationships/hyperlink" Target="mailto:stgermain@rpmrealestate.com.au" TargetMode="External"/><Relationship Id="rId1934" Type="http://schemas.openxmlformats.org/officeDocument/2006/relationships/hyperlink" Target="mailto:m.nastic@oliverhume.com.au" TargetMode="External"/><Relationship Id="rId3082" Type="http://schemas.openxmlformats.org/officeDocument/2006/relationships/hyperlink" Target="mailto:a.clarke@oliverhume.com.au" TargetMode="External"/><Relationship Id="rId19" Type="http://schemas.openxmlformats.org/officeDocument/2006/relationships/hyperlink" Target="mailto:l.pappalardo@oliverhime.com.au" TargetMode="External"/><Relationship Id="rId3" Type="http://schemas.openxmlformats.org/officeDocument/2006/relationships/hyperlink" Target="mailto:b.ellis@oliverhume.com.au" TargetMode="External"/><Relationship Id="rId887" Type="http://schemas.openxmlformats.org/officeDocument/2006/relationships/hyperlink" Target="mailto:Courtney.tattersall@peet.com.au" TargetMode="External"/><Relationship Id="rId2568" Type="http://schemas.openxmlformats.org/officeDocument/2006/relationships/hyperlink" Target="mailto:heather@kaikura.com.au" TargetMode="External"/><Relationship Id="rId2775" Type="http://schemas.openxmlformats.org/officeDocument/2006/relationships/hyperlink" Target="mailto:lilian.fierro-martinez@cedarwoods.com.au" TargetMode="External"/><Relationship Id="rId2982" Type="http://schemas.openxmlformats.org/officeDocument/2006/relationships/hyperlink" Target="mailto:thuyen.nguyen@growland.com.au" TargetMode="External"/><Relationship Id="rId747" Type="http://schemas.openxmlformats.org/officeDocument/2006/relationships/hyperlink" Target="mailto:dspiteri@hermitagehomes.com.au" TargetMode="External"/><Relationship Id="rId954" Type="http://schemas.openxmlformats.org/officeDocument/2006/relationships/hyperlink" Target="mailto:anne.cross@lendlease.com" TargetMode="External"/><Relationship Id="rId1377" Type="http://schemas.openxmlformats.org/officeDocument/2006/relationships/hyperlink" Target="mailto:jerry@harvestrealty.com.au" TargetMode="External"/><Relationship Id="rId1584" Type="http://schemas.openxmlformats.org/officeDocument/2006/relationships/hyperlink" Target="mailto:alannah@mpai.com.au" TargetMode="External"/><Relationship Id="rId1791" Type="http://schemas.openxmlformats.org/officeDocument/2006/relationships/hyperlink" Target="mailto:ann@eppingviews.com.au" TargetMode="External"/><Relationship Id="rId2428" Type="http://schemas.openxmlformats.org/officeDocument/2006/relationships/hyperlink" Target="mailto:brett@winterset.com.au" TargetMode="External"/><Relationship Id="rId2635" Type="http://schemas.openxmlformats.org/officeDocument/2006/relationships/hyperlink" Target="mailto:ben@prdballarat.com.au" TargetMode="External"/><Relationship Id="rId2842" Type="http://schemas.openxmlformats.org/officeDocument/2006/relationships/hyperlink" Target="mailto:sales@estategurus.com.au" TargetMode="External"/><Relationship Id="rId83" Type="http://schemas.openxmlformats.org/officeDocument/2006/relationships/hyperlink" Target="mailto:anne.cross@lendlease.com" TargetMode="External"/><Relationship Id="rId607" Type="http://schemas.openxmlformats.org/officeDocument/2006/relationships/hyperlink" Target="mailto:ashwin.sethi@stockland.com.au" TargetMode="External"/><Relationship Id="rId814" Type="http://schemas.openxmlformats.org/officeDocument/2006/relationships/hyperlink" Target="mailto:robert.l@red23.com.au" TargetMode="External"/><Relationship Id="rId1237" Type="http://schemas.openxmlformats.org/officeDocument/2006/relationships/hyperlink" Target="mailto:dspiteri@hermitagehomes.com.au" TargetMode="External"/><Relationship Id="rId1444" Type="http://schemas.openxmlformats.org/officeDocument/2006/relationships/hyperlink" Target="mailto:Eliston@rpmrealestate.com.au" TargetMode="External"/><Relationship Id="rId1651" Type="http://schemas.openxmlformats.org/officeDocument/2006/relationships/hyperlink" Target="mailto:helen.li@glenwaverley.rh.com.au" TargetMode="External"/><Relationship Id="rId2702" Type="http://schemas.openxmlformats.org/officeDocument/2006/relationships/hyperlink" Target="mailto:lilium@villaworld.com.au" TargetMode="External"/><Relationship Id="rId1304" Type="http://schemas.openxmlformats.org/officeDocument/2006/relationships/hyperlink" Target="mailto:sales@collegefields.com.au" TargetMode="External"/><Relationship Id="rId1511" Type="http://schemas.openxmlformats.org/officeDocument/2006/relationships/hyperlink" Target="mailto:wynbrook@rpmrealestate.com.au" TargetMode="External"/><Relationship Id="rId10" Type="http://schemas.openxmlformats.org/officeDocument/2006/relationships/hyperlink" Target="mailto:ted@wolfdene.com.au" TargetMode="External"/><Relationship Id="rId397" Type="http://schemas.openxmlformats.org/officeDocument/2006/relationships/hyperlink" Target="mailto:raj.shergill@stockland.com.au" TargetMode="External"/><Relationship Id="rId2078" Type="http://schemas.openxmlformats.org/officeDocument/2006/relationships/hyperlink" Target="mailto:admin@woodlea.com.au" TargetMode="External"/><Relationship Id="rId2285" Type="http://schemas.openxmlformats.org/officeDocument/2006/relationships/hyperlink" Target="mailto:miloss@satterley.com.au" TargetMode="External"/><Relationship Id="rId2492" Type="http://schemas.openxmlformats.org/officeDocument/2006/relationships/hyperlink" Target="mailto:daniels@lotusliving.com.au" TargetMode="External"/><Relationship Id="rId257" Type="http://schemas.openxmlformats.org/officeDocument/2006/relationships/hyperlink" Target="mailto:arnoldscreek.melton@rh.com.au" TargetMode="External"/><Relationship Id="rId464" Type="http://schemas.openxmlformats.org/officeDocument/2006/relationships/hyperlink" Target="mailto:chris.walker@stockland.com.au" TargetMode="External"/><Relationship Id="rId1094" Type="http://schemas.openxmlformats.org/officeDocument/2006/relationships/hyperlink" Target="mailto:stonehill@rpmrealestate.com.au" TargetMode="External"/><Relationship Id="rId2145" Type="http://schemas.openxmlformats.org/officeDocument/2006/relationships/hyperlink" Target="mailto:kingsfield@rpmrealestate.com.au" TargetMode="External"/><Relationship Id="rId117" Type="http://schemas.openxmlformats.org/officeDocument/2006/relationships/hyperlink" Target="mailto:lanaa@satterley.com.au" TargetMode="External"/><Relationship Id="rId671" Type="http://schemas.openxmlformats.org/officeDocument/2006/relationships/hyperlink" Target="mailto:andy@red23.com.au" TargetMode="External"/><Relationship Id="rId2352" Type="http://schemas.openxmlformats.org/officeDocument/2006/relationships/hyperlink" Target="mailto:sales@bisinella.com.au" TargetMode="External"/><Relationship Id="rId324" Type="http://schemas.openxmlformats.org/officeDocument/2006/relationships/hyperlink" Target="mailto:theivy@rpmrealestate.com.au" TargetMode="External"/><Relationship Id="rId531" Type="http://schemas.openxmlformats.org/officeDocument/2006/relationships/hyperlink" Target="mailto:angelo.granata@peet.com.au" TargetMode="External"/><Relationship Id="rId1161" Type="http://schemas.openxmlformats.org/officeDocument/2006/relationships/hyperlink" Target="mailto:LVojneska@denniscorp.com.au" TargetMode="External"/><Relationship Id="rId2005" Type="http://schemas.openxmlformats.org/officeDocument/2006/relationships/hyperlink" Target="mailto:thereserve@rpmrealestate.com.au" TargetMode="External"/><Relationship Id="rId2212" Type="http://schemas.openxmlformats.org/officeDocument/2006/relationships/hyperlink" Target="mailto:laurier@rpmrealestate.com.au" TargetMode="External"/><Relationship Id="rId1021" Type="http://schemas.openxmlformats.org/officeDocument/2006/relationships/hyperlink" Target="mailto:jacqueline@goldengroup.com.au" TargetMode="External"/><Relationship Id="rId1978" Type="http://schemas.openxmlformats.org/officeDocument/2006/relationships/hyperlink" Target="mailto:rosewood2@rpmrealestate.com.au" TargetMode="External"/><Relationship Id="rId1838" Type="http://schemas.openxmlformats.org/officeDocument/2006/relationships/hyperlink" Target="mailto:bhalsall@buxton.com.au" TargetMode="External"/><Relationship Id="rId3053" Type="http://schemas.openxmlformats.org/officeDocument/2006/relationships/hyperlink" Target="mailto:Catherine@yourland.com" TargetMode="External"/><Relationship Id="rId181" Type="http://schemas.openxmlformats.org/officeDocument/2006/relationships/hyperlink" Target="mailto:ann@emerldparktarneit.com.au" TargetMode="External"/><Relationship Id="rId1905" Type="http://schemas.openxmlformats.org/officeDocument/2006/relationships/hyperlink" Target="mailto:cmccormack@avidpropertygroup.com.au" TargetMode="External"/><Relationship Id="rId3120" Type="http://schemas.openxmlformats.org/officeDocument/2006/relationships/hyperlink" Target="mailto:lera@rpmgrp.com.au" TargetMode="External"/><Relationship Id="rId998" Type="http://schemas.openxmlformats.org/officeDocument/2006/relationships/hyperlink" Target="mailto:ian@krpeters.com.au" TargetMode="External"/><Relationship Id="rId2679" Type="http://schemas.openxmlformats.org/officeDocument/2006/relationships/hyperlink" Target="mailto:riverhills@rpmrealestate.com.au" TargetMode="External"/><Relationship Id="rId2886" Type="http://schemas.openxmlformats.org/officeDocument/2006/relationships/hyperlink" Target="mailto:magdy@worthingtonestate.com.au" TargetMode="External"/><Relationship Id="rId858" Type="http://schemas.openxmlformats.org/officeDocument/2006/relationships/hyperlink" Target="mailto:markd@satterley.com.au" TargetMode="External"/><Relationship Id="rId1488" Type="http://schemas.openxmlformats.org/officeDocument/2006/relationships/hyperlink" Target="mailto:thuyen@bpg.com.au" TargetMode="External"/><Relationship Id="rId1695" Type="http://schemas.openxmlformats.org/officeDocument/2006/relationships/hyperlink" Target="mailto:s.fuss@oliverhume.com.au" TargetMode="External"/><Relationship Id="rId2539" Type="http://schemas.openxmlformats.org/officeDocument/2006/relationships/hyperlink" Target="mailto:westwood2@rpmrealestate.com.au" TargetMode="External"/><Relationship Id="rId2746" Type="http://schemas.openxmlformats.org/officeDocument/2006/relationships/hyperlink" Target="mailto:ben@prdballarat.com.au" TargetMode="External"/><Relationship Id="rId2953" Type="http://schemas.openxmlformats.org/officeDocument/2006/relationships/hyperlink" Target="mailto:josephine.borg@stockland.com.au" TargetMode="External"/><Relationship Id="rId718" Type="http://schemas.openxmlformats.org/officeDocument/2006/relationships/hyperlink" Target="mailto:anne.cross@lendlease.com" TargetMode="External"/><Relationship Id="rId925" Type="http://schemas.openxmlformats.org/officeDocument/2006/relationships/hyperlink" Target="mailto:dspiteri@hermitagehomes.com.au" TargetMode="External"/><Relationship Id="rId1348" Type="http://schemas.openxmlformats.org/officeDocument/2006/relationships/hyperlink" Target="mailto:Elyssia@villaworld.com.au" TargetMode="External"/><Relationship Id="rId1555" Type="http://schemas.openxmlformats.org/officeDocument/2006/relationships/hyperlink" Target="mailto:atherstone@lendlease.com" TargetMode="External"/><Relationship Id="rId1762" Type="http://schemas.openxmlformats.org/officeDocument/2006/relationships/hyperlink" Target="mailto:robert.l@red23.com.au" TargetMode="External"/><Relationship Id="rId2606" Type="http://schemas.openxmlformats.org/officeDocument/2006/relationships/hyperlink" Target="mailto:approval@ngdd.com.au" TargetMode="External"/><Relationship Id="rId1208" Type="http://schemas.openxmlformats.org/officeDocument/2006/relationships/hyperlink" Target="mailto:khewitt@hockingstuart.com.au" TargetMode="External"/><Relationship Id="rId1415" Type="http://schemas.openxmlformats.org/officeDocument/2006/relationships/hyperlink" Target="mailto:khewitt@hockingstuart.com.au" TargetMode="External"/><Relationship Id="rId2813" Type="http://schemas.openxmlformats.org/officeDocument/2006/relationships/hyperlink" Target="mailto:kim.mair@frasersproperty.com.au" TargetMode="External"/><Relationship Id="rId54" Type="http://schemas.openxmlformats.org/officeDocument/2006/relationships/hyperlink" Target="mailto:riverdalevillage@latituderealestate.com.au" TargetMode="External"/><Relationship Id="rId1622" Type="http://schemas.openxmlformats.org/officeDocument/2006/relationships/hyperlink" Target="mailto:ian@krpeters.com.au" TargetMode="External"/><Relationship Id="rId2189" Type="http://schemas.openxmlformats.org/officeDocument/2006/relationships/hyperlink" Target="mailto:steviec@satterley.com.au" TargetMode="External"/><Relationship Id="rId270" Type="http://schemas.openxmlformats.org/officeDocument/2006/relationships/hyperlink" Target="mailto:t.kerr@oliverhume.com.au" TargetMode="External"/><Relationship Id="rId2396" Type="http://schemas.openxmlformats.org/officeDocument/2006/relationships/hyperlink" Target="mailto:botanical@satterley.com.au" TargetMode="External"/><Relationship Id="rId3002" Type="http://schemas.openxmlformats.org/officeDocument/2006/relationships/hyperlink" Target="mailto:ann@emerldparktarneit.com.au" TargetMode="External"/><Relationship Id="rId130" Type="http://schemas.openxmlformats.org/officeDocument/2006/relationships/hyperlink" Target="mailto:daniels@lotusliving.com.au" TargetMode="External"/><Relationship Id="rId368" Type="http://schemas.openxmlformats.org/officeDocument/2006/relationships/hyperlink" Target="mailto:drokka@core-projects.com.au" TargetMode="External"/><Relationship Id="rId575" Type="http://schemas.openxmlformats.org/officeDocument/2006/relationships/hyperlink" Target="mailto:stgermain@rpmrealestate.com.au" TargetMode="External"/><Relationship Id="rId782" Type="http://schemas.openxmlformats.org/officeDocument/2006/relationships/hyperlink" Target="mailto:thornhillpark@rpmrealestate.com.au" TargetMode="External"/><Relationship Id="rId2049" Type="http://schemas.openxmlformats.org/officeDocument/2006/relationships/hyperlink" Target="mailto:creekstone@rpmrealestate.com.au" TargetMode="External"/><Relationship Id="rId2256" Type="http://schemas.openxmlformats.org/officeDocument/2006/relationships/hyperlink" Target="mailto:sales@ooranyaestate.com.au" TargetMode="External"/><Relationship Id="rId2463" Type="http://schemas.openxmlformats.org/officeDocument/2006/relationships/hyperlink" Target="mailto:jbentleydevelopments@gmail.com" TargetMode="External"/><Relationship Id="rId2670" Type="http://schemas.openxmlformats.org/officeDocument/2006/relationships/hyperlink" Target="mailto:s.datti@oliverhume.com.au" TargetMode="External"/><Relationship Id="rId228" Type="http://schemas.openxmlformats.org/officeDocument/2006/relationships/hyperlink" Target="mailto:l.pappalardo@oliverhume.com.au" TargetMode="External"/><Relationship Id="rId435" Type="http://schemas.openxmlformats.org/officeDocument/2006/relationships/hyperlink" Target="mailto:diamondrise@rpmrealestate.com.au" TargetMode="External"/><Relationship Id="rId642" Type="http://schemas.openxmlformats.org/officeDocument/2006/relationships/hyperlink" Target="mailto:umbra2@rpmrealestate.com.au" TargetMode="External"/><Relationship Id="rId1065" Type="http://schemas.openxmlformats.org/officeDocument/2006/relationships/hyperlink" Target="mailto:LVojneska@denniscorp.com.au" TargetMode="External"/><Relationship Id="rId1272" Type="http://schemas.openxmlformats.org/officeDocument/2006/relationships/hyperlink" Target="mailto:atherstone@lendlease.com" TargetMode="External"/><Relationship Id="rId2116" Type="http://schemas.openxmlformats.org/officeDocument/2006/relationships/hyperlink" Target="mailto:tim@smithspark.com.au" TargetMode="External"/><Relationship Id="rId2323" Type="http://schemas.openxmlformats.org/officeDocument/2006/relationships/hyperlink" Target="mailto:tgilmore@barryplant.com.au" TargetMode="External"/><Relationship Id="rId2530" Type="http://schemas.openxmlformats.org/officeDocument/2006/relationships/hyperlink" Target="mailto:Jason.Hynek@stockland.com.au" TargetMode="External"/><Relationship Id="rId2768" Type="http://schemas.openxmlformats.org/officeDocument/2006/relationships/hyperlink" Target="mailto:jason@bpg.com.au" TargetMode="External"/><Relationship Id="rId2975" Type="http://schemas.openxmlformats.org/officeDocument/2006/relationships/hyperlink" Target="mailto:austin@latituderealestate.com.au" TargetMode="External"/><Relationship Id="rId502" Type="http://schemas.openxmlformats.org/officeDocument/2006/relationships/hyperlink" Target="mailto:sales@belmondclyde.com.au" TargetMode="External"/><Relationship Id="rId947" Type="http://schemas.openxmlformats.org/officeDocument/2006/relationships/hyperlink" Target="mailto:markd@satterley.com.au" TargetMode="External"/><Relationship Id="rId1132" Type="http://schemas.openxmlformats.org/officeDocument/2006/relationships/hyperlink" Target="mailto:m.huynh@oliverhume.com.au" TargetMode="External"/><Relationship Id="rId1577" Type="http://schemas.openxmlformats.org/officeDocument/2006/relationships/hyperlink" Target="mailto:arch@lauders.com.au" TargetMode="External"/><Relationship Id="rId1784" Type="http://schemas.openxmlformats.org/officeDocument/2006/relationships/hyperlink" Target="mailto:chris.walker@stockland.com.au" TargetMode="External"/><Relationship Id="rId1991" Type="http://schemas.openxmlformats.org/officeDocument/2006/relationships/hyperlink" Target="mailto:rob.polec@denniscorp.com.au" TargetMode="External"/><Relationship Id="rId2628" Type="http://schemas.openxmlformats.org/officeDocument/2006/relationships/hyperlink" Target="mailto:kingsfield@rpmrealestate.com.au" TargetMode="External"/><Relationship Id="rId2835" Type="http://schemas.openxmlformats.org/officeDocument/2006/relationships/hyperlink" Target="mailto:GRACE@OLIVERHUME.COM.AU" TargetMode="External"/><Relationship Id="rId76" Type="http://schemas.openxmlformats.org/officeDocument/2006/relationships/hyperlink" Target="mailto:chris.walker@stockland.com.au" TargetMode="External"/><Relationship Id="rId807" Type="http://schemas.openxmlformats.org/officeDocument/2006/relationships/hyperlink" Target="mailto:NickC@centralequity.com.au" TargetMode="External"/><Relationship Id="rId1437" Type="http://schemas.openxmlformats.org/officeDocument/2006/relationships/hyperlink" Target="mailto:austin@latituderealestate.com.au" TargetMode="External"/><Relationship Id="rId1644" Type="http://schemas.openxmlformats.org/officeDocument/2006/relationships/hyperlink" Target="mailto:jason.bailes@peet.com.au" TargetMode="External"/><Relationship Id="rId1851" Type="http://schemas.openxmlformats.org/officeDocument/2006/relationships/hyperlink" Target="mailto:LVojneska@denniscorp.com.au" TargetMode="External"/><Relationship Id="rId2902" Type="http://schemas.openxmlformats.org/officeDocument/2006/relationships/hyperlink" Target="mailto:monica.quaresima@stockland.com.au" TargetMode="External"/><Relationship Id="rId3097" Type="http://schemas.openxmlformats.org/officeDocument/2006/relationships/hyperlink" Target="mailto:zmckinnon@larare.com.au" TargetMode="External"/><Relationship Id="rId1504" Type="http://schemas.openxmlformats.org/officeDocument/2006/relationships/hyperlink" Target="mailto:austin@latituderealestate.com.au" TargetMode="External"/><Relationship Id="rId1711" Type="http://schemas.openxmlformats.org/officeDocument/2006/relationships/hyperlink" Target="mailto:s.fuss@oliverhume.com.au" TargetMode="External"/><Relationship Id="rId1949" Type="http://schemas.openxmlformats.org/officeDocument/2006/relationships/hyperlink" Target="mailto:sales@bisinella.com.au" TargetMode="External"/><Relationship Id="rId292" Type="http://schemas.openxmlformats.org/officeDocument/2006/relationships/hyperlink" Target="mailto:annadale@rpmrealestate.com.au" TargetMode="External"/><Relationship Id="rId1809" Type="http://schemas.openxmlformats.org/officeDocument/2006/relationships/hyperlink" Target="mailto:heather@kaikura.com.au" TargetMode="External"/><Relationship Id="rId597" Type="http://schemas.openxmlformats.org/officeDocument/2006/relationships/hyperlink" Target="mailto:miloss@satterley.com.au" TargetMode="External"/><Relationship Id="rId2180" Type="http://schemas.openxmlformats.org/officeDocument/2006/relationships/hyperlink" Target="mailto:k.spencer@oliverhume.com.au" TargetMode="External"/><Relationship Id="rId2278" Type="http://schemas.openxmlformats.org/officeDocument/2006/relationships/hyperlink" Target="mailto:jason@red23.com.au" TargetMode="External"/><Relationship Id="rId2485" Type="http://schemas.openxmlformats.org/officeDocument/2006/relationships/hyperlink" Target="mailto:rosenthal@rpmrealestate.com.au" TargetMode="External"/><Relationship Id="rId3024" Type="http://schemas.openxmlformats.org/officeDocument/2006/relationships/hyperlink" Target="mailto:n.harb@oliverhume.com.au" TargetMode="External"/><Relationship Id="rId152" Type="http://schemas.openxmlformats.org/officeDocument/2006/relationships/hyperlink" Target="mailto:info@dacland.com.au" TargetMode="External"/><Relationship Id="rId457" Type="http://schemas.openxmlformats.org/officeDocument/2006/relationships/hyperlink" Target="mailto:admin@woodlea.com.au" TargetMode="External"/><Relationship Id="rId1087" Type="http://schemas.openxmlformats.org/officeDocument/2006/relationships/hyperlink" Target="mailto:stonehill@rpmrealestate.com.au" TargetMode="External"/><Relationship Id="rId1294" Type="http://schemas.openxmlformats.org/officeDocument/2006/relationships/hyperlink" Target="mailto:arvind@krpeters.com.au" TargetMode="External"/><Relationship Id="rId2040" Type="http://schemas.openxmlformats.org/officeDocument/2006/relationships/hyperlink" Target="mailto:dspiteri@hermitagehomes.com.au" TargetMode="External"/><Relationship Id="rId2138" Type="http://schemas.openxmlformats.org/officeDocument/2006/relationships/hyperlink" Target="mailto:Courtney.tattersall@peet.com.au" TargetMode="External"/><Relationship Id="rId2692" Type="http://schemas.openxmlformats.org/officeDocument/2006/relationships/hyperlink" Target="mailto:jo@monashviews.com.au" TargetMode="External"/><Relationship Id="rId2997" Type="http://schemas.openxmlformats.org/officeDocument/2006/relationships/hyperlink" Target="mailto:kevin@vhls.net.au" TargetMode="External"/><Relationship Id="rId664" Type="http://schemas.openxmlformats.org/officeDocument/2006/relationships/hyperlink" Target="mailto:cpearson@westbrookestate.com.au" TargetMode="External"/><Relationship Id="rId871" Type="http://schemas.openxmlformats.org/officeDocument/2006/relationships/hyperlink" Target="mailto:j.termine@oliverhume.com.au" TargetMode="External"/><Relationship Id="rId969" Type="http://schemas.openxmlformats.org/officeDocument/2006/relationships/hyperlink" Target="mailto:cpearson@westbrookestate.com.au" TargetMode="External"/><Relationship Id="rId1599" Type="http://schemas.openxmlformats.org/officeDocument/2006/relationships/hyperlink" Target="mailto:ashwin.sethi@stockland.com.au" TargetMode="External"/><Relationship Id="rId2345" Type="http://schemas.openxmlformats.org/officeDocument/2006/relationships/hyperlink" Target="mailto:mandalay@rpmrealestate.com.au" TargetMode="External"/><Relationship Id="rId2552" Type="http://schemas.openxmlformats.org/officeDocument/2006/relationships/hyperlink" Target="mailto:mai.tran@mywindermere.com.au" TargetMode="External"/><Relationship Id="rId317" Type="http://schemas.openxmlformats.org/officeDocument/2006/relationships/hyperlink" Target="mailto:thornhillpark@rpmrealestate.com.au" TargetMode="External"/><Relationship Id="rId524" Type="http://schemas.openxmlformats.org/officeDocument/2006/relationships/hyperlink" Target="mailto:admin@woodlea.com.au" TargetMode="External"/><Relationship Id="rId731" Type="http://schemas.openxmlformats.org/officeDocument/2006/relationships/hyperlink" Target="mailto:andy@red23.com.au" TargetMode="External"/><Relationship Id="rId1154" Type="http://schemas.openxmlformats.org/officeDocument/2006/relationships/hyperlink" Target="mailto:sharee@maxwellcollins.com.au" TargetMode="External"/><Relationship Id="rId1361" Type="http://schemas.openxmlformats.org/officeDocument/2006/relationships/hyperlink" Target="mailto:botanical@satterley.com.au" TargetMode="External"/><Relationship Id="rId1459" Type="http://schemas.openxmlformats.org/officeDocument/2006/relationships/hyperlink" Target="mailto:info@kingsleigh.com.au" TargetMode="External"/><Relationship Id="rId2205" Type="http://schemas.openxmlformats.org/officeDocument/2006/relationships/hyperlink" Target="mailto:sales@bisinella.com.au" TargetMode="External"/><Relationship Id="rId2412" Type="http://schemas.openxmlformats.org/officeDocument/2006/relationships/hyperlink" Target="mailto:cmccormack@avidpropertygroup.com.au" TargetMode="External"/><Relationship Id="rId2857" Type="http://schemas.openxmlformats.org/officeDocument/2006/relationships/hyperlink" Target="mailto:romeos@jasonrealestate.com.au" TargetMode="External"/><Relationship Id="rId98" Type="http://schemas.openxmlformats.org/officeDocument/2006/relationships/hyperlink" Target="mailto:jbosancic@brightonpropertygroup.com.au" TargetMode="External"/><Relationship Id="rId829" Type="http://schemas.openxmlformats.org/officeDocument/2006/relationships/hyperlink" Target="mailto:Emma.Nelson@peet.com.au" TargetMode="External"/><Relationship Id="rId1014" Type="http://schemas.openxmlformats.org/officeDocument/2006/relationships/hyperlink" Target="mailto:cpearson@westbrookestate.com.au" TargetMode="External"/><Relationship Id="rId1221" Type="http://schemas.openxmlformats.org/officeDocument/2006/relationships/hyperlink" Target="mailto:cmccormack@avidpropertygroup.com.au" TargetMode="External"/><Relationship Id="rId1666" Type="http://schemas.openxmlformats.org/officeDocument/2006/relationships/hyperlink" Target="mailto:simon@maxwellcollins.com.au" TargetMode="External"/><Relationship Id="rId1873" Type="http://schemas.openxmlformats.org/officeDocument/2006/relationships/hyperlink" Target="mailto:Eliston@rpmrealestate.com.au" TargetMode="External"/><Relationship Id="rId2717" Type="http://schemas.openxmlformats.org/officeDocument/2006/relationships/hyperlink" Target="mailto:admin@woodlea.com.au" TargetMode="External"/><Relationship Id="rId2924" Type="http://schemas.openxmlformats.org/officeDocument/2006/relationships/hyperlink" Target="mailto:LVojneska@denniscorp.com.au" TargetMode="External"/><Relationship Id="rId1319" Type="http://schemas.openxmlformats.org/officeDocument/2006/relationships/hyperlink" Target="mailto:sudha@wyndhamharbour.com.au" TargetMode="External"/><Relationship Id="rId1526" Type="http://schemas.openxmlformats.org/officeDocument/2006/relationships/hyperlink" Target="mailto:nataliep@wofldene.com.au" TargetMode="External"/><Relationship Id="rId1733" Type="http://schemas.openxmlformats.org/officeDocument/2006/relationships/hyperlink" Target="mailto:botanical@satterley.com.au" TargetMode="External"/><Relationship Id="rId1940" Type="http://schemas.openxmlformats.org/officeDocument/2006/relationships/hyperlink" Target="mailto:kevin@vhls.net.au" TargetMode="External"/><Relationship Id="rId25" Type="http://schemas.openxmlformats.org/officeDocument/2006/relationships/hyperlink" Target="mailto:b.ryan@harcourts.com.au" TargetMode="External"/><Relationship Id="rId1800" Type="http://schemas.openxmlformats.org/officeDocument/2006/relationships/hyperlink" Target="mailto:k.spencer@oliverhume.com.au" TargetMode="External"/><Relationship Id="rId3046" Type="http://schemas.openxmlformats.org/officeDocument/2006/relationships/hyperlink" Target="mailto:k.spencer@oliverhume.com.au" TargetMode="External"/><Relationship Id="rId174" Type="http://schemas.openxmlformats.org/officeDocument/2006/relationships/hyperlink" Target="mailto:freddy@freddyrealty.com.au" TargetMode="External"/><Relationship Id="rId381" Type="http://schemas.openxmlformats.org/officeDocument/2006/relationships/hyperlink" Target="mailto:info@kingsleigh.com.au" TargetMode="External"/><Relationship Id="rId2062" Type="http://schemas.openxmlformats.org/officeDocument/2006/relationships/hyperlink" Target="mailto:austin@latituderealestate.com.au" TargetMode="External"/><Relationship Id="rId3113" Type="http://schemas.openxmlformats.org/officeDocument/2006/relationships/hyperlink" Target="mailto:westwood2@rpmrealestate.com.au" TargetMode="External"/><Relationship Id="rId241" Type="http://schemas.openxmlformats.org/officeDocument/2006/relationships/hyperlink" Target="mailto:riverdalevillage@latituderealestate.com.au" TargetMode="External"/><Relationship Id="rId479" Type="http://schemas.openxmlformats.org/officeDocument/2006/relationships/hyperlink" Target="mailto:steviec@satterley.com.au" TargetMode="External"/><Relationship Id="rId686" Type="http://schemas.openxmlformats.org/officeDocument/2006/relationships/hyperlink" Target="mailto:manzeene@rpmrealestate.com.au" TargetMode="External"/><Relationship Id="rId893" Type="http://schemas.openxmlformats.org/officeDocument/2006/relationships/hyperlink" Target="mailto:tim@costaland.com.au" TargetMode="External"/><Relationship Id="rId2367" Type="http://schemas.openxmlformats.org/officeDocument/2006/relationships/hyperlink" Target="mailto:i.tanti@oliverhume.com.au" TargetMode="External"/><Relationship Id="rId2574" Type="http://schemas.openxmlformats.org/officeDocument/2006/relationships/hyperlink" Target="mailto:Jason.bertram@harcourts.com.au" TargetMode="External"/><Relationship Id="rId2781" Type="http://schemas.openxmlformats.org/officeDocument/2006/relationships/hyperlink" Target="mailto:rob@wolfdene.com.au" TargetMode="External"/><Relationship Id="rId339" Type="http://schemas.openxmlformats.org/officeDocument/2006/relationships/hyperlink" Target="mailto:info@kingsleigh.com.au" TargetMode="External"/><Relationship Id="rId546" Type="http://schemas.openxmlformats.org/officeDocument/2006/relationships/hyperlink" Target="mailto:mandalay@rpmrealestate.com.au" TargetMode="External"/><Relationship Id="rId753" Type="http://schemas.openxmlformats.org/officeDocument/2006/relationships/hyperlink" Target="mailto:admin@woodlea.com.au" TargetMode="External"/><Relationship Id="rId1176" Type="http://schemas.openxmlformats.org/officeDocument/2006/relationships/hyperlink" Target="mailto:bhalsall@buxton.com.au" TargetMode="External"/><Relationship Id="rId1383" Type="http://schemas.openxmlformats.org/officeDocument/2006/relationships/hyperlink" Target="mailto:riverwalk@rpmrealestate.com.au" TargetMode="External"/><Relationship Id="rId2227" Type="http://schemas.openxmlformats.org/officeDocument/2006/relationships/hyperlink" Target="mailto:b.ellis@oliverhume.com.au" TargetMode="External"/><Relationship Id="rId2434" Type="http://schemas.openxmlformats.org/officeDocument/2006/relationships/hyperlink" Target="mailto:kingsfield@rpmrealestate.com.au" TargetMode="External"/><Relationship Id="rId2879" Type="http://schemas.openxmlformats.org/officeDocument/2006/relationships/hyperlink" Target="mailto:nataliep@wofldene.com.au" TargetMode="External"/><Relationship Id="rId101" Type="http://schemas.openxmlformats.org/officeDocument/2006/relationships/hyperlink" Target="mailto:jbosancic@brightonpropertygroup.com.au" TargetMode="External"/><Relationship Id="rId406" Type="http://schemas.openxmlformats.org/officeDocument/2006/relationships/hyperlink" Target="mailto:gkirkopoulos@avjennings.com.au" TargetMode="External"/><Relationship Id="rId960" Type="http://schemas.openxmlformats.org/officeDocument/2006/relationships/hyperlink" Target="mailto:amy.newman@lendlease.com" TargetMode="External"/><Relationship Id="rId1036" Type="http://schemas.openxmlformats.org/officeDocument/2006/relationships/hyperlink" Target="mailto:jody@ploughmansarms.com.au" TargetMode="External"/><Relationship Id="rId1243" Type="http://schemas.openxmlformats.org/officeDocument/2006/relationships/hyperlink" Target="mailto:markd@satterley.com.au" TargetMode="External"/><Relationship Id="rId1590" Type="http://schemas.openxmlformats.org/officeDocument/2006/relationships/hyperlink" Target="mailto:nick@mastersempiregroup.com.au" TargetMode="External"/><Relationship Id="rId1688" Type="http://schemas.openxmlformats.org/officeDocument/2006/relationships/hyperlink" Target="mailto:archi@advantagepropertygroup.com.au" TargetMode="External"/><Relationship Id="rId1895" Type="http://schemas.openxmlformats.org/officeDocument/2006/relationships/hyperlink" Target="mailto:sanctuarysprings@rpmrealestate.com.au" TargetMode="External"/><Relationship Id="rId2641" Type="http://schemas.openxmlformats.org/officeDocument/2006/relationships/hyperlink" Target="mailto:rebecca@parklea.com" TargetMode="External"/><Relationship Id="rId2739" Type="http://schemas.openxmlformats.org/officeDocument/2006/relationships/hyperlink" Target="mailto:kingsfield@rpmrealestate.com.au" TargetMode="External"/><Relationship Id="rId2946" Type="http://schemas.openxmlformats.org/officeDocument/2006/relationships/hyperlink" Target="mailto:jason@bpg.com.au" TargetMode="External"/><Relationship Id="rId613" Type="http://schemas.openxmlformats.org/officeDocument/2006/relationships/hyperlink" Target="mailto:k.spencer@oliverhume.com.au" TargetMode="External"/><Relationship Id="rId820" Type="http://schemas.openxmlformats.org/officeDocument/2006/relationships/hyperlink" Target="mailto:stgermain@rpmrealestate.com.au" TargetMode="External"/><Relationship Id="rId918" Type="http://schemas.openxmlformats.org/officeDocument/2006/relationships/hyperlink" Target="mailto:simon@maxwellcollins.com.au" TargetMode="External"/><Relationship Id="rId1450" Type="http://schemas.openxmlformats.org/officeDocument/2006/relationships/hyperlink" Target="mailto:chris.walker@stockland.com.au" TargetMode="External"/><Relationship Id="rId1548" Type="http://schemas.openxmlformats.org/officeDocument/2006/relationships/hyperlink" Target="mailto:ted@kohamproperty.com" TargetMode="External"/><Relationship Id="rId1755" Type="http://schemas.openxmlformats.org/officeDocument/2006/relationships/hyperlink" Target="mailto:tony=investfirst.com.au@mail62.suw11.mcdlv.net" TargetMode="External"/><Relationship Id="rId2501" Type="http://schemas.openxmlformats.org/officeDocument/2006/relationships/hyperlink" Target="mailto:msharma@coreprojects.com.au" TargetMode="External"/><Relationship Id="rId1103" Type="http://schemas.openxmlformats.org/officeDocument/2006/relationships/hyperlink" Target="mailto:cmccormack@avidpropertygroup.com.au" TargetMode="External"/><Relationship Id="rId1310" Type="http://schemas.openxmlformats.org/officeDocument/2006/relationships/hyperlink" Target="mailto:ian@krpeters.com.au" TargetMode="External"/><Relationship Id="rId1408" Type="http://schemas.openxmlformats.org/officeDocument/2006/relationships/hyperlink" Target="mailto:kingsfield@rpmrealestate.com.au" TargetMode="External"/><Relationship Id="rId1962" Type="http://schemas.openxmlformats.org/officeDocument/2006/relationships/hyperlink" Target="mailto:i.tanti@oliverhume.com.au" TargetMode="External"/><Relationship Id="rId2806" Type="http://schemas.openxmlformats.org/officeDocument/2006/relationships/hyperlink" Target="mailto:jason@red23.com.au" TargetMode="External"/><Relationship Id="rId47" Type="http://schemas.openxmlformats.org/officeDocument/2006/relationships/hyperlink" Target="mailto:NickC@centralequity.com.au" TargetMode="External"/><Relationship Id="rId1615" Type="http://schemas.openxmlformats.org/officeDocument/2006/relationships/hyperlink" Target="mailto:d.halsey@oliverhume.com.au" TargetMode="External"/><Relationship Id="rId1822" Type="http://schemas.openxmlformats.org/officeDocument/2006/relationships/hyperlink" Target="mailto:msharma@coreprojects.com.au" TargetMode="External"/><Relationship Id="rId3068" Type="http://schemas.openxmlformats.org/officeDocument/2006/relationships/hyperlink" Target="mailto:lachlan@nevillerichards.com.au" TargetMode="External"/><Relationship Id="rId196" Type="http://schemas.openxmlformats.org/officeDocument/2006/relationships/hyperlink" Target="mailto:ted@wolfdene.com.au" TargetMode="External"/><Relationship Id="rId2084" Type="http://schemas.openxmlformats.org/officeDocument/2006/relationships/hyperlink" Target="mailto:gabey@coreprojects.com.au" TargetMode="External"/><Relationship Id="rId2291" Type="http://schemas.openxmlformats.org/officeDocument/2006/relationships/hyperlink" Target="mailto:monica.quaresima@stockland.com.au" TargetMode="External"/><Relationship Id="rId263" Type="http://schemas.openxmlformats.org/officeDocument/2006/relationships/hyperlink" Target="mailto:k.spencer@oliverhume.com.au" TargetMode="External"/><Relationship Id="rId470" Type="http://schemas.openxmlformats.org/officeDocument/2006/relationships/hyperlink" Target="mailto:amy.newman@lendlease.com" TargetMode="External"/><Relationship Id="rId2151" Type="http://schemas.openxmlformats.org/officeDocument/2006/relationships/hyperlink" Target="mailto:ian@krpeters.com.au" TargetMode="External"/><Relationship Id="rId2389" Type="http://schemas.openxmlformats.org/officeDocument/2006/relationships/hyperlink" Target="mailto:a.clarke@oliverhume.com.au" TargetMode="External"/><Relationship Id="rId2596" Type="http://schemas.openxmlformats.org/officeDocument/2006/relationships/hyperlink" Target="mailto:anne.cross@lendlease.com" TargetMode="External"/><Relationship Id="rId123" Type="http://schemas.openxmlformats.org/officeDocument/2006/relationships/hyperlink" Target="mailto:m.nastic@oliverhume.com.au" TargetMode="External"/><Relationship Id="rId330" Type="http://schemas.openxmlformats.org/officeDocument/2006/relationships/hyperlink" Target="mailto:stonehill@rpmrealestate.com.au" TargetMode="External"/><Relationship Id="rId568" Type="http://schemas.openxmlformats.org/officeDocument/2006/relationships/hyperlink" Target="mailto:t.kerr@oliverhume.com.au" TargetMode="External"/><Relationship Id="rId775" Type="http://schemas.openxmlformats.org/officeDocument/2006/relationships/hyperlink" Target="mailto:riverwalk@rpmrealestate.com.au" TargetMode="External"/><Relationship Id="rId982" Type="http://schemas.openxmlformats.org/officeDocument/2006/relationships/hyperlink" Target="mailto:info@lakesideberwick.com.au" TargetMode="External"/><Relationship Id="rId1198" Type="http://schemas.openxmlformats.org/officeDocument/2006/relationships/hyperlink" Target="mailto:cmccormack@avidpropertygroup.com.au" TargetMode="External"/><Relationship Id="rId2011" Type="http://schemas.openxmlformats.org/officeDocument/2006/relationships/hyperlink" Target="mailto:brad@arborofficer.com.au" TargetMode="External"/><Relationship Id="rId2249" Type="http://schemas.openxmlformats.org/officeDocument/2006/relationships/hyperlink" Target="mailto:creekstone@rpmrealestate.com.au" TargetMode="External"/><Relationship Id="rId2456" Type="http://schemas.openxmlformats.org/officeDocument/2006/relationships/hyperlink" Target="mailto:admin@harvestrealty.com.au" TargetMode="External"/><Relationship Id="rId2663" Type="http://schemas.openxmlformats.org/officeDocument/2006/relationships/hyperlink" Target="mailto:gabey@coreprojects.com.au" TargetMode="External"/><Relationship Id="rId2870" Type="http://schemas.openxmlformats.org/officeDocument/2006/relationships/hyperlink" Target="mailto:angelo.granata@peet.com.au" TargetMode="External"/><Relationship Id="rId428" Type="http://schemas.openxmlformats.org/officeDocument/2006/relationships/hyperlink" Target="mailto:jlow@core-projects.com.au" TargetMode="External"/><Relationship Id="rId635" Type="http://schemas.openxmlformats.org/officeDocument/2006/relationships/hyperlink" Target="mailto:mareeh.drysdale@ljh.com.au" TargetMode="External"/><Relationship Id="rId842" Type="http://schemas.openxmlformats.org/officeDocument/2006/relationships/hyperlink" Target="mailto:s.wright@oliverhume.com.au" TargetMode="External"/><Relationship Id="rId1058" Type="http://schemas.openxmlformats.org/officeDocument/2006/relationships/hyperlink" Target="mailto:d.halsey@oliverhume.com.au" TargetMode="External"/><Relationship Id="rId1265" Type="http://schemas.openxmlformats.org/officeDocument/2006/relationships/hyperlink" Target="mailto:ben@prdballarat.com.au" TargetMode="External"/><Relationship Id="rId1472" Type="http://schemas.openxmlformats.org/officeDocument/2006/relationships/hyperlink" Target="mailto:patricio@rivervalley.com.au" TargetMode="External"/><Relationship Id="rId2109" Type="http://schemas.openxmlformats.org/officeDocument/2006/relationships/hyperlink" Target="mailto:s.datti@oliverhume.com.au" TargetMode="External"/><Relationship Id="rId2316" Type="http://schemas.openxmlformats.org/officeDocument/2006/relationships/hyperlink" Target="mailto:eward@coreprojects.com.au" TargetMode="External"/><Relationship Id="rId2523" Type="http://schemas.openxmlformats.org/officeDocument/2006/relationships/hyperlink" Target="mailto:rivulet@rpmrealestate.com.au" TargetMode="External"/><Relationship Id="rId2730" Type="http://schemas.openxmlformats.org/officeDocument/2006/relationships/hyperlink" Target="mailto:alex@armstrongrealestate.com.au" TargetMode="External"/><Relationship Id="rId2968" Type="http://schemas.openxmlformats.org/officeDocument/2006/relationships/hyperlink" Target="mailto:n.harb@oliverhume.com.au" TargetMode="External"/><Relationship Id="rId702" Type="http://schemas.openxmlformats.org/officeDocument/2006/relationships/hyperlink" Target="mailto:m.nastic@oliverhume.com.au" TargetMode="External"/><Relationship Id="rId1125" Type="http://schemas.openxmlformats.org/officeDocument/2006/relationships/hyperlink" Target="mailto:khoa@wolfdene.com.au" TargetMode="External"/><Relationship Id="rId1332" Type="http://schemas.openxmlformats.org/officeDocument/2006/relationships/hyperlink" Target="mailto:jason@red23.com.au" TargetMode="External"/><Relationship Id="rId1777" Type="http://schemas.openxmlformats.org/officeDocument/2006/relationships/hyperlink" Target="mailto:lucy@rpmrealestate.com.au" TargetMode="External"/><Relationship Id="rId1984" Type="http://schemas.openxmlformats.org/officeDocument/2006/relationships/hyperlink" Target="mailto:m.huynh@oliverhume.com.au" TargetMode="External"/><Relationship Id="rId2828" Type="http://schemas.openxmlformats.org/officeDocument/2006/relationships/hyperlink" Target="mailto:Kim.Mair@fraserproperty.com.au" TargetMode="External"/><Relationship Id="rId69" Type="http://schemas.openxmlformats.org/officeDocument/2006/relationships/hyperlink" Target="mailto:jlow@core-projects.com.au" TargetMode="External"/><Relationship Id="rId1637" Type="http://schemas.openxmlformats.org/officeDocument/2006/relationships/hyperlink" Target="mailto:sales@florianliving.com.au" TargetMode="External"/><Relationship Id="rId1844" Type="http://schemas.openxmlformats.org/officeDocument/2006/relationships/hyperlink" Target="mailto:chris.walker@stockland.com.au" TargetMode="External"/><Relationship Id="rId1704" Type="http://schemas.openxmlformats.org/officeDocument/2006/relationships/hyperlink" Target="mailto:s.fuss@oliverhume.com.au" TargetMode="External"/><Relationship Id="rId285" Type="http://schemas.openxmlformats.org/officeDocument/2006/relationships/hyperlink" Target="mailto:m.huynh@oliverhume.com.au" TargetMode="External"/><Relationship Id="rId1911" Type="http://schemas.openxmlformats.org/officeDocument/2006/relationships/hyperlink" Target="mailto:mandalay@rpmrealestate.com.au" TargetMode="External"/><Relationship Id="rId492" Type="http://schemas.openxmlformats.org/officeDocument/2006/relationships/hyperlink" Target="mailto:Courtney.tattersall@peet.com.au" TargetMode="External"/><Relationship Id="rId797" Type="http://schemas.openxmlformats.org/officeDocument/2006/relationships/hyperlink" Target="mailto:patrick@wolfdene.com.au" TargetMode="External"/><Relationship Id="rId2173" Type="http://schemas.openxmlformats.org/officeDocument/2006/relationships/hyperlink" Target="mailto:curtis@armstrongrealestate.com.au" TargetMode="External"/><Relationship Id="rId2380" Type="http://schemas.openxmlformats.org/officeDocument/2006/relationships/hyperlink" Target="mailto:botanical@satterley.com.au" TargetMode="External"/><Relationship Id="rId2478" Type="http://schemas.openxmlformats.org/officeDocument/2006/relationships/hyperlink" Target="mailto:arramont@rpmrealestate.com.au" TargetMode="External"/><Relationship Id="rId3017" Type="http://schemas.openxmlformats.org/officeDocument/2006/relationships/hyperlink" Target="mailto:daniels@lotusliving.com.au" TargetMode="External"/><Relationship Id="rId145" Type="http://schemas.openxmlformats.org/officeDocument/2006/relationships/hyperlink" Target="mailto:carol.rubidoux@cedarwoods.com.au" TargetMode="External"/><Relationship Id="rId352" Type="http://schemas.openxmlformats.org/officeDocument/2006/relationships/hyperlink" Target="mailto:matthew.petrie@stockland.com.au" TargetMode="External"/><Relationship Id="rId1287" Type="http://schemas.openxmlformats.org/officeDocument/2006/relationships/hyperlink" Target="mailto:lochaven@rpmrealestate.com.au" TargetMode="External"/><Relationship Id="rId2033" Type="http://schemas.openxmlformats.org/officeDocument/2006/relationships/hyperlink" Target="mailto:jason@bpg.com.au" TargetMode="External"/><Relationship Id="rId2240" Type="http://schemas.openxmlformats.org/officeDocument/2006/relationships/hyperlink" Target="mailto:tim@costaland.com.au" TargetMode="External"/><Relationship Id="rId2685" Type="http://schemas.openxmlformats.org/officeDocument/2006/relationships/hyperlink" Target="mailto:chris.walker@stockland.com.au" TargetMode="External"/><Relationship Id="rId2892" Type="http://schemas.openxmlformats.org/officeDocument/2006/relationships/hyperlink" Target="mailto:t.leggatt@oliverhume.com.au" TargetMode="External"/><Relationship Id="rId212" Type="http://schemas.openxmlformats.org/officeDocument/2006/relationships/hyperlink" Target="mailto:b.ellis@oliverhume.com.au" TargetMode="External"/><Relationship Id="rId657" Type="http://schemas.openxmlformats.org/officeDocument/2006/relationships/hyperlink" Target="mailto:m.huynh@oliverhume.com.au" TargetMode="External"/><Relationship Id="rId864" Type="http://schemas.openxmlformats.org/officeDocument/2006/relationships/hyperlink" Target="mailto:jake@red23.com.au" TargetMode="External"/><Relationship Id="rId1494" Type="http://schemas.openxmlformats.org/officeDocument/2006/relationships/hyperlink" Target="mailto:rob.polec@denniscorp.com.au" TargetMode="External"/><Relationship Id="rId1799" Type="http://schemas.openxmlformats.org/officeDocument/2006/relationships/hyperlink" Target="mailto:rob.polec@denniscorp.com.au" TargetMode="External"/><Relationship Id="rId2100" Type="http://schemas.openxmlformats.org/officeDocument/2006/relationships/hyperlink" Target="mailto:b.ellis@oliverhume.com.au" TargetMode="External"/><Relationship Id="rId2338" Type="http://schemas.openxmlformats.org/officeDocument/2006/relationships/hyperlink" Target="mailto:atherstone@lendlease.com" TargetMode="External"/><Relationship Id="rId2545" Type="http://schemas.openxmlformats.org/officeDocument/2006/relationships/hyperlink" Target="mailto:amy.newman@lendlease.com" TargetMode="External"/><Relationship Id="rId2752" Type="http://schemas.openxmlformats.org/officeDocument/2006/relationships/hyperlink" Target="mailto:botanical@satterley.com.au" TargetMode="External"/><Relationship Id="rId517" Type="http://schemas.openxmlformats.org/officeDocument/2006/relationships/hyperlink" Target="mailto:jan@catalinapointcook.com.au" TargetMode="External"/><Relationship Id="rId724" Type="http://schemas.openxmlformats.org/officeDocument/2006/relationships/hyperlink" Target="mailto:Emma.Nelson@peet.com.au" TargetMode="External"/><Relationship Id="rId931" Type="http://schemas.openxmlformats.org/officeDocument/2006/relationships/hyperlink" Target="mailto:anne.cross@lendlease.com" TargetMode="External"/><Relationship Id="rId1147" Type="http://schemas.openxmlformats.org/officeDocument/2006/relationships/hyperlink" Target="mailto:ashwin.sethi@stockland.com.au" TargetMode="External"/><Relationship Id="rId1354" Type="http://schemas.openxmlformats.org/officeDocument/2006/relationships/hyperlink" Target="mailto:Courtney.tattersall@peet.com.au" TargetMode="External"/><Relationship Id="rId1561" Type="http://schemas.openxmlformats.org/officeDocument/2006/relationships/hyperlink" Target="mailto:sergio@alc.land" TargetMode="External"/><Relationship Id="rId2405" Type="http://schemas.openxmlformats.org/officeDocument/2006/relationships/hyperlink" Target="mailto:keywest@rpmrealestate.com.au" TargetMode="External"/><Relationship Id="rId2612" Type="http://schemas.openxmlformats.org/officeDocument/2006/relationships/hyperlink" Target="mailto:atherstone@lendlease.com" TargetMode="External"/><Relationship Id="rId60" Type="http://schemas.openxmlformats.org/officeDocument/2006/relationships/hyperlink" Target="mailto:mandalay@rpmrealestate.com.au" TargetMode="External"/><Relationship Id="rId1007" Type="http://schemas.openxmlformats.org/officeDocument/2006/relationships/hyperlink" Target="mailto:atherstone@lendlease.com" TargetMode="External"/><Relationship Id="rId1214" Type="http://schemas.openxmlformats.org/officeDocument/2006/relationships/hyperlink" Target="mailto:ann@eppingviews.com.au" TargetMode="External"/><Relationship Id="rId1421" Type="http://schemas.openxmlformats.org/officeDocument/2006/relationships/hyperlink" Target="mailto:chris.walker@stockland.com.au" TargetMode="External"/><Relationship Id="rId1659" Type="http://schemas.openxmlformats.org/officeDocument/2006/relationships/hyperlink" Target="mailto:Courtney.tattersall@peet.com.au" TargetMode="External"/><Relationship Id="rId1866" Type="http://schemas.openxmlformats.org/officeDocument/2006/relationships/hyperlink" Target="mailto:westwood2@rpmrealestate.com.au" TargetMode="External"/><Relationship Id="rId2917" Type="http://schemas.openxmlformats.org/officeDocument/2006/relationships/hyperlink" Target="mailto:jacqueline@goldengroup.com.au" TargetMode="External"/><Relationship Id="rId3081" Type="http://schemas.openxmlformats.org/officeDocument/2006/relationships/hyperlink" Target="mailto:s.fuss@oliverhume.com.au" TargetMode="External"/><Relationship Id="rId1519" Type="http://schemas.openxmlformats.org/officeDocument/2006/relationships/hyperlink" Target="mailto:austin@latituderealestate.com.au" TargetMode="External"/><Relationship Id="rId1726" Type="http://schemas.openxmlformats.org/officeDocument/2006/relationships/hyperlink" Target="mailto:ben@prdballarat.com.au" TargetMode="External"/><Relationship Id="rId1933" Type="http://schemas.openxmlformats.org/officeDocument/2006/relationships/hyperlink" Target="mailto:cpearson@westbrookestate.com.au" TargetMode="External"/><Relationship Id="rId18" Type="http://schemas.openxmlformats.org/officeDocument/2006/relationships/hyperlink" Target="mailto:ben@prdballarat.com.au" TargetMode="External"/><Relationship Id="rId2195" Type="http://schemas.openxmlformats.org/officeDocument/2006/relationships/hyperlink" Target="mailto:chrisd@kwproperty.com.au" TargetMode="External"/><Relationship Id="rId3039" Type="http://schemas.openxmlformats.org/officeDocument/2006/relationships/hyperlink" Target="mailto:shobson@coreprojects.com.au" TargetMode="External"/><Relationship Id="rId167" Type="http://schemas.openxmlformats.org/officeDocument/2006/relationships/hyperlink" Target="mailto:Eliston@rpmrealestate.com.au" TargetMode="External"/><Relationship Id="rId374" Type="http://schemas.openxmlformats.org/officeDocument/2006/relationships/hyperlink" Target="mailto:anne.cross@lendlease.com" TargetMode="External"/><Relationship Id="rId581" Type="http://schemas.openxmlformats.org/officeDocument/2006/relationships/hyperlink" Target="mailto:wynbrook@rpmrealestate.com.au" TargetMode="External"/><Relationship Id="rId2055" Type="http://schemas.openxmlformats.org/officeDocument/2006/relationships/hyperlink" Target="mailto:jason@red23.com.au" TargetMode="External"/><Relationship Id="rId2262" Type="http://schemas.openxmlformats.org/officeDocument/2006/relationships/hyperlink" Target="mailto:tim@smithspark.com.au" TargetMode="External"/><Relationship Id="rId3106" Type="http://schemas.openxmlformats.org/officeDocument/2006/relationships/hyperlink" Target="mailto:sandy@thorsen.com.au" TargetMode="External"/><Relationship Id="rId234" Type="http://schemas.openxmlformats.org/officeDocument/2006/relationships/hyperlink" Target="mailto:kristyn@krpeters.com.au" TargetMode="External"/><Relationship Id="rId679" Type="http://schemas.openxmlformats.org/officeDocument/2006/relationships/hyperlink" Target="mailto:admin@woodlea.com.au" TargetMode="External"/><Relationship Id="rId886" Type="http://schemas.openxmlformats.org/officeDocument/2006/relationships/hyperlink" Target="mailto:andy@red23.com.au" TargetMode="External"/><Relationship Id="rId2567" Type="http://schemas.openxmlformats.org/officeDocument/2006/relationships/hyperlink" Target="mailto:kevin@vhls.net.au" TargetMode="External"/><Relationship Id="rId2774" Type="http://schemas.openxmlformats.org/officeDocument/2006/relationships/hyperlink" Target="mailto:lilian.fierro-martinez@cedarwoods.com.au" TargetMode="External"/><Relationship Id="rId2" Type="http://schemas.openxmlformats.org/officeDocument/2006/relationships/hyperlink" Target="mailto:annadale@rpmrealestate.com.au" TargetMode="External"/><Relationship Id="rId441" Type="http://schemas.openxmlformats.org/officeDocument/2006/relationships/hyperlink" Target="mailto:amy.newman@lendlease.com" TargetMode="External"/><Relationship Id="rId539" Type="http://schemas.openxmlformats.org/officeDocument/2006/relationships/hyperlink" Target="mailto:jason@red23.com.au" TargetMode="External"/><Relationship Id="rId746" Type="http://schemas.openxmlformats.org/officeDocument/2006/relationships/hyperlink" Target="mailto:sharee@maxwellcollins.com.au" TargetMode="External"/><Relationship Id="rId1071" Type="http://schemas.openxmlformats.org/officeDocument/2006/relationships/hyperlink" Target="mailto:kim.mair@frasersproperty.com.au" TargetMode="External"/><Relationship Id="rId1169" Type="http://schemas.openxmlformats.org/officeDocument/2006/relationships/hyperlink" Target="mailto:steviec@satterley.com.au" TargetMode="External"/><Relationship Id="rId1376" Type="http://schemas.openxmlformats.org/officeDocument/2006/relationships/hyperlink" Target="mailto:jerry@harvestrealty.com.au" TargetMode="External"/><Relationship Id="rId1583" Type="http://schemas.openxmlformats.org/officeDocument/2006/relationships/hyperlink" Target="mailto:info@banriar.com.au" TargetMode="External"/><Relationship Id="rId2122" Type="http://schemas.openxmlformats.org/officeDocument/2006/relationships/hyperlink" Target="mailto:lisa@ajstafford.com.au" TargetMode="External"/><Relationship Id="rId2427" Type="http://schemas.openxmlformats.org/officeDocument/2006/relationships/hyperlink" Target="mailto:gabey@coreprojects.com.au" TargetMode="External"/><Relationship Id="rId2981" Type="http://schemas.openxmlformats.org/officeDocument/2006/relationships/hyperlink" Target="mailto:olivia@latituderealestate.com.au" TargetMode="External"/><Relationship Id="rId301" Type="http://schemas.openxmlformats.org/officeDocument/2006/relationships/hyperlink" Target="mailto:riverwalk@rpmrealestate.com.au" TargetMode="External"/><Relationship Id="rId953" Type="http://schemas.openxmlformats.org/officeDocument/2006/relationships/hyperlink" Target="mailto:atherstone@lendlease.com" TargetMode="External"/><Relationship Id="rId1029" Type="http://schemas.openxmlformats.org/officeDocument/2006/relationships/hyperlink" Target="mailto:kunal@red23.com.au" TargetMode="External"/><Relationship Id="rId1236" Type="http://schemas.openxmlformats.org/officeDocument/2006/relationships/hyperlink" Target="mailto:NickC@centralequity.com.au" TargetMode="External"/><Relationship Id="rId1790" Type="http://schemas.openxmlformats.org/officeDocument/2006/relationships/hyperlink" Target="mailto:chris.walker@stockland.com.au" TargetMode="External"/><Relationship Id="rId1888" Type="http://schemas.openxmlformats.org/officeDocument/2006/relationships/hyperlink" Target="mailto:tgilmore@barryplant.com.au" TargetMode="External"/><Relationship Id="rId2634" Type="http://schemas.openxmlformats.org/officeDocument/2006/relationships/hyperlink" Target="mailto:jason@eightpropertyinvestments.com.au" TargetMode="External"/><Relationship Id="rId2841" Type="http://schemas.openxmlformats.org/officeDocument/2006/relationships/hyperlink" Target="mailto:sales@estategurus.com.au" TargetMode="External"/><Relationship Id="rId2939" Type="http://schemas.openxmlformats.org/officeDocument/2006/relationships/hyperlink" Target="mailto:s.datti@oliverhume.com.au" TargetMode="External"/><Relationship Id="rId82" Type="http://schemas.openxmlformats.org/officeDocument/2006/relationships/hyperlink" Target="mailto:r.newman@oliverhume.com.au" TargetMode="External"/><Relationship Id="rId606" Type="http://schemas.openxmlformats.org/officeDocument/2006/relationships/hyperlink" Target="mailto:Rothwell@rpmrealestate.com.au" TargetMode="External"/><Relationship Id="rId813" Type="http://schemas.openxmlformats.org/officeDocument/2006/relationships/hyperlink" Target="mailto:rebecca@parklea.com" TargetMode="External"/><Relationship Id="rId1443" Type="http://schemas.openxmlformats.org/officeDocument/2006/relationships/hyperlink" Target="mailto:hillstowe@avid.com.au" TargetMode="External"/><Relationship Id="rId1650" Type="http://schemas.openxmlformats.org/officeDocument/2006/relationships/hyperlink" Target="mailto:hillstowe@avid.com.au" TargetMode="External"/><Relationship Id="rId1748" Type="http://schemas.openxmlformats.org/officeDocument/2006/relationships/hyperlink" Target="mailto:rebeccah@Satterley.com.au" TargetMode="External"/><Relationship Id="rId2701" Type="http://schemas.openxmlformats.org/officeDocument/2006/relationships/hyperlink" Target="mailto:Kim.Mair@fraserproperty.com.au" TargetMode="External"/><Relationship Id="rId1303" Type="http://schemas.openxmlformats.org/officeDocument/2006/relationships/hyperlink" Target="mailto:sales@collegefields.com.au" TargetMode="External"/><Relationship Id="rId1510" Type="http://schemas.openxmlformats.org/officeDocument/2006/relationships/hyperlink" Target="mailto:wynbrook@rpmrealestate.com.au" TargetMode="External"/><Relationship Id="rId1955" Type="http://schemas.openxmlformats.org/officeDocument/2006/relationships/hyperlink" Target="mailto:admin@woodlea.com.au" TargetMode="External"/><Relationship Id="rId1608" Type="http://schemas.openxmlformats.org/officeDocument/2006/relationships/hyperlink" Target="mailto:drokka@core-projects.com.au" TargetMode="External"/><Relationship Id="rId1815" Type="http://schemas.openxmlformats.org/officeDocument/2006/relationships/hyperlink" Target="mailto:andy@red23.com.au" TargetMode="External"/><Relationship Id="rId3030" Type="http://schemas.openxmlformats.org/officeDocument/2006/relationships/hyperlink" Target="mailto:george@red23.com.au" TargetMode="External"/><Relationship Id="rId189" Type="http://schemas.openxmlformats.org/officeDocument/2006/relationships/hyperlink" Target="mailto:alira@rpmrealestate.com.au" TargetMode="External"/><Relationship Id="rId396" Type="http://schemas.openxmlformats.org/officeDocument/2006/relationships/hyperlink" Target="mailto:markd@satterley.com.au" TargetMode="External"/><Relationship Id="rId2077" Type="http://schemas.openxmlformats.org/officeDocument/2006/relationships/hyperlink" Target="mailto:Catherine@yourland.com" TargetMode="External"/><Relationship Id="rId2284" Type="http://schemas.openxmlformats.org/officeDocument/2006/relationships/hyperlink" Target="mailto:adam@watchrealestate.com.au" TargetMode="External"/><Relationship Id="rId2491" Type="http://schemas.openxmlformats.org/officeDocument/2006/relationships/hyperlink" Target="mailto:riverdalevillage@latituderealestate.com.au" TargetMode="External"/><Relationship Id="rId256" Type="http://schemas.openxmlformats.org/officeDocument/2006/relationships/hyperlink" Target="mailto:info@kingsleigh.com.au" TargetMode="External"/><Relationship Id="rId463" Type="http://schemas.openxmlformats.org/officeDocument/2006/relationships/hyperlink" Target="mailto:miloss@satterley.com.au" TargetMode="External"/><Relationship Id="rId670" Type="http://schemas.openxmlformats.org/officeDocument/2006/relationships/hyperlink" Target="mailto:andy@red23.com.au" TargetMode="External"/><Relationship Id="rId1093" Type="http://schemas.openxmlformats.org/officeDocument/2006/relationships/hyperlink" Target="mailto:jason@red23.com.au" TargetMode="External"/><Relationship Id="rId2144" Type="http://schemas.openxmlformats.org/officeDocument/2006/relationships/hyperlink" Target="mailto:anne.cross@lendlease.com" TargetMode="External"/><Relationship Id="rId2351" Type="http://schemas.openxmlformats.org/officeDocument/2006/relationships/hyperlink" Target="mailto:williamswalk@villawoodproperties.com" TargetMode="External"/><Relationship Id="rId2589" Type="http://schemas.openxmlformats.org/officeDocument/2006/relationships/hyperlink" Target="mailto:rivulet@rpmrealestate.com.au" TargetMode="External"/><Relationship Id="rId2796" Type="http://schemas.openxmlformats.org/officeDocument/2006/relationships/hyperlink" Target="mailto:daniel.lock@mirvac.com" TargetMode="External"/><Relationship Id="rId116" Type="http://schemas.openxmlformats.org/officeDocument/2006/relationships/hyperlink" Target="mailto:tulliallan@rpmrealestate.com.au" TargetMode="External"/><Relationship Id="rId323" Type="http://schemas.openxmlformats.org/officeDocument/2006/relationships/hyperlink" Target="mailto:sara.lowe@eigdevelopments.com.au" TargetMode="External"/><Relationship Id="rId530" Type="http://schemas.openxmlformats.org/officeDocument/2006/relationships/hyperlink" Target="mailto:Libbyt2@bigpond.con" TargetMode="External"/><Relationship Id="rId768" Type="http://schemas.openxmlformats.org/officeDocument/2006/relationships/hyperlink" Target="mailto:cpearson@westbrookestate.com.au" TargetMode="External"/><Relationship Id="rId975" Type="http://schemas.openxmlformats.org/officeDocument/2006/relationships/hyperlink" Target="mailto:nataliep@wofldene.com.au" TargetMode="External"/><Relationship Id="rId1160" Type="http://schemas.openxmlformats.org/officeDocument/2006/relationships/hyperlink" Target="mailto:amy.newman@lendlease.com" TargetMode="External"/><Relationship Id="rId1398" Type="http://schemas.openxmlformats.org/officeDocument/2006/relationships/hyperlink" Target="mailto:LVojneska@denniscorp.com.au" TargetMode="External"/><Relationship Id="rId2004" Type="http://schemas.openxmlformats.org/officeDocument/2006/relationships/hyperlink" Target="mailto:thereserve@rpmrealestate.com.au" TargetMode="External"/><Relationship Id="rId2211" Type="http://schemas.openxmlformats.org/officeDocument/2006/relationships/hyperlink" Target="mailto:sergio@alc.land" TargetMode="External"/><Relationship Id="rId2449" Type="http://schemas.openxmlformats.org/officeDocument/2006/relationships/hyperlink" Target="mailto:atherstone@lendlease.com" TargetMode="External"/><Relationship Id="rId2656" Type="http://schemas.openxmlformats.org/officeDocument/2006/relationships/hyperlink" Target="mailto:joea@maxbrown.com.au" TargetMode="External"/><Relationship Id="rId2863" Type="http://schemas.openxmlformats.org/officeDocument/2006/relationships/hyperlink" Target="mailto:adam@rpmrealestate.com.au" TargetMode="External"/><Relationship Id="rId628" Type="http://schemas.openxmlformats.org/officeDocument/2006/relationships/hyperlink" Target="mailto:tonys@maxbrown.com.au" TargetMode="External"/><Relationship Id="rId835" Type="http://schemas.openxmlformats.org/officeDocument/2006/relationships/hyperlink" Target="mailto:rbhardwaj@coreprojects.com.au" TargetMode="External"/><Relationship Id="rId1258" Type="http://schemas.openxmlformats.org/officeDocument/2006/relationships/hyperlink" Target="mailto:sara.lowe@eigdevelopments.com.au" TargetMode="External"/><Relationship Id="rId1465" Type="http://schemas.openxmlformats.org/officeDocument/2006/relationships/hyperlink" Target="mailto:lilium@villaworld.com.au" TargetMode="External"/><Relationship Id="rId1672" Type="http://schemas.openxmlformats.org/officeDocument/2006/relationships/hyperlink" Target="mailto:sanctuarysprings@rpmrealestate.com.au" TargetMode="External"/><Relationship Id="rId2309" Type="http://schemas.openxmlformats.org/officeDocument/2006/relationships/hyperlink" Target="mailto:cpearson@westbrookestate.com.au" TargetMode="External"/><Relationship Id="rId2516" Type="http://schemas.openxmlformats.org/officeDocument/2006/relationships/hyperlink" Target="mailto:lucy@rpmrealestate.com.au" TargetMode="External"/><Relationship Id="rId2723" Type="http://schemas.openxmlformats.org/officeDocument/2006/relationships/hyperlink" Target="mailto:jason@bpg.com.au" TargetMode="External"/><Relationship Id="rId1020" Type="http://schemas.openxmlformats.org/officeDocument/2006/relationships/hyperlink" Target="mailto:alira@rpmrealestate.com.au" TargetMode="External"/><Relationship Id="rId1118" Type="http://schemas.openxmlformats.org/officeDocument/2006/relationships/hyperlink" Target="mailto:adam@rpmrealestate.com.au" TargetMode="External"/><Relationship Id="rId1325" Type="http://schemas.openxmlformats.org/officeDocument/2006/relationships/hyperlink" Target="mailto:atherstone@lendlease.com" TargetMode="External"/><Relationship Id="rId1532" Type="http://schemas.openxmlformats.org/officeDocument/2006/relationships/hyperlink" Target="mailto:joea@maxbrown.com.au" TargetMode="External"/><Relationship Id="rId1977" Type="http://schemas.openxmlformats.org/officeDocument/2006/relationships/hyperlink" Target="mailto:bhalsall@buxton.com.au" TargetMode="External"/><Relationship Id="rId2930" Type="http://schemas.openxmlformats.org/officeDocument/2006/relationships/hyperlink" Target="mailto:info@willowspringsland.com.au" TargetMode="External"/><Relationship Id="rId902" Type="http://schemas.openxmlformats.org/officeDocument/2006/relationships/hyperlink" Target="mailto:chris.walker@stockland.com.au" TargetMode="External"/><Relationship Id="rId1837" Type="http://schemas.openxmlformats.org/officeDocument/2006/relationships/hyperlink" Target="mailto:riverwalk@rpmrealestate.com.au" TargetMode="External"/><Relationship Id="rId31" Type="http://schemas.openxmlformats.org/officeDocument/2006/relationships/hyperlink" Target="mailto:LVojneska@denniscorp.com.au" TargetMode="External"/><Relationship Id="rId2099" Type="http://schemas.openxmlformats.org/officeDocument/2006/relationships/hyperlink" Target="mailto:b.ellis@oliverhume.com.au" TargetMode="External"/><Relationship Id="rId3052" Type="http://schemas.openxmlformats.org/officeDocument/2006/relationships/hyperlink" Target="mailto:julie@red23.com.au" TargetMode="External"/><Relationship Id="rId180" Type="http://schemas.openxmlformats.org/officeDocument/2006/relationships/hyperlink" Target="mailto:sales@belmondclyde.com.au" TargetMode="External"/><Relationship Id="rId278" Type="http://schemas.openxmlformats.org/officeDocument/2006/relationships/hyperlink" Target="mailto:jlow@core-projects.com.au" TargetMode="External"/><Relationship Id="rId1904" Type="http://schemas.openxmlformats.org/officeDocument/2006/relationships/hyperlink" Target="mailto:jason.bertram@harcourts.com.au" TargetMode="External"/><Relationship Id="rId485" Type="http://schemas.openxmlformats.org/officeDocument/2006/relationships/hyperlink" Target="mailto:bob@latituderealestate.com.au" TargetMode="External"/><Relationship Id="rId692" Type="http://schemas.openxmlformats.org/officeDocument/2006/relationships/hyperlink" Target="mailto:sales@belmondclyde.com.au" TargetMode="External"/><Relationship Id="rId2166" Type="http://schemas.openxmlformats.org/officeDocument/2006/relationships/hyperlink" Target="mailto:cpearson@westbrookestate.com.au" TargetMode="External"/><Relationship Id="rId2373" Type="http://schemas.openxmlformats.org/officeDocument/2006/relationships/hyperlink" Target="mailto:kassy@kaikura.com.au" TargetMode="External"/><Relationship Id="rId2580" Type="http://schemas.openxmlformats.org/officeDocument/2006/relationships/hyperlink" Target="mailto:Jason.bertram@juddwhite.com.au" TargetMode="External"/><Relationship Id="rId138" Type="http://schemas.openxmlformats.org/officeDocument/2006/relationships/hyperlink" Target="mailto:kristyn@krpeters.com.au" TargetMode="External"/><Relationship Id="rId345" Type="http://schemas.openxmlformats.org/officeDocument/2006/relationships/hyperlink" Target="mailto:freddy@freddyrealty.com.au" TargetMode="External"/><Relationship Id="rId552" Type="http://schemas.openxmlformats.org/officeDocument/2006/relationships/hyperlink" Target="mailto:d.rabba@oliverhume.com.au" TargetMode="External"/><Relationship Id="rId997" Type="http://schemas.openxmlformats.org/officeDocument/2006/relationships/hyperlink" Target="mailto:cmccormack@avidpropertygroup.com.au" TargetMode="External"/><Relationship Id="rId1182" Type="http://schemas.openxmlformats.org/officeDocument/2006/relationships/hyperlink" Target="mailto:bhalsall@buxton.com.au" TargetMode="External"/><Relationship Id="rId2026" Type="http://schemas.openxmlformats.org/officeDocument/2006/relationships/hyperlink" Target="mailto:thuyen.nguyen@growland.com.au" TargetMode="External"/><Relationship Id="rId2233" Type="http://schemas.openxmlformats.org/officeDocument/2006/relationships/hyperlink" Target="mailto:r.miric@oliverhume.com.au" TargetMode="External"/><Relationship Id="rId2440" Type="http://schemas.openxmlformats.org/officeDocument/2006/relationships/hyperlink" Target="mailto:asharma@camdenplace.com.au" TargetMode="External"/><Relationship Id="rId2678" Type="http://schemas.openxmlformats.org/officeDocument/2006/relationships/hyperlink" Target="mailto:k.spencer@oliverhume.com.au" TargetMode="External"/><Relationship Id="rId2885" Type="http://schemas.openxmlformats.org/officeDocument/2006/relationships/hyperlink" Target="mailto:rob.polec@denniscorp.com.au" TargetMode="External"/><Relationship Id="rId205" Type="http://schemas.openxmlformats.org/officeDocument/2006/relationships/hyperlink" Target="mailto:anne.cross@lendlease.com" TargetMode="External"/><Relationship Id="rId412" Type="http://schemas.openxmlformats.org/officeDocument/2006/relationships/hyperlink" Target="mailto:d.rabba@oliverhume.com.au" TargetMode="External"/><Relationship Id="rId857" Type="http://schemas.openxmlformats.org/officeDocument/2006/relationships/hyperlink" Target="mailto:stonehill@rpmrealestate.com.au" TargetMode="External"/><Relationship Id="rId1042" Type="http://schemas.openxmlformats.org/officeDocument/2006/relationships/hyperlink" Target="mailto:ian@krpeters.com.au" TargetMode="External"/><Relationship Id="rId1487" Type="http://schemas.openxmlformats.org/officeDocument/2006/relationships/hyperlink" Target="mailto:thuyen@bpg.com.au" TargetMode="External"/><Relationship Id="rId1694" Type="http://schemas.openxmlformats.org/officeDocument/2006/relationships/hyperlink" Target="mailto:m.huynh@oliverhume.com.au" TargetMode="External"/><Relationship Id="rId2300" Type="http://schemas.openxmlformats.org/officeDocument/2006/relationships/hyperlink" Target="mailto:tyler.hogan@harcourts.com.au" TargetMode="External"/><Relationship Id="rId2538" Type="http://schemas.openxmlformats.org/officeDocument/2006/relationships/hyperlink" Target="mailto:cpearson@westbrookestate.com.au" TargetMode="External"/><Relationship Id="rId2745" Type="http://schemas.openxmlformats.org/officeDocument/2006/relationships/hyperlink" Target="mailto:josephine.borg@stockland.com.au" TargetMode="External"/><Relationship Id="rId2952" Type="http://schemas.openxmlformats.org/officeDocument/2006/relationships/hyperlink" Target="mailto:josephine.borg@stockland.com.au" TargetMode="External"/><Relationship Id="rId717" Type="http://schemas.openxmlformats.org/officeDocument/2006/relationships/hyperlink" Target="mailto:chris.walker@stockland.com.au" TargetMode="External"/><Relationship Id="rId924" Type="http://schemas.openxmlformats.org/officeDocument/2006/relationships/hyperlink" Target="mailto:wynbrook@rpmrealestate.com.au" TargetMode="External"/><Relationship Id="rId1347" Type="http://schemas.openxmlformats.org/officeDocument/2006/relationships/hyperlink" Target="mailto:lreynolds@avidpropertygroup.com.au" TargetMode="External"/><Relationship Id="rId1554" Type="http://schemas.openxmlformats.org/officeDocument/2006/relationships/hyperlink" Target="mailto:atherstone@lendlease.com" TargetMode="External"/><Relationship Id="rId1761" Type="http://schemas.openxmlformats.org/officeDocument/2006/relationships/hyperlink" Target="mailto:robert.l@red23.com.au" TargetMode="External"/><Relationship Id="rId1999" Type="http://schemas.openxmlformats.org/officeDocument/2006/relationships/hyperlink" Target="mailto:josephine.borg@stockland.com.au" TargetMode="External"/><Relationship Id="rId2605" Type="http://schemas.openxmlformats.org/officeDocument/2006/relationships/hyperlink" Target="mailto:stonehill@rpmrealestate.com.au" TargetMode="External"/><Relationship Id="rId2812" Type="http://schemas.openxmlformats.org/officeDocument/2006/relationships/hyperlink" Target="mailto:kingsfield@rpmrealestate.com.au" TargetMode="External"/><Relationship Id="rId53" Type="http://schemas.openxmlformats.org/officeDocument/2006/relationships/hyperlink" Target="mailto:d.rabba@oliverhume.com.au" TargetMode="External"/><Relationship Id="rId1207" Type="http://schemas.openxmlformats.org/officeDocument/2006/relationships/hyperlink" Target="mailto:adam@rpmrealestate.com.au" TargetMode="External"/><Relationship Id="rId1414" Type="http://schemas.openxmlformats.org/officeDocument/2006/relationships/hyperlink" Target="mailto:admin@woodlea.com.au" TargetMode="External"/><Relationship Id="rId1621" Type="http://schemas.openxmlformats.org/officeDocument/2006/relationships/hyperlink" Target="mailto:ben@prdballarat.com.au" TargetMode="External"/><Relationship Id="rId1859" Type="http://schemas.openxmlformats.org/officeDocument/2006/relationships/hyperlink" Target="mailto:daniels@lotusliving.com.au" TargetMode="External"/><Relationship Id="rId3074" Type="http://schemas.openxmlformats.org/officeDocument/2006/relationships/hyperlink" Target="mailto:clearwater@rpmgrp.com.au" TargetMode="External"/><Relationship Id="rId1719" Type="http://schemas.openxmlformats.org/officeDocument/2006/relationships/hyperlink" Target="mailto:ben@prdballarat.com.au" TargetMode="External"/><Relationship Id="rId1926" Type="http://schemas.openxmlformats.org/officeDocument/2006/relationships/hyperlink" Target="mailto:botanical@satterley.com.au" TargetMode="External"/><Relationship Id="rId2090" Type="http://schemas.openxmlformats.org/officeDocument/2006/relationships/hyperlink" Target="mailto:Jstojanovski@coreprojects.com.au" TargetMode="External"/><Relationship Id="rId2188" Type="http://schemas.openxmlformats.org/officeDocument/2006/relationships/hyperlink" Target="mailto:steviec@satterley.com.au" TargetMode="External"/><Relationship Id="rId2395" Type="http://schemas.openxmlformats.org/officeDocument/2006/relationships/hyperlink" Target="mailto:jason@red23.com.au" TargetMode="External"/><Relationship Id="rId367" Type="http://schemas.openxmlformats.org/officeDocument/2006/relationships/hyperlink" Target="mailto:amy.newman@lendlease.com" TargetMode="External"/><Relationship Id="rId574" Type="http://schemas.openxmlformats.org/officeDocument/2006/relationships/hyperlink" Target="mailto:oliverhume@oliverhume.com.au" TargetMode="External"/><Relationship Id="rId2048" Type="http://schemas.openxmlformats.org/officeDocument/2006/relationships/hyperlink" Target="mailto:creekstone@rpmrealestate.com.au" TargetMode="External"/><Relationship Id="rId2255" Type="http://schemas.openxmlformats.org/officeDocument/2006/relationships/hyperlink" Target="mailto:olivia@latituderealestate.com.au" TargetMode="External"/><Relationship Id="rId3001" Type="http://schemas.openxmlformats.org/officeDocument/2006/relationships/hyperlink" Target="mailto:matt@kodeliving.com.au" TargetMode="External"/><Relationship Id="rId227" Type="http://schemas.openxmlformats.org/officeDocument/2006/relationships/hyperlink" Target="mailto:jason.bailes@peet.com.au" TargetMode="External"/><Relationship Id="rId781" Type="http://schemas.openxmlformats.org/officeDocument/2006/relationships/hyperlink" Target="mailto:cpearson@westbrookestate.com.au" TargetMode="External"/><Relationship Id="rId879" Type="http://schemas.openxmlformats.org/officeDocument/2006/relationships/hyperlink" Target="mailto:atherstone@lendlease.com" TargetMode="External"/><Relationship Id="rId2462" Type="http://schemas.openxmlformats.org/officeDocument/2006/relationships/hyperlink" Target="mailto:info@costaland.com.au" TargetMode="External"/><Relationship Id="rId2767" Type="http://schemas.openxmlformats.org/officeDocument/2006/relationships/hyperlink" Target="mailto:m.huynh@oliverhume.com.au" TargetMode="External"/><Relationship Id="rId434" Type="http://schemas.openxmlformats.org/officeDocument/2006/relationships/hyperlink" Target="mailto:tulliallan@rpmrealestate.com.au" TargetMode="External"/><Relationship Id="rId641" Type="http://schemas.openxmlformats.org/officeDocument/2006/relationships/hyperlink" Target="mailto:umbra2@rpmrealestate.com.au" TargetMode="External"/><Relationship Id="rId739" Type="http://schemas.openxmlformats.org/officeDocument/2006/relationships/hyperlink" Target="mailto:lochaven@rpmrealestate.com.au" TargetMode="External"/><Relationship Id="rId1064" Type="http://schemas.openxmlformats.org/officeDocument/2006/relationships/hyperlink" Target="mailto:rob.polec@denniscorp.com.au" TargetMode="External"/><Relationship Id="rId1271" Type="http://schemas.openxmlformats.org/officeDocument/2006/relationships/hyperlink" Target="mailto:ben@prdballarat.com.au" TargetMode="External"/><Relationship Id="rId1369" Type="http://schemas.openxmlformats.org/officeDocument/2006/relationships/hyperlink" Target="mailto:s.fuss@oliverhume.com.au" TargetMode="External"/><Relationship Id="rId1576" Type="http://schemas.openxmlformats.org/officeDocument/2006/relationships/hyperlink" Target="mailto:arch@lauders.com.au" TargetMode="External"/><Relationship Id="rId2115" Type="http://schemas.openxmlformats.org/officeDocument/2006/relationships/hyperlink" Target="mailto:LVojneska@denniscorp.com.au" TargetMode="External"/><Relationship Id="rId2322" Type="http://schemas.openxmlformats.org/officeDocument/2006/relationships/hyperlink" Target="mailto:jason@eightpropertyinvestments.com.au" TargetMode="External"/><Relationship Id="rId2974" Type="http://schemas.openxmlformats.org/officeDocument/2006/relationships/hyperlink" Target="mailto:tyler.hogan@harcourts.com.au" TargetMode="External"/><Relationship Id="rId501" Type="http://schemas.openxmlformats.org/officeDocument/2006/relationships/hyperlink" Target="mailto:atherstone@lendlease.com" TargetMode="External"/><Relationship Id="rId946" Type="http://schemas.openxmlformats.org/officeDocument/2006/relationships/hyperlink" Target="mailto:LVojneska@denniscorp.com.au" TargetMode="External"/><Relationship Id="rId1131" Type="http://schemas.openxmlformats.org/officeDocument/2006/relationships/hyperlink" Target="mailto:joea@maxbrown.com.au" TargetMode="External"/><Relationship Id="rId1229" Type="http://schemas.openxmlformats.org/officeDocument/2006/relationships/hyperlink" Target="mailto:richard@wyndhamre.com.au" TargetMode="External"/><Relationship Id="rId1783" Type="http://schemas.openxmlformats.org/officeDocument/2006/relationships/hyperlink" Target="mailto:robert.l@red23.com.au" TargetMode="External"/><Relationship Id="rId1990" Type="http://schemas.openxmlformats.org/officeDocument/2006/relationships/hyperlink" Target="mailto:Courtney.tattersall@peet.com.au" TargetMode="External"/><Relationship Id="rId2627" Type="http://schemas.openxmlformats.org/officeDocument/2006/relationships/hyperlink" Target="mailto:monica.quaresima@stockland.com.au" TargetMode="External"/><Relationship Id="rId2834" Type="http://schemas.openxmlformats.org/officeDocument/2006/relationships/hyperlink" Target="mailto:i.tanti@oliverhume.com.au" TargetMode="External"/><Relationship Id="rId75" Type="http://schemas.openxmlformats.org/officeDocument/2006/relationships/hyperlink" Target="mailto:riverdalevillage@latituderealestate.com.au" TargetMode="External"/><Relationship Id="rId806" Type="http://schemas.openxmlformats.org/officeDocument/2006/relationships/hyperlink" Target="mailto:r.footman@oliverhume.com.au" TargetMode="External"/><Relationship Id="rId1436" Type="http://schemas.openxmlformats.org/officeDocument/2006/relationships/hyperlink" Target="mailto:m.morris@oliverhume.com.au" TargetMode="External"/><Relationship Id="rId1643" Type="http://schemas.openxmlformats.org/officeDocument/2006/relationships/hyperlink" Target="mailto:rbhardwaj@coreprojects.com.au" TargetMode="External"/><Relationship Id="rId1850" Type="http://schemas.openxmlformats.org/officeDocument/2006/relationships/hyperlink" Target="mailto:HaiN@centralequity.com.au" TargetMode="External"/><Relationship Id="rId2901" Type="http://schemas.openxmlformats.org/officeDocument/2006/relationships/hyperlink" Target="mailto:monica.quaresima@stockland.com.au" TargetMode="External"/><Relationship Id="rId3096" Type="http://schemas.openxmlformats.org/officeDocument/2006/relationships/hyperlink" Target="mailto:zmckinnon@larare.com.au" TargetMode="External"/><Relationship Id="rId1503" Type="http://schemas.openxmlformats.org/officeDocument/2006/relationships/hyperlink" Target="mailto:miloss@satterley.com.au" TargetMode="External"/><Relationship Id="rId1710" Type="http://schemas.openxmlformats.org/officeDocument/2006/relationships/hyperlink" Target="mailto:s.fuss@oliverhume.com.au" TargetMode="External"/><Relationship Id="rId1948" Type="http://schemas.openxmlformats.org/officeDocument/2006/relationships/hyperlink" Target="mailto:Rothwell@rpmrealestate.com.au" TargetMode="External"/><Relationship Id="rId291" Type="http://schemas.openxmlformats.org/officeDocument/2006/relationships/hyperlink" Target="mailto:kassy@kaikura.com.au" TargetMode="External"/><Relationship Id="rId1808" Type="http://schemas.openxmlformats.org/officeDocument/2006/relationships/hyperlink" Target="mailto:cmccormack@avidpropertygroup.com.au" TargetMode="External"/><Relationship Id="rId3023" Type="http://schemas.openxmlformats.org/officeDocument/2006/relationships/hyperlink" Target="mailto:ashwin.sethi@stockland.com.au" TargetMode="External"/><Relationship Id="rId151" Type="http://schemas.openxmlformats.org/officeDocument/2006/relationships/hyperlink" Target="mailto:markd@satterley.com.au" TargetMode="External"/><Relationship Id="rId389" Type="http://schemas.openxmlformats.org/officeDocument/2006/relationships/hyperlink" Target="mailto:manzeene@rpmrealestate.com.au" TargetMode="External"/><Relationship Id="rId596" Type="http://schemas.openxmlformats.org/officeDocument/2006/relationships/hyperlink" Target="mailto:m.morris@oliverhume.com.au" TargetMode="External"/><Relationship Id="rId2277" Type="http://schemas.openxmlformats.org/officeDocument/2006/relationships/hyperlink" Target="mailto:i.tanti@oliverhume.com.au" TargetMode="External"/><Relationship Id="rId2484" Type="http://schemas.openxmlformats.org/officeDocument/2006/relationships/hyperlink" Target="mailto:thereserve@rpmrealestate.com.au" TargetMode="External"/><Relationship Id="rId2691" Type="http://schemas.openxmlformats.org/officeDocument/2006/relationships/hyperlink" Target="mailto:angelo.granata@peet.com.au" TargetMode="External"/><Relationship Id="rId249" Type="http://schemas.openxmlformats.org/officeDocument/2006/relationships/hyperlink" Target="mailto:b.ryan@harcourts.com.au" TargetMode="External"/><Relationship Id="rId456" Type="http://schemas.openxmlformats.org/officeDocument/2006/relationships/hyperlink" Target="mailto:markd@satterley.com.au" TargetMode="External"/><Relationship Id="rId663" Type="http://schemas.openxmlformats.org/officeDocument/2006/relationships/hyperlink" Target="mailto:kevin@eightypi.com.au" TargetMode="External"/><Relationship Id="rId870" Type="http://schemas.openxmlformats.org/officeDocument/2006/relationships/hyperlink" Target="mailto:jan@trijena.com.au" TargetMode="External"/><Relationship Id="rId1086" Type="http://schemas.openxmlformats.org/officeDocument/2006/relationships/hyperlink" Target="mailto:nataliep@wofldene.com.au" TargetMode="External"/><Relationship Id="rId1293" Type="http://schemas.openxmlformats.org/officeDocument/2006/relationships/hyperlink" Target="mailto:ben@prdballarat.com.au" TargetMode="External"/><Relationship Id="rId2137" Type="http://schemas.openxmlformats.org/officeDocument/2006/relationships/hyperlink" Target="mailto:info@costaland.com.au" TargetMode="External"/><Relationship Id="rId2344" Type="http://schemas.openxmlformats.org/officeDocument/2006/relationships/hyperlink" Target="mailto:oliverhume@oliverhume.com.au" TargetMode="External"/><Relationship Id="rId2551" Type="http://schemas.openxmlformats.org/officeDocument/2006/relationships/hyperlink" Target="mailto:sales@ooranyaestate.com.au" TargetMode="External"/><Relationship Id="rId2789" Type="http://schemas.openxmlformats.org/officeDocument/2006/relationships/hyperlink" Target="mailto:rob@wolfdene.com.au" TargetMode="External"/><Relationship Id="rId2996" Type="http://schemas.openxmlformats.org/officeDocument/2006/relationships/hyperlink" Target="mailto:daniels@lotusliving.com.au" TargetMode="External"/><Relationship Id="rId109" Type="http://schemas.openxmlformats.org/officeDocument/2006/relationships/hyperlink" Target="mailto:j.termine@oliverhume.com.au" TargetMode="External"/><Relationship Id="rId316" Type="http://schemas.openxmlformats.org/officeDocument/2006/relationships/hyperlink" Target="mailto:raj.shergill@stockland.com.au" TargetMode="External"/><Relationship Id="rId523" Type="http://schemas.openxmlformats.org/officeDocument/2006/relationships/hyperlink" Target="mailto:HaiN@centralequity.com.au" TargetMode="External"/><Relationship Id="rId968" Type="http://schemas.openxmlformats.org/officeDocument/2006/relationships/hyperlink" Target="mailto:thornhillpark@rpmrealestate.com.au" TargetMode="External"/><Relationship Id="rId1153" Type="http://schemas.openxmlformats.org/officeDocument/2006/relationships/hyperlink" Target="mailto:drokka@core-projects.com.au" TargetMode="External"/><Relationship Id="rId1598" Type="http://schemas.openxmlformats.org/officeDocument/2006/relationships/hyperlink" Target="mailto:mandalay@rpmrealestate.com.au" TargetMode="External"/><Relationship Id="rId2204" Type="http://schemas.openxmlformats.org/officeDocument/2006/relationships/hyperlink" Target="mailto:sales@bisinella.com.au" TargetMode="External"/><Relationship Id="rId2649" Type="http://schemas.openxmlformats.org/officeDocument/2006/relationships/hyperlink" Target="mailto:sales@parkviewlara.com.au" TargetMode="External"/><Relationship Id="rId2856" Type="http://schemas.openxmlformats.org/officeDocument/2006/relationships/hyperlink" Target="mailto:jessica.hammond@stockland.com.au" TargetMode="External"/><Relationship Id="rId97" Type="http://schemas.openxmlformats.org/officeDocument/2006/relationships/hyperlink" Target="mailto:daniels@lotusliving.com.au" TargetMode="External"/><Relationship Id="rId730" Type="http://schemas.openxmlformats.org/officeDocument/2006/relationships/hyperlink" Target="mailto:riverwalk@rpmrealestate.com.au" TargetMode="External"/><Relationship Id="rId828" Type="http://schemas.openxmlformats.org/officeDocument/2006/relationships/hyperlink" Target="mailto:chris.walker@stockland.com.au" TargetMode="External"/><Relationship Id="rId1013" Type="http://schemas.openxmlformats.org/officeDocument/2006/relationships/hyperlink" Target="mailto:oliverhume@oliverhume.com.au" TargetMode="External"/><Relationship Id="rId1360" Type="http://schemas.openxmlformats.org/officeDocument/2006/relationships/hyperlink" Target="mailto:rosewood2@rpmrealestate.com.au" TargetMode="External"/><Relationship Id="rId1458" Type="http://schemas.openxmlformats.org/officeDocument/2006/relationships/hyperlink" Target="mailto:Jason.Hynek@stockland.com.au" TargetMode="External"/><Relationship Id="rId1665" Type="http://schemas.openxmlformats.org/officeDocument/2006/relationships/hyperlink" Target="mailto:r.miric@oliverhume.com.au" TargetMode="External"/><Relationship Id="rId1872" Type="http://schemas.openxmlformats.org/officeDocument/2006/relationships/hyperlink" Target="mailto:admin@woodlea.com.au" TargetMode="External"/><Relationship Id="rId2411" Type="http://schemas.openxmlformats.org/officeDocument/2006/relationships/hyperlink" Target="mailto:rosenthal@rpmrealestate.com.au" TargetMode="External"/><Relationship Id="rId2509" Type="http://schemas.openxmlformats.org/officeDocument/2006/relationships/hyperlink" Target="mailto:mandalay@rpmrealestate.com.au" TargetMode="External"/><Relationship Id="rId2716" Type="http://schemas.openxmlformats.org/officeDocument/2006/relationships/hyperlink" Target="mailto:cpearson@westbrookestate.com.au" TargetMode="External"/><Relationship Id="rId1220" Type="http://schemas.openxmlformats.org/officeDocument/2006/relationships/hyperlink" Target="mailto:chris.walker@stockland.com.au" TargetMode="External"/><Relationship Id="rId1318" Type="http://schemas.openxmlformats.org/officeDocument/2006/relationships/hyperlink" Target="mailto:sales@florianliving.com.au" TargetMode="External"/><Relationship Id="rId1525" Type="http://schemas.openxmlformats.org/officeDocument/2006/relationships/hyperlink" Target="mailto:jessica.hammond@stockland.com.au" TargetMode="External"/><Relationship Id="rId2923" Type="http://schemas.openxmlformats.org/officeDocument/2006/relationships/hyperlink" Target="mailto:info@costaland.com.au" TargetMode="External"/><Relationship Id="rId1732" Type="http://schemas.openxmlformats.org/officeDocument/2006/relationships/hyperlink" Target="mailto:jbosancic@brightonpropertygroup.com.au" TargetMode="External"/><Relationship Id="rId24" Type="http://schemas.openxmlformats.org/officeDocument/2006/relationships/hyperlink" Target="mailto:b.ryan@harcourts.com.au" TargetMode="External"/><Relationship Id="rId2299" Type="http://schemas.openxmlformats.org/officeDocument/2006/relationships/hyperlink" Target="mailto:tyler.hogan@harcourts.com.au" TargetMode="External"/><Relationship Id="rId3045" Type="http://schemas.openxmlformats.org/officeDocument/2006/relationships/hyperlink" Target="mailto:m.huynh@oliverhume.com.au" TargetMode="External"/><Relationship Id="rId173" Type="http://schemas.openxmlformats.org/officeDocument/2006/relationships/hyperlink" Target="mailto:b.ellis@oliverhume.com.au" TargetMode="External"/><Relationship Id="rId380" Type="http://schemas.openxmlformats.org/officeDocument/2006/relationships/hyperlink" Target="mailto:sales@belmondclyde.com.au" TargetMode="External"/><Relationship Id="rId2061" Type="http://schemas.openxmlformats.org/officeDocument/2006/relationships/hyperlink" Target="mailto:vivienne@red23.com.au" TargetMode="External"/><Relationship Id="rId3112" Type="http://schemas.openxmlformats.org/officeDocument/2006/relationships/hyperlink" Target="mailto:miloss@satterley.com.au" TargetMode="External"/><Relationship Id="rId240" Type="http://schemas.openxmlformats.org/officeDocument/2006/relationships/hyperlink" Target="mailto:kassy@kaikura.com.au" TargetMode="External"/><Relationship Id="rId478" Type="http://schemas.openxmlformats.org/officeDocument/2006/relationships/hyperlink" Target="mailto:thornhillpark@rpmrealestate.com.au" TargetMode="External"/><Relationship Id="rId685" Type="http://schemas.openxmlformats.org/officeDocument/2006/relationships/hyperlink" Target="mailto:cpearson@westbrookestate.com.au" TargetMode="External"/><Relationship Id="rId892" Type="http://schemas.openxmlformats.org/officeDocument/2006/relationships/hyperlink" Target="mailto:tim@costaland.com.au" TargetMode="External"/><Relationship Id="rId2159" Type="http://schemas.openxmlformats.org/officeDocument/2006/relationships/hyperlink" Target="mailto:sales@aldoestate.com.au" TargetMode="External"/><Relationship Id="rId2366" Type="http://schemas.openxmlformats.org/officeDocument/2006/relationships/hyperlink" Target="mailto:s.fuss@oliverhume.com.au" TargetMode="External"/><Relationship Id="rId2573" Type="http://schemas.openxmlformats.org/officeDocument/2006/relationships/hyperlink" Target="mailto:cpearson@westbrookestate.com.au" TargetMode="External"/><Relationship Id="rId2780" Type="http://schemas.openxmlformats.org/officeDocument/2006/relationships/hyperlink" Target="mailto:ashwin.sethi@stockland.com.au" TargetMode="External"/><Relationship Id="rId100" Type="http://schemas.openxmlformats.org/officeDocument/2006/relationships/hyperlink" Target="mailto:jbosancic@brightonpropertygroup.com.au" TargetMode="External"/><Relationship Id="rId338" Type="http://schemas.openxmlformats.org/officeDocument/2006/relationships/hyperlink" Target="mailto:jlow@core-projects.com.au" TargetMode="External"/><Relationship Id="rId545" Type="http://schemas.openxmlformats.org/officeDocument/2006/relationships/hyperlink" Target="mailto:jan@catalinapointcook.com.au" TargetMode="External"/><Relationship Id="rId752" Type="http://schemas.openxmlformats.org/officeDocument/2006/relationships/hyperlink" Target="mailto:rebecca@parklea.com" TargetMode="External"/><Relationship Id="rId1175" Type="http://schemas.openxmlformats.org/officeDocument/2006/relationships/hyperlink" Target="mailto:miloss@satterley.com.au" TargetMode="External"/><Relationship Id="rId1382" Type="http://schemas.openxmlformats.org/officeDocument/2006/relationships/hyperlink" Target="mailto:carol.rubidoux@cedarwoods.com.au" TargetMode="External"/><Relationship Id="rId2019" Type="http://schemas.openxmlformats.org/officeDocument/2006/relationships/hyperlink" Target="mailto:k.spencer@oliverhume.com.au" TargetMode="External"/><Relationship Id="rId2226" Type="http://schemas.openxmlformats.org/officeDocument/2006/relationships/hyperlink" Target="mailto:botanicridge@rpmrealestate.com.au" TargetMode="External"/><Relationship Id="rId2433" Type="http://schemas.openxmlformats.org/officeDocument/2006/relationships/hyperlink" Target="mailto:daniels@lotusliving.com.au" TargetMode="External"/><Relationship Id="rId2640" Type="http://schemas.openxmlformats.org/officeDocument/2006/relationships/hyperlink" Target="mailto:sales@aldoestate.com.au" TargetMode="External"/><Relationship Id="rId2878" Type="http://schemas.openxmlformats.org/officeDocument/2006/relationships/hyperlink" Target="mailto:abratina@coreprojects.com.au" TargetMode="External"/><Relationship Id="rId405" Type="http://schemas.openxmlformats.org/officeDocument/2006/relationships/hyperlink" Target="mailto:gkirkopoulos@avjennings.com.au" TargetMode="External"/><Relationship Id="rId612" Type="http://schemas.openxmlformats.org/officeDocument/2006/relationships/hyperlink" Target="mailto:d.halsey@oliverhume.com.au" TargetMode="External"/><Relationship Id="rId1035" Type="http://schemas.openxmlformats.org/officeDocument/2006/relationships/hyperlink" Target="mailto:austin@latituderealestate.com.au" TargetMode="External"/><Relationship Id="rId1242" Type="http://schemas.openxmlformats.org/officeDocument/2006/relationships/hyperlink" Target="mailto:jan@catalinapointcook.com.au" TargetMode="External"/><Relationship Id="rId1687" Type="http://schemas.openxmlformats.org/officeDocument/2006/relationships/hyperlink" Target="mailto:riverwalk@rpmrealestate.com.au" TargetMode="External"/><Relationship Id="rId1894" Type="http://schemas.openxmlformats.org/officeDocument/2006/relationships/hyperlink" Target="mailto:jan@trijena.com.au" TargetMode="External"/><Relationship Id="rId2500" Type="http://schemas.openxmlformats.org/officeDocument/2006/relationships/hyperlink" Target="mailto:s.fuss@oliverhume.com.au" TargetMode="External"/><Relationship Id="rId2738" Type="http://schemas.openxmlformats.org/officeDocument/2006/relationships/hyperlink" Target="mailto:rinaldi@thewisegroup.com.au" TargetMode="External"/><Relationship Id="rId2945" Type="http://schemas.openxmlformats.org/officeDocument/2006/relationships/hyperlink" Target="mailto:monica.quaresima@stockland.com.au" TargetMode="External"/><Relationship Id="rId917" Type="http://schemas.openxmlformats.org/officeDocument/2006/relationships/hyperlink" Target="mailto:cpearson@westbrookestate.com.au" TargetMode="External"/><Relationship Id="rId1102" Type="http://schemas.openxmlformats.org/officeDocument/2006/relationships/hyperlink" Target="mailto:ian@krpeters.com.au" TargetMode="External"/><Relationship Id="rId1547" Type="http://schemas.openxmlformats.org/officeDocument/2006/relationships/hyperlink" Target="mailto:ted@kohamproperty.com" TargetMode="External"/><Relationship Id="rId1754" Type="http://schemas.openxmlformats.org/officeDocument/2006/relationships/hyperlink" Target="mailto:kristyn@krpeters.com.au" TargetMode="External"/><Relationship Id="rId1961" Type="http://schemas.openxmlformats.org/officeDocument/2006/relationships/hyperlink" Target="mailto:David.maloney@frasers.com.au" TargetMode="External"/><Relationship Id="rId2805" Type="http://schemas.openxmlformats.org/officeDocument/2006/relationships/hyperlink" Target="mailto:i.tanti@oliverhume.com.au" TargetMode="External"/><Relationship Id="rId46" Type="http://schemas.openxmlformats.org/officeDocument/2006/relationships/hyperlink" Target="mailto:NickC@centralequity.com.au" TargetMode="External"/><Relationship Id="rId1407" Type="http://schemas.openxmlformats.org/officeDocument/2006/relationships/hyperlink" Target="mailto:ben.nguyen@barryplant.com.au" TargetMode="External"/><Relationship Id="rId1614" Type="http://schemas.openxmlformats.org/officeDocument/2006/relationships/hyperlink" Target="mailto:t.ogrady@oliverhume.com.au" TargetMode="External"/><Relationship Id="rId1821" Type="http://schemas.openxmlformats.org/officeDocument/2006/relationships/hyperlink" Target="mailto:ironwood@lenniumgroup.com.au" TargetMode="External"/><Relationship Id="rId3067" Type="http://schemas.openxmlformats.org/officeDocument/2006/relationships/hyperlink" Target="mailto:austin@latituderealestate.com.au" TargetMode="External"/><Relationship Id="rId195" Type="http://schemas.openxmlformats.org/officeDocument/2006/relationships/hyperlink" Target="mailto:markd@satterley.com.au" TargetMode="External"/><Relationship Id="rId1919" Type="http://schemas.openxmlformats.org/officeDocument/2006/relationships/hyperlink" Target="mailto:ian@krpeters.com.au" TargetMode="External"/><Relationship Id="rId2083" Type="http://schemas.openxmlformats.org/officeDocument/2006/relationships/hyperlink" Target="mailto:rosewood2@rpmrealestate.com.au" TargetMode="External"/><Relationship Id="rId2290" Type="http://schemas.openxmlformats.org/officeDocument/2006/relationships/hyperlink" Target="mailto:monica.quaresima@stockland.com.au" TargetMode="External"/><Relationship Id="rId2388" Type="http://schemas.openxmlformats.org/officeDocument/2006/relationships/hyperlink" Target="mailto:mai.tran@mywindermere.com.au" TargetMode="External"/><Relationship Id="rId2595" Type="http://schemas.openxmlformats.org/officeDocument/2006/relationships/hyperlink" Target="mailto:Laura@parklea.com" TargetMode="External"/><Relationship Id="rId262" Type="http://schemas.openxmlformats.org/officeDocument/2006/relationships/hyperlink" Target="mailto:miloss@satterley.com.au" TargetMode="External"/><Relationship Id="rId567" Type="http://schemas.openxmlformats.org/officeDocument/2006/relationships/hyperlink" Target="mailto:Courtney.tattersall@peet.com.au" TargetMode="External"/><Relationship Id="rId1197" Type="http://schemas.openxmlformats.org/officeDocument/2006/relationships/hyperlink" Target="mailto:David.maloney@frasers.com.au" TargetMode="External"/><Relationship Id="rId2150" Type="http://schemas.openxmlformats.org/officeDocument/2006/relationships/hyperlink" Target="mailto:LVojneska@denniscorp.com.au" TargetMode="External"/><Relationship Id="rId2248" Type="http://schemas.openxmlformats.org/officeDocument/2006/relationships/hyperlink" Target="mailto:kim.mair@frasersproperty.com.au" TargetMode="External"/><Relationship Id="rId122" Type="http://schemas.openxmlformats.org/officeDocument/2006/relationships/hyperlink" Target="mailto:r.miric@oliverhume.com.au" TargetMode="External"/><Relationship Id="rId774" Type="http://schemas.openxmlformats.org/officeDocument/2006/relationships/hyperlink" Target="mailto:j.termine@oliverhume.com.au" TargetMode="External"/><Relationship Id="rId981" Type="http://schemas.openxmlformats.org/officeDocument/2006/relationships/hyperlink" Target="mailto:anne.cross@lendlease.com" TargetMode="External"/><Relationship Id="rId1057" Type="http://schemas.openxmlformats.org/officeDocument/2006/relationships/hyperlink" Target="mailto:patrick@wolfdene.com.au" TargetMode="External"/><Relationship Id="rId2010" Type="http://schemas.openxmlformats.org/officeDocument/2006/relationships/hyperlink" Target="mailto:sales@brrealestates.com.au" TargetMode="External"/><Relationship Id="rId2455" Type="http://schemas.openxmlformats.org/officeDocument/2006/relationships/hyperlink" Target="mailto:Lea@oreana.com.au" TargetMode="External"/><Relationship Id="rId2662" Type="http://schemas.openxmlformats.org/officeDocument/2006/relationships/hyperlink" Target="mailto:info@willowspringsland.com.au" TargetMode="External"/><Relationship Id="rId427" Type="http://schemas.openxmlformats.org/officeDocument/2006/relationships/hyperlink" Target="mailto:chris.walker@stockland.com.au" TargetMode="External"/><Relationship Id="rId634" Type="http://schemas.openxmlformats.org/officeDocument/2006/relationships/hyperlink" Target="mailto:mareeh.drysdale@ljh.com.au" TargetMode="External"/><Relationship Id="rId841" Type="http://schemas.openxmlformats.org/officeDocument/2006/relationships/hyperlink" Target="mailto:atherstone@lendlease.com" TargetMode="External"/><Relationship Id="rId1264" Type="http://schemas.openxmlformats.org/officeDocument/2006/relationships/hyperlink" Target="mailto:LVojneska@denniscorp.com.au" TargetMode="External"/><Relationship Id="rId1471" Type="http://schemas.openxmlformats.org/officeDocument/2006/relationships/hyperlink" Target="mailto:patricio@rivervalley.com.au" TargetMode="External"/><Relationship Id="rId1569" Type="http://schemas.openxmlformats.org/officeDocument/2006/relationships/hyperlink" Target="mailto:oliverhume@oliverhume.com.au" TargetMode="External"/><Relationship Id="rId2108" Type="http://schemas.openxmlformats.org/officeDocument/2006/relationships/hyperlink" Target="mailto:daniel.lock@mirvac.com" TargetMode="External"/><Relationship Id="rId2315" Type="http://schemas.openxmlformats.org/officeDocument/2006/relationships/hyperlink" Target="mailto:dspiteri@hermitagehomes.com.au" TargetMode="External"/><Relationship Id="rId2522" Type="http://schemas.openxmlformats.org/officeDocument/2006/relationships/hyperlink" Target="mailto:r.miric@oliverhume.com.au" TargetMode="External"/><Relationship Id="rId2967" Type="http://schemas.openxmlformats.org/officeDocument/2006/relationships/hyperlink" Target="mailto:k.spencer@oliverhume.com.au" TargetMode="External"/><Relationship Id="rId701" Type="http://schemas.openxmlformats.org/officeDocument/2006/relationships/hyperlink" Target="mailto:laurier@rpmrealestate.com.au" TargetMode="External"/><Relationship Id="rId939" Type="http://schemas.openxmlformats.org/officeDocument/2006/relationships/hyperlink" Target="mailto:mai.tran@mywindermere.com.au" TargetMode="External"/><Relationship Id="rId1124" Type="http://schemas.openxmlformats.org/officeDocument/2006/relationships/hyperlink" Target="mailto:greg@gblproperty.com" TargetMode="External"/><Relationship Id="rId1331" Type="http://schemas.openxmlformats.org/officeDocument/2006/relationships/hyperlink" Target="mailto:chris.walker@stockland.com.au" TargetMode="External"/><Relationship Id="rId1776" Type="http://schemas.openxmlformats.org/officeDocument/2006/relationships/hyperlink" Target="mailto:stgermain@rpmrealestate.com.au" TargetMode="External"/><Relationship Id="rId1983" Type="http://schemas.openxmlformats.org/officeDocument/2006/relationships/hyperlink" Target="mailto:sharee@maxwellcollins.com.au" TargetMode="External"/><Relationship Id="rId2827" Type="http://schemas.openxmlformats.org/officeDocument/2006/relationships/hyperlink" Target="mailto:shobson@coreprojects.com.au" TargetMode="External"/><Relationship Id="rId68" Type="http://schemas.openxmlformats.org/officeDocument/2006/relationships/hyperlink" Target="mailto:markd@satterley.com.au" TargetMode="External"/><Relationship Id="rId1429" Type="http://schemas.openxmlformats.org/officeDocument/2006/relationships/hyperlink" Target="mailto:rosenthal@rpmrealestate.com.au" TargetMode="External"/><Relationship Id="rId1636" Type="http://schemas.openxmlformats.org/officeDocument/2006/relationships/hyperlink" Target="mailto:kevinmizzi@jxre.com.au" TargetMode="External"/><Relationship Id="rId1843" Type="http://schemas.openxmlformats.org/officeDocument/2006/relationships/hyperlink" Target="mailto:ben@prdballarat.com.au" TargetMode="External"/><Relationship Id="rId3089" Type="http://schemas.openxmlformats.org/officeDocument/2006/relationships/hyperlink" Target="mailto:sales@lenniumgroup.com.au" TargetMode="External"/><Relationship Id="rId1703" Type="http://schemas.openxmlformats.org/officeDocument/2006/relationships/hyperlink" Target="mailto:s.fuss@oliverhume.com.au" TargetMode="External"/><Relationship Id="rId1910" Type="http://schemas.openxmlformats.org/officeDocument/2006/relationships/hyperlink" Target="mailto:d.halsey@oliverhume.com.au" TargetMode="External"/><Relationship Id="rId284" Type="http://schemas.openxmlformats.org/officeDocument/2006/relationships/hyperlink" Target="mailto:kristyn@krpeters.com.au" TargetMode="External"/><Relationship Id="rId491" Type="http://schemas.openxmlformats.org/officeDocument/2006/relationships/hyperlink" Target="mailto:daniels@lotusliving.com.au" TargetMode="External"/><Relationship Id="rId2172" Type="http://schemas.openxmlformats.org/officeDocument/2006/relationships/hyperlink" Target="mailto:bhalsall@buxton.com.au" TargetMode="External"/><Relationship Id="rId3016" Type="http://schemas.openxmlformats.org/officeDocument/2006/relationships/hyperlink" Target="mailto:amber@landlaunch.com.au" TargetMode="External"/><Relationship Id="rId144" Type="http://schemas.openxmlformats.org/officeDocument/2006/relationships/hyperlink" Target="mailto:helen.li@glenwaverley.rh.com.au" TargetMode="External"/><Relationship Id="rId589" Type="http://schemas.openxmlformats.org/officeDocument/2006/relationships/hyperlink" Target="mailto:Adam@red23.com.au" TargetMode="External"/><Relationship Id="rId796" Type="http://schemas.openxmlformats.org/officeDocument/2006/relationships/hyperlink" Target="mailto:andy@red23.com.au" TargetMode="External"/><Relationship Id="rId2477" Type="http://schemas.openxmlformats.org/officeDocument/2006/relationships/hyperlink" Target="mailto:stgermain@rpmrealestate.com.au" TargetMode="External"/><Relationship Id="rId2684" Type="http://schemas.openxmlformats.org/officeDocument/2006/relationships/hyperlink" Target="mailto:lucy@rpmrealestate.com.au" TargetMode="External"/><Relationship Id="rId351" Type="http://schemas.openxmlformats.org/officeDocument/2006/relationships/hyperlink" Target="mailto:sales@belmondclyde.com.au" TargetMode="External"/><Relationship Id="rId449" Type="http://schemas.openxmlformats.org/officeDocument/2006/relationships/hyperlink" Target="mailto:Dhouse@villaworld.com.au" TargetMode="External"/><Relationship Id="rId656" Type="http://schemas.openxmlformats.org/officeDocument/2006/relationships/hyperlink" Target="mailto:Eliston@rpmrealestate.com.au" TargetMode="External"/><Relationship Id="rId863" Type="http://schemas.openxmlformats.org/officeDocument/2006/relationships/hyperlink" Target="mailto:i.tanti@oliverhume.com.au" TargetMode="External"/><Relationship Id="rId1079" Type="http://schemas.openxmlformats.org/officeDocument/2006/relationships/hyperlink" Target="mailto:n.harb@oliverhume.com.au" TargetMode="External"/><Relationship Id="rId1286" Type="http://schemas.openxmlformats.org/officeDocument/2006/relationships/hyperlink" Target="mailto:atherstone@lendlease.com" TargetMode="External"/><Relationship Id="rId1493" Type="http://schemas.openxmlformats.org/officeDocument/2006/relationships/hyperlink" Target="mailto:thornhillpark@rpmrealestate.com.au" TargetMode="External"/><Relationship Id="rId2032" Type="http://schemas.openxmlformats.org/officeDocument/2006/relationships/hyperlink" Target="mailto:rob.polec@denniscorp.com.au" TargetMode="External"/><Relationship Id="rId2337" Type="http://schemas.openxmlformats.org/officeDocument/2006/relationships/hyperlink" Target="mailto:k.spencer@oliverhume.com.au" TargetMode="External"/><Relationship Id="rId2544" Type="http://schemas.openxmlformats.org/officeDocument/2006/relationships/hyperlink" Target="mailto:Catherine@yourland.com" TargetMode="External"/><Relationship Id="rId2891" Type="http://schemas.openxmlformats.org/officeDocument/2006/relationships/hyperlink" Target="mailto:jessica.hammond@stockland.com.au" TargetMode="External"/><Relationship Id="rId2989" Type="http://schemas.openxmlformats.org/officeDocument/2006/relationships/hyperlink" Target="mailto:clearwater@rpmgrp.com.au" TargetMode="External"/><Relationship Id="rId211" Type="http://schemas.openxmlformats.org/officeDocument/2006/relationships/hyperlink" Target="mailto:riverdalevillage@latituderealestate.com.au" TargetMode="External"/><Relationship Id="rId309" Type="http://schemas.openxmlformats.org/officeDocument/2006/relationships/hyperlink" Target="mailto:frank@red23.com.au" TargetMode="External"/><Relationship Id="rId516" Type="http://schemas.openxmlformats.org/officeDocument/2006/relationships/hyperlink" Target="mailto:stonehill@rpmrealestate.com.au" TargetMode="External"/><Relationship Id="rId1146" Type="http://schemas.openxmlformats.org/officeDocument/2006/relationships/hyperlink" Target="mailto:joea@maxbrown.com.au" TargetMode="External"/><Relationship Id="rId1798" Type="http://schemas.openxmlformats.org/officeDocument/2006/relationships/hyperlink" Target="mailto:ann@emerldparktarneit.com.au" TargetMode="External"/><Relationship Id="rId2751" Type="http://schemas.openxmlformats.org/officeDocument/2006/relationships/hyperlink" Target="mailto:jan@catalinapointcook.com.au" TargetMode="External"/><Relationship Id="rId2849" Type="http://schemas.openxmlformats.org/officeDocument/2006/relationships/hyperlink" Target="mailto:cpearson@westbrookestate.com.au" TargetMode="External"/><Relationship Id="rId723" Type="http://schemas.openxmlformats.org/officeDocument/2006/relationships/hyperlink" Target="mailto:annadale@rpmrealestate.com.au" TargetMode="External"/><Relationship Id="rId930" Type="http://schemas.openxmlformats.org/officeDocument/2006/relationships/hyperlink" Target="mailto:anne.cross@lendlease.com" TargetMode="External"/><Relationship Id="rId1006" Type="http://schemas.openxmlformats.org/officeDocument/2006/relationships/hyperlink" Target="mailto:mai.tran@mywindermere.com.au" TargetMode="External"/><Relationship Id="rId1353" Type="http://schemas.openxmlformats.org/officeDocument/2006/relationships/hyperlink" Target="mailto:ashwin.sethi@stockland.com.au" TargetMode="External"/><Relationship Id="rId1560" Type="http://schemas.openxmlformats.org/officeDocument/2006/relationships/hyperlink" Target="mailto:sergio@alc.land" TargetMode="External"/><Relationship Id="rId1658" Type="http://schemas.openxmlformats.org/officeDocument/2006/relationships/hyperlink" Target="mailto:z.stojanovski@oliverhume.com.au" TargetMode="External"/><Relationship Id="rId1865" Type="http://schemas.openxmlformats.org/officeDocument/2006/relationships/hyperlink" Target="mailto:westwood2@rpmrealestate.com.au" TargetMode="External"/><Relationship Id="rId2404" Type="http://schemas.openxmlformats.org/officeDocument/2006/relationships/hyperlink" Target="mailto:NickC@centralequity.com.au" TargetMode="External"/><Relationship Id="rId2611" Type="http://schemas.openxmlformats.org/officeDocument/2006/relationships/hyperlink" Target="mailto:jacqueline@goldengroup.com.au" TargetMode="External"/><Relationship Id="rId2709" Type="http://schemas.openxmlformats.org/officeDocument/2006/relationships/hyperlink" Target="mailto:Jason.bertram@juddwhite.com.au" TargetMode="External"/><Relationship Id="rId1213" Type="http://schemas.openxmlformats.org/officeDocument/2006/relationships/hyperlink" Target="mailto:m.morris@oliverhume.com.au" TargetMode="External"/><Relationship Id="rId1420" Type="http://schemas.openxmlformats.org/officeDocument/2006/relationships/hyperlink" Target="mailto:botanical@satterley.com.au" TargetMode="External"/><Relationship Id="rId1518" Type="http://schemas.openxmlformats.org/officeDocument/2006/relationships/hyperlink" Target="mailto:jan@trijena.com.au" TargetMode="External"/><Relationship Id="rId2916" Type="http://schemas.openxmlformats.org/officeDocument/2006/relationships/hyperlink" Target="mailto:monica.quaresima@stockland.com.au" TargetMode="External"/><Relationship Id="rId3080" Type="http://schemas.openxmlformats.org/officeDocument/2006/relationships/hyperlink" Target="mailto:simon@fnlatrobe.com.au" TargetMode="External"/><Relationship Id="rId1725" Type="http://schemas.openxmlformats.org/officeDocument/2006/relationships/hyperlink" Target="mailto:ben@prdballarat.com.au" TargetMode="External"/><Relationship Id="rId1932" Type="http://schemas.openxmlformats.org/officeDocument/2006/relationships/hyperlink" Target="mailto:s.datti@oliverhume.com.au" TargetMode="External"/><Relationship Id="rId17" Type="http://schemas.openxmlformats.org/officeDocument/2006/relationships/hyperlink" Target="mailto:ben@prdballarat.com.au" TargetMode="External"/><Relationship Id="rId2194" Type="http://schemas.openxmlformats.org/officeDocument/2006/relationships/hyperlink" Target="mailto:ted@kohamproperty.com" TargetMode="External"/><Relationship Id="rId3038" Type="http://schemas.openxmlformats.org/officeDocument/2006/relationships/hyperlink" Target="mailto:oakgrove@rpmgrp.com.au" TargetMode="External"/><Relationship Id="rId166" Type="http://schemas.openxmlformats.org/officeDocument/2006/relationships/hyperlink" Target="mailto:m.nastic@oliverhume.com.au" TargetMode="External"/><Relationship Id="rId373" Type="http://schemas.openxmlformats.org/officeDocument/2006/relationships/hyperlink" Target="mailto:LVojneska@denniscorp.com.au" TargetMode="External"/><Relationship Id="rId580" Type="http://schemas.openxmlformats.org/officeDocument/2006/relationships/hyperlink" Target="mailto:wynbrook@rpmrealestate.com.au" TargetMode="External"/><Relationship Id="rId2054" Type="http://schemas.openxmlformats.org/officeDocument/2006/relationships/hyperlink" Target="mailto:arvind@krpeters.com.au" TargetMode="External"/><Relationship Id="rId2261" Type="http://schemas.openxmlformats.org/officeDocument/2006/relationships/hyperlink" Target="mailto:b.ellis@oliverhume.com.au" TargetMode="External"/><Relationship Id="rId2499" Type="http://schemas.openxmlformats.org/officeDocument/2006/relationships/hyperlink" Target="mailto:jason@bpg.com.au" TargetMode="External"/><Relationship Id="rId3105" Type="http://schemas.openxmlformats.org/officeDocument/2006/relationships/hyperlink" Target="mailto:zmckinnon@larare.com.au" TargetMode="External"/><Relationship Id="rId1" Type="http://schemas.openxmlformats.org/officeDocument/2006/relationships/hyperlink" Target="mailto:annadale@rpmrealestate.com.au" TargetMode="External"/><Relationship Id="rId233" Type="http://schemas.openxmlformats.org/officeDocument/2006/relationships/hyperlink" Target="mailto:steviec@satterley.com.au" TargetMode="External"/><Relationship Id="rId440" Type="http://schemas.openxmlformats.org/officeDocument/2006/relationships/hyperlink" Target="mailto:amy.newman@lendlease.com" TargetMode="External"/><Relationship Id="rId678" Type="http://schemas.openxmlformats.org/officeDocument/2006/relationships/hyperlink" Target="mailto:jason@red23.com.au" TargetMode="External"/><Relationship Id="rId885" Type="http://schemas.openxmlformats.org/officeDocument/2006/relationships/hyperlink" Target="mailto:andy@red23.com.au" TargetMode="External"/><Relationship Id="rId1070" Type="http://schemas.openxmlformats.org/officeDocument/2006/relationships/hyperlink" Target="mailto:kim.mair@frasersproperty.com.au" TargetMode="External"/><Relationship Id="rId2121" Type="http://schemas.openxmlformats.org/officeDocument/2006/relationships/hyperlink" Target="mailto:atherstone@lendlease.com" TargetMode="External"/><Relationship Id="rId2359" Type="http://schemas.openxmlformats.org/officeDocument/2006/relationships/hyperlink" Target="mailto:rob@wolfdene.com.au" TargetMode="External"/><Relationship Id="rId2566" Type="http://schemas.openxmlformats.org/officeDocument/2006/relationships/hyperlink" Target="mailto:kevin@vhls.net.au" TargetMode="External"/><Relationship Id="rId2773" Type="http://schemas.openxmlformats.org/officeDocument/2006/relationships/hyperlink" Target="mailto:lilian.fierro-martinez@cedarwoods.com.au" TargetMode="External"/><Relationship Id="rId2980" Type="http://schemas.openxmlformats.org/officeDocument/2006/relationships/hyperlink" Target="mailto:daniels@lotusliving.com.au" TargetMode="External"/><Relationship Id="rId300" Type="http://schemas.openxmlformats.org/officeDocument/2006/relationships/hyperlink" Target="mailto:miloss@satterley.com.au" TargetMode="External"/><Relationship Id="rId538" Type="http://schemas.openxmlformats.org/officeDocument/2006/relationships/hyperlink" Target="mailto:riverdalevillage@latituderealestate.com.au" TargetMode="External"/><Relationship Id="rId745" Type="http://schemas.openxmlformats.org/officeDocument/2006/relationships/hyperlink" Target="mailto:angelo.granata@peet.com.au" TargetMode="External"/><Relationship Id="rId952" Type="http://schemas.openxmlformats.org/officeDocument/2006/relationships/hyperlink" Target="mailto:wynbrook@rpmrealestate.com.au" TargetMode="External"/><Relationship Id="rId1168" Type="http://schemas.openxmlformats.org/officeDocument/2006/relationships/hyperlink" Target="mailto:NickC@centralequity.com.au" TargetMode="External"/><Relationship Id="rId1375" Type="http://schemas.openxmlformats.org/officeDocument/2006/relationships/hyperlink" Target="mailto:k.spencer@oliverhume.com.au" TargetMode="External"/><Relationship Id="rId1582" Type="http://schemas.openxmlformats.org/officeDocument/2006/relationships/hyperlink" Target="mailto:melbourne@peet.com.au" TargetMode="External"/><Relationship Id="rId2219" Type="http://schemas.openxmlformats.org/officeDocument/2006/relationships/hyperlink" Target="mailto:sales@centralparkliving.com.au" TargetMode="External"/><Relationship Id="rId2426" Type="http://schemas.openxmlformats.org/officeDocument/2006/relationships/hyperlink" Target="mailto:info@panoramaportarlington.com.au" TargetMode="External"/><Relationship Id="rId2633" Type="http://schemas.openxmlformats.org/officeDocument/2006/relationships/hyperlink" Target="mailto:ben@prdballarat.com.au" TargetMode="External"/><Relationship Id="rId81" Type="http://schemas.openxmlformats.org/officeDocument/2006/relationships/hyperlink" Target="mailto:ted@wolfdene.com.au" TargetMode="External"/><Relationship Id="rId605" Type="http://schemas.openxmlformats.org/officeDocument/2006/relationships/hyperlink" Target="mailto:Rothwell@rpmrealestate.com.au" TargetMode="External"/><Relationship Id="rId812" Type="http://schemas.openxmlformats.org/officeDocument/2006/relationships/hyperlink" Target="mailto:LVojneska@denniscorp.com.au" TargetMode="External"/><Relationship Id="rId1028" Type="http://schemas.openxmlformats.org/officeDocument/2006/relationships/hyperlink" Target="mailto:kunal@red23.com.au" TargetMode="External"/><Relationship Id="rId1235" Type="http://schemas.openxmlformats.org/officeDocument/2006/relationships/hyperlink" Target="mailto:steviec@satterley.com.au" TargetMode="External"/><Relationship Id="rId1442" Type="http://schemas.openxmlformats.org/officeDocument/2006/relationships/hyperlink" Target="mailto:hillstowe@avid.com.au" TargetMode="External"/><Relationship Id="rId1887" Type="http://schemas.openxmlformats.org/officeDocument/2006/relationships/hyperlink" Target="mailto:s.datti@oliverhume.com.au" TargetMode="External"/><Relationship Id="rId2840" Type="http://schemas.openxmlformats.org/officeDocument/2006/relationships/hyperlink" Target="mailto:kevinmizzi@jxre.com.au" TargetMode="External"/><Relationship Id="rId2938" Type="http://schemas.openxmlformats.org/officeDocument/2006/relationships/hyperlink" Target="mailto:cpearson@westbrookestate.com.au" TargetMode="External"/><Relationship Id="rId1302" Type="http://schemas.openxmlformats.org/officeDocument/2006/relationships/hyperlink" Target="mailto:kassy@kaikura.com.au" TargetMode="External"/><Relationship Id="rId1747" Type="http://schemas.openxmlformats.org/officeDocument/2006/relationships/hyperlink" Target="mailto:carol.rubidoux@cedarwoods.com.au" TargetMode="External"/><Relationship Id="rId1954" Type="http://schemas.openxmlformats.org/officeDocument/2006/relationships/hyperlink" Target="mailto:d.halsey@oliverhume.com.au" TargetMode="External"/><Relationship Id="rId2700" Type="http://schemas.openxmlformats.org/officeDocument/2006/relationships/hyperlink" Target="mailto:monica.quaresima@stockland.com.au" TargetMode="External"/><Relationship Id="rId39" Type="http://schemas.openxmlformats.org/officeDocument/2006/relationships/hyperlink" Target="mailto:b.ellis@oliverhume.com.au" TargetMode="External"/><Relationship Id="rId1607" Type="http://schemas.openxmlformats.org/officeDocument/2006/relationships/hyperlink" Target="mailto:anne.cross@lendlease.com" TargetMode="External"/><Relationship Id="rId1814" Type="http://schemas.openxmlformats.org/officeDocument/2006/relationships/hyperlink" Target="mailto:atherstone@lendlease.com" TargetMode="External"/><Relationship Id="rId188" Type="http://schemas.openxmlformats.org/officeDocument/2006/relationships/hyperlink" Target="mailto:jan@catalinapointcook.com.au" TargetMode="External"/><Relationship Id="rId395" Type="http://schemas.openxmlformats.org/officeDocument/2006/relationships/hyperlink" Target="mailto:sales@belmondclyde.com.au" TargetMode="External"/><Relationship Id="rId2076" Type="http://schemas.openxmlformats.org/officeDocument/2006/relationships/hyperlink" Target="mailto:mai.tran@mywindermere.com.au" TargetMode="External"/><Relationship Id="rId2283" Type="http://schemas.openxmlformats.org/officeDocument/2006/relationships/hyperlink" Target="mailto:k.spencer@oliverhume.com.au" TargetMode="External"/><Relationship Id="rId2490" Type="http://schemas.openxmlformats.org/officeDocument/2006/relationships/hyperlink" Target="mailto:oliverhume@oliverhume.com.au" TargetMode="External"/><Relationship Id="rId2588" Type="http://schemas.openxmlformats.org/officeDocument/2006/relationships/hyperlink" Target="mailto:j.termine@oliverhume.com.au" TargetMode="External"/><Relationship Id="rId255" Type="http://schemas.openxmlformats.org/officeDocument/2006/relationships/hyperlink" Target="mailto:chris.walker@stockland.com.au" TargetMode="External"/><Relationship Id="rId462" Type="http://schemas.openxmlformats.org/officeDocument/2006/relationships/hyperlink" Target="mailto:k.spencer@oliverhume.com.au" TargetMode="External"/><Relationship Id="rId1092" Type="http://schemas.openxmlformats.org/officeDocument/2006/relationships/hyperlink" Target="mailto:jason@red23.com.au" TargetMode="External"/><Relationship Id="rId1397" Type="http://schemas.openxmlformats.org/officeDocument/2006/relationships/hyperlink" Target="mailto:s.wright@oliverhume.com.au" TargetMode="External"/><Relationship Id="rId2143" Type="http://schemas.openxmlformats.org/officeDocument/2006/relationships/hyperlink" Target="mailto:atherstone@lendlease.com" TargetMode="External"/><Relationship Id="rId2350" Type="http://schemas.openxmlformats.org/officeDocument/2006/relationships/hyperlink" Target="mailto:Ankur.sharma@pspproperty.com.au" TargetMode="External"/><Relationship Id="rId2795" Type="http://schemas.openxmlformats.org/officeDocument/2006/relationships/hyperlink" Target="mailto:sales@ambervue.com.au" TargetMode="External"/><Relationship Id="rId115" Type="http://schemas.openxmlformats.org/officeDocument/2006/relationships/hyperlink" Target="mailto:admin@woodlea.com.au" TargetMode="External"/><Relationship Id="rId322" Type="http://schemas.openxmlformats.org/officeDocument/2006/relationships/hyperlink" Target="mailto:Emma.Nelson@peet.com.au" TargetMode="External"/><Relationship Id="rId767" Type="http://schemas.openxmlformats.org/officeDocument/2006/relationships/hyperlink" Target="mailto:t.ogrady@oliverhume.com.au" TargetMode="External"/><Relationship Id="rId974" Type="http://schemas.openxmlformats.org/officeDocument/2006/relationships/hyperlink" Target="mailto:Courtney.tattersall@peet.com.au" TargetMode="External"/><Relationship Id="rId2003" Type="http://schemas.openxmlformats.org/officeDocument/2006/relationships/hyperlink" Target="mailto:alira@rpmrealestate.com.au" TargetMode="External"/><Relationship Id="rId2210" Type="http://schemas.openxmlformats.org/officeDocument/2006/relationships/hyperlink" Target="mailto:sergio@alc.land" TargetMode="External"/><Relationship Id="rId2448" Type="http://schemas.openxmlformats.org/officeDocument/2006/relationships/hyperlink" Target="mailto:mai.tran@mywindermere.com.au" TargetMode="External"/><Relationship Id="rId2655" Type="http://schemas.openxmlformats.org/officeDocument/2006/relationships/hyperlink" Target="mailto:shane.ruffin@bisinella.com.au" TargetMode="External"/><Relationship Id="rId2862" Type="http://schemas.openxmlformats.org/officeDocument/2006/relationships/hyperlink" Target="mailto:b.ellis@oliverhume.com.au" TargetMode="External"/><Relationship Id="rId627" Type="http://schemas.openxmlformats.org/officeDocument/2006/relationships/hyperlink" Target="mailto:tonys@maxbrown.com.au" TargetMode="External"/><Relationship Id="rId834" Type="http://schemas.openxmlformats.org/officeDocument/2006/relationships/hyperlink" Target="mailto:rbhardwaj@coreprojects.com.au" TargetMode="External"/><Relationship Id="rId1257" Type="http://schemas.openxmlformats.org/officeDocument/2006/relationships/hyperlink" Target="mailto:rosenthal@rpmrealestate.com.au" TargetMode="External"/><Relationship Id="rId1464" Type="http://schemas.openxmlformats.org/officeDocument/2006/relationships/hyperlink" Target="mailto:bhalsall@buxton.com.au" TargetMode="External"/><Relationship Id="rId1671" Type="http://schemas.openxmlformats.org/officeDocument/2006/relationships/hyperlink" Target="mailto:riverhills@rpmrealestate.com.au" TargetMode="External"/><Relationship Id="rId2308" Type="http://schemas.openxmlformats.org/officeDocument/2006/relationships/hyperlink" Target="mailto:ann@emerldparktarneit.com.au" TargetMode="External"/><Relationship Id="rId2515" Type="http://schemas.openxmlformats.org/officeDocument/2006/relationships/hyperlink" Target="mailto:ben@prdballarat.com.au" TargetMode="External"/><Relationship Id="rId2722" Type="http://schemas.openxmlformats.org/officeDocument/2006/relationships/hyperlink" Target="mailto:monica.quaresima@stockland.com.au" TargetMode="External"/><Relationship Id="rId901" Type="http://schemas.openxmlformats.org/officeDocument/2006/relationships/hyperlink" Target="mailto:d.halsey@oliverhume.com.au" TargetMode="External"/><Relationship Id="rId1117" Type="http://schemas.openxmlformats.org/officeDocument/2006/relationships/hyperlink" Target="mailto:markd@satterley.com.au" TargetMode="External"/><Relationship Id="rId1324" Type="http://schemas.openxmlformats.org/officeDocument/2006/relationships/hyperlink" Target="mailto:ben@prdballarat.com.au" TargetMode="External"/><Relationship Id="rId1531" Type="http://schemas.openxmlformats.org/officeDocument/2006/relationships/hyperlink" Target="mailto:ian@krpeters.com.au" TargetMode="External"/><Relationship Id="rId1769" Type="http://schemas.openxmlformats.org/officeDocument/2006/relationships/hyperlink" Target="mailto:riverwalk@rpmrealestate.com.au" TargetMode="External"/><Relationship Id="rId1976" Type="http://schemas.openxmlformats.org/officeDocument/2006/relationships/hyperlink" Target="mailto:LVojneska@denniscorp.com.au" TargetMode="External"/><Relationship Id="rId30" Type="http://schemas.openxmlformats.org/officeDocument/2006/relationships/hyperlink" Target="mailto:LVojneska@denniscorp.com.au" TargetMode="External"/><Relationship Id="rId1629" Type="http://schemas.openxmlformats.org/officeDocument/2006/relationships/hyperlink" Target="mailto:kassy@kaikura.com.au" TargetMode="External"/><Relationship Id="rId1836" Type="http://schemas.openxmlformats.org/officeDocument/2006/relationships/hyperlink" Target="mailto:chung@clairmontbanks.com.au" TargetMode="External"/><Relationship Id="rId1903" Type="http://schemas.openxmlformats.org/officeDocument/2006/relationships/hyperlink" Target="mailto:lucy@rpmrealestate.com.au" TargetMode="External"/><Relationship Id="rId2098" Type="http://schemas.openxmlformats.org/officeDocument/2006/relationships/hyperlink" Target="mailto:rachael@kohamproperty.com.au" TargetMode="External"/><Relationship Id="rId3051" Type="http://schemas.openxmlformats.org/officeDocument/2006/relationships/hyperlink" Target="mailto:k.spencer@oliverhume.com.au" TargetMode="External"/><Relationship Id="rId277" Type="http://schemas.openxmlformats.org/officeDocument/2006/relationships/hyperlink" Target="mailto:m.nastic@oliverhume.com.au" TargetMode="External"/><Relationship Id="rId484" Type="http://schemas.openxmlformats.org/officeDocument/2006/relationships/hyperlink" Target="mailto:greg@gblproperty.com" TargetMode="External"/><Relationship Id="rId2165" Type="http://schemas.openxmlformats.org/officeDocument/2006/relationships/hyperlink" Target="mailto:kim.mair@frasersproperty.com.au" TargetMode="External"/><Relationship Id="rId3009" Type="http://schemas.openxmlformats.org/officeDocument/2006/relationships/hyperlink" Target="mailto:heather@kaikura.com.au" TargetMode="External"/><Relationship Id="rId137" Type="http://schemas.openxmlformats.org/officeDocument/2006/relationships/hyperlink" Target="mailto:pennyroyal@rpmrealestate.com.au" TargetMode="External"/><Relationship Id="rId344" Type="http://schemas.openxmlformats.org/officeDocument/2006/relationships/hyperlink" Target="mailto:i.tanti@oliverhume.com.au" TargetMode="External"/><Relationship Id="rId691" Type="http://schemas.openxmlformats.org/officeDocument/2006/relationships/hyperlink" Target="mailto:matthew.petrie@stockland.com.au" TargetMode="External"/><Relationship Id="rId789" Type="http://schemas.openxmlformats.org/officeDocument/2006/relationships/hyperlink" Target="mailto:atherstone@lendlease.com" TargetMode="External"/><Relationship Id="rId996" Type="http://schemas.openxmlformats.org/officeDocument/2006/relationships/hyperlink" Target="mailto:rosenthal@rpmrealestate.com.au" TargetMode="External"/><Relationship Id="rId2025" Type="http://schemas.openxmlformats.org/officeDocument/2006/relationships/hyperlink" Target="mailto:cmccormack@avidpropertygroup.com.au" TargetMode="External"/><Relationship Id="rId2372" Type="http://schemas.openxmlformats.org/officeDocument/2006/relationships/hyperlink" Target="mailto:Jason.bertram@juddwhite.com.au" TargetMode="External"/><Relationship Id="rId2677" Type="http://schemas.openxmlformats.org/officeDocument/2006/relationships/hyperlink" Target="mailto:robert.l@red23.com.au" TargetMode="External"/><Relationship Id="rId2884" Type="http://schemas.openxmlformats.org/officeDocument/2006/relationships/hyperlink" Target="mailto:josephine.borg@stockland.com.au" TargetMode="External"/><Relationship Id="rId551" Type="http://schemas.openxmlformats.org/officeDocument/2006/relationships/hyperlink" Target="mailto:anne.cross@lendlease.com" TargetMode="External"/><Relationship Id="rId649" Type="http://schemas.openxmlformats.org/officeDocument/2006/relationships/hyperlink" Target="mailto:stgermain@rpmrealestate.com.au" TargetMode="External"/><Relationship Id="rId856" Type="http://schemas.openxmlformats.org/officeDocument/2006/relationships/hyperlink" Target="mailto:patrick@wolfdene.com.au" TargetMode="External"/><Relationship Id="rId1181" Type="http://schemas.openxmlformats.org/officeDocument/2006/relationships/hyperlink" Target="mailto:carol.rubidoux@cedarwoods.com.au" TargetMode="External"/><Relationship Id="rId1279" Type="http://schemas.openxmlformats.org/officeDocument/2006/relationships/hyperlink" Target="mailto:steviec@satterley.com.au" TargetMode="External"/><Relationship Id="rId1486" Type="http://schemas.openxmlformats.org/officeDocument/2006/relationships/hyperlink" Target="mailto:arramont@rpmrealestate.com.au" TargetMode="External"/><Relationship Id="rId2232" Type="http://schemas.openxmlformats.org/officeDocument/2006/relationships/hyperlink" Target="mailto:s.datti@oliverhume.com.au" TargetMode="External"/><Relationship Id="rId2537" Type="http://schemas.openxmlformats.org/officeDocument/2006/relationships/hyperlink" Target="mailto:Jason.bertram@juddwhite.com.au" TargetMode="External"/><Relationship Id="rId204" Type="http://schemas.openxmlformats.org/officeDocument/2006/relationships/hyperlink" Target="mailto:anne.cross@lendlease.com" TargetMode="External"/><Relationship Id="rId411" Type="http://schemas.openxmlformats.org/officeDocument/2006/relationships/hyperlink" Target="mailto:colleen.gamble@mirvac.com" TargetMode="External"/><Relationship Id="rId509" Type="http://schemas.openxmlformats.org/officeDocument/2006/relationships/hyperlink" Target="mailto:kassy@kaikura.com.au" TargetMode="External"/><Relationship Id="rId1041" Type="http://schemas.openxmlformats.org/officeDocument/2006/relationships/hyperlink" Target="mailto:chris.walker@stockland.com.au" TargetMode="External"/><Relationship Id="rId1139" Type="http://schemas.openxmlformats.org/officeDocument/2006/relationships/hyperlink" Target="mailto:arnoldscreek.melton@rh.com.au" TargetMode="External"/><Relationship Id="rId1346" Type="http://schemas.openxmlformats.org/officeDocument/2006/relationships/hyperlink" Target="mailto:danny@red23.com.au" TargetMode="External"/><Relationship Id="rId1693" Type="http://schemas.openxmlformats.org/officeDocument/2006/relationships/hyperlink" Target="mailto:Gem@rpmrealestate.com.au" TargetMode="External"/><Relationship Id="rId1998" Type="http://schemas.openxmlformats.org/officeDocument/2006/relationships/hyperlink" Target="mailto:curtis@armstrongrealestate.com.au" TargetMode="External"/><Relationship Id="rId2744" Type="http://schemas.openxmlformats.org/officeDocument/2006/relationships/hyperlink" Target="mailto:josephine.borg@stockland.com.au" TargetMode="External"/><Relationship Id="rId2951" Type="http://schemas.openxmlformats.org/officeDocument/2006/relationships/hyperlink" Target="mailto:d.halsey@oliverhume.com.au" TargetMode="External"/><Relationship Id="rId716" Type="http://schemas.openxmlformats.org/officeDocument/2006/relationships/hyperlink" Target="mailto:jan@catalinapointcook.com.au" TargetMode="External"/><Relationship Id="rId923" Type="http://schemas.openxmlformats.org/officeDocument/2006/relationships/hyperlink" Target="mailto:j.termine@oliverhume.com.au" TargetMode="External"/><Relationship Id="rId1553" Type="http://schemas.openxmlformats.org/officeDocument/2006/relationships/hyperlink" Target="mailto:kassy@kaikura.com.au" TargetMode="External"/><Relationship Id="rId1760" Type="http://schemas.openxmlformats.org/officeDocument/2006/relationships/hyperlink" Target="mailto:robert.l@red23.com.au" TargetMode="External"/><Relationship Id="rId1858" Type="http://schemas.openxmlformats.org/officeDocument/2006/relationships/hyperlink" Target="mailto:jeremy@maxwellcollins.com.au" TargetMode="External"/><Relationship Id="rId2604" Type="http://schemas.openxmlformats.org/officeDocument/2006/relationships/hyperlink" Target="mailto:westwood2@rpmrealestate.com.au" TargetMode="External"/><Relationship Id="rId2811" Type="http://schemas.openxmlformats.org/officeDocument/2006/relationships/hyperlink" Target="mailto:Jstojanovski@coreprojects.com.au" TargetMode="External"/><Relationship Id="rId52" Type="http://schemas.openxmlformats.org/officeDocument/2006/relationships/hyperlink" Target="mailto:Paul.Lynch@stockdaleleggo.com.au" TargetMode="External"/><Relationship Id="rId1206" Type="http://schemas.openxmlformats.org/officeDocument/2006/relationships/hyperlink" Target="mailto:anne.cross@lendlease.com" TargetMode="External"/><Relationship Id="rId1413" Type="http://schemas.openxmlformats.org/officeDocument/2006/relationships/hyperlink" Target="mailto:patrick@wolfdene.com.au" TargetMode="External"/><Relationship Id="rId1620" Type="http://schemas.openxmlformats.org/officeDocument/2006/relationships/hyperlink" Target="mailto:ben@prdballarat.com.au" TargetMode="External"/><Relationship Id="rId2909" Type="http://schemas.openxmlformats.org/officeDocument/2006/relationships/hyperlink" Target="mailto:Laura@parklea.com" TargetMode="External"/><Relationship Id="rId3073" Type="http://schemas.openxmlformats.org/officeDocument/2006/relationships/hyperlink" Target="mailto:kingsfield@rpmrealestate.com.au" TargetMode="External"/><Relationship Id="rId1718" Type="http://schemas.openxmlformats.org/officeDocument/2006/relationships/hyperlink" Target="mailto:sales@brrealestates.com.au" TargetMode="External"/><Relationship Id="rId1925" Type="http://schemas.openxmlformats.org/officeDocument/2006/relationships/hyperlink" Target="mailto:everleysunbury@rpmrealestate.com.au" TargetMode="External"/><Relationship Id="rId299" Type="http://schemas.openxmlformats.org/officeDocument/2006/relationships/hyperlink" Target="mailto:kassy@kaikura.com.au" TargetMode="External"/><Relationship Id="rId2187" Type="http://schemas.openxmlformats.org/officeDocument/2006/relationships/hyperlink" Target="mailto:msharma@coreprojects.com.au" TargetMode="External"/><Relationship Id="rId2394" Type="http://schemas.openxmlformats.org/officeDocument/2006/relationships/hyperlink" Target="mailto:jbentleydevelopments@gmail.com" TargetMode="External"/><Relationship Id="rId159" Type="http://schemas.openxmlformats.org/officeDocument/2006/relationships/hyperlink" Target="mailto:amy.newman@lendlease.com" TargetMode="External"/><Relationship Id="rId366" Type="http://schemas.openxmlformats.org/officeDocument/2006/relationships/hyperlink" Target="mailto:chris.walker@stockland.com.au" TargetMode="External"/><Relationship Id="rId573" Type="http://schemas.openxmlformats.org/officeDocument/2006/relationships/hyperlink" Target="mailto:d.rabba@oliverhume.com.au" TargetMode="External"/><Relationship Id="rId780" Type="http://schemas.openxmlformats.org/officeDocument/2006/relationships/hyperlink" Target="mailto:cpearson@westbrookestate.com.au" TargetMode="External"/><Relationship Id="rId2047" Type="http://schemas.openxmlformats.org/officeDocument/2006/relationships/hyperlink" Target="mailto:creekstone@rpmrealestate.com.au" TargetMode="External"/><Relationship Id="rId2254" Type="http://schemas.openxmlformats.org/officeDocument/2006/relationships/hyperlink" Target="mailto:m.huynh@oliverhume.com.au" TargetMode="External"/><Relationship Id="rId2461" Type="http://schemas.openxmlformats.org/officeDocument/2006/relationships/hyperlink" Target="mailto:arch@lauders.com.au" TargetMode="External"/><Relationship Id="rId2699" Type="http://schemas.openxmlformats.org/officeDocument/2006/relationships/hyperlink" Target="mailto:daniels@lotusliving.com.au" TargetMode="External"/><Relationship Id="rId3000" Type="http://schemas.openxmlformats.org/officeDocument/2006/relationships/hyperlink" Target="mailto:matt@kodeliving.com.au" TargetMode="External"/><Relationship Id="rId226" Type="http://schemas.openxmlformats.org/officeDocument/2006/relationships/hyperlink" Target="mailto:j.termine@oliverhume.com.au" TargetMode="External"/><Relationship Id="rId433" Type="http://schemas.openxmlformats.org/officeDocument/2006/relationships/hyperlink" Target="mailto:markd@satterley.com.au" TargetMode="External"/><Relationship Id="rId878" Type="http://schemas.openxmlformats.org/officeDocument/2006/relationships/hyperlink" Target="mailto:thornhillpark@rpmrealestate.com.au" TargetMode="External"/><Relationship Id="rId1063" Type="http://schemas.openxmlformats.org/officeDocument/2006/relationships/hyperlink" Target="mailto:khoa@wolfdene.com.au" TargetMode="External"/><Relationship Id="rId1270" Type="http://schemas.openxmlformats.org/officeDocument/2006/relationships/hyperlink" Target="mailto:thornhillpark@rpmrealestate.com.au" TargetMode="External"/><Relationship Id="rId2114" Type="http://schemas.openxmlformats.org/officeDocument/2006/relationships/hyperlink" Target="mailto:lilium@villaworld.com.au" TargetMode="External"/><Relationship Id="rId2559" Type="http://schemas.openxmlformats.org/officeDocument/2006/relationships/hyperlink" Target="mailto:jason@red23.com.au" TargetMode="External"/><Relationship Id="rId2766" Type="http://schemas.openxmlformats.org/officeDocument/2006/relationships/hyperlink" Target="mailto:everleysunbury@rpmrealestate.com.au" TargetMode="External"/><Relationship Id="rId2973" Type="http://schemas.openxmlformats.org/officeDocument/2006/relationships/hyperlink" Target="mailto:s.datti@oliverhume.com.au" TargetMode="External"/><Relationship Id="rId640" Type="http://schemas.openxmlformats.org/officeDocument/2006/relationships/hyperlink" Target="mailto:cpearson@westbrookestate.com.au" TargetMode="External"/><Relationship Id="rId738" Type="http://schemas.openxmlformats.org/officeDocument/2006/relationships/hyperlink" Target="mailto:jeremy@maxwellcollins.com.au" TargetMode="External"/><Relationship Id="rId945" Type="http://schemas.openxmlformats.org/officeDocument/2006/relationships/hyperlink" Target="mailto:LVojneska@denniscorp.com.au" TargetMode="External"/><Relationship Id="rId1368" Type="http://schemas.openxmlformats.org/officeDocument/2006/relationships/hyperlink" Target="mailto:jan@trijena.com.au" TargetMode="External"/><Relationship Id="rId1575" Type="http://schemas.openxmlformats.org/officeDocument/2006/relationships/hyperlink" Target="mailto:matthew@vhls.net.au" TargetMode="External"/><Relationship Id="rId1782" Type="http://schemas.openxmlformats.org/officeDocument/2006/relationships/hyperlink" Target="mailto:rosenthal@rpmrealestate.com.au" TargetMode="External"/><Relationship Id="rId2321" Type="http://schemas.openxmlformats.org/officeDocument/2006/relationships/hyperlink" Target="mailto:info@willowspringsland.com.au" TargetMode="External"/><Relationship Id="rId2419" Type="http://schemas.openxmlformats.org/officeDocument/2006/relationships/hyperlink" Target="mailto:jbird@barryplant.com.au" TargetMode="External"/><Relationship Id="rId2626" Type="http://schemas.openxmlformats.org/officeDocument/2006/relationships/hyperlink" Target="mailto:oliverhume@oliverhume.com.au" TargetMode="External"/><Relationship Id="rId2833" Type="http://schemas.openxmlformats.org/officeDocument/2006/relationships/hyperlink" Target="mailto:claraplace@cedarwoods.com.au" TargetMode="External"/><Relationship Id="rId74" Type="http://schemas.openxmlformats.org/officeDocument/2006/relationships/hyperlink" Target="mailto:ann@emerldparktarneit.com.au" TargetMode="External"/><Relationship Id="rId500" Type="http://schemas.openxmlformats.org/officeDocument/2006/relationships/hyperlink" Target="mailto:markd@satterley.com.au" TargetMode="External"/><Relationship Id="rId805" Type="http://schemas.openxmlformats.org/officeDocument/2006/relationships/hyperlink" Target="mailto:patrick@wolfdene.com.au" TargetMode="External"/><Relationship Id="rId1130" Type="http://schemas.openxmlformats.org/officeDocument/2006/relationships/hyperlink" Target="mailto:Eliston@rpmrealestate.com.au" TargetMode="External"/><Relationship Id="rId1228" Type="http://schemas.openxmlformats.org/officeDocument/2006/relationships/hyperlink" Target="mailto:sonia@hillviews.com.au" TargetMode="External"/><Relationship Id="rId1435" Type="http://schemas.openxmlformats.org/officeDocument/2006/relationships/hyperlink" Target="mailto:botanical@satterley.com.au" TargetMode="External"/><Relationship Id="rId1642" Type="http://schemas.openxmlformats.org/officeDocument/2006/relationships/hyperlink" Target="mailto:richard@wyndhamre.com.au" TargetMode="External"/><Relationship Id="rId1947" Type="http://schemas.openxmlformats.org/officeDocument/2006/relationships/hyperlink" Target="mailto:nataliep@wofldene.com.au" TargetMode="External"/><Relationship Id="rId2900" Type="http://schemas.openxmlformats.org/officeDocument/2006/relationships/hyperlink" Target="mailto:kingsfield@rpmrealestate.com.au" TargetMode="External"/><Relationship Id="rId3095" Type="http://schemas.openxmlformats.org/officeDocument/2006/relationships/hyperlink" Target="mailto:wyndhamgardens@jrdapprovals.com.au" TargetMode="External"/><Relationship Id="rId1502" Type="http://schemas.openxmlformats.org/officeDocument/2006/relationships/hyperlink" Target="mailto:riverwalk@rpmrealestate.com.au" TargetMode="External"/><Relationship Id="rId1807" Type="http://schemas.openxmlformats.org/officeDocument/2006/relationships/hyperlink" Target="mailto:m.morris@oliverhume.com.au" TargetMode="External"/><Relationship Id="rId290" Type="http://schemas.openxmlformats.org/officeDocument/2006/relationships/hyperlink" Target="mailto:Jason.Hynek@stockland.com.au" TargetMode="External"/><Relationship Id="rId388" Type="http://schemas.openxmlformats.org/officeDocument/2006/relationships/hyperlink" Target="mailto:riverdalevillage@latituderealestate.com.au" TargetMode="External"/><Relationship Id="rId2069" Type="http://schemas.openxmlformats.org/officeDocument/2006/relationships/hyperlink" Target="mailto:jan@trijena.com.au" TargetMode="External"/><Relationship Id="rId3022" Type="http://schemas.openxmlformats.org/officeDocument/2006/relationships/hyperlink" Target="mailto:m.huynh@oliverhume.com.au" TargetMode="External"/><Relationship Id="rId150" Type="http://schemas.openxmlformats.org/officeDocument/2006/relationships/hyperlink" Target="mailto:n.harb@oliverhume.com.au" TargetMode="External"/><Relationship Id="rId595" Type="http://schemas.openxmlformats.org/officeDocument/2006/relationships/hyperlink" Target="mailto:markd@satterley.com.au" TargetMode="External"/><Relationship Id="rId2276" Type="http://schemas.openxmlformats.org/officeDocument/2006/relationships/hyperlink" Target="mailto:arramont@rpmrealestate.com.au" TargetMode="External"/><Relationship Id="rId2483" Type="http://schemas.openxmlformats.org/officeDocument/2006/relationships/hyperlink" Target="mailto:bhalsall@buxton.com.au" TargetMode="External"/><Relationship Id="rId2690" Type="http://schemas.openxmlformats.org/officeDocument/2006/relationships/hyperlink" Target="mailto:ben@prdballarat.com.au" TargetMode="External"/><Relationship Id="rId248" Type="http://schemas.openxmlformats.org/officeDocument/2006/relationships/hyperlink" Target="mailto:kassy@kaikura.com.au" TargetMode="External"/><Relationship Id="rId455" Type="http://schemas.openxmlformats.org/officeDocument/2006/relationships/hyperlink" Target="mailto:HaiN@centralequity.com.au" TargetMode="External"/><Relationship Id="rId662" Type="http://schemas.openxmlformats.org/officeDocument/2006/relationships/hyperlink" Target="mailto:a.kundevski@oliverhume.com.au" TargetMode="External"/><Relationship Id="rId1085" Type="http://schemas.openxmlformats.org/officeDocument/2006/relationships/hyperlink" Target="mailto:jan@catalinapointcook.com.au" TargetMode="External"/><Relationship Id="rId1292" Type="http://schemas.openxmlformats.org/officeDocument/2006/relationships/hyperlink" Target="mailto:vivienne@red23.com.au" TargetMode="External"/><Relationship Id="rId2136" Type="http://schemas.openxmlformats.org/officeDocument/2006/relationships/hyperlink" Target="mailto:rosenthal@rpmrealestate.com.au" TargetMode="External"/><Relationship Id="rId2343" Type="http://schemas.openxmlformats.org/officeDocument/2006/relationships/hyperlink" Target="mailto:oliverhume@oliverhume.com.au" TargetMode="External"/><Relationship Id="rId2550" Type="http://schemas.openxmlformats.org/officeDocument/2006/relationships/hyperlink" Target="mailto:LVojneska@denniscorp.com.au" TargetMode="External"/><Relationship Id="rId2788" Type="http://schemas.openxmlformats.org/officeDocument/2006/relationships/hyperlink" Target="mailto:chris.walker@stockland.com.au" TargetMode="External"/><Relationship Id="rId2995" Type="http://schemas.openxmlformats.org/officeDocument/2006/relationships/hyperlink" Target="mailto:sgraffeo@coreprojects.com.au" TargetMode="External"/><Relationship Id="rId108" Type="http://schemas.openxmlformats.org/officeDocument/2006/relationships/hyperlink" Target="mailto:ann@riverinarise.com.au" TargetMode="External"/><Relationship Id="rId315" Type="http://schemas.openxmlformats.org/officeDocument/2006/relationships/hyperlink" Target="mailto:atherstone@lendlease.com" TargetMode="External"/><Relationship Id="rId522" Type="http://schemas.openxmlformats.org/officeDocument/2006/relationships/hyperlink" Target="mailto:k.spencer@oliverhume.com.au" TargetMode="External"/><Relationship Id="rId967" Type="http://schemas.openxmlformats.org/officeDocument/2006/relationships/hyperlink" Target="mailto:sara.lowe@eigdevelopments.com.au" TargetMode="External"/><Relationship Id="rId1152" Type="http://schemas.openxmlformats.org/officeDocument/2006/relationships/hyperlink" Target="mailto:sales@florianliving.com.au" TargetMode="External"/><Relationship Id="rId1597" Type="http://schemas.openxmlformats.org/officeDocument/2006/relationships/hyperlink" Target="mailto:jason.bailes@peet.com.au" TargetMode="External"/><Relationship Id="rId2203" Type="http://schemas.openxmlformats.org/officeDocument/2006/relationships/hyperlink" Target="mailto:sales@bisinella.com.au" TargetMode="External"/><Relationship Id="rId2410" Type="http://schemas.openxmlformats.org/officeDocument/2006/relationships/hyperlink" Target="mailto:rob@wolfdene.com.au" TargetMode="External"/><Relationship Id="rId2648" Type="http://schemas.openxmlformats.org/officeDocument/2006/relationships/hyperlink" Target="mailto:sales@ooranyaestate.com.au" TargetMode="External"/><Relationship Id="rId2855" Type="http://schemas.openxmlformats.org/officeDocument/2006/relationships/hyperlink" Target="mailto:cpearson@westbrookestate.com.au" TargetMode="External"/><Relationship Id="rId96" Type="http://schemas.openxmlformats.org/officeDocument/2006/relationships/hyperlink" Target="mailto:miloss@satterley.com.au" TargetMode="External"/><Relationship Id="rId827" Type="http://schemas.openxmlformats.org/officeDocument/2006/relationships/hyperlink" Target="mailto:angelo.granata@peet.com.au" TargetMode="External"/><Relationship Id="rId1012" Type="http://schemas.openxmlformats.org/officeDocument/2006/relationships/hyperlink" Target="mailto:thornhillpark@rpmrealestate.com.au" TargetMode="External"/><Relationship Id="rId1457" Type="http://schemas.openxmlformats.org/officeDocument/2006/relationships/hyperlink" Target="mailto:samm@rpmrealestate.com.au" TargetMode="External"/><Relationship Id="rId1664" Type="http://schemas.openxmlformats.org/officeDocument/2006/relationships/hyperlink" Target="mailto:r.miric@oliverhume.com.au" TargetMode="External"/><Relationship Id="rId1871" Type="http://schemas.openxmlformats.org/officeDocument/2006/relationships/hyperlink" Target="mailto:sales@aldoestate.com.au" TargetMode="External"/><Relationship Id="rId2508" Type="http://schemas.openxmlformats.org/officeDocument/2006/relationships/hyperlink" Target="mailto:t.leggatt@oliverhume.com.au" TargetMode="External"/><Relationship Id="rId2715" Type="http://schemas.openxmlformats.org/officeDocument/2006/relationships/hyperlink" Target="mailto:luke@goldfieldsgroup.com.au" TargetMode="External"/><Relationship Id="rId2922" Type="http://schemas.openxmlformats.org/officeDocument/2006/relationships/hyperlink" Target="mailto:jason@red23.com.au" TargetMode="External"/><Relationship Id="rId1317" Type="http://schemas.openxmlformats.org/officeDocument/2006/relationships/hyperlink" Target="mailto:ann@emerldparktarneit.com.au" TargetMode="External"/><Relationship Id="rId1524" Type="http://schemas.openxmlformats.org/officeDocument/2006/relationships/hyperlink" Target="mailto:lucy@rpmrealestate.com.au" TargetMode="External"/><Relationship Id="rId1731" Type="http://schemas.openxmlformats.org/officeDocument/2006/relationships/hyperlink" Target="mailto:lreynolds@avidpropertygroup.com.au" TargetMode="External"/><Relationship Id="rId1969" Type="http://schemas.openxmlformats.org/officeDocument/2006/relationships/hyperlink" Target="mailto:shaas@hockingstuart.com.au" TargetMode="External"/><Relationship Id="rId23" Type="http://schemas.openxmlformats.org/officeDocument/2006/relationships/hyperlink" Target="mailto:tulliallan@rpmrealestate.com.au" TargetMode="External"/><Relationship Id="rId1829" Type="http://schemas.openxmlformats.org/officeDocument/2006/relationships/hyperlink" Target="mailto:angelo.granata@peet.com.au" TargetMode="External"/><Relationship Id="rId2298" Type="http://schemas.openxmlformats.org/officeDocument/2006/relationships/hyperlink" Target="mailto:khoa@wolfdene.com.au" TargetMode="External"/><Relationship Id="rId3044" Type="http://schemas.openxmlformats.org/officeDocument/2006/relationships/hyperlink" Target="mailto:k.spencer@oliverhume.com.au" TargetMode="External"/><Relationship Id="rId172" Type="http://schemas.openxmlformats.org/officeDocument/2006/relationships/hyperlink" Target="mailto:riverwalk@rpmrealestate.com.au" TargetMode="External"/><Relationship Id="rId477" Type="http://schemas.openxmlformats.org/officeDocument/2006/relationships/hyperlink" Target="mailto:andy@red23.com.au" TargetMode="External"/><Relationship Id="rId684" Type="http://schemas.openxmlformats.org/officeDocument/2006/relationships/hyperlink" Target="mailto:sales@ambervue.com.au" TargetMode="External"/><Relationship Id="rId2060" Type="http://schemas.openxmlformats.org/officeDocument/2006/relationships/hyperlink" Target="mailto:jan@catalinapointcook.com.au" TargetMode="External"/><Relationship Id="rId2158" Type="http://schemas.openxmlformats.org/officeDocument/2006/relationships/hyperlink" Target="mailto:angelo.granata@peet.com.au" TargetMode="External"/><Relationship Id="rId2365" Type="http://schemas.openxmlformats.org/officeDocument/2006/relationships/hyperlink" Target="mailto:miloss@satterley.com.au" TargetMode="External"/><Relationship Id="rId3111" Type="http://schemas.openxmlformats.org/officeDocument/2006/relationships/hyperlink" Target="mailto:m.Huynh@oliverhume.com.au" TargetMode="External"/><Relationship Id="rId337" Type="http://schemas.openxmlformats.org/officeDocument/2006/relationships/hyperlink" Target="mailto:pennyroyal@rpmrealestate.com.au" TargetMode="External"/><Relationship Id="rId891" Type="http://schemas.openxmlformats.org/officeDocument/2006/relationships/hyperlink" Target="mailto:tim@costaland.com.au" TargetMode="External"/><Relationship Id="rId989" Type="http://schemas.openxmlformats.org/officeDocument/2006/relationships/hyperlink" Target="mailto:thornhillpark@rpmrealestate.com.au" TargetMode="External"/><Relationship Id="rId2018" Type="http://schemas.openxmlformats.org/officeDocument/2006/relationships/hyperlink" Target="mailto:ann@emerldparktarneit.com.au" TargetMode="External"/><Relationship Id="rId2572" Type="http://schemas.openxmlformats.org/officeDocument/2006/relationships/hyperlink" Target="mailto:monica.quaresima@stockland.com.au" TargetMode="External"/><Relationship Id="rId2877" Type="http://schemas.openxmlformats.org/officeDocument/2006/relationships/hyperlink" Target="mailto:Kim.Mair@fraserproperty.com.au" TargetMode="External"/><Relationship Id="rId544" Type="http://schemas.openxmlformats.org/officeDocument/2006/relationships/hyperlink" Target="mailto:sales@brrealestates.com.au" TargetMode="External"/><Relationship Id="rId751" Type="http://schemas.openxmlformats.org/officeDocument/2006/relationships/hyperlink" Target="mailto:jason@bpg.com.au" TargetMode="External"/><Relationship Id="rId849" Type="http://schemas.openxmlformats.org/officeDocument/2006/relationships/hyperlink" Target="mailto:lilium@villaworld.com.au" TargetMode="External"/><Relationship Id="rId1174" Type="http://schemas.openxmlformats.org/officeDocument/2006/relationships/hyperlink" Target="mailto:approval@ngdd.com.au" TargetMode="External"/><Relationship Id="rId1381" Type="http://schemas.openxmlformats.org/officeDocument/2006/relationships/hyperlink" Target="mailto:ashwin.sethi@stockland.com.au" TargetMode="External"/><Relationship Id="rId1479" Type="http://schemas.openxmlformats.org/officeDocument/2006/relationships/hyperlink" Target="mailto:bhalsall@buxton.com.au" TargetMode="External"/><Relationship Id="rId1686" Type="http://schemas.openxmlformats.org/officeDocument/2006/relationships/hyperlink" Target="mailto:daniel.lock@mirvac.com" TargetMode="External"/><Relationship Id="rId2225" Type="http://schemas.openxmlformats.org/officeDocument/2006/relationships/hyperlink" Target="mailto:info@costaland.com.au" TargetMode="External"/><Relationship Id="rId2432" Type="http://schemas.openxmlformats.org/officeDocument/2006/relationships/hyperlink" Target="mailto:everleysunbury@rpmrealestate.com.au" TargetMode="External"/><Relationship Id="rId404" Type="http://schemas.openxmlformats.org/officeDocument/2006/relationships/hyperlink" Target="mailto:Jason.Hynek@stockland.com.au" TargetMode="External"/><Relationship Id="rId611" Type="http://schemas.openxmlformats.org/officeDocument/2006/relationships/hyperlink" Target="mailto:lreynolds@avidpropertygroup.com.au" TargetMode="External"/><Relationship Id="rId1034" Type="http://schemas.openxmlformats.org/officeDocument/2006/relationships/hyperlink" Target="mailto:beau.c@spiregroup.net.au" TargetMode="External"/><Relationship Id="rId1241" Type="http://schemas.openxmlformats.org/officeDocument/2006/relationships/hyperlink" Target="mailto:thuyen@bpg.com.au" TargetMode="External"/><Relationship Id="rId1339" Type="http://schemas.openxmlformats.org/officeDocument/2006/relationships/hyperlink" Target="mailto:rbhardwaj@coreprojects.com.au" TargetMode="External"/><Relationship Id="rId1893" Type="http://schemas.openxmlformats.org/officeDocument/2006/relationships/hyperlink" Target="mailto:ann@emerldparktarneit.com.au" TargetMode="External"/><Relationship Id="rId2737" Type="http://schemas.openxmlformats.org/officeDocument/2006/relationships/hyperlink" Target="mailto:wayne@oceangroverealestate.com.au" TargetMode="External"/><Relationship Id="rId2944" Type="http://schemas.openxmlformats.org/officeDocument/2006/relationships/hyperlink" Target="mailto:GRACE@OLIVERHUME.COM.AU" TargetMode="External"/><Relationship Id="rId709" Type="http://schemas.openxmlformats.org/officeDocument/2006/relationships/hyperlink" Target="mailto:frank@red23.com.au" TargetMode="External"/><Relationship Id="rId916" Type="http://schemas.openxmlformats.org/officeDocument/2006/relationships/hyperlink" Target="mailto:carol.rubidoux@cedarwoods.com.au" TargetMode="External"/><Relationship Id="rId1101" Type="http://schemas.openxmlformats.org/officeDocument/2006/relationships/hyperlink" Target="mailto:dthomson@hockingstuart.com.au" TargetMode="External"/><Relationship Id="rId1546" Type="http://schemas.openxmlformats.org/officeDocument/2006/relationships/hyperlink" Target="mailto:dspiteri@hermitagehomes.com.au" TargetMode="External"/><Relationship Id="rId1753" Type="http://schemas.openxmlformats.org/officeDocument/2006/relationships/hyperlink" Target="mailto:will.munro@raywhite.com" TargetMode="External"/><Relationship Id="rId1960" Type="http://schemas.openxmlformats.org/officeDocument/2006/relationships/hyperlink" Target="mailto:alira@rpmrealestate.com.au" TargetMode="External"/><Relationship Id="rId2804" Type="http://schemas.openxmlformats.org/officeDocument/2006/relationships/hyperlink" Target="mailto:sgraffeo@coreprojects.com.au" TargetMode="External"/><Relationship Id="rId45" Type="http://schemas.openxmlformats.org/officeDocument/2006/relationships/hyperlink" Target="mailto:info@kingsleigh.com.au" TargetMode="External"/><Relationship Id="rId1406" Type="http://schemas.openxmlformats.org/officeDocument/2006/relationships/hyperlink" Target="mailto:cpearson@westbrookestate.com.au" TargetMode="External"/><Relationship Id="rId1613" Type="http://schemas.openxmlformats.org/officeDocument/2006/relationships/hyperlink" Target="mailto:botanical@satterley.com.au" TargetMode="External"/><Relationship Id="rId1820" Type="http://schemas.openxmlformats.org/officeDocument/2006/relationships/hyperlink" Target="mailto:carol.rubidoux@cedarwoods.com.au" TargetMode="External"/><Relationship Id="rId3066" Type="http://schemas.openxmlformats.org/officeDocument/2006/relationships/hyperlink" Target="mailto:daniel.lock@mirvac.com" TargetMode="External"/><Relationship Id="rId194" Type="http://schemas.openxmlformats.org/officeDocument/2006/relationships/hyperlink" Target="mailto:miloss@satterley.com.au" TargetMode="External"/><Relationship Id="rId1918" Type="http://schemas.openxmlformats.org/officeDocument/2006/relationships/hyperlink" Target="mailto:ian@krpeters.com.au" TargetMode="External"/><Relationship Id="rId2082" Type="http://schemas.openxmlformats.org/officeDocument/2006/relationships/hyperlink" Target="mailto:anne.cross@lendlease.com" TargetMode="External"/><Relationship Id="rId261" Type="http://schemas.openxmlformats.org/officeDocument/2006/relationships/hyperlink" Target="mailto:jan@catalinapointcook.com.au" TargetMode="External"/><Relationship Id="rId499" Type="http://schemas.openxmlformats.org/officeDocument/2006/relationships/hyperlink" Target="mailto:k.spencer@oliverhume.com.au" TargetMode="External"/><Relationship Id="rId2387" Type="http://schemas.openxmlformats.org/officeDocument/2006/relationships/hyperlink" Target="mailto:mandalay@rpmrealestate.com.au" TargetMode="External"/><Relationship Id="rId2594" Type="http://schemas.openxmlformats.org/officeDocument/2006/relationships/hyperlink" Target="mailto:creekstone@rpmrealestate.com.au" TargetMode="External"/><Relationship Id="rId359" Type="http://schemas.openxmlformats.org/officeDocument/2006/relationships/hyperlink" Target="mailto:tulliallan@rpmrealestate.com.au" TargetMode="External"/><Relationship Id="rId566" Type="http://schemas.openxmlformats.org/officeDocument/2006/relationships/hyperlink" Target="mailto:chris.walker@stockland.com.au" TargetMode="External"/><Relationship Id="rId773" Type="http://schemas.openxmlformats.org/officeDocument/2006/relationships/hyperlink" Target="mailto:daniels@lotusliving.com.au" TargetMode="External"/><Relationship Id="rId1196" Type="http://schemas.openxmlformats.org/officeDocument/2006/relationships/hyperlink" Target="mailto:chris.walker@stockland.com.au" TargetMode="External"/><Relationship Id="rId2247" Type="http://schemas.openxmlformats.org/officeDocument/2006/relationships/hyperlink" Target="mailto:rivulet@rpmrealestate.com.au" TargetMode="External"/><Relationship Id="rId2454" Type="http://schemas.openxmlformats.org/officeDocument/2006/relationships/hyperlink" Target="mailto:Jason.bertram@juddwhite.com.au" TargetMode="External"/><Relationship Id="rId2899" Type="http://schemas.openxmlformats.org/officeDocument/2006/relationships/hyperlink" Target="mailto:info@birchmoregroup.com.au" TargetMode="External"/><Relationship Id="rId121" Type="http://schemas.openxmlformats.org/officeDocument/2006/relationships/hyperlink" Target="mailto:steviec@satterley.com.au" TargetMode="External"/><Relationship Id="rId219" Type="http://schemas.openxmlformats.org/officeDocument/2006/relationships/hyperlink" Target="mailto:stgermain@rpmrealestate.com.au" TargetMode="External"/><Relationship Id="rId426" Type="http://schemas.openxmlformats.org/officeDocument/2006/relationships/hyperlink" Target="mailto:stgermain@rpmrealestate.com.au" TargetMode="External"/><Relationship Id="rId633" Type="http://schemas.openxmlformats.org/officeDocument/2006/relationships/hyperlink" Target="mailto:mareeh.drysdale@ljh.com.au" TargetMode="External"/><Relationship Id="rId980" Type="http://schemas.openxmlformats.org/officeDocument/2006/relationships/hyperlink" Target="mailto:cpearson@westbrookestate.com.au" TargetMode="External"/><Relationship Id="rId1056" Type="http://schemas.openxmlformats.org/officeDocument/2006/relationships/hyperlink" Target="mailto:t.kerr@oliverhume.com.au" TargetMode="External"/><Relationship Id="rId1263" Type="http://schemas.openxmlformats.org/officeDocument/2006/relationships/hyperlink" Target="mailto:dspiteri@hermitagehomes.com.au" TargetMode="External"/><Relationship Id="rId2107" Type="http://schemas.openxmlformats.org/officeDocument/2006/relationships/hyperlink" Target="mailto:info@costaland.com.au" TargetMode="External"/><Relationship Id="rId2314" Type="http://schemas.openxmlformats.org/officeDocument/2006/relationships/hyperlink" Target="mailto:admin@woodlea.com.au" TargetMode="External"/><Relationship Id="rId2661" Type="http://schemas.openxmlformats.org/officeDocument/2006/relationships/hyperlink" Target="mailto:jason@red23.com.au" TargetMode="External"/><Relationship Id="rId2759" Type="http://schemas.openxmlformats.org/officeDocument/2006/relationships/hyperlink" Target="mailto:shobson@coreprojects.com.au" TargetMode="External"/><Relationship Id="rId2966" Type="http://schemas.openxmlformats.org/officeDocument/2006/relationships/hyperlink" Target="mailto:shobson@coreprojects.com.au" TargetMode="External"/><Relationship Id="rId840" Type="http://schemas.openxmlformats.org/officeDocument/2006/relationships/hyperlink" Target="mailto:sales@bisinella.com.au" TargetMode="External"/><Relationship Id="rId938" Type="http://schemas.openxmlformats.org/officeDocument/2006/relationships/hyperlink" Target="mailto:d.rabba@oliverhume.com.au" TargetMode="External"/><Relationship Id="rId1470" Type="http://schemas.openxmlformats.org/officeDocument/2006/relationships/hyperlink" Target="mailto:riverhills@rpmrealestate.com.au" TargetMode="External"/><Relationship Id="rId1568" Type="http://schemas.openxmlformats.org/officeDocument/2006/relationships/hyperlink" Target="mailto:shobson@coreprojects.com.au" TargetMode="External"/><Relationship Id="rId1775" Type="http://schemas.openxmlformats.org/officeDocument/2006/relationships/hyperlink" Target="mailto:arramont@rpmrealestate.com.au" TargetMode="External"/><Relationship Id="rId2521" Type="http://schemas.openxmlformats.org/officeDocument/2006/relationships/hyperlink" Target="mailto:josephine.borg@stockland.com.au" TargetMode="External"/><Relationship Id="rId2619" Type="http://schemas.openxmlformats.org/officeDocument/2006/relationships/hyperlink" Target="mailto:thuyen@bpg.com.au" TargetMode="External"/><Relationship Id="rId2826" Type="http://schemas.openxmlformats.org/officeDocument/2006/relationships/hyperlink" Target="mailto:sales@ooranyaestate.com.au" TargetMode="External"/><Relationship Id="rId67" Type="http://schemas.openxmlformats.org/officeDocument/2006/relationships/hyperlink" Target="mailto:everton@rpmrealestate.com.au" TargetMode="External"/><Relationship Id="rId700" Type="http://schemas.openxmlformats.org/officeDocument/2006/relationships/hyperlink" Target="mailto:admin@woodlea.com.au" TargetMode="External"/><Relationship Id="rId1123" Type="http://schemas.openxmlformats.org/officeDocument/2006/relationships/hyperlink" Target="mailto:shaas@hockingstuart.com.au" TargetMode="External"/><Relationship Id="rId1330" Type="http://schemas.openxmlformats.org/officeDocument/2006/relationships/hyperlink" Target="mailto:Emma.Nelson@peet.com.au" TargetMode="External"/><Relationship Id="rId1428" Type="http://schemas.openxmlformats.org/officeDocument/2006/relationships/hyperlink" Target="mailto:rosenthal@rpmrealestate.com.au" TargetMode="External"/><Relationship Id="rId1635" Type="http://schemas.openxmlformats.org/officeDocument/2006/relationships/hyperlink" Target="mailto:amy.newman@lendlease.com" TargetMode="External"/><Relationship Id="rId1982" Type="http://schemas.openxmlformats.org/officeDocument/2006/relationships/hyperlink" Target="mailto:lilium@villaworld.com.au" TargetMode="External"/><Relationship Id="rId3088" Type="http://schemas.openxmlformats.org/officeDocument/2006/relationships/hyperlink" Target="mailto:matt@wprci.com.au" TargetMode="External"/><Relationship Id="rId1842" Type="http://schemas.openxmlformats.org/officeDocument/2006/relationships/hyperlink" Target="mailto:bob@latituderealestate.com.au" TargetMode="External"/><Relationship Id="rId1702" Type="http://schemas.openxmlformats.org/officeDocument/2006/relationships/hyperlink" Target="mailto:s.fuss@oliverhume.com.au" TargetMode="External"/><Relationship Id="rId283" Type="http://schemas.openxmlformats.org/officeDocument/2006/relationships/hyperlink" Target="mailto:daniels@lotusliving.com.au" TargetMode="External"/><Relationship Id="rId490" Type="http://schemas.openxmlformats.org/officeDocument/2006/relationships/hyperlink" Target="mailto:melanie@red23.com" TargetMode="External"/><Relationship Id="rId2171" Type="http://schemas.openxmlformats.org/officeDocument/2006/relationships/hyperlink" Target="mailto:shane.ruffin@bisinella.com.au" TargetMode="External"/><Relationship Id="rId3015" Type="http://schemas.openxmlformats.org/officeDocument/2006/relationships/hyperlink" Target="mailto:admin@woodlea.com.au" TargetMode="External"/><Relationship Id="rId143" Type="http://schemas.openxmlformats.org/officeDocument/2006/relationships/hyperlink" Target="mailto:annadale@rpmrealestate.com.au" TargetMode="External"/><Relationship Id="rId350" Type="http://schemas.openxmlformats.org/officeDocument/2006/relationships/hyperlink" Target="mailto:sales@belmondclyde.com.au" TargetMode="External"/><Relationship Id="rId588" Type="http://schemas.openxmlformats.org/officeDocument/2006/relationships/hyperlink" Target="mailto:z.stojanovski@oliverhume.com.au" TargetMode="External"/><Relationship Id="rId795" Type="http://schemas.openxmlformats.org/officeDocument/2006/relationships/hyperlink" Target="mailto:stonehill@rpmrealestate.com.au" TargetMode="External"/><Relationship Id="rId2031" Type="http://schemas.openxmlformats.org/officeDocument/2006/relationships/hyperlink" Target="mailto:van.ritchie@yourland.com" TargetMode="External"/><Relationship Id="rId2269" Type="http://schemas.openxmlformats.org/officeDocument/2006/relationships/hyperlink" Target="mailto:Courtney.tattersall@peet.com.au" TargetMode="External"/><Relationship Id="rId2476" Type="http://schemas.openxmlformats.org/officeDocument/2006/relationships/hyperlink" Target="mailto:westwood2@rpmrealestate.com.au" TargetMode="External"/><Relationship Id="rId2683" Type="http://schemas.openxmlformats.org/officeDocument/2006/relationships/hyperlink" Target="mailto:louise.varigos@eview.com.au" TargetMode="External"/><Relationship Id="rId2890" Type="http://schemas.openxmlformats.org/officeDocument/2006/relationships/hyperlink" Target="mailto:i.tanti@oliverhume.com.au" TargetMode="External"/><Relationship Id="rId9" Type="http://schemas.openxmlformats.org/officeDocument/2006/relationships/hyperlink" Target="mailto:ted@wolfdene.com.au" TargetMode="External"/><Relationship Id="rId210" Type="http://schemas.openxmlformats.org/officeDocument/2006/relationships/hyperlink" Target="mailto:drokka@core-projects.com.au" TargetMode="External"/><Relationship Id="rId448" Type="http://schemas.openxmlformats.org/officeDocument/2006/relationships/hyperlink" Target="mailto:wayne@oceangroverealestate.com.au" TargetMode="External"/><Relationship Id="rId655" Type="http://schemas.openxmlformats.org/officeDocument/2006/relationships/hyperlink" Target="mailto:centralealk@oliverhume.com.au" TargetMode="External"/><Relationship Id="rId862" Type="http://schemas.openxmlformats.org/officeDocument/2006/relationships/hyperlink" Target="mailto:m.nastic@oliverhume.com.au" TargetMode="External"/><Relationship Id="rId1078" Type="http://schemas.openxmlformats.org/officeDocument/2006/relationships/hyperlink" Target="mailto:Dhouse@villaworld.com.au" TargetMode="External"/><Relationship Id="rId1285" Type="http://schemas.openxmlformats.org/officeDocument/2006/relationships/hyperlink" Target="mailto:thornhillpark@rpmrealestate.com.au" TargetMode="External"/><Relationship Id="rId1492" Type="http://schemas.openxmlformats.org/officeDocument/2006/relationships/hyperlink" Target="mailto:stonehill@rpmrealestate.com.au" TargetMode="External"/><Relationship Id="rId2129" Type="http://schemas.openxmlformats.org/officeDocument/2006/relationships/hyperlink" Target="mailto:everton@rpmrealestate.com.au" TargetMode="External"/><Relationship Id="rId2336" Type="http://schemas.openxmlformats.org/officeDocument/2006/relationships/hyperlink" Target="mailto:rob.polec@denniscorp.com.au" TargetMode="External"/><Relationship Id="rId2543" Type="http://schemas.openxmlformats.org/officeDocument/2006/relationships/hyperlink" Target="mailto:gabey@coreprojects.com.au" TargetMode="External"/><Relationship Id="rId2750" Type="http://schemas.openxmlformats.org/officeDocument/2006/relationships/hyperlink" Target="mailto:steviec@satterley.com.au" TargetMode="External"/><Relationship Id="rId2988" Type="http://schemas.openxmlformats.org/officeDocument/2006/relationships/hyperlink" Target="mailto:austin@latituderealestate.com.au" TargetMode="External"/><Relationship Id="rId308" Type="http://schemas.openxmlformats.org/officeDocument/2006/relationships/hyperlink" Target="mailto:riverwalk@rpmrealestate.com.au" TargetMode="External"/><Relationship Id="rId515" Type="http://schemas.openxmlformats.org/officeDocument/2006/relationships/hyperlink" Target="mailto:jbosancic@brightonpropertygroup.com.au" TargetMode="External"/><Relationship Id="rId722" Type="http://schemas.openxmlformats.org/officeDocument/2006/relationships/hyperlink" Target="mailto:d.halsey@oliverhume.com.au" TargetMode="External"/><Relationship Id="rId1145" Type="http://schemas.openxmlformats.org/officeDocument/2006/relationships/hyperlink" Target="mailto:chris.walker@stockland.com.au" TargetMode="External"/><Relationship Id="rId1352" Type="http://schemas.openxmlformats.org/officeDocument/2006/relationships/hyperlink" Target="mailto:nataliep@wofldene.com.au" TargetMode="External"/><Relationship Id="rId1797" Type="http://schemas.openxmlformats.org/officeDocument/2006/relationships/hyperlink" Target="mailto:ann@emerldparktarneit.com.au" TargetMode="External"/><Relationship Id="rId2403" Type="http://schemas.openxmlformats.org/officeDocument/2006/relationships/hyperlink" Target="mailto:brett@winterset.com.au" TargetMode="External"/><Relationship Id="rId2848" Type="http://schemas.openxmlformats.org/officeDocument/2006/relationships/hyperlink" Target="mailto:jason@red23.com.au" TargetMode="External"/><Relationship Id="rId89" Type="http://schemas.openxmlformats.org/officeDocument/2006/relationships/hyperlink" Target="mailto:ben@prdballarat.com.au" TargetMode="External"/><Relationship Id="rId1005" Type="http://schemas.openxmlformats.org/officeDocument/2006/relationships/hyperlink" Target="mailto:mai.tran@mywindermere.com.au" TargetMode="External"/><Relationship Id="rId1212" Type="http://schemas.openxmlformats.org/officeDocument/2006/relationships/hyperlink" Target="mailto:arch@lauders.com.au" TargetMode="External"/><Relationship Id="rId1657" Type="http://schemas.openxmlformats.org/officeDocument/2006/relationships/hyperlink" Target="mailto:arramont@rpmrealestate.com.au" TargetMode="External"/><Relationship Id="rId1864" Type="http://schemas.openxmlformats.org/officeDocument/2006/relationships/hyperlink" Target="mailto:westwood2@rpmrealestate.com.au" TargetMode="External"/><Relationship Id="rId2610" Type="http://schemas.openxmlformats.org/officeDocument/2006/relationships/hyperlink" Target="mailto:thereserve@rpmrealestate.com.au" TargetMode="External"/><Relationship Id="rId2708" Type="http://schemas.openxmlformats.org/officeDocument/2006/relationships/hyperlink" Target="mailto:daniels@lotusliving.com.au" TargetMode="External"/><Relationship Id="rId2915" Type="http://schemas.openxmlformats.org/officeDocument/2006/relationships/hyperlink" Target="mailto:dennis.rabba@growland.com.au" TargetMode="External"/><Relationship Id="rId1517" Type="http://schemas.openxmlformats.org/officeDocument/2006/relationships/hyperlink" Target="mailto:chris.walker@stockland.com.au" TargetMode="External"/><Relationship Id="rId1724" Type="http://schemas.openxmlformats.org/officeDocument/2006/relationships/hyperlink" Target="mailto:thuyen@bpg.com.au" TargetMode="External"/><Relationship Id="rId16" Type="http://schemas.openxmlformats.org/officeDocument/2006/relationships/hyperlink" Target="mailto:info@banriar.com.au" TargetMode="External"/><Relationship Id="rId1931" Type="http://schemas.openxmlformats.org/officeDocument/2006/relationships/hyperlink" Target="mailto:oliverhume@oliverhume.com.au" TargetMode="External"/><Relationship Id="rId3037" Type="http://schemas.openxmlformats.org/officeDocument/2006/relationships/hyperlink" Target="mailto:LVojneska@denniscorp.com.au" TargetMode="External"/><Relationship Id="rId2193" Type="http://schemas.openxmlformats.org/officeDocument/2006/relationships/hyperlink" Target="mailto:shobson@coreprojects.com.au" TargetMode="External"/><Relationship Id="rId2498" Type="http://schemas.openxmlformats.org/officeDocument/2006/relationships/hyperlink" Target="mailto:sharee@maxwellcollins.com.au" TargetMode="External"/><Relationship Id="rId165" Type="http://schemas.openxmlformats.org/officeDocument/2006/relationships/hyperlink" Target="mailto:daniels@lotusliving.com.au" TargetMode="External"/><Relationship Id="rId372" Type="http://schemas.openxmlformats.org/officeDocument/2006/relationships/hyperlink" Target="mailto:Rothwell@rpmrealestate.com.au" TargetMode="External"/><Relationship Id="rId677" Type="http://schemas.openxmlformats.org/officeDocument/2006/relationships/hyperlink" Target="mailto:d.rabba@oliverhume.com.au" TargetMode="External"/><Relationship Id="rId2053" Type="http://schemas.openxmlformats.org/officeDocument/2006/relationships/hyperlink" Target="mailto:creekstone@rpmrealestate.com.au" TargetMode="External"/><Relationship Id="rId2260" Type="http://schemas.openxmlformats.org/officeDocument/2006/relationships/hyperlink" Target="mailto:daniel.lock@mirvac.com" TargetMode="External"/><Relationship Id="rId2358" Type="http://schemas.openxmlformats.org/officeDocument/2006/relationships/hyperlink" Target="mailto:Jstojanovski@coreprojects.com.au" TargetMode="External"/><Relationship Id="rId3104" Type="http://schemas.openxmlformats.org/officeDocument/2006/relationships/hyperlink" Target="mailto:b.ellis@oliverhume.com.au" TargetMode="External"/><Relationship Id="rId232" Type="http://schemas.openxmlformats.org/officeDocument/2006/relationships/hyperlink" Target="mailto:angelo.granata@peet.com.au" TargetMode="External"/><Relationship Id="rId884" Type="http://schemas.openxmlformats.org/officeDocument/2006/relationships/hyperlink" Target="mailto:daniels@lotusliving.com.au" TargetMode="External"/><Relationship Id="rId2120" Type="http://schemas.openxmlformats.org/officeDocument/2006/relationships/hyperlink" Target="mailto:luke@goldfieldsgroup.com.au" TargetMode="External"/><Relationship Id="rId2565" Type="http://schemas.openxmlformats.org/officeDocument/2006/relationships/hyperlink" Target="mailto:admin@woodlea.com.au" TargetMode="External"/><Relationship Id="rId2772" Type="http://schemas.openxmlformats.org/officeDocument/2006/relationships/hyperlink" Target="mailto:lilian.fierro-martinez@cedarwoods.com.au" TargetMode="External"/><Relationship Id="rId537" Type="http://schemas.openxmlformats.org/officeDocument/2006/relationships/hyperlink" Target="mailto:riverdalevillage@latituderealestate.com.au" TargetMode="External"/><Relationship Id="rId744" Type="http://schemas.openxmlformats.org/officeDocument/2006/relationships/hyperlink" Target="mailto:jlow@core-projects.com.au" TargetMode="External"/><Relationship Id="rId951" Type="http://schemas.openxmlformats.org/officeDocument/2006/relationships/hyperlink" Target="mailto:westwood2@rpmrealestate.com.au" TargetMode="External"/><Relationship Id="rId1167" Type="http://schemas.openxmlformats.org/officeDocument/2006/relationships/hyperlink" Target="mailto:nataliep@wofldene.com.au" TargetMode="External"/><Relationship Id="rId1374" Type="http://schemas.openxmlformats.org/officeDocument/2006/relationships/hyperlink" Target="mailto:tonys@maxbrown.com.au" TargetMode="External"/><Relationship Id="rId1581" Type="http://schemas.openxmlformats.org/officeDocument/2006/relationships/hyperlink" Target="mailto:enquires@heritagerise.com.au" TargetMode="External"/><Relationship Id="rId1679" Type="http://schemas.openxmlformats.org/officeDocument/2006/relationships/hyperlink" Target="mailto:jan@trijena.com.au" TargetMode="External"/><Relationship Id="rId2218" Type="http://schemas.openxmlformats.org/officeDocument/2006/relationships/hyperlink" Target="mailto:kevin@vhls.net.au" TargetMode="External"/><Relationship Id="rId2425" Type="http://schemas.openxmlformats.org/officeDocument/2006/relationships/hyperlink" Target="mailto:jessica.hammond@stockland.com.au" TargetMode="External"/><Relationship Id="rId2632" Type="http://schemas.openxmlformats.org/officeDocument/2006/relationships/hyperlink" Target="mailto:Kim.Mair@fraserproperty.com.au" TargetMode="External"/><Relationship Id="rId80" Type="http://schemas.openxmlformats.org/officeDocument/2006/relationships/hyperlink" Target="mailto:Georgie@evolve.com.au" TargetMode="External"/><Relationship Id="rId604" Type="http://schemas.openxmlformats.org/officeDocument/2006/relationships/hyperlink" Target="mailto:kassy@kaikura.com.au" TargetMode="External"/><Relationship Id="rId811" Type="http://schemas.openxmlformats.org/officeDocument/2006/relationships/hyperlink" Target="mailto:mandalay@rpmrealestate.com.au" TargetMode="External"/><Relationship Id="rId1027" Type="http://schemas.openxmlformats.org/officeDocument/2006/relationships/hyperlink" Target="mailto:riverwalk@rpmrealestate.com.au" TargetMode="External"/><Relationship Id="rId1234" Type="http://schemas.openxmlformats.org/officeDocument/2006/relationships/hyperlink" Target="mailto:kassy@kaikura.com.au" TargetMode="External"/><Relationship Id="rId1441" Type="http://schemas.openxmlformats.org/officeDocument/2006/relationships/hyperlink" Target="mailto:steviec@satterley.com.au" TargetMode="External"/><Relationship Id="rId1886" Type="http://schemas.openxmlformats.org/officeDocument/2006/relationships/hyperlink" Target="mailto:sharee@maxwellcollins.com.au" TargetMode="External"/><Relationship Id="rId2937" Type="http://schemas.openxmlformats.org/officeDocument/2006/relationships/hyperlink" Target="mailto:jan@catalinapointcook.com.au" TargetMode="External"/><Relationship Id="rId909" Type="http://schemas.openxmlformats.org/officeDocument/2006/relationships/hyperlink" Target="mailto:jake@red23.com.au" TargetMode="External"/><Relationship Id="rId1301" Type="http://schemas.openxmlformats.org/officeDocument/2006/relationships/hyperlink" Target="mailto:atherstone@lendlease.com" TargetMode="External"/><Relationship Id="rId1539" Type="http://schemas.openxmlformats.org/officeDocument/2006/relationships/hyperlink" Target="mailto:segu.majid@gmail.com" TargetMode="External"/><Relationship Id="rId1746" Type="http://schemas.openxmlformats.org/officeDocument/2006/relationships/hyperlink" Target="mailto:ben@prdballarat.com.au" TargetMode="External"/><Relationship Id="rId1953" Type="http://schemas.openxmlformats.org/officeDocument/2006/relationships/hyperlink" Target="mailto:jason@red23.com.au" TargetMode="External"/><Relationship Id="rId38" Type="http://schemas.openxmlformats.org/officeDocument/2006/relationships/hyperlink" Target="mailto:jlow@core-projects.com.au" TargetMode="External"/><Relationship Id="rId1606" Type="http://schemas.openxmlformats.org/officeDocument/2006/relationships/hyperlink" Target="mailto:d.halsey@oliverhume.com.au" TargetMode="External"/><Relationship Id="rId1813" Type="http://schemas.openxmlformats.org/officeDocument/2006/relationships/hyperlink" Target="mailto:matthew@vhls.net.au" TargetMode="External"/><Relationship Id="rId3059" Type="http://schemas.openxmlformats.org/officeDocument/2006/relationships/hyperlink" Target="mailto:travis@gullgroup.com.au" TargetMode="External"/><Relationship Id="rId187" Type="http://schemas.openxmlformats.org/officeDocument/2006/relationships/hyperlink" Target="mailto:freddy@freddyrealty.com.au" TargetMode="External"/><Relationship Id="rId394" Type="http://schemas.openxmlformats.org/officeDocument/2006/relationships/hyperlink" Target="mailto:sales@belmondclyde.com.au" TargetMode="External"/><Relationship Id="rId2075" Type="http://schemas.openxmlformats.org/officeDocument/2006/relationships/hyperlink" Target="mailto:mai.tran@mywindermere.com.au" TargetMode="External"/><Relationship Id="rId2282" Type="http://schemas.openxmlformats.org/officeDocument/2006/relationships/hyperlink" Target="mailto:k.spencer@oliverhume.com.au" TargetMode="External"/><Relationship Id="rId254" Type="http://schemas.openxmlformats.org/officeDocument/2006/relationships/hyperlink" Target="mailto:freddy@freddyrealty.com.au" TargetMode="External"/><Relationship Id="rId699" Type="http://schemas.openxmlformats.org/officeDocument/2006/relationships/hyperlink" Target="mailto:annadale@rpmrealestate.com.au" TargetMode="External"/><Relationship Id="rId1091" Type="http://schemas.openxmlformats.org/officeDocument/2006/relationships/hyperlink" Target="mailto:jason@red23.com.au" TargetMode="External"/><Relationship Id="rId2587" Type="http://schemas.openxmlformats.org/officeDocument/2006/relationships/hyperlink" Target="mailto:dennis.rabba@growland.com.au" TargetMode="External"/><Relationship Id="rId2794" Type="http://schemas.openxmlformats.org/officeDocument/2006/relationships/hyperlink" Target="mailto:admin@woodlea.com.au" TargetMode="External"/><Relationship Id="rId114" Type="http://schemas.openxmlformats.org/officeDocument/2006/relationships/hyperlink" Target="mailto:ted@wolfdene.com.au" TargetMode="External"/><Relationship Id="rId461" Type="http://schemas.openxmlformats.org/officeDocument/2006/relationships/hyperlink" Target="mailto:matthew.petrie@stockland.com.au" TargetMode="External"/><Relationship Id="rId559" Type="http://schemas.openxmlformats.org/officeDocument/2006/relationships/hyperlink" Target="mailto:markd@satterley.com.au" TargetMode="External"/><Relationship Id="rId766" Type="http://schemas.openxmlformats.org/officeDocument/2006/relationships/hyperlink" Target="mailto:t.ogrady@oliverhume.com.au" TargetMode="External"/><Relationship Id="rId1189" Type="http://schemas.openxmlformats.org/officeDocument/2006/relationships/hyperlink" Target="mailto:GRACE@OLIVERHUME.COM.AU" TargetMode="External"/><Relationship Id="rId1396" Type="http://schemas.openxmlformats.org/officeDocument/2006/relationships/hyperlink" Target="mailto:jason.bailes@peet.com.au" TargetMode="External"/><Relationship Id="rId2142" Type="http://schemas.openxmlformats.org/officeDocument/2006/relationships/hyperlink" Target="mailto:jacqueline@goldengroup.com.au" TargetMode="External"/><Relationship Id="rId2447" Type="http://schemas.openxmlformats.org/officeDocument/2006/relationships/hyperlink" Target="mailto:admin@woodlea.com.au" TargetMode="External"/><Relationship Id="rId321" Type="http://schemas.openxmlformats.org/officeDocument/2006/relationships/hyperlink" Target="mailto:b.ellis@oliverhume.com.au" TargetMode="External"/><Relationship Id="rId419" Type="http://schemas.openxmlformats.org/officeDocument/2006/relationships/hyperlink" Target="mailto:atherstone@lendlease.com" TargetMode="External"/><Relationship Id="rId626" Type="http://schemas.openxmlformats.org/officeDocument/2006/relationships/hyperlink" Target="mailto:Mohit.Kumar@peet.com.au" TargetMode="External"/><Relationship Id="rId973" Type="http://schemas.openxmlformats.org/officeDocument/2006/relationships/hyperlink" Target="mailto:westwood2@rpmrealestate.com.au" TargetMode="External"/><Relationship Id="rId1049" Type="http://schemas.openxmlformats.org/officeDocument/2006/relationships/hyperlink" Target="mailto:LVojneska@denniscorp.com.au" TargetMode="External"/><Relationship Id="rId1256" Type="http://schemas.openxmlformats.org/officeDocument/2006/relationships/hyperlink" Target="mailto:rosenthal@rpmrealestate.com.au" TargetMode="External"/><Relationship Id="rId2002" Type="http://schemas.openxmlformats.org/officeDocument/2006/relationships/hyperlink" Target="mailto:daniel.lock@mirvac.com" TargetMode="External"/><Relationship Id="rId2307" Type="http://schemas.openxmlformats.org/officeDocument/2006/relationships/hyperlink" Target="mailto:steviec@satterley.com.au" TargetMode="External"/><Relationship Id="rId2654" Type="http://schemas.openxmlformats.org/officeDocument/2006/relationships/hyperlink" Target="mailto:n.harb@oliverhume.com.au" TargetMode="External"/><Relationship Id="rId2861" Type="http://schemas.openxmlformats.org/officeDocument/2006/relationships/hyperlink" Target="mailto:alira@rpmrealestate.com.au" TargetMode="External"/><Relationship Id="rId2959" Type="http://schemas.openxmlformats.org/officeDocument/2006/relationships/hyperlink" Target="mailto:dspiteri@hermitagehomes.com.au" TargetMode="External"/><Relationship Id="rId833" Type="http://schemas.openxmlformats.org/officeDocument/2006/relationships/hyperlink" Target="mailto:arramont@rpmrealestate.com.au" TargetMode="External"/><Relationship Id="rId1116" Type="http://schemas.openxmlformats.org/officeDocument/2006/relationships/hyperlink" Target="mailto:nic@merndaonthepark.com.au" TargetMode="External"/><Relationship Id="rId1463" Type="http://schemas.openxmlformats.org/officeDocument/2006/relationships/hyperlink" Target="mailto:patrick@wolfdene.com.au" TargetMode="External"/><Relationship Id="rId1670" Type="http://schemas.openxmlformats.org/officeDocument/2006/relationships/hyperlink" Target="mailto:simon@maxwellcollins.com.au" TargetMode="External"/><Relationship Id="rId1768" Type="http://schemas.openxmlformats.org/officeDocument/2006/relationships/hyperlink" Target="mailto:khewitt@hockingstuart.com.au" TargetMode="External"/><Relationship Id="rId2514" Type="http://schemas.openxmlformats.org/officeDocument/2006/relationships/hyperlink" Target="mailto:info@tycoonestate.com.au" TargetMode="External"/><Relationship Id="rId2721" Type="http://schemas.openxmlformats.org/officeDocument/2006/relationships/hyperlink" Target="mailto:LVojneska@denniscorp.com.au" TargetMode="External"/><Relationship Id="rId2819" Type="http://schemas.openxmlformats.org/officeDocument/2006/relationships/hyperlink" Target="mailto:monica.quaresima@stockland.com.au" TargetMode="External"/><Relationship Id="rId900" Type="http://schemas.openxmlformats.org/officeDocument/2006/relationships/hyperlink" Target="mailto:LVojneska@denniscorp.com.au" TargetMode="External"/><Relationship Id="rId1323" Type="http://schemas.openxmlformats.org/officeDocument/2006/relationships/hyperlink" Target="mailto:Rothwell@rpmrealestate.com.au" TargetMode="External"/><Relationship Id="rId1530" Type="http://schemas.openxmlformats.org/officeDocument/2006/relationships/hyperlink" Target="mailto:phil@lcooper.com.au" TargetMode="External"/><Relationship Id="rId1628" Type="http://schemas.openxmlformats.org/officeDocument/2006/relationships/hyperlink" Target="mailto:n.harb@oliverhume.com.au" TargetMode="External"/><Relationship Id="rId1975" Type="http://schemas.openxmlformats.org/officeDocument/2006/relationships/hyperlink" Target="mailto:williamswalk@villawoodproperties.com" TargetMode="External"/><Relationship Id="rId1835" Type="http://schemas.openxmlformats.org/officeDocument/2006/relationships/hyperlink" Target="mailto:info@kohamproperty.com.au" TargetMode="External"/><Relationship Id="rId3050" Type="http://schemas.openxmlformats.org/officeDocument/2006/relationships/hyperlink" Target="mailto:anne.cross@lendlease.com" TargetMode="External"/><Relationship Id="rId1902" Type="http://schemas.openxmlformats.org/officeDocument/2006/relationships/hyperlink" Target="mailto:atherstone@lendlease.com" TargetMode="External"/><Relationship Id="rId2097" Type="http://schemas.openxmlformats.org/officeDocument/2006/relationships/hyperlink" Target="mailto:k.spencer@oliverhume.com.au" TargetMode="External"/><Relationship Id="rId276" Type="http://schemas.openxmlformats.org/officeDocument/2006/relationships/hyperlink" Target="mailto:annadale@rpmrealestate.com.au" TargetMode="External"/><Relationship Id="rId483" Type="http://schemas.openxmlformats.org/officeDocument/2006/relationships/hyperlink" Target="mailto:ashwin.sethi@stockland.com.au" TargetMode="External"/><Relationship Id="rId690" Type="http://schemas.openxmlformats.org/officeDocument/2006/relationships/hyperlink" Target="mailto:avishnoi@coreprojects.com.au" TargetMode="External"/><Relationship Id="rId2164" Type="http://schemas.openxmlformats.org/officeDocument/2006/relationships/hyperlink" Target="mailto:amy.newman@lendlease.com" TargetMode="External"/><Relationship Id="rId2371" Type="http://schemas.openxmlformats.org/officeDocument/2006/relationships/hyperlink" Target="mailto:lreynolds@avidpropertygroup.com.au" TargetMode="External"/><Relationship Id="rId3008" Type="http://schemas.openxmlformats.org/officeDocument/2006/relationships/hyperlink" Target="mailto:rosenthal@rpmrealestate.com.au" TargetMode="External"/><Relationship Id="rId136" Type="http://schemas.openxmlformats.org/officeDocument/2006/relationships/hyperlink" Target="mailto:Adam@red23.com.au" TargetMode="External"/><Relationship Id="rId343" Type="http://schemas.openxmlformats.org/officeDocument/2006/relationships/hyperlink" Target="mailto:ted@wolfdene.com.au" TargetMode="External"/><Relationship Id="rId550" Type="http://schemas.openxmlformats.org/officeDocument/2006/relationships/hyperlink" Target="mailto:thuyen@bpg.com.au" TargetMode="External"/><Relationship Id="rId788" Type="http://schemas.openxmlformats.org/officeDocument/2006/relationships/hyperlink" Target="mailto:kassy@kaikura.com.au" TargetMode="External"/><Relationship Id="rId995" Type="http://schemas.openxmlformats.org/officeDocument/2006/relationships/hyperlink" Target="mailto:will.munro@raywhite.com" TargetMode="External"/><Relationship Id="rId1180" Type="http://schemas.openxmlformats.org/officeDocument/2006/relationships/hyperlink" Target="mailto:mandalay@rpmrealestate.com.au" TargetMode="External"/><Relationship Id="rId2024" Type="http://schemas.openxmlformats.org/officeDocument/2006/relationships/hyperlink" Target="mailto:ian@krpeters.com.au" TargetMode="External"/><Relationship Id="rId2231" Type="http://schemas.openxmlformats.org/officeDocument/2006/relationships/hyperlink" Target="mailto:s.datti@oliverhume.com.au" TargetMode="External"/><Relationship Id="rId2469" Type="http://schemas.openxmlformats.org/officeDocument/2006/relationships/hyperlink" Target="mailto:brett@winterset.com.au" TargetMode="External"/><Relationship Id="rId2676" Type="http://schemas.openxmlformats.org/officeDocument/2006/relationships/hyperlink" Target="mailto:sharee@maxwellcollins.com.au" TargetMode="External"/><Relationship Id="rId2883" Type="http://schemas.openxmlformats.org/officeDocument/2006/relationships/hyperlink" Target="mailto:austin@latituderealestate.com.au" TargetMode="External"/><Relationship Id="rId203" Type="http://schemas.openxmlformats.org/officeDocument/2006/relationships/hyperlink" Target="mailto:anne.cross@lendlease.com" TargetMode="External"/><Relationship Id="rId648" Type="http://schemas.openxmlformats.org/officeDocument/2006/relationships/hyperlink" Target="mailto:wynbrook@rpmrealestate.com.au" TargetMode="External"/><Relationship Id="rId855" Type="http://schemas.openxmlformats.org/officeDocument/2006/relationships/hyperlink" Target="mailto:ashwin.sethi@stockland.com.au" TargetMode="External"/><Relationship Id="rId1040" Type="http://schemas.openxmlformats.org/officeDocument/2006/relationships/hyperlink" Target="mailto:greg@gblproperty.com" TargetMode="External"/><Relationship Id="rId1278" Type="http://schemas.openxmlformats.org/officeDocument/2006/relationships/hyperlink" Target="mailto:chris.walker@stockland.com.au" TargetMode="External"/><Relationship Id="rId1485" Type="http://schemas.openxmlformats.org/officeDocument/2006/relationships/hyperlink" Target="mailto:info@banriar.com.au" TargetMode="External"/><Relationship Id="rId1692" Type="http://schemas.openxmlformats.org/officeDocument/2006/relationships/hyperlink" Target="mailto:dennis.rabba@growland.com.au" TargetMode="External"/><Relationship Id="rId2329" Type="http://schemas.openxmlformats.org/officeDocument/2006/relationships/hyperlink" Target="mailto:matt@wprci.com.au" TargetMode="External"/><Relationship Id="rId2536" Type="http://schemas.openxmlformats.org/officeDocument/2006/relationships/hyperlink" Target="mailto:andy@red23.com.au" TargetMode="External"/><Relationship Id="rId2743" Type="http://schemas.openxmlformats.org/officeDocument/2006/relationships/hyperlink" Target="mailto:botanicridge@rpmrealestate.com.au" TargetMode="External"/><Relationship Id="rId410" Type="http://schemas.openxmlformats.org/officeDocument/2006/relationships/hyperlink" Target="mailto:markd@satterley.com.au" TargetMode="External"/><Relationship Id="rId508" Type="http://schemas.openxmlformats.org/officeDocument/2006/relationships/hyperlink" Target="mailto:pennyroyal@rpmrealestate.com.au" TargetMode="External"/><Relationship Id="rId715" Type="http://schemas.openxmlformats.org/officeDocument/2006/relationships/hyperlink" Target="mailto:botanical@satterley.com.au" TargetMode="External"/><Relationship Id="rId922" Type="http://schemas.openxmlformats.org/officeDocument/2006/relationships/hyperlink" Target="mailto:sales@northgategreenvale.com.au" TargetMode="External"/><Relationship Id="rId1138" Type="http://schemas.openxmlformats.org/officeDocument/2006/relationships/hyperlink" Target="mailto:arnoldscreek.melton@rh.com.au" TargetMode="External"/><Relationship Id="rId1345" Type="http://schemas.openxmlformats.org/officeDocument/2006/relationships/hyperlink" Target="mailto:alira@rpmrealestate.com.au" TargetMode="External"/><Relationship Id="rId1552" Type="http://schemas.openxmlformats.org/officeDocument/2006/relationships/hyperlink" Target="mailto:atherstone@lendlease.com" TargetMode="External"/><Relationship Id="rId1997" Type="http://schemas.openxmlformats.org/officeDocument/2006/relationships/hyperlink" Target="mailto:shane@candappafn.com.au" TargetMode="External"/><Relationship Id="rId2603" Type="http://schemas.openxmlformats.org/officeDocument/2006/relationships/hyperlink" Target="mailto:m.nastic@oliverhume.com.au" TargetMode="External"/><Relationship Id="rId2950" Type="http://schemas.openxmlformats.org/officeDocument/2006/relationships/hyperlink" Target="mailto:antoniorimi@moremac.com.au" TargetMode="External"/><Relationship Id="rId1205" Type="http://schemas.openxmlformats.org/officeDocument/2006/relationships/hyperlink" Target="mailto:manzeene@rpmrealestate.com.au" TargetMode="External"/><Relationship Id="rId1857" Type="http://schemas.openxmlformats.org/officeDocument/2006/relationships/hyperlink" Target="mailto:wynbrook@rpmrealestate.com.au" TargetMode="External"/><Relationship Id="rId2810" Type="http://schemas.openxmlformats.org/officeDocument/2006/relationships/hyperlink" Target="mailto:t.leggatt@oliverhume.com.au" TargetMode="External"/><Relationship Id="rId2908" Type="http://schemas.openxmlformats.org/officeDocument/2006/relationships/hyperlink" Target="mailto:lilian.fierro-martinez@cedarwoods.com.au" TargetMode="External"/><Relationship Id="rId51" Type="http://schemas.openxmlformats.org/officeDocument/2006/relationships/hyperlink" Target="mailto:Paul.Lynch@stockdaleleggo.com.au" TargetMode="External"/><Relationship Id="rId1412" Type="http://schemas.openxmlformats.org/officeDocument/2006/relationships/hyperlink" Target="mailto:simon@maxwellcollins.com.au" TargetMode="External"/><Relationship Id="rId1717" Type="http://schemas.openxmlformats.org/officeDocument/2006/relationships/hyperlink" Target="mailto:s.fuss@oliverhume.com.au" TargetMode="External"/><Relationship Id="rId1924" Type="http://schemas.openxmlformats.org/officeDocument/2006/relationships/hyperlink" Target="mailto:thuyen.nguyen@growland.com.au" TargetMode="External"/><Relationship Id="rId3072" Type="http://schemas.openxmlformats.org/officeDocument/2006/relationships/hyperlink" Target="mailto:archi@advantagepropertygroup.com.au" TargetMode="External"/><Relationship Id="rId298" Type="http://schemas.openxmlformats.org/officeDocument/2006/relationships/hyperlink" Target="mailto:amy.newman@lendlease.com" TargetMode="External"/><Relationship Id="rId158" Type="http://schemas.openxmlformats.org/officeDocument/2006/relationships/hyperlink" Target="mailto:amy.newman@lendlease.com" TargetMode="External"/><Relationship Id="rId2186" Type="http://schemas.openxmlformats.org/officeDocument/2006/relationships/hyperlink" Target="mailto:melanie@red23.com" TargetMode="External"/><Relationship Id="rId2393" Type="http://schemas.openxmlformats.org/officeDocument/2006/relationships/hyperlink" Target="mailto:Courtney.tattersall@peet.com.au" TargetMode="External"/><Relationship Id="rId2698" Type="http://schemas.openxmlformats.org/officeDocument/2006/relationships/hyperlink" Target="mailto:sales@parkviewlara.com.au" TargetMode="External"/><Relationship Id="rId365" Type="http://schemas.openxmlformats.org/officeDocument/2006/relationships/hyperlink" Target="mailto:kingsfield@rpmrealestate.com.au" TargetMode="External"/><Relationship Id="rId572" Type="http://schemas.openxmlformats.org/officeDocument/2006/relationships/hyperlink" Target="mailto:patrick@wolfdene.com.au" TargetMode="External"/><Relationship Id="rId2046" Type="http://schemas.openxmlformats.org/officeDocument/2006/relationships/hyperlink" Target="mailto:creekstone@rpmrealestate.com.au" TargetMode="External"/><Relationship Id="rId2253" Type="http://schemas.openxmlformats.org/officeDocument/2006/relationships/hyperlink" Target="mailto:info@balmoralestate.com.au" TargetMode="External"/><Relationship Id="rId2460" Type="http://schemas.openxmlformats.org/officeDocument/2006/relationships/hyperlink" Target="mailto:admin@woodlea.com.au" TargetMode="External"/><Relationship Id="rId225" Type="http://schemas.openxmlformats.org/officeDocument/2006/relationships/hyperlink" Target="mailto:z.stojanovski@oliverhume.com.au" TargetMode="External"/><Relationship Id="rId432" Type="http://schemas.openxmlformats.org/officeDocument/2006/relationships/hyperlink" Target="mailto:Janet.Skinner@peet.com.au" TargetMode="External"/><Relationship Id="rId877" Type="http://schemas.openxmlformats.org/officeDocument/2006/relationships/hyperlink" Target="mailto:nataliep@wofldene.com.au" TargetMode="External"/><Relationship Id="rId1062" Type="http://schemas.openxmlformats.org/officeDocument/2006/relationships/hyperlink" Target="mailto:t.anderson@oliverhume.com.au" TargetMode="External"/><Relationship Id="rId2113" Type="http://schemas.openxmlformats.org/officeDocument/2006/relationships/hyperlink" Target="mailto:jessica.hammond@stockland.com.au" TargetMode="External"/><Relationship Id="rId2320" Type="http://schemas.openxmlformats.org/officeDocument/2006/relationships/hyperlink" Target="mailto:info@willowspringsland.com.au" TargetMode="External"/><Relationship Id="rId2558" Type="http://schemas.openxmlformats.org/officeDocument/2006/relationships/hyperlink" Target="mailto:d.halsey@oliverhume.com.au" TargetMode="External"/><Relationship Id="rId2765" Type="http://schemas.openxmlformats.org/officeDocument/2006/relationships/hyperlink" Target="mailto:k.spencer@oliverhume.com.au" TargetMode="External"/><Relationship Id="rId2972" Type="http://schemas.openxmlformats.org/officeDocument/2006/relationships/hyperlink" Target="mailto:sales@drouinfields.com.au" TargetMode="External"/><Relationship Id="rId737" Type="http://schemas.openxmlformats.org/officeDocument/2006/relationships/hyperlink" Target="mailto:kassy@kaikura.com.au" TargetMode="External"/><Relationship Id="rId944" Type="http://schemas.openxmlformats.org/officeDocument/2006/relationships/hyperlink" Target="mailto:LVojneska@denniscorp.com.au" TargetMode="External"/><Relationship Id="rId1367" Type="http://schemas.openxmlformats.org/officeDocument/2006/relationships/hyperlink" Target="mailto:austin@latituderealestate.com.au" TargetMode="External"/><Relationship Id="rId1574" Type="http://schemas.openxmlformats.org/officeDocument/2006/relationships/hyperlink" Target="mailto:Adam@red23.com.au" TargetMode="External"/><Relationship Id="rId1781" Type="http://schemas.openxmlformats.org/officeDocument/2006/relationships/hyperlink" Target="mailto:n.harb@oliverhume.com.au" TargetMode="External"/><Relationship Id="rId2418" Type="http://schemas.openxmlformats.org/officeDocument/2006/relationships/hyperlink" Target="mailto:rebecca@parklea.com" TargetMode="External"/><Relationship Id="rId2625" Type="http://schemas.openxmlformats.org/officeDocument/2006/relationships/hyperlink" Target="mailto:n.harb@oliverhume.com.au" TargetMode="External"/><Relationship Id="rId2832" Type="http://schemas.openxmlformats.org/officeDocument/2006/relationships/hyperlink" Target="mailto:claraplace@cedarwoods.com.au" TargetMode="External"/><Relationship Id="rId73" Type="http://schemas.openxmlformats.org/officeDocument/2006/relationships/hyperlink" Target="mailto:ann@emerldparktarneit.com.au" TargetMode="External"/><Relationship Id="rId804" Type="http://schemas.openxmlformats.org/officeDocument/2006/relationships/hyperlink" Target="mailto:LVojneska@denniscorp.com.au" TargetMode="External"/><Relationship Id="rId1227" Type="http://schemas.openxmlformats.org/officeDocument/2006/relationships/hyperlink" Target="mailto:greg@gblproperty.com" TargetMode="External"/><Relationship Id="rId1434" Type="http://schemas.openxmlformats.org/officeDocument/2006/relationships/hyperlink" Target="mailto:david@charleslloyd.com.au" TargetMode="External"/><Relationship Id="rId1641" Type="http://schemas.openxmlformats.org/officeDocument/2006/relationships/hyperlink" Target="mailto:richard@wyndhamre.com.au" TargetMode="External"/><Relationship Id="rId1879" Type="http://schemas.openxmlformats.org/officeDocument/2006/relationships/hyperlink" Target="mailto:jason@red23.com.au" TargetMode="External"/><Relationship Id="rId3094" Type="http://schemas.openxmlformats.org/officeDocument/2006/relationships/hyperlink" Target="mailto:rishav@rpmgroup.com.au" TargetMode="External"/><Relationship Id="rId1501" Type="http://schemas.openxmlformats.org/officeDocument/2006/relationships/hyperlink" Target="mailto:greg@gblproperty.com" TargetMode="External"/><Relationship Id="rId1739" Type="http://schemas.openxmlformats.org/officeDocument/2006/relationships/hyperlink" Target="mailto:luke@integragroup.com.au" TargetMode="External"/><Relationship Id="rId1946" Type="http://schemas.openxmlformats.org/officeDocument/2006/relationships/hyperlink" Target="mailto:manzeene@rpmrealestate.com.au" TargetMode="External"/><Relationship Id="rId1806" Type="http://schemas.openxmlformats.org/officeDocument/2006/relationships/hyperlink" Target="mailto:botanical@satterley.com.au" TargetMode="External"/><Relationship Id="rId387" Type="http://schemas.openxmlformats.org/officeDocument/2006/relationships/hyperlink" Target="mailto:David.maloney@frasers.com.au" TargetMode="External"/><Relationship Id="rId594" Type="http://schemas.openxmlformats.org/officeDocument/2006/relationships/hyperlink" Target="mailto:angelo.granata@peet.com.au" TargetMode="External"/><Relationship Id="rId2068" Type="http://schemas.openxmlformats.org/officeDocument/2006/relationships/hyperlink" Target="mailto:shane.ruffin@bisinella.com.au" TargetMode="External"/><Relationship Id="rId2275" Type="http://schemas.openxmlformats.org/officeDocument/2006/relationships/hyperlink" Target="mailto:r.newman@oliverhume.com.au" TargetMode="External"/><Relationship Id="rId3021" Type="http://schemas.openxmlformats.org/officeDocument/2006/relationships/hyperlink" Target="mailto:Aida.Kubat@denniscorp.com.au" TargetMode="External"/><Relationship Id="rId3119" Type="http://schemas.openxmlformats.org/officeDocument/2006/relationships/hyperlink" Target="mailto:rachelb@areaspecialist.com.au" TargetMode="External"/><Relationship Id="rId247" Type="http://schemas.openxmlformats.org/officeDocument/2006/relationships/hyperlink" Target="mailto:jan@catalinapointcook.com.au" TargetMode="External"/><Relationship Id="rId899" Type="http://schemas.openxmlformats.org/officeDocument/2006/relationships/hyperlink" Target="mailto:jody@ploughmansarms.com.au" TargetMode="External"/><Relationship Id="rId1084" Type="http://schemas.openxmlformats.org/officeDocument/2006/relationships/hyperlink" Target="mailto:k.spencer@oliverhume.com.au" TargetMode="External"/><Relationship Id="rId2482" Type="http://schemas.openxmlformats.org/officeDocument/2006/relationships/hyperlink" Target="mailto:rex.w@newhomeshop.com.au" TargetMode="External"/><Relationship Id="rId2787" Type="http://schemas.openxmlformats.org/officeDocument/2006/relationships/hyperlink" Target="mailto:k.spencer@oliverhume.com.au" TargetMode="External"/><Relationship Id="rId107" Type="http://schemas.openxmlformats.org/officeDocument/2006/relationships/hyperlink" Target="mailto:thornhillpark@rpmrealestate.com.au" TargetMode="External"/><Relationship Id="rId454" Type="http://schemas.openxmlformats.org/officeDocument/2006/relationships/hyperlink" Target="mailto:NickC@centralequity.com.au" TargetMode="External"/><Relationship Id="rId661" Type="http://schemas.openxmlformats.org/officeDocument/2006/relationships/hyperlink" Target="mailto:manzeene@rpmrealestate.com.au" TargetMode="External"/><Relationship Id="rId759" Type="http://schemas.openxmlformats.org/officeDocument/2006/relationships/hyperlink" Target="mailto:Courtney.tattersall@peet.com.au" TargetMode="External"/><Relationship Id="rId966" Type="http://schemas.openxmlformats.org/officeDocument/2006/relationships/hyperlink" Target="mailto:kim.mair@frasersproperty.com.au" TargetMode="External"/><Relationship Id="rId1291" Type="http://schemas.openxmlformats.org/officeDocument/2006/relationships/hyperlink" Target="mailto:kim.mair@frasersproperty.com.au" TargetMode="External"/><Relationship Id="rId1389" Type="http://schemas.openxmlformats.org/officeDocument/2006/relationships/hyperlink" Target="mailto:alira@rpmrealestate.com.au" TargetMode="External"/><Relationship Id="rId1596" Type="http://schemas.openxmlformats.org/officeDocument/2006/relationships/hyperlink" Target="mailto:jason.bailes@peet.com.au" TargetMode="External"/><Relationship Id="rId2135" Type="http://schemas.openxmlformats.org/officeDocument/2006/relationships/hyperlink" Target="mailto:botanicridge@rpmrealestate.com.au" TargetMode="External"/><Relationship Id="rId2342" Type="http://schemas.openxmlformats.org/officeDocument/2006/relationships/hyperlink" Target="mailto:oliverhume@oliverhume.com.au" TargetMode="External"/><Relationship Id="rId2647" Type="http://schemas.openxmlformats.org/officeDocument/2006/relationships/hyperlink" Target="mailto:LVojneska@denniscorp.com.au" TargetMode="External"/><Relationship Id="rId2994" Type="http://schemas.openxmlformats.org/officeDocument/2006/relationships/hyperlink" Target="mailto:d.halsey@oliverhume.com.au" TargetMode="External"/><Relationship Id="rId314" Type="http://schemas.openxmlformats.org/officeDocument/2006/relationships/hyperlink" Target="mailto:atherstone@lendlease.com" TargetMode="External"/><Relationship Id="rId521" Type="http://schemas.openxmlformats.org/officeDocument/2006/relationships/hyperlink" Target="mailto:angelo@hallmarc.com.au" TargetMode="External"/><Relationship Id="rId619" Type="http://schemas.openxmlformats.org/officeDocument/2006/relationships/hyperlink" Target="mailto:d.halsey@oliverhume.com.au" TargetMode="External"/><Relationship Id="rId1151" Type="http://schemas.openxmlformats.org/officeDocument/2006/relationships/hyperlink" Target="mailto:sales@florianliving.com.au" TargetMode="External"/><Relationship Id="rId1249" Type="http://schemas.openxmlformats.org/officeDocument/2006/relationships/hyperlink" Target="mailto:chris.walker@stockland.com.au" TargetMode="External"/><Relationship Id="rId2202" Type="http://schemas.openxmlformats.org/officeDocument/2006/relationships/hyperlink" Target="mailto:jan@catalinapointcook.com.au" TargetMode="External"/><Relationship Id="rId2854" Type="http://schemas.openxmlformats.org/officeDocument/2006/relationships/hyperlink" Target="mailto:m.huynh@oliverhume.com.au" TargetMode="External"/><Relationship Id="rId95" Type="http://schemas.openxmlformats.org/officeDocument/2006/relationships/hyperlink" Target="mailto:freddy@freddyrealty.com.au" TargetMode="External"/><Relationship Id="rId826" Type="http://schemas.openxmlformats.org/officeDocument/2006/relationships/hyperlink" Target="mailto:admin@woodlea.com.au" TargetMode="External"/><Relationship Id="rId1011" Type="http://schemas.openxmlformats.org/officeDocument/2006/relationships/hyperlink" Target="mailto:dspiteri@hermitagehomes.com.au" TargetMode="External"/><Relationship Id="rId1109" Type="http://schemas.openxmlformats.org/officeDocument/2006/relationships/hyperlink" Target="mailto:amy.newman@lendlease.com" TargetMode="External"/><Relationship Id="rId1456" Type="http://schemas.openxmlformats.org/officeDocument/2006/relationships/hyperlink" Target="mailto:steviec@satterley.com.au" TargetMode="External"/><Relationship Id="rId1663" Type="http://schemas.openxmlformats.org/officeDocument/2006/relationships/hyperlink" Target="mailto:r.miric@oliverhume.com.au" TargetMode="External"/><Relationship Id="rId1870" Type="http://schemas.openxmlformats.org/officeDocument/2006/relationships/hyperlink" Target="mailto:sales@aldoestate.com.au" TargetMode="External"/><Relationship Id="rId1968" Type="http://schemas.openxmlformats.org/officeDocument/2006/relationships/hyperlink" Target="mailto:sales@ooranyaestate.com.au" TargetMode="External"/><Relationship Id="rId2507" Type="http://schemas.openxmlformats.org/officeDocument/2006/relationships/hyperlink" Target="mailto:LVojneska@denniscorp.com.au" TargetMode="External"/><Relationship Id="rId2714" Type="http://schemas.openxmlformats.org/officeDocument/2006/relationships/hyperlink" Target="mailto:monica.quaresima@stockland.com.au" TargetMode="External"/><Relationship Id="rId2921" Type="http://schemas.openxmlformats.org/officeDocument/2006/relationships/hyperlink" Target="mailto:info@panoramaportarlington.com.au" TargetMode="External"/><Relationship Id="rId1316" Type="http://schemas.openxmlformats.org/officeDocument/2006/relationships/hyperlink" Target="mailto:ann@emerldparktarneit.com.au" TargetMode="External"/><Relationship Id="rId1523" Type="http://schemas.openxmlformats.org/officeDocument/2006/relationships/hyperlink" Target="mailto:theivy@rpmrealestate.com.au" TargetMode="External"/><Relationship Id="rId1730" Type="http://schemas.openxmlformats.org/officeDocument/2006/relationships/hyperlink" Target="mailto:stonehill@rpmrealestate.com.au" TargetMode="External"/><Relationship Id="rId22" Type="http://schemas.openxmlformats.org/officeDocument/2006/relationships/hyperlink" Target="mailto:tulliallan@rpmrealestate.com.au" TargetMode="External"/><Relationship Id="rId1828" Type="http://schemas.openxmlformats.org/officeDocument/2006/relationships/hyperlink" Target="mailto:keywest@rpmrealestate.com.au" TargetMode="External"/><Relationship Id="rId3043" Type="http://schemas.openxmlformats.org/officeDocument/2006/relationships/hyperlink" Target="mailto:sales@parkviewlara.com.au" TargetMode="External"/><Relationship Id="rId171" Type="http://schemas.openxmlformats.org/officeDocument/2006/relationships/hyperlink" Target="mailto:d.rabba@oliverhume.com.au" TargetMode="External"/><Relationship Id="rId2297" Type="http://schemas.openxmlformats.org/officeDocument/2006/relationships/hyperlink" Target="mailto:Jessica.Hammond@stockland.com.au" TargetMode="External"/><Relationship Id="rId269" Type="http://schemas.openxmlformats.org/officeDocument/2006/relationships/hyperlink" Target="mailto:Adam@red23.com.au" TargetMode="External"/><Relationship Id="rId476" Type="http://schemas.openxmlformats.org/officeDocument/2006/relationships/hyperlink" Target="mailto:angelo.granata@peet.com.au" TargetMode="External"/><Relationship Id="rId683" Type="http://schemas.openxmlformats.org/officeDocument/2006/relationships/hyperlink" Target="mailto:kassy@kaikura.com.au" TargetMode="External"/><Relationship Id="rId890" Type="http://schemas.openxmlformats.org/officeDocument/2006/relationships/hyperlink" Target="mailto:andy@red23.com.au" TargetMode="External"/><Relationship Id="rId2157" Type="http://schemas.openxmlformats.org/officeDocument/2006/relationships/hyperlink" Target="mailto:ashwin.sethi@stockland.com.au" TargetMode="External"/><Relationship Id="rId2364" Type="http://schemas.openxmlformats.org/officeDocument/2006/relationships/hyperlink" Target="mailto:alannah@mpai.com.au" TargetMode="External"/><Relationship Id="rId2571" Type="http://schemas.openxmlformats.org/officeDocument/2006/relationships/hyperlink" Target="mailto:approval@ngdd.com.au" TargetMode="External"/><Relationship Id="rId3110" Type="http://schemas.openxmlformats.org/officeDocument/2006/relationships/hyperlink" Target="mailto:oliverhume@oliverhume.com.au" TargetMode="External"/><Relationship Id="rId129" Type="http://schemas.openxmlformats.org/officeDocument/2006/relationships/hyperlink" Target="mailto:daniels@lotusliving.com.au" TargetMode="External"/><Relationship Id="rId336" Type="http://schemas.openxmlformats.org/officeDocument/2006/relationships/hyperlink" Target="mailto:pennyroyal@rpmrealestate.com.au" TargetMode="External"/><Relationship Id="rId543" Type="http://schemas.openxmlformats.org/officeDocument/2006/relationships/hyperlink" Target="mailto:NickC@centralequity.com.au" TargetMode="External"/><Relationship Id="rId988" Type="http://schemas.openxmlformats.org/officeDocument/2006/relationships/hyperlink" Target="mailto:thornhillpark@rpmrealestate.com.au" TargetMode="External"/><Relationship Id="rId1173" Type="http://schemas.openxmlformats.org/officeDocument/2006/relationships/hyperlink" Target="mailto:m.huynh@oliverhume.com.au" TargetMode="External"/><Relationship Id="rId1380" Type="http://schemas.openxmlformats.org/officeDocument/2006/relationships/hyperlink" Target="mailto:chris.walker@stockland.com.au" TargetMode="External"/><Relationship Id="rId2017" Type="http://schemas.openxmlformats.org/officeDocument/2006/relationships/hyperlink" Target="mailto:rob@wolfdene.com.au" TargetMode="External"/><Relationship Id="rId2224" Type="http://schemas.openxmlformats.org/officeDocument/2006/relationships/hyperlink" Target="mailto:anne.cross@lendlease.com" TargetMode="External"/><Relationship Id="rId2669" Type="http://schemas.openxmlformats.org/officeDocument/2006/relationships/hyperlink" Target="mailto:t.leggatt@oliverhume.com.au" TargetMode="External"/><Relationship Id="rId2876" Type="http://schemas.openxmlformats.org/officeDocument/2006/relationships/hyperlink" Target="mailto:Courtney.tattersall@peet.com.au" TargetMode="External"/><Relationship Id="rId403" Type="http://schemas.openxmlformats.org/officeDocument/2006/relationships/hyperlink" Target="mailto:m.morris@oliverhume.com.au" TargetMode="External"/><Relationship Id="rId750" Type="http://schemas.openxmlformats.org/officeDocument/2006/relationships/hyperlink" Target="mailto:sales@aldoestate.com.au" TargetMode="External"/><Relationship Id="rId848" Type="http://schemas.openxmlformats.org/officeDocument/2006/relationships/hyperlink" Target="mailto:admin@woodlea.com.au" TargetMode="External"/><Relationship Id="rId1033" Type="http://schemas.openxmlformats.org/officeDocument/2006/relationships/hyperlink" Target="mailto:jlow@core-projects.com.au" TargetMode="External"/><Relationship Id="rId1478" Type="http://schemas.openxmlformats.org/officeDocument/2006/relationships/hyperlink" Target="mailto:David.maloney@frasers.com.au" TargetMode="External"/><Relationship Id="rId1685" Type="http://schemas.openxmlformats.org/officeDocument/2006/relationships/hyperlink" Target="mailto:Leigh@doepels.com.au" TargetMode="External"/><Relationship Id="rId1892" Type="http://schemas.openxmlformats.org/officeDocument/2006/relationships/hyperlink" Target="mailto:kevin@vhls.net.au" TargetMode="External"/><Relationship Id="rId2431" Type="http://schemas.openxmlformats.org/officeDocument/2006/relationships/hyperlink" Target="mailto:romeos@jasonrealestate.com.au" TargetMode="External"/><Relationship Id="rId2529" Type="http://schemas.openxmlformats.org/officeDocument/2006/relationships/hyperlink" Target="mailto:bhalsall@buxton.com.au" TargetMode="External"/><Relationship Id="rId2736" Type="http://schemas.openxmlformats.org/officeDocument/2006/relationships/hyperlink" Target="mailto:ben@prdballarat.com.au" TargetMode="External"/><Relationship Id="rId610" Type="http://schemas.openxmlformats.org/officeDocument/2006/relationships/hyperlink" Target="mailto:chris.walker@stockland.com.au" TargetMode="External"/><Relationship Id="rId708" Type="http://schemas.openxmlformats.org/officeDocument/2006/relationships/hyperlink" Target="mailto:nationalrealtyvic@bigpond.com" TargetMode="External"/><Relationship Id="rId915" Type="http://schemas.openxmlformats.org/officeDocument/2006/relationships/hyperlink" Target="mailto:j.termine@oliverhume.com.au" TargetMode="External"/><Relationship Id="rId1240" Type="http://schemas.openxmlformats.org/officeDocument/2006/relationships/hyperlink" Target="mailto:d.halsey@oliverhume.com.au" TargetMode="External"/><Relationship Id="rId1338" Type="http://schemas.openxmlformats.org/officeDocument/2006/relationships/hyperlink" Target="mailto:ted@wolfdene.com.au" TargetMode="External"/><Relationship Id="rId1545" Type="http://schemas.openxmlformats.org/officeDocument/2006/relationships/hyperlink" Target="mailto:manzeene@rpmrealestate.com.au" TargetMode="External"/><Relationship Id="rId2943" Type="http://schemas.openxmlformats.org/officeDocument/2006/relationships/hyperlink" Target="mailto:s.fuss@oliverhume.com.au" TargetMode="External"/><Relationship Id="rId1100" Type="http://schemas.openxmlformats.org/officeDocument/2006/relationships/hyperlink" Target="mailto:dthomson@hockingstuart.com.au" TargetMode="External"/><Relationship Id="rId1405" Type="http://schemas.openxmlformats.org/officeDocument/2006/relationships/hyperlink" Target="mailto:ashwin.sethi@stockland.com.au" TargetMode="External"/><Relationship Id="rId1752" Type="http://schemas.openxmlformats.org/officeDocument/2006/relationships/hyperlink" Target="mailto:manzeene@rpmrealestate.com.au" TargetMode="External"/><Relationship Id="rId2803" Type="http://schemas.openxmlformats.org/officeDocument/2006/relationships/hyperlink" Target="mailto:creekstone@rpmrealestate.com.au" TargetMode="External"/><Relationship Id="rId44" Type="http://schemas.openxmlformats.org/officeDocument/2006/relationships/hyperlink" Target="mailto:annadale@rpmrealestate.com.au" TargetMode="External"/><Relationship Id="rId1612" Type="http://schemas.openxmlformats.org/officeDocument/2006/relationships/hyperlink" Target="mailto:approval@ngdd.com.au" TargetMode="External"/><Relationship Id="rId1917" Type="http://schemas.openxmlformats.org/officeDocument/2006/relationships/hyperlink" Target="mailto:robert.l@red23.com.au" TargetMode="External"/><Relationship Id="rId3065" Type="http://schemas.openxmlformats.org/officeDocument/2006/relationships/hyperlink" Target="mailto:sales@lenniumgroup.com.au" TargetMode="External"/><Relationship Id="rId193" Type="http://schemas.openxmlformats.org/officeDocument/2006/relationships/hyperlink" Target="mailto:paige.s@red23.com.au" TargetMode="External"/><Relationship Id="rId498" Type="http://schemas.openxmlformats.org/officeDocument/2006/relationships/hyperlink" Target="mailto:jason.bailes@peet.com.au" TargetMode="External"/><Relationship Id="rId2081" Type="http://schemas.openxmlformats.org/officeDocument/2006/relationships/hyperlink" Target="mailto:ben@prdballarat.com.au" TargetMode="External"/><Relationship Id="rId2179" Type="http://schemas.openxmlformats.org/officeDocument/2006/relationships/hyperlink" Target="mailto:jan@trijena.com.au" TargetMode="External"/><Relationship Id="rId260" Type="http://schemas.openxmlformats.org/officeDocument/2006/relationships/hyperlink" Target="mailto:jasonb@maxbrown.com.au" TargetMode="External"/><Relationship Id="rId2386" Type="http://schemas.openxmlformats.org/officeDocument/2006/relationships/hyperlink" Target="mailto:lucy@rpmrealestate.com.au" TargetMode="External"/><Relationship Id="rId2593" Type="http://schemas.openxmlformats.org/officeDocument/2006/relationships/hyperlink" Target="mailto:sales@parkviewlara.com.au" TargetMode="External"/><Relationship Id="rId120" Type="http://schemas.openxmlformats.org/officeDocument/2006/relationships/hyperlink" Target="mailto:steviec@satterley.com.au" TargetMode="External"/><Relationship Id="rId358" Type="http://schemas.openxmlformats.org/officeDocument/2006/relationships/hyperlink" Target="mailto:k.spencer@oliverhume.com.au" TargetMode="External"/><Relationship Id="rId565" Type="http://schemas.openxmlformats.org/officeDocument/2006/relationships/hyperlink" Target="mailto:b.ellis@oliverhume.com.au" TargetMode="External"/><Relationship Id="rId772" Type="http://schemas.openxmlformats.org/officeDocument/2006/relationships/hyperlink" Target="mailto:carol.rubidoux@cedarwoods.com.au" TargetMode="External"/><Relationship Id="rId1195" Type="http://schemas.openxmlformats.org/officeDocument/2006/relationships/hyperlink" Target="mailto:NickC@centralequity.com.au" TargetMode="External"/><Relationship Id="rId2039" Type="http://schemas.openxmlformats.org/officeDocument/2006/relationships/hyperlink" Target="mailto:m.huynh@oliverhume.com.au" TargetMode="External"/><Relationship Id="rId2246" Type="http://schemas.openxmlformats.org/officeDocument/2006/relationships/hyperlink" Target="mailto:sharee@maxwellcollins.com.au" TargetMode="External"/><Relationship Id="rId2453" Type="http://schemas.openxmlformats.org/officeDocument/2006/relationships/hyperlink" Target="mailto:westwood2@rpmrealestate.com.au" TargetMode="External"/><Relationship Id="rId2660" Type="http://schemas.openxmlformats.org/officeDocument/2006/relationships/hyperlink" Target="mailto:tyler.hogan@harcourts.com.au" TargetMode="External"/><Relationship Id="rId2898" Type="http://schemas.openxmlformats.org/officeDocument/2006/relationships/hyperlink" Target="mailto:info@birchmoregroup.com.au" TargetMode="External"/><Relationship Id="rId218" Type="http://schemas.openxmlformats.org/officeDocument/2006/relationships/hyperlink" Target="mailto:n.harb@oliverhume.com.au" TargetMode="External"/><Relationship Id="rId425" Type="http://schemas.openxmlformats.org/officeDocument/2006/relationships/hyperlink" Target="mailto:lavinia@villaworld.com.au" TargetMode="External"/><Relationship Id="rId632" Type="http://schemas.openxmlformats.org/officeDocument/2006/relationships/hyperlink" Target="mailto:tonys@maxbrown.com.au" TargetMode="External"/><Relationship Id="rId1055" Type="http://schemas.openxmlformats.org/officeDocument/2006/relationships/hyperlink" Target="mailto:t.kerr@oliverhume.com.au" TargetMode="External"/><Relationship Id="rId1262" Type="http://schemas.openxmlformats.org/officeDocument/2006/relationships/hyperlink" Target="mailto:mai.tran@mywindermere.com.au" TargetMode="External"/><Relationship Id="rId2106" Type="http://schemas.openxmlformats.org/officeDocument/2006/relationships/hyperlink" Target="mailto:Courtney.tattersall@peet.com.au" TargetMode="External"/><Relationship Id="rId2313" Type="http://schemas.openxmlformats.org/officeDocument/2006/relationships/hyperlink" Target="mailto:rbhardwaj@coreprojects.com.au" TargetMode="External"/><Relationship Id="rId2520" Type="http://schemas.openxmlformats.org/officeDocument/2006/relationships/hyperlink" Target="mailto:kingsfield@rpmrealestate.com.au" TargetMode="External"/><Relationship Id="rId2758" Type="http://schemas.openxmlformats.org/officeDocument/2006/relationships/hyperlink" Target="mailto:ben@prdballarat.com.au" TargetMode="External"/><Relationship Id="rId2965" Type="http://schemas.openxmlformats.org/officeDocument/2006/relationships/hyperlink" Target="mailto:hello@tullohst.com.au" TargetMode="External"/><Relationship Id="rId937" Type="http://schemas.openxmlformats.org/officeDocument/2006/relationships/hyperlink" Target="mailto:anne.cross@lendlease.com" TargetMode="External"/><Relationship Id="rId1122" Type="http://schemas.openxmlformats.org/officeDocument/2006/relationships/hyperlink" Target="mailto:lilium@villaworld.com.au" TargetMode="External"/><Relationship Id="rId1567" Type="http://schemas.openxmlformats.org/officeDocument/2006/relationships/hyperlink" Target="mailto:shobson@coreprojects.com.au" TargetMode="External"/><Relationship Id="rId1774" Type="http://schemas.openxmlformats.org/officeDocument/2006/relationships/hyperlink" Target="mailto:mai.tran@mywindermere.com.au" TargetMode="External"/><Relationship Id="rId1981" Type="http://schemas.openxmlformats.org/officeDocument/2006/relationships/hyperlink" Target="mailto:sudha@pottergeorge.com.au" TargetMode="External"/><Relationship Id="rId2618" Type="http://schemas.openxmlformats.org/officeDocument/2006/relationships/hyperlink" Target="mailto:ann@emerldparktarneit.com.au" TargetMode="External"/><Relationship Id="rId2825" Type="http://schemas.openxmlformats.org/officeDocument/2006/relationships/hyperlink" Target="mailto:jessica.hammond@stockland.com.au" TargetMode="External"/><Relationship Id="rId66" Type="http://schemas.openxmlformats.org/officeDocument/2006/relationships/hyperlink" Target="mailto:k.spencer@oliverhume.com.au" TargetMode="External"/><Relationship Id="rId1427" Type="http://schemas.openxmlformats.org/officeDocument/2006/relationships/hyperlink" Target="mailto:lreynolds@avidpropertygroup.com.au" TargetMode="External"/><Relationship Id="rId1634" Type="http://schemas.openxmlformats.org/officeDocument/2006/relationships/hyperlink" Target="mailto:sales@bisinella.com.au" TargetMode="External"/><Relationship Id="rId1841" Type="http://schemas.openxmlformats.org/officeDocument/2006/relationships/hyperlink" Target="mailto:bhalsall@buxton.com.au" TargetMode="External"/><Relationship Id="rId3087" Type="http://schemas.openxmlformats.org/officeDocument/2006/relationships/hyperlink" Target="mailto:simon@fnlatrobe.com.au" TargetMode="External"/><Relationship Id="rId1939" Type="http://schemas.openxmlformats.org/officeDocument/2006/relationships/hyperlink" Target="mailto:everton@rpmrealestate.com.au" TargetMode="External"/><Relationship Id="rId1701" Type="http://schemas.openxmlformats.org/officeDocument/2006/relationships/hyperlink" Target="mailto:s.fuss@oliverhume.com.au" TargetMode="External"/><Relationship Id="rId282" Type="http://schemas.openxmlformats.org/officeDocument/2006/relationships/hyperlink" Target="mailto:daniels@lotusliving.com.au" TargetMode="External"/><Relationship Id="rId587" Type="http://schemas.openxmlformats.org/officeDocument/2006/relationships/hyperlink" Target="mailto:josephine.borg@stockland.com.au" TargetMode="External"/><Relationship Id="rId2170" Type="http://schemas.openxmlformats.org/officeDocument/2006/relationships/hyperlink" Target="mailto:LVojneska@denniscorp.com.au" TargetMode="External"/><Relationship Id="rId2268" Type="http://schemas.openxmlformats.org/officeDocument/2006/relationships/hyperlink" Target="mailto:b.ellis@oliverhume.com.au" TargetMode="External"/><Relationship Id="rId3014" Type="http://schemas.openxmlformats.org/officeDocument/2006/relationships/hyperlink" Target="mailto:miloss@satterley.com.au" TargetMode="External"/><Relationship Id="rId8" Type="http://schemas.openxmlformats.org/officeDocument/2006/relationships/hyperlink" Target="mailto:ted@wolfdene.com.au" TargetMode="External"/><Relationship Id="rId142" Type="http://schemas.openxmlformats.org/officeDocument/2006/relationships/hyperlink" Target="mailto:matthew.petrie@stockland.com.au" TargetMode="External"/><Relationship Id="rId447" Type="http://schemas.openxmlformats.org/officeDocument/2006/relationships/hyperlink" Target="mailto:avishnoi@coreprojects.com.au" TargetMode="External"/><Relationship Id="rId794" Type="http://schemas.openxmlformats.org/officeDocument/2006/relationships/hyperlink" Target="mailto:atherstone@lendlease.com" TargetMode="External"/><Relationship Id="rId1077" Type="http://schemas.openxmlformats.org/officeDocument/2006/relationships/hyperlink" Target="mailto:annadale@rpmrealestate.com.au" TargetMode="External"/><Relationship Id="rId2030" Type="http://schemas.openxmlformats.org/officeDocument/2006/relationships/hyperlink" Target="mailto:van.ritchie@yourland.com" TargetMode="External"/><Relationship Id="rId2128" Type="http://schemas.openxmlformats.org/officeDocument/2006/relationships/hyperlink" Target="mailto:Ankur.sharma@pspproperty.com.au" TargetMode="External"/><Relationship Id="rId2475" Type="http://schemas.openxmlformats.org/officeDocument/2006/relationships/hyperlink" Target="mailto:rex.w@newhomeshop.com.au" TargetMode="External"/><Relationship Id="rId2682" Type="http://schemas.openxmlformats.org/officeDocument/2006/relationships/hyperlink" Target="mailto:westwood2@rpmrealestate.com.au" TargetMode="External"/><Relationship Id="rId2987" Type="http://schemas.openxmlformats.org/officeDocument/2006/relationships/hyperlink" Target="mailto:brix@peakere.com.au" TargetMode="External"/><Relationship Id="rId654" Type="http://schemas.openxmlformats.org/officeDocument/2006/relationships/hyperlink" Target="mailto:chris.walker@stockland.com.au" TargetMode="External"/><Relationship Id="rId861" Type="http://schemas.openxmlformats.org/officeDocument/2006/relationships/hyperlink" Target="mailto:cpearson@westbrookestate.com.au" TargetMode="External"/><Relationship Id="rId959" Type="http://schemas.openxmlformats.org/officeDocument/2006/relationships/hyperlink" Target="mailto:j.peric@oliverhume.com.au" TargetMode="External"/><Relationship Id="rId1284" Type="http://schemas.openxmlformats.org/officeDocument/2006/relationships/hyperlink" Target="mailto:shaas@hockingstuart.com.au" TargetMode="External"/><Relationship Id="rId1491" Type="http://schemas.openxmlformats.org/officeDocument/2006/relationships/hyperlink" Target="mailto:i.tanti@oliverhume.com.au" TargetMode="External"/><Relationship Id="rId1589" Type="http://schemas.openxmlformats.org/officeDocument/2006/relationships/hyperlink" Target="mailto:adam@charleslloyd.com.au" TargetMode="External"/><Relationship Id="rId2335" Type="http://schemas.openxmlformats.org/officeDocument/2006/relationships/hyperlink" Target="mailto:amy.newman@lendlease.com" TargetMode="External"/><Relationship Id="rId2542" Type="http://schemas.openxmlformats.org/officeDocument/2006/relationships/hyperlink" Target="mailto:Aida.Kubat@denniscorp.com.au" TargetMode="External"/><Relationship Id="rId307" Type="http://schemas.openxmlformats.org/officeDocument/2006/relationships/hyperlink" Target="mailto:David.maloney@frasers.com.au" TargetMode="External"/><Relationship Id="rId514" Type="http://schemas.openxmlformats.org/officeDocument/2006/relationships/hyperlink" Target="mailto:z.stojanovski@oliverhume.com.au" TargetMode="External"/><Relationship Id="rId721" Type="http://schemas.openxmlformats.org/officeDocument/2006/relationships/hyperlink" Target="mailto:kirstie@bevanprojects.com.au" TargetMode="External"/><Relationship Id="rId1144" Type="http://schemas.openxmlformats.org/officeDocument/2006/relationships/hyperlink" Target="mailto:khewitt@hockingstuart.com.au" TargetMode="External"/><Relationship Id="rId1351" Type="http://schemas.openxmlformats.org/officeDocument/2006/relationships/hyperlink" Target="mailto:newhomesvic@bigpond.com" TargetMode="External"/><Relationship Id="rId1449" Type="http://schemas.openxmlformats.org/officeDocument/2006/relationships/hyperlink" Target="mailto:jan@catalinapointcook.com.au" TargetMode="External"/><Relationship Id="rId1796" Type="http://schemas.openxmlformats.org/officeDocument/2006/relationships/hyperlink" Target="mailto:angelo.granata@peet.com.au" TargetMode="External"/><Relationship Id="rId2402" Type="http://schemas.openxmlformats.org/officeDocument/2006/relationships/hyperlink" Target="mailto:mai.tran@mywindermere.com.au" TargetMode="External"/><Relationship Id="rId2847" Type="http://schemas.openxmlformats.org/officeDocument/2006/relationships/hyperlink" Target="mailto:riverwalk@rpmrealestate.com.au" TargetMode="External"/><Relationship Id="rId88" Type="http://schemas.openxmlformats.org/officeDocument/2006/relationships/hyperlink" Target="mailto:ben@prdballarat.com.au" TargetMode="External"/><Relationship Id="rId819" Type="http://schemas.openxmlformats.org/officeDocument/2006/relationships/hyperlink" Target="mailto:adam@rpmrealestate.com.au" TargetMode="External"/><Relationship Id="rId1004" Type="http://schemas.openxmlformats.org/officeDocument/2006/relationships/hyperlink" Target="mailto:mai.tran@mywindermere.com.au" TargetMode="External"/><Relationship Id="rId1211" Type="http://schemas.openxmlformats.org/officeDocument/2006/relationships/hyperlink" Target="mailto:botanical@satterley.com.au" TargetMode="External"/><Relationship Id="rId1656" Type="http://schemas.openxmlformats.org/officeDocument/2006/relationships/hyperlink" Target="mailto:keywest@rpmrealestate.com.au" TargetMode="External"/><Relationship Id="rId1863" Type="http://schemas.openxmlformats.org/officeDocument/2006/relationships/hyperlink" Target="mailto:keywest@rpmrealestate.com.au" TargetMode="External"/><Relationship Id="rId2707" Type="http://schemas.openxmlformats.org/officeDocument/2006/relationships/hyperlink" Target="mailto:sales@bisinella.com.au" TargetMode="External"/><Relationship Id="rId2914" Type="http://schemas.openxmlformats.org/officeDocument/2006/relationships/hyperlink" Target="mailto:ashwin.sethi@stockland.com.au" TargetMode="External"/><Relationship Id="rId1309" Type="http://schemas.openxmlformats.org/officeDocument/2006/relationships/hyperlink" Target="mailto:ben@prdballarat.com.au" TargetMode="External"/><Relationship Id="rId1516" Type="http://schemas.openxmlformats.org/officeDocument/2006/relationships/hyperlink" Target="mailto:bowery@rpmrealestate.com.au" TargetMode="External"/><Relationship Id="rId1723" Type="http://schemas.openxmlformats.org/officeDocument/2006/relationships/hyperlink" Target="mailto:k.spencer@oliverhume.com.au" TargetMode="External"/><Relationship Id="rId1930" Type="http://schemas.openxmlformats.org/officeDocument/2006/relationships/hyperlink" Target="mailto:oliverhume@oliverhume.com.au" TargetMode="External"/><Relationship Id="rId15" Type="http://schemas.openxmlformats.org/officeDocument/2006/relationships/hyperlink" Target="mailto:arch@lauders.com.au" TargetMode="External"/><Relationship Id="rId2192" Type="http://schemas.openxmlformats.org/officeDocument/2006/relationships/hyperlink" Target="mailto:brad@arborofficer.com.au" TargetMode="External"/><Relationship Id="rId3036" Type="http://schemas.openxmlformats.org/officeDocument/2006/relationships/hyperlink" Target="mailto:daniel.lock@mirvac.com" TargetMode="External"/><Relationship Id="rId164" Type="http://schemas.openxmlformats.org/officeDocument/2006/relationships/hyperlink" Target="mailto:NickC@centralequity.com.au" TargetMode="External"/><Relationship Id="rId371" Type="http://schemas.openxmlformats.org/officeDocument/2006/relationships/hyperlink" Target="mailto:info@banriar.com.au" TargetMode="External"/><Relationship Id="rId2052" Type="http://schemas.openxmlformats.org/officeDocument/2006/relationships/hyperlink" Target="mailto:creekstone@rpmrealestate.com.au" TargetMode="External"/><Relationship Id="rId2497" Type="http://schemas.openxmlformats.org/officeDocument/2006/relationships/hyperlink" Target="mailto:dspiteri@hermitagehomes.com.au" TargetMode="External"/><Relationship Id="rId469" Type="http://schemas.openxmlformats.org/officeDocument/2006/relationships/hyperlink" Target="mailto:kunal@red23.com.au" TargetMode="External"/><Relationship Id="rId676" Type="http://schemas.openxmlformats.org/officeDocument/2006/relationships/hyperlink" Target="mailto:m.morris@oliverhume.com.au" TargetMode="External"/><Relationship Id="rId883" Type="http://schemas.openxmlformats.org/officeDocument/2006/relationships/hyperlink" Target="mailto:sharee@maxwellcollins.com.au" TargetMode="External"/><Relationship Id="rId1099" Type="http://schemas.openxmlformats.org/officeDocument/2006/relationships/hyperlink" Target="mailto:carol.rubidoux@cedarwoods.com.au" TargetMode="External"/><Relationship Id="rId2357" Type="http://schemas.openxmlformats.org/officeDocument/2006/relationships/hyperlink" Target="mailto:approval@ngdd.com.au" TargetMode="External"/><Relationship Id="rId2564" Type="http://schemas.openxmlformats.org/officeDocument/2006/relationships/hyperlink" Target="mailto:romeos@jasonrealestate.com.au" TargetMode="External"/><Relationship Id="rId3103" Type="http://schemas.openxmlformats.org/officeDocument/2006/relationships/hyperlink" Target="mailto:hello@acclaimdonnybrook.com.au" TargetMode="External"/><Relationship Id="rId231" Type="http://schemas.openxmlformats.org/officeDocument/2006/relationships/hyperlink" Target="mailto:markd@satterley.com.au" TargetMode="External"/><Relationship Id="rId329" Type="http://schemas.openxmlformats.org/officeDocument/2006/relationships/hyperlink" Target="mailto:stonehill@rpmrealestate.com.au" TargetMode="External"/><Relationship Id="rId536" Type="http://schemas.openxmlformats.org/officeDocument/2006/relationships/hyperlink" Target="mailto:ted@kohamproperty.com.au" TargetMode="External"/><Relationship Id="rId1166" Type="http://schemas.openxmlformats.org/officeDocument/2006/relationships/hyperlink" Target="mailto:riverdalevillage@latituderealestate.com.au" TargetMode="External"/><Relationship Id="rId1373" Type="http://schemas.openxmlformats.org/officeDocument/2006/relationships/hyperlink" Target="mailto:tonys@maxbrown.com.au" TargetMode="External"/><Relationship Id="rId2217" Type="http://schemas.openxmlformats.org/officeDocument/2006/relationships/hyperlink" Target="mailto:lilium@villaworld.com.au" TargetMode="External"/><Relationship Id="rId2771" Type="http://schemas.openxmlformats.org/officeDocument/2006/relationships/hyperlink" Target="mailto:lilian.fierro-martinez@cedarwoods.com.au" TargetMode="External"/><Relationship Id="rId2869" Type="http://schemas.openxmlformats.org/officeDocument/2006/relationships/hyperlink" Target="mailto:atherstone@lendlease.com" TargetMode="External"/><Relationship Id="rId743" Type="http://schemas.openxmlformats.org/officeDocument/2006/relationships/hyperlink" Target="mailto:patrick@wolfdene.com.au" TargetMode="External"/><Relationship Id="rId950" Type="http://schemas.openxmlformats.org/officeDocument/2006/relationships/hyperlink" Target="mailto:stgermain@rpmrealestate.com.au" TargetMode="External"/><Relationship Id="rId1026" Type="http://schemas.openxmlformats.org/officeDocument/2006/relationships/hyperlink" Target="mailto:khewitt@hockingstuart.com.au" TargetMode="External"/><Relationship Id="rId1580" Type="http://schemas.openxmlformats.org/officeDocument/2006/relationships/hyperlink" Target="mailto:arch@lauders.com.au" TargetMode="External"/><Relationship Id="rId1678" Type="http://schemas.openxmlformats.org/officeDocument/2006/relationships/hyperlink" Target="mailto:sudha@pottergeorge.com.au" TargetMode="External"/><Relationship Id="rId1885" Type="http://schemas.openxmlformats.org/officeDocument/2006/relationships/hyperlink" Target="mailto:simon@maxwellcollins.com.au" TargetMode="External"/><Relationship Id="rId2424" Type="http://schemas.openxmlformats.org/officeDocument/2006/relationships/hyperlink" Target="mailto:Catherine@yourland.com" TargetMode="External"/><Relationship Id="rId2631" Type="http://schemas.openxmlformats.org/officeDocument/2006/relationships/hyperlink" Target="mailto:angelo.granata@peet.com.au" TargetMode="External"/><Relationship Id="rId2729" Type="http://schemas.openxmlformats.org/officeDocument/2006/relationships/hyperlink" Target="mailto:alex@armstrongrealestate.com.au" TargetMode="External"/><Relationship Id="rId2936" Type="http://schemas.openxmlformats.org/officeDocument/2006/relationships/hyperlink" Target="mailto:k.spencer@oliverhume.com.au" TargetMode="External"/><Relationship Id="rId603" Type="http://schemas.openxmlformats.org/officeDocument/2006/relationships/hyperlink" Target="mailto:joea@maxbrown.com.au" TargetMode="External"/><Relationship Id="rId810" Type="http://schemas.openxmlformats.org/officeDocument/2006/relationships/hyperlink" Target="mailto:mandalay@rpmrealestate.com.au" TargetMode="External"/><Relationship Id="rId908" Type="http://schemas.openxmlformats.org/officeDocument/2006/relationships/hyperlink" Target="mailto:nataliep@wofldene.com.au" TargetMode="External"/><Relationship Id="rId1233" Type="http://schemas.openxmlformats.org/officeDocument/2006/relationships/hyperlink" Target="mailto:ian@krpeters.com.au" TargetMode="External"/><Relationship Id="rId1440" Type="http://schemas.openxmlformats.org/officeDocument/2006/relationships/hyperlink" Target="mailto:m.morris@oliverhume.com.au" TargetMode="External"/><Relationship Id="rId1538" Type="http://schemas.openxmlformats.org/officeDocument/2006/relationships/hyperlink" Target="mailto:stgermain@rpmrealestate.com.au" TargetMode="External"/><Relationship Id="rId1300" Type="http://schemas.openxmlformats.org/officeDocument/2006/relationships/hyperlink" Target="mailto:LVojneska@denniscorp.com.au" TargetMode="External"/><Relationship Id="rId1745" Type="http://schemas.openxmlformats.org/officeDocument/2006/relationships/hyperlink" Target="mailto:tgilmore@barryplant.com.au" TargetMode="External"/><Relationship Id="rId1952" Type="http://schemas.openxmlformats.org/officeDocument/2006/relationships/hyperlink" Target="mailto:jason@red23.com.au" TargetMode="External"/><Relationship Id="rId37" Type="http://schemas.openxmlformats.org/officeDocument/2006/relationships/hyperlink" Target="mailto:jlow@core-projects.com.au" TargetMode="External"/><Relationship Id="rId1605" Type="http://schemas.openxmlformats.org/officeDocument/2006/relationships/hyperlink" Target="mailto:kevin@eightypi.com.au" TargetMode="External"/><Relationship Id="rId1812" Type="http://schemas.openxmlformats.org/officeDocument/2006/relationships/hyperlink" Target="mailto:shobson@coreprojects.com.au" TargetMode="External"/><Relationship Id="rId3058" Type="http://schemas.openxmlformats.org/officeDocument/2006/relationships/hyperlink" Target="mailto:travis@gullgroup.com.au" TargetMode="External"/><Relationship Id="rId186" Type="http://schemas.openxmlformats.org/officeDocument/2006/relationships/hyperlink" Target="mailto:riverdalevillage@latituderealestate.com.au" TargetMode="External"/><Relationship Id="rId393" Type="http://schemas.openxmlformats.org/officeDocument/2006/relationships/hyperlink" Target="mailto:b.ellis@oliverhume.com.au" TargetMode="External"/><Relationship Id="rId2074" Type="http://schemas.openxmlformats.org/officeDocument/2006/relationships/hyperlink" Target="mailto:rivulet@rpmrealestate.com.au" TargetMode="External"/><Relationship Id="rId2281" Type="http://schemas.openxmlformats.org/officeDocument/2006/relationships/hyperlink" Target="mailto:admin@woodlea.com.au" TargetMode="External"/><Relationship Id="rId253" Type="http://schemas.openxmlformats.org/officeDocument/2006/relationships/hyperlink" Target="mailto:z.stojanovski@oliverhume.com.au" TargetMode="External"/><Relationship Id="rId460" Type="http://schemas.openxmlformats.org/officeDocument/2006/relationships/hyperlink" Target="mailto:Mohit.Kumar@peet.com.au" TargetMode="External"/><Relationship Id="rId698" Type="http://schemas.openxmlformats.org/officeDocument/2006/relationships/hyperlink" Target="mailto:k.spencer@oliverhume.com.au" TargetMode="External"/><Relationship Id="rId1090" Type="http://schemas.openxmlformats.org/officeDocument/2006/relationships/hyperlink" Target="mailto:forrestgreen@rpmrealestate.com.au" TargetMode="External"/><Relationship Id="rId2141" Type="http://schemas.openxmlformats.org/officeDocument/2006/relationships/hyperlink" Target="mailto:rosenthal@rpmrealestate.com.au" TargetMode="External"/><Relationship Id="rId2379" Type="http://schemas.openxmlformats.org/officeDocument/2006/relationships/hyperlink" Target="mailto:r.footman@oliverhume.com.au" TargetMode="External"/><Relationship Id="rId2586" Type="http://schemas.openxmlformats.org/officeDocument/2006/relationships/hyperlink" Target="mailto:rob@wolfdene.com.au" TargetMode="External"/><Relationship Id="rId2793" Type="http://schemas.openxmlformats.org/officeDocument/2006/relationships/hyperlink" Target="mailto:heather@kaikura.com.au" TargetMode="External"/><Relationship Id="rId113" Type="http://schemas.openxmlformats.org/officeDocument/2006/relationships/hyperlink" Target="mailto:manzeene@rpmrealestate.com.au" TargetMode="External"/><Relationship Id="rId320" Type="http://schemas.openxmlformats.org/officeDocument/2006/relationships/hyperlink" Target="mailto:angelo.granata@peet.com.au" TargetMode="External"/><Relationship Id="rId558" Type="http://schemas.openxmlformats.org/officeDocument/2006/relationships/hyperlink" Target="mailto:jason.bailes@peet.com.au" TargetMode="External"/><Relationship Id="rId765" Type="http://schemas.openxmlformats.org/officeDocument/2006/relationships/hyperlink" Target="mailto:andrewd@villawoodproperties.com" TargetMode="External"/><Relationship Id="rId972" Type="http://schemas.openxmlformats.org/officeDocument/2006/relationships/hyperlink" Target="mailto:sales@ambervue.com.au" TargetMode="External"/><Relationship Id="rId1188" Type="http://schemas.openxmlformats.org/officeDocument/2006/relationships/hyperlink" Target="mailto:bhalsall@buxton.com.au" TargetMode="External"/><Relationship Id="rId1395" Type="http://schemas.openxmlformats.org/officeDocument/2006/relationships/hyperlink" Target="mailto:chris.walker@stockland.com.au" TargetMode="External"/><Relationship Id="rId2001" Type="http://schemas.openxmlformats.org/officeDocument/2006/relationships/hyperlink" Target="mailto:k.spencer@oliverhume.com.au" TargetMode="External"/><Relationship Id="rId2239" Type="http://schemas.openxmlformats.org/officeDocument/2006/relationships/hyperlink" Target="mailto:info@tycoonestate.com.au" TargetMode="External"/><Relationship Id="rId2446" Type="http://schemas.openxmlformats.org/officeDocument/2006/relationships/hyperlink" Target="mailto:mai.tran@mywindermere.com.au" TargetMode="External"/><Relationship Id="rId2653" Type="http://schemas.openxmlformats.org/officeDocument/2006/relationships/hyperlink" Target="mailto:anne.cross@lendlease.com" TargetMode="External"/><Relationship Id="rId2860" Type="http://schemas.openxmlformats.org/officeDocument/2006/relationships/hyperlink" Target="mailto:k.spencer@oliverhume.com.au" TargetMode="External"/><Relationship Id="rId418" Type="http://schemas.openxmlformats.org/officeDocument/2006/relationships/hyperlink" Target="mailto:atherstone@lendlease.com" TargetMode="External"/><Relationship Id="rId625" Type="http://schemas.openxmlformats.org/officeDocument/2006/relationships/hyperlink" Target="mailto:r.newman@oliverhume.com.au" TargetMode="External"/><Relationship Id="rId832" Type="http://schemas.openxmlformats.org/officeDocument/2006/relationships/hyperlink" Target="mailto:atherstone@lendlease.com" TargetMode="External"/><Relationship Id="rId1048" Type="http://schemas.openxmlformats.org/officeDocument/2006/relationships/hyperlink" Target="mailto:rbhardwaj@coreprojects.com.au" TargetMode="External"/><Relationship Id="rId1255" Type="http://schemas.openxmlformats.org/officeDocument/2006/relationships/hyperlink" Target="mailto:austin@latituderealestate.com.au" TargetMode="External"/><Relationship Id="rId1462" Type="http://schemas.openxmlformats.org/officeDocument/2006/relationships/hyperlink" Target="mailto:angelo.granata@peet.com.au" TargetMode="External"/><Relationship Id="rId2306" Type="http://schemas.openxmlformats.org/officeDocument/2006/relationships/hyperlink" Target="mailto:jessica.hammond@stockland.com.au" TargetMode="External"/><Relationship Id="rId2513" Type="http://schemas.openxmlformats.org/officeDocument/2006/relationships/hyperlink" Target="mailto:hillstowe@avid.com.au" TargetMode="External"/><Relationship Id="rId2958" Type="http://schemas.openxmlformats.org/officeDocument/2006/relationships/hyperlink" Target="mailto:d.halsey@oliverhume.com.au" TargetMode="External"/><Relationship Id="rId1115" Type="http://schemas.openxmlformats.org/officeDocument/2006/relationships/hyperlink" Target="mailto:nic@merndaonthepark.com.au" TargetMode="External"/><Relationship Id="rId1322" Type="http://schemas.openxmlformats.org/officeDocument/2006/relationships/hyperlink" Target="mailto:bhalsall@buxton.com.au" TargetMode="External"/><Relationship Id="rId1767" Type="http://schemas.openxmlformats.org/officeDocument/2006/relationships/hyperlink" Target="mailto:nic@merndaonthepark.com.au" TargetMode="External"/><Relationship Id="rId1974" Type="http://schemas.openxmlformats.org/officeDocument/2006/relationships/hyperlink" Target="mailto:thuyen@bpg.com.au" TargetMode="External"/><Relationship Id="rId2720" Type="http://schemas.openxmlformats.org/officeDocument/2006/relationships/hyperlink" Target="mailto:westwood2@rpmrealestate.com.au" TargetMode="External"/><Relationship Id="rId2818" Type="http://schemas.openxmlformats.org/officeDocument/2006/relationships/hyperlink" Target="mailto:jessica.hammond@stockland.com.au" TargetMode="External"/><Relationship Id="rId59" Type="http://schemas.openxmlformats.org/officeDocument/2006/relationships/hyperlink" Target="mailto:jbosancic@brightonpropertygroup.com.au" TargetMode="External"/><Relationship Id="rId1627" Type="http://schemas.openxmlformats.org/officeDocument/2006/relationships/hyperlink" Target="mailto:LVojneska@denniscorp.com.au" TargetMode="External"/><Relationship Id="rId1834" Type="http://schemas.openxmlformats.org/officeDocument/2006/relationships/hyperlink" Target="mailto:info@kohamproperty.com.au" TargetMode="External"/><Relationship Id="rId2096" Type="http://schemas.openxmlformats.org/officeDocument/2006/relationships/hyperlink" Target="mailto:ashwin.sethi@stockland.com.au" TargetMode="External"/><Relationship Id="rId1901" Type="http://schemas.openxmlformats.org/officeDocument/2006/relationships/hyperlink" Target="mailto:bob@latituderealestate.com.au" TargetMode="External"/><Relationship Id="rId275" Type="http://schemas.openxmlformats.org/officeDocument/2006/relationships/hyperlink" Target="mailto:riverdalevillage@latituderealestate.com.au" TargetMode="External"/><Relationship Id="rId482" Type="http://schemas.openxmlformats.org/officeDocument/2006/relationships/hyperlink" Target="mailto:s.fuss@oliverhume.com.au" TargetMode="External"/><Relationship Id="rId2163" Type="http://schemas.openxmlformats.org/officeDocument/2006/relationships/hyperlink" Target="mailto:ben@prdballarat.com.au" TargetMode="External"/><Relationship Id="rId2370" Type="http://schemas.openxmlformats.org/officeDocument/2006/relationships/hyperlink" Target="mailto:b.ellis@oliverhume.com.au" TargetMode="External"/><Relationship Id="rId3007" Type="http://schemas.openxmlformats.org/officeDocument/2006/relationships/hyperlink" Target="mailto:info@PeppercornHill.com.au" TargetMode="External"/><Relationship Id="rId135" Type="http://schemas.openxmlformats.org/officeDocument/2006/relationships/hyperlink" Target="mailto:freddy@freddyrealty.com.au" TargetMode="External"/><Relationship Id="rId342" Type="http://schemas.openxmlformats.org/officeDocument/2006/relationships/hyperlink" Target="mailto:josephine.borg@stockland.com.au" TargetMode="External"/><Relationship Id="rId787" Type="http://schemas.openxmlformats.org/officeDocument/2006/relationships/hyperlink" Target="mailto:kevin@eightypi.com.au" TargetMode="External"/><Relationship Id="rId994" Type="http://schemas.openxmlformats.org/officeDocument/2006/relationships/hyperlink" Target="mailto:daniels@lotusliving.com.au" TargetMode="External"/><Relationship Id="rId2023" Type="http://schemas.openxmlformats.org/officeDocument/2006/relationships/hyperlink" Target="mailto:khoa@wolfdene.com.au" TargetMode="External"/><Relationship Id="rId2230" Type="http://schemas.openxmlformats.org/officeDocument/2006/relationships/hyperlink" Target="mailto:melanie@red23.com" TargetMode="External"/><Relationship Id="rId2468" Type="http://schemas.openxmlformats.org/officeDocument/2006/relationships/hyperlink" Target="mailto:ian@krpeters.com.au" TargetMode="External"/><Relationship Id="rId2675" Type="http://schemas.openxmlformats.org/officeDocument/2006/relationships/hyperlink" Target="mailto:forrestgreen@rpmrealestate.com.au" TargetMode="External"/><Relationship Id="rId2882" Type="http://schemas.openxmlformats.org/officeDocument/2006/relationships/hyperlink" Target="mailto:Dhouse@villaworld.com.au" TargetMode="External"/><Relationship Id="rId202" Type="http://schemas.openxmlformats.org/officeDocument/2006/relationships/hyperlink" Target="mailto:a.kundevski@oliverhume.com.au" TargetMode="External"/><Relationship Id="rId647" Type="http://schemas.openxmlformats.org/officeDocument/2006/relationships/hyperlink" Target="mailto:wynbrook@rpmrealestate.com.au" TargetMode="External"/><Relationship Id="rId854" Type="http://schemas.openxmlformats.org/officeDocument/2006/relationships/hyperlink" Target="mailto:tony@investlink.net.au" TargetMode="External"/><Relationship Id="rId1277" Type="http://schemas.openxmlformats.org/officeDocument/2006/relationships/hyperlink" Target="mailto:Courtney.tattersall@peet.com.au" TargetMode="External"/><Relationship Id="rId1484" Type="http://schemas.openxmlformats.org/officeDocument/2006/relationships/hyperlink" Target="mailto:admin@woodlea.com.au" TargetMode="External"/><Relationship Id="rId1691" Type="http://schemas.openxmlformats.org/officeDocument/2006/relationships/hyperlink" Target="mailto:jlow@core-projects.com.au" TargetMode="External"/><Relationship Id="rId2328" Type="http://schemas.openxmlformats.org/officeDocument/2006/relationships/hyperlink" Target="mailto:matt@wprci.com.au" TargetMode="External"/><Relationship Id="rId2535" Type="http://schemas.openxmlformats.org/officeDocument/2006/relationships/hyperlink" Target="mailto:Eliston@rpmrealestate.com.au" TargetMode="External"/><Relationship Id="rId2742" Type="http://schemas.openxmlformats.org/officeDocument/2006/relationships/hyperlink" Target="mailto:kim.mair@frasersproperty.com.au" TargetMode="External"/><Relationship Id="rId507" Type="http://schemas.openxmlformats.org/officeDocument/2006/relationships/hyperlink" Target="mailto:thornhillpark@rpmrealestate.com.au" TargetMode="External"/><Relationship Id="rId714" Type="http://schemas.openxmlformats.org/officeDocument/2006/relationships/hyperlink" Target="mailto:Adam@red23.com.au" TargetMode="External"/><Relationship Id="rId921" Type="http://schemas.openxmlformats.org/officeDocument/2006/relationships/hyperlink" Target="mailto:will.munro@raywhite.com" TargetMode="External"/><Relationship Id="rId1137" Type="http://schemas.openxmlformats.org/officeDocument/2006/relationships/hyperlink" Target="mailto:s.fuss@oliverhume.com.au" TargetMode="External"/><Relationship Id="rId1344" Type="http://schemas.openxmlformats.org/officeDocument/2006/relationships/hyperlink" Target="mailto:ann@emerldparktarneit.com.au" TargetMode="External"/><Relationship Id="rId1551" Type="http://schemas.openxmlformats.org/officeDocument/2006/relationships/hyperlink" Target="mailto:z.stojanovski@oliverhume.com.au" TargetMode="External"/><Relationship Id="rId1789" Type="http://schemas.openxmlformats.org/officeDocument/2006/relationships/hyperlink" Target="mailto:adam@rpmrealestate.com.au" TargetMode="External"/><Relationship Id="rId1996" Type="http://schemas.openxmlformats.org/officeDocument/2006/relationships/hyperlink" Target="mailto:ian@krpeters.com.au" TargetMode="External"/><Relationship Id="rId2602" Type="http://schemas.openxmlformats.org/officeDocument/2006/relationships/hyperlink" Target="mailto:m.nastic@oliverhume.com.au" TargetMode="External"/><Relationship Id="rId50" Type="http://schemas.openxmlformats.org/officeDocument/2006/relationships/hyperlink" Target="mailto:NickC@centralequity.com.au" TargetMode="External"/><Relationship Id="rId1204" Type="http://schemas.openxmlformats.org/officeDocument/2006/relationships/hyperlink" Target="mailto:callum@pinnacledevelopments.com.au" TargetMode="External"/><Relationship Id="rId1411" Type="http://schemas.openxmlformats.org/officeDocument/2006/relationships/hyperlink" Target="mailto:amy.newman@lendlease.com" TargetMode="External"/><Relationship Id="rId1649" Type="http://schemas.openxmlformats.org/officeDocument/2006/relationships/hyperlink" Target="mailto:shayne@red23.com.au" TargetMode="External"/><Relationship Id="rId1856" Type="http://schemas.openxmlformats.org/officeDocument/2006/relationships/hyperlink" Target="mailto:khoa@wolfdene.com.au" TargetMode="External"/><Relationship Id="rId2907" Type="http://schemas.openxmlformats.org/officeDocument/2006/relationships/hyperlink" Target="mailto:Kim.Mair@fraserproperty.com.au" TargetMode="External"/><Relationship Id="rId3071" Type="http://schemas.openxmlformats.org/officeDocument/2006/relationships/hyperlink" Target="mailto:shane.ruffin@bisinella.com.au" TargetMode="External"/><Relationship Id="rId1509" Type="http://schemas.openxmlformats.org/officeDocument/2006/relationships/hyperlink" Target="mailto:arramont@rpmrealestate.com.au" TargetMode="External"/><Relationship Id="rId1716" Type="http://schemas.openxmlformats.org/officeDocument/2006/relationships/hyperlink" Target="mailto:s.fuss@oliverhume.com.au" TargetMode="External"/><Relationship Id="rId1923" Type="http://schemas.openxmlformats.org/officeDocument/2006/relationships/hyperlink" Target="mailto:alex.bartolo@narrewarren.rh.com.au" TargetMode="External"/><Relationship Id="rId297" Type="http://schemas.openxmlformats.org/officeDocument/2006/relationships/hyperlink" Target="mailto:tulliallan@rpmrealestate.com.au" TargetMode="External"/><Relationship Id="rId2185" Type="http://schemas.openxmlformats.org/officeDocument/2006/relationships/hyperlink" Target="mailto:lreynolds@avidpropertygroup.com.au" TargetMode="External"/><Relationship Id="rId2392" Type="http://schemas.openxmlformats.org/officeDocument/2006/relationships/hyperlink" Target="mailto:jbentleydevelopments@gmail.com" TargetMode="External"/><Relationship Id="rId3029" Type="http://schemas.openxmlformats.org/officeDocument/2006/relationships/hyperlink" Target="mailto:Kim.Mair@fraserproperty.com.au" TargetMode="External"/><Relationship Id="rId157" Type="http://schemas.openxmlformats.org/officeDocument/2006/relationships/hyperlink" Target="mailto:drokka@core-projects.com.au" TargetMode="External"/><Relationship Id="rId364" Type="http://schemas.openxmlformats.org/officeDocument/2006/relationships/hyperlink" Target="mailto:info@kingsleigh.com.au" TargetMode="External"/><Relationship Id="rId2045" Type="http://schemas.openxmlformats.org/officeDocument/2006/relationships/hyperlink" Target="mailto:kim.mair@frasersproperty.com.au" TargetMode="External"/><Relationship Id="rId2697" Type="http://schemas.openxmlformats.org/officeDocument/2006/relationships/hyperlink" Target="mailto:sales@parkviewlara.com.au" TargetMode="External"/><Relationship Id="rId571" Type="http://schemas.openxmlformats.org/officeDocument/2006/relationships/hyperlink" Target="mailto:markd@satterley.com.au" TargetMode="External"/><Relationship Id="rId669" Type="http://schemas.openxmlformats.org/officeDocument/2006/relationships/hyperlink" Target="mailto:NickC@centralequity.com.au" TargetMode="External"/><Relationship Id="rId876" Type="http://schemas.openxmlformats.org/officeDocument/2006/relationships/hyperlink" Target="mailto:NickC@centralequity.com.au" TargetMode="External"/><Relationship Id="rId1299" Type="http://schemas.openxmlformats.org/officeDocument/2006/relationships/hyperlink" Target="mailto:tim@costaland.com.au" TargetMode="External"/><Relationship Id="rId2252" Type="http://schemas.openxmlformats.org/officeDocument/2006/relationships/hyperlink" Target="mailto:info@balmoralestate.com.au" TargetMode="External"/><Relationship Id="rId2557" Type="http://schemas.openxmlformats.org/officeDocument/2006/relationships/hyperlink" Target="mailto:ann@emerldparktarneit.com.au" TargetMode="External"/><Relationship Id="rId224" Type="http://schemas.openxmlformats.org/officeDocument/2006/relationships/hyperlink" Target="mailto:z.stojanovski@oliverhume.com.au" TargetMode="External"/><Relationship Id="rId431" Type="http://schemas.openxmlformats.org/officeDocument/2006/relationships/hyperlink" Target="mailto:jason.bailes@peet.com.au" TargetMode="External"/><Relationship Id="rId529" Type="http://schemas.openxmlformats.org/officeDocument/2006/relationships/hyperlink" Target="mailto:zkovacevic@coreprojects.com.au" TargetMode="External"/><Relationship Id="rId736" Type="http://schemas.openxmlformats.org/officeDocument/2006/relationships/hyperlink" Target="mailto:thornhillpark@rpmrealestate.com.au" TargetMode="External"/><Relationship Id="rId1061" Type="http://schemas.openxmlformats.org/officeDocument/2006/relationships/hyperlink" Target="mailto:ted@wolfdene.com.au" TargetMode="External"/><Relationship Id="rId1159" Type="http://schemas.openxmlformats.org/officeDocument/2006/relationships/hyperlink" Target="mailto:dthomson@hockingstuart.com.au" TargetMode="External"/><Relationship Id="rId1366" Type="http://schemas.openxmlformats.org/officeDocument/2006/relationships/hyperlink" Target="mailto:ashwin.sethi@stockland.com.au" TargetMode="External"/><Relationship Id="rId2112" Type="http://schemas.openxmlformats.org/officeDocument/2006/relationships/hyperlink" Target="mailto:jessica.hammond@stockland.com.au" TargetMode="External"/><Relationship Id="rId2417" Type="http://schemas.openxmlformats.org/officeDocument/2006/relationships/hyperlink" Target="mailto:jason@bpg.com.au" TargetMode="External"/><Relationship Id="rId2764" Type="http://schemas.openxmlformats.org/officeDocument/2006/relationships/hyperlink" Target="mailto:jbird@barryplant.com.au" TargetMode="External"/><Relationship Id="rId2971" Type="http://schemas.openxmlformats.org/officeDocument/2006/relationships/hyperlink" Target="mailto:sales@ooranyaestate.com.au" TargetMode="External"/><Relationship Id="rId943" Type="http://schemas.openxmlformats.org/officeDocument/2006/relationships/hyperlink" Target="mailto:angelo.granata@peet.com.au" TargetMode="External"/><Relationship Id="rId1019" Type="http://schemas.openxmlformats.org/officeDocument/2006/relationships/hyperlink" Target="mailto:Jessica.Hammond@stockland.com.au" TargetMode="External"/><Relationship Id="rId1573" Type="http://schemas.openxmlformats.org/officeDocument/2006/relationships/hyperlink" Target="mailto:info@banriar.com.au" TargetMode="External"/><Relationship Id="rId1780" Type="http://schemas.openxmlformats.org/officeDocument/2006/relationships/hyperlink" Target="mailto:josephine.borg@stockland.com.au" TargetMode="External"/><Relationship Id="rId1878" Type="http://schemas.openxmlformats.org/officeDocument/2006/relationships/hyperlink" Target="mailto:jeremy@maxwellcollins.com.au" TargetMode="External"/><Relationship Id="rId2624" Type="http://schemas.openxmlformats.org/officeDocument/2006/relationships/hyperlink" Target="mailto:archi@advantagepropertygroup.com.au" TargetMode="External"/><Relationship Id="rId2831" Type="http://schemas.openxmlformats.org/officeDocument/2006/relationships/hyperlink" Target="mailto:kim.mair@frasersproperty.com.au" TargetMode="External"/><Relationship Id="rId2929" Type="http://schemas.openxmlformats.org/officeDocument/2006/relationships/hyperlink" Target="mailto:Jstojanovski@coreprojects.com.au" TargetMode="External"/><Relationship Id="rId72" Type="http://schemas.openxmlformats.org/officeDocument/2006/relationships/hyperlink" Target="mailto:ann@emerldparktarneit.com.au" TargetMode="External"/><Relationship Id="rId803" Type="http://schemas.openxmlformats.org/officeDocument/2006/relationships/hyperlink" Target="mailto:markd@satterley.com.au" TargetMode="External"/><Relationship Id="rId1226" Type="http://schemas.openxmlformats.org/officeDocument/2006/relationships/hyperlink" Target="mailto:platinumrise@a1group.com.au" TargetMode="External"/><Relationship Id="rId1433" Type="http://schemas.openxmlformats.org/officeDocument/2006/relationships/hyperlink" Target="mailto:ben@prdballarat.com.au" TargetMode="External"/><Relationship Id="rId1640" Type="http://schemas.openxmlformats.org/officeDocument/2006/relationships/hyperlink" Target="mailto:arnoldscreek.melton@rh.com.au" TargetMode="External"/><Relationship Id="rId1738" Type="http://schemas.openxmlformats.org/officeDocument/2006/relationships/hyperlink" Target="mailto:jlow@core-projects.com.au" TargetMode="External"/><Relationship Id="rId3093" Type="http://schemas.openxmlformats.org/officeDocument/2006/relationships/hyperlink" Target="mailto:drokka@coreproperty.com.au" TargetMode="External"/><Relationship Id="rId1500" Type="http://schemas.openxmlformats.org/officeDocument/2006/relationships/hyperlink" Target="mailto:adam.norton@squareyards.com.au" TargetMode="External"/><Relationship Id="rId1945" Type="http://schemas.openxmlformats.org/officeDocument/2006/relationships/hyperlink" Target="mailto:lakshan@vhls.net.au" TargetMode="External"/><Relationship Id="rId1805" Type="http://schemas.openxmlformats.org/officeDocument/2006/relationships/hyperlink" Target="mailto:botanical@satterley.com.au" TargetMode="External"/><Relationship Id="rId3020" Type="http://schemas.openxmlformats.org/officeDocument/2006/relationships/hyperlink" Target="mailto:admin@woodlea.com.au" TargetMode="External"/><Relationship Id="rId179" Type="http://schemas.openxmlformats.org/officeDocument/2006/relationships/hyperlink" Target="mailto:markd@satterley.com.au" TargetMode="External"/><Relationship Id="rId386" Type="http://schemas.openxmlformats.org/officeDocument/2006/relationships/hyperlink" Target="mailto:ashwin.sethi@stockland.com.au" TargetMode="External"/><Relationship Id="rId593" Type="http://schemas.openxmlformats.org/officeDocument/2006/relationships/hyperlink" Target="mailto:m.nastic@oliverhume.com.au" TargetMode="External"/><Relationship Id="rId2067" Type="http://schemas.openxmlformats.org/officeDocument/2006/relationships/hyperlink" Target="mailto:shane.ruffin@bisinella.com.au" TargetMode="External"/><Relationship Id="rId2274" Type="http://schemas.openxmlformats.org/officeDocument/2006/relationships/hyperlink" Target="mailto:monica.quaresima@stockland.com.au" TargetMode="External"/><Relationship Id="rId2481" Type="http://schemas.openxmlformats.org/officeDocument/2006/relationships/hyperlink" Target="mailto:heather@kaikura.com.au" TargetMode="External"/><Relationship Id="rId3118" Type="http://schemas.openxmlformats.org/officeDocument/2006/relationships/hyperlink" Target="mailto:sales@florianliving.com.au" TargetMode="External"/><Relationship Id="rId246" Type="http://schemas.openxmlformats.org/officeDocument/2006/relationships/hyperlink" Target="mailto:annadale@rpmrealestate.com.au" TargetMode="External"/><Relationship Id="rId453" Type="http://schemas.openxmlformats.org/officeDocument/2006/relationships/hyperlink" Target="mailto:steviec@satterley.com.au" TargetMode="External"/><Relationship Id="rId660" Type="http://schemas.openxmlformats.org/officeDocument/2006/relationships/hyperlink" Target="mailto:info@kingsleigh.com.au" TargetMode="External"/><Relationship Id="rId898" Type="http://schemas.openxmlformats.org/officeDocument/2006/relationships/hyperlink" Target="mailto:jody@ploughmansarms.com.au" TargetMode="External"/><Relationship Id="rId1083" Type="http://schemas.openxmlformats.org/officeDocument/2006/relationships/hyperlink" Target="mailto:s.fuss@oliverhume.com.au" TargetMode="External"/><Relationship Id="rId1290" Type="http://schemas.openxmlformats.org/officeDocument/2006/relationships/hyperlink" Target="mailto:richard@wyndhamre.com.au" TargetMode="External"/><Relationship Id="rId2134" Type="http://schemas.openxmlformats.org/officeDocument/2006/relationships/hyperlink" Target="mailto:mandalay@rpmrealestate.com.au" TargetMode="External"/><Relationship Id="rId2341" Type="http://schemas.openxmlformats.org/officeDocument/2006/relationships/hyperlink" Target="mailto:oliverhume@oliverhume.com.au" TargetMode="External"/><Relationship Id="rId2579" Type="http://schemas.openxmlformats.org/officeDocument/2006/relationships/hyperlink" Target="mailto:rob.polec@denniscorp.com.au" TargetMode="External"/><Relationship Id="rId2786" Type="http://schemas.openxmlformats.org/officeDocument/2006/relationships/hyperlink" Target="mailto:ben@prdballarat.com.au" TargetMode="External"/><Relationship Id="rId2993" Type="http://schemas.openxmlformats.org/officeDocument/2006/relationships/hyperlink" Target="mailto:stonehill@rpmrealestate.com.au" TargetMode="External"/><Relationship Id="rId106" Type="http://schemas.openxmlformats.org/officeDocument/2006/relationships/hyperlink" Target="mailto:thornhillpark@rpmrealestate.com.au" TargetMode="External"/><Relationship Id="rId313" Type="http://schemas.openxmlformats.org/officeDocument/2006/relationships/hyperlink" Target="mailto:alira@rpmrealestate.com.au" TargetMode="External"/><Relationship Id="rId758" Type="http://schemas.openxmlformats.org/officeDocument/2006/relationships/hyperlink" Target="mailto:dspiteri@hermitagehomes.com.au" TargetMode="External"/><Relationship Id="rId965" Type="http://schemas.openxmlformats.org/officeDocument/2006/relationships/hyperlink" Target="mailto:andrewd@villawoodproperties.com" TargetMode="External"/><Relationship Id="rId1150" Type="http://schemas.openxmlformats.org/officeDocument/2006/relationships/hyperlink" Target="mailto:rbhardwaj@coreprojects.com.au" TargetMode="External"/><Relationship Id="rId1388" Type="http://schemas.openxmlformats.org/officeDocument/2006/relationships/hyperlink" Target="mailto:dennis.rabba@growland.com.au" TargetMode="External"/><Relationship Id="rId1595" Type="http://schemas.openxmlformats.org/officeDocument/2006/relationships/hyperlink" Target="mailto:nataliep@wofldene.com.au" TargetMode="External"/><Relationship Id="rId2439" Type="http://schemas.openxmlformats.org/officeDocument/2006/relationships/hyperlink" Target="mailto:melanie@red23.com" TargetMode="External"/><Relationship Id="rId2646" Type="http://schemas.openxmlformats.org/officeDocument/2006/relationships/hyperlink" Target="mailto:admin@harvestrealty.com.au" TargetMode="External"/><Relationship Id="rId2853" Type="http://schemas.openxmlformats.org/officeDocument/2006/relationships/hyperlink" Target="mailto:kim.mair@frasersproperty.com.au" TargetMode="External"/><Relationship Id="rId94" Type="http://schemas.openxmlformats.org/officeDocument/2006/relationships/hyperlink" Target="mailto:freddy@freddyrealty.com.au" TargetMode="External"/><Relationship Id="rId520" Type="http://schemas.openxmlformats.org/officeDocument/2006/relationships/hyperlink" Target="mailto:daniels@lotusliving.com.au" TargetMode="External"/><Relationship Id="rId618" Type="http://schemas.openxmlformats.org/officeDocument/2006/relationships/hyperlink" Target="mailto:d.halsey@oliverhume.com.au" TargetMode="External"/><Relationship Id="rId825" Type="http://schemas.openxmlformats.org/officeDocument/2006/relationships/hyperlink" Target="mailto:thuyen@bpg.com.au" TargetMode="External"/><Relationship Id="rId1248" Type="http://schemas.openxmlformats.org/officeDocument/2006/relationships/hyperlink" Target="mailto:centralealk@oliverhume.com.au" TargetMode="External"/><Relationship Id="rId1455" Type="http://schemas.openxmlformats.org/officeDocument/2006/relationships/hyperlink" Target="mailto:kirstie@bevanprojects.com.au" TargetMode="External"/><Relationship Id="rId1662" Type="http://schemas.openxmlformats.org/officeDocument/2006/relationships/hyperlink" Target="mailto:rosenthal@rpmrealestate.com.au" TargetMode="External"/><Relationship Id="rId2201" Type="http://schemas.openxmlformats.org/officeDocument/2006/relationships/hyperlink" Target="mailto:s.fuss@oliverhume.com.au" TargetMode="External"/><Relationship Id="rId2506" Type="http://schemas.openxmlformats.org/officeDocument/2006/relationships/hyperlink" Target="mailto:ben@prdballarat.com.au" TargetMode="External"/><Relationship Id="rId1010" Type="http://schemas.openxmlformats.org/officeDocument/2006/relationships/hyperlink" Target="mailto:kristyn@krpeters.com.au" TargetMode="External"/><Relationship Id="rId1108" Type="http://schemas.openxmlformats.org/officeDocument/2006/relationships/hyperlink" Target="mailto:i.tanti@oliverhume.com.au" TargetMode="External"/><Relationship Id="rId1315" Type="http://schemas.openxmlformats.org/officeDocument/2006/relationships/hyperlink" Target="mailto:Rothwell@rpmrealestate.com.au" TargetMode="External"/><Relationship Id="rId1967" Type="http://schemas.openxmlformats.org/officeDocument/2006/relationships/hyperlink" Target="mailto:riverdalevillage@latituderealestate.com.au" TargetMode="External"/><Relationship Id="rId2713" Type="http://schemas.openxmlformats.org/officeDocument/2006/relationships/hyperlink" Target="mailto:monica.quaresima@stockland.com.au" TargetMode="External"/><Relationship Id="rId2920" Type="http://schemas.openxmlformats.org/officeDocument/2006/relationships/hyperlink" Target="mailto:info@panoramaportarlington.com.au" TargetMode="External"/><Relationship Id="rId1522" Type="http://schemas.openxmlformats.org/officeDocument/2006/relationships/hyperlink" Target="mailto:jess.o@neilsonpartners.com.au" TargetMode="External"/><Relationship Id="rId21" Type="http://schemas.openxmlformats.org/officeDocument/2006/relationships/hyperlink" Target="mailto:tulliallan@rpmrealestate.com.au" TargetMode="External"/><Relationship Id="rId2089" Type="http://schemas.openxmlformats.org/officeDocument/2006/relationships/hyperlink" Target="mailto:lreynolds@avidpropertygroup.com.au" TargetMode="External"/><Relationship Id="rId2296" Type="http://schemas.openxmlformats.org/officeDocument/2006/relationships/hyperlink" Target="mailto:anne.cross@lendlease.com" TargetMode="External"/><Relationship Id="rId268" Type="http://schemas.openxmlformats.org/officeDocument/2006/relationships/hyperlink" Target="mailto:carol.rubidoux@cedarwoods.com.au" TargetMode="External"/><Relationship Id="rId475" Type="http://schemas.openxmlformats.org/officeDocument/2006/relationships/hyperlink" Target="mailto:NickC@centralequity.com.au" TargetMode="External"/><Relationship Id="rId682" Type="http://schemas.openxmlformats.org/officeDocument/2006/relationships/hyperlink" Target="mailto:b.ellis@oliverhume.com.au" TargetMode="External"/><Relationship Id="rId2156" Type="http://schemas.openxmlformats.org/officeDocument/2006/relationships/hyperlink" Target="mailto:Courtney.tattersall@peet.com.au" TargetMode="External"/><Relationship Id="rId2363" Type="http://schemas.openxmlformats.org/officeDocument/2006/relationships/hyperlink" Target="mailto:a.clarke@oliverhume.com.au" TargetMode="External"/><Relationship Id="rId2570" Type="http://schemas.openxmlformats.org/officeDocument/2006/relationships/hyperlink" Target="mailto:sergio@alc.land" TargetMode="External"/><Relationship Id="rId128" Type="http://schemas.openxmlformats.org/officeDocument/2006/relationships/hyperlink" Target="mailto:carol.rubidoux@cedarwoods.com.au" TargetMode="External"/><Relationship Id="rId335" Type="http://schemas.openxmlformats.org/officeDocument/2006/relationships/hyperlink" Target="mailto:Georgie@evolve.com.au" TargetMode="External"/><Relationship Id="rId542" Type="http://schemas.openxmlformats.org/officeDocument/2006/relationships/hyperlink" Target="mailto:williamswalk@villawoodproperties.com" TargetMode="External"/><Relationship Id="rId1172" Type="http://schemas.openxmlformats.org/officeDocument/2006/relationships/hyperlink" Target="mailto:joea@maxbrown.com.au" TargetMode="External"/><Relationship Id="rId2016" Type="http://schemas.openxmlformats.org/officeDocument/2006/relationships/hyperlink" Target="mailto:rob@wolfdene.com.au" TargetMode="External"/><Relationship Id="rId2223" Type="http://schemas.openxmlformats.org/officeDocument/2006/relationships/hyperlink" Target="mailto:platinumrise@a1group.com.au" TargetMode="External"/><Relationship Id="rId2430" Type="http://schemas.openxmlformats.org/officeDocument/2006/relationships/hyperlink" Target="mailto:cpearson@westbrookestate.com.au" TargetMode="External"/><Relationship Id="rId402" Type="http://schemas.openxmlformats.org/officeDocument/2006/relationships/hyperlink" Target="mailto:m.morris@oliverhume.com.au" TargetMode="External"/><Relationship Id="rId1032" Type="http://schemas.openxmlformats.org/officeDocument/2006/relationships/hyperlink" Target="mailto:nataliep@wofldene.com.au" TargetMode="External"/><Relationship Id="rId1989" Type="http://schemas.openxmlformats.org/officeDocument/2006/relationships/hyperlink" Target="mailto:arramont@rpmrealestate.com.au" TargetMode="External"/><Relationship Id="rId1849" Type="http://schemas.openxmlformats.org/officeDocument/2006/relationships/hyperlink" Target="mailto:j.termine@oliverhume.com.au" TargetMode="External"/><Relationship Id="rId3064" Type="http://schemas.openxmlformats.org/officeDocument/2006/relationships/hyperlink" Target="mailto:ben@prdballarat.com.au" TargetMode="External"/><Relationship Id="rId192" Type="http://schemas.openxmlformats.org/officeDocument/2006/relationships/hyperlink" Target="mailto:andy@red23.com.au" TargetMode="External"/><Relationship Id="rId1709" Type="http://schemas.openxmlformats.org/officeDocument/2006/relationships/hyperlink" Target="mailto:s.fuss@oliverhume.com.au" TargetMode="External"/><Relationship Id="rId1916" Type="http://schemas.openxmlformats.org/officeDocument/2006/relationships/hyperlink" Target="mailto:t.ogrady@oliverhume.com.au" TargetMode="External"/><Relationship Id="rId2080" Type="http://schemas.openxmlformats.org/officeDocument/2006/relationships/hyperlink" Target="mailto:jason@red23.com.au" TargetMode="External"/><Relationship Id="rId2897" Type="http://schemas.openxmlformats.org/officeDocument/2006/relationships/hyperlink" Target="mailto:chris.walker@stockland.com.au" TargetMode="External"/><Relationship Id="rId869" Type="http://schemas.openxmlformats.org/officeDocument/2006/relationships/hyperlink" Target="mailto:jan@trijena.com.au" TargetMode="External"/><Relationship Id="rId1499" Type="http://schemas.openxmlformats.org/officeDocument/2006/relationships/hyperlink" Target="mailto:austin@latituderealestate.com.au" TargetMode="External"/><Relationship Id="rId729" Type="http://schemas.openxmlformats.org/officeDocument/2006/relationships/hyperlink" Target="mailto:dspiteri@hermitagehomes.com.au" TargetMode="External"/><Relationship Id="rId1359" Type="http://schemas.openxmlformats.org/officeDocument/2006/relationships/hyperlink" Target="mailto:Libbyt2@bigpond.con" TargetMode="External"/><Relationship Id="rId2757" Type="http://schemas.openxmlformats.org/officeDocument/2006/relationships/hyperlink" Target="mailto:jessica.hammond@stockland.com.au" TargetMode="External"/><Relationship Id="rId2964" Type="http://schemas.openxmlformats.org/officeDocument/2006/relationships/hyperlink" Target="mailto:khewitt@hockingstuart.com.au" TargetMode="External"/><Relationship Id="rId936" Type="http://schemas.openxmlformats.org/officeDocument/2006/relationships/hyperlink" Target="mailto:markd@satterley.com.au" TargetMode="External"/><Relationship Id="rId1219" Type="http://schemas.openxmlformats.org/officeDocument/2006/relationships/hyperlink" Target="mailto:z.stojanovski@oliverhume.com.au" TargetMode="External"/><Relationship Id="rId1566" Type="http://schemas.openxmlformats.org/officeDocument/2006/relationships/hyperlink" Target="mailto:ted@kohamproperty.com" TargetMode="External"/><Relationship Id="rId1773" Type="http://schemas.openxmlformats.org/officeDocument/2006/relationships/hyperlink" Target="mailto:r.miric@oliverhume.com.au" TargetMode="External"/><Relationship Id="rId1980" Type="http://schemas.openxmlformats.org/officeDocument/2006/relationships/hyperlink" Target="mailto:dennis.rabba@growland.com.au" TargetMode="External"/><Relationship Id="rId2617" Type="http://schemas.openxmlformats.org/officeDocument/2006/relationships/hyperlink" Target="mailto:jessica.hammond@stockland.com.au" TargetMode="External"/><Relationship Id="rId2824" Type="http://schemas.openxmlformats.org/officeDocument/2006/relationships/hyperlink" Target="mailto:tim@smithspark.com.au" TargetMode="External"/><Relationship Id="rId65" Type="http://schemas.openxmlformats.org/officeDocument/2006/relationships/hyperlink" Target="mailto:k.spencer@oliverhume.com.au" TargetMode="External"/><Relationship Id="rId1426" Type="http://schemas.openxmlformats.org/officeDocument/2006/relationships/hyperlink" Target="mailto:lreynolds@avidpropertygroup.com.au" TargetMode="External"/><Relationship Id="rId1633" Type="http://schemas.openxmlformats.org/officeDocument/2006/relationships/hyperlink" Target="mailto:sales@bisinella.com.au" TargetMode="External"/><Relationship Id="rId1840" Type="http://schemas.openxmlformats.org/officeDocument/2006/relationships/hyperlink" Target="mailto:LVojneska@denniscorp.com.au" TargetMode="External"/><Relationship Id="rId1700" Type="http://schemas.openxmlformats.org/officeDocument/2006/relationships/hyperlink" Target="mailto:s.fuss@oliverhume.com.au" TargetMode="External"/><Relationship Id="rId379" Type="http://schemas.openxmlformats.org/officeDocument/2006/relationships/hyperlink" Target="mailto:sales@belmondclyde.com.au" TargetMode="External"/><Relationship Id="rId586" Type="http://schemas.openxmlformats.org/officeDocument/2006/relationships/hyperlink" Target="mailto:annadale@rpmrealestate.com.au" TargetMode="External"/><Relationship Id="rId793" Type="http://schemas.openxmlformats.org/officeDocument/2006/relationships/hyperlink" Target="mailto:anne.cross@lendlease.com" TargetMode="External"/><Relationship Id="rId2267" Type="http://schemas.openxmlformats.org/officeDocument/2006/relationships/hyperlink" Target="mailto:stgermain@rpmrealestate.com.au" TargetMode="External"/><Relationship Id="rId2474" Type="http://schemas.openxmlformats.org/officeDocument/2006/relationships/hyperlink" Target="mailto:sara.lowe@eigdevelopments.com.au" TargetMode="External"/><Relationship Id="rId2681" Type="http://schemas.openxmlformats.org/officeDocument/2006/relationships/hyperlink" Target="mailto:jacqueline@goldengroup.com.au" TargetMode="External"/><Relationship Id="rId239" Type="http://schemas.openxmlformats.org/officeDocument/2006/relationships/hyperlink" Target="mailto:angelo.granata@peet.com.au" TargetMode="External"/><Relationship Id="rId446" Type="http://schemas.openxmlformats.org/officeDocument/2006/relationships/hyperlink" Target="mailto:patrick@wolfdene.com.au" TargetMode="External"/><Relationship Id="rId653" Type="http://schemas.openxmlformats.org/officeDocument/2006/relationships/hyperlink" Target="mailto:anne.cross@lendlease.com" TargetMode="External"/><Relationship Id="rId1076" Type="http://schemas.openxmlformats.org/officeDocument/2006/relationships/hyperlink" Target="mailto:cpearson@westbrookestate.com.au" TargetMode="External"/><Relationship Id="rId1283" Type="http://schemas.openxmlformats.org/officeDocument/2006/relationships/hyperlink" Target="mailto:LVojneska@denniscorp.com.au" TargetMode="External"/><Relationship Id="rId1490" Type="http://schemas.openxmlformats.org/officeDocument/2006/relationships/hyperlink" Target="mailto:kassy@langleyparklanglang.com.au" TargetMode="External"/><Relationship Id="rId2127" Type="http://schemas.openxmlformats.org/officeDocument/2006/relationships/hyperlink" Target="mailto:msharma@coreprojects.com.au" TargetMode="External"/><Relationship Id="rId2334" Type="http://schemas.openxmlformats.org/officeDocument/2006/relationships/hyperlink" Target="mailto:shobson@coreprojects.com.au" TargetMode="External"/><Relationship Id="rId306" Type="http://schemas.openxmlformats.org/officeDocument/2006/relationships/hyperlink" Target="mailto:ted@wolfdene.com.au" TargetMode="External"/><Relationship Id="rId860" Type="http://schemas.openxmlformats.org/officeDocument/2006/relationships/hyperlink" Target="mailto:thuyen.nguyen@growland.com.au" TargetMode="External"/><Relationship Id="rId1143" Type="http://schemas.openxmlformats.org/officeDocument/2006/relationships/hyperlink" Target="mailto:j.termine@oliverhume.com.au" TargetMode="External"/><Relationship Id="rId2541" Type="http://schemas.openxmlformats.org/officeDocument/2006/relationships/hyperlink" Target="mailto:mandalay@rpmrealestate.com.au" TargetMode="External"/><Relationship Id="rId513" Type="http://schemas.openxmlformats.org/officeDocument/2006/relationships/hyperlink" Target="mailto:Gem@rpmrealestate.com.au" TargetMode="External"/><Relationship Id="rId720" Type="http://schemas.openxmlformats.org/officeDocument/2006/relationships/hyperlink" Target="mailto:carol.rubidoux@cedarwoods.com.au" TargetMode="External"/><Relationship Id="rId1350" Type="http://schemas.openxmlformats.org/officeDocument/2006/relationships/hyperlink" Target="mailto:chris.walker@stockland.com.au" TargetMode="External"/><Relationship Id="rId2401" Type="http://schemas.openxmlformats.org/officeDocument/2006/relationships/hyperlink" Target="mailto:alira@rpmrealestate.com.au" TargetMode="External"/><Relationship Id="rId1003" Type="http://schemas.openxmlformats.org/officeDocument/2006/relationships/hyperlink" Target="mailto:miloss@satterley.com.au" TargetMode="External"/><Relationship Id="rId1210" Type="http://schemas.openxmlformats.org/officeDocument/2006/relationships/hyperlink" Target="mailto:jessica.hammond@stockland.com.au" TargetMode="External"/><Relationship Id="rId2191" Type="http://schemas.openxmlformats.org/officeDocument/2006/relationships/hyperlink" Target="mailto:williamswalk@villawoodproperties.com" TargetMode="External"/><Relationship Id="rId3035" Type="http://schemas.openxmlformats.org/officeDocument/2006/relationships/hyperlink" Target="mailto:kim.mair@frasersproperty.com.au" TargetMode="External"/><Relationship Id="rId163" Type="http://schemas.openxmlformats.org/officeDocument/2006/relationships/hyperlink" Target="mailto:ashwin.sethi@stockland.com.au" TargetMode="External"/><Relationship Id="rId370" Type="http://schemas.openxmlformats.org/officeDocument/2006/relationships/hyperlink" Target="mailto:daniels@lotusliving.com.au" TargetMode="External"/><Relationship Id="rId2051" Type="http://schemas.openxmlformats.org/officeDocument/2006/relationships/hyperlink" Target="mailto:creekstone@rpmrealestate.com.au" TargetMode="External"/><Relationship Id="rId3102" Type="http://schemas.openxmlformats.org/officeDocument/2006/relationships/hyperlink" Target="mailto:cameronking@mcgrath.com.au" TargetMode="External"/><Relationship Id="rId230" Type="http://schemas.openxmlformats.org/officeDocument/2006/relationships/hyperlink" Target="mailto:ann@emerldparktarneit.com.au" TargetMode="External"/><Relationship Id="rId2868" Type="http://schemas.openxmlformats.org/officeDocument/2006/relationships/hyperlink" Target="mailto:Laura@parklea.com" TargetMode="External"/><Relationship Id="rId1677" Type="http://schemas.openxmlformats.org/officeDocument/2006/relationships/hyperlink" Target="mailto:shobson@coreprojects.com.au" TargetMode="External"/><Relationship Id="rId1884" Type="http://schemas.openxmlformats.org/officeDocument/2006/relationships/hyperlink" Target="mailto:simon@maxwellcollins.com.au" TargetMode="External"/><Relationship Id="rId2728" Type="http://schemas.openxmlformats.org/officeDocument/2006/relationships/hyperlink" Target="mailto:thornhillpark@rpmrealestate.com.au" TargetMode="External"/><Relationship Id="rId2935" Type="http://schemas.openxmlformats.org/officeDocument/2006/relationships/hyperlink" Target="mailto:GRACE@OLIVERHUME.COM.AU" TargetMode="External"/><Relationship Id="rId907" Type="http://schemas.openxmlformats.org/officeDocument/2006/relationships/hyperlink" Target="mailto:jlow@core-projects.com.au" TargetMode="External"/><Relationship Id="rId1537" Type="http://schemas.openxmlformats.org/officeDocument/2006/relationships/hyperlink" Target="mailto:greg@gblproperty.com" TargetMode="External"/><Relationship Id="rId1744" Type="http://schemas.openxmlformats.org/officeDocument/2006/relationships/hyperlink" Target="mailto:kingsfield@rpmrealestate.com.au" TargetMode="External"/><Relationship Id="rId1951" Type="http://schemas.openxmlformats.org/officeDocument/2006/relationships/hyperlink" Target="mailto:sharee@maxwellcollins.com.au" TargetMode="External"/><Relationship Id="rId36" Type="http://schemas.openxmlformats.org/officeDocument/2006/relationships/hyperlink" Target="mailto:m.nastic@oliverhume.com.au" TargetMode="External"/><Relationship Id="rId1604" Type="http://schemas.openxmlformats.org/officeDocument/2006/relationships/hyperlink" Target="mailto:Eliston@rpmrealestate.com.au" TargetMode="External"/><Relationship Id="rId1811" Type="http://schemas.openxmlformats.org/officeDocument/2006/relationships/hyperlink" Target="mailto:heather@kaikura.com.au" TargetMode="External"/><Relationship Id="rId697" Type="http://schemas.openxmlformats.org/officeDocument/2006/relationships/hyperlink" Target="mailto:andy@red23.com.au" TargetMode="External"/><Relationship Id="rId2378" Type="http://schemas.openxmlformats.org/officeDocument/2006/relationships/hyperlink" Target="mailto:ben@prdballarat.com.au" TargetMode="External"/><Relationship Id="rId1187" Type="http://schemas.openxmlformats.org/officeDocument/2006/relationships/hyperlink" Target="mailto:jason@red23.com.au" TargetMode="External"/><Relationship Id="rId2585" Type="http://schemas.openxmlformats.org/officeDocument/2006/relationships/hyperlink" Target="mailto:robert.l@red23.com.au" TargetMode="External"/><Relationship Id="rId2792" Type="http://schemas.openxmlformats.org/officeDocument/2006/relationships/hyperlink" Target="mailto:keywest@rpmrealestate.com.au" TargetMode="External"/><Relationship Id="rId557" Type="http://schemas.openxmlformats.org/officeDocument/2006/relationships/hyperlink" Target="mailto:lsexton@coreprojects.com.au" TargetMode="External"/><Relationship Id="rId764" Type="http://schemas.openxmlformats.org/officeDocument/2006/relationships/hyperlink" Target="mailto:jlow@core-projects.com.au" TargetMode="External"/><Relationship Id="rId971" Type="http://schemas.openxmlformats.org/officeDocument/2006/relationships/hyperlink" Target="mailto:mai.tran@mywindermere.com.au" TargetMode="External"/><Relationship Id="rId1394" Type="http://schemas.openxmlformats.org/officeDocument/2006/relationships/hyperlink" Target="mailto:daniel.lock@mirvac.com" TargetMode="External"/><Relationship Id="rId2238" Type="http://schemas.openxmlformats.org/officeDocument/2006/relationships/hyperlink" Target="mailto:alira@rpmrealestate.com.au" TargetMode="External"/><Relationship Id="rId2445" Type="http://schemas.openxmlformats.org/officeDocument/2006/relationships/hyperlink" Target="mailto:jbird@barryplant.com.au" TargetMode="External"/><Relationship Id="rId2652" Type="http://schemas.openxmlformats.org/officeDocument/2006/relationships/hyperlink" Target="mailto:sales@ooranyaestate.com.au" TargetMode="External"/><Relationship Id="rId417" Type="http://schemas.openxmlformats.org/officeDocument/2006/relationships/hyperlink" Target="mailto:raj.shergill@stockland.com.au" TargetMode="External"/><Relationship Id="rId624" Type="http://schemas.openxmlformats.org/officeDocument/2006/relationships/hyperlink" Target="mailto:daniels@lotusliving.com.au" TargetMode="External"/><Relationship Id="rId831" Type="http://schemas.openxmlformats.org/officeDocument/2006/relationships/hyperlink" Target="mailto:d.halsey@oliverhume.com.au" TargetMode="External"/><Relationship Id="rId1047" Type="http://schemas.openxmlformats.org/officeDocument/2006/relationships/hyperlink" Target="mailto:Adam@red23.com.au" TargetMode="External"/><Relationship Id="rId1254" Type="http://schemas.openxmlformats.org/officeDocument/2006/relationships/hyperlink" Target="mailto:dennis.rabba@growland.com.au" TargetMode="External"/><Relationship Id="rId1461" Type="http://schemas.openxmlformats.org/officeDocument/2006/relationships/hyperlink" Target="mailto:sanctuarysprings@rpmrealestate.com.au" TargetMode="External"/><Relationship Id="rId2305" Type="http://schemas.openxmlformats.org/officeDocument/2006/relationships/hyperlink" Target="mailto:josephine.borg@stockland.com.au" TargetMode="External"/><Relationship Id="rId2512" Type="http://schemas.openxmlformats.org/officeDocument/2006/relationships/hyperlink" Target="mailto:anne.cross@lendlease.com" TargetMode="External"/><Relationship Id="rId1114" Type="http://schemas.openxmlformats.org/officeDocument/2006/relationships/hyperlink" Target="mailto:josephine.borg@stockland.com.au" TargetMode="External"/><Relationship Id="rId1321" Type="http://schemas.openxmlformats.org/officeDocument/2006/relationships/hyperlink" Target="mailto:mandalay@rpmrealestate.com.au" TargetMode="External"/><Relationship Id="rId3079" Type="http://schemas.openxmlformats.org/officeDocument/2006/relationships/hyperlink" Target="mailto:khoa@wolfdene.com.au" TargetMode="External"/><Relationship Id="rId2095" Type="http://schemas.openxmlformats.org/officeDocument/2006/relationships/hyperlink" Target="mailto:atherstone@lendlease.com" TargetMode="External"/><Relationship Id="rId274" Type="http://schemas.openxmlformats.org/officeDocument/2006/relationships/hyperlink" Target="mailto:raj.shergill@stockland.com.au" TargetMode="External"/><Relationship Id="rId481" Type="http://schemas.openxmlformats.org/officeDocument/2006/relationships/hyperlink" Target="mailto:sales@belmondclyde.com.au" TargetMode="External"/><Relationship Id="rId2162" Type="http://schemas.openxmlformats.org/officeDocument/2006/relationships/hyperlink" Target="mailto:bruce@kaikura.com.au" TargetMode="External"/><Relationship Id="rId3006" Type="http://schemas.openxmlformats.org/officeDocument/2006/relationships/hyperlink" Target="mailto:j.peric@oliverhume.com.au" TargetMode="External"/><Relationship Id="rId134" Type="http://schemas.openxmlformats.org/officeDocument/2006/relationships/hyperlink" Target="mailto:belinda@red23.com.au" TargetMode="External"/><Relationship Id="rId341" Type="http://schemas.openxmlformats.org/officeDocument/2006/relationships/hyperlink" Target="mailto:raj.shergill@stockland.com.au" TargetMode="External"/><Relationship Id="rId2022" Type="http://schemas.openxmlformats.org/officeDocument/2006/relationships/hyperlink" Target="mailto:khoa@wolfdene.com.au" TargetMode="External"/><Relationship Id="rId2979" Type="http://schemas.openxmlformats.org/officeDocument/2006/relationships/hyperlink" Target="mailto:daniels@lotusliving.com.au" TargetMode="External"/><Relationship Id="rId201" Type="http://schemas.openxmlformats.org/officeDocument/2006/relationships/hyperlink" Target="mailto:k.spencer@oliverhume.com.au" TargetMode="External"/><Relationship Id="rId1788" Type="http://schemas.openxmlformats.org/officeDocument/2006/relationships/hyperlink" Target="mailto:sharee@maxwellcollins.com.au" TargetMode="External"/><Relationship Id="rId1995" Type="http://schemas.openxmlformats.org/officeDocument/2006/relationships/hyperlink" Target="mailto:jessica.hammond@stockland.com.au" TargetMode="External"/><Relationship Id="rId2839" Type="http://schemas.openxmlformats.org/officeDocument/2006/relationships/hyperlink" Target="mailto:Catherine@yourland.com" TargetMode="External"/><Relationship Id="rId1648" Type="http://schemas.openxmlformats.org/officeDocument/2006/relationships/hyperlink" Target="mailto:t.leggatt@oliverhume.com.au" TargetMode="External"/><Relationship Id="rId1508" Type="http://schemas.openxmlformats.org/officeDocument/2006/relationships/hyperlink" Target="mailto:LVojneska@denniscorp.com.au" TargetMode="External"/><Relationship Id="rId1855" Type="http://schemas.openxmlformats.org/officeDocument/2006/relationships/hyperlink" Target="mailto:kevinmizzi@jxre.com.au" TargetMode="External"/><Relationship Id="rId2906" Type="http://schemas.openxmlformats.org/officeDocument/2006/relationships/hyperlink" Target="mailto:r.footman@oliverhume.com.au" TargetMode="External"/><Relationship Id="rId3070" Type="http://schemas.openxmlformats.org/officeDocument/2006/relationships/hyperlink" Target="mailto:sharee@maxwellcollins.com.au" TargetMode="External"/><Relationship Id="rId1715" Type="http://schemas.openxmlformats.org/officeDocument/2006/relationships/hyperlink" Target="mailto:s.fuss@oliverhume.com.au" TargetMode="External"/><Relationship Id="rId1922" Type="http://schemas.openxmlformats.org/officeDocument/2006/relationships/hyperlink" Target="mailto:r.footman@oliverhume.com.au" TargetMode="External"/><Relationship Id="rId2489" Type="http://schemas.openxmlformats.org/officeDocument/2006/relationships/hyperlink" Target="mailto:mandalay@rpmrealestate.com.au" TargetMode="External"/><Relationship Id="rId2696" Type="http://schemas.openxmlformats.org/officeDocument/2006/relationships/hyperlink" Target="mailto:sales@parkviewlara.com.au" TargetMode="External"/><Relationship Id="rId668" Type="http://schemas.openxmlformats.org/officeDocument/2006/relationships/hyperlink" Target="mailto:NickC@centralequity.com.au" TargetMode="External"/><Relationship Id="rId875" Type="http://schemas.openxmlformats.org/officeDocument/2006/relationships/hyperlink" Target="mailto:NickC@centralequity.com.au" TargetMode="External"/><Relationship Id="rId1298" Type="http://schemas.openxmlformats.org/officeDocument/2006/relationships/hyperlink" Target="mailto:sara.lowe@eigdevelopments.com.au" TargetMode="External"/><Relationship Id="rId2349" Type="http://schemas.openxmlformats.org/officeDocument/2006/relationships/hyperlink" Target="mailto:tim@smithspark.com.au" TargetMode="External"/><Relationship Id="rId2556" Type="http://schemas.openxmlformats.org/officeDocument/2006/relationships/hyperlink" Target="mailto:thornhillpark@rpmrealestate.com.au" TargetMode="External"/><Relationship Id="rId2763" Type="http://schemas.openxmlformats.org/officeDocument/2006/relationships/hyperlink" Target="mailto:jason@bpg.com.au" TargetMode="External"/><Relationship Id="rId2970" Type="http://schemas.openxmlformats.org/officeDocument/2006/relationships/hyperlink" Target="mailto:jessica.hammond@stockland.com.au" TargetMode="External"/><Relationship Id="rId528" Type="http://schemas.openxmlformats.org/officeDocument/2006/relationships/hyperlink" Target="mailto:ashwin.sethi@stockland.com.au" TargetMode="External"/><Relationship Id="rId735" Type="http://schemas.openxmlformats.org/officeDocument/2006/relationships/hyperlink" Target="mailto:anne.cross@lendlease.com" TargetMode="External"/><Relationship Id="rId942" Type="http://schemas.openxmlformats.org/officeDocument/2006/relationships/hyperlink" Target="mailto:ian@krpeters.com.au" TargetMode="External"/><Relationship Id="rId1158" Type="http://schemas.openxmlformats.org/officeDocument/2006/relationships/hyperlink" Target="mailto:andrewd@villawoodproperties.com" TargetMode="External"/><Relationship Id="rId1365" Type="http://schemas.openxmlformats.org/officeDocument/2006/relationships/hyperlink" Target="mailto:info@banriar.com.au" TargetMode="External"/><Relationship Id="rId1572" Type="http://schemas.openxmlformats.org/officeDocument/2006/relationships/hyperlink" Target="mailto:info@banriar.com.au" TargetMode="External"/><Relationship Id="rId2209" Type="http://schemas.openxmlformats.org/officeDocument/2006/relationships/hyperlink" Target="mailto:sergio@alc.land" TargetMode="External"/><Relationship Id="rId2416" Type="http://schemas.openxmlformats.org/officeDocument/2006/relationships/hyperlink" Target="mailto:sharee@maxwellcollins.com.au" TargetMode="External"/><Relationship Id="rId2623" Type="http://schemas.openxmlformats.org/officeDocument/2006/relationships/hyperlink" Target="mailto:Eliston@rpmrealestate.com.au" TargetMode="External"/><Relationship Id="rId1018" Type="http://schemas.openxmlformats.org/officeDocument/2006/relationships/hyperlink" Target="mailto:stgermain@rpmrealestate.com.au" TargetMode="External"/><Relationship Id="rId1225" Type="http://schemas.openxmlformats.org/officeDocument/2006/relationships/hyperlink" Target="mailto:arch@lauders.com.au" TargetMode="External"/><Relationship Id="rId1432" Type="http://schemas.openxmlformats.org/officeDocument/2006/relationships/hyperlink" Target="mailto:markd@satterley.com.au" TargetMode="External"/><Relationship Id="rId2830" Type="http://schemas.openxmlformats.org/officeDocument/2006/relationships/hyperlink" Target="mailto:jan@catalinapointcook.com.au" TargetMode="External"/><Relationship Id="rId71" Type="http://schemas.openxmlformats.org/officeDocument/2006/relationships/hyperlink" Target="mailto:NickC@centralequity.com.au" TargetMode="External"/><Relationship Id="rId802" Type="http://schemas.openxmlformats.org/officeDocument/2006/relationships/hyperlink" Target="mailto:avishnoi@coreprojects.com.au" TargetMode="External"/><Relationship Id="rId178" Type="http://schemas.openxmlformats.org/officeDocument/2006/relationships/hyperlink" Target="mailto:kassy@kaikura.com.au" TargetMode="External"/><Relationship Id="rId385" Type="http://schemas.openxmlformats.org/officeDocument/2006/relationships/hyperlink" Target="mailto:theivy@rpmrealestate.com.au" TargetMode="External"/><Relationship Id="rId592" Type="http://schemas.openxmlformats.org/officeDocument/2006/relationships/hyperlink" Target="mailto:m.nastic@oliverhume.com.au" TargetMode="External"/><Relationship Id="rId2066" Type="http://schemas.openxmlformats.org/officeDocument/2006/relationships/hyperlink" Target="mailto:brad@arborofficer.com.au" TargetMode="External"/><Relationship Id="rId2273" Type="http://schemas.openxmlformats.org/officeDocument/2006/relationships/hyperlink" Target="mailto:mai.tran@mywindermere.com.au" TargetMode="External"/><Relationship Id="rId2480" Type="http://schemas.openxmlformats.org/officeDocument/2006/relationships/hyperlink" Target="mailto:mai.tran@mywindermere.com.au" TargetMode="External"/><Relationship Id="rId3117" Type="http://schemas.openxmlformats.org/officeDocument/2006/relationships/hyperlink" Target="mailto:khewitt@hockingstuart.com.au" TargetMode="External"/><Relationship Id="rId245" Type="http://schemas.openxmlformats.org/officeDocument/2006/relationships/hyperlink" Target="mailto:shana@kaikura.com.au" TargetMode="External"/><Relationship Id="rId452" Type="http://schemas.openxmlformats.org/officeDocument/2006/relationships/hyperlink" Target="mailto:colleen.gamble@mirvac.com" TargetMode="External"/><Relationship Id="rId1082" Type="http://schemas.openxmlformats.org/officeDocument/2006/relationships/hyperlink" Target="mailto:atherstone@lendlease.com" TargetMode="External"/><Relationship Id="rId2133" Type="http://schemas.openxmlformats.org/officeDocument/2006/relationships/hyperlink" Target="mailto:jacqueline@goldengroup.com.au" TargetMode="External"/><Relationship Id="rId2340" Type="http://schemas.openxmlformats.org/officeDocument/2006/relationships/hyperlink" Target="mailto:sara.lowe@eigdevelopments.com.au" TargetMode="External"/><Relationship Id="rId105" Type="http://schemas.openxmlformats.org/officeDocument/2006/relationships/hyperlink" Target="mailto:Emma.Nelson@peet.com.au" TargetMode="External"/><Relationship Id="rId312" Type="http://schemas.openxmlformats.org/officeDocument/2006/relationships/hyperlink" Target="mailto:carol.rubidoux@cedarwoods.com.au" TargetMode="External"/><Relationship Id="rId2200" Type="http://schemas.openxmlformats.org/officeDocument/2006/relationships/hyperlink" Target="mailto:rosenthal@rpmrealestate.com.au" TargetMode="External"/><Relationship Id="rId1899" Type="http://schemas.openxmlformats.org/officeDocument/2006/relationships/hyperlink" Target="mailto:platinumrise@a1group.com.au" TargetMode="External"/><Relationship Id="rId1759" Type="http://schemas.openxmlformats.org/officeDocument/2006/relationships/hyperlink" Target="mailto:robert.l@red23.com.au" TargetMode="External"/><Relationship Id="rId1966" Type="http://schemas.openxmlformats.org/officeDocument/2006/relationships/hyperlink" Target="mailto:ted@kohamproperty.com" TargetMode="External"/><Relationship Id="rId1619" Type="http://schemas.openxmlformats.org/officeDocument/2006/relationships/hyperlink" Target="mailto:arvind@krpeters.com.au" TargetMode="External"/><Relationship Id="rId1826" Type="http://schemas.openxmlformats.org/officeDocument/2006/relationships/hyperlink" Target="mailto:melbourne@peet.com.au" TargetMode="External"/><Relationship Id="rId3041" Type="http://schemas.openxmlformats.org/officeDocument/2006/relationships/hyperlink" Target="mailto:rbhardwaj@coreprojects.com.au" TargetMode="External"/><Relationship Id="rId779" Type="http://schemas.openxmlformats.org/officeDocument/2006/relationships/hyperlink" Target="mailto:botanical@satterley.com.au" TargetMode="External"/><Relationship Id="rId986" Type="http://schemas.openxmlformats.org/officeDocument/2006/relationships/hyperlink" Target="mailto:d.halsey@oliverhume.com.au" TargetMode="External"/><Relationship Id="rId2667" Type="http://schemas.openxmlformats.org/officeDocument/2006/relationships/hyperlink" Target="mailto:jason@bpg.com.au" TargetMode="External"/><Relationship Id="rId639" Type="http://schemas.openxmlformats.org/officeDocument/2006/relationships/hyperlink" Target="mailto:adam@rpmrealestate.com.au" TargetMode="External"/><Relationship Id="rId1269" Type="http://schemas.openxmlformats.org/officeDocument/2006/relationships/hyperlink" Target="mailto:joea@maxbrown.com.au" TargetMode="External"/><Relationship Id="rId1476" Type="http://schemas.openxmlformats.org/officeDocument/2006/relationships/hyperlink" Target="mailto:GRACE@OLIVERHUME.COM.AU" TargetMode="External"/><Relationship Id="rId2874" Type="http://schemas.openxmlformats.org/officeDocument/2006/relationships/hyperlink" Target="mailto:keywest@rpmrealestate.com.au" TargetMode="External"/><Relationship Id="rId846" Type="http://schemas.openxmlformats.org/officeDocument/2006/relationships/hyperlink" Target="mailto:riverwalk@rpmrealestate.com.au" TargetMode="External"/><Relationship Id="rId1129" Type="http://schemas.openxmlformats.org/officeDocument/2006/relationships/hyperlink" Target="mailto:Aida.Kubat@denniscorp.com.au" TargetMode="External"/><Relationship Id="rId1683" Type="http://schemas.openxmlformats.org/officeDocument/2006/relationships/hyperlink" Target="mailto:bhalsall@buxton.com.au" TargetMode="External"/><Relationship Id="rId1890" Type="http://schemas.openxmlformats.org/officeDocument/2006/relationships/hyperlink" Target="mailto:cameronp@theavenuepc.com.au" TargetMode="External"/><Relationship Id="rId2527" Type="http://schemas.openxmlformats.org/officeDocument/2006/relationships/hyperlink" Target="mailto:botanicridge@rpmrealestate.com.au" TargetMode="External"/><Relationship Id="rId2734" Type="http://schemas.openxmlformats.org/officeDocument/2006/relationships/hyperlink" Target="mailto:andy@red23.com.au" TargetMode="External"/><Relationship Id="rId2941" Type="http://schemas.openxmlformats.org/officeDocument/2006/relationships/hyperlink" Target="mailto:gabey@coreprojects.com.au" TargetMode="External"/><Relationship Id="rId706" Type="http://schemas.openxmlformats.org/officeDocument/2006/relationships/hyperlink" Target="mailto:info@costaland.com.au" TargetMode="External"/><Relationship Id="rId913" Type="http://schemas.openxmlformats.org/officeDocument/2006/relationships/hyperlink" Target="mailto:eden@parklea.com" TargetMode="External"/><Relationship Id="rId1336" Type="http://schemas.openxmlformats.org/officeDocument/2006/relationships/hyperlink" Target="mailto:patrick@wolfdene.com.au" TargetMode="External"/><Relationship Id="rId1543" Type="http://schemas.openxmlformats.org/officeDocument/2006/relationships/hyperlink" Target="mailto:wayne@kilmorefn.com.au" TargetMode="External"/><Relationship Id="rId1750" Type="http://schemas.openxmlformats.org/officeDocument/2006/relationships/hyperlink" Target="mailto:amy.newman@lendlease.com" TargetMode="External"/><Relationship Id="rId2801" Type="http://schemas.openxmlformats.org/officeDocument/2006/relationships/hyperlink" Target="mailto:botanical@satterley.com.au" TargetMode="External"/><Relationship Id="rId42" Type="http://schemas.openxmlformats.org/officeDocument/2006/relationships/hyperlink" Target="mailto:tulliallan@rpmrealestate.com.au" TargetMode="External"/><Relationship Id="rId1403" Type="http://schemas.openxmlformats.org/officeDocument/2006/relationships/hyperlink" Target="mailto:t.leggatt@oliverhume.com.au" TargetMode="External"/><Relationship Id="rId1610" Type="http://schemas.openxmlformats.org/officeDocument/2006/relationships/hyperlink" Target="mailto:zkovacevic@coreprojects.com.au" TargetMode="External"/><Relationship Id="rId289" Type="http://schemas.openxmlformats.org/officeDocument/2006/relationships/hyperlink" Target="mailto:steviec@satterley.com.au" TargetMode="External"/><Relationship Id="rId496" Type="http://schemas.openxmlformats.org/officeDocument/2006/relationships/hyperlink" Target="mailto:ian@krpeters.com.au" TargetMode="External"/><Relationship Id="rId2177" Type="http://schemas.openxmlformats.org/officeDocument/2006/relationships/hyperlink" Target="mailto:approval@ngdd.com.au" TargetMode="External"/><Relationship Id="rId2384" Type="http://schemas.openxmlformats.org/officeDocument/2006/relationships/hyperlink" Target="mailto:lucy@rpmrealestate.com.au" TargetMode="External"/><Relationship Id="rId2591" Type="http://schemas.openxmlformats.org/officeDocument/2006/relationships/hyperlink" Target="mailto:dennis.rabba@growland.com.au" TargetMode="External"/><Relationship Id="rId149" Type="http://schemas.openxmlformats.org/officeDocument/2006/relationships/hyperlink" Target="mailto:kristyn@krpeters.com.au" TargetMode="External"/><Relationship Id="rId356" Type="http://schemas.openxmlformats.org/officeDocument/2006/relationships/hyperlink" Target="mailto:centralealk@oliverhume.com.au" TargetMode="External"/><Relationship Id="rId563" Type="http://schemas.openxmlformats.org/officeDocument/2006/relationships/hyperlink" Target="mailto:chris.walker@stockland.com.au" TargetMode="External"/><Relationship Id="rId770" Type="http://schemas.openxmlformats.org/officeDocument/2006/relationships/hyperlink" Target="mailto:admin@woodlea.com.au" TargetMode="External"/><Relationship Id="rId1193" Type="http://schemas.openxmlformats.org/officeDocument/2006/relationships/hyperlink" Target="mailto:sales@katandrarise.com.au" TargetMode="External"/><Relationship Id="rId2037" Type="http://schemas.openxmlformats.org/officeDocument/2006/relationships/hyperlink" Target="mailto:ashwin.sethi@stockland.com.au" TargetMode="External"/><Relationship Id="rId2244" Type="http://schemas.openxmlformats.org/officeDocument/2006/relationships/hyperlink" Target="mailto:kristent@peakerealestate.com.au" TargetMode="External"/><Relationship Id="rId2451" Type="http://schemas.openxmlformats.org/officeDocument/2006/relationships/hyperlink" Target="mailto:amber@landlaunch.com.au" TargetMode="External"/><Relationship Id="rId216" Type="http://schemas.openxmlformats.org/officeDocument/2006/relationships/hyperlink" Target="mailto:jbosancic@brightonpropertygroup.com.au" TargetMode="External"/><Relationship Id="rId423" Type="http://schemas.openxmlformats.org/officeDocument/2006/relationships/hyperlink" Target="mailto:diamondrise@rpmrealestate.com.au" TargetMode="External"/><Relationship Id="rId1053" Type="http://schemas.openxmlformats.org/officeDocument/2006/relationships/hyperlink" Target="mailto:Elyssia@villaworld.com.au" TargetMode="External"/><Relationship Id="rId1260" Type="http://schemas.openxmlformats.org/officeDocument/2006/relationships/hyperlink" Target="mailto:t.ogrady@oliverhume.com.au" TargetMode="External"/><Relationship Id="rId2104" Type="http://schemas.openxmlformats.org/officeDocument/2006/relationships/hyperlink" Target="mailto:Georgie@evolve.com.au" TargetMode="External"/><Relationship Id="rId630" Type="http://schemas.openxmlformats.org/officeDocument/2006/relationships/hyperlink" Target="mailto:tonys@maxbrown.com.au" TargetMode="External"/><Relationship Id="rId2311" Type="http://schemas.openxmlformats.org/officeDocument/2006/relationships/hyperlink" Target="mailto:admin@harvestrealty.com.au" TargetMode="External"/><Relationship Id="rId1120" Type="http://schemas.openxmlformats.org/officeDocument/2006/relationships/hyperlink" Target="mailto:riverdalevillage@latituderealestate.com.au" TargetMode="External"/><Relationship Id="rId1937" Type="http://schemas.openxmlformats.org/officeDocument/2006/relationships/hyperlink" Target="mailto:tim@smithspark.com.au" TargetMode="External"/><Relationship Id="rId3085" Type="http://schemas.openxmlformats.org/officeDocument/2006/relationships/hyperlink" Target="mailto:sharee@maxwellcollins.com.au" TargetMode="External"/><Relationship Id="rId280" Type="http://schemas.openxmlformats.org/officeDocument/2006/relationships/hyperlink" Target="mailto:drokka@core-projects.com.au" TargetMode="External"/><Relationship Id="rId3012" Type="http://schemas.openxmlformats.org/officeDocument/2006/relationships/hyperlink" Target="mailto:monica.quaresima@stockland.com.au" TargetMode="External"/><Relationship Id="rId140" Type="http://schemas.openxmlformats.org/officeDocument/2006/relationships/hyperlink" Target="mailto:dspiteri@hermitagehomes.com.au" TargetMode="External"/><Relationship Id="rId6" Type="http://schemas.openxmlformats.org/officeDocument/2006/relationships/hyperlink" Target="mailto:info@kingsleigh.com.au" TargetMode="External"/><Relationship Id="rId2778" Type="http://schemas.openxmlformats.org/officeDocument/2006/relationships/hyperlink" Target="mailto:sergio@alc.land" TargetMode="External"/><Relationship Id="rId2985" Type="http://schemas.openxmlformats.org/officeDocument/2006/relationships/hyperlink" Target="mailto:sales@ooranyaestate.com.au" TargetMode="External"/><Relationship Id="rId957" Type="http://schemas.openxmlformats.org/officeDocument/2006/relationships/hyperlink" Target="mailto:n.harb@oliverhume.com.au" TargetMode="External"/><Relationship Id="rId1587" Type="http://schemas.openxmlformats.org/officeDocument/2006/relationships/hyperlink" Target="mailto:ann@eppingviews.com.au" TargetMode="External"/><Relationship Id="rId1794" Type="http://schemas.openxmlformats.org/officeDocument/2006/relationships/hyperlink" Target="mailto:adam@rpmrealestate.com.au" TargetMode="External"/><Relationship Id="rId2638" Type="http://schemas.openxmlformats.org/officeDocument/2006/relationships/hyperlink" Target="mailto:LVojneska@denniscorp.com.au" TargetMode="External"/><Relationship Id="rId2845" Type="http://schemas.openxmlformats.org/officeDocument/2006/relationships/hyperlink" Target="mailto:jessica.hammond@stockland.com.au" TargetMode="External"/><Relationship Id="rId86" Type="http://schemas.openxmlformats.org/officeDocument/2006/relationships/hyperlink" Target="mailto:ted@wolfdene.com.au" TargetMode="External"/><Relationship Id="rId817" Type="http://schemas.openxmlformats.org/officeDocument/2006/relationships/hyperlink" Target="mailto:HaiN@centralequity.com.au" TargetMode="External"/><Relationship Id="rId1447" Type="http://schemas.openxmlformats.org/officeDocument/2006/relationships/hyperlink" Target="mailto:riverwalk@rpmrealestate.com.au" TargetMode="External"/><Relationship Id="rId1654" Type="http://schemas.openxmlformats.org/officeDocument/2006/relationships/hyperlink" Target="mailto:khoa@wofldene.com.au" TargetMode="External"/><Relationship Id="rId1861" Type="http://schemas.openxmlformats.org/officeDocument/2006/relationships/hyperlink" Target="mailto:khoa@wolfdene.com.au" TargetMode="External"/><Relationship Id="rId2705" Type="http://schemas.openxmlformats.org/officeDocument/2006/relationships/hyperlink" Target="mailto:kim.mair@frasersproperty.com.au" TargetMode="External"/><Relationship Id="rId2912" Type="http://schemas.openxmlformats.org/officeDocument/2006/relationships/hyperlink" Target="mailto:austin@latituderealestate.com.au" TargetMode="External"/><Relationship Id="rId1307" Type="http://schemas.openxmlformats.org/officeDocument/2006/relationships/hyperlink" Target="mailto:mandalay@rpmrealestate.com.au" TargetMode="External"/><Relationship Id="rId1514" Type="http://schemas.openxmlformats.org/officeDocument/2006/relationships/hyperlink" Target="mailto:sales@brrealestates.com.au" TargetMode="External"/><Relationship Id="rId1721" Type="http://schemas.openxmlformats.org/officeDocument/2006/relationships/hyperlink" Target="mailto:adam@watchrealestate.com.au" TargetMode="External"/><Relationship Id="rId13" Type="http://schemas.openxmlformats.org/officeDocument/2006/relationships/hyperlink" Target="mailto:daniels@lotusliving.com.au" TargetMode="External"/><Relationship Id="rId2288" Type="http://schemas.openxmlformats.org/officeDocument/2006/relationships/hyperlink" Target="mailto:Courtney.tattersall@peet.com.au" TargetMode="External"/><Relationship Id="rId2495" Type="http://schemas.openxmlformats.org/officeDocument/2006/relationships/hyperlink" Target="mailto:sergio@alc.land" TargetMode="External"/><Relationship Id="rId467" Type="http://schemas.openxmlformats.org/officeDocument/2006/relationships/hyperlink" Target="mailto:rbhardwaj@coreprojects.com.au" TargetMode="External"/><Relationship Id="rId1097" Type="http://schemas.openxmlformats.org/officeDocument/2006/relationships/hyperlink" Target="mailto:patrick@wolfdene.com.au" TargetMode="External"/><Relationship Id="rId2148" Type="http://schemas.openxmlformats.org/officeDocument/2006/relationships/hyperlink" Target="mailto:rosewood2@rpmrealestate.com.au" TargetMode="External"/><Relationship Id="rId674" Type="http://schemas.openxmlformats.org/officeDocument/2006/relationships/hyperlink" Target="mailto:kunal@red23.com.au" TargetMode="External"/><Relationship Id="rId881" Type="http://schemas.openxmlformats.org/officeDocument/2006/relationships/hyperlink" Target="mailto:cpearson@westbrookestate.com.au" TargetMode="External"/><Relationship Id="rId2355" Type="http://schemas.openxmlformats.org/officeDocument/2006/relationships/hyperlink" Target="mailto:Rachael@kohamproperty.com.au" TargetMode="External"/><Relationship Id="rId2562" Type="http://schemas.openxmlformats.org/officeDocument/2006/relationships/hyperlink" Target="mailto:Catherine@yourland.com" TargetMode="External"/><Relationship Id="rId327" Type="http://schemas.openxmlformats.org/officeDocument/2006/relationships/hyperlink" Target="mailto:theivy@rpmrealestate.com.au" TargetMode="External"/><Relationship Id="rId534" Type="http://schemas.openxmlformats.org/officeDocument/2006/relationships/hyperlink" Target="mailto:annadale@rpmrealestate.com.au" TargetMode="External"/><Relationship Id="rId741" Type="http://schemas.openxmlformats.org/officeDocument/2006/relationships/hyperlink" Target="mailto:Rothwell@rpmrealestate.com.au" TargetMode="External"/><Relationship Id="rId1164" Type="http://schemas.openxmlformats.org/officeDocument/2006/relationships/hyperlink" Target="mailto:alira@rpmrealestate.com.au" TargetMode="External"/><Relationship Id="rId1371" Type="http://schemas.openxmlformats.org/officeDocument/2006/relationships/hyperlink" Target="mailto:r.footman@oliverhume.com.au" TargetMode="External"/><Relationship Id="rId2008" Type="http://schemas.openxmlformats.org/officeDocument/2006/relationships/hyperlink" Target="mailto:chris.walker@stockland.com.au" TargetMode="External"/><Relationship Id="rId2215" Type="http://schemas.openxmlformats.org/officeDocument/2006/relationships/hyperlink" Target="mailto:greg@gblproperty.com" TargetMode="External"/><Relationship Id="rId2422" Type="http://schemas.openxmlformats.org/officeDocument/2006/relationships/hyperlink" Target="mailto:miloss@satterley.com.au" TargetMode="External"/><Relationship Id="rId601" Type="http://schemas.openxmlformats.org/officeDocument/2006/relationships/hyperlink" Target="mailto:angelo@hallmarc.com.au" TargetMode="External"/><Relationship Id="rId1024" Type="http://schemas.openxmlformats.org/officeDocument/2006/relationships/hyperlink" Target="mailto:k.spencer@oliverhume.com.au" TargetMode="External"/><Relationship Id="rId1231" Type="http://schemas.openxmlformats.org/officeDocument/2006/relationships/hyperlink" Target="mailto:westwood2@rpmrealestate.com.au" TargetMode="External"/><Relationship Id="rId3056" Type="http://schemas.openxmlformats.org/officeDocument/2006/relationships/hyperlink" Target="mailto:n.harb@oliverhume.com.au" TargetMode="External"/><Relationship Id="rId184" Type="http://schemas.openxmlformats.org/officeDocument/2006/relationships/hyperlink" Target="mailto:raj.shergill@stockland.com.au" TargetMode="External"/><Relationship Id="rId391" Type="http://schemas.openxmlformats.org/officeDocument/2006/relationships/hyperlink" Target="mailto:matthew.petrie@stockland.com.au" TargetMode="External"/><Relationship Id="rId1908" Type="http://schemas.openxmlformats.org/officeDocument/2006/relationships/hyperlink" Target="mailto:d.halsey@oliverhume.com.au" TargetMode="External"/><Relationship Id="rId2072" Type="http://schemas.openxmlformats.org/officeDocument/2006/relationships/hyperlink" Target="mailto:riverwalk@rpmrealestate.com.au" TargetMode="External"/><Relationship Id="rId251" Type="http://schemas.openxmlformats.org/officeDocument/2006/relationships/hyperlink" Target="mailto:n.harb@oliverhume.com.au" TargetMode="External"/><Relationship Id="rId2889" Type="http://schemas.openxmlformats.org/officeDocument/2006/relationships/hyperlink" Target="mailto:jason@red23.com.au" TargetMode="External"/><Relationship Id="rId111" Type="http://schemas.openxmlformats.org/officeDocument/2006/relationships/hyperlink" Target="mailto:manzeene@rpmrealestate.com.au" TargetMode="External"/><Relationship Id="rId1698" Type="http://schemas.openxmlformats.org/officeDocument/2006/relationships/hyperlink" Target="mailto:s.fuss@oliverhume.com.au" TargetMode="External"/><Relationship Id="rId2749" Type="http://schemas.openxmlformats.org/officeDocument/2006/relationships/hyperlink" Target="mailto:admin@stockdaleleggo.com.au" TargetMode="External"/><Relationship Id="rId2956" Type="http://schemas.openxmlformats.org/officeDocument/2006/relationships/hyperlink" Target="mailto:Tribellarise@rpmgrp.com.au" TargetMode="External"/><Relationship Id="rId928" Type="http://schemas.openxmlformats.org/officeDocument/2006/relationships/hyperlink" Target="mailto:atherstone@lendlease.com" TargetMode="External"/><Relationship Id="rId1558" Type="http://schemas.openxmlformats.org/officeDocument/2006/relationships/hyperlink" Target="mailto:kassy@kaikura.com.au" TargetMode="External"/><Relationship Id="rId1765" Type="http://schemas.openxmlformats.org/officeDocument/2006/relationships/hyperlink" Target="mailto:Smaher@oreana.com.au" TargetMode="External"/><Relationship Id="rId2609" Type="http://schemas.openxmlformats.org/officeDocument/2006/relationships/hyperlink" Target="mailto:s.fuss@oliverhume.com.au" TargetMode="External"/><Relationship Id="rId57" Type="http://schemas.openxmlformats.org/officeDocument/2006/relationships/hyperlink" Target="mailto:d.rabba@oliverhume.com.au" TargetMode="External"/><Relationship Id="rId1418" Type="http://schemas.openxmlformats.org/officeDocument/2006/relationships/hyperlink" Target="mailto:jason.bailes@peet.com.au" TargetMode="External"/><Relationship Id="rId1972" Type="http://schemas.openxmlformats.org/officeDocument/2006/relationships/hyperlink" Target="mailto:Jessica.Hammond@stockland.com.au" TargetMode="External"/><Relationship Id="rId2816" Type="http://schemas.openxmlformats.org/officeDocument/2006/relationships/hyperlink" Target="mailto:kevinmizzi@jxre.com.au" TargetMode="External"/><Relationship Id="rId1625" Type="http://schemas.openxmlformats.org/officeDocument/2006/relationships/hyperlink" Target="mailto:carol.rubidoux@cedarwoods.com.au" TargetMode="External"/><Relationship Id="rId1832" Type="http://schemas.openxmlformats.org/officeDocument/2006/relationships/hyperlink" Target="mailto:riverdalevillage@latituderealestate.com.au" TargetMode="External"/><Relationship Id="rId2399" Type="http://schemas.openxmlformats.org/officeDocument/2006/relationships/hyperlink" Target="mailto:riverwalk@rpmrealestate.com.au" TargetMode="External"/><Relationship Id="rId578" Type="http://schemas.openxmlformats.org/officeDocument/2006/relationships/hyperlink" Target="mailto:arramont@rpmrealestate.com.au" TargetMode="External"/><Relationship Id="rId785" Type="http://schemas.openxmlformats.org/officeDocument/2006/relationships/hyperlink" Target="mailto:cmccormack@avidpropertygroup.com.au" TargetMode="External"/><Relationship Id="rId992" Type="http://schemas.openxmlformats.org/officeDocument/2006/relationships/hyperlink" Target="mailto:thornhillpark@rpmrealestate.com.au" TargetMode="External"/><Relationship Id="rId2259" Type="http://schemas.openxmlformats.org/officeDocument/2006/relationships/hyperlink" Target="mailto:s.datti@oliverhume.com.au" TargetMode="External"/><Relationship Id="rId2466" Type="http://schemas.openxmlformats.org/officeDocument/2006/relationships/hyperlink" Target="mailto:approval@ngdd.com.au" TargetMode="External"/><Relationship Id="rId2673" Type="http://schemas.openxmlformats.org/officeDocument/2006/relationships/hyperlink" Target="mailto:amy.newman@lendlease.com" TargetMode="External"/><Relationship Id="rId2880" Type="http://schemas.openxmlformats.org/officeDocument/2006/relationships/hyperlink" Target="mailto:Eliston@rpmrealestate.com.au" TargetMode="External"/><Relationship Id="rId438" Type="http://schemas.openxmlformats.org/officeDocument/2006/relationships/hyperlink" Target="mailto:Emma.Nelson@peet.com.au" TargetMode="External"/><Relationship Id="rId645" Type="http://schemas.openxmlformats.org/officeDocument/2006/relationships/hyperlink" Target="mailto:anne.cross@lendlease.com" TargetMode="External"/><Relationship Id="rId852" Type="http://schemas.openxmlformats.org/officeDocument/2006/relationships/hyperlink" Target="mailto:chris.walker@stockland.com.au" TargetMode="External"/><Relationship Id="rId1068" Type="http://schemas.openxmlformats.org/officeDocument/2006/relationships/hyperlink" Target="mailto:steviec@satterley.com.au" TargetMode="External"/><Relationship Id="rId1275" Type="http://schemas.openxmlformats.org/officeDocument/2006/relationships/hyperlink" Target="mailto:enquires@heritagerise.com.au" TargetMode="External"/><Relationship Id="rId1482" Type="http://schemas.openxmlformats.org/officeDocument/2006/relationships/hyperlink" Target="mailto:kassy@langleyparklanglang.com.au" TargetMode="External"/><Relationship Id="rId2119" Type="http://schemas.openxmlformats.org/officeDocument/2006/relationships/hyperlink" Target="mailto:ted@kohamproperty.com" TargetMode="External"/><Relationship Id="rId2326" Type="http://schemas.openxmlformats.org/officeDocument/2006/relationships/hyperlink" Target="mailto:rochelles@allam.com.au" TargetMode="External"/><Relationship Id="rId2533" Type="http://schemas.openxmlformats.org/officeDocument/2006/relationships/hyperlink" Target="mailto:sales@aldoestate.com.au" TargetMode="External"/><Relationship Id="rId2740" Type="http://schemas.openxmlformats.org/officeDocument/2006/relationships/hyperlink" Target="mailto:rivulet@rpmrealestate.com.au" TargetMode="External"/><Relationship Id="rId505" Type="http://schemas.openxmlformats.org/officeDocument/2006/relationships/hyperlink" Target="mailto:info@kingsleigh.com.au" TargetMode="External"/><Relationship Id="rId712" Type="http://schemas.openxmlformats.org/officeDocument/2006/relationships/hyperlink" Target="mailto:patrick@wolfdene.com.au" TargetMode="External"/><Relationship Id="rId1135" Type="http://schemas.openxmlformats.org/officeDocument/2006/relationships/hyperlink" Target="mailto:jan@trijena.com.au" TargetMode="External"/><Relationship Id="rId1342" Type="http://schemas.openxmlformats.org/officeDocument/2006/relationships/hyperlink" Target="mailto:miloss@satterley.com.au" TargetMode="External"/><Relationship Id="rId1202" Type="http://schemas.openxmlformats.org/officeDocument/2006/relationships/hyperlink" Target="mailto:angelo.granata@peet.com.au" TargetMode="External"/><Relationship Id="rId2600" Type="http://schemas.openxmlformats.org/officeDocument/2006/relationships/hyperlink" Target="mailto:josephine.borg@stockland.com.au" TargetMode="External"/><Relationship Id="rId295" Type="http://schemas.openxmlformats.org/officeDocument/2006/relationships/hyperlink" Target="mailto:Eliston@rpmrealestate.com.au" TargetMode="External"/><Relationship Id="rId2183" Type="http://schemas.openxmlformats.org/officeDocument/2006/relationships/hyperlink" Target="mailto:r.newman@oliverhume.com.au" TargetMode="External"/><Relationship Id="rId2390" Type="http://schemas.openxmlformats.org/officeDocument/2006/relationships/hyperlink" Target="mailto:mandalay@rpmrealestate.com.au" TargetMode="External"/><Relationship Id="rId3027" Type="http://schemas.openxmlformats.org/officeDocument/2006/relationships/hyperlink" Target="mailto:admin@woodlea.com.au" TargetMode="External"/><Relationship Id="rId155" Type="http://schemas.openxmlformats.org/officeDocument/2006/relationships/hyperlink" Target="mailto:David.maloney@frasers.com.au" TargetMode="External"/><Relationship Id="rId362" Type="http://schemas.openxmlformats.org/officeDocument/2006/relationships/hyperlink" Target="mailto:richard@wyndhamre.com.au" TargetMode="External"/><Relationship Id="rId2043" Type="http://schemas.openxmlformats.org/officeDocument/2006/relationships/hyperlink" Target="mailto:m.morris@oliverhume.com.au" TargetMode="External"/><Relationship Id="rId2250" Type="http://schemas.openxmlformats.org/officeDocument/2006/relationships/hyperlink" Target="mailto:info@balmoralestate.com.au" TargetMode="External"/><Relationship Id="rId222" Type="http://schemas.openxmlformats.org/officeDocument/2006/relationships/hyperlink" Target="mailto:drokka@core-projects.com.au" TargetMode="External"/><Relationship Id="rId2110" Type="http://schemas.openxmlformats.org/officeDocument/2006/relationships/hyperlink" Target="mailto:rbhardwaj@coreprojects.com.au" TargetMode="External"/><Relationship Id="rId1669" Type="http://schemas.openxmlformats.org/officeDocument/2006/relationships/hyperlink" Target="mailto:simon@maxwellcollins.com.au" TargetMode="External"/><Relationship Id="rId1876" Type="http://schemas.openxmlformats.org/officeDocument/2006/relationships/hyperlink" Target="mailto:info@balmoralestate.com.au" TargetMode="External"/><Relationship Id="rId2927" Type="http://schemas.openxmlformats.org/officeDocument/2006/relationships/hyperlink" Target="mailto:cameronp@theavenuepc.com.au" TargetMode="External"/><Relationship Id="rId3091" Type="http://schemas.openxmlformats.org/officeDocument/2006/relationships/hyperlink" Target="mailto:lucy@rpmgrp.com.au" TargetMode="External"/><Relationship Id="rId1529" Type="http://schemas.openxmlformats.org/officeDocument/2006/relationships/hyperlink" Target="mailto:l.pappalardo@oliverhime.com.au" TargetMode="External"/><Relationship Id="rId1736" Type="http://schemas.openxmlformats.org/officeDocument/2006/relationships/hyperlink" Target="mailto:bhalsall@buxton.com.au" TargetMode="External"/><Relationship Id="rId1943" Type="http://schemas.openxmlformats.org/officeDocument/2006/relationships/hyperlink" Target="mailto:andy@red23.com.au" TargetMode="External"/><Relationship Id="rId28" Type="http://schemas.openxmlformats.org/officeDocument/2006/relationships/hyperlink" Target="mailto:callum@pinnacledevelopments.com.au" TargetMode="External"/><Relationship Id="rId1803" Type="http://schemas.openxmlformats.org/officeDocument/2006/relationships/hyperlink" Target="mailto:botanical@satterley.com.au" TargetMode="External"/><Relationship Id="rId689" Type="http://schemas.openxmlformats.org/officeDocument/2006/relationships/hyperlink" Target="mailto:kristyn@krpeters.com.au" TargetMode="External"/><Relationship Id="rId896" Type="http://schemas.openxmlformats.org/officeDocument/2006/relationships/hyperlink" Target="mailto:jody@ploughmansarms.com.au" TargetMode="External"/><Relationship Id="rId2577" Type="http://schemas.openxmlformats.org/officeDocument/2006/relationships/hyperlink" Target="mailto:Courtney.tattersall@peet.com.au" TargetMode="External"/><Relationship Id="rId2784" Type="http://schemas.openxmlformats.org/officeDocument/2006/relationships/hyperlink" Target="mailto:jason@eightpropertyinvestments.com.au" TargetMode="External"/><Relationship Id="rId549" Type="http://schemas.openxmlformats.org/officeDocument/2006/relationships/hyperlink" Target="mailto:jake@red23.com.au" TargetMode="External"/><Relationship Id="rId756" Type="http://schemas.openxmlformats.org/officeDocument/2006/relationships/hyperlink" Target="mailto:z.stojanovski@oliverhume.com.au" TargetMode="External"/><Relationship Id="rId1179" Type="http://schemas.openxmlformats.org/officeDocument/2006/relationships/hyperlink" Target="mailto:sales@florianliving.com.au" TargetMode="External"/><Relationship Id="rId1386" Type="http://schemas.openxmlformats.org/officeDocument/2006/relationships/hyperlink" Target="mailto:khoa@wolfdene.com.au" TargetMode="External"/><Relationship Id="rId1593" Type="http://schemas.openxmlformats.org/officeDocument/2006/relationships/hyperlink" Target="mailto:ben@prdballarat.com.au" TargetMode="External"/><Relationship Id="rId2437" Type="http://schemas.openxmlformats.org/officeDocument/2006/relationships/hyperlink" Target="mailto:mandalay@rpmrealestate.com.au" TargetMode="External"/><Relationship Id="rId2991" Type="http://schemas.openxmlformats.org/officeDocument/2006/relationships/hyperlink" Target="mailto:m.huynh@oliverhume.com.au" TargetMode="External"/><Relationship Id="rId409" Type="http://schemas.openxmlformats.org/officeDocument/2006/relationships/hyperlink" Target="mailto:markd@satterley.com.au" TargetMode="External"/><Relationship Id="rId963" Type="http://schemas.openxmlformats.org/officeDocument/2006/relationships/hyperlink" Target="mailto:mandalay@rpmrealestate.com.au" TargetMode="External"/><Relationship Id="rId1039" Type="http://schemas.openxmlformats.org/officeDocument/2006/relationships/hyperlink" Target="mailto:info@banriar.com.au" TargetMode="External"/><Relationship Id="rId1246" Type="http://schemas.openxmlformats.org/officeDocument/2006/relationships/hyperlink" Target="mailto:carol.rubidoux@cedarwoods.com.au" TargetMode="External"/><Relationship Id="rId2644" Type="http://schemas.openxmlformats.org/officeDocument/2006/relationships/hyperlink" Target="mailto:sales@aldoestate.com.au" TargetMode="External"/><Relationship Id="rId2851" Type="http://schemas.openxmlformats.org/officeDocument/2006/relationships/hyperlink" Target="mailto:wayne@oceangroverealestate.com.au" TargetMode="External"/><Relationship Id="rId92" Type="http://schemas.openxmlformats.org/officeDocument/2006/relationships/hyperlink" Target="mailto:thuyen@bpg.com.au" TargetMode="External"/><Relationship Id="rId616" Type="http://schemas.openxmlformats.org/officeDocument/2006/relationships/hyperlink" Target="mailto:d.halsey@oliverhume.com.au" TargetMode="External"/><Relationship Id="rId823" Type="http://schemas.openxmlformats.org/officeDocument/2006/relationships/hyperlink" Target="mailto:sharee@maxwellcollins.com.au" TargetMode="External"/><Relationship Id="rId1453" Type="http://schemas.openxmlformats.org/officeDocument/2006/relationships/hyperlink" Target="mailto:nataliep@wofldene.com.au" TargetMode="External"/><Relationship Id="rId1660" Type="http://schemas.openxmlformats.org/officeDocument/2006/relationships/hyperlink" Target="mailto:m.morris@oliverhume.com.au" TargetMode="External"/><Relationship Id="rId2504" Type="http://schemas.openxmlformats.org/officeDocument/2006/relationships/hyperlink" Target="mailto:lachlan@nevillerichards.com.au" TargetMode="External"/><Relationship Id="rId2711" Type="http://schemas.openxmlformats.org/officeDocument/2006/relationships/hyperlink" Target="mailto:Kim.Mair@fraserproperty.com.au" TargetMode="External"/><Relationship Id="rId1106" Type="http://schemas.openxmlformats.org/officeDocument/2006/relationships/hyperlink" Target="mailto:steviec@satterley.com.au" TargetMode="External"/><Relationship Id="rId1313" Type="http://schemas.openxmlformats.org/officeDocument/2006/relationships/hyperlink" Target="mailto:bhalsall@buxton.com.au" TargetMode="External"/><Relationship Id="rId1520" Type="http://schemas.openxmlformats.org/officeDocument/2006/relationships/hyperlink" Target="mailto:austin@latituderealestate.com.au" TargetMode="External"/><Relationship Id="rId199" Type="http://schemas.openxmlformats.org/officeDocument/2006/relationships/hyperlink" Target="mailto:riverdalevillage@latituderealestate.com.au" TargetMode="External"/><Relationship Id="rId2087" Type="http://schemas.openxmlformats.org/officeDocument/2006/relationships/hyperlink" Target="mailto:ashwin.sethi@stockland.com.au" TargetMode="External"/><Relationship Id="rId2294" Type="http://schemas.openxmlformats.org/officeDocument/2006/relationships/hyperlink" Target="mailto:rivulet@rpmrealestate.com.au" TargetMode="External"/><Relationship Id="rId266" Type="http://schemas.openxmlformats.org/officeDocument/2006/relationships/hyperlink" Target="mailto:jlow@core-projects.com.au" TargetMode="External"/><Relationship Id="rId473" Type="http://schemas.openxmlformats.org/officeDocument/2006/relationships/hyperlink" Target="mailto:sales@belmondclyde.com.au" TargetMode="External"/><Relationship Id="rId680" Type="http://schemas.openxmlformats.org/officeDocument/2006/relationships/hyperlink" Target="mailto:admin@woodlea.com.au" TargetMode="External"/><Relationship Id="rId2154" Type="http://schemas.openxmlformats.org/officeDocument/2006/relationships/hyperlink" Target="mailto:j.termine@oliverhume.com.au" TargetMode="External"/><Relationship Id="rId2361" Type="http://schemas.openxmlformats.org/officeDocument/2006/relationships/hyperlink" Target="mailto:arramont@rpmrealestate.com.au" TargetMode="External"/><Relationship Id="rId126" Type="http://schemas.openxmlformats.org/officeDocument/2006/relationships/hyperlink" Target="mailto:greg@gblproperty.com" TargetMode="External"/><Relationship Id="rId333" Type="http://schemas.openxmlformats.org/officeDocument/2006/relationships/hyperlink" Target="mailto:LVojneska@denniscorp.com.au" TargetMode="External"/><Relationship Id="rId540" Type="http://schemas.openxmlformats.org/officeDocument/2006/relationships/hyperlink" Target="mailto:Eliston@rpmrealestate.com.au" TargetMode="External"/><Relationship Id="rId1170" Type="http://schemas.openxmlformats.org/officeDocument/2006/relationships/hyperlink" Target="mailto:daniel.lock@mirvac.com" TargetMode="External"/><Relationship Id="rId2014" Type="http://schemas.openxmlformats.org/officeDocument/2006/relationships/hyperlink" Target="mailto:greg@gblproperty.com" TargetMode="External"/><Relationship Id="rId2221" Type="http://schemas.openxmlformats.org/officeDocument/2006/relationships/hyperlink" Target="mailto:bhalsall@buxton.com.au" TargetMode="External"/><Relationship Id="rId1030" Type="http://schemas.openxmlformats.org/officeDocument/2006/relationships/hyperlink" Target="mailto:admin@woodlea.com.au" TargetMode="External"/><Relationship Id="rId400" Type="http://schemas.openxmlformats.org/officeDocument/2006/relationships/hyperlink" Target="mailto:b.ellis@oliverhume.com.au" TargetMode="External"/><Relationship Id="rId1987" Type="http://schemas.openxmlformats.org/officeDocument/2006/relationships/hyperlink" Target="mailto:thuyen.nguyen@growland.com.au" TargetMode="External"/><Relationship Id="rId1847" Type="http://schemas.openxmlformats.org/officeDocument/2006/relationships/hyperlink" Target="mailto:kevin@eightypi.com.au" TargetMode="External"/><Relationship Id="rId1707" Type="http://schemas.openxmlformats.org/officeDocument/2006/relationships/hyperlink" Target="mailto:s.fuss@oliverhume.com.au" TargetMode="External"/><Relationship Id="rId3062" Type="http://schemas.openxmlformats.org/officeDocument/2006/relationships/hyperlink" Target="mailto:d.rabba@oliverhume.com.au" TargetMode="External"/><Relationship Id="rId190" Type="http://schemas.openxmlformats.org/officeDocument/2006/relationships/hyperlink" Target="mailto:colleen.gamble@mirvac.com" TargetMode="External"/><Relationship Id="rId1914" Type="http://schemas.openxmlformats.org/officeDocument/2006/relationships/hyperlink" Target="mailto:sudha@pottergeorge.com.au" TargetMode="External"/><Relationship Id="rId2688" Type="http://schemas.openxmlformats.org/officeDocument/2006/relationships/hyperlink" Target="mailto:LVojneska@denniscorp.com.au" TargetMode="External"/><Relationship Id="rId2895" Type="http://schemas.openxmlformats.org/officeDocument/2006/relationships/hyperlink" Target="mailto:shobson@coreprojects.com.au" TargetMode="External"/><Relationship Id="rId867" Type="http://schemas.openxmlformats.org/officeDocument/2006/relationships/hyperlink" Target="mailto:jan@trijena.com.au" TargetMode="External"/><Relationship Id="rId1497" Type="http://schemas.openxmlformats.org/officeDocument/2006/relationships/hyperlink" Target="mailto:mandalay@rpmrealestate.com.au" TargetMode="External"/><Relationship Id="rId2548" Type="http://schemas.openxmlformats.org/officeDocument/2006/relationships/hyperlink" Target="mailto:ben@prdballarat.com.au" TargetMode="External"/><Relationship Id="rId2755" Type="http://schemas.openxmlformats.org/officeDocument/2006/relationships/hyperlink" Target="mailto:jessica.hammond@stockland.com.au" TargetMode="External"/><Relationship Id="rId2962" Type="http://schemas.openxmlformats.org/officeDocument/2006/relationships/hyperlink" Target="mailto:george@red23.com.au" TargetMode="External"/><Relationship Id="rId727" Type="http://schemas.openxmlformats.org/officeDocument/2006/relationships/hyperlink" Target="mailto:thornhillpark@rpmrealestate.com.au" TargetMode="External"/><Relationship Id="rId934" Type="http://schemas.openxmlformats.org/officeDocument/2006/relationships/hyperlink" Target="mailto:freddy@freddyrealty.com.au" TargetMode="External"/><Relationship Id="rId1357" Type="http://schemas.openxmlformats.org/officeDocument/2006/relationships/hyperlink" Target="mailto:mai.tran@mywindermere.com.au" TargetMode="External"/><Relationship Id="rId1564" Type="http://schemas.openxmlformats.org/officeDocument/2006/relationships/hyperlink" Target="mailto:sales@bisinella.com.au" TargetMode="External"/><Relationship Id="rId1771" Type="http://schemas.openxmlformats.org/officeDocument/2006/relationships/hyperlink" Target="mailto:d.halsey@oliverhume.com.au" TargetMode="External"/><Relationship Id="rId2408" Type="http://schemas.openxmlformats.org/officeDocument/2006/relationships/hyperlink" Target="mailto:bhalsall@buxton.com.au" TargetMode="External"/><Relationship Id="rId2615" Type="http://schemas.openxmlformats.org/officeDocument/2006/relationships/hyperlink" Target="mailto:khewitt@hockingstuart.com.au" TargetMode="External"/><Relationship Id="rId2822" Type="http://schemas.openxmlformats.org/officeDocument/2006/relationships/hyperlink" Target="mailto:creekstone@rpmrealestate.com.au" TargetMode="External"/><Relationship Id="rId63" Type="http://schemas.openxmlformats.org/officeDocument/2006/relationships/hyperlink" Target="mailto:r.newman@oliverhume.com.au" TargetMode="External"/><Relationship Id="rId1217" Type="http://schemas.openxmlformats.org/officeDocument/2006/relationships/hyperlink" Target="mailto:miloss@satterley.com.au" TargetMode="External"/><Relationship Id="rId1424" Type="http://schemas.openxmlformats.org/officeDocument/2006/relationships/hyperlink" Target="mailto:atherstone@lendlease.com" TargetMode="External"/><Relationship Id="rId1631" Type="http://schemas.openxmlformats.org/officeDocument/2006/relationships/hyperlink" Target="mailto:bhalsall@buxton.com.au" TargetMode="External"/><Relationship Id="rId2198" Type="http://schemas.openxmlformats.org/officeDocument/2006/relationships/hyperlink" Target="mailto:jason@red23.com.au" TargetMode="External"/><Relationship Id="rId377" Type="http://schemas.openxmlformats.org/officeDocument/2006/relationships/hyperlink" Target="mailto:riverwalk@rpmrealestate.com.au" TargetMode="External"/><Relationship Id="rId584" Type="http://schemas.openxmlformats.org/officeDocument/2006/relationships/hyperlink" Target="mailto:pennyroyal@rpmrealestate.com.au" TargetMode="External"/><Relationship Id="rId2058" Type="http://schemas.openxmlformats.org/officeDocument/2006/relationships/hyperlink" Target="mailto:Eliston@rpmrealestate.com.au" TargetMode="External"/><Relationship Id="rId2265" Type="http://schemas.openxmlformats.org/officeDocument/2006/relationships/hyperlink" Target="mailto:admin@harvestrealty.com.au" TargetMode="External"/><Relationship Id="rId3109" Type="http://schemas.openxmlformats.org/officeDocument/2006/relationships/hyperlink" Target="mailto:travis@gullgroup.com.au" TargetMode="External"/><Relationship Id="rId237" Type="http://schemas.openxmlformats.org/officeDocument/2006/relationships/hyperlink" Target="mailto:David.maloney@frasers.com.au" TargetMode="External"/><Relationship Id="rId791" Type="http://schemas.openxmlformats.org/officeDocument/2006/relationships/hyperlink" Target="mailto:atherstone@lendlease.com" TargetMode="External"/><Relationship Id="rId1074" Type="http://schemas.openxmlformats.org/officeDocument/2006/relationships/hyperlink" Target="mailto:atherstone@lendlease.com" TargetMode="External"/><Relationship Id="rId2472" Type="http://schemas.openxmlformats.org/officeDocument/2006/relationships/hyperlink" Target="mailto:kim.mair@frasersproperty.com.au" TargetMode="External"/><Relationship Id="rId444" Type="http://schemas.openxmlformats.org/officeDocument/2006/relationships/hyperlink" Target="mailto:tulliallan@rpmrealestate.com.au" TargetMode="External"/><Relationship Id="rId651" Type="http://schemas.openxmlformats.org/officeDocument/2006/relationships/hyperlink" Target="mailto:s.wright@oliverhume.com.au" TargetMode="External"/><Relationship Id="rId1281" Type="http://schemas.openxmlformats.org/officeDocument/2006/relationships/hyperlink" Target="mailto:greg@gblproperty.com" TargetMode="External"/><Relationship Id="rId2125" Type="http://schemas.openxmlformats.org/officeDocument/2006/relationships/hyperlink" Target="mailto:msharma@coreprojects.com.au" TargetMode="External"/><Relationship Id="rId2332" Type="http://schemas.openxmlformats.org/officeDocument/2006/relationships/hyperlink" Target="mailto:LVojneska@denniscorp.com.au" TargetMode="External"/><Relationship Id="rId304" Type="http://schemas.openxmlformats.org/officeDocument/2006/relationships/hyperlink" Target="mailto:steviec@satterley.com.au" TargetMode="External"/><Relationship Id="rId511" Type="http://schemas.openxmlformats.org/officeDocument/2006/relationships/hyperlink" Target="mailto:Gem@rpmrealestate.com.au" TargetMode="External"/><Relationship Id="rId1141" Type="http://schemas.openxmlformats.org/officeDocument/2006/relationships/hyperlink" Target="mailto:ben@prdballarat.com.au" TargetMode="External"/><Relationship Id="rId1001" Type="http://schemas.openxmlformats.org/officeDocument/2006/relationships/hyperlink" Target="mailto:rebecca@parklea.com" TargetMode="External"/><Relationship Id="rId1958" Type="http://schemas.openxmlformats.org/officeDocument/2006/relationships/hyperlink" Target="mailto:botanicridge@rpmrealestate.com.au" TargetMode="External"/><Relationship Id="rId1818" Type="http://schemas.openxmlformats.org/officeDocument/2006/relationships/hyperlink" Target="mailto:approval@ngdd.com.au" TargetMode="External"/><Relationship Id="rId3033" Type="http://schemas.openxmlformats.org/officeDocument/2006/relationships/hyperlink" Target="mailto:greg@gblproperty.com" TargetMode="External"/><Relationship Id="rId161" Type="http://schemas.openxmlformats.org/officeDocument/2006/relationships/hyperlink" Target="mailto:chris.walker@stockland.com.au" TargetMode="External"/><Relationship Id="rId2799" Type="http://schemas.openxmlformats.org/officeDocument/2006/relationships/hyperlink" Target="mailto:daniel.lock@mirvac.com" TargetMode="External"/><Relationship Id="rId3100" Type="http://schemas.openxmlformats.org/officeDocument/2006/relationships/hyperlink" Target="mailto:j.peric@oliverhume.com.au" TargetMode="External"/><Relationship Id="rId978" Type="http://schemas.openxmlformats.org/officeDocument/2006/relationships/hyperlink" Target="mailto:n.harb@oliverhume.com.au" TargetMode="External"/><Relationship Id="rId2659" Type="http://schemas.openxmlformats.org/officeDocument/2006/relationships/hyperlink" Target="mailto:josephine.borg@stockland.com.au" TargetMode="External"/><Relationship Id="rId2866" Type="http://schemas.openxmlformats.org/officeDocument/2006/relationships/hyperlink" Target="mailto:chris.walker@stockland.com.au" TargetMode="External"/><Relationship Id="rId838" Type="http://schemas.openxmlformats.org/officeDocument/2006/relationships/hyperlink" Target="mailto:nataliep@wofldene.com.au" TargetMode="External"/><Relationship Id="rId1468" Type="http://schemas.openxmlformats.org/officeDocument/2006/relationships/hyperlink" Target="mailto:daniel.lock@mirvac.com" TargetMode="External"/><Relationship Id="rId1675" Type="http://schemas.openxmlformats.org/officeDocument/2006/relationships/hyperlink" Target="mailto:hillstowe@avid.com.au" TargetMode="External"/><Relationship Id="rId1882" Type="http://schemas.openxmlformats.org/officeDocument/2006/relationships/hyperlink" Target="mailto:jlow@core-projects.com.au" TargetMode="External"/><Relationship Id="rId2519" Type="http://schemas.openxmlformats.org/officeDocument/2006/relationships/hyperlink" Target="mailto:shobson@coreprojects.com.au" TargetMode="External"/><Relationship Id="rId2726" Type="http://schemas.openxmlformats.org/officeDocument/2006/relationships/hyperlink" Target="mailto:ann@emerldparktarneit.com.au" TargetMode="External"/><Relationship Id="rId1328" Type="http://schemas.openxmlformats.org/officeDocument/2006/relationships/hyperlink" Target="mailto:cpearson@westbrookestate.com.au" TargetMode="External"/><Relationship Id="rId1535" Type="http://schemas.openxmlformats.org/officeDocument/2006/relationships/hyperlink" Target="mailto:riverwalk@rpmrealestate.com.au" TargetMode="External"/><Relationship Id="rId2933" Type="http://schemas.openxmlformats.org/officeDocument/2006/relationships/hyperlink" Target="mailto:van.ritchie@yourland.com" TargetMode="External"/><Relationship Id="rId905" Type="http://schemas.openxmlformats.org/officeDocument/2006/relationships/hyperlink" Target="mailto:thuyen@bpg.com.au" TargetMode="External"/><Relationship Id="rId1742" Type="http://schemas.openxmlformats.org/officeDocument/2006/relationships/hyperlink" Target="mailto:pennyroyal@rpmrealestate.com.au" TargetMode="External"/><Relationship Id="rId34" Type="http://schemas.openxmlformats.org/officeDocument/2006/relationships/hyperlink" Target="mailto:Adam@red23.com.au" TargetMode="External"/><Relationship Id="rId1602" Type="http://schemas.openxmlformats.org/officeDocument/2006/relationships/hyperlink" Target="mailto:amy.newman@lendlease.com" TargetMode="External"/><Relationship Id="rId488" Type="http://schemas.openxmlformats.org/officeDocument/2006/relationships/hyperlink" Target="mailto:avishnoi@coreprojects.com.au" TargetMode="External"/><Relationship Id="rId695" Type="http://schemas.openxmlformats.org/officeDocument/2006/relationships/hyperlink" Target="mailto:thornhillpark@rpmrealestate.com.au" TargetMode="External"/><Relationship Id="rId2169" Type="http://schemas.openxmlformats.org/officeDocument/2006/relationships/hyperlink" Target="mailto:riverwalk@rpmrealestate.com.au" TargetMode="External"/><Relationship Id="rId2376" Type="http://schemas.openxmlformats.org/officeDocument/2006/relationships/hyperlink" Target="mailto:ben@prdballarat.com.au" TargetMode="External"/><Relationship Id="rId2583" Type="http://schemas.openxmlformats.org/officeDocument/2006/relationships/hyperlink" Target="mailto:khoa@wolfdene.com.au" TargetMode="External"/><Relationship Id="rId2790" Type="http://schemas.openxmlformats.org/officeDocument/2006/relationships/hyperlink" Target="mailto:m.huynh@oliverhume.com.au" TargetMode="External"/><Relationship Id="rId348" Type="http://schemas.openxmlformats.org/officeDocument/2006/relationships/hyperlink" Target="mailto:jan@catalinapointcook.com.au" TargetMode="External"/><Relationship Id="rId555" Type="http://schemas.openxmlformats.org/officeDocument/2006/relationships/hyperlink" Target="mailto:andrewd@villawoodproperties.com" TargetMode="External"/><Relationship Id="rId762" Type="http://schemas.openxmlformats.org/officeDocument/2006/relationships/hyperlink" Target="mailto:andy@red23.com.au" TargetMode="External"/><Relationship Id="rId1185" Type="http://schemas.openxmlformats.org/officeDocument/2006/relationships/hyperlink" Target="mailto:riverwalk@rpmrealestate.com.au" TargetMode="External"/><Relationship Id="rId1392" Type="http://schemas.openxmlformats.org/officeDocument/2006/relationships/hyperlink" Target="mailto:daniel.lock@mirvac.com" TargetMode="External"/><Relationship Id="rId2029" Type="http://schemas.openxmlformats.org/officeDocument/2006/relationships/hyperlink" Target="mailto:van.ritchie@yourland.com" TargetMode="External"/><Relationship Id="rId2236" Type="http://schemas.openxmlformats.org/officeDocument/2006/relationships/hyperlink" Target="mailto:sales@estategurus.com.au" TargetMode="External"/><Relationship Id="rId2443" Type="http://schemas.openxmlformats.org/officeDocument/2006/relationships/hyperlink" Target="mailto:j.termine@oliverhume.com.au" TargetMode="External"/><Relationship Id="rId2650" Type="http://schemas.openxmlformats.org/officeDocument/2006/relationships/hyperlink" Target="mailto:shobson@coreprojects.com.au" TargetMode="External"/><Relationship Id="rId208" Type="http://schemas.openxmlformats.org/officeDocument/2006/relationships/hyperlink" Target="mailto:miloss@satterley.com.au" TargetMode="External"/><Relationship Id="rId415" Type="http://schemas.openxmlformats.org/officeDocument/2006/relationships/hyperlink" Target="mailto:sara.lowe@eigdevelopments.com.au" TargetMode="External"/><Relationship Id="rId622" Type="http://schemas.openxmlformats.org/officeDocument/2006/relationships/hyperlink" Target="mailto:daniels@lotusliving.com.au" TargetMode="External"/><Relationship Id="rId1045" Type="http://schemas.openxmlformats.org/officeDocument/2006/relationships/hyperlink" Target="mailto:LVojneska@denniscorp.com.au" TargetMode="External"/><Relationship Id="rId1252" Type="http://schemas.openxmlformats.org/officeDocument/2006/relationships/hyperlink" Target="mailto:khewitt@hockingstuart.com.au" TargetMode="External"/><Relationship Id="rId2303" Type="http://schemas.openxmlformats.org/officeDocument/2006/relationships/hyperlink" Target="mailto:austin@latituderealestate.com.au" TargetMode="External"/><Relationship Id="rId2510" Type="http://schemas.openxmlformats.org/officeDocument/2006/relationships/hyperlink" Target="mailto:luke@goldfieldsgroup.com.au" TargetMode="External"/><Relationship Id="rId1112" Type="http://schemas.openxmlformats.org/officeDocument/2006/relationships/hyperlink" Target="mailto:patrick@wolfdene.com.au" TargetMode="External"/><Relationship Id="rId3077" Type="http://schemas.openxmlformats.org/officeDocument/2006/relationships/hyperlink" Target="mailto:LVojneska@denniscorp.com.au" TargetMode="External"/><Relationship Id="rId1929" Type="http://schemas.openxmlformats.org/officeDocument/2006/relationships/hyperlink" Target="mailto:joea@maxbrown.com.au" TargetMode="External"/><Relationship Id="rId2093" Type="http://schemas.openxmlformats.org/officeDocument/2006/relationships/hyperlink" Target="mailto:kooweerup@alexscott.com.au" TargetMode="External"/><Relationship Id="rId272" Type="http://schemas.openxmlformats.org/officeDocument/2006/relationships/hyperlink" Target="mailto:d.rabba@oliverhume.com.au" TargetMode="External"/><Relationship Id="rId2160" Type="http://schemas.openxmlformats.org/officeDocument/2006/relationships/hyperlink" Target="mailto:kunal@red23.com.au" TargetMode="External"/><Relationship Id="rId3004" Type="http://schemas.openxmlformats.org/officeDocument/2006/relationships/hyperlink" Target="mailto:shobson@coreprojects.com.au" TargetMode="External"/><Relationship Id="rId132" Type="http://schemas.openxmlformats.org/officeDocument/2006/relationships/hyperlink" Target="mailto:l.pappalardo@oliverhime.com.au" TargetMode="External"/><Relationship Id="rId2020" Type="http://schemas.openxmlformats.org/officeDocument/2006/relationships/hyperlink" Target="mailto:Leigh@doepels.com.au" TargetMode="External"/><Relationship Id="rId1579" Type="http://schemas.openxmlformats.org/officeDocument/2006/relationships/hyperlink" Target="mailto:freddy@freddyrealty.com.au" TargetMode="External"/><Relationship Id="rId2977" Type="http://schemas.openxmlformats.org/officeDocument/2006/relationships/hyperlink" Target="mailto:thornhillpark@rpmrealestate.com.au" TargetMode="External"/><Relationship Id="rId949" Type="http://schemas.openxmlformats.org/officeDocument/2006/relationships/hyperlink" Target="mailto:m.nastic@oliverhume.com.au" TargetMode="External"/><Relationship Id="rId1786" Type="http://schemas.openxmlformats.org/officeDocument/2006/relationships/hyperlink" Target="mailto:ian@krpeters.com.au" TargetMode="External"/><Relationship Id="rId1993" Type="http://schemas.openxmlformats.org/officeDocument/2006/relationships/hyperlink" Target="mailto:lucy@rpmrealestate.com.au" TargetMode="External"/><Relationship Id="rId2837" Type="http://schemas.openxmlformats.org/officeDocument/2006/relationships/hyperlink" Target="mailto:info@hilltopofficer.com.au" TargetMode="External"/><Relationship Id="rId78" Type="http://schemas.openxmlformats.org/officeDocument/2006/relationships/hyperlink" Target="mailto:miloss@satterley.com.au" TargetMode="External"/><Relationship Id="rId809" Type="http://schemas.openxmlformats.org/officeDocument/2006/relationships/hyperlink" Target="mailto:cpearson@westbrookestate.com.au" TargetMode="External"/><Relationship Id="rId1439" Type="http://schemas.openxmlformats.org/officeDocument/2006/relationships/hyperlink" Target="mailto:atherstone@lendlease.com" TargetMode="External"/><Relationship Id="rId1646" Type="http://schemas.openxmlformats.org/officeDocument/2006/relationships/hyperlink" Target="mailto:olivia@latituderealestate.com.au" TargetMode="External"/><Relationship Id="rId1853" Type="http://schemas.openxmlformats.org/officeDocument/2006/relationships/hyperlink" Target="mailto:cpearson@westbrookestate.com.au" TargetMode="External"/><Relationship Id="rId2904" Type="http://schemas.openxmlformats.org/officeDocument/2006/relationships/hyperlink" Target="mailto:zoe@kaikura.com.au" TargetMode="External"/><Relationship Id="rId1506" Type="http://schemas.openxmlformats.org/officeDocument/2006/relationships/hyperlink" Target="mailto:manzeene@rpmrealestate.com.au" TargetMode="External"/><Relationship Id="rId1713" Type="http://schemas.openxmlformats.org/officeDocument/2006/relationships/hyperlink" Target="mailto:s.fuss@oliverhume.com.au" TargetMode="External"/><Relationship Id="rId1920" Type="http://schemas.openxmlformats.org/officeDocument/2006/relationships/hyperlink" Target="mailto:greg@gblproperty.com" TargetMode="External"/><Relationship Id="rId599" Type="http://schemas.openxmlformats.org/officeDocument/2006/relationships/hyperlink" Target="mailto:andy@red23.com.au" TargetMode="External"/><Relationship Id="rId2487" Type="http://schemas.openxmlformats.org/officeDocument/2006/relationships/hyperlink" Target="mailto:stgermain@rpmrealestate.com.au" TargetMode="External"/><Relationship Id="rId2694" Type="http://schemas.openxmlformats.org/officeDocument/2006/relationships/hyperlink" Target="mailto:vanessa@roxrealestate.com.au" TargetMode="External"/><Relationship Id="rId459" Type="http://schemas.openxmlformats.org/officeDocument/2006/relationships/hyperlink" Target="mailto:Emma.Nelson@peet.com.au" TargetMode="External"/><Relationship Id="rId666" Type="http://schemas.openxmlformats.org/officeDocument/2006/relationships/hyperlink" Target="mailto:stgermain@rpmrealestate.com.au" TargetMode="External"/><Relationship Id="rId873" Type="http://schemas.openxmlformats.org/officeDocument/2006/relationships/hyperlink" Target="mailto:rob.polec@denniscorp.com.au" TargetMode="External"/><Relationship Id="rId1089" Type="http://schemas.openxmlformats.org/officeDocument/2006/relationships/hyperlink" Target="mailto:riverhills@rpmrealestate.com.au" TargetMode="External"/><Relationship Id="rId1296" Type="http://schemas.openxmlformats.org/officeDocument/2006/relationships/hyperlink" Target="mailto:ann@emerldparktarneit.com.au" TargetMode="External"/><Relationship Id="rId2347" Type="http://schemas.openxmlformats.org/officeDocument/2006/relationships/hyperlink" Target="mailto:rob@wolfdene.com.au" TargetMode="External"/><Relationship Id="rId2554" Type="http://schemas.openxmlformats.org/officeDocument/2006/relationships/hyperlink" Target="mailto:b.ellis@oliverhume.com.au" TargetMode="External"/><Relationship Id="rId319" Type="http://schemas.openxmlformats.org/officeDocument/2006/relationships/hyperlink" Target="mailto:thornhillpark@rpmrealestate.com.au" TargetMode="External"/><Relationship Id="rId526" Type="http://schemas.openxmlformats.org/officeDocument/2006/relationships/hyperlink" Target="mailto:steviec@satterley.com.au" TargetMode="External"/><Relationship Id="rId1156" Type="http://schemas.openxmlformats.org/officeDocument/2006/relationships/hyperlink" Target="mailto:tim@costaland.com.au" TargetMode="External"/><Relationship Id="rId1363" Type="http://schemas.openxmlformats.org/officeDocument/2006/relationships/hyperlink" Target="mailto:ian@krpeters.com.au" TargetMode="External"/><Relationship Id="rId2207" Type="http://schemas.openxmlformats.org/officeDocument/2006/relationships/hyperlink" Target="mailto:daniels@lotusliving.com.au" TargetMode="External"/><Relationship Id="rId2761" Type="http://schemas.openxmlformats.org/officeDocument/2006/relationships/hyperlink" Target="mailto:thuyen.nguyen@growland.com.au" TargetMode="External"/><Relationship Id="rId733" Type="http://schemas.openxmlformats.org/officeDocument/2006/relationships/hyperlink" Target="mailto:stonehill@rpmrealestate.com.au" TargetMode="External"/><Relationship Id="rId940" Type="http://schemas.openxmlformats.org/officeDocument/2006/relationships/hyperlink" Target="mailto:stonehill@rpmrealestate.com.au" TargetMode="External"/><Relationship Id="rId1016" Type="http://schemas.openxmlformats.org/officeDocument/2006/relationships/hyperlink" Target="mailto:b.ellis@oliverhume.com.au" TargetMode="External"/><Relationship Id="rId1570" Type="http://schemas.openxmlformats.org/officeDocument/2006/relationships/hyperlink" Target="mailto:s.wright@oliverhume.com.au" TargetMode="External"/><Relationship Id="rId2414" Type="http://schemas.openxmlformats.org/officeDocument/2006/relationships/hyperlink" Target="mailto:m.huynh@oliverhume.com.au" TargetMode="External"/><Relationship Id="rId2621" Type="http://schemas.openxmlformats.org/officeDocument/2006/relationships/hyperlink" Target="mailto:botanical@satterley.com.au" TargetMode="External"/><Relationship Id="rId800" Type="http://schemas.openxmlformats.org/officeDocument/2006/relationships/hyperlink" Target="mailto:khoa@wofldene.com.au" TargetMode="External"/><Relationship Id="rId1223" Type="http://schemas.openxmlformats.org/officeDocument/2006/relationships/hyperlink" Target="mailto:evin@eightpi.com.au" TargetMode="External"/><Relationship Id="rId1430" Type="http://schemas.openxmlformats.org/officeDocument/2006/relationships/hyperlink" Target="mailto:ted@kohamproperty.com" TargetMode="External"/><Relationship Id="rId3048" Type="http://schemas.openxmlformats.org/officeDocument/2006/relationships/hyperlink" Target="mailto:daniels@lotusliving.com.au" TargetMode="External"/><Relationship Id="rId176" Type="http://schemas.openxmlformats.org/officeDocument/2006/relationships/hyperlink" Target="mailto:David.maloney@frasers.com.au" TargetMode="External"/><Relationship Id="rId383" Type="http://schemas.openxmlformats.org/officeDocument/2006/relationships/hyperlink" Target="mailto:tony=investfirst.com.au@mail62.suw11.mcdlv.net" TargetMode="External"/><Relationship Id="rId590" Type="http://schemas.openxmlformats.org/officeDocument/2006/relationships/hyperlink" Target="mailto:m.nastic@oliverhume.com.au" TargetMode="External"/><Relationship Id="rId2064" Type="http://schemas.openxmlformats.org/officeDocument/2006/relationships/hyperlink" Target="mailto:cmccormack@avidpropertygroup.com.au" TargetMode="External"/><Relationship Id="rId2271" Type="http://schemas.openxmlformats.org/officeDocument/2006/relationships/hyperlink" Target="mailto:kunal@red23.com.au" TargetMode="External"/><Relationship Id="rId3115" Type="http://schemas.openxmlformats.org/officeDocument/2006/relationships/hyperlink" Target="mailto:t.leggatt@oliverhume.com.au" TargetMode="External"/><Relationship Id="rId243" Type="http://schemas.openxmlformats.org/officeDocument/2006/relationships/hyperlink" Target="mailto:NickC@centralequity.com.au" TargetMode="External"/><Relationship Id="rId450" Type="http://schemas.openxmlformats.org/officeDocument/2006/relationships/hyperlink" Target="mailto:sales@belmondclyde.com.au" TargetMode="External"/><Relationship Id="rId1080" Type="http://schemas.openxmlformats.org/officeDocument/2006/relationships/hyperlink" Target="mailto:Rothwell@rpmrealestate.com.au" TargetMode="External"/><Relationship Id="rId2131" Type="http://schemas.openxmlformats.org/officeDocument/2006/relationships/hyperlink" Target="mailto:Jstojanovski@coreprojects.com.au" TargetMode="External"/><Relationship Id="rId103" Type="http://schemas.openxmlformats.org/officeDocument/2006/relationships/hyperlink" Target="mailto:b.ellis@oliverhume.com.au" TargetMode="External"/><Relationship Id="rId310" Type="http://schemas.openxmlformats.org/officeDocument/2006/relationships/hyperlink" Target="mailto:riverwalk@rpmrealestate.com.au" TargetMode="External"/><Relationship Id="rId1897" Type="http://schemas.openxmlformats.org/officeDocument/2006/relationships/hyperlink" Target="mailto:daniel.lock@mirvac.com" TargetMode="External"/><Relationship Id="rId2948" Type="http://schemas.openxmlformats.org/officeDocument/2006/relationships/hyperlink" Target="mailto:rosenthal@rpmrealestate.com.au" TargetMode="External"/><Relationship Id="rId1757" Type="http://schemas.openxmlformats.org/officeDocument/2006/relationships/hyperlink" Target="mailto:paige.s@red23.com.au" TargetMode="External"/><Relationship Id="rId1964" Type="http://schemas.openxmlformats.org/officeDocument/2006/relationships/hyperlink" Target="mailto:r.footman@oliverhume.com.au" TargetMode="External"/><Relationship Id="rId2808" Type="http://schemas.openxmlformats.org/officeDocument/2006/relationships/hyperlink" Target="mailto:dennis.rabba@growland.com.au" TargetMode="External"/><Relationship Id="rId49" Type="http://schemas.openxmlformats.org/officeDocument/2006/relationships/hyperlink" Target="mailto:daniels@lotusliving.com.au" TargetMode="External"/><Relationship Id="rId1617" Type="http://schemas.openxmlformats.org/officeDocument/2006/relationships/hyperlink" Target="mailto:Eliston@rpmrealestate.com.au" TargetMode="External"/><Relationship Id="rId1824" Type="http://schemas.openxmlformats.org/officeDocument/2006/relationships/hyperlink" Target="mailto:nic@merndaonthepark.com.au" TargetMode="External"/><Relationship Id="rId2598" Type="http://schemas.openxmlformats.org/officeDocument/2006/relationships/hyperlink" Target="mailto:i.tanti@oliverhume.com.au" TargetMode="External"/><Relationship Id="rId777" Type="http://schemas.openxmlformats.org/officeDocument/2006/relationships/hyperlink" Target="mailto:markd@satterley.com.au" TargetMode="External"/><Relationship Id="rId984" Type="http://schemas.openxmlformats.org/officeDocument/2006/relationships/hyperlink" Target="mailto:thornhillpark@rpmrealestate.com.au" TargetMode="External"/><Relationship Id="rId2458" Type="http://schemas.openxmlformats.org/officeDocument/2006/relationships/hyperlink" Target="mailto:info@costaland.com.au" TargetMode="External"/><Relationship Id="rId2665" Type="http://schemas.openxmlformats.org/officeDocument/2006/relationships/hyperlink" Target="mailto:i.tanti@oliverhume.com.au" TargetMode="External"/><Relationship Id="rId2872" Type="http://schemas.openxmlformats.org/officeDocument/2006/relationships/hyperlink" Target="mailto:jason@bpg.com.au" TargetMode="External"/><Relationship Id="rId637" Type="http://schemas.openxmlformats.org/officeDocument/2006/relationships/hyperlink" Target="mailto:David.maloney@frasers.com.au" TargetMode="External"/><Relationship Id="rId844" Type="http://schemas.openxmlformats.org/officeDocument/2006/relationships/hyperlink" Target="mailto:annadale@rpmrealestate.com.au" TargetMode="External"/><Relationship Id="rId1267" Type="http://schemas.openxmlformats.org/officeDocument/2006/relationships/hyperlink" Target="mailto:chris.walker@stockland.com.au" TargetMode="External"/><Relationship Id="rId1474" Type="http://schemas.openxmlformats.org/officeDocument/2006/relationships/hyperlink" Target="mailto:t.ogrady@oliverhume.com.au" TargetMode="External"/><Relationship Id="rId1681" Type="http://schemas.openxmlformats.org/officeDocument/2006/relationships/hyperlink" Target="mailto:rosenthal@rpmrealestate.com.au" TargetMode="External"/><Relationship Id="rId2318" Type="http://schemas.openxmlformats.org/officeDocument/2006/relationships/hyperlink" Target="mailto:ashwin.sethi@stockland.com.au" TargetMode="External"/><Relationship Id="rId2525" Type="http://schemas.openxmlformats.org/officeDocument/2006/relationships/hyperlink" Target="mailto:thuyen.nguyen@growland.com.au" TargetMode="External"/><Relationship Id="rId2732" Type="http://schemas.openxmlformats.org/officeDocument/2006/relationships/hyperlink" Target="mailto:i.tanti@oliverhume.com.au" TargetMode="External"/><Relationship Id="rId704" Type="http://schemas.openxmlformats.org/officeDocument/2006/relationships/hyperlink" Target="mailto:sales@belmondclyde.com.au" TargetMode="External"/><Relationship Id="rId911" Type="http://schemas.openxmlformats.org/officeDocument/2006/relationships/hyperlink" Target="mailto:jake@red23.com.au" TargetMode="External"/><Relationship Id="rId1127" Type="http://schemas.openxmlformats.org/officeDocument/2006/relationships/hyperlink" Target="mailto:atherstone@lendlease.com" TargetMode="External"/><Relationship Id="rId1334" Type="http://schemas.openxmlformats.org/officeDocument/2006/relationships/hyperlink" Target="mailto:carol.rubidoux@cedarwoods.com.au" TargetMode="External"/><Relationship Id="rId1541" Type="http://schemas.openxmlformats.org/officeDocument/2006/relationships/hyperlink" Target="mailto:rbhardwaj@coreprojects.com.au" TargetMode="External"/><Relationship Id="rId40" Type="http://schemas.openxmlformats.org/officeDocument/2006/relationships/hyperlink" Target="mailto:callum@pinnacledevelopments.com.au" TargetMode="External"/><Relationship Id="rId1401" Type="http://schemas.openxmlformats.org/officeDocument/2006/relationships/hyperlink" Target="mailto:t.leggatt@oliverhume.com.au" TargetMode="External"/><Relationship Id="rId287" Type="http://schemas.openxmlformats.org/officeDocument/2006/relationships/hyperlink" Target="mailto:josephine.borg@stockland.com.au" TargetMode="External"/><Relationship Id="rId494" Type="http://schemas.openxmlformats.org/officeDocument/2006/relationships/hyperlink" Target="mailto:jbosancic@brightonpropertygroup.com.au" TargetMode="External"/><Relationship Id="rId2175" Type="http://schemas.openxmlformats.org/officeDocument/2006/relationships/hyperlink" Target="mailto:botanical@satterley.com.au" TargetMode="External"/><Relationship Id="rId2382" Type="http://schemas.openxmlformats.org/officeDocument/2006/relationships/hyperlink" Target="mailto:keywest@rpmrealestate.com.au" TargetMode="External"/><Relationship Id="rId3019" Type="http://schemas.openxmlformats.org/officeDocument/2006/relationships/hyperlink" Target="mailto:chris.walker@stockland.com.au" TargetMode="External"/><Relationship Id="rId147" Type="http://schemas.openxmlformats.org/officeDocument/2006/relationships/hyperlink" Target="mailto:miloss@satterley.com.au" TargetMode="External"/><Relationship Id="rId354" Type="http://schemas.openxmlformats.org/officeDocument/2006/relationships/hyperlink" Target="mailto:andy@red23.com.au" TargetMode="External"/><Relationship Id="rId1191" Type="http://schemas.openxmlformats.org/officeDocument/2006/relationships/hyperlink" Target="mailto:robert.l@red23.com.au" TargetMode="External"/><Relationship Id="rId2035" Type="http://schemas.openxmlformats.org/officeDocument/2006/relationships/hyperlink" Target="mailto:sales@venushillestate.com.au" TargetMode="External"/><Relationship Id="rId561" Type="http://schemas.openxmlformats.org/officeDocument/2006/relationships/hyperlink" Target="mailto:markd@satterley.com.au" TargetMode="External"/><Relationship Id="rId2242" Type="http://schemas.openxmlformats.org/officeDocument/2006/relationships/hyperlink" Target="mailto:austin@latituderealestate.com.au" TargetMode="External"/><Relationship Id="rId214" Type="http://schemas.openxmlformats.org/officeDocument/2006/relationships/hyperlink" Target="mailto:admin@woodlea.com.au" TargetMode="External"/><Relationship Id="rId421" Type="http://schemas.openxmlformats.org/officeDocument/2006/relationships/hyperlink" Target="mailto:diamondrise@rpmrealestate.com.au" TargetMode="External"/><Relationship Id="rId1051" Type="http://schemas.openxmlformats.org/officeDocument/2006/relationships/hyperlink" Target="mailto:atherstone@lendlease.com" TargetMode="External"/><Relationship Id="rId2102" Type="http://schemas.openxmlformats.org/officeDocument/2006/relationships/hyperlink" Target="mailto:mai.tran@mywindermere.com.au" TargetMode="External"/><Relationship Id="rId1868" Type="http://schemas.openxmlformats.org/officeDocument/2006/relationships/hyperlink" Target="mailto:sales@essenceofficer.com.au" TargetMode="External"/><Relationship Id="rId2919" Type="http://schemas.openxmlformats.org/officeDocument/2006/relationships/hyperlink" Target="mailto:chris.walker@stockland.com.au" TargetMode="External"/><Relationship Id="rId3083" Type="http://schemas.openxmlformats.org/officeDocument/2006/relationships/hyperlink" Target="mailto:austin@latituderealestate.com.au" TargetMode="External"/><Relationship Id="rId1728" Type="http://schemas.openxmlformats.org/officeDocument/2006/relationships/hyperlink" Target="mailto:Jason.Hynek@stockland.com.au" TargetMode="External"/><Relationship Id="rId1935" Type="http://schemas.openxmlformats.org/officeDocument/2006/relationships/hyperlink" Target="mailto:jason@bpg.com.au" TargetMode="External"/><Relationship Id="rId3010" Type="http://schemas.openxmlformats.org/officeDocument/2006/relationships/hyperlink" Target="mailto:TanmayS@centralequity.com.au" TargetMode="External"/><Relationship Id="rId4" Type="http://schemas.openxmlformats.org/officeDocument/2006/relationships/hyperlink" Target="mailto:b.ellis@oliverhume.com.au" TargetMode="External"/><Relationship Id="rId888" Type="http://schemas.openxmlformats.org/officeDocument/2006/relationships/hyperlink" Target="mailto:amy.newman@lendlease.com" TargetMode="External"/><Relationship Id="rId2569" Type="http://schemas.openxmlformats.org/officeDocument/2006/relationships/hyperlink" Target="mailto:van.ritchie@yourland.com" TargetMode="External"/><Relationship Id="rId2776" Type="http://schemas.openxmlformats.org/officeDocument/2006/relationships/hyperlink" Target="mailto:thuyen@bpg.com.au" TargetMode="External"/><Relationship Id="rId2983" Type="http://schemas.openxmlformats.org/officeDocument/2006/relationships/hyperlink" Target="mailto:daniel.lock@mirvac.com" TargetMode="External"/><Relationship Id="rId748" Type="http://schemas.openxmlformats.org/officeDocument/2006/relationships/hyperlink" Target="mailto:greg@gblproperty.com" TargetMode="External"/><Relationship Id="rId955" Type="http://schemas.openxmlformats.org/officeDocument/2006/relationships/hyperlink" Target="mailto:k.spencer@oliverhume.com.au" TargetMode="External"/><Relationship Id="rId1378" Type="http://schemas.openxmlformats.org/officeDocument/2006/relationships/hyperlink" Target="mailto:jerry@harvestrealty.com.au" TargetMode="External"/><Relationship Id="rId1585" Type="http://schemas.openxmlformats.org/officeDocument/2006/relationships/hyperlink" Target="mailto:d.halsey@oliverhume.com.au" TargetMode="External"/><Relationship Id="rId1792" Type="http://schemas.openxmlformats.org/officeDocument/2006/relationships/hyperlink" Target="mailto:sales@essenceofficer.com.au" TargetMode="External"/><Relationship Id="rId2429" Type="http://schemas.openxmlformats.org/officeDocument/2006/relationships/hyperlink" Target="mailto:josephine.borg@stockland.com.au" TargetMode="External"/><Relationship Id="rId2636" Type="http://schemas.openxmlformats.org/officeDocument/2006/relationships/hyperlink" Target="mailto:ben@prdballarat.com.au" TargetMode="External"/><Relationship Id="rId2843" Type="http://schemas.openxmlformats.org/officeDocument/2006/relationships/hyperlink" Target="mailto:sales@estategurus.com.au" TargetMode="External"/><Relationship Id="rId84" Type="http://schemas.openxmlformats.org/officeDocument/2006/relationships/hyperlink" Target="mailto:anne.cross@lendlease.com" TargetMode="External"/><Relationship Id="rId608" Type="http://schemas.openxmlformats.org/officeDocument/2006/relationships/hyperlink" Target="mailto:avishnoi@coreprojects.com.au" TargetMode="External"/><Relationship Id="rId815" Type="http://schemas.openxmlformats.org/officeDocument/2006/relationships/hyperlink" Target="mailto:robert.l@red23.com.au" TargetMode="External"/><Relationship Id="rId1238" Type="http://schemas.openxmlformats.org/officeDocument/2006/relationships/hyperlink" Target="mailto:steviec@satterley.com.au" TargetMode="External"/><Relationship Id="rId1445" Type="http://schemas.openxmlformats.org/officeDocument/2006/relationships/hyperlink" Target="mailto:mandalay@rpmrealestate.com.au" TargetMode="External"/><Relationship Id="rId1652" Type="http://schemas.openxmlformats.org/officeDocument/2006/relationships/hyperlink" Target="mailto:ashwin.sethi@stockland.com.au" TargetMode="External"/><Relationship Id="rId1305" Type="http://schemas.openxmlformats.org/officeDocument/2006/relationships/hyperlink" Target="mailto:sales@collegefields.com.au" TargetMode="External"/><Relationship Id="rId2703" Type="http://schemas.openxmlformats.org/officeDocument/2006/relationships/hyperlink" Target="mailto:admin@harvestrealty.com.au" TargetMode="External"/><Relationship Id="rId2910" Type="http://schemas.openxmlformats.org/officeDocument/2006/relationships/hyperlink" Target="mailto:westwood2@rpmrealestate.com.au" TargetMode="External"/><Relationship Id="rId1512" Type="http://schemas.openxmlformats.org/officeDocument/2006/relationships/hyperlink" Target="mailto:chris.walker@stockland.com.au" TargetMode="External"/><Relationship Id="rId11" Type="http://schemas.openxmlformats.org/officeDocument/2006/relationships/hyperlink" Target="mailto:chris.walker@stockland.com.au" TargetMode="External"/><Relationship Id="rId398" Type="http://schemas.openxmlformats.org/officeDocument/2006/relationships/hyperlink" Target="mailto:info@banriar.com.au" TargetMode="External"/><Relationship Id="rId2079" Type="http://schemas.openxmlformats.org/officeDocument/2006/relationships/hyperlink" Target="mailto:adam@rpmrealestate.com.au" TargetMode="External"/><Relationship Id="rId2286" Type="http://schemas.openxmlformats.org/officeDocument/2006/relationships/hyperlink" Target="mailto:project@countrylandaustralia.com.au" TargetMode="External"/><Relationship Id="rId2493" Type="http://schemas.openxmlformats.org/officeDocument/2006/relationships/hyperlink" Target="mailto:adam@rpmrealestate.com.au" TargetMode="External"/><Relationship Id="rId258" Type="http://schemas.openxmlformats.org/officeDocument/2006/relationships/hyperlink" Target="mailto:arnoldscreek.melton@rh.com.au" TargetMode="External"/><Relationship Id="rId465" Type="http://schemas.openxmlformats.org/officeDocument/2006/relationships/hyperlink" Target="mailto:amy.newman@lendlease.com" TargetMode="External"/><Relationship Id="rId672" Type="http://schemas.openxmlformats.org/officeDocument/2006/relationships/hyperlink" Target="mailto:LVojneska@denniscorp.com.au" TargetMode="External"/><Relationship Id="rId1095" Type="http://schemas.openxmlformats.org/officeDocument/2006/relationships/hyperlink" Target="mailto:Elyssia@villaworld.com.au" TargetMode="External"/><Relationship Id="rId2146" Type="http://schemas.openxmlformats.org/officeDocument/2006/relationships/hyperlink" Target="mailto:thereserve@rpmrealestate.com.au" TargetMode="External"/><Relationship Id="rId2353" Type="http://schemas.openxmlformats.org/officeDocument/2006/relationships/hyperlink" Target="mailto:sales@aldoestate.com.au" TargetMode="External"/><Relationship Id="rId2560" Type="http://schemas.openxmlformats.org/officeDocument/2006/relationships/hyperlink" Target="mailto:stgermain@rpmrealestate.com.au" TargetMode="External"/><Relationship Id="rId118" Type="http://schemas.openxmlformats.org/officeDocument/2006/relationships/hyperlink" Target="mailto:chris.walker@stockland.com.au" TargetMode="External"/><Relationship Id="rId325" Type="http://schemas.openxmlformats.org/officeDocument/2006/relationships/hyperlink" Target="mailto:theivy@rpmrealestate.com.au" TargetMode="External"/><Relationship Id="rId532" Type="http://schemas.openxmlformats.org/officeDocument/2006/relationships/hyperlink" Target="mailto:r.footman@oliverhume.com.au" TargetMode="External"/><Relationship Id="rId1162" Type="http://schemas.openxmlformats.org/officeDocument/2006/relationships/hyperlink" Target="mailto:khewitt@hockingstuart.com.au" TargetMode="External"/><Relationship Id="rId2006" Type="http://schemas.openxmlformats.org/officeDocument/2006/relationships/hyperlink" Target="mailto:jessica.hammond@stockland.com.au" TargetMode="External"/><Relationship Id="rId2213" Type="http://schemas.openxmlformats.org/officeDocument/2006/relationships/hyperlink" Target="mailto:sales@aldoestate.com.au" TargetMode="External"/><Relationship Id="rId2420" Type="http://schemas.openxmlformats.org/officeDocument/2006/relationships/hyperlink" Target="mailto:jbird@barryplant.com.au" TargetMode="External"/><Relationship Id="rId1022" Type="http://schemas.openxmlformats.org/officeDocument/2006/relationships/hyperlink" Target="mailto:dennis.rabba@growland.com.au" TargetMode="External"/><Relationship Id="rId1979" Type="http://schemas.openxmlformats.org/officeDocument/2006/relationships/hyperlink" Target="mailto:rosewood2@rpmrealestate.com.au" TargetMode="External"/><Relationship Id="rId1839" Type="http://schemas.openxmlformats.org/officeDocument/2006/relationships/hyperlink" Target="mailto:botanical@satterley.com.au" TargetMode="External"/><Relationship Id="rId3054" Type="http://schemas.openxmlformats.org/officeDocument/2006/relationships/hyperlink" Target="mailto:prashansa@salesxwise.com.au" TargetMode="External"/><Relationship Id="rId182" Type="http://schemas.openxmlformats.org/officeDocument/2006/relationships/hyperlink" Target="mailto:ann@emerldparktarneit.com.au" TargetMode="External"/><Relationship Id="rId1906" Type="http://schemas.openxmlformats.org/officeDocument/2006/relationships/hyperlink" Target="mailto:dspiteri@hermitagehomes.com.au" TargetMode="External"/><Relationship Id="rId2070" Type="http://schemas.openxmlformats.org/officeDocument/2006/relationships/hyperlink" Target="mailto:cpearson@westbrookestate.com.au" TargetMode="External"/><Relationship Id="rId3121" Type="http://schemas.openxmlformats.org/officeDocument/2006/relationships/table" Target="../tables/table19.xml"/><Relationship Id="rId999" Type="http://schemas.openxmlformats.org/officeDocument/2006/relationships/hyperlink" Target="mailto:m.morris@oliverhume.com.au" TargetMode="External"/><Relationship Id="rId2887" Type="http://schemas.openxmlformats.org/officeDocument/2006/relationships/hyperlink" Target="mailto:melbourne@yourland.com" TargetMode="External"/><Relationship Id="rId859" Type="http://schemas.openxmlformats.org/officeDocument/2006/relationships/hyperlink" Target="mailto:jlow@core-projects.com.au" TargetMode="External"/><Relationship Id="rId1489" Type="http://schemas.openxmlformats.org/officeDocument/2006/relationships/hyperlink" Target="mailto:kassy@langleyparklanglang.com.au" TargetMode="External"/><Relationship Id="rId1696" Type="http://schemas.openxmlformats.org/officeDocument/2006/relationships/hyperlink" Target="mailto:s.fuss@oliverhume.com.au" TargetMode="External"/><Relationship Id="rId1349" Type="http://schemas.openxmlformats.org/officeDocument/2006/relationships/hyperlink" Target="mailto:steviec@satterley.com.au" TargetMode="External"/><Relationship Id="rId2747" Type="http://schemas.openxmlformats.org/officeDocument/2006/relationships/hyperlink" Target="mailto:cpearson@westbrookestate.com.au" TargetMode="External"/><Relationship Id="rId2954" Type="http://schemas.openxmlformats.org/officeDocument/2006/relationships/hyperlink" Target="mailto:michael@thelandco.com.au" TargetMode="External"/><Relationship Id="rId719" Type="http://schemas.openxmlformats.org/officeDocument/2006/relationships/hyperlink" Target="mailto:cpearson@westbrookestate.com.au" TargetMode="External"/><Relationship Id="rId926" Type="http://schemas.openxmlformats.org/officeDocument/2006/relationships/hyperlink" Target="mailto:westwood2@rpmrealestate.com.au" TargetMode="External"/><Relationship Id="rId1556" Type="http://schemas.openxmlformats.org/officeDocument/2006/relationships/hyperlink" Target="mailto:atherstone@lendlease.com" TargetMode="External"/><Relationship Id="rId1763" Type="http://schemas.openxmlformats.org/officeDocument/2006/relationships/hyperlink" Target="mailto:robert.l@red23.com.au" TargetMode="External"/><Relationship Id="rId1970" Type="http://schemas.openxmlformats.org/officeDocument/2006/relationships/hyperlink" Target="mailto:arvind@krpeters.com.au" TargetMode="External"/><Relationship Id="rId2607" Type="http://schemas.openxmlformats.org/officeDocument/2006/relationships/hyperlink" Target="mailto:westwood2@rpmrealestate.com.au" TargetMode="External"/><Relationship Id="rId2814" Type="http://schemas.openxmlformats.org/officeDocument/2006/relationships/hyperlink" Target="mailto:sing@augmentgroup.com.au" TargetMode="External"/><Relationship Id="rId55" Type="http://schemas.openxmlformats.org/officeDocument/2006/relationships/hyperlink" Target="mailto:chris.walker@stockland.com.au" TargetMode="External"/><Relationship Id="rId1209" Type="http://schemas.openxmlformats.org/officeDocument/2006/relationships/hyperlink" Target="mailto:steviec@satterley.com.au" TargetMode="External"/><Relationship Id="rId1416" Type="http://schemas.openxmlformats.org/officeDocument/2006/relationships/hyperlink" Target="mailto:jason@red23.com.au" TargetMode="External"/><Relationship Id="rId1623" Type="http://schemas.openxmlformats.org/officeDocument/2006/relationships/hyperlink" Target="mailto:chris.walker@stockland.com.au" TargetMode="External"/><Relationship Id="rId1830" Type="http://schemas.openxmlformats.org/officeDocument/2006/relationships/hyperlink" Target="mailto:ted@kohamproperty.com" TargetMode="External"/><Relationship Id="rId2397" Type="http://schemas.openxmlformats.org/officeDocument/2006/relationships/hyperlink" Target="mailto:s.fuss@oliverhume.com.au" TargetMode="External"/><Relationship Id="rId369" Type="http://schemas.openxmlformats.org/officeDocument/2006/relationships/hyperlink" Target="mailto:miloss@satterley.com.au" TargetMode="External"/><Relationship Id="rId576" Type="http://schemas.openxmlformats.org/officeDocument/2006/relationships/hyperlink" Target="mailto:GRACE@OLIVERHUME.COM.AU" TargetMode="External"/><Relationship Id="rId783" Type="http://schemas.openxmlformats.org/officeDocument/2006/relationships/hyperlink" Target="mailto:k.spencer@oliverhume.com.au" TargetMode="External"/><Relationship Id="rId990" Type="http://schemas.openxmlformats.org/officeDocument/2006/relationships/hyperlink" Target="mailto:thornhillpark@rpmrealestate.com.au" TargetMode="External"/><Relationship Id="rId2257" Type="http://schemas.openxmlformats.org/officeDocument/2006/relationships/hyperlink" Target="mailto:dspiteri@hermitagehomes.com.au" TargetMode="External"/><Relationship Id="rId2464" Type="http://schemas.openxmlformats.org/officeDocument/2006/relationships/hyperlink" Target="mailto:s.datti@oliverhume.com.au" TargetMode="External"/><Relationship Id="rId2671" Type="http://schemas.openxmlformats.org/officeDocument/2006/relationships/hyperlink" Target="mailto:ashwin.sethi@stockland.com.au" TargetMode="External"/><Relationship Id="rId229" Type="http://schemas.openxmlformats.org/officeDocument/2006/relationships/hyperlink" Target="mailto:l.pappalardo@oliverhume.com.au" TargetMode="External"/><Relationship Id="rId436" Type="http://schemas.openxmlformats.org/officeDocument/2006/relationships/hyperlink" Target="mailto:jason.bailes@peet.com.au" TargetMode="External"/><Relationship Id="rId643" Type="http://schemas.openxmlformats.org/officeDocument/2006/relationships/hyperlink" Target="mailto:jake@red23.com.au" TargetMode="External"/><Relationship Id="rId1066" Type="http://schemas.openxmlformats.org/officeDocument/2006/relationships/hyperlink" Target="mailto:atherstone@lendlease.com" TargetMode="External"/><Relationship Id="rId1273" Type="http://schemas.openxmlformats.org/officeDocument/2006/relationships/hyperlink" Target="mailto:planning@millarmerrigan.com.au" TargetMode="External"/><Relationship Id="rId1480" Type="http://schemas.openxmlformats.org/officeDocument/2006/relationships/hyperlink" Target="mailto:bhalsall@buxton.com.au" TargetMode="External"/><Relationship Id="rId2117" Type="http://schemas.openxmlformats.org/officeDocument/2006/relationships/hyperlink" Target="mailto:tim@smithspark.com.au" TargetMode="External"/><Relationship Id="rId2324" Type="http://schemas.openxmlformats.org/officeDocument/2006/relationships/hyperlink" Target="mailto:z.stojanovski@oliverhume.com.au" TargetMode="External"/><Relationship Id="rId850" Type="http://schemas.openxmlformats.org/officeDocument/2006/relationships/hyperlink" Target="mailto:lilium@villaworld.com.au" TargetMode="External"/><Relationship Id="rId1133" Type="http://schemas.openxmlformats.org/officeDocument/2006/relationships/hyperlink" Target="mailto:chris.walker@stockland.com.au" TargetMode="External"/><Relationship Id="rId2531" Type="http://schemas.openxmlformats.org/officeDocument/2006/relationships/hyperlink" Target="mailto:stonehill@rpmrealestate.com.au" TargetMode="External"/><Relationship Id="rId503" Type="http://schemas.openxmlformats.org/officeDocument/2006/relationships/hyperlink" Target="mailto:kunal@red23.com.au" TargetMode="External"/><Relationship Id="rId710" Type="http://schemas.openxmlformats.org/officeDocument/2006/relationships/hyperlink" Target="mailto:annadale@rpmrealestate.com.au" TargetMode="External"/><Relationship Id="rId1340" Type="http://schemas.openxmlformats.org/officeDocument/2006/relationships/hyperlink" Target="mailto:freddy@freddyrealty.com.au" TargetMode="External"/><Relationship Id="rId3098" Type="http://schemas.openxmlformats.org/officeDocument/2006/relationships/hyperlink" Target="mailto:sameer@salesxwise.com.au" TargetMode="External"/><Relationship Id="rId1200" Type="http://schemas.openxmlformats.org/officeDocument/2006/relationships/hyperlink" Target="mailto:atherstone@lendlease.com" TargetMode="External"/><Relationship Id="rId293" Type="http://schemas.openxmlformats.org/officeDocument/2006/relationships/hyperlink" Target="mailto:n.harb@oliverhume.com.au" TargetMode="External"/><Relationship Id="rId2181" Type="http://schemas.openxmlformats.org/officeDocument/2006/relationships/hyperlink" Target="mailto:vivienne@red23.com.au" TargetMode="External"/><Relationship Id="rId3025" Type="http://schemas.openxmlformats.org/officeDocument/2006/relationships/hyperlink" Target="mailto:n.harb@oliverhume.com.au" TargetMode="External"/><Relationship Id="rId153" Type="http://schemas.openxmlformats.org/officeDocument/2006/relationships/hyperlink" Target="mailto:Janet.Skinner@peet.com.au" TargetMode="External"/><Relationship Id="rId360" Type="http://schemas.openxmlformats.org/officeDocument/2006/relationships/hyperlink" Target="mailto:patrick@wolfdene.com.au" TargetMode="External"/><Relationship Id="rId2041" Type="http://schemas.openxmlformats.org/officeDocument/2006/relationships/hyperlink" Target="mailto:kevin@vhls.net.au" TargetMode="External"/><Relationship Id="rId220" Type="http://schemas.openxmlformats.org/officeDocument/2006/relationships/hyperlink" Target="mailto:chris.walker@stockland.com.au" TargetMode="External"/><Relationship Id="rId2998" Type="http://schemas.openxmlformats.org/officeDocument/2006/relationships/hyperlink" Target="mailto:michael@thelandco.com.au" TargetMode="External"/><Relationship Id="rId2858" Type="http://schemas.openxmlformats.org/officeDocument/2006/relationships/hyperlink" Target="mailto:ashwin.sethi@stockland.com.au" TargetMode="External"/><Relationship Id="rId99" Type="http://schemas.openxmlformats.org/officeDocument/2006/relationships/hyperlink" Target="mailto:sergio@alc.land" TargetMode="External"/><Relationship Id="rId1667" Type="http://schemas.openxmlformats.org/officeDocument/2006/relationships/hyperlink" Target="mailto:simon@maxwellcollins.com.au" TargetMode="External"/><Relationship Id="rId1874" Type="http://schemas.openxmlformats.org/officeDocument/2006/relationships/hyperlink" Target="mailto:m.huynh@oliverhume.com.au" TargetMode="External"/><Relationship Id="rId2718" Type="http://schemas.openxmlformats.org/officeDocument/2006/relationships/hyperlink" Target="mailto:jason@bpg.com.au" TargetMode="External"/><Relationship Id="rId2925" Type="http://schemas.openxmlformats.org/officeDocument/2006/relationships/hyperlink" Target="mailto:sales@drouinfields.com.au" TargetMode="External"/><Relationship Id="rId1527" Type="http://schemas.openxmlformats.org/officeDocument/2006/relationships/hyperlink" Target="mailto:rob.polec@denniscorp.com.au" TargetMode="External"/><Relationship Id="rId1734" Type="http://schemas.openxmlformats.org/officeDocument/2006/relationships/hyperlink" Target="mailto:info@banriar.com.au" TargetMode="External"/><Relationship Id="rId1941" Type="http://schemas.openxmlformats.org/officeDocument/2006/relationships/hyperlink" Target="mailto:thornhillpark@rpmrealestate.com.au" TargetMode="External"/><Relationship Id="rId26" Type="http://schemas.openxmlformats.org/officeDocument/2006/relationships/hyperlink" Target="mailto:waterfordestate@rpm.com.au" TargetMode="External"/><Relationship Id="rId1801" Type="http://schemas.openxmlformats.org/officeDocument/2006/relationships/hyperlink" Target="mailto:khoa@wolfdene.com.au" TargetMode="External"/><Relationship Id="rId687" Type="http://schemas.openxmlformats.org/officeDocument/2006/relationships/hyperlink" Target="mailto:riverwalk@rpmrealestate.com.au" TargetMode="External"/><Relationship Id="rId2368" Type="http://schemas.openxmlformats.org/officeDocument/2006/relationships/hyperlink" Target="mailto:angelo.granata@peet.com.au" TargetMode="External"/><Relationship Id="rId894" Type="http://schemas.openxmlformats.org/officeDocument/2006/relationships/hyperlink" Target="mailto:d.rabba@oliverhume.com.au" TargetMode="External"/><Relationship Id="rId1177" Type="http://schemas.openxmlformats.org/officeDocument/2006/relationships/hyperlink" Target="mailto:thornhillpark@rpmrealestate.com.au" TargetMode="External"/><Relationship Id="rId2575" Type="http://schemas.openxmlformats.org/officeDocument/2006/relationships/hyperlink" Target="mailto:ashwin.sethi@stockland.com.au" TargetMode="External"/><Relationship Id="rId2782" Type="http://schemas.openxmlformats.org/officeDocument/2006/relationships/hyperlink" Target="mailto:j.peric@oliverhume.com.au" TargetMode="External"/><Relationship Id="rId547" Type="http://schemas.openxmlformats.org/officeDocument/2006/relationships/hyperlink" Target="mailto:sales@bisinella.com.au" TargetMode="External"/><Relationship Id="rId754" Type="http://schemas.openxmlformats.org/officeDocument/2006/relationships/hyperlink" Target="mailto:Emma.Nelson@peet.com.au" TargetMode="External"/><Relationship Id="rId961" Type="http://schemas.openxmlformats.org/officeDocument/2006/relationships/hyperlink" Target="mailto:m.nastic@oliverhume.com.au" TargetMode="External"/><Relationship Id="rId1384" Type="http://schemas.openxmlformats.org/officeDocument/2006/relationships/hyperlink" Target="mailto:rosenthal@rpmrealestate.com.au" TargetMode="External"/><Relationship Id="rId1591" Type="http://schemas.openxmlformats.org/officeDocument/2006/relationships/hyperlink" Target="mailto:nick@mastersempiregroup.com.au" TargetMode="External"/><Relationship Id="rId2228" Type="http://schemas.openxmlformats.org/officeDocument/2006/relationships/hyperlink" Target="mailto:platinumrise@a1group.com.au" TargetMode="External"/><Relationship Id="rId2435" Type="http://schemas.openxmlformats.org/officeDocument/2006/relationships/hyperlink" Target="mailto:rinaldi@thewisegroup.com.au" TargetMode="External"/><Relationship Id="rId2642" Type="http://schemas.openxmlformats.org/officeDocument/2006/relationships/hyperlink" Target="mailto:heather@kaikura.com.au" TargetMode="External"/><Relationship Id="rId90" Type="http://schemas.openxmlformats.org/officeDocument/2006/relationships/hyperlink" Target="mailto:riverdalevillage@latituderealestate.com.au" TargetMode="External"/><Relationship Id="rId407" Type="http://schemas.openxmlformats.org/officeDocument/2006/relationships/hyperlink" Target="mailto:sara.lowe@eigdevelopments.com.au" TargetMode="External"/><Relationship Id="rId614" Type="http://schemas.openxmlformats.org/officeDocument/2006/relationships/hyperlink" Target="mailto:admin@woodlea.com.au" TargetMode="External"/><Relationship Id="rId821" Type="http://schemas.openxmlformats.org/officeDocument/2006/relationships/hyperlink" Target="mailto:mandalay@rpmrealestate.com.au" TargetMode="External"/><Relationship Id="rId1037" Type="http://schemas.openxmlformats.org/officeDocument/2006/relationships/hyperlink" Target="mailto:mark.scordia@gmail.com" TargetMode="External"/><Relationship Id="rId1244" Type="http://schemas.openxmlformats.org/officeDocument/2006/relationships/hyperlink" Target="mailto:markd@satterley.com.au" TargetMode="External"/><Relationship Id="rId1451" Type="http://schemas.openxmlformats.org/officeDocument/2006/relationships/hyperlink" Target="mailto:alira@rpmrealestate.com.au" TargetMode="External"/><Relationship Id="rId2502" Type="http://schemas.openxmlformats.org/officeDocument/2006/relationships/hyperlink" Target="mailto:mai.tran@mywindermere.com.au" TargetMode="External"/><Relationship Id="rId1104" Type="http://schemas.openxmlformats.org/officeDocument/2006/relationships/hyperlink" Target="mailto:m.nastic@oliverhume.com.au" TargetMode="External"/><Relationship Id="rId1311" Type="http://schemas.openxmlformats.org/officeDocument/2006/relationships/hyperlink" Target="mailto:thornhillpark@rpmrealestate.com.au" TargetMode="External"/><Relationship Id="rId3069" Type="http://schemas.openxmlformats.org/officeDocument/2006/relationships/hyperlink" Target="mailto:thereserve@rpmrealestate.com.au" TargetMode="External"/><Relationship Id="rId197" Type="http://schemas.openxmlformats.org/officeDocument/2006/relationships/hyperlink" Target="mailto:n.harb@oliverhume.com.au" TargetMode="External"/><Relationship Id="rId2085" Type="http://schemas.openxmlformats.org/officeDocument/2006/relationships/hyperlink" Target="mailto:gabey@coreprojects.com.au" TargetMode="External"/><Relationship Id="rId2292" Type="http://schemas.openxmlformats.org/officeDocument/2006/relationships/hyperlink" Target="mailto:monica.quaresima@stockland.com.au" TargetMode="External"/><Relationship Id="rId264" Type="http://schemas.openxmlformats.org/officeDocument/2006/relationships/hyperlink" Target="mailto:amy.newman@lendlease.com" TargetMode="External"/><Relationship Id="rId471" Type="http://schemas.openxmlformats.org/officeDocument/2006/relationships/hyperlink" Target="mailto:andy@red23.com.au" TargetMode="External"/><Relationship Id="rId2152" Type="http://schemas.openxmlformats.org/officeDocument/2006/relationships/hyperlink" Target="mailto:josephine.borg@stockland.com.au" TargetMode="External"/><Relationship Id="rId124" Type="http://schemas.openxmlformats.org/officeDocument/2006/relationships/hyperlink" Target="mailto:carol.rubidoux@cedarwoods.com.au" TargetMode="External"/><Relationship Id="rId331" Type="http://schemas.openxmlformats.org/officeDocument/2006/relationships/hyperlink" Target="mailto:jason@red23.com.au" TargetMode="External"/><Relationship Id="rId2012" Type="http://schemas.openxmlformats.org/officeDocument/2006/relationships/hyperlink" Target="mailto:amy.newman@lendlease.com" TargetMode="External"/><Relationship Id="rId2969" Type="http://schemas.openxmlformats.org/officeDocument/2006/relationships/hyperlink" Target="mailto:jessica.hammond@stockland.com.au" TargetMode="External"/><Relationship Id="rId1778" Type="http://schemas.openxmlformats.org/officeDocument/2006/relationships/hyperlink" Target="mailto:josephine.borg@stockland.com.au" TargetMode="External"/><Relationship Id="rId1985" Type="http://schemas.openxmlformats.org/officeDocument/2006/relationships/hyperlink" Target="mailto:rbhardwaj@coreprojects.com.au" TargetMode="External"/><Relationship Id="rId2829" Type="http://schemas.openxmlformats.org/officeDocument/2006/relationships/hyperlink" Target="mailto:ann@emerldparktarneit.com.au" TargetMode="External"/><Relationship Id="rId1638" Type="http://schemas.openxmlformats.org/officeDocument/2006/relationships/hyperlink" Target="mailto:r.footman@oliverhume.com.au" TargetMode="External"/><Relationship Id="rId1845" Type="http://schemas.openxmlformats.org/officeDocument/2006/relationships/hyperlink" Target="mailto:chris.walker@stockland.com.au" TargetMode="External"/><Relationship Id="rId3060" Type="http://schemas.openxmlformats.org/officeDocument/2006/relationships/hyperlink" Target="mailto:info@birchmoregroup.com.au" TargetMode="External"/><Relationship Id="rId1705" Type="http://schemas.openxmlformats.org/officeDocument/2006/relationships/hyperlink" Target="mailto:s.fuss@oliverhume.com.au" TargetMode="External"/><Relationship Id="rId1912" Type="http://schemas.openxmlformats.org/officeDocument/2006/relationships/hyperlink" Target="mailto:andy@red23.com.au" TargetMode="External"/><Relationship Id="rId798" Type="http://schemas.openxmlformats.org/officeDocument/2006/relationships/hyperlink" Target="mailto:d.rabba@oliverhume.com.au" TargetMode="External"/><Relationship Id="rId2479" Type="http://schemas.openxmlformats.org/officeDocument/2006/relationships/hyperlink" Target="mailto:i.tanti@oliverhume.com.au" TargetMode="External"/><Relationship Id="rId2686" Type="http://schemas.openxmlformats.org/officeDocument/2006/relationships/hyperlink" Target="mailto:chris.walker@stockland.com.au" TargetMode="External"/><Relationship Id="rId2893" Type="http://schemas.openxmlformats.org/officeDocument/2006/relationships/hyperlink" Target="mailto:sing@augmentgroup.com.au" TargetMode="External"/><Relationship Id="rId658" Type="http://schemas.openxmlformats.org/officeDocument/2006/relationships/hyperlink" Target="mailto:thornhillpark@rpmrealestate.com.au" TargetMode="External"/><Relationship Id="rId865" Type="http://schemas.openxmlformats.org/officeDocument/2006/relationships/hyperlink" Target="mailto:cpearson@westbrookestate.com.au" TargetMode="External"/><Relationship Id="rId1288" Type="http://schemas.openxmlformats.org/officeDocument/2006/relationships/hyperlink" Target="mailto:richard@wyndhamre.com.au" TargetMode="External"/><Relationship Id="rId1495" Type="http://schemas.openxmlformats.org/officeDocument/2006/relationships/hyperlink" Target="mailto:daniels@lotusliving.com.au" TargetMode="External"/><Relationship Id="rId2339" Type="http://schemas.openxmlformats.org/officeDocument/2006/relationships/hyperlink" Target="mailto:info@tycoonestate.com.au" TargetMode="External"/><Relationship Id="rId2546" Type="http://schemas.openxmlformats.org/officeDocument/2006/relationships/hyperlink" Target="mailto:daniel.lock@mirvac.com" TargetMode="External"/><Relationship Id="rId2753" Type="http://schemas.openxmlformats.org/officeDocument/2006/relationships/hyperlink" Target="mailto:m.huynh@oliverhume.com.au" TargetMode="External"/><Relationship Id="rId2960" Type="http://schemas.openxmlformats.org/officeDocument/2006/relationships/hyperlink" Target="mailto:daniels@lotusliving.com.au" TargetMode="External"/><Relationship Id="rId518" Type="http://schemas.openxmlformats.org/officeDocument/2006/relationships/hyperlink" Target="mailto:David.maloney@frasers.com.au" TargetMode="External"/><Relationship Id="rId725" Type="http://schemas.openxmlformats.org/officeDocument/2006/relationships/hyperlink" Target="mailto:arramont@rpmrealestate.com.au" TargetMode="External"/><Relationship Id="rId932" Type="http://schemas.openxmlformats.org/officeDocument/2006/relationships/hyperlink" Target="mailto:Aida.Kubat@denniscorp.com.au" TargetMode="External"/><Relationship Id="rId1148" Type="http://schemas.openxmlformats.org/officeDocument/2006/relationships/hyperlink" Target="mailto:joea@maxbrown.com.au" TargetMode="External"/><Relationship Id="rId1355" Type="http://schemas.openxmlformats.org/officeDocument/2006/relationships/hyperlink" Target="mailto:ben@prdballarat.com.au" TargetMode="External"/><Relationship Id="rId1562" Type="http://schemas.openxmlformats.org/officeDocument/2006/relationships/hyperlink" Target="mailto:sergio@alc.land" TargetMode="External"/><Relationship Id="rId2406" Type="http://schemas.openxmlformats.org/officeDocument/2006/relationships/hyperlink" Target="mailto:jan@catalinapointcook.com.au" TargetMode="External"/><Relationship Id="rId2613" Type="http://schemas.openxmlformats.org/officeDocument/2006/relationships/hyperlink" Target="mailto:mandalay@rpmrealestate.com.au" TargetMode="External"/><Relationship Id="rId1008" Type="http://schemas.openxmlformats.org/officeDocument/2006/relationships/hyperlink" Target="mailto:riverdalevillage@latituderealestate.com.au" TargetMode="External"/><Relationship Id="rId1215" Type="http://schemas.openxmlformats.org/officeDocument/2006/relationships/hyperlink" Target="mailto:bowery@rpmrealestate.com.au" TargetMode="External"/><Relationship Id="rId1422" Type="http://schemas.openxmlformats.org/officeDocument/2006/relationships/hyperlink" Target="mailto:anne.cross@lendlease.com" TargetMode="External"/><Relationship Id="rId2820" Type="http://schemas.openxmlformats.org/officeDocument/2006/relationships/hyperlink" Target="mailto:khewitt@hockingstuart.com.au" TargetMode="External"/><Relationship Id="rId61" Type="http://schemas.openxmlformats.org/officeDocument/2006/relationships/hyperlink" Target="mailto:mandalay@rpmrealestate.com.au" TargetMode="External"/><Relationship Id="rId2196" Type="http://schemas.openxmlformats.org/officeDocument/2006/relationships/hyperlink" Target="mailto:lucy@rpmgrp.com.au" TargetMode="External"/><Relationship Id="rId168" Type="http://schemas.openxmlformats.org/officeDocument/2006/relationships/hyperlink" Target="mailto:ashwin.sethi@stockland.com.au" TargetMode="External"/><Relationship Id="rId375" Type="http://schemas.openxmlformats.org/officeDocument/2006/relationships/hyperlink" Target="mailto:annadale@rpmrealestate.com.au" TargetMode="External"/><Relationship Id="rId582" Type="http://schemas.openxmlformats.org/officeDocument/2006/relationships/hyperlink" Target="mailto:wynbrook@rpmrealestate.com.au" TargetMode="External"/><Relationship Id="rId2056" Type="http://schemas.openxmlformats.org/officeDocument/2006/relationships/hyperlink" Target="mailto:alira@rpmrealestate.com.au" TargetMode="External"/><Relationship Id="rId2263" Type="http://schemas.openxmlformats.org/officeDocument/2006/relationships/hyperlink" Target="mailto:ann@emerldparktarneit.com.au" TargetMode="External"/><Relationship Id="rId2470" Type="http://schemas.openxmlformats.org/officeDocument/2006/relationships/hyperlink" Target="mailto:cpearson@westbrookestate.com.au" TargetMode="External"/><Relationship Id="rId3107" Type="http://schemas.openxmlformats.org/officeDocument/2006/relationships/hyperlink" Target="mailto:oakgrove@rpmgrp.com.au" TargetMode="External"/><Relationship Id="rId235" Type="http://schemas.openxmlformats.org/officeDocument/2006/relationships/hyperlink" Target="mailto:k.spencer@oliverhume.com.au" TargetMode="External"/><Relationship Id="rId442" Type="http://schemas.openxmlformats.org/officeDocument/2006/relationships/hyperlink" Target="mailto:joea@maxbrown.com.au" TargetMode="External"/><Relationship Id="rId1072" Type="http://schemas.openxmlformats.org/officeDocument/2006/relationships/hyperlink" Target="mailto:riverwalk@rpmrealestate.com.au" TargetMode="External"/><Relationship Id="rId2123" Type="http://schemas.openxmlformats.org/officeDocument/2006/relationships/hyperlink" Target="mailto:bruce@kaikura.com.au" TargetMode="External"/><Relationship Id="rId2330" Type="http://schemas.openxmlformats.org/officeDocument/2006/relationships/hyperlink" Target="mailto:Catherine@yourland.com" TargetMode="External"/><Relationship Id="rId302" Type="http://schemas.openxmlformats.org/officeDocument/2006/relationships/hyperlink" Target="mailto:dspiteri@hermitagehomes.com.au" TargetMode="External"/><Relationship Id="rId1889" Type="http://schemas.openxmlformats.org/officeDocument/2006/relationships/hyperlink" Target="mailto:olivia@latituderealestate.com.au" TargetMode="External"/><Relationship Id="rId1749" Type="http://schemas.openxmlformats.org/officeDocument/2006/relationships/hyperlink" Target="mailto:rob@wolfdene.com.au" TargetMode="External"/><Relationship Id="rId1956" Type="http://schemas.openxmlformats.org/officeDocument/2006/relationships/hyperlink" Target="mailto:admin@woodlea.com.au" TargetMode="External"/><Relationship Id="rId1609" Type="http://schemas.openxmlformats.org/officeDocument/2006/relationships/hyperlink" Target="mailto:admin@woodlea.com.au" TargetMode="External"/><Relationship Id="rId1816" Type="http://schemas.openxmlformats.org/officeDocument/2006/relationships/hyperlink" Target="mailto:atherstone@lendlease.com" TargetMode="External"/><Relationship Id="rId3031" Type="http://schemas.openxmlformats.org/officeDocument/2006/relationships/hyperlink" Target="mailto:info@darlingdarley.com.au" TargetMode="External"/><Relationship Id="rId2797" Type="http://schemas.openxmlformats.org/officeDocument/2006/relationships/hyperlink" Target="mailto:platinumrise@a1group.com.au" TargetMode="External"/><Relationship Id="rId769" Type="http://schemas.openxmlformats.org/officeDocument/2006/relationships/hyperlink" Target="mailto:NickC@centralequity.com.au" TargetMode="External"/><Relationship Id="rId976" Type="http://schemas.openxmlformats.org/officeDocument/2006/relationships/hyperlink" Target="mailto:alira@rpmrealestate.com.au" TargetMode="External"/><Relationship Id="rId1399" Type="http://schemas.openxmlformats.org/officeDocument/2006/relationships/hyperlink" Target="mailto:Adam@red23.com.au" TargetMode="External"/><Relationship Id="rId2657" Type="http://schemas.openxmlformats.org/officeDocument/2006/relationships/hyperlink" Target="mailto:jeremy@maxwellcollins.com.au" TargetMode="External"/><Relationship Id="rId629" Type="http://schemas.openxmlformats.org/officeDocument/2006/relationships/hyperlink" Target="mailto:dspiteri@hermitagehomes.com.au" TargetMode="External"/><Relationship Id="rId1259" Type="http://schemas.openxmlformats.org/officeDocument/2006/relationships/hyperlink" Target="mailto:lilium@villaworld.com.au" TargetMode="External"/><Relationship Id="rId1466" Type="http://schemas.openxmlformats.org/officeDocument/2006/relationships/hyperlink" Target="mailto:chris.walker@stockland.com.au" TargetMode="External"/><Relationship Id="rId2864" Type="http://schemas.openxmlformats.org/officeDocument/2006/relationships/hyperlink" Target="mailto:chris.walker@stockland.com.au" TargetMode="External"/><Relationship Id="rId836" Type="http://schemas.openxmlformats.org/officeDocument/2006/relationships/hyperlink" Target="mailto:ted@kohamproperty.com.au" TargetMode="External"/><Relationship Id="rId1119" Type="http://schemas.openxmlformats.org/officeDocument/2006/relationships/hyperlink" Target="mailto:wynbrook@rpmrealestate.com.au" TargetMode="External"/><Relationship Id="rId1673" Type="http://schemas.openxmlformats.org/officeDocument/2006/relationships/hyperlink" Target="mailto:beau.c@spiregroup.net.au" TargetMode="External"/><Relationship Id="rId1880" Type="http://schemas.openxmlformats.org/officeDocument/2006/relationships/hyperlink" Target="mailto:josephine.borg@stockland.com.au" TargetMode="External"/><Relationship Id="rId2517" Type="http://schemas.openxmlformats.org/officeDocument/2006/relationships/hyperlink" Target="mailto:rbhardwaj@coreprojects.com.au" TargetMode="External"/><Relationship Id="rId2724" Type="http://schemas.openxmlformats.org/officeDocument/2006/relationships/hyperlink" Target="mailto:chris.walker@stockland.com.au" TargetMode="External"/><Relationship Id="rId2931" Type="http://schemas.openxmlformats.org/officeDocument/2006/relationships/hyperlink" Target="mailto:LVojneska@denniscorp.com.au" TargetMode="External"/><Relationship Id="rId903" Type="http://schemas.openxmlformats.org/officeDocument/2006/relationships/hyperlink" Target="mailto:s.wright@oliverhume.com.au" TargetMode="External"/><Relationship Id="rId1326" Type="http://schemas.openxmlformats.org/officeDocument/2006/relationships/hyperlink" Target="mailto:LVojneska@denniscorp.com.au" TargetMode="External"/><Relationship Id="rId1533" Type="http://schemas.openxmlformats.org/officeDocument/2006/relationships/hyperlink" Target="mailto:ann@emerldparktarneit.com.au" TargetMode="External"/><Relationship Id="rId1740" Type="http://schemas.openxmlformats.org/officeDocument/2006/relationships/hyperlink" Target="mailto:awong@barryplant.com.au" TargetMode="External"/><Relationship Id="rId32" Type="http://schemas.openxmlformats.org/officeDocument/2006/relationships/hyperlink" Target="mailto:miloss@satterley.com.au" TargetMode="External"/><Relationship Id="rId1600" Type="http://schemas.openxmlformats.org/officeDocument/2006/relationships/hyperlink" Target="mailto:kim.mair@frasersproperty.com.au" TargetMode="External"/><Relationship Id="rId279" Type="http://schemas.openxmlformats.org/officeDocument/2006/relationships/hyperlink" Target="mailto:sales@belmondclyde.com.au" TargetMode="External"/><Relationship Id="rId486" Type="http://schemas.openxmlformats.org/officeDocument/2006/relationships/hyperlink" Target="mailto:greg@gblproperty.com" TargetMode="External"/><Relationship Id="rId693" Type="http://schemas.openxmlformats.org/officeDocument/2006/relationships/hyperlink" Target="mailto:mandalay@rpmrealestate.com.au" TargetMode="External"/><Relationship Id="rId2167" Type="http://schemas.openxmlformats.org/officeDocument/2006/relationships/hyperlink" Target="mailto:andy@red23.com.au" TargetMode="External"/><Relationship Id="rId2374" Type="http://schemas.openxmlformats.org/officeDocument/2006/relationships/hyperlink" Target="mailto:brad@arborofficer.com.au" TargetMode="External"/><Relationship Id="rId2581" Type="http://schemas.openxmlformats.org/officeDocument/2006/relationships/hyperlink" Target="mailto:andy@red23.com.au" TargetMode="External"/><Relationship Id="rId139" Type="http://schemas.openxmlformats.org/officeDocument/2006/relationships/hyperlink" Target="mailto:dspiteri@hermitagehomes.com.au" TargetMode="External"/><Relationship Id="rId346" Type="http://schemas.openxmlformats.org/officeDocument/2006/relationships/hyperlink" Target="mailto:daniels@lotusliving.com.au" TargetMode="External"/><Relationship Id="rId553" Type="http://schemas.openxmlformats.org/officeDocument/2006/relationships/hyperlink" Target="mailto:z.stojanovski@oliverhume.com.au" TargetMode="External"/><Relationship Id="rId760" Type="http://schemas.openxmlformats.org/officeDocument/2006/relationships/hyperlink" Target="mailto:Eliston@rpmrealestate.com.au" TargetMode="External"/><Relationship Id="rId1183" Type="http://schemas.openxmlformats.org/officeDocument/2006/relationships/hyperlink" Target="mailto:kassy@kaikura.com.au" TargetMode="External"/><Relationship Id="rId1390" Type="http://schemas.openxmlformats.org/officeDocument/2006/relationships/hyperlink" Target="mailto:cmccormack@avidpropertygroup.com.au" TargetMode="External"/><Relationship Id="rId2027" Type="http://schemas.openxmlformats.org/officeDocument/2006/relationships/hyperlink" Target="mailto:van.ritchie@yourland.com" TargetMode="External"/><Relationship Id="rId2234" Type="http://schemas.openxmlformats.org/officeDocument/2006/relationships/hyperlink" Target="mailto:willow@rpmrealestate.com.au" TargetMode="External"/><Relationship Id="rId2441" Type="http://schemas.openxmlformats.org/officeDocument/2006/relationships/hyperlink" Target="mailto:a.clarke@oliverhume.com.au" TargetMode="External"/><Relationship Id="rId206" Type="http://schemas.openxmlformats.org/officeDocument/2006/relationships/hyperlink" Target="mailto:raj.shergill@stockland.com.au" TargetMode="External"/><Relationship Id="rId413" Type="http://schemas.openxmlformats.org/officeDocument/2006/relationships/hyperlink" Target="mailto:d.halsey@oliverhume.com.au" TargetMode="External"/><Relationship Id="rId1043" Type="http://schemas.openxmlformats.org/officeDocument/2006/relationships/hyperlink" Target="mailto:greg@gblproperty.com" TargetMode="External"/><Relationship Id="rId620" Type="http://schemas.openxmlformats.org/officeDocument/2006/relationships/hyperlink" Target="mailto:jason@red23.com.au" TargetMode="External"/><Relationship Id="rId1250" Type="http://schemas.openxmlformats.org/officeDocument/2006/relationships/hyperlink" Target="mailto:kim.mair@frasersproperty.com.au" TargetMode="External"/><Relationship Id="rId2301" Type="http://schemas.openxmlformats.org/officeDocument/2006/relationships/hyperlink" Target="mailto:sharee@maxwellcollins.com.au" TargetMode="External"/><Relationship Id="rId1110" Type="http://schemas.openxmlformats.org/officeDocument/2006/relationships/hyperlink" Target="mailto:Rothwell@rpmrealestate.com.au" TargetMode="External"/><Relationship Id="rId1927" Type="http://schemas.openxmlformats.org/officeDocument/2006/relationships/hyperlink" Target="mailto:kingsfield@rpmrealestate.com.au" TargetMode="External"/><Relationship Id="rId3075" Type="http://schemas.openxmlformats.org/officeDocument/2006/relationships/hyperlink" Target="mailto:clearwater@rpmgrp.com.au" TargetMode="External"/><Relationship Id="rId2091" Type="http://schemas.openxmlformats.org/officeDocument/2006/relationships/hyperlink" Target="mailto:van.ritchie@yourland.com"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13.bin"/><Relationship Id="rId4" Type="http://schemas.openxmlformats.org/officeDocument/2006/relationships/table" Target="../tables/table2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0A35-5C9F-4405-96FF-FB945CD2658D}">
  <sheetPr codeName="Sheet1">
    <tabColor theme="3" tint="0.59999389629810485"/>
    <pageSetUpPr fitToPage="1"/>
  </sheetPr>
  <dimension ref="A1:AH77"/>
  <sheetViews>
    <sheetView tabSelected="1" zoomScale="85" zoomScaleNormal="85" zoomScaleSheetLayoutView="100" workbookViewId="0">
      <selection activeCell="AB7" sqref="AB7"/>
    </sheetView>
  </sheetViews>
  <sheetFormatPr defaultColWidth="2.5703125" defaultRowHeight="12.75"/>
  <cols>
    <col min="1" max="1" width="8.5703125" style="109" bestFit="1" customWidth="1"/>
    <col min="2" max="2" width="10.42578125" style="109" bestFit="1" customWidth="1"/>
    <col min="3" max="3" width="5.42578125" style="109" bestFit="1" customWidth="1"/>
    <col min="4" max="4" width="8" style="109" customWidth="1"/>
    <col min="5" max="5" width="11.42578125" style="110" bestFit="1" customWidth="1"/>
    <col min="6" max="7" width="5.5703125" style="109" bestFit="1" customWidth="1"/>
    <col min="8" max="8" width="7" style="109" bestFit="1" customWidth="1"/>
    <col min="9" max="9" width="6.42578125" style="109" bestFit="1" customWidth="1"/>
    <col min="10" max="10" width="7.42578125" style="109" customWidth="1"/>
    <col min="11" max="11" width="14.5703125" style="109" customWidth="1"/>
    <col min="12" max="12" width="7" style="109" bestFit="1" customWidth="1"/>
    <col min="13" max="13" width="12.5703125" style="109" customWidth="1"/>
    <col min="14" max="14" width="9" style="109" bestFit="1" customWidth="1"/>
    <col min="15" max="15" width="10.42578125" style="109" bestFit="1" customWidth="1"/>
    <col min="16" max="16" width="10.5703125" style="109" bestFit="1" customWidth="1"/>
    <col min="17" max="18" width="9.42578125" style="109" bestFit="1" customWidth="1"/>
    <col min="19" max="19" width="10.42578125" style="109" customWidth="1"/>
    <col min="20" max="21" width="9.42578125" style="109" bestFit="1" customWidth="1"/>
    <col min="22" max="22" width="10" style="109" bestFit="1" customWidth="1"/>
    <col min="23" max="23" width="9.42578125" style="109" bestFit="1" customWidth="1"/>
    <col min="24" max="25" width="8.5703125" style="109" customWidth="1"/>
    <col min="26" max="26" width="8" style="109" customWidth="1"/>
    <col min="27" max="27" width="8.42578125" style="109" bestFit="1" customWidth="1"/>
    <col min="28" max="29" width="6.42578125" style="109" bestFit="1" customWidth="1"/>
    <col min="30" max="30" width="4.5703125" style="109" bestFit="1" customWidth="1"/>
    <col min="31" max="31" width="6.42578125" style="109" bestFit="1" customWidth="1"/>
    <col min="32" max="32" width="5.5703125" style="109" bestFit="1" customWidth="1"/>
    <col min="33" max="33" width="8" style="109" bestFit="1" customWidth="1"/>
    <col min="34" max="34" width="9.5703125" style="109" customWidth="1"/>
    <col min="35" max="16384" width="2.5703125" style="109"/>
  </cols>
  <sheetData>
    <row r="1" spans="1:34" ht="29.25" thickBot="1">
      <c r="A1" s="417" t="s">
        <v>10814</v>
      </c>
      <c r="B1" s="418"/>
      <c r="C1" s="418"/>
      <c r="D1" s="418"/>
      <c r="E1" s="418"/>
      <c r="F1" s="418"/>
      <c r="G1" s="418"/>
      <c r="H1" s="418"/>
      <c r="I1" s="418"/>
      <c r="J1" s="418"/>
      <c r="K1" s="418"/>
      <c r="L1" s="418"/>
      <c r="M1" s="418"/>
      <c r="N1" s="418"/>
      <c r="O1" s="418"/>
      <c r="P1" s="418"/>
      <c r="Q1" s="418"/>
      <c r="R1" s="418"/>
      <c r="S1" s="418"/>
      <c r="T1" s="418"/>
      <c r="U1" s="418"/>
      <c r="V1" s="418"/>
      <c r="W1" s="418"/>
      <c r="X1" s="418"/>
      <c r="Y1" s="419"/>
    </row>
    <row r="2" spans="1:34" ht="5.25" customHeight="1"/>
    <row r="3" spans="1:34" s="113" customFormat="1" ht="15">
      <c r="A3" s="477" t="s">
        <v>105</v>
      </c>
      <c r="B3" s="477"/>
      <c r="C3" s="478"/>
      <c r="D3" s="478"/>
      <c r="E3" s="478"/>
      <c r="F3" s="478"/>
      <c r="G3" s="477" t="s">
        <v>326</v>
      </c>
      <c r="H3" s="477"/>
      <c r="I3" s="477"/>
      <c r="J3" s="111"/>
      <c r="K3" s="479" t="str">
        <f>IF($C$3&lt;&gt;"",_xlfn.XLOOKUP($C$3,Table6[Estate],Table6[Contact]),"")</f>
        <v/>
      </c>
      <c r="L3" s="479"/>
      <c r="M3" s="479"/>
      <c r="N3" s="477" t="s">
        <v>7255</v>
      </c>
      <c r="O3" s="477"/>
      <c r="P3" s="70"/>
      <c r="Q3" s="111"/>
      <c r="R3" s="477" t="s">
        <v>9783</v>
      </c>
      <c r="S3" s="477"/>
      <c r="T3" s="477"/>
      <c r="U3" s="70"/>
      <c r="V3" s="112"/>
      <c r="W3" s="477" t="s">
        <v>7253</v>
      </c>
      <c r="X3" s="477"/>
      <c r="Y3" s="71"/>
    </row>
    <row r="4" spans="1:34" s="113" customFormat="1" ht="15">
      <c r="A4" s="477" t="s">
        <v>7254</v>
      </c>
      <c r="B4" s="477"/>
      <c r="C4" s="479" t="str">
        <f>IF($C$3&lt;&gt;"",_xlfn.XLOOKUP($C$3,Table6[Estate],Table6[Suburb]),"")</f>
        <v/>
      </c>
      <c r="D4" s="479"/>
      <c r="E4" s="479"/>
      <c r="F4" s="479"/>
      <c r="G4" s="477" t="s">
        <v>327</v>
      </c>
      <c r="H4" s="477"/>
      <c r="I4" s="477"/>
      <c r="J4" s="111"/>
      <c r="K4" s="479" t="str">
        <f>IF($C$3&lt;&gt;"",_xlfn.XLOOKUP($C$3,Table6[Estate],Table6[Contact mobile]),"")</f>
        <v/>
      </c>
      <c r="L4" s="479"/>
      <c r="M4" s="479"/>
      <c r="N4" s="477" t="s">
        <v>7258</v>
      </c>
      <c r="O4" s="477"/>
      <c r="P4" s="72"/>
      <c r="Q4" s="111"/>
      <c r="R4" s="477" t="s">
        <v>7256</v>
      </c>
      <c r="S4" s="477"/>
      <c r="T4" s="477"/>
      <c r="U4" s="70"/>
      <c r="V4" s="112"/>
      <c r="W4" s="477" t="s">
        <v>7257</v>
      </c>
      <c r="X4" s="477"/>
      <c r="Y4" s="71"/>
    </row>
    <row r="5" spans="1:34" s="113" customFormat="1" ht="15">
      <c r="A5" s="477" t="s">
        <v>325</v>
      </c>
      <c r="B5" s="477"/>
      <c r="C5" s="479" t="str">
        <f>IF($C$3&lt;&gt;"",_xlfn.XLOOKUP($C$3,Table6[Estate],Table6[Developer]),"")</f>
        <v/>
      </c>
      <c r="D5" s="479"/>
      <c r="E5" s="479"/>
      <c r="F5" s="479"/>
      <c r="G5" s="477" t="s">
        <v>328</v>
      </c>
      <c r="H5" s="477"/>
      <c r="I5" s="477"/>
      <c r="J5" s="111"/>
      <c r="K5" s="479" t="str">
        <f>IF($C$3&lt;&gt;"",_xlfn.XLOOKUP($C$3,Table6[Estate],Table6[Contact email]),"")</f>
        <v/>
      </c>
      <c r="L5" s="479"/>
      <c r="M5" s="479"/>
      <c r="N5" s="477" t="s">
        <v>8969</v>
      </c>
      <c r="O5" s="477"/>
      <c r="P5" s="70"/>
      <c r="R5" s="477" t="s">
        <v>7259</v>
      </c>
      <c r="S5" s="477"/>
      <c r="T5" s="477"/>
      <c r="U5" s="114" t="str">
        <f>IF($C$11&lt;&gt;"",_xlfn.XLOOKUP(CONCATENATE($C$3,C11),Table6[Concatenate],Table6[POS number],""),"")</f>
        <v/>
      </c>
      <c r="W5" s="477" t="s">
        <v>7252</v>
      </c>
      <c r="X5" s="477"/>
      <c r="Y5" s="70"/>
    </row>
    <row r="6" spans="1:34" ht="15">
      <c r="N6" s="477" t="s">
        <v>9224</v>
      </c>
      <c r="O6" s="477"/>
      <c r="P6" s="70"/>
      <c r="R6" s="477" t="str">
        <f>IF(P6="Yes","Do holding costs apply?","")</f>
        <v/>
      </c>
      <c r="S6" s="477"/>
      <c r="T6" s="477"/>
      <c r="U6" s="275"/>
      <c r="V6" s="111"/>
      <c r="W6" s="111"/>
      <c r="X6" s="111"/>
      <c r="Y6" s="111"/>
    </row>
    <row r="7" spans="1:34" ht="5.25" customHeight="1" thickBot="1"/>
    <row r="8" spans="1:34" s="115" customFormat="1" ht="16.5" thickBot="1">
      <c r="A8" s="420" t="s">
        <v>7260</v>
      </c>
      <c r="B8" s="421"/>
      <c r="C8" s="421"/>
      <c r="D8" s="421"/>
      <c r="E8" s="421"/>
      <c r="F8" s="421"/>
      <c r="G8" s="421"/>
      <c r="H8" s="421"/>
      <c r="I8" s="421"/>
      <c r="J8" s="421"/>
      <c r="K8" s="421"/>
      <c r="L8" s="421"/>
      <c r="M8" s="421"/>
      <c r="N8" s="421"/>
      <c r="O8" s="421"/>
      <c r="P8" s="421"/>
      <c r="Q8" s="421"/>
      <c r="R8" s="421"/>
      <c r="S8" s="421"/>
      <c r="T8" s="421"/>
      <c r="U8" s="421"/>
      <c r="V8" s="421"/>
      <c r="W8" s="421"/>
      <c r="X8" s="421"/>
      <c r="Y8" s="422"/>
      <c r="Z8" s="499"/>
    </row>
    <row r="9" spans="1:34" s="115" customFormat="1" ht="16.5" thickBot="1">
      <c r="A9" s="423" t="s">
        <v>7090</v>
      </c>
      <c r="B9" s="424"/>
      <c r="C9" s="424"/>
      <c r="D9" s="424"/>
      <c r="E9" s="424"/>
      <c r="F9" s="424"/>
      <c r="G9" s="424"/>
      <c r="H9" s="424"/>
      <c r="I9" s="424"/>
      <c r="J9" s="424"/>
      <c r="K9" s="424"/>
      <c r="L9" s="424"/>
      <c r="M9" s="424"/>
      <c r="N9" s="425"/>
      <c r="O9" s="426" t="s">
        <v>7261</v>
      </c>
      <c r="P9" s="427"/>
      <c r="Q9" s="117" t="s">
        <v>7262</v>
      </c>
      <c r="R9" s="426" t="s">
        <v>7261</v>
      </c>
      <c r="S9" s="428"/>
      <c r="T9" s="427"/>
      <c r="U9" s="116" t="s">
        <v>7090</v>
      </c>
      <c r="V9" s="118" t="s">
        <v>7090</v>
      </c>
      <c r="W9" s="426" t="s">
        <v>7261</v>
      </c>
      <c r="X9" s="428"/>
      <c r="Y9" s="427"/>
      <c r="Z9" s="499"/>
      <c r="AA9" s="500" t="s">
        <v>7263</v>
      </c>
      <c r="AB9" s="501"/>
      <c r="AC9" s="501"/>
      <c r="AD9" s="501"/>
      <c r="AE9" s="501"/>
      <c r="AF9" s="501"/>
      <c r="AG9" s="501"/>
      <c r="AH9" s="502"/>
    </row>
    <row r="10" spans="1:34" s="127" customFormat="1" ht="45.75" thickBot="1">
      <c r="A10" s="119" t="s">
        <v>7090</v>
      </c>
      <c r="B10" s="120" t="s">
        <v>7264</v>
      </c>
      <c r="C10" s="120" t="s">
        <v>322</v>
      </c>
      <c r="D10" s="120" t="s">
        <v>7265</v>
      </c>
      <c r="E10" s="120" t="s">
        <v>7266</v>
      </c>
      <c r="F10" s="120" t="s">
        <v>7348</v>
      </c>
      <c r="G10" s="120" t="s">
        <v>7349</v>
      </c>
      <c r="H10" s="120" t="s">
        <v>7267</v>
      </c>
      <c r="I10" s="120" t="s">
        <v>7268</v>
      </c>
      <c r="J10" s="120" t="s">
        <v>8618</v>
      </c>
      <c r="K10" s="120" t="s">
        <v>7269</v>
      </c>
      <c r="L10" s="120" t="s">
        <v>8620</v>
      </c>
      <c r="M10" s="120" t="s">
        <v>7271</v>
      </c>
      <c r="N10" s="121" t="s">
        <v>7272</v>
      </c>
      <c r="O10" s="122" t="s">
        <v>7273</v>
      </c>
      <c r="P10" s="123" t="s">
        <v>7274</v>
      </c>
      <c r="Q10" s="124" t="s">
        <v>7306</v>
      </c>
      <c r="R10" s="122" t="s">
        <v>7304</v>
      </c>
      <c r="S10" s="122" t="s">
        <v>7307</v>
      </c>
      <c r="T10" s="123" t="s">
        <v>7305</v>
      </c>
      <c r="U10" s="120" t="s">
        <v>7275</v>
      </c>
      <c r="V10" s="125" t="s">
        <v>7276</v>
      </c>
      <c r="W10" s="122" t="s">
        <v>7277</v>
      </c>
      <c r="X10" s="126" t="s">
        <v>7278</v>
      </c>
      <c r="Y10" s="123" t="s">
        <v>7279</v>
      </c>
      <c r="Z10" s="389" t="s">
        <v>9223</v>
      </c>
      <c r="AA10" s="155" t="s">
        <v>7280</v>
      </c>
      <c r="AB10" s="156" t="s">
        <v>7281</v>
      </c>
      <c r="AC10" s="156" t="s">
        <v>7282</v>
      </c>
      <c r="AD10" s="156" t="s">
        <v>7283</v>
      </c>
      <c r="AE10" s="156" t="s">
        <v>7284</v>
      </c>
      <c r="AF10" s="156" t="s">
        <v>7366</v>
      </c>
      <c r="AG10" s="156" t="s">
        <v>9061</v>
      </c>
      <c r="AH10" s="390" t="s">
        <v>10754</v>
      </c>
    </row>
    <row r="11" spans="1:34" s="127" customFormat="1" ht="15">
      <c r="A11" s="73"/>
      <c r="B11" s="74"/>
      <c r="C11" s="75"/>
      <c r="D11" s="75"/>
      <c r="E11" s="76"/>
      <c r="F11" s="335"/>
      <c r="G11" s="335"/>
      <c r="H11" s="73"/>
      <c r="I11" s="73"/>
      <c r="J11" s="73"/>
      <c r="K11" s="74"/>
      <c r="L11" s="73"/>
      <c r="M11" s="74"/>
      <c r="N11" s="77"/>
      <c r="O11" s="128" t="str">
        <f>IFERROR(IF(K11&lt;&gt;"",
IF(AND($C$3&lt;&gt;"",$C$3&lt;&gt;"Bankside Estate"),_xlfn.XLOOKUP(K11,Table1[House],Table1[Price]),
IF(AND($C$3="Bankside Estate",OR(M11="Bankside",M11="Forde",M11="Elite",M11="Menzies",M11="Keating")),_xlfn.XLOOKUP(K11,Table1[House],Table1[Price]),
"BANKSIDE,FORDE,ELITE,MENZIES,KEATING ONLY")),""),"")</f>
        <v/>
      </c>
      <c r="P11" s="129" t="str" cm="1">
        <f t="array" ref="P11">IF(M11&lt;&gt;"",INDEX(Table1[Facade Price],MATCH(1,(Table1[House]=K11)*(Table1[Facade]=M11),0)),"")</f>
        <v/>
      </c>
      <c r="Q11" s="304"/>
      <c r="R11" s="131" t="str">
        <f t="shared" ref="R11" si="0">IF(A11&gt;0,(IF(((I11="No")*AND(IF(ISNA(MATCH("Yes",$I$11:$I$20,0)),"No","Yes")="Yes")),(SUM(M$24:M$50)-4620),(SUM(M$24:M$50)))),"")</f>
        <v/>
      </c>
      <c r="S11" s="132" t="str">
        <f>IFERROR(IF((H11-(_xlfn.XLOOKUP(K11,Table1[House],Table1[Lot Total]))&lt;=0),"",((H11-(_xlfn.XLOOKUP(K11,Table1[House],Table1[Lot Total]))-0)*39)),"")</f>
        <v/>
      </c>
      <c r="T11" s="154" t="str">
        <f>IF(AND(A11&lt;&gt;"",K11&lt;&gt;"",M11&lt;&gt;""),SUM($Y$24:$Y$50) -
IF(ISERROR(SEARCH("HPS", K11)),IF($Y$44="",0,$Y$44),0) -
IF(OR(M11="Holt",M11="Traditional",M11="Prominent",M11="Elite",M11="Sorrento"),0,IF(AND(M11&lt;&gt;"Holt",M11&lt;&gt;"Traditional",M11&lt;&gt;"Prominent",M11&lt;&gt;"Elite",M11&lt;&gt;"Sorrento"),IF($Y$24="",0,$Y$24),0)) +
IF($P$5="Yes", 25000, 0),"")</f>
        <v/>
      </c>
      <c r="U11" s="78" t="str">
        <f>IF(OR(AND(H11&lt;&gt;"",H11&lt;300),$C$4="Moe 3825",$C$4="Morwell 3840",$C$4="Traralgon 3844",$C$4="Churchill 3842",$C$4="Boolarra 3870",$C$4="Glengarry 3854",$C$4="Newborough 3825",$C$4="Traralgon South 3844",$C$4="Toongabbie 3856",$C$4="Tyers 3844",$C$4="Yallourn North 3825",$C$4="Yinnar 3869"),VALUE(5000),
IF(B11="Dwellings Property Group",3000,""))</f>
        <v/>
      </c>
      <c r="V11" s="78"/>
      <c r="W11" s="129">
        <f>IFERROR(
IF(AND($P$4&lt;&gt;"",$Z11=""),IF(K11&lt;&gt;"",SUM(ROUNDUP(((SUM(O11:V11)-T11)-((33000-Y11)+IF(V11="",0,V11))+IF(W53&lt;&gt;"",W53,VALUE(0))),-2)+T11),SUM(ROUNDUP(((SUM(O11:V11)-T11)-33000+IF(W53&lt;&gt;"",W53,VALUE(0))+Y11),-2)+T11)),IF(AND($P$4&lt;&gt;"",$Z11&lt;&gt;""),IF(K11&lt;&gt;"",SUM(ROUNDUP(((SUM(O11:V11)-T11)-((33000-Y11)+IF(V11="",0,V11))+IF(W53&lt;&gt;"",W53,VALUE(0))),-2)+T11),SUM(ROUNDUP(((SUM(O11:V11)-T11)-33000+IF(W53&lt;&gt;"",W53,VALUE(0))+Y11),-2)+T11)))+$Z11),"")</f>
        <v>0</v>
      </c>
      <c r="X11" s="129" t="str">
        <f ca="1">IF($P$4&lt;&gt;"",
IF(K11&gt;0,IF(VLOOKUP(B11,INDIRECT(A11),2,FALSE)&lt;&gt;"",SUM(N11+(IF(K11&gt;0,IF(VLOOKUP(B11,INDIRECT(A11),2,FALSE)&lt;&gt;"",SUM(ROUNDUP(((SUM(O11:V11)-T11)-((33000-Y11)+IF(V11="",0,V11))+IF(W53&lt;&gt;"",W53,VALUE(0))),-2)+T11),SUM(ROUNDUP(((SUM(O11:V11)-T11)-33000+IF(W53&lt;&gt;"",W53,VALUE(0))),-2)+T11)),""))),ROUNDUP(SUM(N11+(IF(K11&gt;0,IF(VLOOKUP(B11,INDIRECT(A11),2,FALSE)&lt;&gt;"",SUM(ROUNDUP(((SUM(O11:V11)-T11)-((33000-Y11)+IF(V11="",0,V11))+IF(W53&lt;&gt;"",W53,VALUE(0))),-2)+T11),SUM(ROUNDUP(((SUM(O11:V11)-T11)-33000+IF(W53&lt;&gt;"",W53,VALUE(0))),-2)+T11)),"")))/0.934,-2))+Z11,""),"")</f>
        <v/>
      </c>
      <c r="Y11" s="129" t="str">
        <f ca="1">IF(B11&lt;&gt;"",IF(B11&gt;0,VLOOKUP(B11,INDIRECT(A11),2,FALSE),"")+IF(V11="",0,V11),"")</f>
        <v/>
      </c>
      <c r="Z11" s="274">
        <f t="shared" ref="Z11:Z20" si="1">IFERROR(IF(AND($P$4&lt;&gt;"",$U$6="Yes"),
IF(K11&lt;&gt;"",SUM(ROUNDUP(((SUM(O11:V11)-T11)-((33000-Y11)+IF(V11="",0,V11))+IF(W53&lt;&gt;"",W53,VALUE(0))),-2)+T11),SUM(ROUNDUP(((SUM(O11:V11)-T11)-33000+IF(W53&lt;&gt;"",W53,VALUE(0))+Y11),-2)+T11)),"0")/10,"")</f>
        <v>0</v>
      </c>
      <c r="AA11" s="133"/>
      <c r="AB11" s="133"/>
      <c r="AC11" s="134"/>
      <c r="AD11" s="134"/>
      <c r="AE11" s="133"/>
      <c r="AF11" s="176" t="str">
        <f>IFERROR(IF(OR(AND($F11&lt;&gt;"",_xlfn.XLOOKUP($K11,Houses!$A$4:$A$352,Houses!$D$4:$D$352)&gt;$F11),AND($G11&lt;&gt;"",_xlfn.XLOOKUP($K11,Houses!$A$4:$A$352,Houses!$E$4:$E$352)&gt;$G11)),"No","Yes"),"")</f>
        <v/>
      </c>
      <c r="AH11" s="388" t="str">
        <f>IFERROR((F11-_xlfn.XLOOKUP(K11,Table1[House],Table1[Frontage]))+2*(G11-_xlfn.XLOOKUP(K11,Table1[House],Table1[Depth])),"")</f>
        <v/>
      </c>
    </row>
    <row r="12" spans="1:34" s="135" customFormat="1" ht="15">
      <c r="A12" s="73"/>
      <c r="B12" s="74"/>
      <c r="C12" s="75"/>
      <c r="D12" s="75"/>
      <c r="E12" s="76"/>
      <c r="F12" s="335"/>
      <c r="G12" s="335"/>
      <c r="H12" s="73"/>
      <c r="I12" s="73"/>
      <c r="J12" s="73"/>
      <c r="K12" s="74"/>
      <c r="L12" s="73"/>
      <c r="M12" s="74"/>
      <c r="N12" s="77"/>
      <c r="O12" s="128" t="str">
        <f>IFERROR(IF(K12&lt;&gt;"",
IF(AND($C$3&lt;&gt;"",$C$3&lt;&gt;"Bankside Estate"),_xlfn.XLOOKUP(K12,Table1[House],Table1[Price]),
IF(AND($C$3="Bankside Estate",OR(M12="Bankside",M12="Forde",M12="Elite",M12="Menzies",M12="Keating")),_xlfn.XLOOKUP(K12,Table1[House],Table1[Price]),
"BANKSIDE,FORDE,ELITE,MENZIES,KEATING ONLY")),""),"")</f>
        <v/>
      </c>
      <c r="P12" s="129" t="str" cm="1">
        <f t="array" ref="P12">IF(M12&lt;&gt;"",INDEX(Table1[Facade Price],MATCH(1,(Table1[House]=K12)*(Table1[Facade]=M12),0)),"")</f>
        <v/>
      </c>
      <c r="Q12" s="304"/>
      <c r="R12" s="131" t="str">
        <f t="shared" ref="R12:R20" si="2">IF(A12&gt;0,(IF(((I12="No")*AND(IF(ISNA(MATCH("Yes",$I$11:$I$20,0)),"No","Yes")="Yes")),(SUM(M$24:M$50)-4620),(SUM(M$24:M$50)))),"")</f>
        <v/>
      </c>
      <c r="S12" s="132" t="str">
        <f>IFERROR(IF((H12-(_xlfn.XLOOKUP(K12,Table1[House],Table1[Lot Total]))&lt;=0),"",((H12-(_xlfn.XLOOKUP(K12,Table1[House],Table1[Lot Total]))-0)*39)),"")</f>
        <v/>
      </c>
      <c r="T12" s="154" t="str">
        <f t="shared" ref="T12:T20" si="3">IF(AND(A12&lt;&gt;"",K12&lt;&gt;"",M12&lt;&gt;""),SUM($Y$24:$Y$50) -
IF(ISERROR(SEARCH("HPS", K12)),IF($Y$44="",0,$Y$44),0) -
IF(OR(M12="Holt",M12="Traditional",M12="Prominent",M12="Elite",M12="Sorrento"),0,IF(AND(M12&lt;&gt;"Holt",M12&lt;&gt;"Traditional",M12&lt;&gt;"Prominent",M12&lt;&gt;"Elite",M12&lt;&gt;"Sorrento"),IF($Y$24="",0,$Y$24),0)) +
IF($P$5="Yes", 25000, 0),"")</f>
        <v/>
      </c>
      <c r="U12" s="78" t="str">
        <f t="shared" ref="U12:U20" si="4">IF(OR(AND(H12&lt;&gt;"",H12&lt;300),$C$4="Moe 3825",$C$4="Morwell 3840",$C$4="Traralgon 3844",$C$4="Churchill 3842",$C$4="Boolarra 3870",$C$4="Glengarry 3854",$C$4="Newborough 3825",$C$4="Traralgon South 3844",$C$4="Toongabbie 3856",$C$4="Tyers 3844",$C$4="Yallourn North 3825",$C$4="Yinnar 3869"),VALUE(5000),
IF(B12="Dwellings Property Group",3000,""))</f>
        <v/>
      </c>
      <c r="V12" s="78"/>
      <c r="W12" s="129">
        <f t="shared" ref="W12:W20" si="5">IFERROR(
IF(AND($P$4&lt;&gt;"",$Z12=""),IF(K12&lt;&gt;"",SUM(ROUNDUP(((SUM(O12:V12)-T12)-((33000-Y12)+IF(V12="",0,V12))+IF(W54&lt;&gt;"",W54,VALUE(0))),-2)+T12),SUM(ROUNDUP(((SUM(O12:V12)-T12)-33000+IF(W54&lt;&gt;"",W54,VALUE(0))+Y12),-2)+T12)),IF(AND($P$4&lt;&gt;"",$Z12&lt;&gt;""),IF(K12&lt;&gt;"",SUM(ROUNDUP(((SUM(O12:V12)-T12)-((33000-Y12)+IF(V12="",0,V12))+IF(W54&lt;&gt;"",W54,VALUE(0))),-2)+T12),SUM(ROUNDUP(((SUM(O12:V12)-T12)-33000+IF(W54&lt;&gt;"",W54,VALUE(0))+Y12),-2)+T12)))+$Z12),"")</f>
        <v>0</v>
      </c>
      <c r="X12" s="129" t="str">
        <f t="shared" ref="X12:X20" ca="1" si="6">IF($P$4&lt;&gt;"",
IF(K12&gt;0,IF(VLOOKUP(B12,INDIRECT(A12),2,FALSE)&lt;&gt;"",SUM(N12+(IF(K12&gt;0,IF(VLOOKUP(B12,INDIRECT(A12),2,FALSE)&lt;&gt;"",SUM(ROUNDUP(((SUM(O12:V12)-T12)-((33000-Y12)+IF(V12="",0,V12))+IF(W54&lt;&gt;"",W54,VALUE(0))),-2)+T12),SUM(ROUNDUP(((SUM(O12:V12)-T12)-33000+IF(W54&lt;&gt;"",W54,VALUE(0))),-2)+T12)),""))),ROUNDUP(SUM(N12+(IF(K12&gt;0,IF(VLOOKUP(B12,INDIRECT(A12),2,FALSE)&lt;&gt;"",SUM(ROUNDUP(((SUM(O12:V12)-T12)-((33000-Y12)+IF(V12="",0,V12))+IF(W54&lt;&gt;"",W54,VALUE(0))),-2)+T12),SUM(ROUNDUP(((SUM(O12:V12)-T12)-33000+IF(W54&lt;&gt;"",W54,VALUE(0))),-2)+T12)),"")))/0.934,-2))+Z12,""),"")</f>
        <v/>
      </c>
      <c r="Y12" s="129" t="str">
        <f t="shared" ref="Y12:Y20" ca="1" si="7">IF(B12&lt;&gt;"",IF(B12&gt;0,VLOOKUP(B12,INDIRECT(A12),2,FALSE),"")+IF(V12="",0,V12),"")</f>
        <v/>
      </c>
      <c r="Z12" s="274">
        <f t="shared" si="1"/>
        <v>0</v>
      </c>
      <c r="AA12" s="133"/>
      <c r="AB12" s="133"/>
      <c r="AC12" s="134"/>
      <c r="AD12" s="134"/>
      <c r="AE12" s="133"/>
      <c r="AF12" s="176" t="str">
        <f>IFERROR(IF(OR(AND($F12&lt;&gt;"",_xlfn.XLOOKUP($K12,Houses!$A$4:$A$352,Houses!$D$4:$D$352)&gt;$F12),AND($G12&lt;&gt;"",_xlfn.XLOOKUP($K12,Houses!$A$4:$A$352,Houses!$E$4:$E$352)&gt;$G12)),"No","Yes"),"")</f>
        <v/>
      </c>
      <c r="AH12" s="388" t="str">
        <f>IFERROR((F12-_xlfn.XLOOKUP(K12,Table1[House],Table1[Frontage]))+2*(G12-_xlfn.XLOOKUP(K12,Table1[House],Table1[Depth])),"")</f>
        <v/>
      </c>
    </row>
    <row r="13" spans="1:34" s="135" customFormat="1" ht="15">
      <c r="A13" s="73"/>
      <c r="B13" s="74"/>
      <c r="C13" s="75"/>
      <c r="D13" s="75"/>
      <c r="E13" s="76"/>
      <c r="F13" s="335"/>
      <c r="G13" s="335"/>
      <c r="H13" s="73"/>
      <c r="I13" s="73"/>
      <c r="J13" s="73"/>
      <c r="K13" s="74"/>
      <c r="L13" s="73"/>
      <c r="M13" s="74"/>
      <c r="N13" s="77"/>
      <c r="O13" s="128" t="str">
        <f>IFERROR(IF(K13&lt;&gt;"",
IF(AND($C$3&lt;&gt;"",$C$3&lt;&gt;"Bankside Estate"),_xlfn.XLOOKUP(K13,Table1[House],Table1[Price]),
IF(AND($C$3="Bankside Estate",OR(M13="Bankside",M13="Forde",M13="Elite",M13="Menzies",M13="Keating")),_xlfn.XLOOKUP(K13,Table1[House],Table1[Price]),
"BANKSIDE,FORDE,ELITE,MENZIES,KEATING ONLY")),""),"")</f>
        <v/>
      </c>
      <c r="P13" s="129" t="str" cm="1">
        <f t="array" ref="P13">IF(M13&lt;&gt;"",INDEX(Table1[Facade Price],MATCH(1,(Table1[House]=K13)*(Table1[Facade]=M13),0)),"")</f>
        <v/>
      </c>
      <c r="Q13" s="304"/>
      <c r="R13" s="131" t="str">
        <f t="shared" si="2"/>
        <v/>
      </c>
      <c r="S13" s="132" t="str">
        <f>IFERROR(IF((H13-(_xlfn.XLOOKUP(K13,Table1[House],Table1[Lot Total]))&lt;=0),"",((H13-(_xlfn.XLOOKUP(K13,Table1[House],Table1[Lot Total]))-0)*39)),"")</f>
        <v/>
      </c>
      <c r="T13" s="154" t="str">
        <f t="shared" si="3"/>
        <v/>
      </c>
      <c r="U13" s="78" t="str">
        <f t="shared" si="4"/>
        <v/>
      </c>
      <c r="V13" s="78"/>
      <c r="W13" s="129">
        <f t="shared" si="5"/>
        <v>0</v>
      </c>
      <c r="X13" s="129" t="str">
        <f t="shared" ca="1" si="6"/>
        <v/>
      </c>
      <c r="Y13" s="129" t="str">
        <f t="shared" ca="1" si="7"/>
        <v/>
      </c>
      <c r="Z13" s="274">
        <f t="shared" si="1"/>
        <v>0</v>
      </c>
      <c r="AA13" s="133"/>
      <c r="AB13" s="133"/>
      <c r="AC13" s="134"/>
      <c r="AD13" s="134"/>
      <c r="AE13" s="133"/>
      <c r="AF13" s="176" t="str">
        <f>IFERROR(IF(OR(AND($F13&lt;&gt;"",_xlfn.XLOOKUP($K13,Houses!$A$4:$A$352,Houses!$D$4:$D$352)&gt;$F13),AND($G13&lt;&gt;"",_xlfn.XLOOKUP($K13,Houses!$A$4:$A$352,Houses!$E$4:$E$352)&gt;$G13)),"No","Yes"),"")</f>
        <v/>
      </c>
      <c r="AH13" s="388" t="str">
        <f>IFERROR((F13-_xlfn.XLOOKUP(K13,Table1[House],Table1[Frontage]))+2*(G13-_xlfn.XLOOKUP(K13,Table1[House],Table1[Depth])),"")</f>
        <v/>
      </c>
    </row>
    <row r="14" spans="1:34" s="135" customFormat="1" ht="15">
      <c r="A14" s="73"/>
      <c r="B14" s="74"/>
      <c r="C14" s="75"/>
      <c r="D14" s="75"/>
      <c r="E14" s="76"/>
      <c r="F14" s="335"/>
      <c r="G14" s="335"/>
      <c r="H14" s="73"/>
      <c r="I14" s="73"/>
      <c r="J14" s="73"/>
      <c r="K14" s="74"/>
      <c r="L14" s="73"/>
      <c r="M14" s="74"/>
      <c r="N14" s="77"/>
      <c r="O14" s="128" t="str">
        <f>IFERROR(IF(K14&lt;&gt;"",
IF(AND($C$3&lt;&gt;"",$C$3&lt;&gt;"Bankside Estate"),_xlfn.XLOOKUP(K14,Table1[House],Table1[Price]),
IF(AND($C$3="Bankside Estate",OR(M14="Bankside",M14="Forde",M14="Elite",M14="Menzies",M14="Keating")),_xlfn.XLOOKUP(K14,Table1[House],Table1[Price]),
"BANKSIDE,FORDE,ELITE,MENZIES,KEATING ONLY")),""),"")</f>
        <v/>
      </c>
      <c r="P14" s="129" t="str" cm="1">
        <f t="array" ref="P14">IF(M14&lt;&gt;"",INDEX(Table1[Facade Price],MATCH(1,(Table1[House]=K14)*(Table1[Facade]=M14),0)),"")</f>
        <v/>
      </c>
      <c r="Q14" s="304"/>
      <c r="R14" s="131" t="str">
        <f t="shared" si="2"/>
        <v/>
      </c>
      <c r="S14" s="132" t="str">
        <f>IFERROR(IF((H14-(_xlfn.XLOOKUP(K14,Table1[House],Table1[Lot Total]))&lt;=0),"",((H14-(_xlfn.XLOOKUP(K14,Table1[House],Table1[Lot Total]))-0)*39)),"")</f>
        <v/>
      </c>
      <c r="T14" s="154" t="str">
        <f t="shared" si="3"/>
        <v/>
      </c>
      <c r="U14" s="78" t="str">
        <f t="shared" si="4"/>
        <v/>
      </c>
      <c r="V14" s="78"/>
      <c r="W14" s="129">
        <f t="shared" si="5"/>
        <v>0</v>
      </c>
      <c r="X14" s="129" t="str">
        <f t="shared" ca="1" si="6"/>
        <v/>
      </c>
      <c r="Y14" s="129" t="str">
        <f t="shared" ca="1" si="7"/>
        <v/>
      </c>
      <c r="Z14" s="274">
        <f t="shared" si="1"/>
        <v>0</v>
      </c>
      <c r="AA14" s="133"/>
      <c r="AB14" s="133"/>
      <c r="AC14" s="134"/>
      <c r="AD14" s="134"/>
      <c r="AE14" s="133"/>
      <c r="AF14" s="176" t="str">
        <f>IFERROR(IF(OR(AND($F14&lt;&gt;"",_xlfn.XLOOKUP($K14,Houses!$A$4:$A$352,Houses!$D$4:$D$352)&gt;$F14),AND($G14&lt;&gt;"",_xlfn.XLOOKUP($K14,Houses!$A$4:$A$352,Houses!$E$4:$E$352)&gt;$G14)),"No","Yes"),"")</f>
        <v/>
      </c>
      <c r="AH14" s="388" t="str">
        <f>IFERROR((F14-_xlfn.XLOOKUP(K14,Table1[House],Table1[Frontage]))+2*(G14-_xlfn.XLOOKUP(K14,Table1[House],Table1[Depth])),"")</f>
        <v/>
      </c>
    </row>
    <row r="15" spans="1:34" s="135" customFormat="1" ht="15">
      <c r="A15" s="73"/>
      <c r="B15" s="74"/>
      <c r="C15" s="75"/>
      <c r="D15" s="75"/>
      <c r="E15" s="76"/>
      <c r="F15" s="335"/>
      <c r="G15" s="335"/>
      <c r="H15" s="73"/>
      <c r="I15" s="73"/>
      <c r="J15" s="73"/>
      <c r="K15" s="74"/>
      <c r="L15" s="73"/>
      <c r="M15" s="74"/>
      <c r="N15" s="77"/>
      <c r="O15" s="128" t="str">
        <f>IFERROR(IF(K15&lt;&gt;"",
IF(AND($C$3&lt;&gt;"",$C$3&lt;&gt;"Bankside Estate"),_xlfn.XLOOKUP(K15,Table1[House],Table1[Price]),
IF(AND($C$3="Bankside Estate",OR(M15="Bankside",M15="Forde",M15="Elite",M15="Menzies",M15="Keating")),_xlfn.XLOOKUP(K15,Table1[House],Table1[Price]),
"BANKSIDE,FORDE,ELITE,MENZIES,KEATING ONLY")),""),"")</f>
        <v/>
      </c>
      <c r="P15" s="129" t="str" cm="1">
        <f t="array" ref="P15">IF(M15&lt;&gt;"",INDEX(Table1[Facade Price],MATCH(1,(Table1[House]=K15)*(Table1[Facade]=M15),0)),"")</f>
        <v/>
      </c>
      <c r="Q15" s="304"/>
      <c r="R15" s="131" t="str">
        <f t="shared" si="2"/>
        <v/>
      </c>
      <c r="S15" s="132" t="str">
        <f>IFERROR(IF((H15-(_xlfn.XLOOKUP(K15,Table1[House],Table1[Lot Total]))&lt;=0),"",((H15-(_xlfn.XLOOKUP(K15,Table1[House],Table1[Lot Total]))-0)*39)),"")</f>
        <v/>
      </c>
      <c r="T15" s="154" t="str">
        <f t="shared" si="3"/>
        <v/>
      </c>
      <c r="U15" s="78" t="str">
        <f t="shared" si="4"/>
        <v/>
      </c>
      <c r="V15" s="78"/>
      <c r="W15" s="129">
        <f t="shared" si="5"/>
        <v>0</v>
      </c>
      <c r="X15" s="129" t="str">
        <f t="shared" ca="1" si="6"/>
        <v/>
      </c>
      <c r="Y15" s="129" t="str">
        <f t="shared" ca="1" si="7"/>
        <v/>
      </c>
      <c r="Z15" s="274">
        <f t="shared" si="1"/>
        <v>0</v>
      </c>
      <c r="AA15" s="133"/>
      <c r="AB15" s="133"/>
      <c r="AC15" s="134"/>
      <c r="AD15" s="134"/>
      <c r="AE15" s="133"/>
      <c r="AF15" s="176" t="str">
        <f>IFERROR(IF(OR(AND($F15&lt;&gt;"",_xlfn.XLOOKUP($K15,Houses!$A$4:$A$352,Houses!$D$4:$D$352)&gt;$F15),AND($G15&lt;&gt;"",_xlfn.XLOOKUP($K15,Houses!$A$4:$A$352,Houses!$E$4:$E$352)&gt;$G15)),"No","Yes"),"")</f>
        <v/>
      </c>
      <c r="AH15" s="388" t="str">
        <f>IFERROR((F15-_xlfn.XLOOKUP(K15,Table1[House],Table1[Frontage]))+2*(G15-_xlfn.XLOOKUP(K15,Table1[House],Table1[Depth])),"")</f>
        <v/>
      </c>
    </row>
    <row r="16" spans="1:34" s="135" customFormat="1" ht="15">
      <c r="A16" s="73"/>
      <c r="B16" s="74"/>
      <c r="C16" s="75"/>
      <c r="D16" s="75"/>
      <c r="E16" s="76"/>
      <c r="F16" s="335"/>
      <c r="G16" s="335"/>
      <c r="H16" s="73"/>
      <c r="I16" s="73"/>
      <c r="J16" s="73"/>
      <c r="K16" s="74"/>
      <c r="L16" s="73"/>
      <c r="M16" s="74"/>
      <c r="N16" s="77"/>
      <c r="O16" s="128" t="str">
        <f>IFERROR(IF(K16&lt;&gt;"",
IF(AND($C$3&lt;&gt;"",$C$3&lt;&gt;"Bankside Estate"),_xlfn.XLOOKUP(K16,Table1[House],Table1[Price]),
IF(AND($C$3="Bankside Estate",OR(M16="Bankside",M16="Forde",M16="Elite",M16="Menzies",M16="Keating")),_xlfn.XLOOKUP(K16,Table1[House],Table1[Price]),
"BANKSIDE,FORDE,ELITE,MENZIES,KEATING ONLY")),""),"")</f>
        <v/>
      </c>
      <c r="P16" s="129" t="str" cm="1">
        <f t="array" ref="P16">IF(M16&lt;&gt;"",INDEX(Table1[Facade Price],MATCH(1,(Table1[House]=K16)*(Table1[Facade]=M16),0)),"")</f>
        <v/>
      </c>
      <c r="Q16" s="304"/>
      <c r="R16" s="131" t="str">
        <f t="shared" si="2"/>
        <v/>
      </c>
      <c r="S16" s="132" t="str">
        <f>IFERROR(IF((H16-(_xlfn.XLOOKUP(K16,Table1[House],Table1[Lot Total]))&lt;=0),"",((H16-(_xlfn.XLOOKUP(K16,Table1[House],Table1[Lot Total]))-0)*39)),"")</f>
        <v/>
      </c>
      <c r="T16" s="154" t="str">
        <f t="shared" si="3"/>
        <v/>
      </c>
      <c r="U16" s="78" t="str">
        <f t="shared" si="4"/>
        <v/>
      </c>
      <c r="V16" s="78"/>
      <c r="W16" s="129">
        <f t="shared" si="5"/>
        <v>0</v>
      </c>
      <c r="X16" s="129" t="str">
        <f t="shared" ca="1" si="6"/>
        <v/>
      </c>
      <c r="Y16" s="129" t="str">
        <f t="shared" ca="1" si="7"/>
        <v/>
      </c>
      <c r="Z16" s="274">
        <f t="shared" si="1"/>
        <v>0</v>
      </c>
      <c r="AA16" s="133"/>
      <c r="AB16" s="133"/>
      <c r="AC16" s="134"/>
      <c r="AD16" s="134"/>
      <c r="AE16" s="133"/>
      <c r="AF16" s="176" t="str">
        <f>IFERROR(IF(OR(AND($F16&lt;&gt;"",_xlfn.XLOOKUP($K16,Houses!$A$4:$A$352,Houses!$D$4:$D$352)&gt;$F16),AND($G16&lt;&gt;"",_xlfn.XLOOKUP($K16,Houses!$A$4:$A$352,Houses!$E$4:$E$352)&gt;$G16)),"No","Yes"),"")</f>
        <v/>
      </c>
      <c r="AH16" s="388" t="str">
        <f>IFERROR((F16-_xlfn.XLOOKUP(K16,Table1[House],Table1[Frontage]))+2*(G16-_xlfn.XLOOKUP(K16,Table1[House],Table1[Depth])),"")</f>
        <v/>
      </c>
    </row>
    <row r="17" spans="1:34" s="135" customFormat="1" ht="15">
      <c r="A17" s="73"/>
      <c r="B17" s="74"/>
      <c r="C17" s="75"/>
      <c r="D17" s="75"/>
      <c r="E17" s="76"/>
      <c r="F17" s="335"/>
      <c r="G17" s="335"/>
      <c r="H17" s="73"/>
      <c r="I17" s="73"/>
      <c r="J17" s="73"/>
      <c r="K17" s="74"/>
      <c r="L17" s="73"/>
      <c r="M17" s="74"/>
      <c r="N17" s="77"/>
      <c r="O17" s="128" t="str">
        <f>IFERROR(IF(K17&lt;&gt;"",
IF(AND($C$3&lt;&gt;"",$C$3&lt;&gt;"Bankside Estate"),_xlfn.XLOOKUP(K17,Table1[House],Table1[Price]),
IF(AND($C$3="Bankside Estate",OR(M17="Bankside",M17="Forde",M17="Elite",M17="Menzies",M17="Keating")),_xlfn.XLOOKUP(K17,Table1[House],Table1[Price]),
"BANKSIDE,FORDE,ELITE,MENZIES,KEATING ONLY")),""),"")</f>
        <v/>
      </c>
      <c r="P17" s="129" t="str" cm="1">
        <f t="array" ref="P17">IF(M17&lt;&gt;"",INDEX(Table1[Facade Price],MATCH(1,(Table1[House]=K17)*(Table1[Facade]=M17),0)),"")</f>
        <v/>
      </c>
      <c r="Q17" s="304"/>
      <c r="R17" s="131" t="str">
        <f t="shared" si="2"/>
        <v/>
      </c>
      <c r="S17" s="132" t="str">
        <f>IFERROR(IF((H17-(_xlfn.XLOOKUP(K17,Table1[House],Table1[Lot Total]))&lt;=0),"",((H17-(_xlfn.XLOOKUP(K17,Table1[House],Table1[Lot Total]))-0)*39)),"")</f>
        <v/>
      </c>
      <c r="T17" s="154" t="str">
        <f t="shared" si="3"/>
        <v/>
      </c>
      <c r="U17" s="78" t="str">
        <f t="shared" si="4"/>
        <v/>
      </c>
      <c r="V17" s="78"/>
      <c r="W17" s="129">
        <f t="shared" si="5"/>
        <v>0</v>
      </c>
      <c r="X17" s="129" t="str">
        <f t="shared" ca="1" si="6"/>
        <v/>
      </c>
      <c r="Y17" s="129" t="str">
        <f t="shared" ca="1" si="7"/>
        <v/>
      </c>
      <c r="Z17" s="274">
        <f t="shared" si="1"/>
        <v>0</v>
      </c>
      <c r="AA17" s="133"/>
      <c r="AB17" s="133"/>
      <c r="AC17" s="134"/>
      <c r="AD17" s="134"/>
      <c r="AE17" s="133"/>
      <c r="AF17" s="176" t="str">
        <f>IFERROR(IF(OR(AND($F17&lt;&gt;"",_xlfn.XLOOKUP($K17,Houses!$A$4:$A$352,Houses!$D$4:$D$352)&gt;$F17),AND($G17&lt;&gt;"",_xlfn.XLOOKUP($K17,Houses!$A$4:$A$352,Houses!$E$4:$E$352)&gt;$G17)),"No","Yes"),"")</f>
        <v/>
      </c>
      <c r="AH17" s="388" t="str">
        <f>IFERROR((F17-_xlfn.XLOOKUP(K17,Table1[House],Table1[Frontage]))+2*(G17-_xlfn.XLOOKUP(K17,Table1[House],Table1[Depth])),"")</f>
        <v/>
      </c>
    </row>
    <row r="18" spans="1:34" s="135" customFormat="1" ht="15">
      <c r="A18" s="73"/>
      <c r="B18" s="74"/>
      <c r="C18" s="75"/>
      <c r="D18" s="75"/>
      <c r="E18" s="76"/>
      <c r="F18" s="335"/>
      <c r="G18" s="335"/>
      <c r="H18" s="73"/>
      <c r="I18" s="73"/>
      <c r="J18" s="73"/>
      <c r="K18" s="74"/>
      <c r="L18" s="73"/>
      <c r="M18" s="74"/>
      <c r="N18" s="77"/>
      <c r="O18" s="128" t="str">
        <f>IFERROR(IF(K18&lt;&gt;"",
IF(AND($C$3&lt;&gt;"",$C$3&lt;&gt;"Bankside Estate"),_xlfn.XLOOKUP(K18,Table1[House],Table1[Price]),
IF(AND($C$3="Bankside Estate",OR(M18="Bankside",M18="Forde",M18="Elite",M18="Menzies",M18="Keating")),_xlfn.XLOOKUP(K18,Table1[House],Table1[Price]),
"BANKSIDE,FORDE,ELITE,MENZIES,KEATING ONLY")),""),"")</f>
        <v/>
      </c>
      <c r="P18" s="129" t="str" cm="1">
        <f t="array" ref="P18">IF(M18&lt;&gt;"",INDEX(Table1[Facade Price],MATCH(1,(Table1[House]=K18)*(Table1[Facade]=M18),0)),"")</f>
        <v/>
      </c>
      <c r="Q18" s="304"/>
      <c r="R18" s="131" t="str">
        <f t="shared" si="2"/>
        <v/>
      </c>
      <c r="S18" s="132" t="str">
        <f>IFERROR(IF((H18-(_xlfn.XLOOKUP(K18,Table1[House],Table1[Lot Total]))&lt;=0),"",((H18-(_xlfn.XLOOKUP(K18,Table1[House],Table1[Lot Total]))-0)*39)),"")</f>
        <v/>
      </c>
      <c r="T18" s="154" t="str">
        <f t="shared" si="3"/>
        <v/>
      </c>
      <c r="U18" s="78" t="str">
        <f t="shared" si="4"/>
        <v/>
      </c>
      <c r="V18" s="78"/>
      <c r="W18" s="129">
        <f t="shared" si="5"/>
        <v>0</v>
      </c>
      <c r="X18" s="129" t="str">
        <f t="shared" ca="1" si="6"/>
        <v/>
      </c>
      <c r="Y18" s="129" t="str">
        <f t="shared" ca="1" si="7"/>
        <v/>
      </c>
      <c r="Z18" s="274">
        <f t="shared" si="1"/>
        <v>0</v>
      </c>
      <c r="AA18" s="133"/>
      <c r="AB18" s="133"/>
      <c r="AC18" s="134"/>
      <c r="AD18" s="134"/>
      <c r="AE18" s="133"/>
      <c r="AF18" s="176" t="str">
        <f>IFERROR(IF(OR(AND($F18&lt;&gt;"",_xlfn.XLOOKUP($K18,Houses!$A$4:$A$352,Houses!$D$4:$D$352)&gt;$F18),AND($G18&lt;&gt;"",_xlfn.XLOOKUP($K18,Houses!$A$4:$A$352,Houses!$E$4:$E$352)&gt;$G18)),"No","Yes"),"")</f>
        <v/>
      </c>
      <c r="AH18" s="388" t="str">
        <f>IFERROR((F18-_xlfn.XLOOKUP(K18,Table1[House],Table1[Frontage]))+2*(G18-_xlfn.XLOOKUP(K18,Table1[House],Table1[Depth])),"")</f>
        <v/>
      </c>
    </row>
    <row r="19" spans="1:34" s="135" customFormat="1" ht="15">
      <c r="A19" s="73"/>
      <c r="B19" s="74"/>
      <c r="C19" s="75"/>
      <c r="D19" s="75"/>
      <c r="E19" s="76"/>
      <c r="F19" s="335"/>
      <c r="G19" s="335"/>
      <c r="H19" s="73"/>
      <c r="I19" s="73"/>
      <c r="J19" s="73"/>
      <c r="K19" s="74"/>
      <c r="L19" s="73"/>
      <c r="M19" s="74"/>
      <c r="N19" s="77"/>
      <c r="O19" s="128" t="str">
        <f>IFERROR(IF(K19&lt;&gt;"",
IF(AND($C$3&lt;&gt;"",$C$3&lt;&gt;"Bankside Estate"),_xlfn.XLOOKUP(K19,Table1[House],Table1[Price]),
IF(AND($C$3="Bankside Estate",OR(M19="Bankside",M19="Forde",M19="Elite",M19="Menzies",M19="Keating")),_xlfn.XLOOKUP(K19,Table1[House],Table1[Price]),
"BANKSIDE,FORDE,ELITE,MENZIES,KEATING ONLY")),""),"")</f>
        <v/>
      </c>
      <c r="P19" s="129" t="str" cm="1">
        <f t="array" ref="P19">IF(M19&lt;&gt;"",INDEX(Table1[Facade Price],MATCH(1,(Table1[House]=K19)*(Table1[Facade]=M19),0)),"")</f>
        <v/>
      </c>
      <c r="Q19" s="304"/>
      <c r="R19" s="131" t="str">
        <f t="shared" si="2"/>
        <v/>
      </c>
      <c r="S19" s="132" t="str">
        <f>IFERROR(IF((H19-(_xlfn.XLOOKUP(K19,Table1[House],Table1[Lot Total]))&lt;=0),"",((H19-(_xlfn.XLOOKUP(K19,Table1[House],Table1[Lot Total]))-0)*39)),"")</f>
        <v/>
      </c>
      <c r="T19" s="154" t="str">
        <f t="shared" si="3"/>
        <v/>
      </c>
      <c r="U19" s="78" t="str">
        <f t="shared" si="4"/>
        <v/>
      </c>
      <c r="V19" s="78"/>
      <c r="W19" s="129">
        <f t="shared" si="5"/>
        <v>0</v>
      </c>
      <c r="X19" s="129" t="str">
        <f t="shared" ca="1" si="6"/>
        <v/>
      </c>
      <c r="Y19" s="129" t="str">
        <f t="shared" ca="1" si="7"/>
        <v/>
      </c>
      <c r="Z19" s="274">
        <f t="shared" si="1"/>
        <v>0</v>
      </c>
      <c r="AA19" s="133"/>
      <c r="AB19" s="133"/>
      <c r="AC19" s="134"/>
      <c r="AD19" s="134"/>
      <c r="AE19" s="133"/>
      <c r="AF19" s="176" t="str">
        <f>IFERROR(IF(OR(AND($F19&lt;&gt;"",_xlfn.XLOOKUP($K19,Houses!$A$4:$A$352,Houses!$D$4:$D$352)&gt;$F19),AND($G19&lt;&gt;"",_xlfn.XLOOKUP($K19,Houses!$A$4:$A$352,Houses!$E$4:$E$352)&gt;$G19)),"No","Yes"),"")</f>
        <v/>
      </c>
      <c r="AH19" s="388" t="str">
        <f>IFERROR((F19-_xlfn.XLOOKUP(K19,Table1[House],Table1[Frontage]))+2*(G19-_xlfn.XLOOKUP(K19,Table1[House],Table1[Depth])),"")</f>
        <v/>
      </c>
    </row>
    <row r="20" spans="1:34" s="127" customFormat="1" ht="15">
      <c r="A20" s="73"/>
      <c r="B20" s="74"/>
      <c r="C20" s="75"/>
      <c r="D20" s="75"/>
      <c r="E20" s="76"/>
      <c r="F20" s="335"/>
      <c r="G20" s="335"/>
      <c r="H20" s="73"/>
      <c r="I20" s="73"/>
      <c r="J20" s="73"/>
      <c r="K20" s="74"/>
      <c r="L20" s="73"/>
      <c r="M20" s="74"/>
      <c r="N20" s="77"/>
      <c r="O20" s="128" t="str">
        <f>IFERROR(IF(K20&lt;&gt;"",
IF(AND($C$3&lt;&gt;"",$C$3&lt;&gt;"Bankside Estate"),_xlfn.XLOOKUP(K20,Table1[House],Table1[Price]),
IF(AND($C$3="Bankside Estate",OR(M20="Bankside",M20="Forde",M20="Elite",M20="Menzies",M20="Keating")),_xlfn.XLOOKUP(K20,Table1[House],Table1[Price]),
"BANKSIDE,FORDE,ELITE,MENZIES,KEATING ONLY")),""),"")</f>
        <v/>
      </c>
      <c r="P20" s="129" t="str" cm="1">
        <f t="array" ref="P20">IF(M20&lt;&gt;"",INDEX(Table1[Facade Price],MATCH(1,(Table1[House]=K20)*(Table1[Facade]=M20),0)),"")</f>
        <v/>
      </c>
      <c r="Q20" s="304"/>
      <c r="R20" s="131" t="str">
        <f t="shared" si="2"/>
        <v/>
      </c>
      <c r="S20" s="132" t="str">
        <f>IFERROR(IF((H20-(_xlfn.XLOOKUP(K20,Table1[House],Table1[Lot Total]))&lt;=0),"",((H20-(_xlfn.XLOOKUP(K20,Table1[House],Table1[Lot Total]))-0)*39)),"")</f>
        <v/>
      </c>
      <c r="T20" s="154" t="str">
        <f t="shared" si="3"/>
        <v/>
      </c>
      <c r="U20" s="78" t="str">
        <f t="shared" si="4"/>
        <v/>
      </c>
      <c r="V20" s="78"/>
      <c r="W20" s="129">
        <f t="shared" si="5"/>
        <v>0</v>
      </c>
      <c r="X20" s="129" t="str">
        <f t="shared" ca="1" si="6"/>
        <v/>
      </c>
      <c r="Y20" s="129" t="str">
        <f t="shared" ca="1" si="7"/>
        <v/>
      </c>
      <c r="Z20" s="274">
        <f t="shared" si="1"/>
        <v>0</v>
      </c>
      <c r="AA20" s="133"/>
      <c r="AB20" s="133"/>
      <c r="AC20" s="134"/>
      <c r="AD20" s="134"/>
      <c r="AE20" s="133"/>
      <c r="AF20" s="176" t="str">
        <f>IFERROR(IF(OR(AND($F20&lt;&gt;"",_xlfn.XLOOKUP($K20,Houses!$A$4:$A$352,Houses!$D$4:$D$352)&gt;$F20),AND($G20&lt;&gt;"",_xlfn.XLOOKUP($K20,Houses!$A$4:$A$352,Houses!$E$4:$E$352)&gt;$G20)),"No","Yes"),"")</f>
        <v/>
      </c>
      <c r="AH20" s="388" t="str">
        <f>IFERROR((F20-_xlfn.XLOOKUP(K20,Table1[House],Table1[Frontage]))+2*(G20-_xlfn.XLOOKUP(K20,Table1[House],Table1[Depth])),"")</f>
        <v/>
      </c>
    </row>
    <row r="21" spans="1:34" ht="5.25" customHeight="1"/>
    <row r="22" spans="1:34" ht="15.75">
      <c r="A22" s="490" t="s">
        <v>7364</v>
      </c>
      <c r="B22" s="490"/>
      <c r="C22" s="490"/>
      <c r="D22" s="490"/>
      <c r="E22" s="490"/>
      <c r="O22" s="490" t="s">
        <v>7305</v>
      </c>
      <c r="P22" s="490"/>
      <c r="Q22" s="490"/>
      <c r="R22" s="136"/>
      <c r="S22" s="136"/>
      <c r="T22" s="136"/>
      <c r="U22" s="136"/>
      <c r="V22" s="136"/>
      <c r="W22" s="136"/>
      <c r="X22" s="136"/>
      <c r="Y22" s="136"/>
      <c r="Z22" s="136"/>
      <c r="AA22" s="127"/>
      <c r="AB22" s="127"/>
      <c r="AD22" s="127"/>
      <c r="AE22" s="127"/>
    </row>
    <row r="23" spans="1:34" ht="5.25" customHeight="1"/>
    <row r="24" spans="1:34">
      <c r="A24" s="487" t="str">
        <f>IF(AND($C$3&lt;&gt;"",$C$11&lt;&gt;""),IF(VLOOKUP(CONCATENATE($C$3,(INDEX($C$11:$C$20,COUNTA($C$11:$C$20),1))),ESTATES!$D:$AJ,7,FALSE)&lt;&gt;"",ESTATES!$J$10),"")</f>
        <v/>
      </c>
      <c r="B24" s="487"/>
      <c r="C24" s="487"/>
      <c r="D24" s="487"/>
      <c r="E24" s="487"/>
      <c r="F24" s="487"/>
      <c r="G24" s="487"/>
      <c r="H24" s="487"/>
      <c r="I24" s="487"/>
      <c r="J24" s="487"/>
      <c r="K24" s="487"/>
      <c r="L24" s="487"/>
      <c r="M24" s="137" t="str">
        <f>IF(A24&lt;&gt;"",_xlfn.XLOOKUP(CONCATENATE($C$3,(INDEX($C$11:$C$20,COUNTA($C$11:$C$20),1))),Table6[Concatenate],Table6[Provide 3rd pipe recycled water including connections to all Toilets, Washing Machine tap and 1No. Garden tap.],""),"")</f>
        <v/>
      </c>
      <c r="O24" s="495" t="str">
        <f>IF(OR(COUNTIF(M11:M20,"Holt")&gt;0,COUNTIF(M11:M20,"Traditional")&gt;0,COUNTIF(M11:M20,"Prominent")&gt;0,COUNTIF(M11:M20,"Elite")&gt;0,COUNTIF(M11:M20,"Sorrento")&gt;0),Upgrades!B17,"")</f>
        <v/>
      </c>
      <c r="P24" s="496"/>
      <c r="Q24" s="496"/>
      <c r="R24" s="496"/>
      <c r="S24" s="496"/>
      <c r="T24" s="496"/>
      <c r="U24" s="496"/>
      <c r="V24" s="496"/>
      <c r="W24" s="496"/>
      <c r="X24" s="497"/>
      <c r="Y24" s="138" t="str">
        <f>IF(O24&lt;&gt;"",_xlfn.XLOOKUP(O24,Table4[Hermitage Homes - Upgrades],Table4[$$]),"")</f>
        <v/>
      </c>
      <c r="Z24" s="140" t="s">
        <v>8965</v>
      </c>
      <c r="AA24" s="139"/>
      <c r="AB24" s="139"/>
      <c r="AC24" s="139"/>
    </row>
    <row r="25" spans="1:34" s="139" customFormat="1">
      <c r="A25" s="498" t="str">
        <f>IF(AND(C3&lt;&gt;"",C11&lt;&gt;""),IF(VLOOKUP(CONCATENATE($C$3,(INDEX($C$11:$C$20,COUNTA($C$11:$C$20),1))),ESTATES!$D:$K,8,FALSE)&lt;&gt;"",VLOOKUP(CONCATENATE($C$3,(INDEX($C$11:$C$20,COUNTA($C$11:$C$20),1))),ESTATES!$D:$K,8,FALSE),""),"")</f>
        <v/>
      </c>
      <c r="B25" s="498"/>
      <c r="C25" s="498"/>
      <c r="D25" s="498"/>
      <c r="E25" s="498"/>
      <c r="F25" s="498"/>
      <c r="G25" s="498"/>
      <c r="H25" s="498"/>
      <c r="I25" s="498"/>
      <c r="J25" s="498"/>
      <c r="K25" s="498"/>
      <c r="L25" s="498"/>
      <c r="M25" s="137" t="str">
        <f>IF($A25&lt;&gt;"",_xlfn.XLOOKUP($A25,ESTATES!$J:$J,ESTATES!$K:$K,""),"")</f>
        <v/>
      </c>
      <c r="N25" s="109"/>
      <c r="O25" s="429" t="str">
        <f>IF(Y5="Yes",Upgrades!B18,"")</f>
        <v/>
      </c>
      <c r="P25" s="430"/>
      <c r="Q25" s="430"/>
      <c r="R25" s="430"/>
      <c r="S25" s="430"/>
      <c r="T25" s="430"/>
      <c r="U25" s="430"/>
      <c r="V25" s="430"/>
      <c r="W25" s="430"/>
      <c r="X25" s="431"/>
      <c r="Y25" s="138" t="str">
        <f>IF(O25&lt;&gt;"",_xlfn.XLOOKUP(O25,Table4[Hermitage Homes - Upgrades],Table4[$$]),"")</f>
        <v/>
      </c>
      <c r="Z25" s="140" t="s">
        <v>9354</v>
      </c>
    </row>
    <row r="26" spans="1:34" s="139" customFormat="1">
      <c r="A26" s="487" t="str">
        <f>IF(AND($C$3&lt;&gt;"",$C$11&lt;&gt;""),IF(VLOOKUP(CONCATENATE($C$3,(INDEX($C$11:$C$20,COUNTA($C$11:$C$20),1))),ESTATES!$D:$AJ,9,FALSE)&lt;&gt;"",ESTATES!$L$10,""),"")</f>
        <v/>
      </c>
      <c r="B26" s="487"/>
      <c r="C26" s="487"/>
      <c r="D26" s="487"/>
      <c r="E26" s="487"/>
      <c r="F26" s="487"/>
      <c r="G26" s="487"/>
      <c r="H26" s="487"/>
      <c r="I26" s="487"/>
      <c r="J26" s="487"/>
      <c r="K26" s="487"/>
      <c r="L26" s="487"/>
      <c r="M26" s="137" t="str">
        <f>IF(A26&lt;&gt;"",_xlfn.XLOOKUP(CONCATENATE($C$3,(INDEX($C$11:$C$20,COUNTA($C$11:$C$20),1))),Table6[Concatenate],Table6[Provide 450mm wide eaves to the front Façade, returning 1500mm down both sides of house (excluding walls on boundary).],""),"")</f>
        <v/>
      </c>
      <c r="N26" s="109"/>
      <c r="O26" s="429" t="str">
        <f>IF(C4="Point Cook 3030",Upgrades!B163,
IF(C4="Curlewis 3222",Upgrades!B163,
IF(C4="St Leonards 3223",Upgrades!B163,
IF(C4="Geelong 3220",Upgrades!B163,
IF(C4="Bellarine 3223",Upgrades!B163,
IF(C4="Mount Duneed 3217",Upgrades!B163,
IF(C4="Charlemont 3217",Upgrades!B163,
IF(C4="Armstrong Creek 3217",Upgrades!B163,
IF(C4="Point Lonsdale 3225",Upgrades!B163,
IF(C4="Werribee South 3030",Upgrades!B163,
IF(C4="Leopold 3224",Upgrades!B163,
IF(C4="Mornington 3931",Upgrades!B163,
IF(C4="Indented Head 3223",Upgrades!B163,
IF(C4="Ocean Grove 3226",Upgrades!B163,""))))))))))))))</f>
        <v/>
      </c>
      <c r="P26" s="430"/>
      <c r="Q26" s="430"/>
      <c r="R26" s="430"/>
      <c r="S26" s="430"/>
      <c r="T26" s="430"/>
      <c r="U26" s="430"/>
      <c r="V26" s="430"/>
      <c r="W26" s="430"/>
      <c r="X26" s="430"/>
      <c r="Y26" s="138" t="str">
        <f>IF(O26&lt;&gt;"",_xlfn.XLOOKUP(O26,Table4[Hermitage Homes - Upgrades],Table4[$$]),"")</f>
        <v/>
      </c>
      <c r="Z26" s="140" t="s">
        <v>9364</v>
      </c>
      <c r="AD26" s="140"/>
      <c r="AE26" s="140"/>
    </row>
    <row r="27" spans="1:34" s="139" customFormat="1">
      <c r="A27" s="487" t="str">
        <f>IF(AND($C$3&lt;&gt;"",$C$11&lt;&gt;""),IF(VLOOKUP(CONCATENATE($C$3,(INDEX($C$11:$C$20,COUNTA($C$11:$C$20),1))),ESTATES!$D:$AJ,10,FALSE)&lt;&gt;"",ESTATES!$M$10,""),"")</f>
        <v/>
      </c>
      <c r="B27" s="487"/>
      <c r="C27" s="487"/>
      <c r="D27" s="487"/>
      <c r="E27" s="487"/>
      <c r="F27" s="487"/>
      <c r="G27" s="487"/>
      <c r="H27" s="487"/>
      <c r="I27" s="487"/>
      <c r="J27" s="487"/>
      <c r="K27" s="487"/>
      <c r="L27" s="487"/>
      <c r="M27" s="137" t="str">
        <f>IF(A27&lt;&gt;"",_xlfn.XLOOKUP(CONCATENATE($C$3,(INDEX($C$11:$C$20,COUNTA($C$11:$C$20),1))),Table6[Concatenate],Table6[Provide 450mm wide eaves to the front Façade, returning 3000mm down both sides of house (excluding walls on boundary).],""),"")</f>
        <v/>
      </c>
      <c r="N27" s="109"/>
      <c r="O27" s="429" t="str">
        <f>IF(B11="Reventon",Upgrades!B181,
IF(B11="Aspire",Upgrades!B184,
IF(B11="Axon Property Group",Upgrades!B185,
IF(B11="CR Property Solutions",Upgrades!B189,""))))</f>
        <v/>
      </c>
      <c r="P27" s="430"/>
      <c r="Q27" s="430"/>
      <c r="R27" s="430"/>
      <c r="S27" s="430"/>
      <c r="T27" s="430"/>
      <c r="U27" s="430"/>
      <c r="V27" s="430"/>
      <c r="W27" s="430"/>
      <c r="X27" s="430"/>
      <c r="Y27" s="138" t="str">
        <f>IF(O27&lt;&gt;"",_xlfn.XLOOKUP(O27,Table4[Hermitage Homes - Upgrades],Table4[$$]),"")</f>
        <v/>
      </c>
    </row>
    <row r="28" spans="1:34" s="139" customFormat="1">
      <c r="A28" s="487" t="str">
        <f>IF(AND($C$3&lt;&gt;"",$C$11&lt;&gt;""),IF(VLOOKUP(CONCATENATE($C$3,(INDEX($C$11:$C$20,COUNTA($C$11:$C$20),1))),ESTATES!$D:$AJ,11,FALSE)&lt;&gt;"",ESTATES!$N$10,""),"")</f>
        <v/>
      </c>
      <c r="B28" s="487"/>
      <c r="C28" s="487"/>
      <c r="D28" s="487"/>
      <c r="E28" s="487"/>
      <c r="F28" s="487"/>
      <c r="G28" s="487"/>
      <c r="H28" s="487"/>
      <c r="I28" s="487"/>
      <c r="J28" s="487"/>
      <c r="K28" s="487"/>
      <c r="L28" s="487"/>
      <c r="M28" s="137" t="str">
        <f>IF(A28&lt;&gt;"",_xlfn.XLOOKUP(CONCATENATE($C$3,(INDEX($C$11:$C$20,COUNTA($C$11:$C$20),1))),Table6[Concatenate],Table6[Provide 1No. 2000 litre Slim Line Poly Water Tank including 1No. Garden tap.],""),"")</f>
        <v/>
      </c>
      <c r="N28" s="109"/>
      <c r="O28" s="429" t="str">
        <f>IF(B11="Unity Assets",Upgrades!B3,
IF(B11="Capital Edge",Upgrades!B3,
IF(B11="Axon Property Group",Upgrades!B49,"")))</f>
        <v/>
      </c>
      <c r="P28" s="430"/>
      <c r="Q28" s="430"/>
      <c r="R28" s="430"/>
      <c r="S28" s="430"/>
      <c r="T28" s="430"/>
      <c r="U28" s="430"/>
      <c r="V28" s="430"/>
      <c r="W28" s="430"/>
      <c r="X28" s="430"/>
      <c r="Y28" s="138" t="str">
        <f>IF(O28&lt;&gt;"",_xlfn.XLOOKUP(O28,Table4[Hermitage Homes - Upgrades],Table4[$$]),"")</f>
        <v/>
      </c>
    </row>
    <row r="29" spans="1:34" s="139" customFormat="1">
      <c r="A29" s="487" t="str">
        <f>IF(AND($C$3&lt;&gt;"",$C$11&lt;&gt;""),IF(VLOOKUP(CONCATENATE($C$3,(INDEX($C$11:$C$20,COUNTA($C$11:$C$20),1))),ESTATES!$D:$AJ,12,FALSE)&lt;&gt;"",ESTATES!$O$10,""),"")</f>
        <v/>
      </c>
      <c r="B29" s="487"/>
      <c r="C29" s="487"/>
      <c r="D29" s="487"/>
      <c r="E29" s="487"/>
      <c r="F29" s="487"/>
      <c r="G29" s="487"/>
      <c r="H29" s="487"/>
      <c r="I29" s="487"/>
      <c r="J29" s="487"/>
      <c r="K29" s="487"/>
      <c r="L29" s="487"/>
      <c r="M29" s="137" t="str">
        <f>IF(A29&lt;&gt;"",_xlfn.XLOOKUP(CONCATENATE($C$3,(INDEX($C$11:$C$20,COUNTA($C$11:$C$20),1))),Table6[Concatenate],Table6[Provide 1No. 2000 litre Slim Line Poly Water Tank including plumbing and connections for up to 3No. Toilets.],""),"")</f>
        <v/>
      </c>
      <c r="N29" s="109"/>
      <c r="O29" s="429" t="str">
        <f>IF(B11="Alliance Property Solutions",Upgrades!B90,
IF(COUNTIF($B$11:$B$20,"Grit"),Upgrades!B93,
IF(B11="Unity Assets",Upgrades!B105,
IF(B11="CR Property Solutions",Upgrades!B48,""))))</f>
        <v/>
      </c>
      <c r="P29" s="430"/>
      <c r="Q29" s="430"/>
      <c r="R29" s="430"/>
      <c r="S29" s="430"/>
      <c r="T29" s="430"/>
      <c r="U29" s="430"/>
      <c r="V29" s="430"/>
      <c r="W29" s="430"/>
      <c r="X29" s="430"/>
      <c r="Y29" s="138" t="str">
        <f>IF(O29&lt;&gt;"",_xlfn.XLOOKUP(O29,Table4[Hermitage Homes - Upgrades],Table4[$$]),"")</f>
        <v/>
      </c>
    </row>
    <row r="30" spans="1:34">
      <c r="A30" s="487" t="str">
        <f>IF(AND($C$3&lt;&gt;"",$C$11&lt;&gt;""),IF(VLOOKUP(CONCATENATE($C$3,(INDEX($C$11:$C$20,COUNTA($C$11:$C$20),1))),ESTATES!$D:$AJ,13,FALSE)&lt;&gt;"",ESTATES!$P$10,""),"")</f>
        <v/>
      </c>
      <c r="B30" s="487"/>
      <c r="C30" s="487"/>
      <c r="D30" s="487"/>
      <c r="E30" s="487"/>
      <c r="F30" s="487"/>
      <c r="G30" s="487"/>
      <c r="H30" s="487"/>
      <c r="I30" s="487"/>
      <c r="J30" s="487"/>
      <c r="K30" s="487"/>
      <c r="L30" s="487"/>
      <c r="M30" s="137" t="str">
        <f>IF(A30&lt;&gt;"",_xlfn.XLOOKUP(CONCATENATE($C$3,(INDEX($C$11:$C$20,COUNTA($C$11:$C$20),1))),Table6[Concatenate],Table6[Provide 1No. 5000 litre Slim Line Poly Water Tank including plumbing and connections for up to 3No. Toilets.
Price includes a crane lift into the backyard.],""),"")</f>
        <v/>
      </c>
      <c r="O30" s="429" t="str">
        <f>IF(B11="Unity Assets",Upgrades!B125,"")</f>
        <v/>
      </c>
      <c r="P30" s="430"/>
      <c r="Q30" s="430"/>
      <c r="R30" s="430"/>
      <c r="S30" s="430"/>
      <c r="T30" s="430"/>
      <c r="U30" s="430"/>
      <c r="V30" s="430"/>
      <c r="W30" s="430"/>
      <c r="X30" s="430"/>
      <c r="Y30" s="138" t="str">
        <f>IF(O30&lt;&gt;"",_xlfn.XLOOKUP(O30,Table4[Hermitage Homes - Upgrades],Table4[$$]),"")</f>
        <v/>
      </c>
      <c r="Z30" s="139"/>
      <c r="AA30" s="139"/>
      <c r="AB30" s="139"/>
      <c r="AC30" s="139"/>
      <c r="AD30" s="139"/>
      <c r="AE30" s="139"/>
    </row>
    <row r="31" spans="1:34" s="140" customFormat="1">
      <c r="A31" s="487" t="str">
        <f>IF(AND($C$3&lt;&gt;"",$C$11&lt;&gt;""),IF(VLOOKUP(CONCATENATE($C$3,(INDEX($C$11:$C$20,COUNTA($C$11:$C$20),1))),ESTATES!$D:$AJ,14,FALSE)&lt;&gt;"",ESTATES!$Q$10,""),"")</f>
        <v/>
      </c>
      <c r="B31" s="487"/>
      <c r="C31" s="487"/>
      <c r="D31" s="487"/>
      <c r="E31" s="487"/>
      <c r="F31" s="487"/>
      <c r="G31" s="487"/>
      <c r="H31" s="487"/>
      <c r="I31" s="487"/>
      <c r="J31" s="487"/>
      <c r="K31" s="487"/>
      <c r="L31" s="487"/>
      <c r="M31" s="137" t="str">
        <f>IF(A31&lt;&gt;"",_xlfn.XLOOKUP(CONCATENATE($C$3,(INDEX($C$11:$C$20,COUNTA($C$11:$C$20),1))),Table6[Concatenate],Table6[Provide approx. 1800mm high additional timber fencing. Includes wing fence and Gate.],""),"")</f>
        <v/>
      </c>
      <c r="N31" s="109"/>
      <c r="O31" s="429" t="str">
        <f>IF(COUNTIF(K11:K20,"Leon 22-1B GE") + COUNTIF(K11:K20,"Leon 25 GE") &gt; 0, Upgrades!B192, "")</f>
        <v/>
      </c>
      <c r="P31" s="430"/>
      <c r="Q31" s="430"/>
      <c r="R31" s="430"/>
      <c r="S31" s="430"/>
      <c r="T31" s="430"/>
      <c r="U31" s="430"/>
      <c r="V31" s="430"/>
      <c r="W31" s="430"/>
      <c r="X31" s="430"/>
      <c r="Y31" s="138" t="str">
        <f>IF(O31&lt;&gt;"",_xlfn.XLOOKUP(O31,Table4[Hermitage Homes - Upgrades],Table4[$$]),"")</f>
        <v/>
      </c>
      <c r="Z31" s="140" t="s">
        <v>10486</v>
      </c>
      <c r="AA31" s="109"/>
      <c r="AB31" s="109"/>
      <c r="AC31" s="109"/>
      <c r="AD31" s="109"/>
      <c r="AE31" s="109"/>
    </row>
    <row r="32" spans="1:34" s="139" customFormat="1">
      <c r="A32" s="487" t="str">
        <f>IF(AND($C$3&lt;&gt;"",$C$11&lt;&gt;""),IF(VLOOKUP(CONCATENATE($C$3,(INDEX($C$11:$C$20,COUNTA($C$11:$C$20),1))),ESTATES!$D:$AJ,15,FALSE)&lt;&gt;"",ESTATES!$R$10,""),"")</f>
        <v/>
      </c>
      <c r="B32" s="487"/>
      <c r="C32" s="487"/>
      <c r="D32" s="487"/>
      <c r="E32" s="487"/>
      <c r="F32" s="487"/>
      <c r="G32" s="487"/>
      <c r="H32" s="487"/>
      <c r="I32" s="487"/>
      <c r="J32" s="487"/>
      <c r="K32" s="487"/>
      <c r="L32" s="487"/>
      <c r="M32" s="137" t="str">
        <f>IF(A32&lt;&gt;"",_xlfn.XLOOKUP(CONCATENATE($C$3,(INDEX($C$11:$C$20,COUNTA($C$11:$C$20),1))),Table6[Concatenate],Table6[Provide approx. 1800mm high timber fencing with capping. Includes wing fence and Gate.],""),"")</f>
        <v/>
      </c>
      <c r="N32" s="109"/>
      <c r="O32" s="429"/>
      <c r="P32" s="430"/>
      <c r="Q32" s="430"/>
      <c r="R32" s="430"/>
      <c r="S32" s="430"/>
      <c r="T32" s="430"/>
      <c r="U32" s="430"/>
      <c r="V32" s="430"/>
      <c r="W32" s="430"/>
      <c r="X32" s="430"/>
      <c r="Y32" s="138" t="str">
        <f>IF(O32&lt;&gt;"",_xlfn.XLOOKUP(O32,Table4[Hermitage Homes - Upgrades],Table4[$$]),"")</f>
        <v/>
      </c>
      <c r="Z32" s="109"/>
      <c r="AA32" s="109"/>
      <c r="AB32" s="109"/>
      <c r="AC32" s="109"/>
    </row>
    <row r="33" spans="1:29">
      <c r="A33" s="487" t="str">
        <f>IF(AND($C$3&lt;&gt;"",$C$11&lt;&gt;""),IF(VLOOKUP(CONCATENATE($C$3,(INDEX($C$11:$C$20,COUNTA($C$11:$C$20),1))),ESTATES!$D:$AJ,16,FALSE)&lt;&gt;"",ESTATES!$S$10,""),"")</f>
        <v/>
      </c>
      <c r="B33" s="487"/>
      <c r="C33" s="487"/>
      <c r="D33" s="487"/>
      <c r="E33" s="487"/>
      <c r="F33" s="487"/>
      <c r="G33" s="487"/>
      <c r="H33" s="487"/>
      <c r="I33" s="487"/>
      <c r="J33" s="487"/>
      <c r="K33" s="487"/>
      <c r="L33" s="487"/>
      <c r="M33" s="137" t="str">
        <f>IF(A33&lt;&gt;"",_xlfn.XLOOKUP(CONCATENATE($C$3,(INDEX($C$11:$C$20,COUNTA($C$11:$C$20),1))),Table6[Concatenate],Table6[Provide approx. 1800mm high Colourbond fencing in lieu of timber palings. Includes wing fence and Gate. Colour to be .],""),"")</f>
        <v/>
      </c>
      <c r="O33" s="429" t="str">
        <f>IF(B11="Atlas",Upgrades!B94,
IF(B11="Stack Property",Upgrades!B56,
IF(B11="CR Property Solutions",Upgrades!B34,"")))</f>
        <v/>
      </c>
      <c r="P33" s="430"/>
      <c r="Q33" s="430"/>
      <c r="R33" s="430"/>
      <c r="S33" s="430"/>
      <c r="T33" s="430"/>
      <c r="U33" s="430"/>
      <c r="V33" s="430"/>
      <c r="W33" s="430"/>
      <c r="X33" s="430"/>
      <c r="Y33" s="138" t="str">
        <f>IF(O33&lt;&gt;"",_xlfn.XLOOKUP(O33,Table4[Hermitage Homes - Upgrades],Table4[$$]),"")</f>
        <v/>
      </c>
    </row>
    <row r="34" spans="1:29">
      <c r="A34" s="487" t="str">
        <f>IF(AND($C$3&lt;&gt;"",$C$11&lt;&gt;""),IF(VLOOKUP(CONCATENATE($C$3,(INDEX($C$11:$C$20,COUNTA($C$11:$C$20),1))),ESTATES!$D:$AJ,17,FALSE)&lt;&gt;"",ESTATES!$T$10,""),"")</f>
        <v/>
      </c>
      <c r="B34" s="487"/>
      <c r="C34" s="487"/>
      <c r="D34" s="487"/>
      <c r="E34" s="487"/>
      <c r="F34" s="487"/>
      <c r="G34" s="487"/>
      <c r="H34" s="487"/>
      <c r="I34" s="487"/>
      <c r="J34" s="487"/>
      <c r="K34" s="487"/>
      <c r="L34" s="487"/>
      <c r="M34" s="137" t="str">
        <f>IF(A34&lt;&gt;"",_xlfn.XLOOKUP(CONCATENATE($C$3,(INDEX($C$11:$C$20,COUNTA($C$11:$C$20),1))),Table6[Concatenate],Table6[Provide approx. 1800mm high timber fencing with capping and 125x125 exposed posts in lieu of timber palings. Includes wing fence and Gate.],""),"")</f>
        <v/>
      </c>
      <c r="O34" s="429" t="str">
        <f>IF(B11="No. 8 Property Group",Upgrades!B3,
IF(B11="CR Property Solutions",Upgrades!B3,
""))</f>
        <v/>
      </c>
      <c r="P34" s="430"/>
      <c r="Q34" s="430"/>
      <c r="R34" s="430"/>
      <c r="S34" s="430"/>
      <c r="T34" s="430"/>
      <c r="U34" s="430"/>
      <c r="V34" s="430"/>
      <c r="W34" s="430"/>
      <c r="X34" s="430"/>
      <c r="Y34" s="138" t="str">
        <f>IF(O34&lt;&gt;"",_xlfn.XLOOKUP(O34,Table4[Hermitage Homes - Upgrades],Table4[$$]),"")</f>
        <v/>
      </c>
      <c r="Z34" s="140"/>
      <c r="AA34" s="140"/>
      <c r="AB34" s="140"/>
      <c r="AC34" s="140"/>
    </row>
    <row r="35" spans="1:29" s="140" customFormat="1">
      <c r="A35" s="487" t="str">
        <f>IF(AND($C$3&lt;&gt;"",$C$11&lt;&gt;""),IF(VLOOKUP(CONCATENATE($C$3,(INDEX($C$11:$C$20,COUNTA($C$11:$C$20),1))),ESTATES!$D:$AJ,18,FALSE)&lt;&gt;"",ESTATES!$U$10,""),"")</f>
        <v/>
      </c>
      <c r="B35" s="487"/>
      <c r="C35" s="487"/>
      <c r="D35" s="487"/>
      <c r="E35" s="487"/>
      <c r="F35" s="487"/>
      <c r="G35" s="487"/>
      <c r="H35" s="487"/>
      <c r="I35" s="487"/>
      <c r="J35" s="487"/>
      <c r="K35" s="487"/>
      <c r="L35" s="487"/>
      <c r="M35" s="137" t="str">
        <f>IF(A35&lt;&gt;"",_xlfn.XLOOKUP(CONCATENATE($C$3,(INDEX($C$11:$C$20,COUNTA($C$11:$C$20),1))),Table6[Concatenate],Table6[Provide approx. 1800mm high timber fencing with capping and 125x75 exposed posts in lieu of timber palings. Includes wing fence and Gate.],""),"")</f>
        <v/>
      </c>
      <c r="N35" s="109"/>
      <c r="O35" s="429" t="str">
        <f>IF(U3="YES",Upgrades!B190,"")</f>
        <v/>
      </c>
      <c r="P35" s="430"/>
      <c r="Q35" s="430"/>
      <c r="R35" s="430"/>
      <c r="S35" s="430"/>
      <c r="T35" s="430"/>
      <c r="U35" s="430"/>
      <c r="V35" s="430"/>
      <c r="W35" s="430"/>
      <c r="X35" s="430"/>
      <c r="Y35" s="138" t="str">
        <f>IF(O35&lt;&gt;"",_xlfn.XLOOKUP(O35,Table4[Hermitage Homes - Upgrades],Table4[$$]),"")</f>
        <v/>
      </c>
      <c r="AA35" s="139"/>
      <c r="AB35" s="139"/>
      <c r="AC35" s="139"/>
    </row>
    <row r="36" spans="1:29" s="139" customFormat="1">
      <c r="A36" s="487" t="str">
        <f>IF(AND($C$3&lt;&gt;"",$C$11&lt;&gt;""),IF(VLOOKUP(CONCATENATE($C$3,(INDEX($C$11:$C$20,COUNTA($C$11:$C$20),1))),ESTATES!$D:$AJ,19,FALSE)&lt;&gt;"",ESTATES!$V$10,""),"")</f>
        <v/>
      </c>
      <c r="B36" s="487"/>
      <c r="C36" s="487"/>
      <c r="D36" s="487"/>
      <c r="E36" s="487"/>
      <c r="F36" s="487"/>
      <c r="G36" s="487"/>
      <c r="H36" s="487"/>
      <c r="I36" s="487"/>
      <c r="J36" s="487"/>
      <c r="K36" s="487"/>
      <c r="L36" s="487"/>
      <c r="M36" s="137" t="str">
        <f>IF(A36&lt;&gt;"",_xlfn.XLOOKUP(CONCATENATE($C$3,(INDEX($C$11:$C$20,COUNTA($C$11:$C$20),1))),Table6[Concatenate],Table6[Provide a 25 degree roof pitch in lieu of 22.5 degrees.],""),"")</f>
        <v/>
      </c>
      <c r="N36" s="109"/>
      <c r="O36" s="429" t="str">
        <f>IF(B11="S.A.P Express",Upgrades!B175,
IF(B11="SA Thompson",Upgrades!B175,
IF(B11="Grit",Upgrades!B174,
IF(B11="Square Yards",Upgrades!B175,
IF(B11="Accrue",Upgrades!B186,
IF(B11="10 in 10",Upgrades!B186,
IF(B11="House &amp; Land Co.",Upgrades!B187,
"")))))))</f>
        <v/>
      </c>
      <c r="P36" s="430"/>
      <c r="Q36" s="430"/>
      <c r="R36" s="430"/>
      <c r="S36" s="430"/>
      <c r="T36" s="430"/>
      <c r="U36" s="430"/>
      <c r="V36" s="430"/>
      <c r="W36" s="430"/>
      <c r="X36" s="430"/>
      <c r="Y36" s="138" t="str">
        <f>IF(O36&lt;&gt;"",_xlfn.XLOOKUP(O36,Table4[Hermitage Homes - Upgrades],Table4[$$]),"")</f>
        <v/>
      </c>
      <c r="Z36" s="109"/>
      <c r="AA36" s="109"/>
      <c r="AB36" s="109"/>
      <c r="AC36" s="109"/>
    </row>
    <row r="37" spans="1:29">
      <c r="A37" s="487" t="str">
        <f>IF(AND($C$3&lt;&gt;"",$C$11&lt;&gt;""),IF(VLOOKUP(CONCATENATE($C$3,(INDEX($C$11:$C$20,COUNTA($C$11:$C$20),1))),ESTATES!$D:$AJ,20,FALSE)&lt;&gt;"",ESTATES!$W$10,""),"")</f>
        <v/>
      </c>
      <c r="B37" s="487"/>
      <c r="C37" s="487"/>
      <c r="D37" s="487"/>
      <c r="E37" s="487"/>
      <c r="F37" s="487"/>
      <c r="G37" s="487"/>
      <c r="H37" s="487"/>
      <c r="I37" s="487"/>
      <c r="J37" s="487"/>
      <c r="K37" s="487"/>
      <c r="L37" s="487"/>
      <c r="M37" s="137" t="str">
        <f>IF(A37&lt;&gt;"",_xlfn.XLOOKUP(CONCATENATE($C$3,(INDEX($C$11:$C$20,COUNTA($C$11:$C$20),1))),Table6[Concatenate],Table6[Provide Colorbond Roofing with 1No. Whirlybird and Sarking in lieu of category 1 roof tiles.],""),"")</f>
        <v/>
      </c>
      <c r="O37" s="139"/>
      <c r="P37" s="139"/>
      <c r="Q37" s="139"/>
      <c r="R37" s="139"/>
      <c r="S37" s="139"/>
      <c r="T37" s="139"/>
      <c r="U37" s="139"/>
      <c r="V37" s="139"/>
      <c r="W37" s="139"/>
      <c r="X37" s="139"/>
      <c r="Y37" s="139"/>
      <c r="Z37" s="140"/>
      <c r="AA37" s="140"/>
      <c r="AB37" s="140"/>
      <c r="AC37" s="140"/>
    </row>
    <row r="38" spans="1:29" s="140" customFormat="1" ht="12.75" customHeight="1">
      <c r="A38" s="487" t="str">
        <f>IF(AND($C$3&lt;&gt;"",$C$11&lt;&gt;""),IF(VLOOKUP(CONCATENATE($C$3,(INDEX($C$11:$C$20,COUNTA($C$11:$C$20),1))),ESTATES!$D:$AJ,21,FALSE)&lt;&gt;"",ESTATES!$X$10,""),"")</f>
        <v/>
      </c>
      <c r="B38" s="487"/>
      <c r="C38" s="487"/>
      <c r="D38" s="487"/>
      <c r="E38" s="487"/>
      <c r="F38" s="487"/>
      <c r="G38" s="487"/>
      <c r="H38" s="487"/>
      <c r="I38" s="487"/>
      <c r="J38" s="487"/>
      <c r="K38" s="487"/>
      <c r="L38" s="487"/>
      <c r="M38" s="137" t="str">
        <f>IF(A38&lt;&gt;"",_xlfn.XLOOKUP(CONCATENATE($C$3,(INDEX($C$11:$C$20,COUNTA($C$11:$C$20),1))),Table6[Concatenate],Table6[Provide Category 3 Flat profile roof tiles in lieu of category 1 Shaped roof tiles.],""),"")</f>
        <v/>
      </c>
      <c r="N38" s="109"/>
      <c r="O38" s="490" t="s">
        <v>7354</v>
      </c>
      <c r="P38" s="490"/>
      <c r="Q38" s="490"/>
      <c r="R38" s="490"/>
      <c r="S38" s="494" t="s">
        <v>7355</v>
      </c>
      <c r="T38" s="494"/>
      <c r="U38" s="494"/>
      <c r="V38" s="494"/>
      <c r="X38" s="139"/>
      <c r="Y38" s="139"/>
      <c r="AB38" s="139"/>
      <c r="AC38" s="139"/>
    </row>
    <row r="39" spans="1:29" s="139" customFormat="1" ht="12.75" customHeight="1">
      <c r="A39" s="487" t="str">
        <f>IF(AND($C$3&lt;&gt;"",$C$11&lt;&gt;""),IF(VLOOKUP(CONCATENATE($C$3,(INDEX($C$11:$C$20,COUNTA($C$11:$C$20),1))),ESTATES!$D:$AJ,22,FALSE)&lt;&gt;"",ESTATES!$Y$10,""),"")</f>
        <v/>
      </c>
      <c r="B39" s="487"/>
      <c r="C39" s="487"/>
      <c r="D39" s="487"/>
      <c r="E39" s="487"/>
      <c r="F39" s="487"/>
      <c r="G39" s="487"/>
      <c r="H39" s="487"/>
      <c r="I39" s="487"/>
      <c r="J39" s="487"/>
      <c r="K39" s="487"/>
      <c r="L39" s="487"/>
      <c r="M39" s="137" t="str">
        <f>IF(A39&lt;&gt;"",_xlfn.XLOOKUP(CONCATENATE($C$3,(INDEX($C$11:$C$20,COUNTA($C$11:$C$20),1))),Table6[Concatenate],Table6[Provide colour through concrete Driveway, Path and Front Porch in lieu of colour on concrete.],""),"")</f>
        <v/>
      </c>
      <c r="N39" s="109"/>
      <c r="O39" s="490"/>
      <c r="P39" s="490"/>
      <c r="Q39" s="490"/>
      <c r="R39" s="490"/>
      <c r="S39" s="494"/>
      <c r="T39" s="494"/>
      <c r="U39" s="494"/>
      <c r="V39" s="494"/>
      <c r="W39" s="140"/>
      <c r="Z39" s="109"/>
      <c r="AA39" s="109"/>
      <c r="AB39" s="109"/>
      <c r="AC39" s="109"/>
    </row>
    <row r="40" spans="1:29">
      <c r="A40" s="487" t="str">
        <f>IF(AND($C$3&lt;&gt;"",$C$11&lt;&gt;""),IF(((VLOOKUP((CONCATENATE($C$3,(INDEX($C$11:$C$20,COUNTA($C$11:$C$20),1)))),ESTATES!$D:$AJ,23,FALSE))&lt;&gt;"")*AND(IF(ISNA(MATCH("Yes",$I$11:$I$20,0)),"No","Yes")="Yes"),ESTATES!$Z$10,""),"")</f>
        <v/>
      </c>
      <c r="B40" s="487"/>
      <c r="C40" s="487"/>
      <c r="D40" s="487"/>
      <c r="E40" s="487"/>
      <c r="F40" s="487"/>
      <c r="G40" s="487"/>
      <c r="H40" s="487"/>
      <c r="I40" s="487"/>
      <c r="J40" s="487"/>
      <c r="K40" s="487"/>
      <c r="L40" s="487"/>
      <c r="M40" s="137" t="str">
        <f>IF(A40&lt;&gt;"",_xlfn.XLOOKUP(CONCATENATE($C$3,(INDEX($C$11:$C$20,COUNTA($C$11:$C$20),1))),Table6[Concatenate],Table6[Provide a corner treatment, as per design guidelines, to the second street frontage.],""),"")</f>
        <v/>
      </c>
      <c r="O40" s="139"/>
      <c r="P40" s="139"/>
      <c r="Q40" s="139"/>
      <c r="R40" s="139"/>
      <c r="S40" s="139"/>
      <c r="T40" s="139"/>
      <c r="U40" s="139"/>
      <c r="V40" s="139"/>
      <c r="W40" s="139"/>
      <c r="X40" s="139"/>
      <c r="Y40" s="139"/>
      <c r="Z40" s="140"/>
      <c r="AA40" s="140"/>
      <c r="AB40" s="140"/>
      <c r="AC40" s="140"/>
    </row>
    <row r="41" spans="1:29" s="139" customFormat="1">
      <c r="A41" s="487" t="str">
        <f>IF(AND($C$3&lt;&gt;"",$C$11&lt;&gt;""),IF(VLOOKUP(CONCATENATE($C$3,(INDEX($C$11:$C$20,COUNTA($C$11:$C$20),1))),ESTATES!$D:$AJ,24,FALSE)&lt;&gt;"",ESTATES!$AA$10,""),"")</f>
        <v/>
      </c>
      <c r="B41" s="487"/>
      <c r="C41" s="487"/>
      <c r="D41" s="487"/>
      <c r="E41" s="487"/>
      <c r="F41" s="487"/>
      <c r="G41" s="487"/>
      <c r="H41" s="487"/>
      <c r="I41" s="487"/>
      <c r="J41" s="487"/>
      <c r="K41" s="487"/>
      <c r="L41" s="487"/>
      <c r="M41" s="137" t="str">
        <f>IF(A41&lt;&gt;"",_xlfn.XLOOKUP(CONCATENATE($C$3,(INDEX($C$11:$C$20,COUNTA($C$11:$C$20),1))),Table6[Concatenate],Table6[Provide category 1 brickwork above the Garage door in lieu of painted infill panel.],""),"")</f>
        <v/>
      </c>
      <c r="N41" s="109"/>
      <c r="O41" s="439" t="str">
        <f>IF(AND(COUNTIF(H11:H20,"&lt;"&amp;300)&gt;0,COUNTIF(M11:M20,"Prominent")&gt;0),Upgrades!B167,"")</f>
        <v/>
      </c>
      <c r="P41" s="440"/>
      <c r="Q41" s="440"/>
      <c r="R41" s="440"/>
      <c r="S41" s="440"/>
      <c r="T41" s="440"/>
      <c r="U41" s="440"/>
      <c r="V41" s="440"/>
      <c r="W41" s="440"/>
      <c r="X41" s="441"/>
      <c r="Y41" s="141" t="str">
        <f>IF(O41&lt;&gt;"",_xlfn.XLOOKUP(O41,Table4[Hermitage Homes - Upgrades],Table4[$$]),"")</f>
        <v/>
      </c>
      <c r="Z41" s="140" t="s">
        <v>9379</v>
      </c>
      <c r="AA41" s="109"/>
      <c r="AB41" s="109"/>
      <c r="AC41" s="109"/>
    </row>
    <row r="42" spans="1:29">
      <c r="A42" s="487" t="str">
        <f>IF(AND($C$3&lt;&gt;"",$C$11&lt;&gt;""),IF(VLOOKUP(CONCATENATE($C$3,(INDEX($C$11:$C$20,COUNTA($C$11:$C$20),1))),ESTATES!$D:$AJ,25,FALSE)&lt;&gt;"",ESTATES!$AB$10,""),"")</f>
        <v/>
      </c>
      <c r="B42" s="487"/>
      <c r="C42" s="487"/>
      <c r="D42" s="487"/>
      <c r="E42" s="487"/>
      <c r="F42" s="487"/>
      <c r="G42" s="487"/>
      <c r="H42" s="487"/>
      <c r="I42" s="487"/>
      <c r="J42" s="487"/>
      <c r="K42" s="487"/>
      <c r="L42" s="487"/>
      <c r="M42" s="137" t="str">
        <f>IF(A42&lt;&gt;"",_xlfn.XLOOKUP(CONCATENATE($C$3,(INDEX($C$11:$C$20,COUNTA($C$11:$C$20),1))),Table6[Concatenate],Table6[Provide category 1 brickwork above all Windows &amp; all Doors in lieu of painted infill panel.],""),"")</f>
        <v/>
      </c>
      <c r="O42" s="439" t="str">
        <f>IF(AND(COUNTIF(H11:H20,"&lt;"&amp;300)&gt;0,COUNTIF(M11:M20,"Alpha")&gt;0),Upgrades!B168,"")</f>
        <v/>
      </c>
      <c r="P42" s="444"/>
      <c r="Q42" s="444"/>
      <c r="R42" s="444"/>
      <c r="S42" s="444"/>
      <c r="T42" s="444"/>
      <c r="U42" s="444"/>
      <c r="V42" s="444"/>
      <c r="W42" s="444"/>
      <c r="X42" s="444"/>
      <c r="Y42" s="141" t="str">
        <f>IF(O42&lt;&gt;"",_xlfn.XLOOKUP(O42,Table4[Hermitage Homes - Upgrades],Table4[$$]),"")</f>
        <v/>
      </c>
      <c r="Z42" s="140" t="s">
        <v>9379</v>
      </c>
      <c r="AA42" s="140"/>
      <c r="AB42" s="140"/>
      <c r="AC42" s="140"/>
    </row>
    <row r="43" spans="1:29" s="178" customFormat="1">
      <c r="A43" s="488" t="str">
        <f>IF(AND($C$3&lt;&gt;"",$C$11&lt;&gt;""),IF(VLOOKUP(CONCATENATE($C$3,(INDEX($C$11:$C$20,COUNTA($C$11:$C$20),1))),ESTATES!$D:$AJ,26,FALSE)&lt;&gt;"",ESTATES!$AC$10,""),"")</f>
        <v/>
      </c>
      <c r="B43" s="488"/>
      <c r="C43" s="488"/>
      <c r="D43" s="488"/>
      <c r="E43" s="488"/>
      <c r="F43" s="488"/>
      <c r="G43" s="488"/>
      <c r="H43" s="488"/>
      <c r="I43" s="488"/>
      <c r="J43" s="488"/>
      <c r="K43" s="488"/>
      <c r="L43" s="488"/>
      <c r="M43" s="142" t="str">
        <f>IF(A43&lt;&gt;"",_xlfn.XLOOKUP(CONCATENATE($C$3,(INDEX($C$11:$C$20,COUNTA($C$11:$C$20),1))),Table6[Concatenate],Table6[Provide exposed aggregate concrete Driveway, Path, Front Porch and Outdoor Living (if applicable) in lieu of colour on concrete.],""),"")</f>
        <v/>
      </c>
      <c r="N43" s="110"/>
      <c r="O43" s="439" t="str">
        <f>IF(COUNTIF(K11:K20,"Drake 19 GE"),Upgrades!B176,
IF(COUNTIF(K11:K20,"Jackson 18 GE"),Upgrades!B176,
IF(COUNTIF(K11:K20,"Heath 21 GE"),Upgrades!B176,
IF(COUNTIF(K11:K20,"Kennedy 22L GE"),Upgrades!B176,
IF(COUNTIF(K11:K20,"Raleigh 17 GE"),Upgrades!B176,
IF(COUNTIF(K11:K20,"Cartier 15 GE"),Upgrades!B176,
IF(COUNTIF(K11:K20,"Leon 22-1B GE"),Upgrades!B176,
IF(COUNTIF(K11:K20,"Catalina 22 GE"),Upgrades!B176,
IF(COUNTIF(K11:K20,"Leon 25 GE"),Upgrades!B176,"")))))))))</f>
        <v/>
      </c>
      <c r="P43" s="440"/>
      <c r="Q43" s="440"/>
      <c r="R43" s="440"/>
      <c r="S43" s="440"/>
      <c r="T43" s="440"/>
      <c r="U43" s="440"/>
      <c r="V43" s="440"/>
      <c r="W43" s="440"/>
      <c r="X43" s="440"/>
      <c r="Y43" s="141" t="str">
        <f>IF(O43&lt;&gt;"",_xlfn.XLOOKUP(O43,Table4[Hermitage Homes - Upgrades],Table4[$$]),"")</f>
        <v/>
      </c>
      <c r="Z43" s="140" t="s">
        <v>9380</v>
      </c>
      <c r="AA43" s="110"/>
      <c r="AB43" s="110"/>
      <c r="AC43" s="110"/>
    </row>
    <row r="44" spans="1:29">
      <c r="A44" s="487" t="str">
        <f>IF(AND($C$3&lt;&gt;"",$C$11&lt;&gt;""),IF(VLOOKUP(CONCATENATE($C$3,(INDEX($C$11:$C$20,COUNTA($C$11:$C$20),1))),ESTATES!$D:$AJ,27,FALSE)&lt;&gt;"",ESTATES!$AD$10,""),"")</f>
        <v/>
      </c>
      <c r="B44" s="487"/>
      <c r="C44" s="487"/>
      <c r="D44" s="487"/>
      <c r="E44" s="487"/>
      <c r="F44" s="487"/>
      <c r="G44" s="487"/>
      <c r="H44" s="487"/>
      <c r="I44" s="487"/>
      <c r="J44" s="487"/>
      <c r="K44" s="487"/>
      <c r="L44" s="487"/>
      <c r="M44" s="137" t="str">
        <f>IF(A44&lt;&gt;"",_xlfn.XLOOKUP(CONCATENATE($C$3,(INDEX($C$11:$C$20,COUNTA($C$11:$C$20),1))),Table6[Concatenate],Table6[Provide 2590mm high ceilings to the ground floor.],""),"")</f>
        <v/>
      </c>
      <c r="O44" s="439" t="str">
        <f>IF(COUNTIF(K11:K20,"Access 18 HPS"),Upgrades!B177,
IF(COUNTIF(K11:K20,"Access 19 HPS"),Upgrades!B177,
IF(COUNTIF(K11:K20,"Access 20 HPS (Access 18 with Double Garage)"),Upgrades!B177,
IF(COUNTIF(K11:K20,"Access 22 HPS"),Upgrades!B177,
IF(COUNTIF(K11:K20,"Access 23 HPS"),Upgrades!B177,
IF(COUNTIF(K11:K20,"Access 24 HPS"),Upgrades!B177,
IF(COUNTIF(K11:K20,"Access 30 HPS"),Upgrades!B177,"")))))))</f>
        <v/>
      </c>
      <c r="P44" s="444"/>
      <c r="Q44" s="444"/>
      <c r="R44" s="444"/>
      <c r="S44" s="444"/>
      <c r="T44" s="444"/>
      <c r="U44" s="444"/>
      <c r="V44" s="444"/>
      <c r="W44" s="444"/>
      <c r="X44" s="444"/>
      <c r="Y44" s="141" t="str">
        <f>IF(O44&lt;&gt;"",_xlfn.XLOOKUP(O44,Table4[Hermitage Homes - Upgrades],Table4[$$]),"")</f>
        <v/>
      </c>
      <c r="Z44" s="140" t="s">
        <v>9381</v>
      </c>
      <c r="AB44" s="140"/>
      <c r="AC44" s="140"/>
    </row>
    <row r="45" spans="1:29">
      <c r="A45" s="487" t="str">
        <f>IF(AND($C$3&lt;&gt;"",$C$11&lt;&gt;""),IF(VLOOKUP(CONCATENATE($C$3,(INDEX($C$11:$C$20,COUNTA($C$11:$C$20),1))),ESTATES!$D:$AJ,28,FALSE)&lt;&gt;"",ESTATES!$AE$10,""),"")</f>
        <v/>
      </c>
      <c r="B45" s="487"/>
      <c r="C45" s="487"/>
      <c r="D45" s="487"/>
      <c r="E45" s="487"/>
      <c r="F45" s="487"/>
      <c r="G45" s="487"/>
      <c r="H45" s="487"/>
      <c r="I45" s="487"/>
      <c r="J45" s="487"/>
      <c r="K45" s="487"/>
      <c r="L45" s="487"/>
      <c r="M45" s="137" t="str">
        <f>IF(A45&lt;&gt;"",_xlfn.XLOOKUP(CONCATENATE($C$3,(INDEX($C$11:$C$20,COUNTA($C$11:$C$20),1))),Table6[Concatenate],Table6[Provide 2720mm high ceilings to the ground floor.],""),"")</f>
        <v/>
      </c>
      <c r="O45" s="439" t="str">
        <f>IF(COUNTIF(K11:K20,"Drake 19 GE"),Upgrades!B182,
IF(COUNTIF(K11:K20,"Jackson 18 GE"),Upgrades!B182,
IF(COUNTIF(K11:K20,"Heath 21 GE"),Upgrades!B182,
IF(COUNTIF(K11:K20,"Kennedy 22L GE"),Upgrades!B182,
IF(COUNTIF(K11:K20,"Raleigh 17 GE"),Upgrades!B182,
IF(COUNTIF(K11:K20,"Cartier 15 GE"),Upgrades!B182,
IF(COUNTIF(K11:K20,"Leon 22-1B GE"),Upgrades!B182,
IF(COUNTIF(K11:K20,"Catalina 22 GE"),Upgrades!B182,
IF(COUNTIF(K11:K20,"Leon 25 GE"),Upgrades!B182,
IF(COUNTIF(K11:K20,"Forrest 32-1b GE"),Upgrades!B183,""))))))))))</f>
        <v/>
      </c>
      <c r="P45" s="444"/>
      <c r="Q45" s="444"/>
      <c r="R45" s="444"/>
      <c r="S45" s="444"/>
      <c r="T45" s="444"/>
      <c r="U45" s="444"/>
      <c r="V45" s="444"/>
      <c r="W45" s="444"/>
      <c r="X45" s="444"/>
      <c r="Y45" s="141" t="str">
        <f>IF(O45&lt;&gt;"",_xlfn.XLOOKUP(O45,Table4[Hermitage Homes - Upgrades],Table4[$$]),"")</f>
        <v/>
      </c>
      <c r="Z45" s="140" t="s">
        <v>9380</v>
      </c>
      <c r="AB45" s="140"/>
      <c r="AC45" s="140"/>
    </row>
    <row r="46" spans="1:29">
      <c r="A46" s="487" t="str">
        <f>IF(AND($C$3&lt;&gt;"",$C$11&lt;&gt;""),IF(VLOOKUP(CONCATENATE($C$3,(INDEX($C$11:$C$20,COUNTA($C$11:$C$20),1))),ESTATES!$D:$AJ,29,FALSE)&lt;&gt;"",ESTATES!$AF$10,""),"")</f>
        <v/>
      </c>
      <c r="B46" s="487"/>
      <c r="C46" s="487"/>
      <c r="D46" s="487"/>
      <c r="E46" s="487"/>
      <c r="F46" s="487"/>
      <c r="G46" s="487"/>
      <c r="H46" s="487"/>
      <c r="I46" s="487"/>
      <c r="J46" s="487"/>
      <c r="K46" s="487"/>
      <c r="L46" s="487"/>
      <c r="M46" s="137" t="str">
        <f>IF(A46&lt;&gt;"",_xlfn.XLOOKUP(CONCATENATE($C$3,(INDEX($C$11:$C$20,COUNTA($C$11:$C$20),1))),Table6[Concatenate],Table6[Provide a Rendered finish to the front projection in lieu of face brickwork.],""),"")</f>
        <v/>
      </c>
      <c r="O46" s="439"/>
      <c r="P46" s="444"/>
      <c r="Q46" s="444"/>
      <c r="R46" s="444"/>
      <c r="S46" s="444"/>
      <c r="T46" s="444"/>
      <c r="U46" s="444"/>
      <c r="V46" s="444"/>
      <c r="W46" s="444"/>
      <c r="X46" s="444"/>
      <c r="Y46" s="141"/>
      <c r="AB46" s="140"/>
      <c r="AC46" s="140"/>
    </row>
    <row r="47" spans="1:29">
      <c r="A47" s="487" t="str">
        <f>IF(AND($C$3&lt;&gt;"",$C$11&lt;&gt;""),IF(VLOOKUP(CONCATENATE($C$3,(INDEX($C$11:$C$20,COUNTA($C$11:$C$20),1))),ESTATES!$D:$AJ,30,FALSE)&lt;&gt;"",ESTATES!$AG$10,""),"")</f>
        <v/>
      </c>
      <c r="B47" s="487"/>
      <c r="C47" s="487"/>
      <c r="D47" s="487"/>
      <c r="E47" s="487"/>
      <c r="F47" s="487"/>
      <c r="G47" s="487"/>
      <c r="H47" s="487"/>
      <c r="I47" s="487"/>
      <c r="J47" s="487"/>
      <c r="K47" s="487"/>
      <c r="L47" s="487"/>
      <c r="M47" s="137" t="str">
        <f>IF(A47&lt;&gt;"",_xlfn.XLOOKUP(CONCATENATE($C$3,(INDEX($C$11:$C$20,COUNTA($C$11:$C$20),1))),Table6[Concatenate],Table6[Provide a Rendered finish to the whole front Façade in lieu of face brickwork.],""),"")</f>
        <v/>
      </c>
      <c r="O47" s="439"/>
      <c r="P47" s="440"/>
      <c r="Q47" s="440"/>
      <c r="R47" s="440"/>
      <c r="S47" s="440"/>
      <c r="T47" s="440"/>
      <c r="U47" s="440"/>
      <c r="V47" s="440"/>
      <c r="W47" s="440"/>
      <c r="X47" s="441"/>
      <c r="Y47" s="141"/>
      <c r="AB47" s="140"/>
      <c r="AC47" s="140"/>
    </row>
    <row r="48" spans="1:29">
      <c r="A48" s="487" t="str">
        <f>IF(AND($C$3&lt;&gt;"",$C$11&lt;&gt;""),IF(VLOOKUP(CONCATENATE($C$3,(INDEX($C$11:$C$20,COUNTA($C$11:$C$20),1))),ESTATES!$D:$AJ,31,FALSE)&lt;&gt;"",ESTATES!$AH$10,""),"")</f>
        <v/>
      </c>
      <c r="B48" s="487"/>
      <c r="C48" s="487"/>
      <c r="D48" s="487"/>
      <c r="E48" s="487"/>
      <c r="F48" s="487"/>
      <c r="G48" s="487"/>
      <c r="H48" s="487"/>
      <c r="I48" s="487"/>
      <c r="J48" s="487"/>
      <c r="K48" s="487"/>
      <c r="L48" s="487"/>
      <c r="M48" s="137" t="str">
        <f>IF(A48&lt;&gt;"",_xlfn.XLOOKUP(CONCATENATE($C$3,(INDEX($C$11:$C$20,COUNTA($C$11:$C$20),1))),Table6[Concatenate],Table6[Travel surcharge.],""),"")</f>
        <v/>
      </c>
      <c r="O48" s="439"/>
      <c r="P48" s="444"/>
      <c r="Q48" s="444"/>
      <c r="R48" s="444"/>
      <c r="S48" s="444"/>
      <c r="T48" s="444"/>
      <c r="U48" s="444"/>
      <c r="V48" s="444"/>
      <c r="W48" s="444"/>
      <c r="X48" s="444"/>
      <c r="Y48" s="141"/>
      <c r="Z48" s="140"/>
      <c r="AB48" s="140"/>
      <c r="AC48" s="140"/>
    </row>
    <row r="49" spans="1:30">
      <c r="A49" s="487" t="str">
        <f>IF(AND($C$3&lt;&gt;"",$C$11&lt;&gt;""),IF(VLOOKUP(CONCATENATE($C$3,(INDEX($C$11:$C$20,COUNTA($C$11:$C$20),1))),ESTATES!$D:$AJ,32,FALSE)&lt;&gt;"",ESTATES!$AI$10,""),"")</f>
        <v/>
      </c>
      <c r="B49" s="487"/>
      <c r="C49" s="487"/>
      <c r="D49" s="487"/>
      <c r="E49" s="487"/>
      <c r="F49" s="487"/>
      <c r="G49" s="487"/>
      <c r="H49" s="487"/>
      <c r="I49" s="487"/>
      <c r="J49" s="487"/>
      <c r="K49" s="487"/>
      <c r="L49" s="487"/>
      <c r="M49" s="137" t="str">
        <f>IF(A49&lt;&gt;"",_xlfn.XLOOKUP(CONCATENATE($C$3,(INDEX($C$11:$C$20,COUNTA($C$11:$C$20),1))),Table6[Concatenate],Table6[Provide 2No. Advanced trees, additional shrubs and ground cover plants.],""),"")</f>
        <v/>
      </c>
      <c r="O49" s="439" t="s">
        <v>7285</v>
      </c>
      <c r="P49" s="444"/>
      <c r="Q49" s="444"/>
      <c r="R49" s="444"/>
      <c r="S49" s="444"/>
      <c r="T49" s="444"/>
      <c r="U49" s="444"/>
      <c r="V49" s="444"/>
      <c r="W49" s="444"/>
      <c r="X49" s="444"/>
      <c r="Y49" s="141">
        <v>2000</v>
      </c>
      <c r="AB49" s="140"/>
      <c r="AC49" s="140"/>
    </row>
    <row r="50" spans="1:30">
      <c r="A50" s="488" t="str">
        <f>IF(AND($C$3&lt;&gt;"",$C$11&lt;&gt;""),IF(OR(VLOOKUP(CONCATENATE($C$3,(INDEX($C$11:$C$20,COUNTA($C$11:$C$20),1))),ESTATES!$D:$AJ,33,FALSE)&lt;&gt;"",U4="Yes"),ESTATES!$AJ$10,""),"")</f>
        <v/>
      </c>
      <c r="B50" s="487"/>
      <c r="C50" s="487"/>
      <c r="D50" s="487"/>
      <c r="E50" s="487"/>
      <c r="F50" s="487"/>
      <c r="G50" s="487"/>
      <c r="H50" s="487"/>
      <c r="I50" s="487"/>
      <c r="J50" s="487"/>
      <c r="K50" s="487"/>
      <c r="L50" s="487"/>
      <c r="M50" s="142" t="str">
        <f>IF(AND(A50&lt;&gt;"",U4&lt;&gt;"Yes"),_xlfn.XLOOKUP(CONCATENATE($C$3,(INDEX($C$11:$C$20,COUNTA($C$11:$C$20),1))),Table6[Concatenate],Table6[Provide 1No. Single crossover and footpath to the primary street frontage.]),IF(AND(A50&lt;&gt;"",U4="Yes"),4400,""))</f>
        <v/>
      </c>
      <c r="O50" s="439" t="str">
        <f>IF(AND(OR($C$4="Moe 3825",$C$4="Morwell 3840",$C$4="Traralgon 3844",$C$4="Churchill 3842",$C$4="Boolarra 3870",$C$4="Glengarry 3854",$C$4="Newborough 3825",$C$4="Traralgon South 3844",$C$4="Toongabbie 3856",$C$4="Tyers 3844",$C$4="Yallourn North 3825",$C$4="Yinnar 3869"),H11&lt;&gt;"",COUNTIF($H$11:$H$20,"&lt;=499")),"Provide Planning Permit for blocks under 500m2 in Latrobe City Council","")</f>
        <v/>
      </c>
      <c r="P50" s="444"/>
      <c r="Q50" s="444"/>
      <c r="R50" s="444"/>
      <c r="S50" s="444"/>
      <c r="T50" s="444"/>
      <c r="U50" s="444"/>
      <c r="V50" s="444"/>
      <c r="W50" s="444"/>
      <c r="X50" s="444"/>
      <c r="Y50" s="141" t="str">
        <f>IF(O50="Provide Planning Permit for blocks under 500m2 in Latrobe City Council",5000,"")</f>
        <v/>
      </c>
      <c r="AB50" s="140"/>
      <c r="AC50" s="140"/>
    </row>
    <row r="51" spans="1:30" ht="5.25" customHeight="1" thickBot="1"/>
    <row r="52" spans="1:30" s="140" customFormat="1" ht="16.5" thickBot="1">
      <c r="C52" s="109"/>
      <c r="D52" s="109"/>
      <c r="E52" s="110"/>
      <c r="F52" s="109"/>
      <c r="G52" s="109"/>
      <c r="H52" s="109"/>
      <c r="I52" s="109"/>
      <c r="J52" s="109"/>
      <c r="N52" s="442" t="s">
        <v>7286</v>
      </c>
      <c r="O52" s="442"/>
      <c r="P52" s="470"/>
      <c r="Q52" s="470"/>
      <c r="R52" s="184"/>
      <c r="S52" s="144"/>
      <c r="T52" s="144"/>
      <c r="U52" s="144"/>
      <c r="V52" s="122" t="s">
        <v>7287</v>
      </c>
      <c r="W52" s="126" t="s">
        <v>7288</v>
      </c>
      <c r="X52" s="126" t="s">
        <v>7289</v>
      </c>
      <c r="Y52" s="123" t="s">
        <v>7290</v>
      </c>
      <c r="Z52" s="152" t="s">
        <v>7346</v>
      </c>
      <c r="AA52" s="152" t="s">
        <v>7347</v>
      </c>
      <c r="AB52" s="139"/>
      <c r="AC52" s="139"/>
      <c r="AD52" s="139"/>
    </row>
    <row r="53" spans="1:30" s="140" customFormat="1" ht="16.5" thickBot="1">
      <c r="A53" s="490" t="s">
        <v>7291</v>
      </c>
      <c r="B53" s="490"/>
      <c r="C53" s="109"/>
      <c r="D53" s="109"/>
      <c r="E53" s="110"/>
      <c r="F53" s="109"/>
      <c r="G53" s="109"/>
      <c r="H53" s="109"/>
      <c r="I53" s="109"/>
      <c r="J53" s="109"/>
      <c r="N53" s="109"/>
      <c r="P53" s="471" t="s">
        <v>7292</v>
      </c>
      <c r="Q53" s="471"/>
      <c r="R53" s="471"/>
      <c r="S53" s="473"/>
      <c r="T53" s="474"/>
      <c r="U53" s="474"/>
      <c r="V53" s="133" t="str">
        <f t="shared" ref="V53:V62" si="8">IFERROR(IF(D11&lt;&gt;"",D11,""),"")</f>
        <v/>
      </c>
      <c r="W53" s="134" t="str">
        <f>IFERROR(IF(AND((DAYS360(Houses!$B$1,$P$4))&gt;=30,$P$4&lt;&gt;"",D11&lt;&gt;""),((SUM(O11:S11)-R11-33000)*X53+1000),""),"")</f>
        <v/>
      </c>
      <c r="X53" s="145" t="str">
        <f>IFERROR(IF(AND((DAYS360(Houses!$B$1,$P$4))&gt;=30,$P$4&lt;&gt;"",D11&lt;&gt;""),SUM((INDEX(Table3[%],MATCH(DAYS360(Houses!$B$1,$P$4),Table3[FBC Day 1],1))-1)),""),"")</f>
        <v/>
      </c>
      <c r="Y53" s="134" t="str">
        <f t="shared" ref="Y53:Y62" ca="1" si="9">IFERROR(IF(K11&gt;0,IF(VLOOKUP(B11,INDIRECT(A11),2,FALSE)&lt;&gt;"",SUM(ROUNDUP(((SUM(O11:V11)-T11)-((33000-Y11)+IF(V11="",0,V11))+IF(W53&lt;&gt;"",W53,VALUE(0))),-2)+T11)-SUM(((SUM(O11:V11)-T11)-((33000-Y11)+IF(V11="",0,V11))+IF(W53&lt;&gt;"",W53,VALUE(0)))+T11),SUM(ROUNDUP(((SUM(O11:V11)-T11)-33000+IF(W53&lt;&gt;"",W53,VALUE(0))),-2)+T11)-SUM(((SUM(O11:V11)-T11)-33000+IF(W53&lt;&gt;"",W53,VALUE(0)))+T11)),""),"")</f>
        <v/>
      </c>
      <c r="Z53" s="134" t="str">
        <f t="shared" ref="Z53:Z62" ca="1" si="10">IFERROR(IF(Y53&lt;&gt;"",IF(AND(Y53&lt;&gt;"",Y11&gt;=33000),SUM(Y11-33000),IF(OR(AND(V11&lt;&gt;"",Y11&lt;33000),V11=""),Y11-33000,""))-V11,""),"")</f>
        <v/>
      </c>
      <c r="AA53" s="134" t="str">
        <f t="shared" ref="AA53:AA62" ca="1" si="11">IFERROR(IF(Y53&lt;&gt;"",SUM(O11:U11)+W53+Y53+IF(Y11&gt;=33000,Y11-33000,Z53),""),"")</f>
        <v/>
      </c>
      <c r="AB53" s="139"/>
      <c r="AC53" s="139"/>
    </row>
    <row r="54" spans="1:30" s="140" customFormat="1">
      <c r="A54" s="491"/>
      <c r="B54" s="492"/>
      <c r="C54" s="492"/>
      <c r="D54" s="492"/>
      <c r="E54" s="492"/>
      <c r="F54" s="492"/>
      <c r="G54" s="492"/>
      <c r="H54" s="492"/>
      <c r="I54" s="492"/>
      <c r="J54" s="492"/>
      <c r="K54" s="492"/>
      <c r="L54" s="492"/>
      <c r="M54" s="493"/>
      <c r="N54" s="109"/>
      <c r="P54" s="472"/>
      <c r="Q54" s="472"/>
      <c r="R54" s="472"/>
      <c r="S54" s="475"/>
      <c r="T54" s="475"/>
      <c r="U54" s="475"/>
      <c r="V54" s="133" t="str">
        <f t="shared" si="8"/>
        <v/>
      </c>
      <c r="W54" s="134" t="str">
        <f>IFERROR(IF(AND((DAYS360(Houses!$B$1,$P$4))&gt;=30,$P$4&lt;&gt;"",D12&lt;&gt;""),((SUM(O12:S12)-R12-33000)*X54+1000),""),"")</f>
        <v/>
      </c>
      <c r="X54" s="145" t="str">
        <f>IFERROR(IF(AND((DAYS360(Houses!$B$1,$P$4))&gt;=30,$P$4&lt;&gt;"",D12&lt;&gt;""),SUM((INDEX(Table3[%],MATCH(DAYS360(Houses!$B$1,$P$4),Table3[FBC Day 1],1))-1)),""),"")</f>
        <v/>
      </c>
      <c r="Y54" s="134" t="str">
        <f t="shared" ca="1" si="9"/>
        <v/>
      </c>
      <c r="Z54" s="134" t="str">
        <f t="shared" ca="1" si="10"/>
        <v/>
      </c>
      <c r="AA54" s="134" t="str">
        <f t="shared" ca="1" si="11"/>
        <v/>
      </c>
      <c r="AB54" s="139"/>
      <c r="AC54" s="139"/>
    </row>
    <row r="55" spans="1:30" s="140" customFormat="1" ht="15" customHeight="1">
      <c r="A55" s="456"/>
      <c r="B55" s="457"/>
      <c r="C55" s="457"/>
      <c r="D55" s="457"/>
      <c r="E55" s="457"/>
      <c r="F55" s="457"/>
      <c r="G55" s="457"/>
      <c r="H55" s="457"/>
      <c r="I55" s="457"/>
      <c r="J55" s="457"/>
      <c r="K55" s="457"/>
      <c r="L55" s="457"/>
      <c r="M55" s="458"/>
      <c r="N55" s="109"/>
      <c r="P55" s="146" t="s">
        <v>7293</v>
      </c>
      <c r="Q55" s="109"/>
      <c r="R55" s="146" t="s">
        <v>7294</v>
      </c>
      <c r="T55" s="146" t="s">
        <v>7295</v>
      </c>
      <c r="U55" s="109"/>
      <c r="V55" s="133" t="str">
        <f t="shared" si="8"/>
        <v/>
      </c>
      <c r="W55" s="134" t="str">
        <f>IFERROR(IF(AND((DAYS360(Houses!$B$1,$P$4))&gt;=30,$P$4&lt;&gt;"",D13&lt;&gt;""),((SUM(O13:S13)-R13-33000)*X55+1000),""),"")</f>
        <v/>
      </c>
      <c r="X55" s="145" t="str">
        <f>IFERROR(IF(AND((DAYS360(Houses!$B$1,$P$4))&gt;=30,$P$4&lt;&gt;"",D13&lt;&gt;""),SUM((INDEX(Table3[%],MATCH(DAYS360(Houses!$B$1,$P$4),Table3[FBC Day 1],1))-1)),""),"")</f>
        <v/>
      </c>
      <c r="Y55" s="134" t="str">
        <f t="shared" ca="1" si="9"/>
        <v/>
      </c>
      <c r="Z55" s="134" t="str">
        <f t="shared" ca="1" si="10"/>
        <v/>
      </c>
      <c r="AA55" s="134" t="str">
        <f t="shared" ca="1" si="11"/>
        <v/>
      </c>
      <c r="AB55" s="139"/>
      <c r="AC55" s="139"/>
    </row>
    <row r="56" spans="1:30" s="140" customFormat="1" ht="15" customHeight="1">
      <c r="A56" s="456"/>
      <c r="B56" s="457"/>
      <c r="C56" s="457"/>
      <c r="D56" s="457"/>
      <c r="E56" s="457"/>
      <c r="F56" s="457"/>
      <c r="G56" s="457"/>
      <c r="H56" s="457"/>
      <c r="I56" s="457"/>
      <c r="J56" s="457"/>
      <c r="K56" s="457"/>
      <c r="L56" s="457"/>
      <c r="M56" s="458"/>
      <c r="O56" s="143" t="s">
        <v>7296</v>
      </c>
      <c r="P56" s="147"/>
      <c r="Q56" s="147"/>
      <c r="R56" s="147"/>
      <c r="S56" s="148"/>
      <c r="T56" s="148"/>
      <c r="U56" s="148"/>
      <c r="V56" s="133" t="str">
        <f t="shared" si="8"/>
        <v/>
      </c>
      <c r="W56" s="134" t="str">
        <f>IFERROR(IF(AND((DAYS360(Houses!$B$1,$P$4))&gt;=30,$P$4&lt;&gt;"",D14&lt;&gt;""),((SUM(O14:S14)-R14-33000)*X56+1000),""),"")</f>
        <v/>
      </c>
      <c r="X56" s="145" t="str">
        <f>IFERROR(IF(AND((DAYS360(Houses!$B$1,$P$4))&gt;=30,$P$4&lt;&gt;"",D14&lt;&gt;""),SUM((INDEX(Table3[%],MATCH(DAYS360(Houses!$B$1,$P$4),Table3[FBC Day 1],1))-1)),""),"")</f>
        <v/>
      </c>
      <c r="Y56" s="134" t="str">
        <f t="shared" ca="1" si="9"/>
        <v/>
      </c>
      <c r="Z56" s="134" t="str">
        <f t="shared" ca="1" si="10"/>
        <v/>
      </c>
      <c r="AA56" s="134" t="str">
        <f t="shared" ca="1" si="11"/>
        <v/>
      </c>
      <c r="AB56" s="139"/>
      <c r="AC56" s="139"/>
    </row>
    <row r="57" spans="1:30" s="140" customFormat="1" ht="15" customHeight="1" thickBot="1">
      <c r="A57" s="461"/>
      <c r="B57" s="462"/>
      <c r="C57" s="462"/>
      <c r="D57" s="462"/>
      <c r="E57" s="462"/>
      <c r="F57" s="462"/>
      <c r="G57" s="462"/>
      <c r="H57" s="462"/>
      <c r="I57" s="462"/>
      <c r="J57" s="462"/>
      <c r="K57" s="462"/>
      <c r="L57" s="462"/>
      <c r="M57" s="463"/>
      <c r="O57" s="109"/>
      <c r="P57" s="147"/>
      <c r="Q57" s="147"/>
      <c r="R57" s="147"/>
      <c r="S57" s="148"/>
      <c r="T57" s="148"/>
      <c r="U57" s="148"/>
      <c r="V57" s="133" t="str">
        <f t="shared" si="8"/>
        <v/>
      </c>
      <c r="W57" s="134" t="str">
        <f>IFERROR(IF(AND((DAYS360(Houses!$B$1,$P$4))&gt;=30,$P$4&lt;&gt;"",D15&lt;&gt;""),((SUM(O15:S15)-R15-33000)*X57+1000),""),"")</f>
        <v/>
      </c>
      <c r="X57" s="145" t="str">
        <f>IFERROR(IF(AND((DAYS360(Houses!$B$1,$P$4))&gt;=30,$P$4&lt;&gt;"",D15&lt;&gt;""),SUM((INDEX(Table3[%],MATCH(DAYS360(Houses!$B$1,$P$4),Table3[FBC Day 1],1))-1)),""),"")</f>
        <v/>
      </c>
      <c r="Y57" s="134" t="str">
        <f t="shared" ca="1" si="9"/>
        <v/>
      </c>
      <c r="Z57" s="134" t="str">
        <f t="shared" ca="1" si="10"/>
        <v/>
      </c>
      <c r="AA57" s="134" t="str">
        <f t="shared" ca="1" si="11"/>
        <v/>
      </c>
      <c r="AB57" s="139"/>
      <c r="AC57" s="139"/>
    </row>
    <row r="58" spans="1:30" s="140" customFormat="1">
      <c r="E58" s="149"/>
      <c r="O58" s="109"/>
      <c r="P58" s="150"/>
      <c r="Q58" s="150"/>
      <c r="R58" s="150"/>
      <c r="S58" s="150"/>
      <c r="T58" s="150"/>
      <c r="U58" s="150"/>
      <c r="V58" s="133" t="str">
        <f t="shared" si="8"/>
        <v/>
      </c>
      <c r="W58" s="134" t="str">
        <f>IFERROR(IF(AND((DAYS360(Houses!$B$1,$P$4))&gt;=30,$P$4&lt;&gt;"",D16&lt;&gt;""),((SUM(O16:S16)-R16-33000)*X58+1000),""),"")</f>
        <v/>
      </c>
      <c r="X58" s="145" t="str">
        <f>IFERROR(IF(AND((DAYS360(Houses!$B$1,$P$4))&gt;=30,$P$4&lt;&gt;"",D16&lt;&gt;""),SUM((INDEX(Table3[%],MATCH(DAYS360(Houses!$B$1,$P$4),Table3[FBC Day 1],1))-1)),""),"")</f>
        <v/>
      </c>
      <c r="Y58" s="134" t="str">
        <f t="shared" ca="1" si="9"/>
        <v/>
      </c>
      <c r="Z58" s="134" t="str">
        <f t="shared" ca="1" si="10"/>
        <v/>
      </c>
      <c r="AA58" s="134" t="str">
        <f t="shared" ca="1" si="11"/>
        <v/>
      </c>
      <c r="AB58" s="139"/>
      <c r="AC58" s="139"/>
    </row>
    <row r="59" spans="1:30" s="140" customFormat="1" ht="16.5" thickBot="1">
      <c r="A59" s="490" t="s">
        <v>7297</v>
      </c>
      <c r="B59" s="490"/>
      <c r="C59" s="490"/>
      <c r="D59" s="139"/>
      <c r="E59" s="110"/>
      <c r="F59" s="109"/>
      <c r="G59" s="109"/>
      <c r="H59" s="109"/>
      <c r="I59" s="109"/>
      <c r="J59" s="109"/>
      <c r="O59" s="109"/>
      <c r="P59" s="146" t="s">
        <v>7293</v>
      </c>
      <c r="Q59" s="109"/>
      <c r="R59" s="146" t="s">
        <v>7294</v>
      </c>
      <c r="T59" s="146" t="s">
        <v>7295</v>
      </c>
      <c r="V59" s="133" t="str">
        <f t="shared" si="8"/>
        <v/>
      </c>
      <c r="W59" s="134" t="str">
        <f>IFERROR(IF(AND((DAYS360(Houses!$B$1,$P$4))&gt;=30,$P$4&lt;&gt;"",D17&lt;&gt;""),((SUM(O17:S17)-R17-33000)*X59+1000),""),"")</f>
        <v/>
      </c>
      <c r="X59" s="145" t="str">
        <f>IFERROR(IF(AND((DAYS360(Houses!$B$1,$P$4))&gt;=30,$P$4&lt;&gt;"",D17&lt;&gt;""),SUM((INDEX(Table3[%],MATCH(DAYS360(Houses!$B$1,$P$4),Table3[FBC Day 1],1))-1)),""),"")</f>
        <v/>
      </c>
      <c r="Y59" s="134" t="str">
        <f t="shared" ca="1" si="9"/>
        <v/>
      </c>
      <c r="Z59" s="134" t="str">
        <f t="shared" ca="1" si="10"/>
        <v/>
      </c>
      <c r="AA59" s="134" t="str">
        <f t="shared" ca="1" si="11"/>
        <v/>
      </c>
      <c r="AB59" s="139"/>
      <c r="AC59" s="139"/>
    </row>
    <row r="60" spans="1:30" s="140" customFormat="1" ht="15" customHeight="1">
      <c r="A60" s="464"/>
      <c r="B60" s="465"/>
      <c r="C60" s="465"/>
      <c r="D60" s="465"/>
      <c r="E60" s="465"/>
      <c r="F60" s="465"/>
      <c r="G60" s="465"/>
      <c r="H60" s="465"/>
      <c r="I60" s="465"/>
      <c r="J60" s="465"/>
      <c r="K60" s="465"/>
      <c r="L60" s="465"/>
      <c r="M60" s="466"/>
      <c r="N60" s="442" t="s">
        <v>7298</v>
      </c>
      <c r="O60" s="442"/>
      <c r="P60" s="147"/>
      <c r="Q60" s="147"/>
      <c r="R60" s="147"/>
      <c r="S60" s="148"/>
      <c r="T60" s="148"/>
      <c r="U60" s="148"/>
      <c r="V60" s="133" t="str">
        <f t="shared" si="8"/>
        <v/>
      </c>
      <c r="W60" s="134" t="str">
        <f>IFERROR(IF(AND((DAYS360(Houses!$B$1,$P$4))&gt;=30,$P$4&lt;&gt;"",D18&lt;&gt;""),((SUM(O18:S18)-R18-33000)*X60+1000),""),"")</f>
        <v/>
      </c>
      <c r="X60" s="145" t="str">
        <f>IFERROR(IF(AND((DAYS360(Houses!$B$1,$P$4))&gt;=30,$P$4&lt;&gt;"",D18&lt;&gt;""),SUM((INDEX(Table3[%],MATCH(DAYS360(Houses!$B$1,$P$4),Table3[FBC Day 1],1))-1)),""),"")</f>
        <v/>
      </c>
      <c r="Y60" s="134" t="str">
        <f t="shared" ca="1" si="9"/>
        <v/>
      </c>
      <c r="Z60" s="134" t="str">
        <f t="shared" ca="1" si="10"/>
        <v/>
      </c>
      <c r="AA60" s="134" t="str">
        <f t="shared" ca="1" si="11"/>
        <v/>
      </c>
      <c r="AB60" s="139"/>
      <c r="AC60" s="139"/>
    </row>
    <row r="61" spans="1:30" s="140" customFormat="1">
      <c r="A61" s="467" t="s">
        <v>10859</v>
      </c>
      <c r="B61" s="468"/>
      <c r="C61" s="468"/>
      <c r="D61" s="468"/>
      <c r="E61" s="468"/>
      <c r="F61" s="468"/>
      <c r="G61" s="468"/>
      <c r="H61" s="468"/>
      <c r="I61" s="468"/>
      <c r="J61" s="468"/>
      <c r="K61" s="468"/>
      <c r="L61" s="468"/>
      <c r="M61" s="469"/>
      <c r="N61" s="109"/>
      <c r="P61" s="147"/>
      <c r="Q61" s="147"/>
      <c r="R61" s="147"/>
      <c r="S61" s="147"/>
      <c r="T61" s="147"/>
      <c r="U61" s="147"/>
      <c r="V61" s="133" t="str">
        <f t="shared" si="8"/>
        <v/>
      </c>
      <c r="W61" s="134" t="str">
        <f>IFERROR(IF(AND((DAYS360(Houses!$B$1,$P$4))&gt;=30,$P$4&lt;&gt;"",D19&lt;&gt;""),((SUM(O19:S19)-R19-33000)*X61+1000),""),"")</f>
        <v/>
      </c>
      <c r="X61" s="145" t="str">
        <f>IFERROR(IF(AND((DAYS360(Houses!$B$1,$P$4))&gt;=30,$P$4&lt;&gt;"",D19&lt;&gt;""),SUM((INDEX(Table3[%],MATCH(DAYS360(Houses!$B$1,$P$4),Table3[FBC Day 1],1))-1)),""),"")</f>
        <v/>
      </c>
      <c r="Y61" s="134" t="str">
        <f t="shared" ca="1" si="9"/>
        <v/>
      </c>
      <c r="Z61" s="134" t="str">
        <f t="shared" ca="1" si="10"/>
        <v/>
      </c>
      <c r="AA61" s="134" t="str">
        <f t="shared" ca="1" si="11"/>
        <v/>
      </c>
      <c r="AB61" s="139"/>
      <c r="AC61" s="139"/>
    </row>
    <row r="62" spans="1:30" s="140" customFormat="1">
      <c r="A62" s="467"/>
      <c r="B62" s="468"/>
      <c r="C62" s="468"/>
      <c r="D62" s="468"/>
      <c r="E62" s="468"/>
      <c r="F62" s="468"/>
      <c r="G62" s="468"/>
      <c r="H62" s="468"/>
      <c r="I62" s="468"/>
      <c r="J62" s="468"/>
      <c r="K62" s="468"/>
      <c r="L62" s="468"/>
      <c r="M62" s="469"/>
      <c r="N62" s="109"/>
      <c r="P62" s="150"/>
      <c r="Q62" s="150"/>
      <c r="R62" s="150"/>
      <c r="S62" s="150"/>
      <c r="T62" s="150"/>
      <c r="U62" s="150"/>
      <c r="V62" s="133" t="str">
        <f t="shared" si="8"/>
        <v/>
      </c>
      <c r="W62" s="134" t="str">
        <f>IFERROR(IF(AND((DAYS360(Houses!$B$1,$P$4))&gt;=30,$P$4&lt;&gt;"",D20&lt;&gt;""),((SUM(O20:S20)-R20-33000)*X62+1000),""),"")</f>
        <v/>
      </c>
      <c r="X62" s="145" t="str">
        <f>IFERROR(IF(AND((DAYS360(Houses!$B$1,$P$4))&gt;=30,$P$4&lt;&gt;"",D20&lt;&gt;""),SUM((INDEX(Table3[%],MATCH(DAYS360(Houses!$B$1,$P$4),Table3[FBC Day 1],1))-1)),""),"")</f>
        <v/>
      </c>
      <c r="Y62" s="134" t="str">
        <f t="shared" ca="1" si="9"/>
        <v/>
      </c>
      <c r="Z62" s="134" t="str">
        <f t="shared" ca="1" si="10"/>
        <v/>
      </c>
      <c r="AA62" s="134" t="str">
        <f t="shared" ca="1" si="11"/>
        <v/>
      </c>
      <c r="AB62" s="139"/>
      <c r="AC62" s="139"/>
    </row>
    <row r="63" spans="1:30" s="140" customFormat="1" ht="13.5" thickBot="1">
      <c r="A63" s="450"/>
      <c r="B63" s="451"/>
      <c r="C63" s="451"/>
      <c r="D63" s="451"/>
      <c r="E63" s="451"/>
      <c r="F63" s="451"/>
      <c r="G63" s="451"/>
      <c r="H63" s="451"/>
      <c r="I63" s="451"/>
      <c r="J63" s="451"/>
      <c r="K63" s="451"/>
      <c r="L63" s="451"/>
      <c r="M63" s="452"/>
      <c r="N63" s="109"/>
      <c r="P63" s="489" t="s">
        <v>9205</v>
      </c>
      <c r="Q63" s="489"/>
      <c r="R63" s="489"/>
      <c r="S63" s="489"/>
      <c r="T63" s="489"/>
      <c r="U63" s="489"/>
      <c r="X63" s="151"/>
      <c r="Y63" s="109"/>
      <c r="Z63" s="139"/>
      <c r="AA63" s="139"/>
      <c r="AB63" s="139"/>
      <c r="AC63" s="139"/>
    </row>
    <row r="77" spans="1:24" s="127" customFormat="1">
      <c r="A77" s="109"/>
      <c r="B77" s="109"/>
      <c r="C77" s="109"/>
      <c r="D77" s="109"/>
      <c r="E77" s="110"/>
      <c r="F77" s="109"/>
      <c r="G77" s="109"/>
      <c r="H77" s="109"/>
      <c r="I77" s="109"/>
      <c r="J77" s="109"/>
      <c r="K77" s="109"/>
      <c r="L77" s="109"/>
      <c r="M77" s="109"/>
      <c r="N77" s="109"/>
      <c r="O77" s="109"/>
      <c r="P77" s="109"/>
      <c r="Q77" s="109"/>
      <c r="R77" s="109"/>
      <c r="S77" s="109"/>
      <c r="T77" s="109"/>
      <c r="U77" s="109"/>
      <c r="V77" s="109"/>
      <c r="W77" s="109"/>
      <c r="X77" s="109"/>
    </row>
  </sheetData>
  <sheetProtection algorithmName="SHA-512" hashValue="kNUcoArYlsg7P0b5pKbqhpUY+eHunxoz25h96OV6rdQwBeFhcrtzqfJlHUY2iO4rCLExouWlj3QjNzywh4CqAw==" saltValue="gdwuI6KiWCkFbkKcnTPOew==" spinCount="100000" sheet="1" objects="1" scenarios="1" formatRows="0" insertRows="0" deleteRows="0"/>
  <dataConsolidate/>
  <mergeCells count="101">
    <mergeCell ref="A1:Y1"/>
    <mergeCell ref="A3:B3"/>
    <mergeCell ref="R3:T3"/>
    <mergeCell ref="W3:X3"/>
    <mergeCell ref="C3:F3"/>
    <mergeCell ref="N3:O3"/>
    <mergeCell ref="R4:T4"/>
    <mergeCell ref="C4:F4"/>
    <mergeCell ref="C5:F5"/>
    <mergeCell ref="W5:X5"/>
    <mergeCell ref="Z8:Z9"/>
    <mergeCell ref="A8:Y8"/>
    <mergeCell ref="A9:N9"/>
    <mergeCell ref="O9:P9"/>
    <mergeCell ref="R9:T9"/>
    <mergeCell ref="W9:Y9"/>
    <mergeCell ref="O26:X26"/>
    <mergeCell ref="AA9:AH9"/>
    <mergeCell ref="W4:X4"/>
    <mergeCell ref="A5:B5"/>
    <mergeCell ref="N4:O4"/>
    <mergeCell ref="R5:T5"/>
    <mergeCell ref="A4:B4"/>
    <mergeCell ref="N5:O5"/>
    <mergeCell ref="R6:T6"/>
    <mergeCell ref="N6:O6"/>
    <mergeCell ref="O27:X27"/>
    <mergeCell ref="A27:L27"/>
    <mergeCell ref="O28:X28"/>
    <mergeCell ref="A28:L28"/>
    <mergeCell ref="O29:X29"/>
    <mergeCell ref="A26:L26"/>
    <mergeCell ref="A22:E22"/>
    <mergeCell ref="O22:Q22"/>
    <mergeCell ref="A24:L24"/>
    <mergeCell ref="O24:X24"/>
    <mergeCell ref="A25:L25"/>
    <mergeCell ref="O25:X25"/>
    <mergeCell ref="O42:X42"/>
    <mergeCell ref="O38:R39"/>
    <mergeCell ref="S38:V39"/>
    <mergeCell ref="O35:X35"/>
    <mergeCell ref="A36:L36"/>
    <mergeCell ref="O36:X36"/>
    <mergeCell ref="A37:L37"/>
    <mergeCell ref="A38:L38"/>
    <mergeCell ref="A29:L29"/>
    <mergeCell ref="O30:X30"/>
    <mergeCell ref="A30:L30"/>
    <mergeCell ref="O31:X31"/>
    <mergeCell ref="A31:L31"/>
    <mergeCell ref="A32:L32"/>
    <mergeCell ref="O32:X32"/>
    <mergeCell ref="A33:L33"/>
    <mergeCell ref="O33:X33"/>
    <mergeCell ref="A48:L48"/>
    <mergeCell ref="O48:X48"/>
    <mergeCell ref="A49:L49"/>
    <mergeCell ref="O49:X49"/>
    <mergeCell ref="A62:M62"/>
    <mergeCell ref="A63:M63"/>
    <mergeCell ref="P63:U63"/>
    <mergeCell ref="A60:M60"/>
    <mergeCell ref="N60:O60"/>
    <mergeCell ref="A61:M61"/>
    <mergeCell ref="A59:C59"/>
    <mergeCell ref="A50:L50"/>
    <mergeCell ref="O50:X50"/>
    <mergeCell ref="N52:O52"/>
    <mergeCell ref="P52:Q52"/>
    <mergeCell ref="A53:B53"/>
    <mergeCell ref="A54:M54"/>
    <mergeCell ref="A55:M55"/>
    <mergeCell ref="A56:M56"/>
    <mergeCell ref="A57:M57"/>
    <mergeCell ref="P53:R54"/>
    <mergeCell ref="S53:U54"/>
    <mergeCell ref="A44:L44"/>
    <mergeCell ref="O47:X47"/>
    <mergeCell ref="O44:X44"/>
    <mergeCell ref="K3:M3"/>
    <mergeCell ref="K4:M4"/>
    <mergeCell ref="K5:M5"/>
    <mergeCell ref="G3:I3"/>
    <mergeCell ref="G4:I4"/>
    <mergeCell ref="G5:I5"/>
    <mergeCell ref="A45:L45"/>
    <mergeCell ref="O45:X45"/>
    <mergeCell ref="A46:L46"/>
    <mergeCell ref="O46:X46"/>
    <mergeCell ref="A43:L43"/>
    <mergeCell ref="O43:X43"/>
    <mergeCell ref="A35:L35"/>
    <mergeCell ref="A47:L47"/>
    <mergeCell ref="A34:L34"/>
    <mergeCell ref="O34:X34"/>
    <mergeCell ref="A39:L39"/>
    <mergeCell ref="A40:L40"/>
    <mergeCell ref="A41:L41"/>
    <mergeCell ref="O41:X41"/>
    <mergeCell ref="A42:L42"/>
  </mergeCells>
  <phoneticPr fontId="2" type="noConversion"/>
  <conditionalFormatting sqref="I11:J20">
    <cfRule type="containsText" dxfId="236" priority="44" operator="containsText" text="Yes">
      <formula>NOT(ISERROR(SEARCH("Yes",I11)))</formula>
    </cfRule>
  </conditionalFormatting>
  <conditionalFormatting sqref="A40:L40">
    <cfRule type="expression" dxfId="235" priority="43" stopIfTrue="1">
      <formula>$A$40&lt;&gt;""</formula>
    </cfRule>
  </conditionalFormatting>
  <conditionalFormatting sqref="U4">
    <cfRule type="expression" dxfId="234" priority="42">
      <formula>U4=""</formula>
    </cfRule>
  </conditionalFormatting>
  <conditionalFormatting sqref="P3">
    <cfRule type="expression" dxfId="233" priority="38">
      <formula>(P3="")</formula>
    </cfRule>
  </conditionalFormatting>
  <conditionalFormatting sqref="Y4">
    <cfRule type="expression" dxfId="232" priority="37">
      <formula>AND((OR(K4="Bendigo 3550",K4="Ballarat 3350",K4="Curlewis 3222")),Y4="")</formula>
    </cfRule>
  </conditionalFormatting>
  <conditionalFormatting sqref="Y3:Y4">
    <cfRule type="expression" dxfId="231" priority="34">
      <formula>(Y3="")</formula>
    </cfRule>
    <cfRule type="expression" dxfId="230" priority="35">
      <formula>Y3&gt;=3</formula>
    </cfRule>
    <cfRule type="expression" dxfId="229" priority="36">
      <formula>AND(Y3&gt;=2,Y3&lt;3)</formula>
    </cfRule>
  </conditionalFormatting>
  <conditionalFormatting sqref="U3">
    <cfRule type="expression" dxfId="228" priority="31">
      <formula>OR(U3="",U3="Yes")</formula>
    </cfRule>
  </conditionalFormatting>
  <conditionalFormatting sqref="H11:H20">
    <cfRule type="cellIs" dxfId="227" priority="30" operator="between">
      <formula>1</formula>
      <formula>300</formula>
    </cfRule>
  </conditionalFormatting>
  <conditionalFormatting sqref="M11:M20">
    <cfRule type="expression" dxfId="226" priority="29">
      <formula>AND(OR($M11="Whitlam",$M11="Traditional"),$H11&lt;301)</formula>
    </cfRule>
  </conditionalFormatting>
  <conditionalFormatting sqref="AC11:AC20">
    <cfRule type="expression" dxfId="225" priority="28">
      <formula>AND($C$4&lt;&gt;"",COUNTIF(Rock,$C$4)&gt;0)</formula>
    </cfRule>
  </conditionalFormatting>
  <conditionalFormatting sqref="Y5">
    <cfRule type="expression" dxfId="224" priority="22">
      <formula>OR(Y5="",Y5="No")</formula>
    </cfRule>
  </conditionalFormatting>
  <conditionalFormatting sqref="L11:L20">
    <cfRule type="containsText" dxfId="223" priority="21" operator="containsText" text="Yes">
      <formula>NOT(ISERROR(SEARCH("Yes",L11)))</formula>
    </cfRule>
  </conditionalFormatting>
  <conditionalFormatting sqref="S38:V39">
    <cfRule type="expression" dxfId="222" priority="20">
      <formula>MATCH("Yes",$L$11:$L$20,0)</formula>
    </cfRule>
  </conditionalFormatting>
  <conditionalFormatting sqref="P4">
    <cfRule type="expression" dxfId="221" priority="45">
      <formula>OR(AND(P4="",P3&lt;&gt;"Yes"),P4&lt;=TODAY())</formula>
    </cfRule>
  </conditionalFormatting>
  <conditionalFormatting sqref="O50:Y50">
    <cfRule type="expression" dxfId="220" priority="16">
      <formula>$O$50&lt;&gt;""</formula>
    </cfRule>
  </conditionalFormatting>
  <conditionalFormatting sqref="F11:F20">
    <cfRule type="cellIs" dxfId="219" priority="58" operator="between">
      <formula>1</formula>
      <formula>11</formula>
    </cfRule>
  </conditionalFormatting>
  <conditionalFormatting sqref="P5:P6">
    <cfRule type="expression" dxfId="218" priority="9">
      <formula>(P5="")</formula>
    </cfRule>
  </conditionalFormatting>
  <conditionalFormatting sqref="P6">
    <cfRule type="expression" dxfId="217" priority="6">
      <formula>(P6="")</formula>
    </cfRule>
  </conditionalFormatting>
  <conditionalFormatting sqref="U6">
    <cfRule type="expression" dxfId="216" priority="3">
      <formula>U6&lt;&gt;""</formula>
    </cfRule>
    <cfRule type="expression" dxfId="215" priority="4">
      <formula>AND(P6="Yes",OR(U6="",U6="No"))</formula>
    </cfRule>
  </conditionalFormatting>
  <conditionalFormatting sqref="G11:G20">
    <cfRule type="cellIs" dxfId="214" priority="1" operator="between">
      <formula>1</formula>
      <formula>11</formula>
    </cfRule>
  </conditionalFormatting>
  <dataValidations count="9">
    <dataValidation type="list" allowBlank="1" showInputMessage="1" showErrorMessage="1" sqref="B11:B20" xr:uid="{ABF1EA39-995F-48A2-9C0F-EBF433C21562}">
      <formula1>INDIRECT("dd"&amp;A11)</formula1>
    </dataValidation>
    <dataValidation type="list" allowBlank="1" showInputMessage="1" showErrorMessage="1" sqref="A11:A20" xr:uid="{E83934C4-4C77-490C-87EC-718D6142A08A}">
      <formula1>ddBDM</formula1>
    </dataValidation>
    <dataValidation type="list" allowBlank="1" showInputMessage="1" showErrorMessage="1" sqref="P52:Q52" xr:uid="{76ECF707-FE6B-40C7-87FC-EC25D1DC06CF}">
      <formula1>Sales_Estimator</formula1>
    </dataValidation>
    <dataValidation type="list" allowBlank="1" showInputMessage="1" showErrorMessage="1" sqref="U3:U4 P3 U6 Y5 P5:P6 I11:I20" xr:uid="{D7668336-9FEA-4B75-B777-C35D03F15715}">
      <formula1>"Yes, No"</formula1>
    </dataValidation>
    <dataValidation type="list" allowBlank="1" showInputMessage="1" sqref="O41:X41 O24:X25 O27:X36" xr:uid="{847A58D7-53A7-47F2-9E03-36345F1D6A10}">
      <formula1>ddUpgrades</formula1>
    </dataValidation>
    <dataValidation type="list" allowBlank="1" showInputMessage="1" sqref="AF11:AF20" xr:uid="{C7112171-5B32-44EF-9032-8A9BA69DD224}">
      <formula1>"Yes,No"</formula1>
    </dataValidation>
    <dataValidation type="date" allowBlank="1" showInputMessage="1" showErrorMessage="1" sqref="P4" xr:uid="{355ACD77-3120-483F-BB7D-C46125954021}">
      <formula1>1</formula1>
      <formula2>117610</formula2>
    </dataValidation>
    <dataValidation type="list" allowBlank="1" showInputMessage="1" showErrorMessage="1" sqref="J11:J20" xr:uid="{91CD355C-2BAA-4C38-9E67-F514177BC47D}">
      <formula1>"N, NE, E, SE, S, SW, W, NW"</formula1>
    </dataValidation>
    <dataValidation type="list" allowBlank="1" showInputMessage="1" showErrorMessage="1" sqref="L11:L20" xr:uid="{CDDAEDAA-0B30-4D91-AB99-AE7604626CD1}">
      <formula1>"Left, Right"</formula1>
    </dataValidation>
  </dataValidations>
  <pageMargins left="0.23622047244094491" right="0.23622047244094491" top="0.15748031496062992" bottom="0.15748031496062992" header="0.31496062992125984" footer="0.31496062992125984"/>
  <pageSetup paperSize="8"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bUnProtectAll">
                <anchor moveWithCells="1" sizeWithCells="1">
                  <from>
                    <xdr:col>25</xdr:col>
                    <xdr:colOff>66675</xdr:colOff>
                    <xdr:row>0</xdr:row>
                    <xdr:rowOff>66675</xdr:rowOff>
                  </from>
                  <to>
                    <xdr:col>28</xdr:col>
                    <xdr:colOff>38100</xdr:colOff>
                    <xdr:row>2</xdr:row>
                    <xdr:rowOff>180975</xdr:rowOff>
                  </to>
                </anchor>
              </controlPr>
            </control>
          </mc:Choice>
        </mc:AlternateContent>
        <mc:AlternateContent xmlns:mc="http://schemas.openxmlformats.org/markup-compatibility/2006">
          <mc:Choice Requires="x14">
            <control shapeId="5124" r:id="rId5" name="Button 4">
              <controlPr defaultSize="0" print="0" autoFill="0" autoPict="0" macro="[0]!sbProtectAllSheets">
                <anchor moveWithCells="1" sizeWithCells="1">
                  <from>
                    <xdr:col>25</xdr:col>
                    <xdr:colOff>66675</xdr:colOff>
                    <xdr:row>3</xdr:row>
                    <xdr:rowOff>28575</xdr:rowOff>
                  </from>
                  <to>
                    <xdr:col>28</xdr:col>
                    <xdr:colOff>38100</xdr:colOff>
                    <xdr:row>6</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69" id="{EC23B5EB-0804-46A1-B77E-83C279A4603E}">
            <xm:f>AND($F11&lt;&gt;"",_xlfn.XLOOKUP($K11,Houses!$A$4:$A$329,Houses!$D$4:$D$329)&gt;$F11,$AF11&lt;&gt;"Yes")</xm:f>
            <x14:dxf>
              <fill>
                <patternFill>
                  <bgColor rgb="FFFF0000"/>
                </patternFill>
              </fill>
            </x14:dxf>
          </x14:cfRule>
          <xm:sqref>A11:E20 H11:Y20</xm:sqref>
        </x14:conditionalFormatting>
        <x14:conditionalFormatting xmlns:xm="http://schemas.microsoft.com/office/excel/2006/main">
          <x14:cfRule type="expression" priority="2671" id="{7764CF91-C1EB-427A-8C8F-976582F27697}">
            <xm:f>AND($G11&lt;&gt;"",_xlfn.XLOOKUP($K11,Houses!$A$4:$A$329,Houses!$E$4:$E$329)&gt;$G11,$AF11&lt;&gt;"Yes")</xm:f>
            <x14:dxf>
              <fill>
                <patternFill>
                  <bgColor rgb="FFFF0000"/>
                </patternFill>
              </fill>
            </x14:dxf>
          </x14:cfRule>
          <xm:sqref>A11:Y20</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A57EE17D-F459-4686-9C23-4140F2C3EA41}">
          <x14:formula1>
            <xm:f>_xlfn.ANCHORARRAY(Houses!$AH$4)</xm:f>
          </x14:formula1>
          <xm:sqref>K11:K20</xm:sqref>
        </x14:dataValidation>
        <x14:dataValidation type="list" allowBlank="1" showInputMessage="1" showErrorMessage="1" xr:uid="{533E6C03-0F93-43D7-A31E-0C2787FE00B5}">
          <x14:formula1>
            <xm:f>_xlfn.ANCHORARRAY(Houses!$AI$4)</xm:f>
          </x14:formula1>
          <xm:sqref>M11</xm:sqref>
        </x14:dataValidation>
        <x14:dataValidation type="list" allowBlank="1" showErrorMessage="1" errorTitle="Estate" error="Save:_x000a_- Design Guidelines_x000a_- Engineering_x000a_- POS_x000a_- MCPs_x000a_- Compaction Report_x000a__x000a_Email Estimator:_x000a_- Estate_x000a_- Stage/s_x000a_- Developer_x000a_- Contact_x000a_- Contact mobile_x000a_- Contact email" xr:uid="{E5E8EE6C-C014-4C43-BBEE-5954ED1CCA56}">
          <x14:formula1>
            <xm:f>_xlfn.ANCHORARRAY(ESTATES!$AL$11)</xm:f>
          </x14:formula1>
          <xm:sqref>C3</xm:sqref>
        </x14:dataValidation>
        <x14:dataValidation type="list" allowBlank="1" showInputMessage="1" showErrorMessage="1" errorTitle="Stage" error="Save:_x000a_- Design Guidelines_x000a_- Engineering_x000a_- POS_x000a_- MCPs_x000a_- Compaction Report_x000a__x000a_Email Estimator:_x000a_- Stage" xr:uid="{9223B2B2-422C-43DB-A725-7C4F89BCC650}">
          <x14:formula1>
            <xm:f>_xlfn.ANCHORARRAY(ESTATES!$AM$11)</xm:f>
          </x14:formula1>
          <xm:sqref>C11:C20</xm:sqref>
        </x14:dataValidation>
        <x14:dataValidation type="list" allowBlank="1" showInputMessage="1" showErrorMessage="1" xr:uid="{F8754B59-0E0D-4835-A2BC-39CEB319F6F6}">
          <x14:formula1>
            <xm:f>_xlfn.ANCHORARRAY(Houses!$AJ$4)</xm:f>
          </x14:formula1>
          <xm:sqref>M12</xm:sqref>
        </x14:dataValidation>
        <x14:dataValidation type="list" allowBlank="1" showInputMessage="1" showErrorMessage="1" xr:uid="{4095C5D2-3101-4AAF-9165-D73CDBE30770}">
          <x14:formula1>
            <xm:f>_xlfn.ANCHORARRAY(Houses!$AK$4)</xm:f>
          </x14:formula1>
          <xm:sqref>M13</xm:sqref>
        </x14:dataValidation>
        <x14:dataValidation type="list" allowBlank="1" showInputMessage="1" showErrorMessage="1" xr:uid="{B3A8B4C3-FFDE-4C35-8FB1-D64316F76080}">
          <x14:formula1>
            <xm:f>_xlfn.ANCHORARRAY(Houses!$AL$4)</xm:f>
          </x14:formula1>
          <xm:sqref>M14</xm:sqref>
        </x14:dataValidation>
        <x14:dataValidation type="list" allowBlank="1" showInputMessage="1" showErrorMessage="1" xr:uid="{F3AB626B-99D5-4B2D-9547-91051DACDECA}">
          <x14:formula1>
            <xm:f>_xlfn.ANCHORARRAY(Houses!$AM$4)</xm:f>
          </x14:formula1>
          <xm:sqref>M15</xm:sqref>
        </x14:dataValidation>
        <x14:dataValidation type="list" allowBlank="1" showInputMessage="1" showErrorMessage="1" xr:uid="{BAB0A377-6D87-4478-BE53-D80AF95D42F8}">
          <x14:formula1>
            <xm:f>_xlfn.ANCHORARRAY(Houses!$AN$4)</xm:f>
          </x14:formula1>
          <xm:sqref>M16</xm:sqref>
        </x14:dataValidation>
        <x14:dataValidation type="list" allowBlank="1" showInputMessage="1" showErrorMessage="1" xr:uid="{7A505BCE-8208-4E76-8366-7DDEECEF99AD}">
          <x14:formula1>
            <xm:f>_xlfn.ANCHORARRAY(Houses!$AO$4)</xm:f>
          </x14:formula1>
          <xm:sqref>M17</xm:sqref>
        </x14:dataValidation>
        <x14:dataValidation type="list" allowBlank="1" showInputMessage="1" showErrorMessage="1" xr:uid="{A24BB8E8-F695-4546-B46F-D3604F59E35D}">
          <x14:formula1>
            <xm:f>_xlfn.ANCHORARRAY(Houses!$AP$4)</xm:f>
          </x14:formula1>
          <xm:sqref>M18</xm:sqref>
        </x14:dataValidation>
        <x14:dataValidation type="list" allowBlank="1" showInputMessage="1" showErrorMessage="1" xr:uid="{116D84F5-1CE1-44D8-9A4D-C21829B4382F}">
          <x14:formula1>
            <xm:f>_xlfn.ANCHORARRAY(Houses!$AQ$4)</xm:f>
          </x14:formula1>
          <xm:sqref>M19</xm:sqref>
        </x14:dataValidation>
        <x14:dataValidation type="list" allowBlank="1" showInputMessage="1" showErrorMessage="1" xr:uid="{AD7E949C-C20D-4504-8FB7-0AFD8110B53D}">
          <x14:formula1>
            <xm:f>_xlfn.ANCHORARRAY(Houses!$AR$4)</xm:f>
          </x14:formula1>
          <xm:sqref>M20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826A8-2F2A-45BF-A051-79B0A29886E3}">
  <dimension ref="A1:T136"/>
  <sheetViews>
    <sheetView showGridLines="0" zoomScale="85" zoomScaleNormal="85" workbookViewId="0">
      <selection activeCell="B3" sqref="B3:E3"/>
    </sheetView>
  </sheetViews>
  <sheetFormatPr defaultColWidth="9.140625" defaultRowHeight="15"/>
  <cols>
    <col min="1" max="1" width="27.5703125" style="83" customWidth="1"/>
    <col min="2" max="2" width="21.42578125" style="83" customWidth="1"/>
    <col min="3" max="3" width="14.42578125" style="83" customWidth="1"/>
    <col min="4" max="4" width="19.140625" style="83" customWidth="1"/>
    <col min="5" max="5" width="16.85546875" style="83" customWidth="1"/>
    <col min="6" max="6" width="32.5703125" style="83" customWidth="1"/>
    <col min="7" max="7" width="46.42578125" style="83" customWidth="1"/>
    <col min="8" max="8" width="3.85546875" style="83" hidden="1" customWidth="1"/>
    <col min="9" max="9" width="4.42578125" style="83" hidden="1" customWidth="1"/>
    <col min="10" max="10" width="9.42578125" style="83" hidden="1" customWidth="1"/>
    <col min="11" max="11" width="10.85546875" style="218" hidden="1" customWidth="1"/>
    <col min="12" max="12" width="10.140625" style="218" hidden="1" customWidth="1"/>
    <col min="13" max="13" width="10.42578125" style="218" hidden="1" customWidth="1"/>
    <col min="14" max="14" width="14.140625" style="218" hidden="1" customWidth="1"/>
    <col min="15" max="15" width="14.85546875" style="218" hidden="1" customWidth="1"/>
    <col min="16" max="16" width="15.5703125" style="218" hidden="1" customWidth="1"/>
    <col min="17" max="17" width="16.42578125" style="218" hidden="1" customWidth="1"/>
    <col min="18" max="18" width="13" style="218" hidden="1" customWidth="1"/>
    <col min="19" max="19" width="12.85546875" style="83" hidden="1" customWidth="1"/>
    <col min="20" max="20" width="9.140625" style="83" customWidth="1"/>
    <col min="21" max="16384" width="9.140625" style="83"/>
  </cols>
  <sheetData>
    <row r="1" spans="1:20" ht="33.75" customHeight="1">
      <c r="A1" s="503" t="s">
        <v>9094</v>
      </c>
      <c r="B1" s="587"/>
      <c r="C1" s="587"/>
      <c r="D1" s="587"/>
      <c r="E1" s="587"/>
      <c r="F1" s="587"/>
      <c r="G1" s="587"/>
      <c r="J1" s="218"/>
      <c r="L1" s="219" t="s">
        <v>9095</v>
      </c>
      <c r="S1" s="218"/>
      <c r="T1" s="218"/>
    </row>
    <row r="2" spans="1:20" ht="24" thickBot="1">
      <c r="A2" s="503" t="s">
        <v>9096</v>
      </c>
      <c r="B2" s="587"/>
      <c r="C2" s="587"/>
      <c r="D2" s="587"/>
      <c r="E2" s="587"/>
      <c r="F2" s="587"/>
      <c r="G2" s="587"/>
      <c r="J2" s="218"/>
      <c r="K2" s="218" t="s">
        <v>9097</v>
      </c>
      <c r="L2" s="83" t="s">
        <v>9098</v>
      </c>
      <c r="S2" s="218"/>
      <c r="T2" s="218"/>
    </row>
    <row r="3" spans="1:20" ht="27" customHeight="1" thickBot="1">
      <c r="A3" s="220" t="s">
        <v>9099</v>
      </c>
      <c r="B3" s="588">
        <f>IFERROR('Pricing Sheet'!D11,"")</f>
        <v>0</v>
      </c>
      <c r="C3" s="589"/>
      <c r="D3" s="589"/>
      <c r="E3" s="590"/>
      <c r="F3" s="220" t="s">
        <v>9100</v>
      </c>
      <c r="G3" s="221"/>
      <c r="J3" s="218"/>
      <c r="K3" s="218" t="s">
        <v>9036</v>
      </c>
      <c r="L3" s="83" t="s">
        <v>9101</v>
      </c>
      <c r="S3" s="218"/>
      <c r="T3" s="218"/>
    </row>
    <row r="4" spans="1:20" ht="27" customHeight="1" thickBot="1">
      <c r="A4" s="220" t="s">
        <v>7269</v>
      </c>
      <c r="B4" s="222">
        <f>IFERROR('Pricing Sheet'!K11,"")</f>
        <v>0</v>
      </c>
      <c r="C4" s="563" t="s">
        <v>9102</v>
      </c>
      <c r="D4" s="564"/>
      <c r="E4" s="223"/>
      <c r="F4" s="220" t="s">
        <v>9103</v>
      </c>
      <c r="G4" s="221"/>
      <c r="J4" s="218"/>
      <c r="L4" s="83" t="s">
        <v>9104</v>
      </c>
      <c r="S4" s="218"/>
      <c r="T4" s="218"/>
    </row>
    <row r="5" spans="1:20" ht="27" customHeight="1" thickBot="1">
      <c r="A5" s="224" t="s">
        <v>9105</v>
      </c>
      <c r="B5" s="222"/>
      <c r="C5" s="563" t="s">
        <v>9106</v>
      </c>
      <c r="D5" s="564"/>
      <c r="E5" s="225"/>
      <c r="F5" s="224" t="s">
        <v>9107</v>
      </c>
      <c r="G5" s="225"/>
      <c r="J5" s="218"/>
      <c r="L5" s="83" t="s">
        <v>9108</v>
      </c>
      <c r="S5" s="218"/>
      <c r="T5" s="218"/>
    </row>
    <row r="6" spans="1:20" ht="16.350000000000001" customHeight="1" thickBot="1">
      <c r="A6" s="226" t="s">
        <v>9109</v>
      </c>
      <c r="B6" s="225"/>
      <c r="C6" s="596" t="s">
        <v>7267</v>
      </c>
      <c r="D6" s="597"/>
      <c r="E6" s="225"/>
      <c r="F6" s="224" t="s">
        <v>9110</v>
      </c>
      <c r="G6" s="225"/>
      <c r="J6" s="218"/>
      <c r="S6" s="218"/>
      <c r="T6" s="218"/>
    </row>
    <row r="7" spans="1:20" ht="15.75" thickBot="1">
      <c r="A7" s="227" t="s">
        <v>9111</v>
      </c>
      <c r="B7" s="228"/>
      <c r="C7" s="594" t="s">
        <v>9112</v>
      </c>
      <c r="D7" s="595"/>
      <c r="E7" s="229"/>
      <c r="F7" s="230" t="s">
        <v>9113</v>
      </c>
      <c r="G7" s="225"/>
      <c r="J7" s="218"/>
      <c r="S7" s="218"/>
      <c r="T7" s="218"/>
    </row>
    <row r="8" spans="1:20" ht="23.25">
      <c r="A8" s="503" t="s">
        <v>9114</v>
      </c>
      <c r="B8" s="587"/>
      <c r="C8" s="587"/>
      <c r="D8" s="587"/>
      <c r="E8" s="587"/>
      <c r="F8" s="587"/>
      <c r="G8" s="587"/>
      <c r="J8" s="218"/>
      <c r="S8" s="218"/>
      <c r="T8" s="218"/>
    </row>
    <row r="9" spans="1:20" ht="15" customHeight="1" thickBot="1">
      <c r="A9" s="591" t="s">
        <v>9115</v>
      </c>
      <c r="B9" s="592"/>
      <c r="C9" s="592"/>
      <c r="D9" s="592"/>
      <c r="E9" s="592"/>
      <c r="F9" s="592"/>
      <c r="G9" s="593"/>
      <c r="I9" s="218"/>
      <c r="J9" s="218"/>
      <c r="S9" s="218"/>
      <c r="T9" s="218"/>
    </row>
    <row r="10" spans="1:20" ht="15.75" thickBot="1">
      <c r="A10" s="563" t="s">
        <v>9116</v>
      </c>
      <c r="B10" s="564"/>
      <c r="C10" s="231"/>
      <c r="D10" s="226" t="s">
        <v>9117</v>
      </c>
      <c r="E10" s="232" t="s">
        <v>9118</v>
      </c>
      <c r="F10" s="224" t="s">
        <v>9119</v>
      </c>
      <c r="G10" s="226" t="s">
        <v>9120</v>
      </c>
      <c r="I10" s="218"/>
      <c r="J10" s="218"/>
      <c r="S10" s="218"/>
      <c r="T10" s="218"/>
    </row>
    <row r="11" spans="1:20" ht="16.5" thickBot="1">
      <c r="A11" s="220" t="s">
        <v>9121</v>
      </c>
      <c r="B11" s="233"/>
      <c r="C11" s="226" t="s">
        <v>9122</v>
      </c>
      <c r="D11" s="233"/>
      <c r="E11" s="233"/>
      <c r="F11" s="234">
        <f>D11-E11</f>
        <v>0</v>
      </c>
      <c r="G11" s="235" t="s">
        <v>8629</v>
      </c>
      <c r="I11" s="218"/>
      <c r="J11" s="218"/>
      <c r="K11" s="218" t="b">
        <f>IF(F11&gt;2.001,1,IF(F12&gt;2.001,1))</f>
        <v>0</v>
      </c>
      <c r="L11" s="218" t="b">
        <f>IF(F11&gt;0.39,1,IF(F12&gt;0.39,1))</f>
        <v>0</v>
      </c>
      <c r="N11" s="218" t="b">
        <f>IF(B7="Single",IF(G6&lt;(1+(B13*0.49)),1))</f>
        <v>0</v>
      </c>
      <c r="O11" s="218" t="b">
        <f>IF(B7="Double",IF(G6&lt;(1.5+(B13*0.49)),1))</f>
        <v>0</v>
      </c>
      <c r="Q11" s="218" t="b">
        <f>IF(B7="Single",IF(G7&lt;(1+(B13*0.49)),1))</f>
        <v>0</v>
      </c>
      <c r="R11" s="218" t="b">
        <f>IF(B7="Double",IF(G7&lt;(1.5+(B13*0.49)),1))</f>
        <v>0</v>
      </c>
      <c r="S11" s="218"/>
      <c r="T11" s="218"/>
    </row>
    <row r="12" spans="1:20" ht="27" customHeight="1" thickBot="1">
      <c r="A12" s="224" t="s">
        <v>9123</v>
      </c>
      <c r="B12" s="236"/>
      <c r="C12" s="226" t="s">
        <v>9124</v>
      </c>
      <c r="D12" s="233"/>
      <c r="E12" s="233"/>
      <c r="F12" s="234">
        <f>D12-E12</f>
        <v>0</v>
      </c>
      <c r="G12" s="573" t="s">
        <v>9125</v>
      </c>
      <c r="I12" s="218"/>
      <c r="J12" s="218"/>
      <c r="K12" s="218" t="b">
        <f>IF(F13&gt;2.001,1,IF(F14&gt;2.001,1))</f>
        <v>0</v>
      </c>
      <c r="L12" s="218" t="b">
        <f>IF(F13&gt;0.39,1,IF(F14&gt;0.39,1))</f>
        <v>0</v>
      </c>
      <c r="N12" s="218" t="b">
        <f>IF(B7="Single",IF(G6&lt;(1+(B13*0.56)),1))</f>
        <v>0</v>
      </c>
      <c r="O12" s="218" t="b">
        <f>IF(B7="Double",IF(G6&lt;(1.5+(B13*0.56)),1))</f>
        <v>0</v>
      </c>
      <c r="Q12" s="218" t="b">
        <f>IF(B7="Single",IF(G7&lt;(1+(B13*0.56)),1))</f>
        <v>0</v>
      </c>
      <c r="R12" s="218" t="b">
        <f>IF(B7="Double",IF(G7&lt;(1.5+(B13*0.56)),1))</f>
        <v>0</v>
      </c>
      <c r="S12" s="218"/>
      <c r="T12" s="218"/>
    </row>
    <row r="13" spans="1:20" ht="16.350000000000001" customHeight="1" thickBot="1">
      <c r="A13" s="569" t="s">
        <v>9126</v>
      </c>
      <c r="B13" s="571">
        <f>IF(K15=1,3,B11-B12)*1000</f>
        <v>0</v>
      </c>
      <c r="C13" s="226" t="s">
        <v>9127</v>
      </c>
      <c r="D13" s="233"/>
      <c r="E13" s="233"/>
      <c r="F13" s="234">
        <f>D13-E13</f>
        <v>0</v>
      </c>
      <c r="G13" s="574"/>
      <c r="I13" s="218"/>
      <c r="J13" s="218"/>
      <c r="N13" s="218" t="b">
        <f>IF(B7="Single",IF(G6&lt;(1.5+(B13*0.56)),1))</f>
        <v>0</v>
      </c>
      <c r="O13" s="218" t="b">
        <f>IF(B7="Double",IF(G6&lt;(2+(B13*0.56)),1))</f>
        <v>0</v>
      </c>
      <c r="Q13" s="218" t="b">
        <f>IF(B7="Single",IF(G7&lt;(1.5+(B13*0.56)),1))</f>
        <v>0</v>
      </c>
      <c r="R13" s="218" t="b">
        <f>IF(B7="Double",IF(G7&lt;(2+(B13*0.56)),1))</f>
        <v>0</v>
      </c>
      <c r="S13" s="218"/>
      <c r="T13" s="218"/>
    </row>
    <row r="14" spans="1:20" ht="16.350000000000001" customHeight="1" thickBot="1">
      <c r="A14" s="570"/>
      <c r="B14" s="572"/>
      <c r="C14" s="226" t="s">
        <v>9128</v>
      </c>
      <c r="D14" s="233"/>
      <c r="E14" s="233"/>
      <c r="F14" s="234">
        <f>D14-E14</f>
        <v>0</v>
      </c>
      <c r="G14" s="237" t="s">
        <v>8629</v>
      </c>
      <c r="I14" s="218"/>
      <c r="J14" s="218"/>
      <c r="S14" s="218"/>
      <c r="T14" s="218"/>
    </row>
    <row r="15" spans="1:20" ht="21" customHeight="1">
      <c r="A15" s="575" t="s">
        <v>9129</v>
      </c>
      <c r="B15" s="575"/>
      <c r="C15" s="575"/>
      <c r="D15" s="575"/>
      <c r="E15" s="575"/>
      <c r="F15" s="575"/>
      <c r="G15" s="575"/>
      <c r="I15" s="218"/>
      <c r="J15" s="218"/>
      <c r="K15" s="218" t="b">
        <f>IF(K11=1,1,IF(K12=1,1))</f>
        <v>0</v>
      </c>
      <c r="L15" s="218" t="b">
        <f>IF(L11=1,1,IF(L12=1,1))</f>
        <v>0</v>
      </c>
      <c r="S15" s="218"/>
      <c r="T15" s="218"/>
    </row>
    <row r="16" spans="1:20" ht="98.25" customHeight="1" thickBot="1">
      <c r="A16" s="576" t="s">
        <v>9130</v>
      </c>
      <c r="B16" s="577"/>
      <c r="C16" s="577"/>
      <c r="D16" s="577"/>
      <c r="E16" s="577"/>
      <c r="F16" s="577"/>
      <c r="G16" s="578"/>
      <c r="I16" s="218"/>
      <c r="J16" s="218"/>
      <c r="S16" s="218"/>
      <c r="T16" s="218"/>
    </row>
    <row r="17" spans="1:20" ht="15.75" hidden="1" customHeight="1" thickBot="1">
      <c r="A17" s="579" t="s">
        <v>9131</v>
      </c>
      <c r="B17" s="580"/>
      <c r="C17" s="580"/>
      <c r="D17" s="238" t="s">
        <v>250</v>
      </c>
      <c r="E17" s="239" t="s">
        <v>251</v>
      </c>
      <c r="F17" s="583"/>
      <c r="G17" s="584"/>
      <c r="I17" s="218"/>
      <c r="J17" s="218"/>
      <c r="S17" s="218"/>
      <c r="T17" s="218"/>
    </row>
    <row r="18" spans="1:20" ht="15" hidden="1" customHeight="1">
      <c r="A18" s="581"/>
      <c r="B18" s="582"/>
      <c r="C18" s="582"/>
      <c r="D18" s="240">
        <f>30*B6</f>
        <v>0</v>
      </c>
      <c r="E18" s="241">
        <f>30*B6</f>
        <v>0</v>
      </c>
      <c r="F18" s="585" t="s">
        <v>9132</v>
      </c>
      <c r="G18" s="586"/>
      <c r="I18" s="218"/>
      <c r="J18" s="218"/>
      <c r="S18" s="218"/>
      <c r="T18" s="218"/>
    </row>
    <row r="19" spans="1:20" ht="15" hidden="1" customHeight="1">
      <c r="A19" s="581"/>
      <c r="B19" s="582"/>
      <c r="C19" s="582"/>
      <c r="D19" s="240">
        <v>1659</v>
      </c>
      <c r="E19" s="241">
        <v>1659</v>
      </c>
      <c r="F19" s="585" t="s">
        <v>9133</v>
      </c>
      <c r="G19" s="586"/>
      <c r="I19" s="218"/>
      <c r="J19" s="218"/>
      <c r="S19" s="218"/>
      <c r="T19" s="218"/>
    </row>
    <row r="20" spans="1:20" ht="15" hidden="1" customHeight="1">
      <c r="A20" s="581"/>
      <c r="B20" s="582"/>
      <c r="C20" s="582"/>
      <c r="D20" s="240">
        <v>0</v>
      </c>
      <c r="E20" s="241">
        <v>0</v>
      </c>
      <c r="F20" s="541" t="s">
        <v>9134</v>
      </c>
      <c r="G20" s="542"/>
      <c r="I20" s="218"/>
      <c r="J20" s="218"/>
      <c r="S20" s="218"/>
      <c r="T20" s="218"/>
    </row>
    <row r="21" spans="1:20" ht="15" hidden="1" customHeight="1">
      <c r="A21" s="581"/>
      <c r="B21" s="582"/>
      <c r="C21" s="582"/>
      <c r="D21" s="240"/>
      <c r="E21" s="241"/>
      <c r="F21" s="541" t="s">
        <v>9135</v>
      </c>
      <c r="G21" s="542"/>
      <c r="I21" s="218"/>
      <c r="J21" s="244" t="s">
        <v>9112</v>
      </c>
      <c r="K21" s="245" t="s">
        <v>9136</v>
      </c>
      <c r="S21" s="218"/>
      <c r="T21" s="218"/>
    </row>
    <row r="22" spans="1:20" ht="15" hidden="1" customHeight="1">
      <c r="A22" s="581"/>
      <c r="B22" s="582"/>
      <c r="C22" s="582"/>
      <c r="D22" s="246" t="b">
        <f>IF(E7=J22,9750)</f>
        <v>0</v>
      </c>
      <c r="E22" s="246" t="b">
        <f>IF(E7=J22,9750)</f>
        <v>0</v>
      </c>
      <c r="F22" s="247"/>
      <c r="G22" s="247"/>
      <c r="I22" s="218"/>
      <c r="J22" s="248">
        <v>3023</v>
      </c>
      <c r="K22" s="248">
        <v>9750</v>
      </c>
      <c r="S22" s="218"/>
      <c r="T22" s="218"/>
    </row>
    <row r="23" spans="1:20" ht="15" hidden="1" customHeight="1">
      <c r="A23" s="581"/>
      <c r="B23" s="582"/>
      <c r="C23" s="582"/>
      <c r="D23" s="246" t="b">
        <f>IF(E7=J23,1500)</f>
        <v>0</v>
      </c>
      <c r="E23" s="246" t="b">
        <f>IF(E7=J23,1500)</f>
        <v>0</v>
      </c>
      <c r="F23" s="247"/>
      <c r="G23" s="247"/>
      <c r="I23" s="218"/>
      <c r="J23" s="248">
        <v>3024</v>
      </c>
      <c r="K23" s="248">
        <v>1500</v>
      </c>
      <c r="S23" s="218"/>
      <c r="T23" s="218"/>
    </row>
    <row r="24" spans="1:20" ht="15" hidden="1" customHeight="1">
      <c r="A24" s="581"/>
      <c r="B24" s="582"/>
      <c r="C24" s="582"/>
      <c r="D24" s="246" t="b">
        <f>IF(E7=J24,1500)</f>
        <v>0</v>
      </c>
      <c r="E24" s="246" t="b">
        <f>IF(E7=J24,1500)</f>
        <v>0</v>
      </c>
      <c r="F24" s="247"/>
      <c r="G24" s="247"/>
      <c r="I24" s="218"/>
      <c r="J24" s="248">
        <v>3027</v>
      </c>
      <c r="K24" s="248">
        <v>1500</v>
      </c>
      <c r="S24" s="218"/>
      <c r="T24" s="218"/>
    </row>
    <row r="25" spans="1:20" ht="15" hidden="1" customHeight="1">
      <c r="A25" s="581"/>
      <c r="B25" s="582"/>
      <c r="C25" s="582"/>
      <c r="D25" s="246" t="b">
        <f>IF(E7=J25,1500)</f>
        <v>0</v>
      </c>
      <c r="E25" s="246" t="b">
        <f>IF(E7=J25,1500)</f>
        <v>0</v>
      </c>
      <c r="F25" s="247"/>
      <c r="G25" s="247"/>
      <c r="I25" s="218"/>
      <c r="J25" s="248">
        <v>3029</v>
      </c>
      <c r="K25" s="248">
        <v>1500</v>
      </c>
      <c r="S25" s="218"/>
      <c r="T25" s="218"/>
    </row>
    <row r="26" spans="1:20" ht="15.75" hidden="1" customHeight="1">
      <c r="A26" s="581"/>
      <c r="B26" s="582"/>
      <c r="C26" s="582"/>
      <c r="D26" s="246" t="b">
        <f>IF(E7=J26,1500)</f>
        <v>0</v>
      </c>
      <c r="E26" s="246" t="b">
        <f>IF(E7=J26,1500)</f>
        <v>0</v>
      </c>
      <c r="F26" s="247"/>
      <c r="G26" s="247"/>
      <c r="I26" s="218"/>
      <c r="J26" s="248">
        <v>3030</v>
      </c>
      <c r="K26" s="248">
        <v>1500</v>
      </c>
      <c r="S26" s="218"/>
      <c r="T26" s="218"/>
    </row>
    <row r="27" spans="1:20" ht="14.45" hidden="1" customHeight="1">
      <c r="A27" s="581"/>
      <c r="B27" s="582"/>
      <c r="C27" s="582"/>
      <c r="D27" s="246" t="b">
        <f>IF(E7=J27,9750)</f>
        <v>0</v>
      </c>
      <c r="E27" s="246" t="b">
        <f>IF(E7=J27,9750)</f>
        <v>0</v>
      </c>
      <c r="F27" s="247"/>
      <c r="G27" s="247"/>
      <c r="I27" s="218"/>
      <c r="J27" s="248">
        <v>3037</v>
      </c>
      <c r="K27" s="248">
        <v>9750</v>
      </c>
      <c r="S27" s="218"/>
      <c r="T27" s="218"/>
    </row>
    <row r="28" spans="1:20" ht="14.45" hidden="1" customHeight="1">
      <c r="A28" s="581"/>
      <c r="B28" s="582"/>
      <c r="C28" s="582"/>
      <c r="D28" s="246" t="b">
        <f>IF(E7=J28,9750)</f>
        <v>0</v>
      </c>
      <c r="E28" s="246" t="b">
        <f>IF(E7=J28,9750)</f>
        <v>0</v>
      </c>
      <c r="F28" s="247"/>
      <c r="G28" s="247"/>
      <c r="I28" s="218"/>
      <c r="J28" s="248">
        <v>3038</v>
      </c>
      <c r="K28" s="248">
        <v>9750</v>
      </c>
      <c r="S28" s="218"/>
      <c r="T28" s="218"/>
    </row>
    <row r="29" spans="1:20" ht="14.45" hidden="1" customHeight="1">
      <c r="A29" s="581"/>
      <c r="B29" s="582"/>
      <c r="C29" s="582"/>
      <c r="D29" s="246" t="b">
        <f>IF(E7=J29,9750)</f>
        <v>0</v>
      </c>
      <c r="E29" s="246" t="b">
        <f>IF(E7=J29,9750)</f>
        <v>0</v>
      </c>
      <c r="F29" s="247"/>
      <c r="G29" s="247"/>
      <c r="I29" s="218"/>
      <c r="J29" s="248">
        <v>3041</v>
      </c>
      <c r="K29" s="248">
        <v>9750</v>
      </c>
      <c r="S29" s="218"/>
      <c r="T29" s="218"/>
    </row>
    <row r="30" spans="1:20" ht="14.45" hidden="1" customHeight="1">
      <c r="A30" s="581"/>
      <c r="B30" s="582"/>
      <c r="C30" s="582"/>
      <c r="D30" s="246" t="b">
        <f>IF(E7=J30,9750)</f>
        <v>0</v>
      </c>
      <c r="E30" s="246" t="b">
        <f>IF(E7=J30,9750)</f>
        <v>0</v>
      </c>
      <c r="F30" s="247"/>
      <c r="G30" s="247"/>
      <c r="I30" s="218"/>
      <c r="J30" s="248">
        <v>3059</v>
      </c>
      <c r="K30" s="248">
        <v>9750</v>
      </c>
      <c r="S30" s="218"/>
      <c r="T30" s="218"/>
    </row>
    <row r="31" spans="1:20" ht="14.45" hidden="1" customHeight="1">
      <c r="A31" s="581"/>
      <c r="B31" s="582"/>
      <c r="C31" s="582"/>
      <c r="D31" s="246" t="b">
        <f>IF(E7=J31,9750)</f>
        <v>0</v>
      </c>
      <c r="E31" s="246" t="b">
        <f>IF(E7=J31,9750)</f>
        <v>0</v>
      </c>
      <c r="F31" s="247"/>
      <c r="G31" s="247"/>
      <c r="I31" s="218"/>
      <c r="J31" s="248">
        <v>3064</v>
      </c>
      <c r="K31" s="248">
        <v>9750</v>
      </c>
      <c r="S31" s="218"/>
      <c r="T31" s="218"/>
    </row>
    <row r="32" spans="1:20" ht="14.45" hidden="1" customHeight="1">
      <c r="A32" s="581"/>
      <c r="B32" s="582"/>
      <c r="C32" s="582"/>
      <c r="D32" s="246" t="b">
        <f>IF(E7=J32,9750)</f>
        <v>0</v>
      </c>
      <c r="E32" s="246" t="b">
        <f>IF(E7=J32,9750)</f>
        <v>0</v>
      </c>
      <c r="F32" s="247"/>
      <c r="G32" s="247"/>
      <c r="I32" s="218"/>
      <c r="J32" s="248">
        <v>3075</v>
      </c>
      <c r="K32" s="248">
        <v>9750</v>
      </c>
      <c r="S32" s="218"/>
      <c r="T32" s="218"/>
    </row>
    <row r="33" spans="1:20" ht="14.45" hidden="1" customHeight="1">
      <c r="A33" s="581"/>
      <c r="B33" s="582"/>
      <c r="C33" s="582"/>
      <c r="D33" s="246" t="b">
        <f>IF(E7=J33,9750)</f>
        <v>0</v>
      </c>
      <c r="E33" s="246" t="b">
        <f>IF(E7=J33,9750)</f>
        <v>0</v>
      </c>
      <c r="F33" s="247"/>
      <c r="G33" s="247"/>
      <c r="I33" s="218"/>
      <c r="J33" s="248">
        <v>3076</v>
      </c>
      <c r="K33" s="248">
        <v>9750</v>
      </c>
      <c r="S33" s="218"/>
      <c r="T33" s="218"/>
    </row>
    <row r="34" spans="1:20" ht="14.45" hidden="1" customHeight="1">
      <c r="A34" s="581"/>
      <c r="B34" s="582"/>
      <c r="C34" s="582"/>
      <c r="D34" s="246" t="b">
        <f>IF(E7=J34,0)</f>
        <v>0</v>
      </c>
      <c r="E34" s="246" t="b">
        <f>IF(E7=J34,0)</f>
        <v>0</v>
      </c>
      <c r="F34" s="247"/>
      <c r="G34" s="247"/>
      <c r="I34" s="218"/>
      <c r="J34" s="248">
        <v>3089</v>
      </c>
      <c r="K34" s="248">
        <v>0</v>
      </c>
      <c r="S34" s="218"/>
      <c r="T34" s="218"/>
    </row>
    <row r="35" spans="1:20" ht="14.45" hidden="1" customHeight="1">
      <c r="A35" s="581"/>
      <c r="B35" s="582"/>
      <c r="C35" s="582"/>
      <c r="D35" s="246" t="b">
        <f>IF(E7=J35,0)</f>
        <v>0</v>
      </c>
      <c r="E35" s="246" t="b">
        <f>IF(E7=J35,0)</f>
        <v>0</v>
      </c>
      <c r="F35" s="247"/>
      <c r="G35" s="247"/>
      <c r="I35" s="218"/>
      <c r="J35" s="248">
        <v>3116</v>
      </c>
      <c r="K35" s="248">
        <v>0</v>
      </c>
      <c r="S35" s="218"/>
      <c r="T35" s="218"/>
    </row>
    <row r="36" spans="1:20" ht="14.45" hidden="1" customHeight="1">
      <c r="A36" s="581"/>
      <c r="B36" s="582"/>
      <c r="C36" s="582"/>
      <c r="D36" s="246" t="b">
        <f>IF(E7=J36,0)</f>
        <v>0</v>
      </c>
      <c r="E36" s="246" t="b">
        <f>IF(E7=J36,0)</f>
        <v>0</v>
      </c>
      <c r="F36" s="247"/>
      <c r="G36" s="247"/>
      <c r="I36" s="218"/>
      <c r="J36" s="248">
        <v>3134</v>
      </c>
      <c r="K36" s="248">
        <v>0</v>
      </c>
      <c r="S36" s="218"/>
      <c r="T36" s="218"/>
    </row>
    <row r="37" spans="1:20" ht="14.45" hidden="1" customHeight="1">
      <c r="A37" s="581"/>
      <c r="B37" s="582"/>
      <c r="C37" s="582"/>
      <c r="D37" s="246" t="b">
        <f>IF(E7=J37,0)</f>
        <v>0</v>
      </c>
      <c r="E37" s="246" t="b">
        <f>IF(E7=J37,0)</f>
        <v>0</v>
      </c>
      <c r="F37" s="247"/>
      <c r="G37" s="247"/>
      <c r="I37" s="218"/>
      <c r="J37" s="248">
        <v>3152</v>
      </c>
      <c r="K37" s="248">
        <v>2000</v>
      </c>
      <c r="S37" s="218"/>
      <c r="T37" s="218"/>
    </row>
    <row r="38" spans="1:20" ht="14.45" hidden="1" customHeight="1">
      <c r="A38" s="581"/>
      <c r="B38" s="582"/>
      <c r="C38" s="582"/>
      <c r="D38" s="246" t="b">
        <f>IF(E7=J38,0)</f>
        <v>0</v>
      </c>
      <c r="E38" s="246" t="b">
        <f>IF(E7=J38,0)</f>
        <v>0</v>
      </c>
      <c r="F38" s="247"/>
      <c r="G38" s="247"/>
      <c r="I38" s="218"/>
      <c r="J38" s="248">
        <v>3212</v>
      </c>
      <c r="K38" s="248">
        <v>0</v>
      </c>
      <c r="S38" s="218"/>
      <c r="T38" s="218"/>
    </row>
    <row r="39" spans="1:20" ht="14.45" hidden="1" customHeight="1">
      <c r="A39" s="581"/>
      <c r="B39" s="582"/>
      <c r="C39" s="582"/>
      <c r="D39" s="246" t="b">
        <f>IF(E7=J39,0)</f>
        <v>0</v>
      </c>
      <c r="E39" s="246" t="b">
        <f>IF(E7=J39,0)</f>
        <v>0</v>
      </c>
      <c r="F39" s="247"/>
      <c r="G39" s="247"/>
      <c r="I39" s="218"/>
      <c r="J39" s="248">
        <v>3216</v>
      </c>
      <c r="K39" s="248">
        <v>0</v>
      </c>
      <c r="S39" s="218"/>
      <c r="T39" s="218"/>
    </row>
    <row r="40" spans="1:20" ht="14.45" hidden="1" customHeight="1">
      <c r="A40" s="581"/>
      <c r="B40" s="582"/>
      <c r="C40" s="582"/>
      <c r="D40" s="246" t="b">
        <f>IF(E7=J40,0)</f>
        <v>0</v>
      </c>
      <c r="E40" s="246" t="b">
        <f>IF(E7=J40,0)</f>
        <v>0</v>
      </c>
      <c r="F40" s="247"/>
      <c r="G40" s="247"/>
      <c r="I40" s="218"/>
      <c r="J40" s="248">
        <v>3217</v>
      </c>
      <c r="K40" s="248">
        <v>0</v>
      </c>
      <c r="S40" s="218"/>
      <c r="T40" s="218"/>
    </row>
    <row r="41" spans="1:20" ht="14.45" hidden="1" customHeight="1">
      <c r="A41" s="581"/>
      <c r="B41" s="582"/>
      <c r="C41" s="582"/>
      <c r="D41" s="246" t="b">
        <f>IF(E7=J41,0)</f>
        <v>0</v>
      </c>
      <c r="E41" s="246" t="b">
        <f>IF(E7=J41,0)</f>
        <v>0</v>
      </c>
      <c r="F41" s="247"/>
      <c r="G41" s="247"/>
      <c r="I41" s="218"/>
      <c r="J41" s="248">
        <v>3170</v>
      </c>
      <c r="K41" s="248">
        <v>0</v>
      </c>
      <c r="S41" s="218"/>
      <c r="T41" s="218"/>
    </row>
    <row r="42" spans="1:20" ht="14.45" hidden="1" customHeight="1">
      <c r="A42" s="581"/>
      <c r="B42" s="582"/>
      <c r="C42" s="582"/>
      <c r="D42" s="246" t="b">
        <f>IF(E7=J42,1500)</f>
        <v>0</v>
      </c>
      <c r="E42" s="246" t="b">
        <f>IF(E7=J42,1500)</f>
        <v>0</v>
      </c>
      <c r="F42" s="247"/>
      <c r="G42" s="247"/>
      <c r="I42" s="218"/>
      <c r="J42" s="249">
        <v>3220</v>
      </c>
      <c r="K42" s="248">
        <v>1500</v>
      </c>
      <c r="S42" s="218"/>
      <c r="T42" s="218"/>
    </row>
    <row r="43" spans="1:20" ht="14.45" hidden="1" customHeight="1">
      <c r="A43" s="581"/>
      <c r="B43" s="582"/>
      <c r="C43" s="582"/>
      <c r="D43" s="246" t="b">
        <f>IF(E7=J43,0)</f>
        <v>0</v>
      </c>
      <c r="E43" s="246" t="b">
        <f>IF(E7=J43,0)</f>
        <v>0</v>
      </c>
      <c r="F43" s="247"/>
      <c r="G43" s="247"/>
      <c r="I43" s="218"/>
      <c r="J43" s="248">
        <v>3221</v>
      </c>
      <c r="K43" s="248">
        <v>0</v>
      </c>
      <c r="S43" s="218"/>
      <c r="T43" s="218"/>
    </row>
    <row r="44" spans="1:20" ht="14.45" hidden="1" customHeight="1">
      <c r="A44" s="581"/>
      <c r="B44" s="582"/>
      <c r="C44" s="582"/>
      <c r="D44" s="246" t="b">
        <f>IF(E7=J44,0)</f>
        <v>0</v>
      </c>
      <c r="E44" s="246" t="b">
        <f>IF(E7=J44,0)</f>
        <v>0</v>
      </c>
      <c r="F44" s="247"/>
      <c r="G44" s="247"/>
      <c r="I44" s="218"/>
      <c r="J44" s="248">
        <v>3222</v>
      </c>
      <c r="K44" s="248">
        <v>0</v>
      </c>
      <c r="S44" s="218"/>
      <c r="T44" s="218"/>
    </row>
    <row r="45" spans="1:20" ht="14.45" hidden="1" customHeight="1">
      <c r="A45" s="581"/>
      <c r="B45" s="582"/>
      <c r="C45" s="582"/>
      <c r="D45" s="246" t="b">
        <f>IF(E7=J45,0)</f>
        <v>0</v>
      </c>
      <c r="E45" s="246" t="b">
        <f>IF(E7=J45,0)</f>
        <v>0</v>
      </c>
      <c r="F45" s="247"/>
      <c r="G45" s="247"/>
      <c r="I45" s="218"/>
      <c r="J45" s="248">
        <v>3223</v>
      </c>
      <c r="K45" s="248">
        <v>0</v>
      </c>
      <c r="S45" s="218"/>
      <c r="T45" s="218"/>
    </row>
    <row r="46" spans="1:20" ht="14.45" hidden="1" customHeight="1">
      <c r="A46" s="581"/>
      <c r="B46" s="582"/>
      <c r="C46" s="582"/>
      <c r="D46" s="246" t="b">
        <f>IF(E7=J46,0)</f>
        <v>0</v>
      </c>
      <c r="E46" s="246" t="b">
        <f>IF(E7=J46,0)</f>
        <v>0</v>
      </c>
      <c r="F46" s="247"/>
      <c r="G46" s="247"/>
      <c r="I46" s="218"/>
      <c r="J46" s="248">
        <v>3224</v>
      </c>
      <c r="K46" s="248">
        <v>0</v>
      </c>
      <c r="S46" s="218"/>
      <c r="T46" s="218"/>
    </row>
    <row r="47" spans="1:20" ht="14.45" hidden="1" customHeight="1">
      <c r="A47" s="581"/>
      <c r="B47" s="582"/>
      <c r="C47" s="582"/>
      <c r="D47" s="246" t="b">
        <f>IF(E7=J47,0)</f>
        <v>0</v>
      </c>
      <c r="E47" s="246" t="b">
        <f>IF(E7=J47,0)</f>
        <v>0</v>
      </c>
      <c r="F47" s="247"/>
      <c r="G47" s="247"/>
      <c r="I47" s="218"/>
      <c r="J47" s="248">
        <v>3225</v>
      </c>
      <c r="K47" s="248">
        <v>0</v>
      </c>
      <c r="S47" s="218"/>
      <c r="T47" s="218"/>
    </row>
    <row r="48" spans="1:20" ht="14.45" hidden="1" customHeight="1">
      <c r="A48" s="581"/>
      <c r="B48" s="582"/>
      <c r="C48" s="582"/>
      <c r="D48" s="246" t="b">
        <f>IF(E7=J48,0)</f>
        <v>0</v>
      </c>
      <c r="E48" s="246" t="b">
        <f>IF(E7=J48,0)</f>
        <v>0</v>
      </c>
      <c r="F48" s="247"/>
      <c r="G48" s="247"/>
      <c r="I48" s="218"/>
      <c r="J48" s="248">
        <v>3226</v>
      </c>
      <c r="K48" s="248">
        <v>0</v>
      </c>
      <c r="S48" s="218"/>
      <c r="T48" s="218"/>
    </row>
    <row r="49" spans="1:20" ht="14.45" hidden="1" customHeight="1">
      <c r="A49" s="581"/>
      <c r="B49" s="582"/>
      <c r="C49" s="582"/>
      <c r="D49" s="246" t="b">
        <f>IF(E7=J49,0)</f>
        <v>0</v>
      </c>
      <c r="E49" s="246" t="b">
        <f>IF(E7=J49,0)</f>
        <v>0</v>
      </c>
      <c r="F49" s="247"/>
      <c r="G49" s="247"/>
      <c r="I49" s="218"/>
      <c r="J49" s="248">
        <v>3228</v>
      </c>
      <c r="K49" s="248">
        <v>0</v>
      </c>
      <c r="S49" s="218"/>
      <c r="T49" s="218"/>
    </row>
    <row r="50" spans="1:20" ht="14.45" hidden="1" customHeight="1">
      <c r="A50" s="581"/>
      <c r="B50" s="582"/>
      <c r="C50" s="582"/>
      <c r="D50" s="246" t="b">
        <f>IF(E7=J50,1500)</f>
        <v>0</v>
      </c>
      <c r="E50" s="246" t="b">
        <f>IF(E7=J50,1500)</f>
        <v>0</v>
      </c>
      <c r="F50" s="247"/>
      <c r="G50" s="247"/>
      <c r="I50" s="218"/>
      <c r="J50" s="248">
        <v>3331</v>
      </c>
      <c r="K50" s="248">
        <v>1500</v>
      </c>
      <c r="S50" s="218"/>
      <c r="T50" s="218"/>
    </row>
    <row r="51" spans="1:20" ht="14.45" hidden="1" customHeight="1">
      <c r="A51" s="581"/>
      <c r="B51" s="582"/>
      <c r="C51" s="582"/>
      <c r="D51" s="246" t="b">
        <f>IF(E7=J51,3750)</f>
        <v>0</v>
      </c>
      <c r="E51" s="246" t="b">
        <f>IF(E7=J51,3750)</f>
        <v>0</v>
      </c>
      <c r="F51" s="247"/>
      <c r="G51" s="247"/>
      <c r="I51" s="218"/>
      <c r="J51" s="248">
        <v>3335</v>
      </c>
      <c r="K51" s="248">
        <v>3750</v>
      </c>
      <c r="S51" s="218"/>
      <c r="T51" s="218"/>
    </row>
    <row r="52" spans="1:20" ht="14.45" hidden="1" customHeight="1">
      <c r="A52" s="581"/>
      <c r="B52" s="582"/>
      <c r="C52" s="582"/>
      <c r="D52" s="246" t="b">
        <f>IF(E7=J52,3750)</f>
        <v>0</v>
      </c>
      <c r="E52" s="246" t="b">
        <f>IF(E7=J52,3750)</f>
        <v>0</v>
      </c>
      <c r="F52" s="247"/>
      <c r="G52" s="247"/>
      <c r="I52" s="218"/>
      <c r="J52" s="248">
        <v>3336</v>
      </c>
      <c r="K52" s="248">
        <v>3750</v>
      </c>
      <c r="S52" s="218"/>
      <c r="T52" s="218"/>
    </row>
    <row r="53" spans="1:20" ht="14.45" hidden="1" customHeight="1">
      <c r="A53" s="581"/>
      <c r="B53" s="582"/>
      <c r="C53" s="582"/>
      <c r="D53" s="246" t="b">
        <f>IF(E7=J53,3750)</f>
        <v>0</v>
      </c>
      <c r="E53" s="246" t="b">
        <f>IF(E7=J53,3750)</f>
        <v>0</v>
      </c>
      <c r="F53" s="247"/>
      <c r="G53" s="247"/>
      <c r="I53" s="218"/>
      <c r="J53" s="248">
        <v>3337</v>
      </c>
      <c r="K53" s="248">
        <v>3750</v>
      </c>
      <c r="S53" s="218"/>
      <c r="T53" s="218"/>
    </row>
    <row r="54" spans="1:20" ht="14.45" hidden="1" customHeight="1">
      <c r="A54" s="581"/>
      <c r="B54" s="582"/>
      <c r="C54" s="582"/>
      <c r="D54" s="246" t="b">
        <f>IF(E7=J54,3750)</f>
        <v>0</v>
      </c>
      <c r="E54" s="246" t="b">
        <f>IF(E7=J54,3750)</f>
        <v>0</v>
      </c>
      <c r="F54" s="247"/>
      <c r="G54" s="247"/>
      <c r="I54" s="218"/>
      <c r="J54" s="248">
        <v>3338</v>
      </c>
      <c r="K54" s="248">
        <v>3750</v>
      </c>
      <c r="S54" s="218"/>
      <c r="T54" s="218"/>
    </row>
    <row r="55" spans="1:20" ht="14.45" hidden="1" customHeight="1">
      <c r="A55" s="581"/>
      <c r="B55" s="582"/>
      <c r="C55" s="582"/>
      <c r="D55" s="246" t="b">
        <f>IF(E7=J55,1500)</f>
        <v>0</v>
      </c>
      <c r="E55" s="246" t="b">
        <f>IF(E7=J55,1500)</f>
        <v>0</v>
      </c>
      <c r="F55" s="247"/>
      <c r="G55" s="247"/>
      <c r="I55" s="218"/>
      <c r="J55" s="248">
        <v>3340</v>
      </c>
      <c r="K55" s="248">
        <v>1500</v>
      </c>
      <c r="S55" s="218"/>
      <c r="T55" s="218"/>
    </row>
    <row r="56" spans="1:20" ht="14.45" hidden="1" customHeight="1">
      <c r="A56" s="581"/>
      <c r="B56" s="582"/>
      <c r="C56" s="582"/>
      <c r="D56" s="246" t="b">
        <f>IF(E7=J56,3750)</f>
        <v>0</v>
      </c>
      <c r="E56" s="246" t="b">
        <f>IF(E7=J56,3750)</f>
        <v>0</v>
      </c>
      <c r="F56" s="247"/>
      <c r="G56" s="247"/>
      <c r="I56" s="218"/>
      <c r="J56" s="248">
        <v>3427</v>
      </c>
      <c r="K56" s="248">
        <v>3750</v>
      </c>
      <c r="S56" s="218"/>
      <c r="T56" s="218"/>
    </row>
    <row r="57" spans="1:20" ht="14.45" hidden="1" customHeight="1">
      <c r="A57" s="581"/>
      <c r="B57" s="582"/>
      <c r="C57" s="582"/>
      <c r="D57" s="246" t="b">
        <f>IF(E7=J57,9750)</f>
        <v>0</v>
      </c>
      <c r="E57" s="246" t="b">
        <f>IF(E7=J57,9750)</f>
        <v>0</v>
      </c>
      <c r="F57" s="247"/>
      <c r="G57" s="247"/>
      <c r="I57" s="218"/>
      <c r="J57" s="248">
        <v>3429</v>
      </c>
      <c r="K57" s="248">
        <v>9750</v>
      </c>
      <c r="S57" s="218"/>
      <c r="T57" s="218"/>
    </row>
    <row r="58" spans="1:20" ht="14.45" hidden="1" customHeight="1">
      <c r="A58" s="581"/>
      <c r="B58" s="582"/>
      <c r="C58" s="582"/>
      <c r="D58" s="246" t="b">
        <f>IF(E7=J58,1500)</f>
        <v>0</v>
      </c>
      <c r="E58" s="246" t="b">
        <f>IF(E7=J58,1500)</f>
        <v>0</v>
      </c>
      <c r="F58" s="247"/>
      <c r="G58" s="247"/>
      <c r="I58" s="218"/>
      <c r="J58" s="248">
        <v>3431</v>
      </c>
      <c r="K58" s="248">
        <v>1500</v>
      </c>
      <c r="S58" s="218"/>
      <c r="T58" s="218"/>
    </row>
    <row r="59" spans="1:20" ht="14.45" hidden="1" customHeight="1">
      <c r="A59" s="581"/>
      <c r="B59" s="582"/>
      <c r="C59" s="582"/>
      <c r="D59" s="246" t="b">
        <f>IF(E7=J59,3750)</f>
        <v>0</v>
      </c>
      <c r="E59" s="246" t="b">
        <f>IF(E7=J59,3750)</f>
        <v>0</v>
      </c>
      <c r="F59" s="247"/>
      <c r="G59" s="247"/>
      <c r="I59" s="218"/>
      <c r="J59" s="248">
        <v>3434</v>
      </c>
      <c r="K59" s="248">
        <v>1500</v>
      </c>
      <c r="S59" s="218"/>
      <c r="T59" s="218"/>
    </row>
    <row r="60" spans="1:20" ht="14.45" hidden="1" customHeight="1">
      <c r="A60" s="581"/>
      <c r="B60" s="582"/>
      <c r="C60" s="582"/>
      <c r="D60" s="246" t="b">
        <f>IF(E7=J60,1500)</f>
        <v>0</v>
      </c>
      <c r="E60" s="246" t="b">
        <f>IF(E7=J60,1500)</f>
        <v>0</v>
      </c>
      <c r="F60" s="247"/>
      <c r="G60" s="247"/>
      <c r="I60" s="218"/>
      <c r="J60" s="248">
        <v>3437</v>
      </c>
      <c r="K60" s="248">
        <v>1500</v>
      </c>
      <c r="S60" s="218"/>
      <c r="T60" s="218"/>
    </row>
    <row r="61" spans="1:20" ht="14.45" hidden="1" customHeight="1">
      <c r="A61" s="581"/>
      <c r="B61" s="582"/>
      <c r="C61" s="582"/>
      <c r="D61" s="246" t="b">
        <f>IF(E7=J61,1500)</f>
        <v>0</v>
      </c>
      <c r="E61" s="246" t="b">
        <f>IF(E7=J61,1500)</f>
        <v>0</v>
      </c>
      <c r="F61" s="247"/>
      <c r="G61" s="247"/>
      <c r="I61" s="218"/>
      <c r="J61" s="248">
        <v>3438</v>
      </c>
      <c r="K61" s="248">
        <v>1500</v>
      </c>
      <c r="S61" s="218"/>
      <c r="T61" s="218"/>
    </row>
    <row r="62" spans="1:20" ht="14.45" hidden="1" customHeight="1">
      <c r="A62" s="581"/>
      <c r="B62" s="582"/>
      <c r="C62" s="582"/>
      <c r="D62" s="246" t="b">
        <f>IF(E7=J62,0)</f>
        <v>0</v>
      </c>
      <c r="E62" s="246" t="b">
        <f>IF(E7=J62,0)</f>
        <v>0</v>
      </c>
      <c r="F62" s="247"/>
      <c r="G62" s="247"/>
      <c r="I62" s="218"/>
      <c r="J62" s="248">
        <v>3620</v>
      </c>
      <c r="K62" s="248">
        <v>2000</v>
      </c>
      <c r="S62" s="218"/>
      <c r="T62" s="218"/>
    </row>
    <row r="63" spans="1:20" ht="14.45" hidden="1" customHeight="1">
      <c r="A63" s="581"/>
      <c r="B63" s="582"/>
      <c r="C63" s="582"/>
      <c r="D63" s="246" t="b">
        <f>IF(E7=J63,9750)</f>
        <v>0</v>
      </c>
      <c r="E63" s="246" t="b">
        <f>IF(E7=J63,9750)</f>
        <v>0</v>
      </c>
      <c r="F63" s="247"/>
      <c r="G63" s="247"/>
      <c r="I63" s="218"/>
      <c r="J63" s="248">
        <v>3750</v>
      </c>
      <c r="K63" s="248">
        <v>9750</v>
      </c>
      <c r="S63" s="218"/>
      <c r="T63" s="218"/>
    </row>
    <row r="64" spans="1:20" ht="14.45" hidden="1" customHeight="1">
      <c r="A64" s="581"/>
      <c r="B64" s="582"/>
      <c r="C64" s="582"/>
      <c r="D64" s="246" t="b">
        <f>IF(E7=J64,0)</f>
        <v>0</v>
      </c>
      <c r="E64" s="246" t="b">
        <f>IF(E7=J64,0)</f>
        <v>0</v>
      </c>
      <c r="F64" s="247"/>
      <c r="G64" s="247"/>
      <c r="I64" s="218"/>
      <c r="J64" s="248">
        <v>3752</v>
      </c>
      <c r="K64" s="248">
        <v>2000</v>
      </c>
      <c r="S64" s="218"/>
      <c r="T64" s="218"/>
    </row>
    <row r="65" spans="1:20" ht="14.45" hidden="1" customHeight="1">
      <c r="A65" s="581"/>
      <c r="B65" s="582"/>
      <c r="C65" s="582"/>
      <c r="D65" s="246" t="b">
        <f>IF(E7=J65,1500)</f>
        <v>0</v>
      </c>
      <c r="E65" s="246" t="b">
        <f>IF(E7=J65,1500)</f>
        <v>0</v>
      </c>
      <c r="F65" s="247"/>
      <c r="G65" s="247"/>
      <c r="I65" s="218"/>
      <c r="J65" s="248">
        <v>3753</v>
      </c>
      <c r="K65" s="248">
        <v>1500</v>
      </c>
      <c r="S65" s="218"/>
      <c r="T65" s="218"/>
    </row>
    <row r="66" spans="1:20" ht="14.45" hidden="1" customHeight="1">
      <c r="A66" s="581"/>
      <c r="B66" s="582"/>
      <c r="C66" s="582"/>
      <c r="D66" s="246" t="b">
        <f>IF(E7=J66,3750)</f>
        <v>0</v>
      </c>
      <c r="E66" s="246" t="b">
        <f>IF(E7=J66,3750)</f>
        <v>0</v>
      </c>
      <c r="F66" s="247"/>
      <c r="G66" s="247"/>
      <c r="I66" s="218"/>
      <c r="J66" s="248">
        <v>3754</v>
      </c>
      <c r="K66" s="248">
        <v>3750</v>
      </c>
      <c r="S66" s="218"/>
      <c r="T66" s="218"/>
    </row>
    <row r="67" spans="1:20" ht="14.45" hidden="1" customHeight="1">
      <c r="A67" s="581"/>
      <c r="B67" s="582"/>
      <c r="C67" s="582"/>
      <c r="D67" s="246" t="b">
        <f>IF(E7=J67,0)</f>
        <v>0</v>
      </c>
      <c r="E67" s="246" t="b">
        <f>IF(E7=J67,0)</f>
        <v>0</v>
      </c>
      <c r="F67" s="247"/>
      <c r="G67" s="247"/>
      <c r="I67" s="218"/>
      <c r="J67" s="248">
        <v>3756</v>
      </c>
      <c r="K67" s="248">
        <v>0</v>
      </c>
      <c r="S67" s="218"/>
      <c r="T67" s="218"/>
    </row>
    <row r="68" spans="1:20" ht="14.45" hidden="1" customHeight="1">
      <c r="A68" s="581"/>
      <c r="B68" s="582"/>
      <c r="C68" s="582"/>
      <c r="D68" s="246" t="b">
        <f>IF(E7=J68,1500)</f>
        <v>0</v>
      </c>
      <c r="E68" s="246" t="b">
        <f>IF(E7=J68,1500)</f>
        <v>0</v>
      </c>
      <c r="F68" s="247"/>
      <c r="G68" s="247"/>
      <c r="I68" s="218"/>
      <c r="J68" s="248">
        <v>3764</v>
      </c>
      <c r="K68" s="248">
        <v>1500</v>
      </c>
      <c r="S68" s="218"/>
      <c r="T68" s="218"/>
    </row>
    <row r="69" spans="1:20" ht="14.45" hidden="1" customHeight="1">
      <c r="A69" s="581"/>
      <c r="B69" s="582"/>
      <c r="C69" s="582"/>
      <c r="D69" s="246" t="b">
        <f>IF(E7=J69,2000)</f>
        <v>0</v>
      </c>
      <c r="E69" s="246" t="b">
        <f>IF(E7=J69,2000)</f>
        <v>0</v>
      </c>
      <c r="F69" s="247"/>
      <c r="G69" s="247"/>
      <c r="I69" s="218"/>
      <c r="J69" s="248">
        <v>3806</v>
      </c>
      <c r="K69" s="248">
        <v>2000</v>
      </c>
      <c r="S69" s="218"/>
      <c r="T69" s="218"/>
    </row>
    <row r="70" spans="1:20" ht="14.45" hidden="1" customHeight="1">
      <c r="A70" s="581"/>
      <c r="B70" s="582"/>
      <c r="C70" s="582"/>
      <c r="D70" s="246" t="b">
        <f>IF(E7=J70,2000)</f>
        <v>0</v>
      </c>
      <c r="E70" s="246" t="b">
        <f>IF(E7=J70,2000)</f>
        <v>0</v>
      </c>
      <c r="F70" s="247"/>
      <c r="G70" s="247"/>
      <c r="I70" s="218"/>
      <c r="J70" s="248">
        <v>3809</v>
      </c>
      <c r="K70" s="248">
        <v>2000</v>
      </c>
      <c r="S70" s="218"/>
      <c r="T70" s="218"/>
    </row>
    <row r="71" spans="1:20" ht="14.45" hidden="1" customHeight="1">
      <c r="A71" s="581"/>
      <c r="B71" s="582"/>
      <c r="C71" s="582"/>
      <c r="D71" s="246" t="b">
        <f>IF(E7=J71,2000)</f>
        <v>0</v>
      </c>
      <c r="E71" s="246" t="b">
        <f>IF(E7=J71,2000)</f>
        <v>0</v>
      </c>
      <c r="F71" s="247"/>
      <c r="G71" s="247"/>
      <c r="I71" s="218"/>
      <c r="J71" s="248">
        <v>3810</v>
      </c>
      <c r="K71" s="248">
        <v>2000</v>
      </c>
      <c r="S71" s="218"/>
      <c r="T71" s="218"/>
    </row>
    <row r="72" spans="1:20" ht="14.45" hidden="1" customHeight="1">
      <c r="A72" s="581"/>
      <c r="B72" s="582"/>
      <c r="C72" s="582"/>
      <c r="D72" s="246" t="b">
        <f>IF(E7=J72,2000)</f>
        <v>0</v>
      </c>
      <c r="E72" s="246" t="b">
        <f>IF(E7=J72,2000)</f>
        <v>0</v>
      </c>
      <c r="F72" s="247"/>
      <c r="G72" s="247"/>
      <c r="I72" s="218"/>
      <c r="J72" s="248">
        <v>3818</v>
      </c>
      <c r="K72" s="248">
        <v>2000</v>
      </c>
      <c r="S72" s="218"/>
      <c r="T72" s="218"/>
    </row>
    <row r="73" spans="1:20" ht="14.45" hidden="1" customHeight="1">
      <c r="A73" s="581"/>
      <c r="B73" s="582"/>
      <c r="C73" s="582"/>
      <c r="D73" s="246" t="b">
        <f>IF(E7=J73,0)</f>
        <v>0</v>
      </c>
      <c r="E73" s="246" t="b">
        <f>IF(E7=J73,0)</f>
        <v>0</v>
      </c>
      <c r="F73" s="247"/>
      <c r="G73" s="247"/>
      <c r="I73" s="218"/>
      <c r="J73" s="248">
        <v>3822</v>
      </c>
      <c r="K73" s="248">
        <v>0</v>
      </c>
      <c r="S73" s="218"/>
      <c r="T73" s="218"/>
    </row>
    <row r="74" spans="1:20" ht="14.45" hidden="1" customHeight="1">
      <c r="A74" s="581"/>
      <c r="B74" s="582"/>
      <c r="C74" s="582"/>
      <c r="D74" s="246" t="b">
        <f>IF(E7=J74,4000)</f>
        <v>0</v>
      </c>
      <c r="E74" s="246" t="b">
        <f>IF(E7=J74,4000)</f>
        <v>0</v>
      </c>
      <c r="F74" s="242"/>
      <c r="G74" s="242"/>
      <c r="I74" s="218"/>
      <c r="J74" s="248">
        <v>3977</v>
      </c>
      <c r="K74" s="248">
        <v>4000</v>
      </c>
      <c r="S74" s="218"/>
      <c r="T74" s="218"/>
    </row>
    <row r="75" spans="1:20" ht="14.45" hidden="1" customHeight="1">
      <c r="A75" s="581"/>
      <c r="B75" s="582"/>
      <c r="C75" s="582"/>
      <c r="D75" s="250" t="b">
        <f>IF(E7=J75,2000)</f>
        <v>0</v>
      </c>
      <c r="E75" s="250" t="b">
        <f>IF(E7=J75,2000)</f>
        <v>0</v>
      </c>
      <c r="F75" s="242"/>
      <c r="G75" s="242"/>
      <c r="I75" s="218"/>
      <c r="J75" s="248">
        <v>3978</v>
      </c>
      <c r="K75" s="248">
        <v>2000</v>
      </c>
      <c r="S75" s="218"/>
      <c r="T75" s="218"/>
    </row>
    <row r="76" spans="1:20" ht="14.45" hidden="1" customHeight="1">
      <c r="A76" s="581"/>
      <c r="B76" s="582"/>
      <c r="C76" s="582"/>
      <c r="D76" s="250" t="b">
        <f>IF(E7=J76,0)</f>
        <v>0</v>
      </c>
      <c r="E76" s="250" t="b">
        <f>IF(E7=J76,0)</f>
        <v>0</v>
      </c>
      <c r="F76" s="242"/>
      <c r="G76" s="242"/>
      <c r="I76" s="218"/>
      <c r="J76" s="248">
        <v>3435</v>
      </c>
      <c r="K76" s="248">
        <v>0</v>
      </c>
      <c r="S76" s="218"/>
      <c r="T76" s="218"/>
    </row>
    <row r="77" spans="1:20" ht="14.45" hidden="1" customHeight="1">
      <c r="A77" s="581"/>
      <c r="B77" s="582"/>
      <c r="C77" s="582"/>
      <c r="D77" s="250" t="b">
        <f>IF(E7=J77,0)</f>
        <v>0</v>
      </c>
      <c r="E77" s="250" t="b">
        <f>IF(E7=J77,0)</f>
        <v>0</v>
      </c>
      <c r="F77" s="242"/>
      <c r="G77" s="242"/>
      <c r="I77" s="218"/>
      <c r="J77" s="248">
        <v>3140</v>
      </c>
      <c r="K77" s="248">
        <v>0</v>
      </c>
      <c r="S77" s="218"/>
      <c r="T77" s="218"/>
    </row>
    <row r="78" spans="1:20" ht="14.45" hidden="1" customHeight="1">
      <c r="A78" s="581"/>
      <c r="B78" s="582"/>
      <c r="C78" s="582"/>
      <c r="D78" s="250" t="b">
        <f>IF(E7=J78,2000)</f>
        <v>0</v>
      </c>
      <c r="E78" s="250" t="b">
        <f>IF(E7=J78,2000)</f>
        <v>0</v>
      </c>
      <c r="F78" s="242"/>
      <c r="G78" s="242"/>
      <c r="I78" s="218"/>
      <c r="J78" s="248">
        <v>3435</v>
      </c>
      <c r="K78" s="248">
        <v>2000</v>
      </c>
      <c r="S78" s="218"/>
      <c r="T78" s="218"/>
    </row>
    <row r="79" spans="1:20" ht="14.45" hidden="1" customHeight="1">
      <c r="A79" s="581"/>
      <c r="B79" s="582"/>
      <c r="C79" s="582"/>
      <c r="D79" s="240"/>
      <c r="E79" s="241"/>
      <c r="F79" s="541" t="s">
        <v>9137</v>
      </c>
      <c r="G79" s="542"/>
      <c r="I79" s="218"/>
      <c r="K79" s="83"/>
      <c r="S79" s="218"/>
      <c r="T79" s="218"/>
    </row>
    <row r="80" spans="1:20" ht="14.45" hidden="1" customHeight="1">
      <c r="A80" s="581"/>
      <c r="B80" s="582"/>
      <c r="C80" s="582"/>
      <c r="D80" s="240" t="b">
        <f>IF(G14="Y",5400)</f>
        <v>0</v>
      </c>
      <c r="E80" s="241" t="b">
        <f>IF(G14="Y",9000)</f>
        <v>0</v>
      </c>
      <c r="F80" s="242" t="s">
        <v>9138</v>
      </c>
      <c r="G80" s="243"/>
      <c r="I80" s="218"/>
      <c r="K80" s="83"/>
      <c r="S80" s="218"/>
      <c r="T80" s="218"/>
    </row>
    <row r="81" spans="1:20" ht="14.45" hidden="1" customHeight="1">
      <c r="A81" s="581"/>
      <c r="B81" s="582"/>
      <c r="C81" s="582"/>
      <c r="D81" s="240">
        <v>1915</v>
      </c>
      <c r="E81" s="241">
        <v>1915</v>
      </c>
      <c r="F81" s="541" t="s">
        <v>9139</v>
      </c>
      <c r="G81" s="542"/>
      <c r="I81" s="218"/>
      <c r="K81" s="83"/>
      <c r="S81" s="218"/>
      <c r="T81" s="218"/>
    </row>
    <row r="82" spans="1:20" ht="14.45" hidden="1" customHeight="1">
      <c r="A82" s="581"/>
      <c r="B82" s="582"/>
      <c r="C82" s="582"/>
      <c r="D82" s="240">
        <v>2535</v>
      </c>
      <c r="E82" s="241">
        <v>2535</v>
      </c>
      <c r="F82" s="539" t="s">
        <v>9140</v>
      </c>
      <c r="G82" s="540"/>
      <c r="I82" s="218"/>
      <c r="J82" s="218"/>
      <c r="S82" s="218"/>
      <c r="T82" s="218"/>
    </row>
    <row r="83" spans="1:20" ht="14.45" hidden="1" customHeight="1">
      <c r="A83" s="581"/>
      <c r="B83" s="582"/>
      <c r="C83" s="582"/>
      <c r="D83" s="240">
        <v>1700</v>
      </c>
      <c r="E83" s="241">
        <v>1700</v>
      </c>
      <c r="F83" s="541" t="s">
        <v>9141</v>
      </c>
      <c r="G83" s="542"/>
      <c r="I83" s="218"/>
      <c r="J83" s="218"/>
      <c r="S83" s="218"/>
      <c r="T83" s="218"/>
    </row>
    <row r="84" spans="1:20" ht="20.25">
      <c r="A84" s="503" t="s">
        <v>9142</v>
      </c>
      <c r="B84" s="503"/>
      <c r="C84" s="503"/>
      <c r="D84" s="503"/>
      <c r="E84" s="503"/>
      <c r="F84" s="503"/>
      <c r="G84" s="503"/>
      <c r="I84" s="218"/>
      <c r="J84" s="218"/>
      <c r="S84" s="218"/>
      <c r="T84" s="218"/>
    </row>
    <row r="85" spans="1:20" ht="15" customHeight="1">
      <c r="A85" s="565"/>
      <c r="B85" s="566"/>
      <c r="C85" s="566"/>
      <c r="D85" s="554" t="s">
        <v>9143</v>
      </c>
      <c r="E85" s="554" t="s">
        <v>9144</v>
      </c>
      <c r="F85" s="558" t="s">
        <v>9145</v>
      </c>
      <c r="G85" s="559"/>
      <c r="I85" s="218"/>
      <c r="J85" s="543" t="s">
        <v>250</v>
      </c>
      <c r="K85" s="543" t="s">
        <v>251</v>
      </c>
      <c r="S85" s="218"/>
      <c r="T85" s="218"/>
    </row>
    <row r="86" spans="1:20" ht="43.5" customHeight="1" thickBot="1">
      <c r="A86" s="567"/>
      <c r="B86" s="568"/>
      <c r="C86" s="568"/>
      <c r="D86" s="555"/>
      <c r="E86" s="555"/>
      <c r="F86" s="558"/>
      <c r="G86" s="559"/>
      <c r="I86" s="218"/>
      <c r="J86" s="543"/>
      <c r="K86" s="543"/>
      <c r="L86" s="252" t="s">
        <v>9146</v>
      </c>
      <c r="M86" s="252" t="s">
        <v>9147</v>
      </c>
      <c r="N86" s="252" t="s">
        <v>9148</v>
      </c>
      <c r="O86" s="252" t="s">
        <v>9149</v>
      </c>
      <c r="P86" s="252" t="s">
        <v>9150</v>
      </c>
      <c r="Q86" s="252" t="s">
        <v>9151</v>
      </c>
      <c r="R86" s="252" t="s">
        <v>9152</v>
      </c>
      <c r="S86" s="252" t="s">
        <v>9153</v>
      </c>
      <c r="T86" s="253"/>
    </row>
    <row r="87" spans="1:20" ht="15.75" hidden="1" customHeight="1" thickBot="1">
      <c r="A87" s="556" t="s">
        <v>9154</v>
      </c>
      <c r="B87" s="557"/>
      <c r="C87" s="254" t="b">
        <f>IF((0.6*B13)&gt;0.3,1)</f>
        <v>0</v>
      </c>
      <c r="D87" s="250">
        <f t="shared" ref="D87:D94" si="0">C87*J87</f>
        <v>0</v>
      </c>
      <c r="E87" s="250">
        <f t="shared" ref="E87:E94" si="1">C87*K87</f>
        <v>0</v>
      </c>
      <c r="F87" s="558"/>
      <c r="G87" s="559"/>
      <c r="H87" s="255"/>
      <c r="I87" s="218"/>
      <c r="J87" s="256">
        <f>IF(B6&lt;191,L87,IF(B6&lt;249,N87,IF(B6&lt;299.01,P87,IF(B6&gt;299.02,R87))))</f>
        <v>1761</v>
      </c>
      <c r="K87" s="256">
        <f>IF(B6&lt;191,M87,IF(B6&lt;249,O87,IF(B6&lt;299.01,Q87,IF(B6&gt;299.02,S87))))</f>
        <v>1761</v>
      </c>
      <c r="L87" s="257">
        <v>1761</v>
      </c>
      <c r="M87" s="257">
        <v>1761</v>
      </c>
      <c r="N87" s="257">
        <v>1761</v>
      </c>
      <c r="O87" s="257">
        <v>1761</v>
      </c>
      <c r="P87" s="257">
        <v>2054</v>
      </c>
      <c r="Q87" s="257">
        <v>1954</v>
      </c>
      <c r="R87" s="257">
        <v>2800</v>
      </c>
      <c r="S87" s="257">
        <v>2000</v>
      </c>
      <c r="T87" s="257"/>
    </row>
    <row r="88" spans="1:20" ht="15.75" hidden="1" customHeight="1">
      <c r="A88" s="515" t="s">
        <v>9155</v>
      </c>
      <c r="B88" s="516"/>
      <c r="C88" s="254" t="b">
        <f>IF(L15=1,1,IF(G11="Y",1))</f>
        <v>0</v>
      </c>
      <c r="D88" s="250">
        <f t="shared" si="0"/>
        <v>0</v>
      </c>
      <c r="E88" s="250">
        <f t="shared" si="1"/>
        <v>0</v>
      </c>
      <c r="F88" s="558"/>
      <c r="G88" s="559"/>
      <c r="I88" s="218"/>
      <c r="J88" s="256">
        <f>IF(B6&lt;191,L88,IF(B6&lt;249,N88,IF(B6&lt;299.01,P88,IF(B6&gt;299.02,R88))))</f>
        <v>3276</v>
      </c>
      <c r="K88" s="256">
        <f>IF(B6&lt;191,M88,IF(B6&lt;249,O88,IF(B6&lt;299.01,Q88,IF(B6&gt;299.02,S88))))</f>
        <v>1814</v>
      </c>
      <c r="L88" s="257">
        <v>3276</v>
      </c>
      <c r="M88" s="257">
        <v>1814</v>
      </c>
      <c r="N88" s="257">
        <v>3776</v>
      </c>
      <c r="O88" s="257">
        <v>3110</v>
      </c>
      <c r="P88" s="257">
        <v>5443</v>
      </c>
      <c r="Q88" s="257">
        <v>4665</v>
      </c>
      <c r="R88" s="257">
        <v>6000</v>
      </c>
      <c r="S88" s="257">
        <v>5000</v>
      </c>
      <c r="T88" s="257"/>
    </row>
    <row r="89" spans="1:20" ht="15.75" hidden="1" customHeight="1">
      <c r="A89" s="513" t="s">
        <v>9156</v>
      </c>
      <c r="B89" s="514"/>
      <c r="C89" s="254">
        <f>IF(G5=0,0,G5-E5&lt;1.1)</f>
        <v>0</v>
      </c>
      <c r="D89" s="250">
        <f t="shared" si="0"/>
        <v>0</v>
      </c>
      <c r="E89" s="250">
        <f t="shared" si="1"/>
        <v>0</v>
      </c>
      <c r="F89" s="558"/>
      <c r="G89" s="559"/>
      <c r="I89" s="218"/>
      <c r="J89" s="256">
        <v>3000</v>
      </c>
      <c r="K89" s="256">
        <v>3000</v>
      </c>
      <c r="L89" s="257"/>
      <c r="M89" s="257"/>
      <c r="N89" s="257"/>
      <c r="O89" s="257"/>
      <c r="P89" s="257"/>
      <c r="Q89" s="257"/>
      <c r="R89" s="257"/>
      <c r="S89" s="257"/>
      <c r="T89" s="257"/>
    </row>
    <row r="90" spans="1:20" ht="15.75" hidden="1" customHeight="1">
      <c r="A90" s="515" t="s">
        <v>9157</v>
      </c>
      <c r="B90" s="518"/>
      <c r="C90" s="254" t="b">
        <f>IF(N11=1,1,IF(O11=1,1))</f>
        <v>0</v>
      </c>
      <c r="D90" s="250">
        <f t="shared" si="0"/>
        <v>0</v>
      </c>
      <c r="E90" s="250">
        <f t="shared" si="1"/>
        <v>0</v>
      </c>
      <c r="F90" s="558"/>
      <c r="G90" s="559"/>
      <c r="I90" s="218"/>
      <c r="J90" s="256">
        <f>IF(B6&lt;191,L90,IF(B6&lt;249,N90,IF(B6&lt;299.01,P90,IF(B6&gt;299.02,R90))))</f>
        <v>3500</v>
      </c>
      <c r="K90" s="256">
        <f>IF(B6&lt;191,M90,IF(B6&lt;249,O90,IF(B6&lt;299.01,Q90,IF(B6&gt;299.02,S90))))</f>
        <v>2750</v>
      </c>
      <c r="L90" s="257">
        <v>3500</v>
      </c>
      <c r="M90" s="257">
        <v>2750</v>
      </c>
      <c r="N90" s="257">
        <v>3700</v>
      </c>
      <c r="O90" s="257">
        <v>3200</v>
      </c>
      <c r="P90" s="257">
        <v>4000</v>
      </c>
      <c r="Q90" s="257">
        <v>3250</v>
      </c>
      <c r="R90" s="257">
        <v>5500</v>
      </c>
      <c r="S90" s="257">
        <v>4000</v>
      </c>
      <c r="T90" s="257"/>
    </row>
    <row r="91" spans="1:20" ht="15.75" hidden="1" customHeight="1">
      <c r="A91" s="515" t="s">
        <v>9158</v>
      </c>
      <c r="B91" s="518"/>
      <c r="C91" s="254" t="b">
        <f>IF(Q11=1,1,IF(R11=1,1))</f>
        <v>0</v>
      </c>
      <c r="D91" s="250">
        <f t="shared" si="0"/>
        <v>0</v>
      </c>
      <c r="E91" s="250">
        <f t="shared" si="1"/>
        <v>0</v>
      </c>
      <c r="F91" s="558"/>
      <c r="G91" s="559"/>
      <c r="I91" s="218"/>
      <c r="J91" s="256">
        <f>IF(B6&lt;191,L91,IF(B6&lt;249,N91,IF(B6&lt;299.01,P91,IF(B6&gt;299.02,R91))))</f>
        <v>3500</v>
      </c>
      <c r="K91" s="256">
        <f>IF(B6&lt;191,M91,IF(B6&lt;249,O91,IF(B6&lt;299.01,Q91,IF(B6&gt;299.02,S91))))</f>
        <v>2750</v>
      </c>
      <c r="L91" s="257">
        <v>3500</v>
      </c>
      <c r="M91" s="257">
        <v>2750</v>
      </c>
      <c r="N91" s="257">
        <v>3700</v>
      </c>
      <c r="O91" s="257">
        <v>3200</v>
      </c>
      <c r="P91" s="257">
        <v>4000</v>
      </c>
      <c r="Q91" s="257">
        <v>3250</v>
      </c>
      <c r="R91" s="257">
        <v>5500</v>
      </c>
      <c r="S91" s="257">
        <v>4000</v>
      </c>
      <c r="T91" s="257"/>
    </row>
    <row r="92" spans="1:20" ht="15.75" hidden="1" customHeight="1">
      <c r="A92" s="517" t="s">
        <v>9159</v>
      </c>
      <c r="B92" s="518"/>
      <c r="C92" s="254" t="b">
        <f>IF(E6&gt;650, 1)</f>
        <v>0</v>
      </c>
      <c r="D92" s="250">
        <f t="shared" si="0"/>
        <v>0</v>
      </c>
      <c r="E92" s="250">
        <f t="shared" si="1"/>
        <v>0</v>
      </c>
      <c r="F92" s="558"/>
      <c r="G92" s="559"/>
      <c r="I92" s="218"/>
      <c r="J92" s="256" t="b">
        <f>IF(G5&gt;6,(G5-6)*97)</f>
        <v>0</v>
      </c>
      <c r="K92" s="256" t="b">
        <f>IF(G5&gt;6,(G5-6)*97)</f>
        <v>0</v>
      </c>
      <c r="L92" s="257"/>
      <c r="M92" s="257"/>
      <c r="N92" s="257"/>
      <c r="O92" s="257"/>
      <c r="P92" s="257"/>
      <c r="Q92" s="257"/>
      <c r="R92" s="257"/>
      <c r="S92" s="257"/>
      <c r="T92" s="257"/>
    </row>
    <row r="93" spans="1:20" ht="15.75" hidden="1" customHeight="1">
      <c r="A93" s="513" t="s">
        <v>9160</v>
      </c>
      <c r="B93" s="514"/>
      <c r="C93" s="254" t="b">
        <f>IF(G11="Y",1)</f>
        <v>0</v>
      </c>
      <c r="D93" s="250">
        <f t="shared" si="0"/>
        <v>0</v>
      </c>
      <c r="E93" s="250">
        <f t="shared" si="1"/>
        <v>0</v>
      </c>
      <c r="F93" s="558"/>
      <c r="G93" s="559"/>
      <c r="I93" s="218"/>
      <c r="J93" s="256">
        <f>B6*12</f>
        <v>0</v>
      </c>
      <c r="K93" s="256">
        <f>B6*12</f>
        <v>0</v>
      </c>
      <c r="L93" s="257"/>
      <c r="M93" s="257"/>
      <c r="N93" s="257"/>
      <c r="O93" s="257"/>
      <c r="P93" s="257"/>
      <c r="Q93" s="257"/>
      <c r="R93" s="257"/>
      <c r="S93" s="257"/>
      <c r="T93" s="257"/>
    </row>
    <row r="94" spans="1:20" ht="15.75" hidden="1" customHeight="1">
      <c r="A94" s="513" t="s">
        <v>9161</v>
      </c>
      <c r="B94" s="514"/>
      <c r="C94" s="254" t="b">
        <f>IF(E4="Elegance",G4&lt;0.21)</f>
        <v>0</v>
      </c>
      <c r="D94" s="250">
        <f t="shared" si="0"/>
        <v>0</v>
      </c>
      <c r="E94" s="250">
        <f t="shared" si="1"/>
        <v>0</v>
      </c>
      <c r="F94" s="558"/>
      <c r="G94" s="559"/>
      <c r="I94" s="218"/>
      <c r="J94" s="256">
        <f>IF(B6&lt;191,L94,IF(B6&lt;249,N94,IF(B6&lt;299.01,P94,IF(B6&gt;299.02,R94))))</f>
        <v>1118</v>
      </c>
      <c r="K94" s="256">
        <f>IF(B6&lt;191,M94,IF(B6&lt;249,O94,IF(B6&lt;299.01,Q94,IF(B6&gt;299.02,S94))))</f>
        <v>1118</v>
      </c>
      <c r="L94" s="257">
        <v>1118</v>
      </c>
      <c r="M94" s="257">
        <v>1118</v>
      </c>
      <c r="N94" s="257">
        <v>1376</v>
      </c>
      <c r="O94" s="257">
        <v>1275</v>
      </c>
      <c r="P94" s="257">
        <v>2419</v>
      </c>
      <c r="Q94" s="257">
        <v>2219</v>
      </c>
      <c r="R94" s="257">
        <v>2780</v>
      </c>
      <c r="S94" s="257">
        <v>2510</v>
      </c>
      <c r="T94" s="257"/>
    </row>
    <row r="95" spans="1:20" ht="23.25">
      <c r="A95" s="560" t="s">
        <v>9162</v>
      </c>
      <c r="B95" s="561"/>
      <c r="C95" s="562"/>
      <c r="D95" s="258" t="str">
        <f>IF(AND(B7="Single",B13&gt;0,B13&lt;=1000),SUM(D17:D83,D87:D94),"")</f>
        <v/>
      </c>
      <c r="E95" s="258" t="str">
        <f>IF(AND(B7="Double",B13&gt;0,B13&lt;=1000),SUM(E18:E83,E87:E94),"")</f>
        <v/>
      </c>
      <c r="F95" s="558"/>
      <c r="G95" s="559"/>
      <c r="I95" s="218"/>
      <c r="J95" s="218"/>
      <c r="L95" s="257"/>
      <c r="M95" s="257"/>
      <c r="N95" s="257"/>
      <c r="O95" s="257"/>
      <c r="P95" s="257"/>
      <c r="Q95" s="257"/>
      <c r="R95" s="257"/>
      <c r="S95" s="257"/>
      <c r="T95" s="257"/>
    </row>
    <row r="96" spans="1:20" ht="20.25">
      <c r="A96" s="503" t="s">
        <v>9163</v>
      </c>
      <c r="B96" s="503"/>
      <c r="C96" s="503"/>
      <c r="D96" s="503"/>
      <c r="E96" s="503"/>
      <c r="F96" s="503"/>
      <c r="G96" s="503"/>
      <c r="I96" s="218"/>
      <c r="J96" s="218"/>
      <c r="L96" s="257"/>
      <c r="M96" s="257"/>
      <c r="N96" s="257"/>
      <c r="O96" s="257"/>
      <c r="P96" s="257"/>
      <c r="Q96" s="257"/>
      <c r="R96" s="257"/>
      <c r="S96" s="257"/>
      <c r="T96" s="257"/>
    </row>
    <row r="97" spans="1:20" ht="15" customHeight="1">
      <c r="A97" s="550"/>
      <c r="B97" s="551"/>
      <c r="C97" s="551"/>
      <c r="D97" s="544" t="s">
        <v>9143</v>
      </c>
      <c r="E97" s="544" t="s">
        <v>9144</v>
      </c>
      <c r="F97" s="504" t="s">
        <v>9164</v>
      </c>
      <c r="G97" s="504"/>
      <c r="I97" s="218"/>
      <c r="J97" s="543" t="s">
        <v>250</v>
      </c>
      <c r="K97" s="543" t="s">
        <v>251</v>
      </c>
      <c r="L97" s="257"/>
      <c r="M97" s="257"/>
      <c r="N97" s="257"/>
      <c r="O97" s="257"/>
      <c r="P97" s="257"/>
      <c r="Q97" s="257"/>
      <c r="R97" s="257"/>
      <c r="S97" s="257"/>
      <c r="T97" s="257"/>
    </row>
    <row r="98" spans="1:20" ht="35.25" customHeight="1" thickBot="1">
      <c r="A98" s="552"/>
      <c r="B98" s="553"/>
      <c r="C98" s="553"/>
      <c r="D98" s="545"/>
      <c r="E98" s="545"/>
      <c r="F98" s="504"/>
      <c r="G98" s="504"/>
      <c r="H98" s="546"/>
      <c r="I98" s="218"/>
      <c r="J98" s="543"/>
      <c r="K98" s="543"/>
      <c r="L98" s="252" t="s">
        <v>9146</v>
      </c>
      <c r="M98" s="252" t="s">
        <v>9147</v>
      </c>
      <c r="N98" s="252" t="s">
        <v>9148</v>
      </c>
      <c r="O98" s="252" t="s">
        <v>9149</v>
      </c>
      <c r="P98" s="252" t="s">
        <v>9150</v>
      </c>
      <c r="Q98" s="252" t="s">
        <v>9151</v>
      </c>
      <c r="R98" s="252" t="s">
        <v>9152</v>
      </c>
      <c r="S98" s="252" t="s">
        <v>9153</v>
      </c>
      <c r="T98" s="257"/>
    </row>
    <row r="99" spans="1:20" ht="18.75" hidden="1" customHeight="1" thickBot="1">
      <c r="A99" s="511" t="s">
        <v>9165</v>
      </c>
      <c r="B99" s="512"/>
      <c r="C99" s="259">
        <v>1</v>
      </c>
      <c r="D99" s="260">
        <v>1900</v>
      </c>
      <c r="E99" s="260">
        <v>1900</v>
      </c>
      <c r="F99" s="504"/>
      <c r="G99" s="504"/>
      <c r="H99" s="546"/>
      <c r="I99" s="218"/>
      <c r="J99" s="251"/>
      <c r="K99" s="251"/>
      <c r="L99" s="252"/>
      <c r="M99" s="252"/>
      <c r="N99" s="252"/>
      <c r="O99" s="252"/>
      <c r="P99" s="252"/>
      <c r="Q99" s="252"/>
      <c r="R99" s="252"/>
      <c r="S99" s="252"/>
      <c r="T99" s="257"/>
    </row>
    <row r="100" spans="1:20" ht="15.75" hidden="1" customHeight="1">
      <c r="A100" s="527" t="s">
        <v>9166</v>
      </c>
      <c r="B100" s="528"/>
      <c r="C100" s="254" t="b">
        <f>IF((0.6*B13)&gt;0.3,1)</f>
        <v>0</v>
      </c>
      <c r="D100" s="250">
        <f t="shared" ref="D100:D107" si="2">C100*J100</f>
        <v>0</v>
      </c>
      <c r="E100" s="250">
        <f t="shared" ref="E100:E107" si="3">C100*K100</f>
        <v>0</v>
      </c>
      <c r="F100" s="504"/>
      <c r="G100" s="504"/>
      <c r="H100" s="546"/>
      <c r="I100" s="218"/>
      <c r="J100" s="256">
        <f>IF(B6&lt;191,L100,IF(B6&lt;249,N100,IF(B6&lt;299.01,P100,IF(B6&gt;299.02,R100))))</f>
        <v>2452</v>
      </c>
      <c r="K100" s="256">
        <f>IF(B6&lt;191,M100,IF(B6&lt;249,O100,IF(B6&lt;299.01,Q100,IF(B6&gt;299.02,S100))))</f>
        <v>2452</v>
      </c>
      <c r="L100" s="257">
        <v>2452</v>
      </c>
      <c r="M100" s="257">
        <v>2452</v>
      </c>
      <c r="N100" s="257">
        <v>2452</v>
      </c>
      <c r="O100" s="257">
        <v>2452</v>
      </c>
      <c r="P100" s="257">
        <v>2568</v>
      </c>
      <c r="Q100" s="257">
        <v>2368</v>
      </c>
      <c r="R100" s="257">
        <v>2800</v>
      </c>
      <c r="S100" s="257">
        <v>2500</v>
      </c>
      <c r="T100" s="257"/>
    </row>
    <row r="101" spans="1:20" ht="15.75" hidden="1" customHeight="1">
      <c r="A101" s="515" t="s">
        <v>9155</v>
      </c>
      <c r="B101" s="516"/>
      <c r="C101" s="254" t="b">
        <f>IF(L15=1,1,IF(G11="Y",1))</f>
        <v>0</v>
      </c>
      <c r="D101" s="250">
        <f t="shared" si="2"/>
        <v>0</v>
      </c>
      <c r="E101" s="250">
        <f t="shared" si="3"/>
        <v>0</v>
      </c>
      <c r="F101" s="504"/>
      <c r="G101" s="504"/>
      <c r="I101" s="218"/>
      <c r="J101" s="256">
        <f>IF(B6&lt;191,L101,IF(B6&lt;249,N101,IF(B6&lt;299.01,P101,IF(B6&gt;299.02,R101))))</f>
        <v>4227</v>
      </c>
      <c r="K101" s="256">
        <f>IF(B6&lt;191,M101,IF(B6&lt;249,O101,IF(B6&lt;299.01,Q101,IF(B6&gt;299.02,S101))))</f>
        <v>2217</v>
      </c>
      <c r="L101" s="257">
        <v>4227</v>
      </c>
      <c r="M101" s="257">
        <v>2217</v>
      </c>
      <c r="N101" s="257">
        <v>4527</v>
      </c>
      <c r="O101" s="257">
        <v>3801</v>
      </c>
      <c r="P101" s="257">
        <v>6650</v>
      </c>
      <c r="Q101" s="257">
        <v>5702</v>
      </c>
      <c r="R101" s="257">
        <v>6800</v>
      </c>
      <c r="S101" s="257">
        <v>6000</v>
      </c>
      <c r="T101" s="257"/>
    </row>
    <row r="102" spans="1:20" ht="15.75" hidden="1" customHeight="1">
      <c r="A102" s="513" t="s">
        <v>9156</v>
      </c>
      <c r="B102" s="514"/>
      <c r="C102" s="254">
        <f>IF(G5=0,0,G5-E5&lt;1.1)</f>
        <v>0</v>
      </c>
      <c r="D102" s="250">
        <f t="shared" si="2"/>
        <v>0</v>
      </c>
      <c r="E102" s="250">
        <f t="shared" si="3"/>
        <v>0</v>
      </c>
      <c r="F102" s="504"/>
      <c r="G102" s="504"/>
      <c r="I102" s="218"/>
      <c r="J102" s="256">
        <v>3000</v>
      </c>
      <c r="K102" s="256">
        <v>3000</v>
      </c>
      <c r="L102" s="257"/>
      <c r="M102" s="257"/>
      <c r="N102" s="257"/>
      <c r="O102" s="257"/>
      <c r="P102" s="257"/>
      <c r="Q102" s="257"/>
      <c r="R102" s="257"/>
      <c r="S102" s="257"/>
      <c r="T102" s="257"/>
    </row>
    <row r="103" spans="1:20" ht="15.75" hidden="1" customHeight="1">
      <c r="A103" s="513" t="s">
        <v>9157</v>
      </c>
      <c r="B103" s="514"/>
      <c r="C103" s="254" t="b">
        <f>IF(N12=1,1,IF(O12=1,1))</f>
        <v>0</v>
      </c>
      <c r="D103" s="250">
        <f t="shared" si="2"/>
        <v>0</v>
      </c>
      <c r="E103" s="250">
        <f t="shared" si="3"/>
        <v>0</v>
      </c>
      <c r="F103" s="504"/>
      <c r="G103" s="504"/>
      <c r="I103" s="218"/>
      <c r="J103" s="256">
        <f>IF(B6&lt;191,L103,IF(B6&lt;249,N103,IF(B6&lt;299.01,P103,IF(B6&gt;299.02,R103))))</f>
        <v>5250</v>
      </c>
      <c r="K103" s="256">
        <f>IF(B6&lt;191,M103,IF(B6&lt;249,O103,IF(B6&lt;299.01,Q103,IF(B6&gt;299.02,S103))))</f>
        <v>4000</v>
      </c>
      <c r="L103" s="257">
        <v>5250</v>
      </c>
      <c r="M103" s="257">
        <v>4000</v>
      </c>
      <c r="N103" s="257">
        <v>6000</v>
      </c>
      <c r="O103" s="257">
        <v>5250</v>
      </c>
      <c r="P103" s="257">
        <v>7000</v>
      </c>
      <c r="Q103" s="257">
        <v>5750</v>
      </c>
      <c r="R103" s="257">
        <v>8000</v>
      </c>
      <c r="S103" s="257">
        <v>6500</v>
      </c>
      <c r="T103" s="257"/>
    </row>
    <row r="104" spans="1:20" ht="15.75" hidden="1" customHeight="1">
      <c r="A104" s="513" t="s">
        <v>9158</v>
      </c>
      <c r="B104" s="514"/>
      <c r="C104" s="254" t="b">
        <f>IF(Q12=1,1,IF(R12=1,1))</f>
        <v>0</v>
      </c>
      <c r="D104" s="250">
        <f t="shared" si="2"/>
        <v>0</v>
      </c>
      <c r="E104" s="250">
        <f t="shared" si="3"/>
        <v>0</v>
      </c>
      <c r="F104" s="504"/>
      <c r="G104" s="504"/>
      <c r="I104" s="218"/>
      <c r="J104" s="256">
        <f>IF(B6&lt;191,L104,IF(B6&lt;249,N104,IF(B6&lt;299.01,P104,IF(B6&gt;299.02,R104))))</f>
        <v>5250</v>
      </c>
      <c r="K104" s="256">
        <f>IF(B6&lt;191,M104,IF(B6&lt;249,O104,IF(B6&lt;299.01,Q104,IF(B6&gt;299.02,S104))))</f>
        <v>4000</v>
      </c>
      <c r="L104" s="257">
        <v>5250</v>
      </c>
      <c r="M104" s="257">
        <v>4000</v>
      </c>
      <c r="N104" s="257">
        <v>6000</v>
      </c>
      <c r="O104" s="257">
        <v>5250</v>
      </c>
      <c r="P104" s="257">
        <v>7000</v>
      </c>
      <c r="Q104" s="257">
        <v>5750</v>
      </c>
      <c r="R104" s="257">
        <v>8000</v>
      </c>
      <c r="S104" s="257">
        <v>6500</v>
      </c>
      <c r="T104" s="257"/>
    </row>
    <row r="105" spans="1:20" ht="15.75" hidden="1" customHeight="1">
      <c r="A105" s="517" t="s">
        <v>9159</v>
      </c>
      <c r="B105" s="518"/>
      <c r="C105" s="254" t="b">
        <f>IF(E6&gt;650,1)</f>
        <v>0</v>
      </c>
      <c r="D105" s="250">
        <f t="shared" si="2"/>
        <v>0</v>
      </c>
      <c r="E105" s="250">
        <f t="shared" si="3"/>
        <v>0</v>
      </c>
      <c r="F105" s="504"/>
      <c r="G105" s="504"/>
      <c r="I105" s="218"/>
      <c r="J105" s="256" t="b">
        <f>IF(G5&gt;6,(G5-6)*97)</f>
        <v>0</v>
      </c>
      <c r="K105" s="256" t="b">
        <f>IF(G5&gt;6,(G5-6)*97)</f>
        <v>0</v>
      </c>
      <c r="L105" s="257"/>
      <c r="M105" s="257"/>
      <c r="N105" s="257"/>
      <c r="O105" s="257"/>
      <c r="P105" s="257"/>
      <c r="Q105" s="257"/>
      <c r="R105" s="257"/>
      <c r="S105" s="257"/>
      <c r="T105" s="257"/>
    </row>
    <row r="106" spans="1:20" ht="15.75" hidden="1" customHeight="1">
      <c r="A106" s="513" t="s">
        <v>9160</v>
      </c>
      <c r="B106" s="514"/>
      <c r="C106" s="254" t="b">
        <f>IF(G11="Y",1)</f>
        <v>0</v>
      </c>
      <c r="D106" s="250">
        <f t="shared" si="2"/>
        <v>0</v>
      </c>
      <c r="E106" s="250">
        <f t="shared" si="3"/>
        <v>0</v>
      </c>
      <c r="F106" s="504"/>
      <c r="G106" s="504"/>
      <c r="I106" s="218"/>
      <c r="J106" s="256">
        <f>B6*12</f>
        <v>0</v>
      </c>
      <c r="K106" s="256">
        <f>B6*12</f>
        <v>0</v>
      </c>
      <c r="L106" s="257"/>
      <c r="M106" s="257"/>
      <c r="N106" s="257"/>
      <c r="O106" s="257"/>
      <c r="P106" s="257"/>
      <c r="Q106" s="257"/>
      <c r="R106" s="257"/>
      <c r="S106" s="257"/>
      <c r="T106" s="257"/>
    </row>
    <row r="107" spans="1:20" ht="15.75" hidden="1" customHeight="1">
      <c r="A107" s="513" t="s">
        <v>9161</v>
      </c>
      <c r="B107" s="514"/>
      <c r="C107" s="254" t="b">
        <f>IF(E4="Elegance",G4&lt;0.21)</f>
        <v>0</v>
      </c>
      <c r="D107" s="250">
        <f t="shared" si="2"/>
        <v>0</v>
      </c>
      <c r="E107" s="250">
        <f t="shared" si="3"/>
        <v>0</v>
      </c>
      <c r="F107" s="504"/>
      <c r="G107" s="504"/>
      <c r="I107" s="218"/>
      <c r="J107" s="256">
        <f>IF(B6&lt;191,L107,IF(B6&lt;249,N107,IF(B6&lt;299.01,P107,IF(B6&gt;299.02,R107))))</f>
        <v>2063</v>
      </c>
      <c r="K107" s="256">
        <f>IF(B6&lt;191,M107,IF(B6&lt;249,O107,IF(B6&lt;299.01,Q107,IF(B6&gt;299.02,S107))))</f>
        <v>1575</v>
      </c>
      <c r="L107" s="257">
        <v>2063</v>
      </c>
      <c r="M107" s="257">
        <v>1575</v>
      </c>
      <c r="N107" s="257">
        <v>2376</v>
      </c>
      <c r="O107" s="257">
        <v>2075</v>
      </c>
      <c r="P107" s="257">
        <v>2892</v>
      </c>
      <c r="Q107" s="257">
        <v>2792</v>
      </c>
      <c r="R107" s="257">
        <v>3340</v>
      </c>
      <c r="S107" s="257">
        <v>3110</v>
      </c>
      <c r="T107" s="257"/>
    </row>
    <row r="108" spans="1:20" ht="23.25">
      <c r="A108" s="547" t="s">
        <v>9162</v>
      </c>
      <c r="B108" s="548"/>
      <c r="C108" s="549"/>
      <c r="D108" s="261" t="str">
        <f>IF(AND(B7="Single",B13&gt;1001,B13&lt;=1500),SUM(D18:D83,D99:D107),"")</f>
        <v/>
      </c>
      <c r="E108" s="261" t="str">
        <f>IF(AND(B7="Double",B13&gt;1001,B13&lt;=1500),SUM(E18:E83,E99:E107),"")</f>
        <v/>
      </c>
      <c r="F108" s="504"/>
      <c r="G108" s="504"/>
      <c r="I108" s="218"/>
      <c r="J108" s="218"/>
      <c r="L108" s="257"/>
      <c r="M108" s="257"/>
      <c r="N108" s="257"/>
      <c r="O108" s="257"/>
      <c r="P108" s="257"/>
      <c r="Q108" s="257"/>
      <c r="R108" s="257"/>
      <c r="S108" s="257"/>
      <c r="T108" s="257"/>
    </row>
    <row r="109" spans="1:20" ht="20.25">
      <c r="A109" s="503" t="s">
        <v>9167</v>
      </c>
      <c r="B109" s="503"/>
      <c r="C109" s="503"/>
      <c r="D109" s="503"/>
      <c r="E109" s="503"/>
      <c r="F109" s="503"/>
      <c r="G109" s="503"/>
      <c r="I109" s="218"/>
      <c r="J109" s="218"/>
      <c r="L109" s="257"/>
      <c r="M109" s="257"/>
      <c r="N109" s="257"/>
      <c r="O109" s="257"/>
      <c r="P109" s="257"/>
      <c r="Q109" s="257"/>
      <c r="R109" s="257"/>
      <c r="S109" s="257"/>
      <c r="T109" s="257"/>
    </row>
    <row r="110" spans="1:20" ht="15" customHeight="1">
      <c r="A110" s="519"/>
      <c r="B110" s="520"/>
      <c r="C110" s="520"/>
      <c r="D110" s="505" t="s">
        <v>9143</v>
      </c>
      <c r="E110" s="505" t="s">
        <v>9144</v>
      </c>
      <c r="F110" s="507" t="s">
        <v>9168</v>
      </c>
      <c r="G110" s="508"/>
      <c r="I110" s="218"/>
      <c r="J110" s="543" t="s">
        <v>250</v>
      </c>
      <c r="K110" s="543" t="s">
        <v>251</v>
      </c>
      <c r="L110" s="257"/>
      <c r="M110" s="257"/>
      <c r="N110" s="257"/>
      <c r="O110" s="257"/>
      <c r="P110" s="257"/>
      <c r="Q110" s="257"/>
      <c r="R110" s="257"/>
      <c r="S110" s="257"/>
      <c r="T110" s="257"/>
    </row>
    <row r="111" spans="1:20" ht="45" customHeight="1" thickBot="1">
      <c r="A111" s="521"/>
      <c r="B111" s="522"/>
      <c r="C111" s="522"/>
      <c r="D111" s="506"/>
      <c r="E111" s="506"/>
      <c r="F111" s="507"/>
      <c r="G111" s="508"/>
      <c r="H111" s="546"/>
      <c r="I111" s="218"/>
      <c r="J111" s="543"/>
      <c r="K111" s="543"/>
      <c r="L111" s="252" t="s">
        <v>9146</v>
      </c>
      <c r="M111" s="252" t="s">
        <v>9147</v>
      </c>
      <c r="N111" s="252" t="s">
        <v>9148</v>
      </c>
      <c r="O111" s="252" t="s">
        <v>9149</v>
      </c>
      <c r="P111" s="252" t="s">
        <v>9150</v>
      </c>
      <c r="Q111" s="252" t="s">
        <v>9151</v>
      </c>
      <c r="R111" s="252" t="s">
        <v>9152</v>
      </c>
      <c r="S111" s="252" t="s">
        <v>9153</v>
      </c>
      <c r="T111" s="257"/>
    </row>
    <row r="112" spans="1:20" s="218" customFormat="1" ht="18.75" hidden="1" customHeight="1" thickBot="1">
      <c r="A112" s="511" t="s">
        <v>9165</v>
      </c>
      <c r="B112" s="512"/>
      <c r="C112" s="259">
        <v>1</v>
      </c>
      <c r="D112" s="260">
        <f t="shared" ref="D112:D121" si="4">C112*J112</f>
        <v>8500</v>
      </c>
      <c r="E112" s="260">
        <f t="shared" ref="E112:E121" si="5">C112*K112</f>
        <v>7500</v>
      </c>
      <c r="F112" s="507"/>
      <c r="G112" s="508"/>
      <c r="H112" s="546"/>
      <c r="J112" s="262">
        <f>IF(B6&lt;191,L112,IF(B6&lt;249,N112,IF(B6&lt;299.01,P112,IF(B6&gt;299.02,R112))))</f>
        <v>8500</v>
      </c>
      <c r="K112" s="262">
        <f>IF(B6&lt;191,M112,IF(B6&lt;249,O112,IF(B6&lt;299.01,Q112,IF(B6&gt;299.02,S112))))</f>
        <v>7500</v>
      </c>
      <c r="L112" s="257">
        <v>8500</v>
      </c>
      <c r="M112" s="257">
        <v>7500</v>
      </c>
      <c r="N112" s="257">
        <v>9000</v>
      </c>
      <c r="O112" s="257">
        <v>7500</v>
      </c>
      <c r="P112" s="257">
        <v>10800</v>
      </c>
      <c r="Q112" s="257">
        <v>9000</v>
      </c>
      <c r="R112" s="257">
        <v>12900</v>
      </c>
      <c r="S112" s="257">
        <v>10500</v>
      </c>
      <c r="T112" s="257"/>
    </row>
    <row r="113" spans="1:20" s="218" customFormat="1" ht="15.75" hidden="1" customHeight="1" thickBot="1">
      <c r="A113" s="527" t="s">
        <v>9166</v>
      </c>
      <c r="B113" s="528"/>
      <c r="C113" s="254" t="b">
        <f>IF((0.6*B13)&gt;0.3,1)</f>
        <v>0</v>
      </c>
      <c r="D113" s="250">
        <f t="shared" si="4"/>
        <v>0</v>
      </c>
      <c r="E113" s="250">
        <f t="shared" si="5"/>
        <v>0</v>
      </c>
      <c r="F113" s="507"/>
      <c r="G113" s="508"/>
      <c r="H113" s="546"/>
      <c r="J113" s="256">
        <f>IF(B6&lt;191,L113,IF(B6&lt;249,N113,IF(B6&lt;299.01,P113,IF(B6&gt;299.02,R113))))</f>
        <v>3042</v>
      </c>
      <c r="K113" s="256">
        <f>IF(B6&lt;191,M113,IF(B6&lt;249,O113,IF(B6&lt;299.01,Q113,IF(B6&gt;299.02,S113))))</f>
        <v>2664</v>
      </c>
      <c r="L113" s="257">
        <v>3042</v>
      </c>
      <c r="M113" s="257">
        <v>2664</v>
      </c>
      <c r="N113" s="257">
        <v>3042</v>
      </c>
      <c r="O113" s="257">
        <v>2664</v>
      </c>
      <c r="P113" s="257">
        <v>3313</v>
      </c>
      <c r="Q113" s="257">
        <v>2913</v>
      </c>
      <c r="R113" s="257">
        <v>3500</v>
      </c>
      <c r="S113" s="257">
        <v>3300</v>
      </c>
      <c r="T113" s="257"/>
    </row>
    <row r="114" spans="1:20" s="218" customFormat="1" ht="15.75" hidden="1" customHeight="1" thickBot="1">
      <c r="A114" s="515" t="s">
        <v>9155</v>
      </c>
      <c r="B114" s="516"/>
      <c r="C114" s="254" t="b">
        <f>IF(L15=1,1,IF(G11="Y",1))</f>
        <v>0</v>
      </c>
      <c r="D114" s="250">
        <f t="shared" si="4"/>
        <v>0</v>
      </c>
      <c r="E114" s="250">
        <f t="shared" si="5"/>
        <v>0</v>
      </c>
      <c r="F114" s="507"/>
      <c r="G114" s="508"/>
      <c r="J114" s="256">
        <f>IF(B6&lt;191,L114,IF(B6&lt;249,N114,IF(B6&lt;299.01,P114,IF(B6&gt;299.02,R114))))</f>
        <v>4894</v>
      </c>
      <c r="K114" s="256">
        <f>IF(B6&lt;191,M114,IF(B6&lt;249,O114,IF(B6&lt;299.01,Q114,IF(B6&gt;299.02,S114))))</f>
        <v>3024</v>
      </c>
      <c r="L114" s="257">
        <v>4894</v>
      </c>
      <c r="M114" s="257">
        <v>3024</v>
      </c>
      <c r="N114" s="257">
        <v>5394</v>
      </c>
      <c r="O114" s="257">
        <v>4884</v>
      </c>
      <c r="P114" s="257">
        <v>8072</v>
      </c>
      <c r="Q114" s="257">
        <v>6276</v>
      </c>
      <c r="R114" s="257">
        <v>8500</v>
      </c>
      <c r="S114" s="257">
        <v>7800</v>
      </c>
      <c r="T114" s="257"/>
    </row>
    <row r="115" spans="1:20" s="218" customFormat="1" ht="15.75" hidden="1" customHeight="1" thickBot="1">
      <c r="A115" s="513" t="s">
        <v>9169</v>
      </c>
      <c r="B115" s="514"/>
      <c r="C115" s="254">
        <f>IF(G5=0,0,G5-E5&lt;2)</f>
        <v>0</v>
      </c>
      <c r="D115" s="250">
        <f t="shared" si="4"/>
        <v>0</v>
      </c>
      <c r="E115" s="250">
        <f t="shared" si="5"/>
        <v>0</v>
      </c>
      <c r="F115" s="507"/>
      <c r="G115" s="508"/>
      <c r="J115" s="256">
        <v>4000</v>
      </c>
      <c r="K115" s="256">
        <v>4000</v>
      </c>
      <c r="L115" s="257"/>
      <c r="M115" s="257"/>
      <c r="N115" s="257"/>
      <c r="O115" s="257"/>
      <c r="P115" s="257"/>
      <c r="Q115" s="257"/>
      <c r="R115" s="257"/>
      <c r="S115" s="257"/>
      <c r="T115" s="257"/>
    </row>
    <row r="116" spans="1:20" s="218" customFormat="1" ht="15.75" hidden="1" customHeight="1" thickBot="1">
      <c r="A116" s="515" t="s">
        <v>9157</v>
      </c>
      <c r="B116" s="518"/>
      <c r="C116" s="254" t="b">
        <f>IF(N13=1,1,IF(O13=1,1))</f>
        <v>0</v>
      </c>
      <c r="D116" s="250">
        <f t="shared" si="4"/>
        <v>0</v>
      </c>
      <c r="E116" s="250">
        <f t="shared" si="5"/>
        <v>0</v>
      </c>
      <c r="F116" s="507"/>
      <c r="G116" s="508"/>
      <c r="J116" s="256">
        <f>IF(B6&lt;191,L116,IF(B6&lt;249,N116,IF(B6&lt;299.01,P116,IF(B6&gt;299.02,R116))))</f>
        <v>8250</v>
      </c>
      <c r="K116" s="256">
        <f>IF(B6&lt;191,M116,IF(B6&lt;249,O116,IF(B6&lt;299.01,Q116,IF(B6&gt;299.02,S116))))</f>
        <v>6250</v>
      </c>
      <c r="L116" s="257">
        <v>8250</v>
      </c>
      <c r="M116" s="257">
        <v>6250</v>
      </c>
      <c r="N116" s="257">
        <v>7500</v>
      </c>
      <c r="O116" s="257">
        <v>6000</v>
      </c>
      <c r="P116" s="257">
        <v>10000</v>
      </c>
      <c r="Q116" s="257">
        <v>8000</v>
      </c>
      <c r="R116" s="257">
        <v>12000</v>
      </c>
      <c r="S116" s="257">
        <v>10000</v>
      </c>
      <c r="T116" s="257"/>
    </row>
    <row r="117" spans="1:20" s="218" customFormat="1" ht="15.75" hidden="1" customHeight="1" thickBot="1">
      <c r="A117" s="515" t="s">
        <v>9158</v>
      </c>
      <c r="B117" s="518"/>
      <c r="C117" s="254" t="b">
        <f>IF(Q13=1,1,IF(R13=1,1))</f>
        <v>0</v>
      </c>
      <c r="D117" s="250">
        <f t="shared" si="4"/>
        <v>0</v>
      </c>
      <c r="E117" s="250">
        <f t="shared" si="5"/>
        <v>0</v>
      </c>
      <c r="F117" s="507"/>
      <c r="G117" s="508"/>
      <c r="J117" s="256">
        <f>IF(B6&lt;191,L117,IF(B6&lt;249,N117,IF(B6&lt;299.01,P117,IF(B6&gt;299.02,R117))))</f>
        <v>8250</v>
      </c>
      <c r="K117" s="256">
        <f>IF(B6&lt;191,M117,IF(B6&lt;249,O117,IF(B6&lt;299.01,Q117,IF(B6&gt;299.02,S117))))</f>
        <v>6250</v>
      </c>
      <c r="L117" s="257">
        <v>8250</v>
      </c>
      <c r="M117" s="257">
        <v>6250</v>
      </c>
      <c r="N117" s="257">
        <v>7500</v>
      </c>
      <c r="O117" s="257">
        <v>6000</v>
      </c>
      <c r="P117" s="257">
        <v>10000</v>
      </c>
      <c r="Q117" s="257">
        <v>8000</v>
      </c>
      <c r="R117" s="257">
        <v>12000</v>
      </c>
      <c r="S117" s="257">
        <v>10000</v>
      </c>
      <c r="T117" s="257"/>
    </row>
    <row r="118" spans="1:20" s="218" customFormat="1" ht="15.75" hidden="1" customHeight="1" thickBot="1">
      <c r="A118" s="517" t="s">
        <v>9159</v>
      </c>
      <c r="B118" s="518"/>
      <c r="C118" s="254" t="b">
        <f>IF(E6&gt;650,1)</f>
        <v>0</v>
      </c>
      <c r="D118" s="250">
        <f t="shared" si="4"/>
        <v>0</v>
      </c>
      <c r="E118" s="250">
        <f t="shared" si="5"/>
        <v>0</v>
      </c>
      <c r="F118" s="507"/>
      <c r="G118" s="508"/>
      <c r="J118" s="256" t="b">
        <f>IF(G5&gt;6,(G5-6)*97)</f>
        <v>0</v>
      </c>
      <c r="K118" s="256" t="b">
        <f>IF(G5&gt;6,(G5-6)*97)</f>
        <v>0</v>
      </c>
      <c r="L118" s="257"/>
      <c r="M118" s="257"/>
      <c r="N118" s="257"/>
      <c r="O118" s="257"/>
      <c r="P118" s="257"/>
      <c r="Q118" s="257"/>
      <c r="R118" s="257"/>
      <c r="S118" s="257"/>
      <c r="T118" s="257"/>
    </row>
    <row r="119" spans="1:20" s="218" customFormat="1" ht="15.75" hidden="1" customHeight="1" thickBot="1">
      <c r="A119" s="513" t="s">
        <v>9160</v>
      </c>
      <c r="B119" s="514"/>
      <c r="C119" s="263" t="b">
        <f>IF(G11="Y",1)</f>
        <v>0</v>
      </c>
      <c r="D119" s="250">
        <f t="shared" si="4"/>
        <v>0</v>
      </c>
      <c r="E119" s="250">
        <f t="shared" si="5"/>
        <v>0</v>
      </c>
      <c r="F119" s="507"/>
      <c r="G119" s="508"/>
      <c r="J119" s="256">
        <f>B6*12</f>
        <v>0</v>
      </c>
      <c r="K119" s="256">
        <f>B6*12</f>
        <v>0</v>
      </c>
      <c r="L119" s="257"/>
      <c r="M119" s="257"/>
      <c r="N119" s="257"/>
      <c r="O119" s="257"/>
      <c r="P119" s="257"/>
      <c r="Q119" s="257"/>
      <c r="R119" s="257"/>
      <c r="S119" s="257"/>
      <c r="T119" s="257"/>
    </row>
    <row r="120" spans="1:20" s="218" customFormat="1" ht="15.75" hidden="1" customHeight="1" thickBot="1">
      <c r="A120" s="513" t="s">
        <v>9170</v>
      </c>
      <c r="B120" s="514"/>
      <c r="C120" s="263" t="b">
        <f>IF(E4="Elegance",G4&lt;0.21)</f>
        <v>0</v>
      </c>
      <c r="D120" s="250">
        <f t="shared" si="4"/>
        <v>0</v>
      </c>
      <c r="E120" s="250">
        <f t="shared" si="5"/>
        <v>0</v>
      </c>
      <c r="F120" s="507"/>
      <c r="G120" s="508"/>
      <c r="J120" s="256">
        <f>IF(B6&lt;191,L120,IF(B6&lt;249,N120,IF(B6&lt;299.01,P120,IF(B6&gt;299.02,R120))))</f>
        <v>3036</v>
      </c>
      <c r="K120" s="256">
        <f>IF(B6&lt;191,M120,IF(B6&lt;249,O120,IF(B6&lt;299.01,Q120,IF(B6&gt;299.02,S120))))</f>
        <v>2750</v>
      </c>
      <c r="L120" s="257">
        <v>3036</v>
      </c>
      <c r="M120" s="257">
        <v>2750</v>
      </c>
      <c r="N120" s="257">
        <v>3395</v>
      </c>
      <c r="O120" s="257">
        <v>3064</v>
      </c>
      <c r="P120" s="257">
        <v>3516</v>
      </c>
      <c r="Q120" s="257">
        <v>3026</v>
      </c>
      <c r="R120" s="257">
        <v>3810</v>
      </c>
      <c r="S120" s="257">
        <v>3340</v>
      </c>
      <c r="T120" s="257"/>
    </row>
    <row r="121" spans="1:20" s="218" customFormat="1" ht="15.75" hidden="1" customHeight="1" thickBot="1">
      <c r="A121" s="513" t="s">
        <v>9171</v>
      </c>
      <c r="B121" s="514"/>
      <c r="C121" s="263" t="b">
        <f>IF(B13&gt;1.79,G3&lt;6.1)</f>
        <v>0</v>
      </c>
      <c r="D121" s="250">
        <f t="shared" si="4"/>
        <v>0</v>
      </c>
      <c r="E121" s="250">
        <f t="shared" si="5"/>
        <v>0</v>
      </c>
      <c r="F121" s="507"/>
      <c r="G121" s="508"/>
      <c r="J121" s="256">
        <f>IF(B6&lt;191,L121,IF(B6&lt;249,N121,IF(B6&lt;299.01,P121,IF(B6&gt;299.02,R121))))</f>
        <v>3036</v>
      </c>
      <c r="K121" s="256">
        <f>IF(B6&lt;191,M121,IF(B6&lt;249,O121,IF(B6&lt;299.01,Q121,IF(B6&gt;299.02,S121))))</f>
        <v>2750</v>
      </c>
      <c r="L121" s="257">
        <v>3036</v>
      </c>
      <c r="M121" s="257">
        <v>2750</v>
      </c>
      <c r="N121" s="257">
        <v>3395</v>
      </c>
      <c r="O121" s="257">
        <v>3064</v>
      </c>
      <c r="P121" s="257">
        <v>3516</v>
      </c>
      <c r="Q121" s="257">
        <v>3026</v>
      </c>
      <c r="R121" s="257">
        <v>3810</v>
      </c>
      <c r="S121" s="257">
        <v>3340</v>
      </c>
      <c r="T121" s="257"/>
    </row>
    <row r="122" spans="1:20" ht="24" thickBot="1">
      <c r="A122" s="524" t="s">
        <v>9162</v>
      </c>
      <c r="B122" s="525"/>
      <c r="C122" s="526"/>
      <c r="D122" s="264" t="str">
        <f>IF(AND(B7="Single",B13&gt;1501,B13&lt;=2000),SUM(D18:D83,D112:D121),"")</f>
        <v/>
      </c>
      <c r="E122" s="264" t="str">
        <f>IF(AND(B7="Double",B13&gt;1501,B13&lt;=2000),SUM(E18:E83,E112:E121),"")</f>
        <v/>
      </c>
      <c r="F122" s="509"/>
      <c r="G122" s="510"/>
      <c r="I122" s="218"/>
      <c r="J122" s="218"/>
      <c r="L122" s="257"/>
      <c r="M122" s="257"/>
      <c r="N122" s="257"/>
      <c r="O122" s="257"/>
      <c r="P122" s="257"/>
      <c r="Q122" s="257"/>
      <c r="R122" s="257"/>
      <c r="S122" s="257"/>
      <c r="T122" s="257"/>
    </row>
    <row r="123" spans="1:20">
      <c r="A123" s="531"/>
      <c r="B123" s="532"/>
      <c r="C123" s="532"/>
      <c r="D123" s="532"/>
      <c r="E123" s="533"/>
      <c r="F123" s="537" t="s">
        <v>9172</v>
      </c>
      <c r="G123" s="538"/>
      <c r="I123" s="218"/>
      <c r="J123" s="218"/>
      <c r="L123" s="257"/>
      <c r="M123" s="257"/>
      <c r="N123" s="257"/>
      <c r="O123" s="257"/>
      <c r="P123" s="257"/>
      <c r="Q123" s="257"/>
      <c r="R123" s="257"/>
      <c r="S123" s="257"/>
      <c r="T123" s="257"/>
    </row>
    <row r="124" spans="1:20">
      <c r="A124" s="534"/>
      <c r="B124" s="535"/>
      <c r="C124" s="535"/>
      <c r="D124" s="535"/>
      <c r="E124" s="536"/>
      <c r="F124" s="265" t="s">
        <v>9173</v>
      </c>
      <c r="G124" s="266"/>
      <c r="I124" s="218"/>
      <c r="J124" s="218"/>
      <c r="L124" s="257"/>
      <c r="M124" s="257"/>
      <c r="N124" s="257"/>
      <c r="O124" s="257"/>
      <c r="P124" s="257"/>
      <c r="Q124" s="257"/>
      <c r="R124" s="257"/>
      <c r="S124" s="257"/>
      <c r="T124" s="257"/>
    </row>
    <row r="125" spans="1:20" ht="43.5" customHeight="1">
      <c r="A125" s="534"/>
      <c r="B125" s="535"/>
      <c r="C125" s="535"/>
      <c r="D125" s="535"/>
      <c r="E125" s="536"/>
      <c r="F125" s="267" t="s">
        <v>9174</v>
      </c>
      <c r="G125" s="268"/>
      <c r="I125" s="218"/>
      <c r="J125" s="218"/>
      <c r="L125" s="257"/>
      <c r="M125" s="257"/>
      <c r="N125" s="257"/>
      <c r="O125" s="257"/>
      <c r="P125" s="257"/>
      <c r="Q125" s="257"/>
      <c r="R125" s="257"/>
      <c r="S125" s="257"/>
      <c r="T125" s="257"/>
    </row>
    <row r="126" spans="1:20" ht="18">
      <c r="A126" s="529" t="s">
        <v>9175</v>
      </c>
      <c r="B126" s="530"/>
      <c r="C126" s="530"/>
      <c r="D126" s="530"/>
      <c r="E126" s="530"/>
      <c r="F126" s="530"/>
      <c r="G126" s="530"/>
      <c r="I126" s="218"/>
      <c r="J126" s="218"/>
      <c r="L126" s="257"/>
      <c r="M126" s="257"/>
      <c r="N126" s="257"/>
      <c r="O126" s="257"/>
      <c r="P126" s="257"/>
      <c r="Q126" s="257"/>
      <c r="R126" s="257"/>
      <c r="S126" s="257"/>
      <c r="T126" s="257"/>
    </row>
    <row r="127" spans="1:20" ht="18">
      <c r="A127" s="269"/>
      <c r="B127" s="269"/>
      <c r="H127" s="270"/>
      <c r="I127" s="218"/>
      <c r="J127" s="218"/>
      <c r="S127" s="218"/>
      <c r="T127" s="218"/>
    </row>
    <row r="128" spans="1:20" ht="18">
      <c r="A128" s="269"/>
      <c r="B128" s="269"/>
      <c r="C128" s="270"/>
      <c r="D128" s="270"/>
      <c r="E128" s="270"/>
      <c r="F128" s="270"/>
      <c r="G128" s="270"/>
      <c r="H128" s="270"/>
      <c r="I128" s="218"/>
      <c r="J128" s="218"/>
      <c r="S128" s="218"/>
      <c r="T128" s="218"/>
    </row>
    <row r="129" spans="1:20" ht="18">
      <c r="A129" s="269"/>
      <c r="B129" s="269"/>
      <c r="C129" s="270"/>
      <c r="D129" s="270"/>
      <c r="E129" s="270"/>
      <c r="F129" s="270"/>
      <c r="G129" s="270"/>
      <c r="H129" s="270"/>
      <c r="J129" s="218"/>
      <c r="S129" s="218"/>
      <c r="T129" s="218"/>
    </row>
    <row r="130" spans="1:20" ht="18">
      <c r="A130" s="269"/>
      <c r="B130" s="269"/>
      <c r="C130" s="270"/>
      <c r="D130" s="270"/>
      <c r="E130" s="270"/>
      <c r="F130" s="270"/>
      <c r="G130" s="270"/>
      <c r="H130" s="270"/>
      <c r="J130" s="218"/>
      <c r="S130" s="218"/>
      <c r="T130" s="218"/>
    </row>
    <row r="131" spans="1:20" ht="18">
      <c r="A131" s="269"/>
      <c r="B131" s="269"/>
      <c r="C131" s="270"/>
      <c r="D131" s="270"/>
      <c r="E131" s="270"/>
      <c r="F131" s="270"/>
      <c r="G131" s="270"/>
      <c r="H131" s="270"/>
      <c r="J131" s="218"/>
      <c r="S131" s="218"/>
      <c r="T131" s="218"/>
    </row>
    <row r="132" spans="1:20" ht="18">
      <c r="A132" s="269"/>
      <c r="B132" s="269"/>
      <c r="C132" s="269"/>
      <c r="D132" s="269"/>
      <c r="E132" s="270"/>
      <c r="F132" s="270"/>
      <c r="G132" s="270"/>
      <c r="H132" s="270"/>
      <c r="J132" s="218"/>
      <c r="S132" s="218"/>
      <c r="T132" s="218"/>
    </row>
    <row r="133" spans="1:20" ht="18.75">
      <c r="A133" s="271"/>
      <c r="B133" s="271"/>
      <c r="C133" s="270"/>
      <c r="D133" s="270"/>
      <c r="E133" s="270"/>
      <c r="F133" s="270"/>
      <c r="G133" s="270"/>
      <c r="H133" s="270"/>
      <c r="J133" s="218"/>
      <c r="S133" s="218"/>
      <c r="T133" s="218"/>
    </row>
    <row r="134" spans="1:20">
      <c r="A134" s="523"/>
      <c r="B134" s="523"/>
      <c r="C134" s="523"/>
      <c r="D134" s="523"/>
      <c r="E134" s="270"/>
      <c r="F134" s="270"/>
      <c r="G134" s="270"/>
      <c r="H134" s="270"/>
    </row>
    <row r="135" spans="1:20">
      <c r="A135" s="272"/>
      <c r="B135" s="272"/>
      <c r="C135" s="270"/>
      <c r="D135" s="270"/>
      <c r="E135" s="270"/>
      <c r="F135" s="270"/>
      <c r="G135" s="270"/>
      <c r="H135" s="270"/>
    </row>
    <row r="136" spans="1:20">
      <c r="A136" s="523"/>
      <c r="B136" s="523"/>
      <c r="C136" s="523"/>
      <c r="D136" s="523"/>
      <c r="E136" s="523"/>
      <c r="F136" s="270"/>
      <c r="G136" s="270"/>
    </row>
  </sheetData>
  <sheetProtection algorithmName="SHA-512" hashValue="QpexkVi84ZC+eVJewXxNoI97j6K/0ikZNQNkDLFKCrd7weGcLEXhr4LZTO8Rk6CeEaQud0EpxfvQNaUE7szO4A==" saltValue="9NUVJMzGfs+rWGVaJEFqfw==" spinCount="100000" sheet="1" objects="1" scenarios="1" formatRows="0" insertRows="0" deleteRows="0" selectLockedCells="1"/>
  <mergeCells count="83">
    <mergeCell ref="C5:D5"/>
    <mergeCell ref="A1:G1"/>
    <mergeCell ref="B3:E3"/>
    <mergeCell ref="C4:D4"/>
    <mergeCell ref="A9:G9"/>
    <mergeCell ref="A8:G8"/>
    <mergeCell ref="C7:D7"/>
    <mergeCell ref="A2:G2"/>
    <mergeCell ref="C6:D6"/>
    <mergeCell ref="A10:B10"/>
    <mergeCell ref="A84:G84"/>
    <mergeCell ref="A85:C86"/>
    <mergeCell ref="A13:A14"/>
    <mergeCell ref="B13:B14"/>
    <mergeCell ref="G12:G13"/>
    <mergeCell ref="A15:G15"/>
    <mergeCell ref="A16:G16"/>
    <mergeCell ref="A17:C83"/>
    <mergeCell ref="F79:G79"/>
    <mergeCell ref="F20:G20"/>
    <mergeCell ref="F21:G21"/>
    <mergeCell ref="F17:G17"/>
    <mergeCell ref="F19:G19"/>
    <mergeCell ref="F18:G18"/>
    <mergeCell ref="F81:G81"/>
    <mergeCell ref="K85:K86"/>
    <mergeCell ref="E85:E86"/>
    <mergeCell ref="D85:D86"/>
    <mergeCell ref="A92:B92"/>
    <mergeCell ref="J85:J86"/>
    <mergeCell ref="A87:B87"/>
    <mergeCell ref="A89:B89"/>
    <mergeCell ref="A90:B90"/>
    <mergeCell ref="A91:B91"/>
    <mergeCell ref="F85:G95"/>
    <mergeCell ref="A88:B88"/>
    <mergeCell ref="A93:B93"/>
    <mergeCell ref="A94:B94"/>
    <mergeCell ref="A95:C95"/>
    <mergeCell ref="F82:G82"/>
    <mergeCell ref="F83:G83"/>
    <mergeCell ref="K110:K111"/>
    <mergeCell ref="D97:D98"/>
    <mergeCell ref="E97:E98"/>
    <mergeCell ref="H111:H113"/>
    <mergeCell ref="A109:G109"/>
    <mergeCell ref="A108:C108"/>
    <mergeCell ref="J97:J98"/>
    <mergeCell ref="K97:K98"/>
    <mergeCell ref="H98:H100"/>
    <mergeCell ref="A99:B99"/>
    <mergeCell ref="J110:J111"/>
    <mergeCell ref="D110:D111"/>
    <mergeCell ref="A97:C98"/>
    <mergeCell ref="A100:B100"/>
    <mergeCell ref="A136:E136"/>
    <mergeCell ref="A122:C122"/>
    <mergeCell ref="A113:B113"/>
    <mergeCell ref="A115:B115"/>
    <mergeCell ref="A116:B116"/>
    <mergeCell ref="A118:B118"/>
    <mergeCell ref="A117:B117"/>
    <mergeCell ref="A114:B114"/>
    <mergeCell ref="A134:D134"/>
    <mergeCell ref="A126:G126"/>
    <mergeCell ref="A123:E125"/>
    <mergeCell ref="F123:G123"/>
    <mergeCell ref="A121:B121"/>
    <mergeCell ref="A119:B119"/>
    <mergeCell ref="A120:B120"/>
    <mergeCell ref="A96:G96"/>
    <mergeCell ref="F97:G108"/>
    <mergeCell ref="E110:E111"/>
    <mergeCell ref="F110:G122"/>
    <mergeCell ref="A112:B112"/>
    <mergeCell ref="A107:B107"/>
    <mergeCell ref="A101:B101"/>
    <mergeCell ref="A103:B103"/>
    <mergeCell ref="A105:B105"/>
    <mergeCell ref="A102:B102"/>
    <mergeCell ref="A104:B104"/>
    <mergeCell ref="A106:B106"/>
    <mergeCell ref="A110:C111"/>
  </mergeCells>
  <conditionalFormatting sqref="B3:B7 G3:G7 E4:E7 G11 B11:B12 D11:E14 G14">
    <cfRule type="expression" dxfId="211" priority="25">
      <formula>ISBLANK(B3)</formula>
    </cfRule>
  </conditionalFormatting>
  <conditionalFormatting sqref="B5">
    <cfRule type="cellIs" dxfId="210" priority="26" operator="equal">
      <formula>"Yes"</formula>
    </cfRule>
  </conditionalFormatting>
  <conditionalFormatting sqref="B13:B14">
    <cfRule type="cellIs" dxfId="209" priority="27" operator="greaterThan">
      <formula>2001</formula>
    </cfRule>
    <cfRule type="cellIs" dxfId="208" priority="28" operator="between">
      <formula>1501</formula>
      <formula>2000</formula>
    </cfRule>
    <cfRule type="cellIs" dxfId="207" priority="29" operator="between">
      <formula>1001</formula>
      <formula>1500</formula>
    </cfRule>
    <cfRule type="cellIs" dxfId="206" priority="30" operator="between">
      <formula>0</formula>
      <formula>1000</formula>
    </cfRule>
  </conditionalFormatting>
  <dataValidations count="6">
    <dataValidation type="list" allowBlank="1" showInputMessage="1" showErrorMessage="1" sqref="G14 G11" xr:uid="{00000000-0002-0000-0000-000004000000}">
      <formula1>"Y,N"</formula1>
    </dataValidation>
    <dataValidation type="list" allowBlank="1" showInputMessage="1" showErrorMessage="1" sqref="E4" xr:uid="{00000000-0002-0000-0000-000003000000}">
      <formula1>$L$2:$L$5</formula1>
    </dataValidation>
    <dataValidation type="list" allowBlank="1" showInputMessage="1" showErrorMessage="1" sqref="E7" xr:uid="{00000000-0002-0000-0000-000002000000}">
      <formula1>$J$22:$J$78</formula1>
    </dataValidation>
    <dataValidation type="list" allowBlank="1" showInputMessage="1" showErrorMessage="1" sqref="B7" xr:uid="{00000000-0002-0000-0000-000001000000}">
      <formula1>"Double,Single"</formula1>
    </dataValidation>
    <dataValidation type="decimal" allowBlank="1" showInputMessage="1" showErrorMessage="1" sqref="B11:B12 D11:E14 G3:G7 E5:E6 B6" xr:uid="{82B0067B-869E-4662-BBB3-A91A5DED76A5}">
      <formula1>-1000</formula1>
      <formula2>1000</formula2>
    </dataValidation>
    <dataValidation type="list" allowBlank="1" showInputMessage="1" showErrorMessage="1" sqref="B5" xr:uid="{00000000-0002-0000-0000-000000000000}">
      <formula1>$K$2:$K$3</formula1>
    </dataValidation>
  </dataValidations>
  <pageMargins left="0.7" right="0.7" top="0.75" bottom="0.75" header="0.3" footer="0.3"/>
  <pageSetup paperSize="9" scale="50" fitToWidth="0"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D14E2-2A51-47B5-9410-EB8362E0BD00}">
  <dimension ref="A1:B19"/>
  <sheetViews>
    <sheetView workbookViewId="0">
      <selection sqref="A1:B1"/>
    </sheetView>
  </sheetViews>
  <sheetFormatPr defaultColWidth="8.85546875" defaultRowHeight="15"/>
  <cols>
    <col min="1" max="1" width="39.85546875" customWidth="1"/>
    <col min="2" max="2" width="112.140625" customWidth="1"/>
  </cols>
  <sheetData>
    <row r="1" spans="1:2" ht="15.75" thickBot="1">
      <c r="A1" s="598" t="s">
        <v>10957</v>
      </c>
      <c r="B1" s="599"/>
    </row>
    <row r="2" spans="1:2" ht="15.75" thickBot="1">
      <c r="A2" s="412" t="s">
        <v>10956</v>
      </c>
      <c r="B2" s="412" t="s">
        <v>10955</v>
      </c>
    </row>
    <row r="3" spans="1:2">
      <c r="A3" s="411" t="s">
        <v>9109</v>
      </c>
      <c r="B3" s="410" t="s">
        <v>10954</v>
      </c>
    </row>
    <row r="4" spans="1:2">
      <c r="A4" s="409" t="s">
        <v>10953</v>
      </c>
      <c r="B4" s="408" t="s">
        <v>10952</v>
      </c>
    </row>
    <row r="5" spans="1:2">
      <c r="A5" s="409" t="s">
        <v>10951</v>
      </c>
      <c r="B5" s="408" t="s">
        <v>10950</v>
      </c>
    </row>
    <row r="6" spans="1:2">
      <c r="A6" s="409" t="s">
        <v>10949</v>
      </c>
      <c r="B6" s="408" t="s">
        <v>10948</v>
      </c>
    </row>
    <row r="7" spans="1:2">
      <c r="A7" s="409" t="s">
        <v>10947</v>
      </c>
      <c r="B7" s="408" t="s">
        <v>10946</v>
      </c>
    </row>
    <row r="8" spans="1:2">
      <c r="A8" s="409" t="s">
        <v>10945</v>
      </c>
      <c r="B8" s="408" t="s">
        <v>10944</v>
      </c>
    </row>
    <row r="9" spans="1:2">
      <c r="A9" s="409" t="s">
        <v>10943</v>
      </c>
      <c r="B9" s="408" t="s">
        <v>10942</v>
      </c>
    </row>
    <row r="10" spans="1:2">
      <c r="A10" s="409" t="s">
        <v>10941</v>
      </c>
      <c r="B10" s="408" t="s">
        <v>10940</v>
      </c>
    </row>
    <row r="11" spans="1:2">
      <c r="A11" s="409" t="s">
        <v>10939</v>
      </c>
      <c r="B11" s="408" t="s">
        <v>10937</v>
      </c>
    </row>
    <row r="12" spans="1:2">
      <c r="A12" s="409" t="s">
        <v>10938</v>
      </c>
      <c r="B12" s="408" t="s">
        <v>10937</v>
      </c>
    </row>
    <row r="13" spans="1:2">
      <c r="A13" s="409" t="s">
        <v>10936</v>
      </c>
      <c r="B13" s="408" t="s">
        <v>10935</v>
      </c>
    </row>
    <row r="14" spans="1:2">
      <c r="A14" s="409" t="s">
        <v>9112</v>
      </c>
      <c r="B14" s="408" t="s">
        <v>10934</v>
      </c>
    </row>
    <row r="15" spans="1:2">
      <c r="A15" s="409" t="s">
        <v>9121</v>
      </c>
      <c r="B15" s="408" t="s">
        <v>10933</v>
      </c>
    </row>
    <row r="16" spans="1:2">
      <c r="A16" s="409" t="s">
        <v>9123</v>
      </c>
      <c r="B16" s="408" t="s">
        <v>10932</v>
      </c>
    </row>
    <row r="17" spans="1:2">
      <c r="A17" s="409" t="s">
        <v>10931</v>
      </c>
      <c r="B17" s="408" t="s">
        <v>10930</v>
      </c>
    </row>
    <row r="18" spans="1:2">
      <c r="A18" s="409" t="s">
        <v>10929</v>
      </c>
      <c r="B18" s="408" t="s">
        <v>10928</v>
      </c>
    </row>
    <row r="19" spans="1:2" ht="15.75" thickBot="1">
      <c r="A19" s="407" t="s">
        <v>10927</v>
      </c>
      <c r="B19" s="406" t="s">
        <v>10926</v>
      </c>
    </row>
  </sheetData>
  <sheetProtection algorithmName="SHA-512" hashValue="+xerKVziTr3xHsbkIBeEnMsjHegpmpBQuUYTnN15Xn1tmEl3W6CJHc5lhY9BqdWztVXcFZ12qdxJO6VGMJAWvg==" saltValue="PBEoOpSCH7KIkUlr2SDeRg==" spinCount="100000" sheet="1" objects="1" scenarios="1" formatRows="0" insertRows="0" deleteRows="0"/>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V1208"/>
  <sheetViews>
    <sheetView zoomScaleNormal="100" workbookViewId="0">
      <pane ySplit="3" topLeftCell="A225" activePane="bottomLeft" state="frozen"/>
      <selection activeCell="O34" sqref="O34:X34"/>
      <selection pane="bottomLeft" activeCell="K6" sqref="K6"/>
    </sheetView>
  </sheetViews>
  <sheetFormatPr defaultRowHeight="15"/>
  <cols>
    <col min="1" max="1" width="42.42578125" bestFit="1" customWidth="1"/>
    <col min="2" max="2" width="10.42578125" style="46" bestFit="1" customWidth="1"/>
    <col min="3" max="3" width="7.5703125" style="46" bestFit="1" customWidth="1"/>
    <col min="4" max="4" width="7.5703125" style="94" bestFit="1" customWidth="1"/>
    <col min="5" max="5" width="9.5703125" style="95" customWidth="1"/>
    <col min="6" max="6" width="6.42578125" bestFit="1" customWidth="1"/>
    <col min="7" max="7" width="9.5703125" bestFit="1" customWidth="1"/>
    <col min="8" max="8" width="9.5703125" customWidth="1"/>
    <col min="9" max="9" width="10.42578125" bestFit="1" customWidth="1"/>
    <col min="10" max="10" width="61.42578125" bestFit="1" customWidth="1"/>
    <col min="11" max="11" width="11.42578125" bestFit="1" customWidth="1"/>
    <col min="12" max="12" width="8.42578125" bestFit="1" customWidth="1"/>
    <col min="13" max="13" width="81.5703125" bestFit="1" customWidth="1"/>
    <col min="14" max="14" width="21" bestFit="1" customWidth="1"/>
    <col min="15" max="15" width="34.42578125" bestFit="1" customWidth="1"/>
    <col min="16" max="16" width="151.42578125" customWidth="1"/>
    <col min="17" max="17" width="11.42578125" customWidth="1"/>
    <col min="18" max="18" width="14.42578125" customWidth="1"/>
    <col min="19" max="19" width="9.42578125" bestFit="1" customWidth="1"/>
    <col min="20" max="20" width="13.42578125" bestFit="1" customWidth="1"/>
    <col min="21" max="21" width="8.5703125" bestFit="1" customWidth="1"/>
    <col min="22" max="22" width="8.42578125" bestFit="1" customWidth="1"/>
    <col min="23" max="23" width="7.42578125" bestFit="1" customWidth="1"/>
    <col min="24" max="24" width="11.42578125" customWidth="1"/>
    <col min="25" max="26" width="16.5703125" bestFit="1" customWidth="1"/>
    <col min="27" max="28" width="16" bestFit="1" customWidth="1"/>
    <col min="29" max="29" width="24.5703125" bestFit="1" customWidth="1"/>
    <col min="30" max="31" width="17" bestFit="1" customWidth="1"/>
    <col min="32" max="32" width="26" bestFit="1" customWidth="1"/>
    <col min="33" max="34" width="15.42578125" bestFit="1" customWidth="1"/>
    <col min="35" max="44" width="18.5703125" bestFit="1" customWidth="1"/>
    <col min="45" max="47" width="11.5703125" bestFit="1" customWidth="1"/>
    <col min="48" max="48" width="6" bestFit="1" customWidth="1"/>
  </cols>
  <sheetData>
    <row r="1" spans="1:48">
      <c r="A1" s="81" t="s">
        <v>268</v>
      </c>
      <c r="B1" s="93">
        <v>46054</v>
      </c>
      <c r="D1" s="157" t="s">
        <v>8552</v>
      </c>
      <c r="E1" s="325">
        <v>45870</v>
      </c>
    </row>
    <row r="2" spans="1:48" ht="15.75" thickBot="1">
      <c r="AI2" s="96" t="str">
        <f>"I10 - "&amp;'Pricing Sheet'!K11</f>
        <v xml:space="preserve">I10 - </v>
      </c>
      <c r="AJ2" s="97" t="str">
        <f>"I11 - "&amp;'Pricing Sheet'!K12</f>
        <v xml:space="preserve">I11 - </v>
      </c>
      <c r="AK2" s="97" t="str">
        <f>"I12 - "&amp;'Pricing Sheet'!K13</f>
        <v xml:space="preserve">I12 - </v>
      </c>
      <c r="AL2" s="97" t="str">
        <f>"I13 - "&amp;'Pricing Sheet'!K14</f>
        <v xml:space="preserve">I13 - </v>
      </c>
      <c r="AM2" s="97" t="str">
        <f>"I14 - "&amp;'Pricing Sheet'!K15</f>
        <v xml:space="preserve">I14 - </v>
      </c>
      <c r="AN2" s="97" t="str">
        <f>"I15 - "&amp;'Pricing Sheet'!K16</f>
        <v xml:space="preserve">I15 - </v>
      </c>
      <c r="AO2" s="97" t="str">
        <f>"I16 - "&amp;'Pricing Sheet'!K17</f>
        <v xml:space="preserve">I16 - </v>
      </c>
      <c r="AP2" s="97" t="str">
        <f>"I17 - "&amp;'Pricing Sheet'!K18</f>
        <v xml:space="preserve">I17 - </v>
      </c>
      <c r="AQ2" s="97" t="str">
        <f>"I18 - "&amp;'Pricing Sheet'!K19</f>
        <v xml:space="preserve">I18 - </v>
      </c>
      <c r="AR2" s="97" t="str">
        <f>"I19 - "&amp;'Pricing Sheet'!K20</f>
        <v xml:space="preserve">I19 - </v>
      </c>
    </row>
    <row r="3" spans="1:48" ht="45.75" thickBot="1">
      <c r="A3" s="48" t="s">
        <v>237</v>
      </c>
      <c r="B3" s="51" t="s">
        <v>0</v>
      </c>
      <c r="C3" s="51" t="s">
        <v>249</v>
      </c>
      <c r="D3" s="51" t="s">
        <v>7315</v>
      </c>
      <c r="E3" s="51" t="s">
        <v>7365</v>
      </c>
      <c r="F3" s="51" t="s">
        <v>7737</v>
      </c>
      <c r="G3" s="164" t="s">
        <v>7736</v>
      </c>
      <c r="H3" s="164" t="s">
        <v>10756</v>
      </c>
      <c r="I3" s="165" t="s">
        <v>267</v>
      </c>
      <c r="J3" s="48" t="s">
        <v>252</v>
      </c>
      <c r="K3" s="48" t="s">
        <v>275</v>
      </c>
      <c r="L3" s="48" t="s">
        <v>276</v>
      </c>
      <c r="M3" s="48" t="s">
        <v>277</v>
      </c>
      <c r="N3" s="166" t="s">
        <v>7313</v>
      </c>
      <c r="O3" s="166" t="s">
        <v>7314</v>
      </c>
      <c r="P3" s="48" t="s">
        <v>7312</v>
      </c>
      <c r="Q3" s="48"/>
      <c r="R3" s="48" t="s">
        <v>237</v>
      </c>
      <c r="S3" s="48" t="s">
        <v>8621</v>
      </c>
      <c r="T3" s="48" t="s">
        <v>8624</v>
      </c>
      <c r="U3" s="48" t="s">
        <v>8625</v>
      </c>
      <c r="V3" s="48" t="s">
        <v>8619</v>
      </c>
      <c r="W3" s="48" t="s">
        <v>8626</v>
      </c>
      <c r="X3" s="48"/>
      <c r="Z3" t="s">
        <v>269</v>
      </c>
      <c r="AB3" s="98" t="s">
        <v>273</v>
      </c>
      <c r="AC3" s="99" t="s">
        <v>278</v>
      </c>
      <c r="AE3" s="98" t="s">
        <v>274</v>
      </c>
      <c r="AF3" s="99" t="s">
        <v>7319</v>
      </c>
      <c r="AH3" s="100" t="s">
        <v>7309</v>
      </c>
      <c r="AI3" t="s">
        <v>7310</v>
      </c>
      <c r="AJ3" t="s">
        <v>7310</v>
      </c>
      <c r="AK3" t="s">
        <v>7310</v>
      </c>
      <c r="AL3" t="s">
        <v>7310</v>
      </c>
      <c r="AM3" t="s">
        <v>7310</v>
      </c>
      <c r="AN3" t="s">
        <v>7310</v>
      </c>
      <c r="AO3" t="s">
        <v>7310</v>
      </c>
      <c r="AP3" t="s">
        <v>7310</v>
      </c>
      <c r="AQ3" t="s">
        <v>7310</v>
      </c>
      <c r="AR3" t="s">
        <v>7310</v>
      </c>
      <c r="AT3" s="101" t="s">
        <v>7343</v>
      </c>
      <c r="AU3" s="101" t="s">
        <v>7342</v>
      </c>
      <c r="AV3" s="101" t="s">
        <v>7341</v>
      </c>
    </row>
    <row r="4" spans="1:48">
      <c r="A4" s="83" t="s">
        <v>8545</v>
      </c>
      <c r="B4" s="319">
        <v>395000</v>
      </c>
      <c r="C4" s="47" t="s">
        <v>250</v>
      </c>
      <c r="D4" s="102">
        <v>10.5</v>
      </c>
      <c r="E4" s="102">
        <v>28</v>
      </c>
      <c r="F4" s="94">
        <v>128.54</v>
      </c>
      <c r="G4" s="94">
        <v>167.48</v>
      </c>
      <c r="H4" s="94">
        <f>(D4*E4)</f>
        <v>294</v>
      </c>
      <c r="I4" s="95">
        <v>18</v>
      </c>
      <c r="J4" t="s">
        <v>8492</v>
      </c>
      <c r="K4" t="s">
        <v>10765</v>
      </c>
      <c r="L4" s="46">
        <v>2900</v>
      </c>
      <c r="R4" s="48" t="s">
        <v>8545</v>
      </c>
      <c r="S4" t="s">
        <v>8622</v>
      </c>
      <c r="T4" t="s">
        <v>8629</v>
      </c>
      <c r="U4" s="62">
        <v>7.3</v>
      </c>
      <c r="V4" s="62" t="s">
        <v>8602</v>
      </c>
      <c r="W4" s="160">
        <v>5000</v>
      </c>
      <c r="X4" s="157" t="s">
        <v>8640</v>
      </c>
      <c r="Z4" t="s">
        <v>8474</v>
      </c>
      <c r="AB4" t="str" cm="1">
        <f t="array" ref="AB4:AB52">IF('Pricing Sheet'!P5&lt;&gt;"Yes",_xlfn._xlws.SORT(_xlfn.UNIQUE(_xlfn._xlws.FILTER(Table1[House],Table1[Storey]="Single"))),_xlfn._xlws.SORT(_xlfn.UNIQUE(_xlfn._xlws.FILTER(Table1[House], (Table1[Storey]="Single") * ((RIGHT(Table1[House], 2)="IL") + (RIGHT(Table1[House], 3)="HPS"))))))</f>
        <v>Access 18 HPS</v>
      </c>
      <c r="AC4" t="str" cm="1">
        <f t="array" ref="AC4">IF('Single Tender'!B22&lt;&gt;"",_xlfn._xlws.SORT(_xlfn.UNIQUE(_xlfn._xlws.FILTER(Table1[Facade],Table1[House]='Single Tender'!B22))),
IF('1B - Tender'!B22&lt;&gt;"",_xlfn._xlws.SORT(_xlfn.UNIQUE(_xlfn._xlws.FILTER(Table1[Facade],Table1[House]='1B - Tender'!B22))),
IF('HPS - Tender (KDRB)'!B22&lt;&gt;"",_xlfn._xlws.SORT(_xlfn.UNIQUE(_xlfn._xlws.FILTER(Table1[Facade],Table1[House]='HPS - Tender (KDRB)'!B22))),
IF('IL - Tender (KDRB)'!B22&lt;&gt;"",_xlfn._xlws.SORT(_xlfn.UNIQUE(_xlfn._xlws.FILTER(Table1[Facade],Table1[House]='IL - Tender (KDRB)'!B22))),""))))</f>
        <v/>
      </c>
      <c r="AE4" t="str" cm="1">
        <f t="array" ref="AE4:AE10">_xlfn._xlws.SORT(_xlfn.UNIQUE(_xlfn._xlws.FILTER(Table1[House],Table1[Storey]="Double")))</f>
        <v>Cambridge 28</v>
      </c>
      <c r="AF4" t="str" cm="1">
        <f t="array" ref="AF4">IFERROR(_xlfn._xlws.SORT(_xlfn.UNIQUE(_xlfn._xlws.FILTER(Table1[Facade],Table1[House]='Double Tender'!B22))),"")</f>
        <v/>
      </c>
      <c r="AH4" t="str" cm="1">
        <f t="array" ref="AH4:AH59">_xlfn._xlws.SORT(_xlfn.UNIQUE(Table1[House]))</f>
        <v>Access 18 HPS</v>
      </c>
      <c r="AI4" t="e" cm="1" vm="1">
        <f t="array" ref="AI4">_xlfn._xlws.SORT(_xlfn.UNIQUE(_xlfn._xlws.FILTER(Table1[Facade],Table1[House]='Pricing Sheet'!K11)))</f>
        <v>#VALUE!</v>
      </c>
      <c r="AJ4" t="e" cm="1" vm="1">
        <f t="array" ref="AJ4">_xlfn._xlws.SORT(_xlfn.UNIQUE(_xlfn._xlws.FILTER(Table1[Facade],Table1[House]='Pricing Sheet'!K12)))</f>
        <v>#VALUE!</v>
      </c>
      <c r="AK4" t="e" cm="1" vm="1">
        <f t="array" ref="AK4">_xlfn._xlws.SORT(_xlfn.UNIQUE(_xlfn._xlws.FILTER(Table1[Facade],Table1[House]='Pricing Sheet'!K13)))</f>
        <v>#VALUE!</v>
      </c>
      <c r="AL4" t="e" cm="1" vm="1">
        <f t="array" ref="AL4">_xlfn._xlws.SORT(_xlfn.UNIQUE(_xlfn._xlws.FILTER(Table1[Facade],Table1[House]='Pricing Sheet'!K14)))</f>
        <v>#VALUE!</v>
      </c>
      <c r="AM4" t="e" cm="1" vm="1">
        <f t="array" ref="AM4">_xlfn._xlws.SORT(_xlfn.UNIQUE(_xlfn._xlws.FILTER(Table1[Facade],Table1[House]='Pricing Sheet'!K15)))</f>
        <v>#VALUE!</v>
      </c>
      <c r="AN4" t="e" cm="1" vm="1">
        <f t="array" ref="AN4">_xlfn._xlws.SORT(_xlfn.UNIQUE(_xlfn._xlws.FILTER(Table1[Facade],Table1[House]='Pricing Sheet'!K16)))</f>
        <v>#VALUE!</v>
      </c>
      <c r="AO4" t="e" cm="1" vm="1">
        <f t="array" ref="AO4">_xlfn._xlws.SORT(_xlfn.UNIQUE(_xlfn._xlws.FILTER(Table1[Facade],Table1[House]='Pricing Sheet'!K17)))</f>
        <v>#VALUE!</v>
      </c>
      <c r="AP4" t="e" cm="1" vm="1">
        <f t="array" ref="AP4">_xlfn._xlws.SORT(_xlfn.UNIQUE(_xlfn._xlws.FILTER(Table1[Facade],Table1[House]='Pricing Sheet'!K18)))</f>
        <v>#VALUE!</v>
      </c>
      <c r="AQ4" t="e" cm="1" vm="1">
        <f t="array" ref="AQ4">_xlfn._xlws.SORT(_xlfn.UNIQUE(_xlfn._xlws.FILTER(Table1[Facade],Table1[House]='Pricing Sheet'!K19)))</f>
        <v>#VALUE!</v>
      </c>
      <c r="AR4" t="e" cm="1" vm="1">
        <f t="array" ref="AR4">_xlfn._xlws.SORT(_xlfn.UNIQUE(_xlfn._xlws.FILTER(Table1[Facade],Table1[House]='Pricing Sheet'!K20)))</f>
        <v>#VALUE!</v>
      </c>
      <c r="AT4">
        <v>30</v>
      </c>
      <c r="AU4">
        <v>59</v>
      </c>
      <c r="AV4">
        <v>1.0029999999999999</v>
      </c>
    </row>
    <row r="5" spans="1:48">
      <c r="A5" s="83" t="s">
        <v>8545</v>
      </c>
      <c r="B5" s="319">
        <v>395000</v>
      </c>
      <c r="C5" s="47" t="s">
        <v>250</v>
      </c>
      <c r="D5" s="102">
        <v>10.5</v>
      </c>
      <c r="E5" s="102">
        <v>28</v>
      </c>
      <c r="F5" s="94">
        <v>128.54</v>
      </c>
      <c r="G5" s="94">
        <v>167.48</v>
      </c>
      <c r="H5" s="94">
        <f t="shared" ref="H5:H67" si="0">(D5*E5)</f>
        <v>294</v>
      </c>
      <c r="I5" s="95">
        <v>18</v>
      </c>
      <c r="J5" t="s">
        <v>8492</v>
      </c>
      <c r="K5" t="s">
        <v>241</v>
      </c>
      <c r="L5" s="46" t="s">
        <v>1</v>
      </c>
      <c r="O5" s="46"/>
      <c r="R5" s="48" t="s">
        <v>8545</v>
      </c>
      <c r="S5" t="s">
        <v>8622</v>
      </c>
      <c r="T5" t="s">
        <v>8630</v>
      </c>
      <c r="U5" s="203">
        <v>7.1</v>
      </c>
      <c r="V5" s="203" t="s">
        <v>8601</v>
      </c>
      <c r="W5" s="204">
        <v>15000</v>
      </c>
      <c r="Z5" t="s">
        <v>7933</v>
      </c>
      <c r="AB5" t="str">
        <v>Access 18 IL</v>
      </c>
      <c r="AE5" t="str">
        <v>Cambridge 31</v>
      </c>
      <c r="AH5" t="str">
        <v>Access 18 IL</v>
      </c>
      <c r="AT5">
        <v>60</v>
      </c>
      <c r="AU5">
        <v>89</v>
      </c>
      <c r="AV5">
        <v>1.006</v>
      </c>
    </row>
    <row r="6" spans="1:48">
      <c r="A6" s="83" t="s">
        <v>8545</v>
      </c>
      <c r="B6" s="319">
        <v>395000</v>
      </c>
      <c r="C6" s="47" t="s">
        <v>250</v>
      </c>
      <c r="D6" s="102">
        <v>10.5</v>
      </c>
      <c r="E6" s="102">
        <v>28</v>
      </c>
      <c r="F6" s="94">
        <v>128.54</v>
      </c>
      <c r="G6" s="94">
        <v>167.48</v>
      </c>
      <c r="H6" s="94">
        <f t="shared" si="0"/>
        <v>294</v>
      </c>
      <c r="I6" s="95">
        <v>18</v>
      </c>
      <c r="J6" t="s">
        <v>8492</v>
      </c>
      <c r="K6" t="s">
        <v>10766</v>
      </c>
      <c r="L6" s="309">
        <v>2900</v>
      </c>
      <c r="O6" s="46"/>
      <c r="R6" s="48" t="s">
        <v>8545</v>
      </c>
      <c r="S6" t="s">
        <v>8622</v>
      </c>
      <c r="T6" t="s">
        <v>8635</v>
      </c>
      <c r="U6" s="62">
        <v>7</v>
      </c>
      <c r="V6" s="62" t="s">
        <v>8601</v>
      </c>
      <c r="W6" s="160">
        <v>15000</v>
      </c>
      <c r="Z6" t="s">
        <v>8473</v>
      </c>
      <c r="AB6" t="str">
        <v>Access 19 HPS</v>
      </c>
      <c r="AE6" t="str">
        <v>Catalina 22 GE</v>
      </c>
      <c r="AH6" t="str">
        <v>Access 19 HPS</v>
      </c>
      <c r="AT6">
        <v>90</v>
      </c>
      <c r="AU6">
        <v>119</v>
      </c>
      <c r="AV6">
        <v>1.0089999999999999</v>
      </c>
    </row>
    <row r="7" spans="1:48">
      <c r="A7" s="83" t="s">
        <v>8545</v>
      </c>
      <c r="B7" s="319">
        <v>395000</v>
      </c>
      <c r="C7" s="47" t="s">
        <v>250</v>
      </c>
      <c r="D7" s="102">
        <v>10.5</v>
      </c>
      <c r="E7" s="102">
        <v>28</v>
      </c>
      <c r="F7" s="94">
        <v>128.54</v>
      </c>
      <c r="G7" s="94">
        <v>167.48</v>
      </c>
      <c r="H7" s="94">
        <f t="shared" si="0"/>
        <v>294</v>
      </c>
      <c r="I7" s="95">
        <v>18</v>
      </c>
      <c r="J7" t="s">
        <v>8492</v>
      </c>
      <c r="K7" t="s">
        <v>240</v>
      </c>
      <c r="L7" s="46" t="s">
        <v>1</v>
      </c>
      <c r="O7" s="46"/>
      <c r="R7" s="48" t="s">
        <v>8545</v>
      </c>
      <c r="S7" t="s">
        <v>8622</v>
      </c>
      <c r="T7" t="s">
        <v>8631</v>
      </c>
      <c r="U7" s="62">
        <v>7.1</v>
      </c>
      <c r="V7" s="62" t="s">
        <v>8601</v>
      </c>
      <c r="W7" s="160">
        <v>15000</v>
      </c>
      <c r="Z7" t="s">
        <v>8475</v>
      </c>
      <c r="AB7" t="str">
        <v>Access 19 IL</v>
      </c>
      <c r="AE7" t="str">
        <v>Evans 20</v>
      </c>
      <c r="AH7" t="str">
        <v>Access 19 IL</v>
      </c>
      <c r="AT7">
        <v>120</v>
      </c>
      <c r="AU7">
        <v>149</v>
      </c>
      <c r="AV7">
        <v>1.012</v>
      </c>
    </row>
    <row r="8" spans="1:48">
      <c r="A8" s="83" t="s">
        <v>8545</v>
      </c>
      <c r="B8" s="319">
        <v>395000</v>
      </c>
      <c r="C8" s="47" t="s">
        <v>250</v>
      </c>
      <c r="D8" s="102">
        <v>10.5</v>
      </c>
      <c r="E8" s="102">
        <v>28</v>
      </c>
      <c r="F8" s="94">
        <v>128.54</v>
      </c>
      <c r="G8" s="94">
        <v>167.48</v>
      </c>
      <c r="H8" s="94">
        <f t="shared" si="0"/>
        <v>294</v>
      </c>
      <c r="I8" s="95">
        <v>18</v>
      </c>
      <c r="J8" t="s">
        <v>8492</v>
      </c>
      <c r="K8" t="s">
        <v>10767</v>
      </c>
      <c r="L8" s="46">
        <v>2500</v>
      </c>
      <c r="O8" s="46"/>
      <c r="R8" s="48" t="s">
        <v>8545</v>
      </c>
      <c r="S8" t="s">
        <v>8622</v>
      </c>
      <c r="T8" t="s">
        <v>8632</v>
      </c>
      <c r="U8" s="62">
        <v>7.3</v>
      </c>
      <c r="V8" s="62" t="s">
        <v>8602</v>
      </c>
      <c r="W8" s="160">
        <v>5000</v>
      </c>
      <c r="Z8" t="s">
        <v>9588</v>
      </c>
      <c r="AB8" t="str">
        <v>Access 20 HPS (Access 18 with Double Garage)</v>
      </c>
      <c r="AE8" t="str">
        <v>Oxford 27</v>
      </c>
      <c r="AH8" t="str">
        <v>Access 20 HPS (Access 18 with Double Garage)</v>
      </c>
      <c r="AT8">
        <v>150</v>
      </c>
      <c r="AU8">
        <v>179</v>
      </c>
      <c r="AV8">
        <v>1.0149999999999999</v>
      </c>
    </row>
    <row r="9" spans="1:48">
      <c r="A9" s="83" t="s">
        <v>8545</v>
      </c>
      <c r="B9" s="319">
        <v>395000</v>
      </c>
      <c r="C9" s="47" t="s">
        <v>250</v>
      </c>
      <c r="D9" s="102">
        <v>10.5</v>
      </c>
      <c r="E9" s="102">
        <v>28</v>
      </c>
      <c r="F9" s="94">
        <v>128.54</v>
      </c>
      <c r="G9" s="94">
        <v>167.48</v>
      </c>
      <c r="H9" s="94">
        <f t="shared" si="0"/>
        <v>294</v>
      </c>
      <c r="I9" s="95">
        <v>18</v>
      </c>
      <c r="J9" t="s">
        <v>8492</v>
      </c>
      <c r="K9" t="s">
        <v>242</v>
      </c>
      <c r="L9" s="46">
        <v>1000</v>
      </c>
      <c r="O9" s="46"/>
      <c r="R9" s="48" t="s">
        <v>8545</v>
      </c>
      <c r="S9" t="s">
        <v>8622</v>
      </c>
      <c r="T9" t="s">
        <v>8633</v>
      </c>
      <c r="U9" s="62">
        <v>7.2</v>
      </c>
      <c r="V9" s="62" t="s">
        <v>8601</v>
      </c>
      <c r="W9" s="160">
        <v>15000</v>
      </c>
      <c r="Z9" t="s">
        <v>271</v>
      </c>
      <c r="AB9" t="str">
        <v>Access 20 IL (Access 18 with Double Garage)</v>
      </c>
      <c r="AE9" t="str">
        <v>Spencer 17</v>
      </c>
      <c r="AH9" t="str">
        <v>Access 20 IL (Access 18 with Double Garage)</v>
      </c>
      <c r="AT9">
        <v>180</v>
      </c>
      <c r="AU9">
        <v>209</v>
      </c>
      <c r="AV9">
        <v>1.018</v>
      </c>
    </row>
    <row r="10" spans="1:48">
      <c r="A10" s="83" t="s">
        <v>8491</v>
      </c>
      <c r="B10" s="319">
        <v>362000</v>
      </c>
      <c r="C10" s="47" t="s">
        <v>250</v>
      </c>
      <c r="D10" s="102">
        <v>10.5</v>
      </c>
      <c r="E10" s="102">
        <v>28</v>
      </c>
      <c r="F10" s="94">
        <v>128.54</v>
      </c>
      <c r="G10" s="94">
        <v>167.48</v>
      </c>
      <c r="H10" s="94">
        <f t="shared" si="0"/>
        <v>294</v>
      </c>
      <c r="I10" s="95">
        <v>18</v>
      </c>
      <c r="J10" t="s">
        <v>8492</v>
      </c>
      <c r="K10" t="s">
        <v>10765</v>
      </c>
      <c r="L10" s="46">
        <v>2900</v>
      </c>
      <c r="O10" s="46"/>
      <c r="R10" s="48" t="s">
        <v>8545</v>
      </c>
      <c r="S10" t="s">
        <v>8622</v>
      </c>
      <c r="T10" t="s">
        <v>8601</v>
      </c>
      <c r="U10" s="62">
        <v>7.1</v>
      </c>
      <c r="V10" s="62" t="s">
        <v>8601</v>
      </c>
      <c r="W10" s="160">
        <v>15000</v>
      </c>
      <c r="Z10" t="s">
        <v>272</v>
      </c>
      <c r="AB10" t="str">
        <v>Access 22 HPS</v>
      </c>
      <c r="AE10" t="str">
        <v>Spencer 24</v>
      </c>
      <c r="AH10" t="str">
        <v>Access 22 HPS</v>
      </c>
      <c r="AT10">
        <v>210</v>
      </c>
      <c r="AU10">
        <v>239</v>
      </c>
      <c r="AV10">
        <v>1.0209999999999999</v>
      </c>
    </row>
    <row r="11" spans="1:48">
      <c r="A11" s="83" t="s">
        <v>8491</v>
      </c>
      <c r="B11" s="319">
        <v>362000</v>
      </c>
      <c r="C11" s="47" t="s">
        <v>250</v>
      </c>
      <c r="D11" s="102">
        <v>10.5</v>
      </c>
      <c r="E11" s="102">
        <v>28</v>
      </c>
      <c r="F11" s="94">
        <v>128.54</v>
      </c>
      <c r="G11" s="94">
        <v>167.48</v>
      </c>
      <c r="H11" s="94">
        <f t="shared" si="0"/>
        <v>294</v>
      </c>
      <c r="I11" s="95">
        <v>18</v>
      </c>
      <c r="J11" t="s">
        <v>8492</v>
      </c>
      <c r="K11" t="s">
        <v>241</v>
      </c>
      <c r="L11" s="46" t="s">
        <v>1</v>
      </c>
      <c r="O11" s="46"/>
      <c r="R11" s="48" t="s">
        <v>8545</v>
      </c>
      <c r="S11" t="s">
        <v>8622</v>
      </c>
      <c r="T11" t="s">
        <v>8634</v>
      </c>
      <c r="U11" s="62">
        <v>7.2</v>
      </c>
      <c r="V11" s="62" t="s">
        <v>8601</v>
      </c>
      <c r="W11" s="160">
        <v>15000</v>
      </c>
      <c r="Z11" t="s">
        <v>10638</v>
      </c>
      <c r="AB11" t="str">
        <v>Access 22 IL</v>
      </c>
      <c r="AH11" t="str">
        <v>Access 22 IL</v>
      </c>
      <c r="AT11">
        <v>240</v>
      </c>
      <c r="AU11">
        <v>269</v>
      </c>
      <c r="AV11">
        <v>1.024</v>
      </c>
    </row>
    <row r="12" spans="1:48">
      <c r="A12" s="83" t="s">
        <v>8491</v>
      </c>
      <c r="B12" s="319">
        <v>362000</v>
      </c>
      <c r="C12" s="47" t="s">
        <v>250</v>
      </c>
      <c r="D12" s="102">
        <v>10.5</v>
      </c>
      <c r="E12" s="102">
        <v>28</v>
      </c>
      <c r="F12" s="94">
        <v>128.54</v>
      </c>
      <c r="G12" s="94">
        <v>167.48</v>
      </c>
      <c r="H12" s="94">
        <f t="shared" si="0"/>
        <v>294</v>
      </c>
      <c r="I12" s="95">
        <v>18</v>
      </c>
      <c r="J12" t="s">
        <v>8492</v>
      </c>
      <c r="K12" t="s">
        <v>10766</v>
      </c>
      <c r="L12" s="309">
        <v>2900</v>
      </c>
      <c r="O12" s="46"/>
      <c r="R12" s="48" t="s">
        <v>8545</v>
      </c>
      <c r="S12" t="s">
        <v>8623</v>
      </c>
      <c r="T12" t="s">
        <v>8629</v>
      </c>
      <c r="U12" s="62">
        <v>7.3</v>
      </c>
      <c r="V12" s="62" t="s">
        <v>8602</v>
      </c>
      <c r="W12" s="160">
        <v>5000</v>
      </c>
      <c r="AB12" t="str">
        <v>Access 23 HPS</v>
      </c>
      <c r="AH12" t="str">
        <v>Access 23 HPS</v>
      </c>
      <c r="AT12">
        <v>270</v>
      </c>
      <c r="AU12">
        <v>299</v>
      </c>
      <c r="AV12">
        <v>1.0269999999999999</v>
      </c>
    </row>
    <row r="13" spans="1:48">
      <c r="A13" s="83" t="s">
        <v>8491</v>
      </c>
      <c r="B13" s="319">
        <v>362000</v>
      </c>
      <c r="C13" s="47" t="s">
        <v>250</v>
      </c>
      <c r="D13" s="102">
        <v>10.5</v>
      </c>
      <c r="E13" s="102">
        <v>28</v>
      </c>
      <c r="F13" s="94">
        <v>128.54</v>
      </c>
      <c r="G13" s="94">
        <v>167.48</v>
      </c>
      <c r="H13" s="94">
        <f t="shared" si="0"/>
        <v>294</v>
      </c>
      <c r="I13" s="95">
        <v>18</v>
      </c>
      <c r="J13" t="s">
        <v>8492</v>
      </c>
      <c r="K13" t="s">
        <v>240</v>
      </c>
      <c r="L13" s="46" t="s">
        <v>1</v>
      </c>
      <c r="O13" s="46"/>
      <c r="R13" s="48" t="s">
        <v>8545</v>
      </c>
      <c r="S13" t="s">
        <v>8623</v>
      </c>
      <c r="T13" t="s">
        <v>8630</v>
      </c>
      <c r="U13" s="62">
        <v>7.1</v>
      </c>
      <c r="V13" s="62" t="s">
        <v>8601</v>
      </c>
      <c r="W13" s="160">
        <v>15000</v>
      </c>
      <c r="AB13" t="str">
        <v>Access 23 IL</v>
      </c>
      <c r="AH13" t="str">
        <v>Access 23 IL</v>
      </c>
      <c r="AT13">
        <v>300</v>
      </c>
      <c r="AU13">
        <v>329</v>
      </c>
      <c r="AV13">
        <v>1.03</v>
      </c>
    </row>
    <row r="14" spans="1:48">
      <c r="A14" s="83" t="s">
        <v>8491</v>
      </c>
      <c r="B14" s="319">
        <v>362000</v>
      </c>
      <c r="C14" s="47" t="s">
        <v>250</v>
      </c>
      <c r="D14" s="102">
        <v>10.5</v>
      </c>
      <c r="E14" s="102">
        <v>28</v>
      </c>
      <c r="F14" s="94">
        <v>128.54</v>
      </c>
      <c r="G14" s="94">
        <v>167.48</v>
      </c>
      <c r="H14" s="94">
        <f t="shared" si="0"/>
        <v>294</v>
      </c>
      <c r="I14" s="95">
        <v>18</v>
      </c>
      <c r="J14" t="s">
        <v>8492</v>
      </c>
      <c r="K14" t="s">
        <v>10767</v>
      </c>
      <c r="L14" s="46">
        <v>2500</v>
      </c>
      <c r="O14" s="46"/>
      <c r="R14" s="48" t="s">
        <v>8545</v>
      </c>
      <c r="S14" t="s">
        <v>8623</v>
      </c>
      <c r="T14" t="s">
        <v>8635</v>
      </c>
      <c r="U14" s="62">
        <v>7</v>
      </c>
      <c r="V14" s="62" t="s">
        <v>8601</v>
      </c>
      <c r="W14" s="160">
        <v>15000</v>
      </c>
      <c r="AB14" t="str">
        <v>Access 30 HPS</v>
      </c>
      <c r="AH14" t="str">
        <v>Access 30 HPS</v>
      </c>
      <c r="AT14">
        <v>330</v>
      </c>
      <c r="AU14">
        <v>359</v>
      </c>
      <c r="AV14">
        <v>1.0329999999999999</v>
      </c>
    </row>
    <row r="15" spans="1:48">
      <c r="A15" s="83" t="s">
        <v>8491</v>
      </c>
      <c r="B15" s="319">
        <v>362000</v>
      </c>
      <c r="C15" s="47" t="s">
        <v>250</v>
      </c>
      <c r="D15" s="102">
        <v>10.5</v>
      </c>
      <c r="E15" s="102">
        <v>28</v>
      </c>
      <c r="F15" s="94">
        <v>128.54</v>
      </c>
      <c r="G15" s="94">
        <v>167.48</v>
      </c>
      <c r="H15" s="94">
        <f t="shared" si="0"/>
        <v>294</v>
      </c>
      <c r="I15" s="95">
        <v>18</v>
      </c>
      <c r="J15" t="s">
        <v>8492</v>
      </c>
      <c r="K15" t="s">
        <v>242</v>
      </c>
      <c r="L15" s="46">
        <v>1000</v>
      </c>
      <c r="O15" s="46"/>
      <c r="R15" s="48" t="s">
        <v>8545</v>
      </c>
      <c r="S15" t="s">
        <v>8623</v>
      </c>
      <c r="T15" t="s">
        <v>8631</v>
      </c>
      <c r="U15" s="62">
        <v>7.1</v>
      </c>
      <c r="V15" s="62" t="s">
        <v>8601</v>
      </c>
      <c r="W15" s="160">
        <v>15000</v>
      </c>
      <c r="AB15" t="str">
        <v>Access 30 IL</v>
      </c>
      <c r="AH15" t="str">
        <v>Access 30 IL</v>
      </c>
      <c r="AT15">
        <v>360</v>
      </c>
      <c r="AU15">
        <v>389</v>
      </c>
      <c r="AV15">
        <v>1.036</v>
      </c>
    </row>
    <row r="16" spans="1:48">
      <c r="A16" s="83" t="s">
        <v>9077</v>
      </c>
      <c r="B16" s="319">
        <v>403000</v>
      </c>
      <c r="C16" s="47" t="s">
        <v>250</v>
      </c>
      <c r="D16" s="102">
        <v>12.5</v>
      </c>
      <c r="E16" s="102">
        <v>28</v>
      </c>
      <c r="F16" s="94">
        <v>124.49</v>
      </c>
      <c r="G16" s="94">
        <v>178.71</v>
      </c>
      <c r="H16" s="94">
        <f t="shared" si="0"/>
        <v>350</v>
      </c>
      <c r="I16" s="95">
        <v>19</v>
      </c>
      <c r="J16" t="s">
        <v>9086</v>
      </c>
      <c r="K16" t="s">
        <v>10765</v>
      </c>
      <c r="L16" s="46">
        <v>2900</v>
      </c>
      <c r="O16" s="46"/>
      <c r="R16" s="48" t="s">
        <v>8545</v>
      </c>
      <c r="S16" t="s">
        <v>8623</v>
      </c>
      <c r="T16" t="s">
        <v>8632</v>
      </c>
      <c r="U16" s="203">
        <v>7.3</v>
      </c>
      <c r="V16" s="203" t="s">
        <v>8602</v>
      </c>
      <c r="W16" s="204">
        <v>5000</v>
      </c>
      <c r="AB16" t="str">
        <v>Baker 14</v>
      </c>
      <c r="AH16" t="str">
        <v>Baker 14</v>
      </c>
      <c r="AT16">
        <v>390</v>
      </c>
      <c r="AU16">
        <v>419</v>
      </c>
      <c r="AV16">
        <v>1.0389999999999999</v>
      </c>
    </row>
    <row r="17" spans="1:48">
      <c r="A17" s="83" t="s">
        <v>9077</v>
      </c>
      <c r="B17" s="319">
        <v>403000</v>
      </c>
      <c r="C17" s="47" t="s">
        <v>250</v>
      </c>
      <c r="D17" s="102">
        <v>12.5</v>
      </c>
      <c r="E17" s="102">
        <v>28</v>
      </c>
      <c r="F17" s="94">
        <v>124.49</v>
      </c>
      <c r="G17" s="94">
        <v>178.71</v>
      </c>
      <c r="H17" s="94">
        <f t="shared" si="0"/>
        <v>350</v>
      </c>
      <c r="I17" s="95">
        <v>19</v>
      </c>
      <c r="J17" t="s">
        <v>9086</v>
      </c>
      <c r="K17" t="s">
        <v>241</v>
      </c>
      <c r="L17" s="46" t="s">
        <v>1</v>
      </c>
      <c r="O17" s="46"/>
      <c r="R17" s="48" t="s">
        <v>8545</v>
      </c>
      <c r="S17" t="s">
        <v>8623</v>
      </c>
      <c r="T17" t="s">
        <v>8633</v>
      </c>
      <c r="U17" s="62">
        <v>7.2</v>
      </c>
      <c r="V17" s="62" t="s">
        <v>8601</v>
      </c>
      <c r="W17" s="160">
        <v>15000</v>
      </c>
      <c r="AB17" t="str">
        <v>Banks 12</v>
      </c>
      <c r="AH17" t="str">
        <v>Banks 12</v>
      </c>
      <c r="AT17">
        <v>420</v>
      </c>
      <c r="AU17">
        <v>449</v>
      </c>
      <c r="AV17">
        <v>1.042</v>
      </c>
    </row>
    <row r="18" spans="1:48">
      <c r="A18" s="83" t="s">
        <v>9077</v>
      </c>
      <c r="B18" s="319">
        <v>403000</v>
      </c>
      <c r="C18" s="47" t="s">
        <v>250</v>
      </c>
      <c r="D18" s="102">
        <v>12.5</v>
      </c>
      <c r="E18" s="102">
        <v>28</v>
      </c>
      <c r="F18" s="94">
        <v>124.49</v>
      </c>
      <c r="G18" s="94">
        <v>178.71</v>
      </c>
      <c r="H18" s="94">
        <f t="shared" si="0"/>
        <v>350</v>
      </c>
      <c r="I18" s="95">
        <v>19</v>
      </c>
      <c r="J18" t="s">
        <v>9086</v>
      </c>
      <c r="K18" t="s">
        <v>10766</v>
      </c>
      <c r="L18" s="309">
        <v>2900</v>
      </c>
      <c r="O18" s="46"/>
      <c r="R18" s="48" t="s">
        <v>8545</v>
      </c>
      <c r="S18" t="s">
        <v>8623</v>
      </c>
      <c r="T18" t="s">
        <v>8601</v>
      </c>
      <c r="U18" s="62">
        <v>7.1</v>
      </c>
      <c r="V18" s="62" t="s">
        <v>8601</v>
      </c>
      <c r="W18" s="160">
        <v>15000</v>
      </c>
      <c r="AB18" t="str">
        <v>Cabot 13</v>
      </c>
      <c r="AH18" t="str">
        <v>Cabot 13</v>
      </c>
      <c r="AT18">
        <v>450</v>
      </c>
      <c r="AU18">
        <v>479</v>
      </c>
      <c r="AV18">
        <v>1.0449999999999999</v>
      </c>
    </row>
    <row r="19" spans="1:48">
      <c r="A19" s="83" t="s">
        <v>9077</v>
      </c>
      <c r="B19" s="319">
        <v>403000</v>
      </c>
      <c r="C19" s="47" t="s">
        <v>250</v>
      </c>
      <c r="D19" s="102">
        <v>12.5</v>
      </c>
      <c r="E19" s="102">
        <v>28</v>
      </c>
      <c r="F19" s="94">
        <v>124.49</v>
      </c>
      <c r="G19" s="94">
        <v>178.71</v>
      </c>
      <c r="H19" s="94">
        <f t="shared" si="0"/>
        <v>350</v>
      </c>
      <c r="I19" s="95">
        <v>19</v>
      </c>
      <c r="J19" t="s">
        <v>9086</v>
      </c>
      <c r="K19" t="s">
        <v>240</v>
      </c>
      <c r="L19" s="46" t="s">
        <v>1</v>
      </c>
      <c r="O19" s="46"/>
      <c r="R19" s="48" t="s">
        <v>8545</v>
      </c>
      <c r="S19" t="s">
        <v>8623</v>
      </c>
      <c r="T19" t="s">
        <v>8634</v>
      </c>
      <c r="U19" s="62">
        <v>7.2</v>
      </c>
      <c r="V19" s="62" t="s">
        <v>8602</v>
      </c>
      <c r="W19" s="160">
        <v>5000</v>
      </c>
      <c r="AB19" t="str">
        <v>Cabot 15  (Cabot 13 with double Garage)</v>
      </c>
      <c r="AH19" t="str">
        <v>Cabot 15  (Cabot 13 with double Garage)</v>
      </c>
      <c r="AT19">
        <v>480</v>
      </c>
      <c r="AU19">
        <v>509</v>
      </c>
      <c r="AV19">
        <v>1.048</v>
      </c>
    </row>
    <row r="20" spans="1:48">
      <c r="A20" s="83" t="s">
        <v>9077</v>
      </c>
      <c r="B20" s="319">
        <v>403000</v>
      </c>
      <c r="C20" s="47" t="s">
        <v>250</v>
      </c>
      <c r="D20" s="102">
        <v>12.5</v>
      </c>
      <c r="E20" s="102">
        <v>28</v>
      </c>
      <c r="F20" s="94">
        <v>124.49</v>
      </c>
      <c r="G20" s="94">
        <v>178.71</v>
      </c>
      <c r="H20" s="94">
        <f t="shared" si="0"/>
        <v>350</v>
      </c>
      <c r="I20" s="95">
        <v>19</v>
      </c>
      <c r="J20" t="s">
        <v>9086</v>
      </c>
      <c r="K20" t="s">
        <v>10767</v>
      </c>
      <c r="L20" s="46">
        <v>2500</v>
      </c>
      <c r="O20" s="46"/>
      <c r="R20" s="48" t="s">
        <v>8491</v>
      </c>
      <c r="S20" t="s">
        <v>8622</v>
      </c>
      <c r="T20" t="s">
        <v>8629</v>
      </c>
      <c r="U20" s="62">
        <v>7.3</v>
      </c>
      <c r="V20" s="62" t="s">
        <v>8602</v>
      </c>
      <c r="W20" s="160">
        <v>5000</v>
      </c>
      <c r="AB20" t="str">
        <v>Cartier 15 GE</v>
      </c>
      <c r="AH20" t="str">
        <v>Cambridge 28</v>
      </c>
      <c r="AT20">
        <v>510</v>
      </c>
      <c r="AU20">
        <v>539</v>
      </c>
      <c r="AV20">
        <v>1.0509999999999999</v>
      </c>
    </row>
    <row r="21" spans="1:48">
      <c r="A21" s="83" t="s">
        <v>9077</v>
      </c>
      <c r="B21" s="319">
        <v>403000</v>
      </c>
      <c r="C21" s="47" t="s">
        <v>250</v>
      </c>
      <c r="D21" s="102">
        <v>12.5</v>
      </c>
      <c r="E21" s="102">
        <v>28</v>
      </c>
      <c r="F21" s="94">
        <v>124.49</v>
      </c>
      <c r="G21" s="94">
        <v>178.71</v>
      </c>
      <c r="H21" s="94">
        <f t="shared" si="0"/>
        <v>350</v>
      </c>
      <c r="I21" s="95">
        <v>19</v>
      </c>
      <c r="J21" t="s">
        <v>9086</v>
      </c>
      <c r="K21" t="s">
        <v>242</v>
      </c>
      <c r="L21" s="46">
        <v>1000</v>
      </c>
      <c r="O21" s="46"/>
      <c r="R21" s="48" t="s">
        <v>8491</v>
      </c>
      <c r="S21" t="s">
        <v>8622</v>
      </c>
      <c r="T21" t="s">
        <v>8630</v>
      </c>
      <c r="U21" s="203">
        <v>7.1</v>
      </c>
      <c r="V21" s="203" t="s">
        <v>8601</v>
      </c>
      <c r="W21" s="204">
        <v>15000</v>
      </c>
      <c r="AB21" t="str">
        <v>Chelsea 16</v>
      </c>
      <c r="AH21" t="str">
        <v>Cambridge 31</v>
      </c>
      <c r="AT21">
        <v>540</v>
      </c>
      <c r="AU21">
        <v>569</v>
      </c>
      <c r="AV21">
        <v>1.054</v>
      </c>
    </row>
    <row r="22" spans="1:48">
      <c r="A22" s="83" t="s">
        <v>9078</v>
      </c>
      <c r="B22" s="319">
        <v>368000</v>
      </c>
      <c r="C22" s="47" t="s">
        <v>250</v>
      </c>
      <c r="D22" s="102">
        <v>12.5</v>
      </c>
      <c r="E22" s="102">
        <v>28</v>
      </c>
      <c r="F22" s="94">
        <v>124.49</v>
      </c>
      <c r="G22" s="94">
        <v>178.71</v>
      </c>
      <c r="H22" s="94">
        <f t="shared" si="0"/>
        <v>350</v>
      </c>
      <c r="I22" s="95">
        <v>19</v>
      </c>
      <c r="J22" t="s">
        <v>9086</v>
      </c>
      <c r="K22" t="s">
        <v>10765</v>
      </c>
      <c r="L22" s="46">
        <v>2900</v>
      </c>
      <c r="O22" s="46"/>
      <c r="R22" s="48" t="s">
        <v>8491</v>
      </c>
      <c r="S22" t="s">
        <v>8622</v>
      </c>
      <c r="T22" t="s">
        <v>8635</v>
      </c>
      <c r="U22" s="62">
        <v>7</v>
      </c>
      <c r="V22" s="62" t="s">
        <v>8601</v>
      </c>
      <c r="W22" s="160">
        <v>15000</v>
      </c>
      <c r="AB22" t="str">
        <v>Chelsea 18 (Chelsea 16 with double Garage)</v>
      </c>
      <c r="AH22" t="str">
        <v>Cartier 15 GE</v>
      </c>
      <c r="AT22">
        <v>570</v>
      </c>
      <c r="AU22">
        <v>599</v>
      </c>
      <c r="AV22">
        <v>1.0569999999999999</v>
      </c>
    </row>
    <row r="23" spans="1:48">
      <c r="A23" s="83" t="s">
        <v>9078</v>
      </c>
      <c r="B23" s="319">
        <v>368000</v>
      </c>
      <c r="C23" s="47" t="s">
        <v>250</v>
      </c>
      <c r="D23" s="102">
        <v>12.5</v>
      </c>
      <c r="E23" s="102">
        <v>28</v>
      </c>
      <c r="F23" s="94">
        <v>124.49</v>
      </c>
      <c r="G23" s="94">
        <v>178.71</v>
      </c>
      <c r="H23" s="94">
        <f t="shared" si="0"/>
        <v>350</v>
      </c>
      <c r="I23" s="95">
        <v>19</v>
      </c>
      <c r="J23" t="s">
        <v>9086</v>
      </c>
      <c r="K23" t="s">
        <v>241</v>
      </c>
      <c r="L23" s="46" t="s">
        <v>1</v>
      </c>
      <c r="O23" s="46"/>
      <c r="R23" s="48" t="s">
        <v>8491</v>
      </c>
      <c r="S23" t="s">
        <v>8622</v>
      </c>
      <c r="T23" t="s">
        <v>8631</v>
      </c>
      <c r="U23" s="62">
        <v>7.1</v>
      </c>
      <c r="V23" s="62" t="s">
        <v>8601</v>
      </c>
      <c r="W23" s="160">
        <v>15000</v>
      </c>
      <c r="AB23" t="str">
        <v>Drake 19</v>
      </c>
      <c r="AH23" t="str">
        <v>Catalina 22 GE</v>
      </c>
      <c r="AT23">
        <v>600</v>
      </c>
      <c r="AU23">
        <v>629</v>
      </c>
      <c r="AV23">
        <v>1.06</v>
      </c>
    </row>
    <row r="24" spans="1:48">
      <c r="A24" s="83" t="s">
        <v>9078</v>
      </c>
      <c r="B24" s="319">
        <v>368000</v>
      </c>
      <c r="C24" s="47" t="s">
        <v>250</v>
      </c>
      <c r="D24" s="102">
        <v>12.5</v>
      </c>
      <c r="E24" s="102">
        <v>28</v>
      </c>
      <c r="F24" s="94">
        <v>124.49</v>
      </c>
      <c r="G24" s="94">
        <v>178.71</v>
      </c>
      <c r="H24" s="94">
        <f t="shared" si="0"/>
        <v>350</v>
      </c>
      <c r="I24" s="95">
        <v>19</v>
      </c>
      <c r="J24" t="s">
        <v>9086</v>
      </c>
      <c r="K24" t="s">
        <v>10766</v>
      </c>
      <c r="L24" s="309">
        <v>2900</v>
      </c>
      <c r="O24" s="46"/>
      <c r="R24" s="48" t="s">
        <v>8491</v>
      </c>
      <c r="S24" t="s">
        <v>8622</v>
      </c>
      <c r="T24" t="s">
        <v>8632</v>
      </c>
      <c r="U24" s="62">
        <v>7.3</v>
      </c>
      <c r="V24" s="62" t="s">
        <v>8602</v>
      </c>
      <c r="W24" s="160">
        <v>5000</v>
      </c>
      <c r="AB24" t="str">
        <v>Drake 19 GE</v>
      </c>
      <c r="AH24" t="str">
        <v>Chelsea 16</v>
      </c>
      <c r="AT24">
        <v>630</v>
      </c>
      <c r="AU24">
        <v>659</v>
      </c>
      <c r="AV24">
        <v>1.0629999999999999</v>
      </c>
    </row>
    <row r="25" spans="1:48">
      <c r="A25" s="83" t="s">
        <v>9078</v>
      </c>
      <c r="B25" s="319">
        <v>368000</v>
      </c>
      <c r="C25" s="47" t="s">
        <v>250</v>
      </c>
      <c r="D25" s="102">
        <v>12.5</v>
      </c>
      <c r="E25" s="102">
        <v>28</v>
      </c>
      <c r="F25" s="94">
        <v>124.49</v>
      </c>
      <c r="G25" s="94">
        <v>178.71</v>
      </c>
      <c r="H25" s="94">
        <f t="shared" si="0"/>
        <v>350</v>
      </c>
      <c r="I25" s="95">
        <v>19</v>
      </c>
      <c r="J25" t="s">
        <v>9086</v>
      </c>
      <c r="K25" t="s">
        <v>240</v>
      </c>
      <c r="L25" s="46" t="s">
        <v>1</v>
      </c>
      <c r="O25" s="46"/>
      <c r="R25" s="48" t="s">
        <v>8491</v>
      </c>
      <c r="S25" t="s">
        <v>8622</v>
      </c>
      <c r="T25" t="s">
        <v>8633</v>
      </c>
      <c r="U25" s="62">
        <v>7.2</v>
      </c>
      <c r="V25" s="62" t="s">
        <v>8601</v>
      </c>
      <c r="W25" s="160">
        <v>15000</v>
      </c>
      <c r="AB25" t="str">
        <v>Elwood 20</v>
      </c>
      <c r="AH25" t="str">
        <v>Chelsea 18 (Chelsea 16 with double Garage)</v>
      </c>
      <c r="AT25">
        <v>660</v>
      </c>
      <c r="AU25">
        <v>689</v>
      </c>
      <c r="AV25">
        <v>1.0660000000000001</v>
      </c>
    </row>
    <row r="26" spans="1:48">
      <c r="A26" s="83" t="s">
        <v>9078</v>
      </c>
      <c r="B26" s="319">
        <v>368000</v>
      </c>
      <c r="C26" s="47" t="s">
        <v>250</v>
      </c>
      <c r="D26" s="102">
        <v>12.5</v>
      </c>
      <c r="E26" s="102">
        <v>28</v>
      </c>
      <c r="F26" s="94">
        <v>124.49</v>
      </c>
      <c r="G26" s="94">
        <v>178.71</v>
      </c>
      <c r="H26" s="94">
        <f t="shared" si="0"/>
        <v>350</v>
      </c>
      <c r="I26" s="95">
        <v>19</v>
      </c>
      <c r="J26" t="s">
        <v>9086</v>
      </c>
      <c r="K26" t="s">
        <v>10767</v>
      </c>
      <c r="L26" s="46">
        <v>2500</v>
      </c>
      <c r="O26" s="46"/>
      <c r="R26" s="48" t="s">
        <v>8491</v>
      </c>
      <c r="S26" t="s">
        <v>8622</v>
      </c>
      <c r="T26" t="s">
        <v>8601</v>
      </c>
      <c r="U26" s="62">
        <v>7.1</v>
      </c>
      <c r="V26" s="62" t="s">
        <v>8601</v>
      </c>
      <c r="W26" s="160">
        <v>15000</v>
      </c>
      <c r="AB26" t="str">
        <v>Elwood 20L</v>
      </c>
      <c r="AH26" t="str">
        <v>Drake 19</v>
      </c>
      <c r="AT26">
        <v>690</v>
      </c>
      <c r="AU26">
        <v>719</v>
      </c>
      <c r="AV26">
        <v>1.069</v>
      </c>
    </row>
    <row r="27" spans="1:48">
      <c r="A27" s="83" t="s">
        <v>9078</v>
      </c>
      <c r="B27" s="319">
        <v>368000</v>
      </c>
      <c r="C27" s="47" t="s">
        <v>250</v>
      </c>
      <c r="D27" s="102">
        <v>12.5</v>
      </c>
      <c r="E27" s="102">
        <v>28</v>
      </c>
      <c r="F27" s="94">
        <v>124.49</v>
      </c>
      <c r="G27" s="94">
        <v>178.71</v>
      </c>
      <c r="H27" s="94">
        <f t="shared" si="0"/>
        <v>350</v>
      </c>
      <c r="I27" s="95">
        <v>19</v>
      </c>
      <c r="J27" t="s">
        <v>9086</v>
      </c>
      <c r="K27" t="s">
        <v>242</v>
      </c>
      <c r="L27" s="46">
        <v>1000</v>
      </c>
      <c r="O27" s="46"/>
      <c r="R27" s="48" t="s">
        <v>8491</v>
      </c>
      <c r="S27" t="s">
        <v>8622</v>
      </c>
      <c r="T27" t="s">
        <v>8634</v>
      </c>
      <c r="U27" s="62">
        <v>7.2</v>
      </c>
      <c r="V27" s="62" t="s">
        <v>8601</v>
      </c>
      <c r="W27" s="160">
        <v>15000</v>
      </c>
      <c r="AB27" t="str">
        <v>Flinders 19</v>
      </c>
      <c r="AH27" t="str">
        <v>Drake 19 GE</v>
      </c>
      <c r="AT27">
        <v>720</v>
      </c>
      <c r="AU27">
        <v>749</v>
      </c>
      <c r="AV27">
        <v>1.0720000000000001</v>
      </c>
    </row>
    <row r="28" spans="1:48">
      <c r="A28" s="83" t="s">
        <v>9305</v>
      </c>
      <c r="B28" s="319">
        <v>387900</v>
      </c>
      <c r="C28" s="47" t="s">
        <v>250</v>
      </c>
      <c r="D28" s="102">
        <v>12.5</v>
      </c>
      <c r="E28" s="102">
        <v>29</v>
      </c>
      <c r="F28" s="94">
        <v>137.43</v>
      </c>
      <c r="G28" s="94">
        <v>180.42</v>
      </c>
      <c r="H28" s="94">
        <f t="shared" si="0"/>
        <v>362.5</v>
      </c>
      <c r="I28" s="95">
        <v>20</v>
      </c>
      <c r="J28" t="s">
        <v>9086</v>
      </c>
      <c r="K28" t="s">
        <v>10765</v>
      </c>
      <c r="L28" s="46">
        <v>2900</v>
      </c>
      <c r="O28" s="46"/>
      <c r="R28" s="48" t="s">
        <v>8491</v>
      </c>
      <c r="S28" t="s">
        <v>8623</v>
      </c>
      <c r="T28" t="s">
        <v>8629</v>
      </c>
      <c r="U28" s="62">
        <v>7.3</v>
      </c>
      <c r="V28" s="62" t="s">
        <v>8602</v>
      </c>
      <c r="W28" s="160">
        <v>5000</v>
      </c>
      <c r="AB28" t="str">
        <v>Forrest 32-1B GE</v>
      </c>
      <c r="AH28" t="str">
        <v>Elwood 20</v>
      </c>
      <c r="AT28">
        <v>750</v>
      </c>
      <c r="AU28">
        <v>779</v>
      </c>
      <c r="AV28">
        <v>1.075</v>
      </c>
    </row>
    <row r="29" spans="1:48">
      <c r="A29" s="83" t="s">
        <v>9305</v>
      </c>
      <c r="B29" s="319">
        <v>387900</v>
      </c>
      <c r="C29" s="47" t="s">
        <v>250</v>
      </c>
      <c r="D29" s="102">
        <v>12.5</v>
      </c>
      <c r="E29" s="102">
        <v>29</v>
      </c>
      <c r="F29" s="94">
        <v>137.43</v>
      </c>
      <c r="G29" s="94">
        <v>180.42</v>
      </c>
      <c r="H29" s="94">
        <f t="shared" si="0"/>
        <v>362.5</v>
      </c>
      <c r="I29" s="95">
        <v>20</v>
      </c>
      <c r="J29" t="s">
        <v>9086</v>
      </c>
      <c r="K29" t="s">
        <v>241</v>
      </c>
      <c r="L29" s="46" t="s">
        <v>1</v>
      </c>
      <c r="O29" s="46"/>
      <c r="R29" s="48" t="s">
        <v>8491</v>
      </c>
      <c r="S29" t="s">
        <v>8623</v>
      </c>
      <c r="T29" t="s">
        <v>8630</v>
      </c>
      <c r="U29" s="62">
        <v>7.1</v>
      </c>
      <c r="V29" s="62" t="s">
        <v>8601</v>
      </c>
      <c r="W29" s="160">
        <v>15000</v>
      </c>
      <c r="AB29" t="str">
        <v>Gama 17</v>
      </c>
      <c r="AH29" t="str">
        <v>Elwood 20L</v>
      </c>
      <c r="AT29">
        <v>780</v>
      </c>
      <c r="AU29">
        <v>809</v>
      </c>
      <c r="AV29">
        <v>1.0780000000000001</v>
      </c>
    </row>
    <row r="30" spans="1:48">
      <c r="A30" s="83" t="s">
        <v>9305</v>
      </c>
      <c r="B30" s="319">
        <v>387900</v>
      </c>
      <c r="C30" s="47" t="s">
        <v>250</v>
      </c>
      <c r="D30" s="102">
        <v>12.5</v>
      </c>
      <c r="E30" s="102">
        <v>29</v>
      </c>
      <c r="F30" s="94">
        <v>137.43</v>
      </c>
      <c r="G30" s="94">
        <v>180.42</v>
      </c>
      <c r="H30" s="94">
        <f t="shared" si="0"/>
        <v>362.5</v>
      </c>
      <c r="I30" s="95">
        <v>20</v>
      </c>
      <c r="J30" t="s">
        <v>9086</v>
      </c>
      <c r="K30" t="s">
        <v>10766</v>
      </c>
      <c r="L30" s="309">
        <v>2900</v>
      </c>
      <c r="M30" s="309"/>
      <c r="O30" s="46"/>
      <c r="R30" s="48" t="s">
        <v>8491</v>
      </c>
      <c r="S30" t="s">
        <v>8623</v>
      </c>
      <c r="T30" t="s">
        <v>8635</v>
      </c>
      <c r="U30" s="62">
        <v>7</v>
      </c>
      <c r="V30" s="62" t="s">
        <v>8601</v>
      </c>
      <c r="W30" s="160">
        <v>15000</v>
      </c>
      <c r="AB30" t="str">
        <v>Gibson 13</v>
      </c>
      <c r="AH30" t="str">
        <v>Evans 20</v>
      </c>
      <c r="AT30">
        <v>810</v>
      </c>
      <c r="AU30">
        <v>839</v>
      </c>
      <c r="AV30">
        <v>1.081</v>
      </c>
    </row>
    <row r="31" spans="1:48">
      <c r="A31" s="83" t="s">
        <v>9305</v>
      </c>
      <c r="B31" s="319">
        <v>387900</v>
      </c>
      <c r="C31" s="47" t="s">
        <v>250</v>
      </c>
      <c r="D31" s="102">
        <v>12.5</v>
      </c>
      <c r="E31" s="102">
        <v>29</v>
      </c>
      <c r="F31" s="94">
        <v>137.43</v>
      </c>
      <c r="G31" s="94">
        <v>180.42</v>
      </c>
      <c r="H31" s="94">
        <f t="shared" si="0"/>
        <v>362.5</v>
      </c>
      <c r="I31" s="95">
        <v>20</v>
      </c>
      <c r="J31" t="s">
        <v>9086</v>
      </c>
      <c r="K31" t="s">
        <v>240</v>
      </c>
      <c r="L31" s="46" t="s">
        <v>1</v>
      </c>
      <c r="O31" s="46"/>
      <c r="R31" s="48" t="s">
        <v>8491</v>
      </c>
      <c r="S31" t="s">
        <v>8623</v>
      </c>
      <c r="T31" t="s">
        <v>8631</v>
      </c>
      <c r="U31" s="62">
        <v>7.1</v>
      </c>
      <c r="V31" s="62" t="s">
        <v>8601</v>
      </c>
      <c r="W31" s="160">
        <v>15000</v>
      </c>
      <c r="AB31" t="str">
        <v>Heath 21</v>
      </c>
      <c r="AH31" t="str">
        <v>Flinders 19</v>
      </c>
      <c r="AT31">
        <v>840</v>
      </c>
      <c r="AU31">
        <v>869</v>
      </c>
      <c r="AV31">
        <v>1.0840000000000001</v>
      </c>
    </row>
    <row r="32" spans="1:48">
      <c r="A32" s="83" t="s">
        <v>9305</v>
      </c>
      <c r="B32" s="319">
        <v>387900</v>
      </c>
      <c r="C32" s="47" t="s">
        <v>250</v>
      </c>
      <c r="D32" s="102">
        <v>12.5</v>
      </c>
      <c r="E32" s="102">
        <v>29</v>
      </c>
      <c r="F32" s="94">
        <v>137.43</v>
      </c>
      <c r="G32" s="94">
        <v>180.42</v>
      </c>
      <c r="H32" s="94">
        <f t="shared" si="0"/>
        <v>362.5</v>
      </c>
      <c r="I32" s="95">
        <v>20</v>
      </c>
      <c r="J32" t="s">
        <v>9086</v>
      </c>
      <c r="K32" t="s">
        <v>10767</v>
      </c>
      <c r="L32" s="46">
        <v>2500</v>
      </c>
      <c r="O32" s="46"/>
      <c r="R32" s="48" t="s">
        <v>8491</v>
      </c>
      <c r="S32" t="s">
        <v>8623</v>
      </c>
      <c r="T32" t="s">
        <v>8632</v>
      </c>
      <c r="U32" s="203">
        <v>7.3</v>
      </c>
      <c r="V32" s="203" t="s">
        <v>8602</v>
      </c>
      <c r="W32" s="204">
        <v>5000</v>
      </c>
      <c r="AB32" t="str">
        <v>Heath 21 GE</v>
      </c>
      <c r="AH32" t="str">
        <v>Forrest 32-1B GE</v>
      </c>
      <c r="AT32">
        <v>870</v>
      </c>
      <c r="AU32">
        <v>899</v>
      </c>
      <c r="AV32">
        <v>1.087</v>
      </c>
    </row>
    <row r="33" spans="1:48">
      <c r="A33" s="83" t="s">
        <v>9305</v>
      </c>
      <c r="B33" s="319">
        <v>387900</v>
      </c>
      <c r="C33" s="47" t="s">
        <v>250</v>
      </c>
      <c r="D33" s="102">
        <v>12.5</v>
      </c>
      <c r="E33" s="102">
        <v>29</v>
      </c>
      <c r="F33" s="94">
        <v>137.43</v>
      </c>
      <c r="G33" s="94">
        <v>180.42</v>
      </c>
      <c r="H33" s="94">
        <f t="shared" si="0"/>
        <v>362.5</v>
      </c>
      <c r="I33" s="95">
        <v>20</v>
      </c>
      <c r="J33" t="s">
        <v>9086</v>
      </c>
      <c r="K33" t="s">
        <v>242</v>
      </c>
      <c r="L33" s="46">
        <v>1000</v>
      </c>
      <c r="O33" s="46"/>
      <c r="R33" s="48" t="s">
        <v>8491</v>
      </c>
      <c r="S33" t="s">
        <v>8623</v>
      </c>
      <c r="T33" t="s">
        <v>8633</v>
      </c>
      <c r="U33" s="62">
        <v>7.2</v>
      </c>
      <c r="V33" s="62" t="s">
        <v>8601</v>
      </c>
      <c r="W33" s="160">
        <v>15000</v>
      </c>
      <c r="AB33" t="str">
        <v>Hudson 28</v>
      </c>
      <c r="AH33" t="str">
        <v>Gama 17</v>
      </c>
      <c r="AT33">
        <v>900</v>
      </c>
      <c r="AU33">
        <v>929</v>
      </c>
      <c r="AV33">
        <v>1.0900000000000001</v>
      </c>
    </row>
    <row r="34" spans="1:48">
      <c r="A34" s="83" t="s">
        <v>9306</v>
      </c>
      <c r="B34" s="319">
        <v>354900</v>
      </c>
      <c r="C34" s="47" t="s">
        <v>250</v>
      </c>
      <c r="D34" s="102">
        <v>12.5</v>
      </c>
      <c r="E34" s="102">
        <v>29</v>
      </c>
      <c r="F34" s="94">
        <v>137.43</v>
      </c>
      <c r="G34" s="94">
        <v>180.42</v>
      </c>
      <c r="H34" s="94">
        <f t="shared" si="0"/>
        <v>362.5</v>
      </c>
      <c r="I34" s="95">
        <v>20</v>
      </c>
      <c r="J34" t="s">
        <v>9086</v>
      </c>
      <c r="K34" t="s">
        <v>10765</v>
      </c>
      <c r="L34" s="46">
        <v>2900</v>
      </c>
      <c r="O34" s="46"/>
      <c r="R34" s="48" t="s">
        <v>8491</v>
      </c>
      <c r="S34" t="s">
        <v>8623</v>
      </c>
      <c r="T34" t="s">
        <v>8601</v>
      </c>
      <c r="U34" s="62">
        <v>7.1</v>
      </c>
      <c r="V34" s="62" t="s">
        <v>8601</v>
      </c>
      <c r="W34" s="160">
        <v>15000</v>
      </c>
      <c r="AB34" t="str">
        <v>Hume 15</v>
      </c>
      <c r="AH34" t="str">
        <v>Gibson 13</v>
      </c>
      <c r="AT34">
        <v>930</v>
      </c>
      <c r="AU34">
        <v>959</v>
      </c>
      <c r="AV34">
        <v>1.093</v>
      </c>
    </row>
    <row r="35" spans="1:48">
      <c r="A35" s="83" t="s">
        <v>9306</v>
      </c>
      <c r="B35" s="319">
        <v>354900</v>
      </c>
      <c r="C35" s="47" t="s">
        <v>250</v>
      </c>
      <c r="D35" s="102">
        <v>12.5</v>
      </c>
      <c r="E35" s="102">
        <v>29</v>
      </c>
      <c r="F35" s="94">
        <v>137.43</v>
      </c>
      <c r="G35" s="94">
        <v>180.42</v>
      </c>
      <c r="H35" s="94">
        <f t="shared" si="0"/>
        <v>362.5</v>
      </c>
      <c r="I35" s="95">
        <v>20</v>
      </c>
      <c r="J35" t="s">
        <v>9086</v>
      </c>
      <c r="K35" t="s">
        <v>241</v>
      </c>
      <c r="L35" s="46" t="s">
        <v>1</v>
      </c>
      <c r="O35" s="46"/>
      <c r="R35" s="48" t="s">
        <v>8491</v>
      </c>
      <c r="S35" t="s">
        <v>8623</v>
      </c>
      <c r="T35" t="s">
        <v>8634</v>
      </c>
      <c r="U35" s="62">
        <v>7.2</v>
      </c>
      <c r="V35" s="62" t="s">
        <v>8602</v>
      </c>
      <c r="W35" s="160">
        <v>5000</v>
      </c>
      <c r="AB35" t="str">
        <v>Jackson 18</v>
      </c>
      <c r="AH35" t="str">
        <v>Heath 21</v>
      </c>
      <c r="AT35">
        <v>960</v>
      </c>
      <c r="AU35">
        <v>989</v>
      </c>
      <c r="AV35">
        <v>1.0960000000000001</v>
      </c>
    </row>
    <row r="36" spans="1:48">
      <c r="A36" s="83" t="s">
        <v>9306</v>
      </c>
      <c r="B36" s="319">
        <v>354900</v>
      </c>
      <c r="C36" s="47" t="s">
        <v>250</v>
      </c>
      <c r="D36" s="102">
        <v>12.5</v>
      </c>
      <c r="E36" s="102">
        <v>29</v>
      </c>
      <c r="F36" s="94">
        <v>137.43</v>
      </c>
      <c r="G36" s="94">
        <v>180.42</v>
      </c>
      <c r="H36" s="94">
        <f t="shared" si="0"/>
        <v>362.5</v>
      </c>
      <c r="I36" s="95">
        <v>20</v>
      </c>
      <c r="J36" t="s">
        <v>9086</v>
      </c>
      <c r="K36" t="s">
        <v>10766</v>
      </c>
      <c r="L36" s="309">
        <v>2900</v>
      </c>
      <c r="O36" s="46"/>
      <c r="R36" s="48" t="s">
        <v>9077</v>
      </c>
      <c r="S36" t="s">
        <v>8622</v>
      </c>
      <c r="T36" t="s">
        <v>8629</v>
      </c>
      <c r="U36" s="62">
        <v>7.3</v>
      </c>
      <c r="V36" s="62" t="s">
        <v>8602</v>
      </c>
      <c r="W36" s="160">
        <v>5000</v>
      </c>
      <c r="AB36" t="str">
        <v>Jackson 18 GE</v>
      </c>
      <c r="AH36" t="str">
        <v>Heath 21 GE</v>
      </c>
      <c r="AT36">
        <v>990</v>
      </c>
      <c r="AU36">
        <v>1019</v>
      </c>
      <c r="AV36">
        <v>1.099</v>
      </c>
    </row>
    <row r="37" spans="1:48">
      <c r="A37" s="83" t="s">
        <v>9306</v>
      </c>
      <c r="B37" s="319">
        <v>354900</v>
      </c>
      <c r="C37" s="47" t="s">
        <v>250</v>
      </c>
      <c r="D37" s="102">
        <v>12.5</v>
      </c>
      <c r="E37" s="102">
        <v>29</v>
      </c>
      <c r="F37" s="94">
        <v>137.43</v>
      </c>
      <c r="G37" s="94">
        <v>180.42</v>
      </c>
      <c r="H37" s="94">
        <f t="shared" si="0"/>
        <v>362.5</v>
      </c>
      <c r="I37" s="95">
        <v>20</v>
      </c>
      <c r="J37" t="s">
        <v>9086</v>
      </c>
      <c r="K37" t="s">
        <v>240</v>
      </c>
      <c r="L37" s="46" t="s">
        <v>1</v>
      </c>
      <c r="O37" s="46"/>
      <c r="R37" s="48" t="s">
        <v>9077</v>
      </c>
      <c r="S37" t="s">
        <v>8622</v>
      </c>
      <c r="T37" t="s">
        <v>8630</v>
      </c>
      <c r="U37" s="203">
        <v>7.1</v>
      </c>
      <c r="V37" s="203" t="s">
        <v>8601</v>
      </c>
      <c r="W37" s="204">
        <v>15000</v>
      </c>
      <c r="AB37" t="str">
        <v>Jackson 20 (Jackon 18 with double Garage)</v>
      </c>
      <c r="AH37" t="str">
        <v>Hudson 28</v>
      </c>
      <c r="AT37">
        <v>1020</v>
      </c>
      <c r="AU37">
        <v>1049</v>
      </c>
      <c r="AV37">
        <v>1.1020000000000001</v>
      </c>
    </row>
    <row r="38" spans="1:48">
      <c r="A38" s="83" t="s">
        <v>9306</v>
      </c>
      <c r="B38" s="319">
        <v>354900</v>
      </c>
      <c r="C38" s="47" t="s">
        <v>250</v>
      </c>
      <c r="D38" s="102">
        <v>12.5</v>
      </c>
      <c r="E38" s="102">
        <v>29</v>
      </c>
      <c r="F38" s="94">
        <v>137.43</v>
      </c>
      <c r="G38" s="94">
        <v>180.42</v>
      </c>
      <c r="H38" s="94">
        <f t="shared" si="0"/>
        <v>362.5</v>
      </c>
      <c r="I38" s="95">
        <v>20</v>
      </c>
      <c r="J38" t="s">
        <v>9086</v>
      </c>
      <c r="K38" t="s">
        <v>10767</v>
      </c>
      <c r="L38" s="46">
        <v>2500</v>
      </c>
      <c r="O38" s="46"/>
      <c r="R38" s="48" t="s">
        <v>9077</v>
      </c>
      <c r="S38" t="s">
        <v>8622</v>
      </c>
      <c r="T38" t="s">
        <v>8635</v>
      </c>
      <c r="U38" s="62">
        <v>7</v>
      </c>
      <c r="V38" s="62" t="s">
        <v>8601</v>
      </c>
      <c r="W38" s="160">
        <v>15000</v>
      </c>
      <c r="AB38" t="str">
        <v>Jackson 20 GE (Jackon 18 with double Garage)</v>
      </c>
      <c r="AH38" t="str">
        <v>Hume 15</v>
      </c>
      <c r="AT38">
        <v>1050</v>
      </c>
      <c r="AU38">
        <v>1079</v>
      </c>
      <c r="AV38">
        <v>1.105</v>
      </c>
    </row>
    <row r="39" spans="1:48">
      <c r="A39" s="83" t="s">
        <v>9306</v>
      </c>
      <c r="B39" s="319">
        <v>354900</v>
      </c>
      <c r="C39" s="47" t="s">
        <v>250</v>
      </c>
      <c r="D39" s="102">
        <v>12.5</v>
      </c>
      <c r="E39" s="102">
        <v>29</v>
      </c>
      <c r="F39" s="94">
        <v>137.43</v>
      </c>
      <c r="G39" s="94">
        <v>180.42</v>
      </c>
      <c r="H39" s="94">
        <f t="shared" si="0"/>
        <v>362.5</v>
      </c>
      <c r="I39" s="95">
        <v>20</v>
      </c>
      <c r="J39" t="s">
        <v>9086</v>
      </c>
      <c r="K39" t="s">
        <v>242</v>
      </c>
      <c r="L39" s="46">
        <v>1000</v>
      </c>
      <c r="O39" s="46"/>
      <c r="R39" s="48" t="s">
        <v>9077</v>
      </c>
      <c r="S39" t="s">
        <v>8622</v>
      </c>
      <c r="T39" t="s">
        <v>8631</v>
      </c>
      <c r="U39" s="62">
        <v>7.1</v>
      </c>
      <c r="V39" s="62" t="s">
        <v>8601</v>
      </c>
      <c r="W39" s="160">
        <v>15000</v>
      </c>
      <c r="AB39" t="str">
        <v>Kennedy 22</v>
      </c>
      <c r="AH39" t="str">
        <v>Jackson 18</v>
      </c>
      <c r="AT39">
        <v>1080</v>
      </c>
      <c r="AU39">
        <v>1109</v>
      </c>
      <c r="AV39">
        <v>1.1080000000000001</v>
      </c>
    </row>
    <row r="40" spans="1:48">
      <c r="A40" s="83" t="s">
        <v>8546</v>
      </c>
      <c r="B40" s="319">
        <v>422000</v>
      </c>
      <c r="C40" s="47" t="s">
        <v>250</v>
      </c>
      <c r="D40" s="102">
        <v>12.5</v>
      </c>
      <c r="E40" s="102">
        <v>28</v>
      </c>
      <c r="F40" s="94">
        <v>155.35</v>
      </c>
      <c r="G40" s="94">
        <v>203.45</v>
      </c>
      <c r="H40" s="94">
        <f t="shared" si="0"/>
        <v>350</v>
      </c>
      <c r="I40" s="95">
        <v>22</v>
      </c>
      <c r="J40" t="s">
        <v>8494</v>
      </c>
      <c r="K40" t="s">
        <v>10765</v>
      </c>
      <c r="L40" s="46">
        <v>2900</v>
      </c>
      <c r="O40" s="46"/>
      <c r="R40" s="48" t="s">
        <v>9077</v>
      </c>
      <c r="S40" t="s">
        <v>8622</v>
      </c>
      <c r="T40" t="s">
        <v>8632</v>
      </c>
      <c r="U40" s="62">
        <v>7.3</v>
      </c>
      <c r="V40" s="62" t="s">
        <v>8602</v>
      </c>
      <c r="W40" s="160">
        <v>5000</v>
      </c>
      <c r="AB40" t="str">
        <v>Kennedy 22L</v>
      </c>
      <c r="AH40" t="str">
        <v>Jackson 18 GE</v>
      </c>
    </row>
    <row r="41" spans="1:48">
      <c r="A41" s="83" t="s">
        <v>8546</v>
      </c>
      <c r="B41" s="319">
        <v>422000</v>
      </c>
      <c r="C41" s="47" t="s">
        <v>250</v>
      </c>
      <c r="D41" s="102">
        <v>12.5</v>
      </c>
      <c r="E41" s="102">
        <v>28</v>
      </c>
      <c r="F41" s="94">
        <v>155.35</v>
      </c>
      <c r="G41" s="94">
        <v>203.45</v>
      </c>
      <c r="H41" s="94">
        <f t="shared" si="0"/>
        <v>350</v>
      </c>
      <c r="I41" s="95">
        <v>22</v>
      </c>
      <c r="J41" t="s">
        <v>8494</v>
      </c>
      <c r="K41" t="s">
        <v>241</v>
      </c>
      <c r="L41" s="46" t="s">
        <v>1</v>
      </c>
      <c r="O41" s="46"/>
      <c r="R41" s="48" t="s">
        <v>9077</v>
      </c>
      <c r="S41" t="s">
        <v>8622</v>
      </c>
      <c r="T41" t="s">
        <v>8633</v>
      </c>
      <c r="U41" s="62">
        <v>7.2</v>
      </c>
      <c r="V41" s="62" t="s">
        <v>8601</v>
      </c>
      <c r="W41" s="160">
        <v>15000</v>
      </c>
      <c r="AB41" t="str">
        <v>Kennedy 22L GE</v>
      </c>
      <c r="AH41" t="str">
        <v>Jackson 20 (Jackon 18 with double Garage)</v>
      </c>
    </row>
    <row r="42" spans="1:48">
      <c r="A42" s="83" t="s">
        <v>8546</v>
      </c>
      <c r="B42" s="319">
        <v>422000</v>
      </c>
      <c r="C42" s="47" t="s">
        <v>250</v>
      </c>
      <c r="D42" s="102">
        <v>12.5</v>
      </c>
      <c r="E42" s="102">
        <v>28</v>
      </c>
      <c r="F42" s="94">
        <v>155.35</v>
      </c>
      <c r="G42" s="94">
        <v>203.45</v>
      </c>
      <c r="H42" s="94">
        <f t="shared" si="0"/>
        <v>350</v>
      </c>
      <c r="I42" s="95">
        <v>22</v>
      </c>
      <c r="J42" t="s">
        <v>8494</v>
      </c>
      <c r="K42" t="s">
        <v>10766</v>
      </c>
      <c r="L42" s="309">
        <v>2900</v>
      </c>
      <c r="O42" s="46"/>
      <c r="R42" s="48" t="s">
        <v>9077</v>
      </c>
      <c r="S42" t="s">
        <v>8622</v>
      </c>
      <c r="T42" t="s">
        <v>8601</v>
      </c>
      <c r="U42" s="62">
        <v>7.1</v>
      </c>
      <c r="V42" s="62" t="s">
        <v>8601</v>
      </c>
      <c r="W42" s="160">
        <v>15000</v>
      </c>
      <c r="AB42" t="str">
        <v>Leon 22-1B GE</v>
      </c>
      <c r="AH42" t="str">
        <v>Jackson 20 GE (Jackon 18 with double Garage)</v>
      </c>
    </row>
    <row r="43" spans="1:48">
      <c r="A43" s="83" t="s">
        <v>8546</v>
      </c>
      <c r="B43" s="319">
        <v>422000</v>
      </c>
      <c r="C43" s="47" t="s">
        <v>250</v>
      </c>
      <c r="D43" s="102">
        <v>12.5</v>
      </c>
      <c r="E43" s="102">
        <v>28</v>
      </c>
      <c r="F43" s="94">
        <v>155.35</v>
      </c>
      <c r="G43" s="94">
        <v>203.45</v>
      </c>
      <c r="H43" s="94">
        <f t="shared" si="0"/>
        <v>350</v>
      </c>
      <c r="I43" s="95">
        <v>22</v>
      </c>
      <c r="J43" t="s">
        <v>8494</v>
      </c>
      <c r="K43" t="s">
        <v>240</v>
      </c>
      <c r="L43" s="46" t="s">
        <v>1</v>
      </c>
      <c r="O43" s="46"/>
      <c r="R43" s="48" t="s">
        <v>9077</v>
      </c>
      <c r="S43" t="s">
        <v>8622</v>
      </c>
      <c r="T43" t="s">
        <v>8634</v>
      </c>
      <c r="U43" s="62">
        <v>7.2</v>
      </c>
      <c r="V43" s="62" t="s">
        <v>8601</v>
      </c>
      <c r="W43" s="160">
        <v>15000</v>
      </c>
      <c r="AB43" t="str">
        <v>Leon 25 GE</v>
      </c>
      <c r="AH43" t="str">
        <v>Kennedy 22</v>
      </c>
    </row>
    <row r="44" spans="1:48">
      <c r="A44" s="83" t="s">
        <v>8546</v>
      </c>
      <c r="B44" s="319">
        <v>422000</v>
      </c>
      <c r="C44" s="47" t="s">
        <v>250</v>
      </c>
      <c r="D44" s="102">
        <v>12.5</v>
      </c>
      <c r="E44" s="102">
        <v>28</v>
      </c>
      <c r="F44" s="94">
        <v>155.35</v>
      </c>
      <c r="G44" s="94">
        <v>203.45</v>
      </c>
      <c r="H44" s="94">
        <f t="shared" si="0"/>
        <v>350</v>
      </c>
      <c r="I44" s="95">
        <v>22</v>
      </c>
      <c r="J44" t="s">
        <v>8494</v>
      </c>
      <c r="K44" t="s">
        <v>10767</v>
      </c>
      <c r="L44" s="46">
        <v>2500</v>
      </c>
      <c r="O44" s="46"/>
      <c r="R44" s="48" t="s">
        <v>9077</v>
      </c>
      <c r="S44" t="s">
        <v>8623</v>
      </c>
      <c r="T44" t="s">
        <v>8629</v>
      </c>
      <c r="U44" s="62">
        <v>7.3</v>
      </c>
      <c r="V44" s="62" t="s">
        <v>8602</v>
      </c>
      <c r="W44" s="160">
        <v>5000</v>
      </c>
      <c r="AB44" t="str">
        <v>Lucas 16</v>
      </c>
      <c r="AH44" t="str">
        <v>Kennedy 22L</v>
      </c>
    </row>
    <row r="45" spans="1:48">
      <c r="A45" s="83" t="s">
        <v>8546</v>
      </c>
      <c r="B45" s="319">
        <v>422000</v>
      </c>
      <c r="C45" s="47" t="s">
        <v>250</v>
      </c>
      <c r="D45" s="102">
        <v>12.5</v>
      </c>
      <c r="E45" s="102">
        <v>28</v>
      </c>
      <c r="F45" s="94">
        <v>155.35</v>
      </c>
      <c r="G45" s="94">
        <v>203.45</v>
      </c>
      <c r="H45" s="94">
        <f t="shared" si="0"/>
        <v>350</v>
      </c>
      <c r="I45" s="95">
        <v>22</v>
      </c>
      <c r="J45" t="s">
        <v>8494</v>
      </c>
      <c r="K45" t="s">
        <v>242</v>
      </c>
      <c r="L45" s="46">
        <v>1000</v>
      </c>
      <c r="O45" s="46"/>
      <c r="R45" s="48" t="s">
        <v>9077</v>
      </c>
      <c r="S45" t="s">
        <v>8623</v>
      </c>
      <c r="T45" t="s">
        <v>8630</v>
      </c>
      <c r="U45" s="62">
        <v>7.1</v>
      </c>
      <c r="V45" s="62" t="s">
        <v>8601</v>
      </c>
      <c r="W45" s="160">
        <v>15000</v>
      </c>
      <c r="AB45" t="str">
        <v>Marco 25</v>
      </c>
      <c r="AH45" t="str">
        <v>Kennedy 22L GE</v>
      </c>
    </row>
    <row r="46" spans="1:48">
      <c r="A46" s="83" t="s">
        <v>8493</v>
      </c>
      <c r="B46" s="319">
        <v>385000</v>
      </c>
      <c r="C46" s="47" t="s">
        <v>250</v>
      </c>
      <c r="D46" s="102">
        <v>12.5</v>
      </c>
      <c r="E46" s="102">
        <v>28</v>
      </c>
      <c r="F46" s="94">
        <v>155.35</v>
      </c>
      <c r="G46" s="94">
        <v>203.45</v>
      </c>
      <c r="H46" s="94">
        <f t="shared" si="0"/>
        <v>350</v>
      </c>
      <c r="I46" s="95">
        <v>22</v>
      </c>
      <c r="J46" t="s">
        <v>8494</v>
      </c>
      <c r="K46" t="s">
        <v>10765</v>
      </c>
      <c r="L46" s="46">
        <v>2900</v>
      </c>
      <c r="R46" s="48" t="s">
        <v>9077</v>
      </c>
      <c r="S46" t="s">
        <v>8623</v>
      </c>
      <c r="T46" t="s">
        <v>8635</v>
      </c>
      <c r="U46" s="62">
        <v>7</v>
      </c>
      <c r="V46" s="62" t="s">
        <v>8601</v>
      </c>
      <c r="W46" s="160">
        <v>15000</v>
      </c>
      <c r="AB46" t="str">
        <v>Mawson 18</v>
      </c>
      <c r="AH46" t="str">
        <v>Leon 22-1B GE</v>
      </c>
    </row>
    <row r="47" spans="1:48">
      <c r="A47" s="83" t="s">
        <v>8493</v>
      </c>
      <c r="B47" s="319">
        <v>385000</v>
      </c>
      <c r="C47" s="47" t="s">
        <v>250</v>
      </c>
      <c r="D47" s="102">
        <v>12.5</v>
      </c>
      <c r="E47" s="102">
        <v>28</v>
      </c>
      <c r="F47" s="94">
        <v>155.35</v>
      </c>
      <c r="G47" s="94">
        <v>203.45</v>
      </c>
      <c r="H47" s="94">
        <f t="shared" si="0"/>
        <v>350</v>
      </c>
      <c r="I47" s="95">
        <v>22</v>
      </c>
      <c r="J47" t="s">
        <v>8494</v>
      </c>
      <c r="K47" t="s">
        <v>241</v>
      </c>
      <c r="L47" s="46" t="s">
        <v>1</v>
      </c>
      <c r="O47" s="46"/>
      <c r="R47" s="48" t="s">
        <v>9077</v>
      </c>
      <c r="S47" t="s">
        <v>8623</v>
      </c>
      <c r="T47" t="s">
        <v>8631</v>
      </c>
      <c r="U47" s="62">
        <v>7.1</v>
      </c>
      <c r="V47" s="62" t="s">
        <v>8601</v>
      </c>
      <c r="W47" s="160">
        <v>15000</v>
      </c>
      <c r="AB47" t="str">
        <v>Onix 17</v>
      </c>
      <c r="AH47" t="str">
        <v>Leon 25 GE</v>
      </c>
    </row>
    <row r="48" spans="1:48">
      <c r="A48" s="83" t="s">
        <v>8493</v>
      </c>
      <c r="B48" s="319">
        <v>385000</v>
      </c>
      <c r="C48" s="47" t="s">
        <v>250</v>
      </c>
      <c r="D48" s="102">
        <v>12.5</v>
      </c>
      <c r="E48" s="102">
        <v>28</v>
      </c>
      <c r="F48" s="94">
        <v>155.35</v>
      </c>
      <c r="G48" s="94">
        <v>203.45</v>
      </c>
      <c r="H48" s="94">
        <f t="shared" si="0"/>
        <v>350</v>
      </c>
      <c r="I48" s="95">
        <v>22</v>
      </c>
      <c r="J48" t="s">
        <v>8494</v>
      </c>
      <c r="K48" t="s">
        <v>10766</v>
      </c>
      <c r="L48" s="309">
        <v>2900</v>
      </c>
      <c r="O48" s="46"/>
      <c r="R48" s="48" t="s">
        <v>9077</v>
      </c>
      <c r="S48" t="s">
        <v>8623</v>
      </c>
      <c r="T48" t="s">
        <v>8632</v>
      </c>
      <c r="U48" s="203">
        <v>7.3</v>
      </c>
      <c r="V48" s="203" t="s">
        <v>8602</v>
      </c>
      <c r="W48" s="204">
        <v>5000</v>
      </c>
      <c r="AB48" t="str">
        <v>Polo 26</v>
      </c>
      <c r="AH48" t="str">
        <v>Lucas 16</v>
      </c>
    </row>
    <row r="49" spans="1:34">
      <c r="A49" s="83" t="s">
        <v>8493</v>
      </c>
      <c r="B49" s="319">
        <v>385000</v>
      </c>
      <c r="C49" s="47" t="s">
        <v>250</v>
      </c>
      <c r="D49" s="102">
        <v>12.5</v>
      </c>
      <c r="E49" s="102">
        <v>28</v>
      </c>
      <c r="F49" s="94">
        <v>155.35</v>
      </c>
      <c r="G49" s="94">
        <v>203.45</v>
      </c>
      <c r="H49" s="94">
        <f t="shared" si="0"/>
        <v>350</v>
      </c>
      <c r="I49" s="95">
        <v>22</v>
      </c>
      <c r="J49" t="s">
        <v>8494</v>
      </c>
      <c r="K49" t="s">
        <v>240</v>
      </c>
      <c r="L49" s="46" t="s">
        <v>1</v>
      </c>
      <c r="O49" s="46"/>
      <c r="R49" s="48" t="s">
        <v>9077</v>
      </c>
      <c r="S49" t="s">
        <v>8623</v>
      </c>
      <c r="T49" t="s">
        <v>8633</v>
      </c>
      <c r="U49" s="62">
        <v>7.2</v>
      </c>
      <c r="V49" s="62" t="s">
        <v>8601</v>
      </c>
      <c r="W49" s="160">
        <v>15000</v>
      </c>
      <c r="AB49" t="str">
        <v>Raleigh 17 GE</v>
      </c>
      <c r="AH49" t="str">
        <v>Marco 25</v>
      </c>
    </row>
    <row r="50" spans="1:34">
      <c r="A50" s="83" t="s">
        <v>8493</v>
      </c>
      <c r="B50" s="319">
        <v>385000</v>
      </c>
      <c r="C50" s="47" t="s">
        <v>250</v>
      </c>
      <c r="D50" s="102">
        <v>12.5</v>
      </c>
      <c r="E50" s="102">
        <v>28</v>
      </c>
      <c r="F50" s="94">
        <v>155.35</v>
      </c>
      <c r="G50" s="94">
        <v>203.45</v>
      </c>
      <c r="H50" s="94">
        <f t="shared" si="0"/>
        <v>350</v>
      </c>
      <c r="I50" s="95">
        <v>22</v>
      </c>
      <c r="J50" t="s">
        <v>8494</v>
      </c>
      <c r="K50" t="s">
        <v>10767</v>
      </c>
      <c r="L50" s="46">
        <v>2500</v>
      </c>
      <c r="O50" s="46"/>
      <c r="R50" s="48" t="s">
        <v>9077</v>
      </c>
      <c r="S50" t="s">
        <v>8623</v>
      </c>
      <c r="T50" t="s">
        <v>8601</v>
      </c>
      <c r="U50" s="62">
        <v>7.1</v>
      </c>
      <c r="V50" s="62" t="s">
        <v>8601</v>
      </c>
      <c r="W50" s="160">
        <v>15000</v>
      </c>
      <c r="AB50" t="str">
        <v>Walker 20</v>
      </c>
      <c r="AH50" t="str">
        <v>Mawson 18</v>
      </c>
    </row>
    <row r="51" spans="1:34" ht="15.75" thickBot="1">
      <c r="A51" s="83" t="s">
        <v>8493</v>
      </c>
      <c r="B51" s="319">
        <v>385000</v>
      </c>
      <c r="C51" s="47" t="s">
        <v>250</v>
      </c>
      <c r="D51" s="102">
        <v>12.5</v>
      </c>
      <c r="E51" s="102">
        <v>28</v>
      </c>
      <c r="F51" s="94">
        <v>155.35</v>
      </c>
      <c r="G51" s="94">
        <v>203.45</v>
      </c>
      <c r="H51" s="94">
        <f t="shared" si="0"/>
        <v>350</v>
      </c>
      <c r="I51" s="95">
        <v>22</v>
      </c>
      <c r="J51" t="s">
        <v>8494</v>
      </c>
      <c r="K51" t="s">
        <v>242</v>
      </c>
      <c r="L51" s="46">
        <v>1000</v>
      </c>
      <c r="O51" s="46"/>
      <c r="R51" s="48" t="s">
        <v>9077</v>
      </c>
      <c r="S51" t="s">
        <v>8623</v>
      </c>
      <c r="T51" t="s">
        <v>8634</v>
      </c>
      <c r="U51" s="62">
        <v>7.2</v>
      </c>
      <c r="V51" s="62" t="s">
        <v>8602</v>
      </c>
      <c r="W51" s="160">
        <v>5000</v>
      </c>
      <c r="AB51" t="str">
        <v>Wentworth 22</v>
      </c>
      <c r="AH51" t="str">
        <v>Onix 17</v>
      </c>
    </row>
    <row r="52" spans="1:34" ht="15.75" thickBot="1">
      <c r="A52" s="320" t="s">
        <v>8962</v>
      </c>
      <c r="B52" s="321">
        <v>475000</v>
      </c>
      <c r="C52" s="310" t="s">
        <v>250</v>
      </c>
      <c r="D52" s="310">
        <v>12.5</v>
      </c>
      <c r="E52" s="310">
        <v>30</v>
      </c>
      <c r="F52" s="310">
        <v>175.55</v>
      </c>
      <c r="G52" s="310">
        <v>222.05</v>
      </c>
      <c r="H52" s="393">
        <f t="shared" si="0"/>
        <v>375</v>
      </c>
      <c r="I52" s="310">
        <v>23</v>
      </c>
      <c r="J52" s="311" t="s">
        <v>8963</v>
      </c>
      <c r="K52" s="311" t="s">
        <v>241</v>
      </c>
      <c r="L52" s="312" t="s">
        <v>1</v>
      </c>
      <c r="M52" s="313"/>
      <c r="O52" s="46"/>
      <c r="R52" s="48" t="s">
        <v>9078</v>
      </c>
      <c r="S52" t="s">
        <v>8622</v>
      </c>
      <c r="T52" t="s">
        <v>8629</v>
      </c>
      <c r="U52" s="62">
        <v>7.3</v>
      </c>
      <c r="V52" s="62" t="s">
        <v>8602</v>
      </c>
      <c r="W52" s="160">
        <v>5000</v>
      </c>
      <c r="AB52" t="str">
        <v>Wentworth 24</v>
      </c>
      <c r="AH52" t="str">
        <v>Oxford 27</v>
      </c>
    </row>
    <row r="53" spans="1:34" ht="15.75" thickBot="1">
      <c r="A53" s="322" t="s">
        <v>8962</v>
      </c>
      <c r="B53" s="321">
        <v>475000</v>
      </c>
      <c r="C53" s="314" t="s">
        <v>250</v>
      </c>
      <c r="D53" s="314">
        <v>12.5</v>
      </c>
      <c r="E53" s="314">
        <v>30</v>
      </c>
      <c r="F53" s="314">
        <v>175.55</v>
      </c>
      <c r="G53" s="314">
        <v>222.05</v>
      </c>
      <c r="H53" s="394">
        <f t="shared" si="0"/>
        <v>375</v>
      </c>
      <c r="I53" s="314">
        <v>23</v>
      </c>
      <c r="J53" s="315" t="s">
        <v>8963</v>
      </c>
      <c r="K53" s="315" t="s">
        <v>10766</v>
      </c>
      <c r="L53" s="309">
        <v>2900</v>
      </c>
      <c r="M53" s="315"/>
      <c r="O53" s="46"/>
      <c r="R53" s="48" t="s">
        <v>9078</v>
      </c>
      <c r="S53" t="s">
        <v>8622</v>
      </c>
      <c r="T53" t="s">
        <v>8630</v>
      </c>
      <c r="U53" s="203">
        <v>7.1</v>
      </c>
      <c r="V53" s="203" t="s">
        <v>8601</v>
      </c>
      <c r="W53" s="204">
        <v>15000</v>
      </c>
      <c r="AH53" t="str">
        <v>Polo 26</v>
      </c>
    </row>
    <row r="54" spans="1:34" ht="15.75" thickBot="1">
      <c r="A54" s="322" t="s">
        <v>8962</v>
      </c>
      <c r="B54" s="321">
        <v>475000</v>
      </c>
      <c r="C54" s="314" t="s">
        <v>250</v>
      </c>
      <c r="D54" s="314">
        <v>12.5</v>
      </c>
      <c r="E54" s="314">
        <v>30</v>
      </c>
      <c r="F54" s="314">
        <v>175.55</v>
      </c>
      <c r="G54" s="314">
        <v>222.05</v>
      </c>
      <c r="H54" s="394">
        <f t="shared" si="0"/>
        <v>375</v>
      </c>
      <c r="I54" s="314">
        <v>23</v>
      </c>
      <c r="J54" s="315" t="s">
        <v>8963</v>
      </c>
      <c r="K54" s="315" t="s">
        <v>240</v>
      </c>
      <c r="L54" s="315" t="s">
        <v>1</v>
      </c>
      <c r="M54" s="317"/>
      <c r="O54" s="46"/>
      <c r="R54" s="48" t="s">
        <v>9078</v>
      </c>
      <c r="S54" t="s">
        <v>8622</v>
      </c>
      <c r="T54" t="s">
        <v>8635</v>
      </c>
      <c r="U54" s="62">
        <v>7</v>
      </c>
      <c r="V54" s="62" t="s">
        <v>8601</v>
      </c>
      <c r="W54" s="160">
        <v>15000</v>
      </c>
      <c r="AH54" t="str">
        <v>Raleigh 17 GE</v>
      </c>
    </row>
    <row r="55" spans="1:34" ht="15.75" thickBot="1">
      <c r="A55" s="322" t="s">
        <v>8962</v>
      </c>
      <c r="B55" s="321">
        <v>475000</v>
      </c>
      <c r="C55" s="314" t="s">
        <v>250</v>
      </c>
      <c r="D55" s="314">
        <v>12.5</v>
      </c>
      <c r="E55" s="314">
        <v>30</v>
      </c>
      <c r="F55" s="314">
        <v>175.55</v>
      </c>
      <c r="G55" s="314">
        <v>222.05</v>
      </c>
      <c r="H55" s="394">
        <f t="shared" si="0"/>
        <v>375</v>
      </c>
      <c r="I55" s="314">
        <v>23</v>
      </c>
      <c r="J55" s="315" t="s">
        <v>8963</v>
      </c>
      <c r="K55" s="315" t="s">
        <v>10767</v>
      </c>
      <c r="L55" s="316">
        <v>2500</v>
      </c>
      <c r="M55" s="317"/>
      <c r="O55" s="46"/>
      <c r="R55" s="48" t="s">
        <v>9078</v>
      </c>
      <c r="S55" t="s">
        <v>8622</v>
      </c>
      <c r="T55" t="s">
        <v>8631</v>
      </c>
      <c r="U55" s="62">
        <v>7.1</v>
      </c>
      <c r="V55" s="62" t="s">
        <v>8601</v>
      </c>
      <c r="W55" s="160">
        <v>15000</v>
      </c>
      <c r="AH55" t="str">
        <v>Spencer 17</v>
      </c>
    </row>
    <row r="56" spans="1:34" ht="15.75" thickBot="1">
      <c r="A56" s="322" t="s">
        <v>8962</v>
      </c>
      <c r="B56" s="321">
        <v>475000</v>
      </c>
      <c r="C56" s="314" t="s">
        <v>250</v>
      </c>
      <c r="D56" s="314">
        <v>12.5</v>
      </c>
      <c r="E56" s="314">
        <v>30</v>
      </c>
      <c r="F56" s="314">
        <v>175.55</v>
      </c>
      <c r="G56" s="314">
        <v>222.05</v>
      </c>
      <c r="H56" s="394">
        <f t="shared" si="0"/>
        <v>375</v>
      </c>
      <c r="I56" s="314">
        <v>23</v>
      </c>
      <c r="J56" s="315" t="s">
        <v>8963</v>
      </c>
      <c r="K56" s="315" t="s">
        <v>242</v>
      </c>
      <c r="L56" s="316">
        <v>1000</v>
      </c>
      <c r="M56" s="317"/>
      <c r="O56" s="46"/>
      <c r="R56" s="48" t="s">
        <v>9078</v>
      </c>
      <c r="S56" t="s">
        <v>8622</v>
      </c>
      <c r="T56" t="s">
        <v>8632</v>
      </c>
      <c r="U56" s="62">
        <v>7.3</v>
      </c>
      <c r="V56" s="62" t="s">
        <v>8602</v>
      </c>
      <c r="W56" s="160">
        <v>5000</v>
      </c>
      <c r="AH56" t="str">
        <v>Spencer 24</v>
      </c>
    </row>
    <row r="57" spans="1:34" ht="15.75" thickBot="1">
      <c r="A57" s="322" t="s">
        <v>8964</v>
      </c>
      <c r="B57" s="323">
        <v>447000</v>
      </c>
      <c r="C57" s="314" t="s">
        <v>250</v>
      </c>
      <c r="D57" s="314">
        <v>12.5</v>
      </c>
      <c r="E57" s="314">
        <v>30</v>
      </c>
      <c r="F57" s="314">
        <v>175.55</v>
      </c>
      <c r="G57" s="314">
        <v>222.05</v>
      </c>
      <c r="H57" s="394">
        <f t="shared" si="0"/>
        <v>375</v>
      </c>
      <c r="I57" s="314">
        <v>23</v>
      </c>
      <c r="J57" s="315" t="s">
        <v>8963</v>
      </c>
      <c r="K57" s="315" t="s">
        <v>241</v>
      </c>
      <c r="L57" s="316" t="s">
        <v>1</v>
      </c>
      <c r="M57" s="317"/>
      <c r="O57" s="46"/>
      <c r="R57" s="48" t="s">
        <v>9078</v>
      </c>
      <c r="S57" t="s">
        <v>8622</v>
      </c>
      <c r="T57" t="s">
        <v>8633</v>
      </c>
      <c r="U57" s="62">
        <v>7.2</v>
      </c>
      <c r="V57" s="62" t="s">
        <v>8601</v>
      </c>
      <c r="W57" s="160">
        <v>15000</v>
      </c>
      <c r="AH57" t="str">
        <v>Walker 20</v>
      </c>
    </row>
    <row r="58" spans="1:34" ht="15.75" thickBot="1">
      <c r="A58" s="322" t="s">
        <v>8964</v>
      </c>
      <c r="B58" s="323">
        <v>447000</v>
      </c>
      <c r="C58" s="314" t="s">
        <v>250</v>
      </c>
      <c r="D58" s="314">
        <v>12.5</v>
      </c>
      <c r="E58" s="314">
        <v>30</v>
      </c>
      <c r="F58" s="314">
        <v>175.55</v>
      </c>
      <c r="G58" s="314">
        <v>222.05</v>
      </c>
      <c r="H58" s="394">
        <f t="shared" si="0"/>
        <v>375</v>
      </c>
      <c r="I58" s="314">
        <v>23</v>
      </c>
      <c r="J58" s="315" t="s">
        <v>8963</v>
      </c>
      <c r="K58" s="315" t="s">
        <v>10766</v>
      </c>
      <c r="L58" s="309">
        <v>2900</v>
      </c>
      <c r="M58" s="315"/>
      <c r="O58" s="46"/>
      <c r="R58" s="48" t="s">
        <v>9078</v>
      </c>
      <c r="S58" t="s">
        <v>8622</v>
      </c>
      <c r="T58" t="s">
        <v>8601</v>
      </c>
      <c r="U58" s="62">
        <v>7.1</v>
      </c>
      <c r="V58" s="62" t="s">
        <v>8601</v>
      </c>
      <c r="W58" s="160">
        <v>15000</v>
      </c>
      <c r="AH58" t="str">
        <v>Wentworth 22</v>
      </c>
    </row>
    <row r="59" spans="1:34" ht="15.75" thickBot="1">
      <c r="A59" s="322" t="s">
        <v>8964</v>
      </c>
      <c r="B59" s="323">
        <v>447000</v>
      </c>
      <c r="C59" s="314" t="s">
        <v>250</v>
      </c>
      <c r="D59" s="314">
        <v>12.5</v>
      </c>
      <c r="E59" s="314">
        <v>30</v>
      </c>
      <c r="F59" s="314">
        <v>175.55</v>
      </c>
      <c r="G59" s="314">
        <v>222.05</v>
      </c>
      <c r="H59" s="394">
        <f t="shared" si="0"/>
        <v>375</v>
      </c>
      <c r="I59" s="314">
        <v>23</v>
      </c>
      <c r="J59" s="315" t="s">
        <v>8963</v>
      </c>
      <c r="K59" s="315" t="s">
        <v>240</v>
      </c>
      <c r="L59" s="315" t="s">
        <v>1</v>
      </c>
      <c r="M59" s="317"/>
      <c r="O59" s="46"/>
      <c r="R59" s="48" t="s">
        <v>9078</v>
      </c>
      <c r="S59" t="s">
        <v>8622</v>
      </c>
      <c r="T59" t="s">
        <v>8634</v>
      </c>
      <c r="U59" s="62">
        <v>7.2</v>
      </c>
      <c r="V59" s="62" t="s">
        <v>8601</v>
      </c>
      <c r="W59" s="160">
        <v>15000</v>
      </c>
      <c r="AH59" t="str">
        <v>Wentworth 24</v>
      </c>
    </row>
    <row r="60" spans="1:34" ht="15.75" thickBot="1">
      <c r="A60" s="322" t="s">
        <v>8964</v>
      </c>
      <c r="B60" s="323">
        <v>447000</v>
      </c>
      <c r="C60" s="314" t="s">
        <v>250</v>
      </c>
      <c r="D60" s="314">
        <v>12.5</v>
      </c>
      <c r="E60" s="314">
        <v>30</v>
      </c>
      <c r="F60" s="314">
        <v>175.55</v>
      </c>
      <c r="G60" s="314">
        <v>222.05</v>
      </c>
      <c r="H60" s="394">
        <f t="shared" si="0"/>
        <v>375</v>
      </c>
      <c r="I60" s="314">
        <v>23</v>
      </c>
      <c r="J60" s="315" t="s">
        <v>8963</v>
      </c>
      <c r="K60" s="315" t="s">
        <v>10767</v>
      </c>
      <c r="L60" s="316">
        <v>2500</v>
      </c>
      <c r="M60" s="317"/>
      <c r="O60" s="46"/>
      <c r="R60" s="48" t="s">
        <v>9078</v>
      </c>
      <c r="S60" t="s">
        <v>8623</v>
      </c>
      <c r="T60" t="s">
        <v>8629</v>
      </c>
      <c r="U60" s="62">
        <v>7.3</v>
      </c>
      <c r="V60" s="62" t="s">
        <v>8602</v>
      </c>
      <c r="W60" s="160">
        <v>5000</v>
      </c>
    </row>
    <row r="61" spans="1:34" ht="15.75" thickBot="1">
      <c r="A61" s="322" t="s">
        <v>8964</v>
      </c>
      <c r="B61" s="323">
        <v>447000</v>
      </c>
      <c r="C61" s="314" t="s">
        <v>250</v>
      </c>
      <c r="D61" s="314">
        <v>12.5</v>
      </c>
      <c r="E61" s="314">
        <v>30</v>
      </c>
      <c r="F61" s="314">
        <v>175.55</v>
      </c>
      <c r="G61" s="314">
        <v>222.05</v>
      </c>
      <c r="H61" s="394">
        <f t="shared" si="0"/>
        <v>375</v>
      </c>
      <c r="I61" s="314">
        <v>23</v>
      </c>
      <c r="J61" s="315" t="s">
        <v>8963</v>
      </c>
      <c r="K61" s="315" t="s">
        <v>242</v>
      </c>
      <c r="L61" s="316">
        <v>1000</v>
      </c>
      <c r="M61" s="317"/>
      <c r="O61" s="46"/>
      <c r="R61" s="48" t="s">
        <v>9078</v>
      </c>
      <c r="S61" t="s">
        <v>8623</v>
      </c>
      <c r="T61" t="s">
        <v>8630</v>
      </c>
      <c r="U61" s="62">
        <v>7.1</v>
      </c>
      <c r="V61" s="62" t="s">
        <v>8601</v>
      </c>
      <c r="W61" s="160">
        <v>15000</v>
      </c>
    </row>
    <row r="62" spans="1:34">
      <c r="A62" s="83" t="s">
        <v>8548</v>
      </c>
      <c r="B62" s="319">
        <v>526000</v>
      </c>
      <c r="C62" s="47" t="s">
        <v>250</v>
      </c>
      <c r="D62" s="102">
        <v>16</v>
      </c>
      <c r="E62" s="102">
        <v>31</v>
      </c>
      <c r="F62" s="94">
        <v>220.67</v>
      </c>
      <c r="G62" s="94">
        <v>285.11</v>
      </c>
      <c r="H62" s="94">
        <f t="shared" si="0"/>
        <v>496</v>
      </c>
      <c r="I62" s="95">
        <v>30</v>
      </c>
      <c r="J62" t="s">
        <v>8497</v>
      </c>
      <c r="K62" t="s">
        <v>241</v>
      </c>
      <c r="L62" s="46" t="s">
        <v>1</v>
      </c>
      <c r="O62" s="46"/>
      <c r="R62" s="48" t="s">
        <v>9078</v>
      </c>
      <c r="S62" t="s">
        <v>8623</v>
      </c>
      <c r="T62" t="s">
        <v>8635</v>
      </c>
      <c r="U62" s="62">
        <v>7</v>
      </c>
      <c r="V62" s="62" t="s">
        <v>8601</v>
      </c>
      <c r="W62" s="160">
        <v>15000</v>
      </c>
    </row>
    <row r="63" spans="1:34">
      <c r="A63" s="83" t="s">
        <v>8548</v>
      </c>
      <c r="B63" s="319">
        <v>526000</v>
      </c>
      <c r="C63" s="47" t="s">
        <v>250</v>
      </c>
      <c r="D63" s="102">
        <v>16</v>
      </c>
      <c r="E63" s="102">
        <v>31</v>
      </c>
      <c r="F63" s="94">
        <v>220.67</v>
      </c>
      <c r="G63" s="94">
        <v>285.11</v>
      </c>
      <c r="H63" s="94">
        <f t="shared" si="0"/>
        <v>496</v>
      </c>
      <c r="I63" s="95">
        <v>30</v>
      </c>
      <c r="J63" t="s">
        <v>8497</v>
      </c>
      <c r="K63" t="s">
        <v>10766</v>
      </c>
      <c r="L63" s="309">
        <v>2900</v>
      </c>
      <c r="O63" s="46"/>
      <c r="R63" s="48" t="s">
        <v>9078</v>
      </c>
      <c r="S63" t="s">
        <v>8623</v>
      </c>
      <c r="T63" t="s">
        <v>8631</v>
      </c>
      <c r="U63" s="62">
        <v>7.1</v>
      </c>
      <c r="V63" s="62" t="s">
        <v>8601</v>
      </c>
      <c r="W63" s="160">
        <v>15000</v>
      </c>
    </row>
    <row r="64" spans="1:34">
      <c r="A64" s="83" t="s">
        <v>8548</v>
      </c>
      <c r="B64" s="319">
        <v>526000</v>
      </c>
      <c r="C64" s="47" t="s">
        <v>250</v>
      </c>
      <c r="D64" s="102">
        <v>16</v>
      </c>
      <c r="E64" s="102">
        <v>31</v>
      </c>
      <c r="F64" s="94">
        <v>220.67</v>
      </c>
      <c r="G64" s="94">
        <v>285.11</v>
      </c>
      <c r="H64" s="94">
        <f t="shared" si="0"/>
        <v>496</v>
      </c>
      <c r="I64" s="95">
        <v>30</v>
      </c>
      <c r="J64" t="s">
        <v>8497</v>
      </c>
      <c r="K64" t="s">
        <v>240</v>
      </c>
      <c r="L64" s="46" t="s">
        <v>1</v>
      </c>
      <c r="O64" s="46"/>
      <c r="R64" s="48" t="s">
        <v>9078</v>
      </c>
      <c r="S64" t="s">
        <v>8623</v>
      </c>
      <c r="T64" t="s">
        <v>8632</v>
      </c>
      <c r="U64" s="203">
        <v>7.3</v>
      </c>
      <c r="V64" s="203" t="s">
        <v>8602</v>
      </c>
      <c r="W64" s="204">
        <v>5000</v>
      </c>
    </row>
    <row r="65" spans="1:24">
      <c r="A65" s="83" t="s">
        <v>8548</v>
      </c>
      <c r="B65" s="319">
        <v>526000</v>
      </c>
      <c r="C65" s="47" t="s">
        <v>250</v>
      </c>
      <c r="D65" s="102">
        <v>16</v>
      </c>
      <c r="E65" s="102">
        <v>31</v>
      </c>
      <c r="F65" s="94">
        <v>220.67</v>
      </c>
      <c r="G65" s="94">
        <v>285.11</v>
      </c>
      <c r="H65" s="94">
        <f t="shared" si="0"/>
        <v>496</v>
      </c>
      <c r="I65" s="95">
        <v>30</v>
      </c>
      <c r="J65" t="s">
        <v>8497</v>
      </c>
      <c r="K65" t="s">
        <v>10767</v>
      </c>
      <c r="L65" s="46">
        <v>2500</v>
      </c>
      <c r="O65" s="46"/>
      <c r="R65" s="48" t="s">
        <v>9078</v>
      </c>
      <c r="S65" t="s">
        <v>8623</v>
      </c>
      <c r="T65" t="s">
        <v>8633</v>
      </c>
      <c r="U65" s="62">
        <v>7.2</v>
      </c>
      <c r="V65" s="62" t="s">
        <v>8601</v>
      </c>
      <c r="W65" s="160">
        <v>15000</v>
      </c>
    </row>
    <row r="66" spans="1:24">
      <c r="A66" s="83" t="s">
        <v>8548</v>
      </c>
      <c r="B66" s="319">
        <v>526000</v>
      </c>
      <c r="C66" s="47" t="s">
        <v>250</v>
      </c>
      <c r="D66" s="102">
        <v>16</v>
      </c>
      <c r="E66" s="102">
        <v>31</v>
      </c>
      <c r="F66" s="94">
        <v>220.67</v>
      </c>
      <c r="G66" s="94">
        <v>285.11</v>
      </c>
      <c r="H66" s="94">
        <f t="shared" si="0"/>
        <v>496</v>
      </c>
      <c r="I66" s="95">
        <v>30</v>
      </c>
      <c r="J66" t="s">
        <v>8497</v>
      </c>
      <c r="K66" t="s">
        <v>242</v>
      </c>
      <c r="L66" s="46">
        <v>1000</v>
      </c>
      <c r="O66" s="46"/>
      <c r="R66" s="48" t="s">
        <v>9078</v>
      </c>
      <c r="S66" t="s">
        <v>8623</v>
      </c>
      <c r="T66" t="s">
        <v>8601</v>
      </c>
      <c r="U66" s="62">
        <v>7.1</v>
      </c>
      <c r="V66" s="62" t="s">
        <v>8601</v>
      </c>
      <c r="W66" s="160">
        <v>15000</v>
      </c>
    </row>
    <row r="67" spans="1:24">
      <c r="A67" s="83" t="s">
        <v>8496</v>
      </c>
      <c r="B67" s="319">
        <v>500000</v>
      </c>
      <c r="C67" s="47" t="s">
        <v>250</v>
      </c>
      <c r="D67" s="102">
        <v>16</v>
      </c>
      <c r="E67" s="102">
        <v>31</v>
      </c>
      <c r="F67" s="94">
        <v>220.67</v>
      </c>
      <c r="G67" s="94">
        <v>285.11</v>
      </c>
      <c r="H67" s="94">
        <f t="shared" si="0"/>
        <v>496</v>
      </c>
      <c r="I67" s="95">
        <v>30</v>
      </c>
      <c r="J67" t="s">
        <v>8497</v>
      </c>
      <c r="K67" t="s">
        <v>241</v>
      </c>
      <c r="L67" s="46" t="s">
        <v>1</v>
      </c>
      <c r="O67" s="46"/>
      <c r="R67" s="48" t="s">
        <v>9078</v>
      </c>
      <c r="S67" t="s">
        <v>8623</v>
      </c>
      <c r="T67" t="s">
        <v>8634</v>
      </c>
      <c r="U67" s="62">
        <v>7.2</v>
      </c>
      <c r="V67" s="62" t="s">
        <v>8602</v>
      </c>
      <c r="W67" s="160">
        <v>5000</v>
      </c>
    </row>
    <row r="68" spans="1:24">
      <c r="A68" s="83" t="s">
        <v>8496</v>
      </c>
      <c r="B68" s="319">
        <v>500000</v>
      </c>
      <c r="C68" s="47" t="s">
        <v>250</v>
      </c>
      <c r="D68" s="102">
        <v>16</v>
      </c>
      <c r="E68" s="102">
        <v>31</v>
      </c>
      <c r="F68" s="94">
        <v>220.67</v>
      </c>
      <c r="G68" s="94">
        <v>285.11</v>
      </c>
      <c r="H68" s="94">
        <f t="shared" ref="H68:H131" si="1">(D68*E68)</f>
        <v>496</v>
      </c>
      <c r="I68" s="95">
        <v>30</v>
      </c>
      <c r="J68" t="s">
        <v>8497</v>
      </c>
      <c r="K68" t="s">
        <v>10766</v>
      </c>
      <c r="L68" s="309">
        <v>2900</v>
      </c>
      <c r="O68" s="46"/>
      <c r="R68" t="s">
        <v>9305</v>
      </c>
      <c r="S68" t="s">
        <v>8622</v>
      </c>
      <c r="T68" t="s">
        <v>8629</v>
      </c>
      <c r="U68" s="62">
        <v>7.3</v>
      </c>
      <c r="V68" s="62" t="s">
        <v>8602</v>
      </c>
      <c r="W68" s="160">
        <v>5000</v>
      </c>
    </row>
    <row r="69" spans="1:24">
      <c r="A69" s="83" t="s">
        <v>8496</v>
      </c>
      <c r="B69" s="319">
        <v>500000</v>
      </c>
      <c r="C69" s="47" t="s">
        <v>250</v>
      </c>
      <c r="D69" s="102">
        <v>16</v>
      </c>
      <c r="E69" s="102">
        <v>31</v>
      </c>
      <c r="F69" s="94">
        <v>220.67</v>
      </c>
      <c r="G69" s="94">
        <v>285.11</v>
      </c>
      <c r="H69" s="94">
        <f t="shared" si="1"/>
        <v>496</v>
      </c>
      <c r="I69" s="95">
        <v>30</v>
      </c>
      <c r="J69" t="s">
        <v>8497</v>
      </c>
      <c r="K69" t="s">
        <v>240</v>
      </c>
      <c r="L69" s="46" t="s">
        <v>1</v>
      </c>
      <c r="O69" s="46"/>
      <c r="R69" t="s">
        <v>9305</v>
      </c>
      <c r="S69" t="s">
        <v>8622</v>
      </c>
      <c r="T69" t="s">
        <v>8630</v>
      </c>
      <c r="U69" s="203">
        <v>7.1</v>
      </c>
      <c r="V69" s="203" t="s">
        <v>8601</v>
      </c>
      <c r="W69" s="204">
        <v>15000</v>
      </c>
    </row>
    <row r="70" spans="1:24">
      <c r="A70" s="83" t="s">
        <v>8496</v>
      </c>
      <c r="B70" s="319">
        <v>500000</v>
      </c>
      <c r="C70" s="47" t="s">
        <v>250</v>
      </c>
      <c r="D70" s="102">
        <v>16</v>
      </c>
      <c r="E70" s="102">
        <v>31</v>
      </c>
      <c r="F70" s="94">
        <v>220.67</v>
      </c>
      <c r="G70" s="94">
        <v>285.11</v>
      </c>
      <c r="H70" s="94">
        <f t="shared" si="1"/>
        <v>496</v>
      </c>
      <c r="I70" s="95">
        <v>30</v>
      </c>
      <c r="J70" t="s">
        <v>8497</v>
      </c>
      <c r="K70" t="s">
        <v>10767</v>
      </c>
      <c r="L70" s="46">
        <v>2500</v>
      </c>
      <c r="O70" s="46"/>
      <c r="R70" t="s">
        <v>9305</v>
      </c>
      <c r="S70" t="s">
        <v>8622</v>
      </c>
      <c r="T70" t="s">
        <v>8635</v>
      </c>
      <c r="U70" s="62">
        <v>7</v>
      </c>
      <c r="V70" s="62" t="s">
        <v>8601</v>
      </c>
      <c r="W70" s="160">
        <v>15000</v>
      </c>
    </row>
    <row r="71" spans="1:24">
      <c r="A71" s="83" t="s">
        <v>8496</v>
      </c>
      <c r="B71" s="319">
        <v>500000</v>
      </c>
      <c r="C71" s="47" t="s">
        <v>250</v>
      </c>
      <c r="D71" s="102">
        <v>16</v>
      </c>
      <c r="E71" s="102">
        <v>31</v>
      </c>
      <c r="F71" s="94">
        <v>220.67</v>
      </c>
      <c r="G71" s="94">
        <v>285.11</v>
      </c>
      <c r="H71" s="94">
        <f t="shared" si="1"/>
        <v>496</v>
      </c>
      <c r="I71" s="95">
        <v>30</v>
      </c>
      <c r="J71" t="s">
        <v>8497</v>
      </c>
      <c r="K71" t="s">
        <v>242</v>
      </c>
      <c r="L71" s="46">
        <v>1000</v>
      </c>
      <c r="O71" s="46"/>
      <c r="R71" t="s">
        <v>9305</v>
      </c>
      <c r="S71" t="s">
        <v>8622</v>
      </c>
      <c r="T71" t="s">
        <v>8631</v>
      </c>
      <c r="U71" s="62">
        <v>7.1</v>
      </c>
      <c r="V71" s="62" t="s">
        <v>8601</v>
      </c>
      <c r="W71" s="160">
        <v>15000</v>
      </c>
    </row>
    <row r="72" spans="1:24">
      <c r="A72" s="83" t="s">
        <v>9907</v>
      </c>
      <c r="B72" s="319">
        <v>272900</v>
      </c>
      <c r="C72" s="47" t="s">
        <v>250</v>
      </c>
      <c r="D72" s="102">
        <v>14</v>
      </c>
      <c r="E72" s="102">
        <v>16</v>
      </c>
      <c r="F72" s="94">
        <v>101</v>
      </c>
      <c r="G72" s="94">
        <v>127.34</v>
      </c>
      <c r="H72" s="94">
        <f t="shared" si="1"/>
        <v>224</v>
      </c>
      <c r="I72" s="95">
        <v>14</v>
      </c>
      <c r="J72" t="s">
        <v>9908</v>
      </c>
      <c r="K72" t="s">
        <v>241</v>
      </c>
      <c r="L72" s="46" t="s">
        <v>1</v>
      </c>
      <c r="O72" s="46"/>
      <c r="R72" t="s">
        <v>9305</v>
      </c>
      <c r="S72" t="s">
        <v>8622</v>
      </c>
      <c r="T72" t="s">
        <v>8632</v>
      </c>
      <c r="U72" s="62">
        <v>7.3</v>
      </c>
      <c r="V72" s="62" t="s">
        <v>8602</v>
      </c>
      <c r="W72" s="160">
        <v>5000</v>
      </c>
    </row>
    <row r="73" spans="1:24">
      <c r="A73" s="83" t="s">
        <v>9907</v>
      </c>
      <c r="B73" s="319">
        <v>272900</v>
      </c>
      <c r="C73" s="47" t="s">
        <v>250</v>
      </c>
      <c r="D73" s="102">
        <v>14</v>
      </c>
      <c r="E73" s="102">
        <v>16</v>
      </c>
      <c r="F73" s="94">
        <v>101</v>
      </c>
      <c r="G73" s="94">
        <v>127.34</v>
      </c>
      <c r="H73" s="94">
        <f t="shared" si="1"/>
        <v>224</v>
      </c>
      <c r="I73" s="95">
        <v>14</v>
      </c>
      <c r="J73" t="s">
        <v>9908</v>
      </c>
      <c r="K73" t="s">
        <v>10765</v>
      </c>
      <c r="L73" s="46">
        <v>2900</v>
      </c>
      <c r="O73" s="46"/>
      <c r="R73" t="s">
        <v>9305</v>
      </c>
      <c r="S73" t="s">
        <v>8622</v>
      </c>
      <c r="T73" t="s">
        <v>8633</v>
      </c>
      <c r="U73" s="62">
        <v>7.2</v>
      </c>
      <c r="V73" s="62" t="s">
        <v>8601</v>
      </c>
      <c r="W73" s="160">
        <v>15000</v>
      </c>
    </row>
    <row r="74" spans="1:24">
      <c r="A74" s="83" t="s">
        <v>9907</v>
      </c>
      <c r="B74" s="319">
        <v>272900</v>
      </c>
      <c r="C74" s="47" t="s">
        <v>250</v>
      </c>
      <c r="D74" s="102">
        <v>14</v>
      </c>
      <c r="E74" s="102">
        <v>16</v>
      </c>
      <c r="F74" s="94">
        <v>101</v>
      </c>
      <c r="G74" s="94">
        <v>127.34</v>
      </c>
      <c r="H74" s="94">
        <f t="shared" si="1"/>
        <v>224</v>
      </c>
      <c r="I74" s="95">
        <v>14</v>
      </c>
      <c r="J74" t="s">
        <v>9908</v>
      </c>
      <c r="K74" t="s">
        <v>242</v>
      </c>
      <c r="L74" s="46">
        <v>1000</v>
      </c>
      <c r="O74" s="46"/>
      <c r="Q74" s="48"/>
      <c r="R74" t="s">
        <v>9305</v>
      </c>
      <c r="S74" t="s">
        <v>8622</v>
      </c>
      <c r="T74" t="s">
        <v>8601</v>
      </c>
      <c r="U74" s="62">
        <v>7.1</v>
      </c>
      <c r="V74" s="62" t="s">
        <v>8601</v>
      </c>
      <c r="W74" s="160">
        <v>15000</v>
      </c>
      <c r="X74" s="48"/>
    </row>
    <row r="75" spans="1:24">
      <c r="A75" s="83" t="s">
        <v>9907</v>
      </c>
      <c r="B75" s="319">
        <v>272900</v>
      </c>
      <c r="C75" s="47" t="s">
        <v>250</v>
      </c>
      <c r="D75" s="102">
        <v>14</v>
      </c>
      <c r="E75" s="102">
        <v>16</v>
      </c>
      <c r="F75" s="94">
        <v>101</v>
      </c>
      <c r="G75" s="94">
        <v>127.34</v>
      </c>
      <c r="H75" s="94">
        <f t="shared" si="1"/>
        <v>224</v>
      </c>
      <c r="I75" s="95">
        <v>14</v>
      </c>
      <c r="J75" t="s">
        <v>9908</v>
      </c>
      <c r="K75" t="s">
        <v>10767</v>
      </c>
      <c r="L75" s="46">
        <v>2500</v>
      </c>
      <c r="O75" s="46"/>
      <c r="R75" t="s">
        <v>9305</v>
      </c>
      <c r="S75" t="s">
        <v>8622</v>
      </c>
      <c r="T75" t="s">
        <v>8634</v>
      </c>
      <c r="U75" s="62">
        <v>7.2</v>
      </c>
      <c r="V75" s="62" t="s">
        <v>8601</v>
      </c>
      <c r="W75" s="160">
        <v>15000</v>
      </c>
    </row>
    <row r="76" spans="1:24">
      <c r="A76" s="83" t="s">
        <v>9907</v>
      </c>
      <c r="B76" s="319">
        <v>272900</v>
      </c>
      <c r="C76" s="47" t="s">
        <v>250</v>
      </c>
      <c r="D76" s="102">
        <v>14</v>
      </c>
      <c r="E76" s="102">
        <v>16</v>
      </c>
      <c r="F76" s="94">
        <v>101</v>
      </c>
      <c r="G76" s="94">
        <v>127.34</v>
      </c>
      <c r="H76" s="94">
        <f t="shared" si="1"/>
        <v>224</v>
      </c>
      <c r="I76" s="95">
        <v>14</v>
      </c>
      <c r="J76" t="s">
        <v>9908</v>
      </c>
      <c r="K76" t="s">
        <v>10766</v>
      </c>
      <c r="L76" s="46">
        <v>2900</v>
      </c>
      <c r="O76" s="46"/>
      <c r="R76" t="s">
        <v>9305</v>
      </c>
      <c r="S76" t="s">
        <v>8623</v>
      </c>
      <c r="T76" t="s">
        <v>8629</v>
      </c>
      <c r="U76" s="62">
        <v>7.3</v>
      </c>
      <c r="V76" s="62" t="s">
        <v>8602</v>
      </c>
      <c r="W76" s="160">
        <v>5000</v>
      </c>
    </row>
    <row r="77" spans="1:24">
      <c r="A77" s="83" t="s">
        <v>9907</v>
      </c>
      <c r="B77" s="319">
        <v>272900</v>
      </c>
      <c r="C77" s="47" t="s">
        <v>250</v>
      </c>
      <c r="D77" s="102">
        <v>14</v>
      </c>
      <c r="E77" s="102">
        <v>16</v>
      </c>
      <c r="F77" s="94">
        <v>101</v>
      </c>
      <c r="G77" s="94">
        <v>127.34</v>
      </c>
      <c r="H77" s="94">
        <f t="shared" si="1"/>
        <v>224</v>
      </c>
      <c r="I77" s="95">
        <v>14</v>
      </c>
      <c r="J77" t="s">
        <v>9908</v>
      </c>
      <c r="K77" t="s">
        <v>240</v>
      </c>
      <c r="L77" s="46" t="s">
        <v>1</v>
      </c>
      <c r="O77" s="46"/>
      <c r="R77" t="s">
        <v>9305</v>
      </c>
      <c r="S77" t="s">
        <v>8623</v>
      </c>
      <c r="T77" t="s">
        <v>8630</v>
      </c>
      <c r="U77" s="62">
        <v>7.1</v>
      </c>
      <c r="V77" s="62" t="s">
        <v>8601</v>
      </c>
      <c r="W77" s="160">
        <v>15000</v>
      </c>
    </row>
    <row r="78" spans="1:24">
      <c r="A78" s="83" t="s">
        <v>9907</v>
      </c>
      <c r="B78" s="319">
        <v>272900</v>
      </c>
      <c r="C78" s="47" t="s">
        <v>250</v>
      </c>
      <c r="D78" s="102">
        <v>14</v>
      </c>
      <c r="E78" s="102">
        <v>16</v>
      </c>
      <c r="F78" s="94">
        <v>101</v>
      </c>
      <c r="G78" s="94">
        <v>127.34</v>
      </c>
      <c r="H78" s="94">
        <f t="shared" si="1"/>
        <v>224</v>
      </c>
      <c r="I78" s="95">
        <v>14</v>
      </c>
      <c r="J78" t="s">
        <v>9908</v>
      </c>
      <c r="K78" t="s">
        <v>10768</v>
      </c>
      <c r="L78" s="46">
        <v>5000</v>
      </c>
      <c r="O78" s="46"/>
      <c r="R78" t="s">
        <v>9305</v>
      </c>
      <c r="S78" t="s">
        <v>8623</v>
      </c>
      <c r="T78" t="s">
        <v>8635</v>
      </c>
      <c r="U78" s="62">
        <v>7</v>
      </c>
      <c r="V78" s="62" t="s">
        <v>8601</v>
      </c>
      <c r="W78" s="160">
        <v>15000</v>
      </c>
    </row>
    <row r="79" spans="1:24">
      <c r="A79" s="83" t="s">
        <v>9774</v>
      </c>
      <c r="B79" s="319">
        <v>259500</v>
      </c>
      <c r="C79" s="47" t="s">
        <v>250</v>
      </c>
      <c r="D79" s="102">
        <v>8.5</v>
      </c>
      <c r="E79" s="102">
        <v>21</v>
      </c>
      <c r="F79" s="94">
        <v>83.52</v>
      </c>
      <c r="G79" s="94">
        <v>111.1</v>
      </c>
      <c r="H79" s="94">
        <f t="shared" si="1"/>
        <v>178.5</v>
      </c>
      <c r="I79" s="95">
        <v>12</v>
      </c>
      <c r="J79" t="s">
        <v>9775</v>
      </c>
      <c r="K79" t="s">
        <v>241</v>
      </c>
      <c r="L79" s="46" t="s">
        <v>1</v>
      </c>
      <c r="O79" s="46"/>
      <c r="R79" t="s">
        <v>9305</v>
      </c>
      <c r="S79" t="s">
        <v>8623</v>
      </c>
      <c r="T79" t="s">
        <v>8631</v>
      </c>
      <c r="U79" s="62">
        <v>7.1</v>
      </c>
      <c r="V79" s="62" t="s">
        <v>8601</v>
      </c>
      <c r="W79" s="160">
        <v>15000</v>
      </c>
    </row>
    <row r="80" spans="1:24">
      <c r="A80" s="83" t="s">
        <v>9774</v>
      </c>
      <c r="B80" s="319">
        <v>259500</v>
      </c>
      <c r="C80" s="47" t="s">
        <v>250</v>
      </c>
      <c r="D80" s="102">
        <v>8.5</v>
      </c>
      <c r="E80" s="102">
        <v>21</v>
      </c>
      <c r="F80" s="94">
        <v>83.52</v>
      </c>
      <c r="G80" s="94">
        <v>111.1</v>
      </c>
      <c r="H80" s="94">
        <f t="shared" si="1"/>
        <v>178.5</v>
      </c>
      <c r="I80" s="95">
        <v>12</v>
      </c>
      <c r="J80" t="s">
        <v>9775</v>
      </c>
      <c r="K80" t="s">
        <v>10765</v>
      </c>
      <c r="L80" s="46">
        <v>2900</v>
      </c>
      <c r="O80" s="46"/>
      <c r="R80" t="s">
        <v>9305</v>
      </c>
      <c r="S80" t="s">
        <v>8623</v>
      </c>
      <c r="T80" t="s">
        <v>8632</v>
      </c>
      <c r="U80" s="203">
        <v>7.3</v>
      </c>
      <c r="V80" s="203" t="s">
        <v>8602</v>
      </c>
      <c r="W80" s="204">
        <v>5000</v>
      </c>
    </row>
    <row r="81" spans="1:23">
      <c r="A81" s="83" t="s">
        <v>9774</v>
      </c>
      <c r="B81" s="319">
        <v>259500</v>
      </c>
      <c r="C81" s="47" t="s">
        <v>250</v>
      </c>
      <c r="D81" s="102">
        <v>8.5</v>
      </c>
      <c r="E81" s="102">
        <v>21</v>
      </c>
      <c r="F81" s="94">
        <v>83.52</v>
      </c>
      <c r="G81" s="94">
        <v>111.1</v>
      </c>
      <c r="H81" s="94">
        <f t="shared" si="1"/>
        <v>178.5</v>
      </c>
      <c r="I81" s="95">
        <v>12</v>
      </c>
      <c r="J81" t="s">
        <v>9775</v>
      </c>
      <c r="K81" t="s">
        <v>242</v>
      </c>
      <c r="L81" s="46">
        <v>1000</v>
      </c>
      <c r="O81" s="46"/>
      <c r="R81" t="s">
        <v>9305</v>
      </c>
      <c r="S81" t="s">
        <v>8623</v>
      </c>
      <c r="T81" t="s">
        <v>8633</v>
      </c>
      <c r="U81" s="62">
        <v>7.2</v>
      </c>
      <c r="V81" s="62" t="s">
        <v>8601</v>
      </c>
      <c r="W81" s="160">
        <v>15000</v>
      </c>
    </row>
    <row r="82" spans="1:23">
      <c r="A82" s="83" t="s">
        <v>9774</v>
      </c>
      <c r="B82" s="319">
        <v>259500</v>
      </c>
      <c r="C82" s="47" t="s">
        <v>250</v>
      </c>
      <c r="D82" s="102">
        <v>8.5</v>
      </c>
      <c r="E82" s="102">
        <v>21</v>
      </c>
      <c r="F82" s="94">
        <v>83.52</v>
      </c>
      <c r="G82" s="94">
        <v>111.1</v>
      </c>
      <c r="H82" s="94">
        <f t="shared" si="1"/>
        <v>178.5</v>
      </c>
      <c r="I82" s="95">
        <v>12</v>
      </c>
      <c r="J82" t="s">
        <v>9775</v>
      </c>
      <c r="K82" t="s">
        <v>10767</v>
      </c>
      <c r="L82" s="46">
        <v>2500</v>
      </c>
      <c r="O82" s="46"/>
      <c r="R82" t="s">
        <v>9305</v>
      </c>
      <c r="S82" t="s">
        <v>8623</v>
      </c>
      <c r="T82" t="s">
        <v>8601</v>
      </c>
      <c r="U82" s="62">
        <v>7.1</v>
      </c>
      <c r="V82" s="62" t="s">
        <v>8601</v>
      </c>
      <c r="W82" s="160">
        <v>15000</v>
      </c>
    </row>
    <row r="83" spans="1:23">
      <c r="A83" s="83" t="s">
        <v>9774</v>
      </c>
      <c r="B83" s="319">
        <v>259500</v>
      </c>
      <c r="C83" s="47" t="s">
        <v>250</v>
      </c>
      <c r="D83" s="102">
        <v>8.5</v>
      </c>
      <c r="E83" s="102">
        <v>21</v>
      </c>
      <c r="F83" s="94">
        <v>83.52</v>
      </c>
      <c r="G83" s="94">
        <v>111.1</v>
      </c>
      <c r="H83" s="94">
        <f t="shared" si="1"/>
        <v>178.5</v>
      </c>
      <c r="I83" s="95">
        <v>12</v>
      </c>
      <c r="J83" t="s">
        <v>9775</v>
      </c>
      <c r="K83" t="s">
        <v>10766</v>
      </c>
      <c r="L83" s="46">
        <v>2900</v>
      </c>
      <c r="O83" s="46"/>
      <c r="R83" t="s">
        <v>9305</v>
      </c>
      <c r="S83" t="s">
        <v>8623</v>
      </c>
      <c r="T83" t="s">
        <v>8634</v>
      </c>
      <c r="U83" s="62">
        <v>7.2</v>
      </c>
      <c r="V83" s="62" t="s">
        <v>8602</v>
      </c>
      <c r="W83" s="160">
        <v>5000</v>
      </c>
    </row>
    <row r="84" spans="1:23">
      <c r="A84" s="83" t="s">
        <v>9774</v>
      </c>
      <c r="B84" s="319">
        <v>259500</v>
      </c>
      <c r="C84" s="47" t="s">
        <v>250</v>
      </c>
      <c r="D84" s="102">
        <v>8.5</v>
      </c>
      <c r="E84" s="102">
        <v>21</v>
      </c>
      <c r="F84" s="94">
        <v>83.52</v>
      </c>
      <c r="G84" s="94">
        <v>111.1</v>
      </c>
      <c r="H84" s="94">
        <f t="shared" si="1"/>
        <v>178.5</v>
      </c>
      <c r="I84" s="95">
        <v>12</v>
      </c>
      <c r="J84" t="s">
        <v>9775</v>
      </c>
      <c r="K84" t="s">
        <v>240</v>
      </c>
      <c r="L84" s="46" t="s">
        <v>1</v>
      </c>
      <c r="O84" s="46"/>
      <c r="R84" t="s">
        <v>9306</v>
      </c>
      <c r="S84" t="s">
        <v>8622</v>
      </c>
      <c r="T84" t="s">
        <v>8629</v>
      </c>
      <c r="U84" s="62">
        <v>7.3</v>
      </c>
      <c r="V84" s="62" t="s">
        <v>8602</v>
      </c>
      <c r="W84" s="160">
        <v>5000</v>
      </c>
    </row>
    <row r="85" spans="1:23">
      <c r="A85" s="83" t="s">
        <v>9774</v>
      </c>
      <c r="B85" s="319">
        <v>259500</v>
      </c>
      <c r="C85" s="47" t="s">
        <v>250</v>
      </c>
      <c r="D85" s="102">
        <v>8.5</v>
      </c>
      <c r="E85" s="102">
        <v>21</v>
      </c>
      <c r="F85" s="94">
        <v>83.52</v>
      </c>
      <c r="G85" s="94">
        <v>111.1</v>
      </c>
      <c r="H85" s="94">
        <f t="shared" si="1"/>
        <v>178.5</v>
      </c>
      <c r="I85" s="95">
        <v>12</v>
      </c>
      <c r="J85" t="s">
        <v>9775</v>
      </c>
      <c r="K85" t="s">
        <v>10768</v>
      </c>
      <c r="L85" s="46">
        <v>5000</v>
      </c>
      <c r="O85" s="46"/>
      <c r="R85" t="s">
        <v>9306</v>
      </c>
      <c r="S85" t="s">
        <v>8622</v>
      </c>
      <c r="T85" t="s">
        <v>8630</v>
      </c>
      <c r="U85" s="203">
        <v>7.1</v>
      </c>
      <c r="V85" s="203" t="s">
        <v>8601</v>
      </c>
      <c r="W85" s="204">
        <v>15000</v>
      </c>
    </row>
    <row r="86" spans="1:23">
      <c r="A86" s="83" t="s">
        <v>201</v>
      </c>
      <c r="B86" s="319">
        <v>275400</v>
      </c>
      <c r="C86" s="47" t="s">
        <v>250</v>
      </c>
      <c r="D86" s="102">
        <v>8.5</v>
      </c>
      <c r="E86" s="102">
        <v>22</v>
      </c>
      <c r="F86" s="94">
        <v>118.71</v>
      </c>
      <c r="G86" s="94">
        <v>118.71</v>
      </c>
      <c r="H86" s="94">
        <f t="shared" si="1"/>
        <v>187</v>
      </c>
      <c r="I86" s="95">
        <v>13</v>
      </c>
      <c r="J86" t="s">
        <v>256</v>
      </c>
      <c r="K86" t="s">
        <v>241</v>
      </c>
      <c r="L86" s="46" t="s">
        <v>1</v>
      </c>
      <c r="O86" s="46"/>
      <c r="R86" t="s">
        <v>9306</v>
      </c>
      <c r="S86" t="s">
        <v>8622</v>
      </c>
      <c r="T86" t="s">
        <v>8635</v>
      </c>
      <c r="U86" s="62">
        <v>7</v>
      </c>
      <c r="V86" s="62" t="s">
        <v>8601</v>
      </c>
      <c r="W86" s="160">
        <v>15000</v>
      </c>
    </row>
    <row r="87" spans="1:23">
      <c r="A87" s="83" t="s">
        <v>201</v>
      </c>
      <c r="B87" s="319">
        <v>275400</v>
      </c>
      <c r="C87" s="47" t="s">
        <v>250</v>
      </c>
      <c r="D87" s="102">
        <v>8.5</v>
      </c>
      <c r="E87" s="102">
        <v>22</v>
      </c>
      <c r="F87" s="94">
        <v>118.71</v>
      </c>
      <c r="G87" s="94">
        <v>118.71</v>
      </c>
      <c r="H87" s="94">
        <f t="shared" si="1"/>
        <v>187</v>
      </c>
      <c r="I87" s="95">
        <v>13</v>
      </c>
      <c r="J87" t="s">
        <v>256</v>
      </c>
      <c r="K87" t="s">
        <v>10765</v>
      </c>
      <c r="L87" s="46">
        <v>2900</v>
      </c>
      <c r="O87" s="46"/>
      <c r="R87" t="s">
        <v>9306</v>
      </c>
      <c r="S87" t="s">
        <v>8622</v>
      </c>
      <c r="T87" t="s">
        <v>8631</v>
      </c>
      <c r="U87" s="62">
        <v>7.1</v>
      </c>
      <c r="V87" s="62" t="s">
        <v>8601</v>
      </c>
      <c r="W87" s="160">
        <v>15000</v>
      </c>
    </row>
    <row r="88" spans="1:23">
      <c r="A88" s="83" t="s">
        <v>201</v>
      </c>
      <c r="B88" s="319">
        <v>275400</v>
      </c>
      <c r="C88" s="47" t="s">
        <v>250</v>
      </c>
      <c r="D88" s="102">
        <v>8.5</v>
      </c>
      <c r="E88" s="102">
        <v>22</v>
      </c>
      <c r="F88" s="94">
        <v>118.71</v>
      </c>
      <c r="G88" s="94">
        <v>118.71</v>
      </c>
      <c r="H88" s="94">
        <f t="shared" si="1"/>
        <v>187</v>
      </c>
      <c r="I88" s="95">
        <v>13</v>
      </c>
      <c r="J88" t="s">
        <v>256</v>
      </c>
      <c r="K88" t="s">
        <v>242</v>
      </c>
      <c r="L88" s="46">
        <v>1000</v>
      </c>
      <c r="O88" s="46"/>
      <c r="R88" t="s">
        <v>9306</v>
      </c>
      <c r="S88" t="s">
        <v>8622</v>
      </c>
      <c r="T88" t="s">
        <v>8632</v>
      </c>
      <c r="U88" s="62">
        <v>7.3</v>
      </c>
      <c r="V88" s="62" t="s">
        <v>8602</v>
      </c>
      <c r="W88" s="160">
        <v>5000</v>
      </c>
    </row>
    <row r="89" spans="1:23">
      <c r="A89" s="83" t="s">
        <v>201</v>
      </c>
      <c r="B89" s="319">
        <v>275400</v>
      </c>
      <c r="C89" s="47" t="s">
        <v>250</v>
      </c>
      <c r="D89" s="102">
        <v>8.5</v>
      </c>
      <c r="E89" s="102">
        <v>22</v>
      </c>
      <c r="F89" s="94">
        <v>118.71</v>
      </c>
      <c r="G89" s="94">
        <v>118.71</v>
      </c>
      <c r="H89" s="94">
        <f t="shared" si="1"/>
        <v>187</v>
      </c>
      <c r="I89" s="95">
        <v>13</v>
      </c>
      <c r="J89" t="s">
        <v>256</v>
      </c>
      <c r="K89" t="s">
        <v>10766</v>
      </c>
      <c r="L89" s="309">
        <v>2900</v>
      </c>
      <c r="O89" s="46"/>
      <c r="R89" t="s">
        <v>9306</v>
      </c>
      <c r="S89" t="s">
        <v>8622</v>
      </c>
      <c r="T89" t="s">
        <v>8633</v>
      </c>
      <c r="U89" s="62">
        <v>7.2</v>
      </c>
      <c r="V89" s="62" t="s">
        <v>8601</v>
      </c>
      <c r="W89" s="160">
        <v>15000</v>
      </c>
    </row>
    <row r="90" spans="1:23">
      <c r="A90" s="83" t="s">
        <v>201</v>
      </c>
      <c r="B90" s="319">
        <v>275400</v>
      </c>
      <c r="C90" s="47" t="s">
        <v>250</v>
      </c>
      <c r="D90" s="102">
        <v>8.5</v>
      </c>
      <c r="E90" s="102">
        <v>22</v>
      </c>
      <c r="F90" s="94">
        <v>118.71</v>
      </c>
      <c r="G90" s="94">
        <v>118.71</v>
      </c>
      <c r="H90" s="94">
        <f t="shared" si="1"/>
        <v>187</v>
      </c>
      <c r="I90" s="95">
        <v>13</v>
      </c>
      <c r="J90" t="s">
        <v>256</v>
      </c>
      <c r="K90" t="s">
        <v>10767</v>
      </c>
      <c r="L90" s="46">
        <v>2500</v>
      </c>
      <c r="O90" s="46"/>
      <c r="R90" t="s">
        <v>9306</v>
      </c>
      <c r="S90" t="s">
        <v>8622</v>
      </c>
      <c r="T90" t="s">
        <v>8601</v>
      </c>
      <c r="U90" s="62">
        <v>7.1</v>
      </c>
      <c r="V90" s="62" t="s">
        <v>8601</v>
      </c>
      <c r="W90" s="160">
        <v>15000</v>
      </c>
    </row>
    <row r="91" spans="1:23">
      <c r="A91" s="83" t="s">
        <v>201</v>
      </c>
      <c r="B91" s="319">
        <v>275400</v>
      </c>
      <c r="C91" s="47" t="s">
        <v>250</v>
      </c>
      <c r="D91" s="102">
        <v>8.5</v>
      </c>
      <c r="E91" s="102">
        <v>22</v>
      </c>
      <c r="F91" s="94">
        <v>118.71</v>
      </c>
      <c r="G91" s="94">
        <v>118.71</v>
      </c>
      <c r="H91" s="94">
        <f t="shared" si="1"/>
        <v>187</v>
      </c>
      <c r="I91" s="95">
        <v>13</v>
      </c>
      <c r="J91" t="s">
        <v>256</v>
      </c>
      <c r="K91" t="s">
        <v>240</v>
      </c>
      <c r="L91" s="46" t="s">
        <v>1</v>
      </c>
      <c r="O91" s="46"/>
      <c r="R91" t="s">
        <v>9306</v>
      </c>
      <c r="S91" t="s">
        <v>8622</v>
      </c>
      <c r="T91" t="s">
        <v>8634</v>
      </c>
      <c r="U91" s="62">
        <v>7.2</v>
      </c>
      <c r="V91" s="62" t="s">
        <v>8601</v>
      </c>
      <c r="W91" s="160">
        <v>15000</v>
      </c>
    </row>
    <row r="92" spans="1:23">
      <c r="A92" s="83" t="s">
        <v>201</v>
      </c>
      <c r="B92" s="319">
        <v>275400</v>
      </c>
      <c r="C92" s="47" t="s">
        <v>250</v>
      </c>
      <c r="D92" s="102">
        <v>8.5</v>
      </c>
      <c r="E92" s="102">
        <v>22</v>
      </c>
      <c r="F92" s="94">
        <v>118.71</v>
      </c>
      <c r="G92" s="94">
        <v>118.71</v>
      </c>
      <c r="H92" s="94">
        <f t="shared" si="1"/>
        <v>187</v>
      </c>
      <c r="I92" s="95">
        <v>13</v>
      </c>
      <c r="J92" t="s">
        <v>256</v>
      </c>
      <c r="K92" t="s">
        <v>10768</v>
      </c>
      <c r="L92" s="46">
        <v>5000</v>
      </c>
      <c r="O92" s="46"/>
      <c r="R92" t="s">
        <v>9306</v>
      </c>
      <c r="S92" t="s">
        <v>8623</v>
      </c>
      <c r="T92" t="s">
        <v>8629</v>
      </c>
      <c r="U92" s="62">
        <v>7.3</v>
      </c>
      <c r="V92" s="62" t="s">
        <v>8602</v>
      </c>
      <c r="W92" s="160">
        <v>5000</v>
      </c>
    </row>
    <row r="93" spans="1:23">
      <c r="A93" s="83" t="s">
        <v>9180</v>
      </c>
      <c r="B93" s="319">
        <v>281500</v>
      </c>
      <c r="C93" s="47" t="s">
        <v>250</v>
      </c>
      <c r="D93" s="102">
        <v>10.5</v>
      </c>
      <c r="E93" s="102">
        <v>22</v>
      </c>
      <c r="F93" s="94">
        <v>131.65</v>
      </c>
      <c r="G93" s="94">
        <v>131.65</v>
      </c>
      <c r="H93" s="94">
        <f t="shared" si="1"/>
        <v>231</v>
      </c>
      <c r="I93" s="95">
        <v>15</v>
      </c>
      <c r="J93" t="s">
        <v>258</v>
      </c>
      <c r="K93" t="s">
        <v>241</v>
      </c>
      <c r="L93" s="46" t="s">
        <v>1</v>
      </c>
      <c r="N93" t="s">
        <v>7316</v>
      </c>
      <c r="O93" s="46" t="s">
        <v>7316</v>
      </c>
      <c r="R93" t="s">
        <v>9306</v>
      </c>
      <c r="S93" t="s">
        <v>8623</v>
      </c>
      <c r="T93" t="s">
        <v>8630</v>
      </c>
      <c r="U93" s="62">
        <v>7.1</v>
      </c>
      <c r="V93" s="62" t="s">
        <v>8601</v>
      </c>
      <c r="W93" s="160">
        <v>15000</v>
      </c>
    </row>
    <row r="94" spans="1:23">
      <c r="A94" s="83" t="s">
        <v>9180</v>
      </c>
      <c r="B94" s="319">
        <v>281500</v>
      </c>
      <c r="C94" s="47" t="s">
        <v>250</v>
      </c>
      <c r="D94" s="102">
        <v>10.5</v>
      </c>
      <c r="E94" s="102">
        <v>22</v>
      </c>
      <c r="F94" s="94">
        <v>131.65</v>
      </c>
      <c r="G94" s="94">
        <v>131.65</v>
      </c>
      <c r="H94" s="94">
        <f t="shared" si="1"/>
        <v>231</v>
      </c>
      <c r="I94" s="95">
        <v>15</v>
      </c>
      <c r="J94" t="s">
        <v>258</v>
      </c>
      <c r="K94" t="s">
        <v>10765</v>
      </c>
      <c r="L94" s="46">
        <v>2900</v>
      </c>
      <c r="N94" t="s">
        <v>7316</v>
      </c>
      <c r="O94" s="46" t="s">
        <v>7316</v>
      </c>
      <c r="R94" t="s">
        <v>9306</v>
      </c>
      <c r="S94" t="s">
        <v>8623</v>
      </c>
      <c r="T94" t="s">
        <v>8635</v>
      </c>
      <c r="U94" s="62">
        <v>7</v>
      </c>
      <c r="V94" s="62" t="s">
        <v>8601</v>
      </c>
      <c r="W94" s="160">
        <v>15000</v>
      </c>
    </row>
    <row r="95" spans="1:23">
      <c r="A95" s="83" t="s">
        <v>9180</v>
      </c>
      <c r="B95" s="319">
        <v>281500</v>
      </c>
      <c r="C95" s="47" t="s">
        <v>250</v>
      </c>
      <c r="D95" s="102">
        <v>10.5</v>
      </c>
      <c r="E95" s="102">
        <v>22</v>
      </c>
      <c r="F95" s="94">
        <v>131.65</v>
      </c>
      <c r="G95" s="94">
        <v>131.65</v>
      </c>
      <c r="H95" s="94">
        <f t="shared" si="1"/>
        <v>231</v>
      </c>
      <c r="I95" s="95">
        <v>15</v>
      </c>
      <c r="J95" t="s">
        <v>258</v>
      </c>
      <c r="K95" t="s">
        <v>242</v>
      </c>
      <c r="L95" s="46">
        <v>1000</v>
      </c>
      <c r="N95" t="s">
        <v>7316</v>
      </c>
      <c r="O95" s="46" t="s">
        <v>7316</v>
      </c>
      <c r="R95" t="s">
        <v>9306</v>
      </c>
      <c r="S95" t="s">
        <v>8623</v>
      </c>
      <c r="T95" t="s">
        <v>8631</v>
      </c>
      <c r="U95" s="62">
        <v>7.1</v>
      </c>
      <c r="V95" s="62" t="s">
        <v>8601</v>
      </c>
      <c r="W95" s="160">
        <v>15000</v>
      </c>
    </row>
    <row r="96" spans="1:23">
      <c r="A96" s="83" t="s">
        <v>9180</v>
      </c>
      <c r="B96" s="319">
        <v>281500</v>
      </c>
      <c r="C96" s="47" t="s">
        <v>250</v>
      </c>
      <c r="D96" s="102">
        <v>10.5</v>
      </c>
      <c r="E96" s="102">
        <v>22</v>
      </c>
      <c r="F96" s="94">
        <v>131.65</v>
      </c>
      <c r="G96" s="94">
        <v>131.65</v>
      </c>
      <c r="H96" s="94">
        <f t="shared" si="1"/>
        <v>231</v>
      </c>
      <c r="I96" s="95">
        <v>15</v>
      </c>
      <c r="J96" t="s">
        <v>258</v>
      </c>
      <c r="K96" t="s">
        <v>10766</v>
      </c>
      <c r="L96" s="309">
        <v>2900</v>
      </c>
      <c r="N96" t="s">
        <v>7316</v>
      </c>
      <c r="O96" s="46" t="s">
        <v>7316</v>
      </c>
      <c r="R96" t="s">
        <v>9306</v>
      </c>
      <c r="S96" t="s">
        <v>8623</v>
      </c>
      <c r="T96" t="s">
        <v>8632</v>
      </c>
      <c r="U96" s="203">
        <v>7.3</v>
      </c>
      <c r="V96" s="203" t="s">
        <v>8602</v>
      </c>
      <c r="W96" s="204">
        <v>5000</v>
      </c>
    </row>
    <row r="97" spans="1:24">
      <c r="A97" s="83" t="s">
        <v>9180</v>
      </c>
      <c r="B97" s="319">
        <v>281500</v>
      </c>
      <c r="C97" s="47" t="s">
        <v>250</v>
      </c>
      <c r="D97" s="102">
        <v>10.5</v>
      </c>
      <c r="E97" s="102">
        <v>22</v>
      </c>
      <c r="F97" s="94">
        <v>131.65</v>
      </c>
      <c r="G97" s="94">
        <v>131.65</v>
      </c>
      <c r="H97" s="94">
        <f t="shared" si="1"/>
        <v>231</v>
      </c>
      <c r="I97" s="95">
        <v>15</v>
      </c>
      <c r="J97" t="s">
        <v>258</v>
      </c>
      <c r="K97" t="s">
        <v>10767</v>
      </c>
      <c r="L97" s="46">
        <v>2500</v>
      </c>
      <c r="N97" t="s">
        <v>7316</v>
      </c>
      <c r="O97" s="46" t="s">
        <v>7316</v>
      </c>
      <c r="P97" t="s">
        <v>7318</v>
      </c>
      <c r="R97" t="s">
        <v>9306</v>
      </c>
      <c r="S97" t="s">
        <v>8623</v>
      </c>
      <c r="T97" t="s">
        <v>8633</v>
      </c>
      <c r="U97" s="62">
        <v>7.2</v>
      </c>
      <c r="V97" s="62" t="s">
        <v>8601</v>
      </c>
      <c r="W97" s="160">
        <v>15000</v>
      </c>
    </row>
    <row r="98" spans="1:24">
      <c r="A98" s="83" t="s">
        <v>9180</v>
      </c>
      <c r="B98" s="319">
        <v>281500</v>
      </c>
      <c r="C98" s="47" t="s">
        <v>250</v>
      </c>
      <c r="D98" s="102">
        <v>10.5</v>
      </c>
      <c r="E98" s="102">
        <v>22</v>
      </c>
      <c r="F98" s="94">
        <v>131.65</v>
      </c>
      <c r="G98" s="94">
        <v>131.65</v>
      </c>
      <c r="H98" s="94">
        <f t="shared" si="1"/>
        <v>231</v>
      </c>
      <c r="I98" s="95">
        <v>15</v>
      </c>
      <c r="J98" t="s">
        <v>258</v>
      </c>
      <c r="K98" t="s">
        <v>240</v>
      </c>
      <c r="L98" s="46" t="s">
        <v>1</v>
      </c>
      <c r="N98" t="s">
        <v>7316</v>
      </c>
      <c r="O98" s="46" t="s">
        <v>7316</v>
      </c>
      <c r="R98" t="s">
        <v>9306</v>
      </c>
      <c r="S98" t="s">
        <v>8623</v>
      </c>
      <c r="T98" t="s">
        <v>8601</v>
      </c>
      <c r="U98" s="62">
        <v>7.1</v>
      </c>
      <c r="V98" s="62" t="s">
        <v>8601</v>
      </c>
      <c r="W98" s="160">
        <v>15000</v>
      </c>
    </row>
    <row r="99" spans="1:24">
      <c r="A99" s="83" t="s">
        <v>9180</v>
      </c>
      <c r="B99" s="319">
        <v>281500</v>
      </c>
      <c r="C99" s="47" t="s">
        <v>250</v>
      </c>
      <c r="D99" s="102">
        <v>10.5</v>
      </c>
      <c r="E99" s="102">
        <v>22</v>
      </c>
      <c r="F99" s="94">
        <v>131.65</v>
      </c>
      <c r="G99" s="94">
        <v>131.65</v>
      </c>
      <c r="H99" s="94">
        <f t="shared" si="1"/>
        <v>231</v>
      </c>
      <c r="I99" s="95">
        <v>15</v>
      </c>
      <c r="J99" t="s">
        <v>258</v>
      </c>
      <c r="K99" t="s">
        <v>10768</v>
      </c>
      <c r="L99" s="46">
        <v>5000</v>
      </c>
      <c r="N99" t="s">
        <v>7316</v>
      </c>
      <c r="O99" s="46" t="s">
        <v>7316</v>
      </c>
      <c r="Q99" s="48"/>
      <c r="R99" t="s">
        <v>9306</v>
      </c>
      <c r="S99" t="s">
        <v>8623</v>
      </c>
      <c r="T99" t="s">
        <v>8634</v>
      </c>
      <c r="U99" s="62">
        <v>7.2</v>
      </c>
      <c r="V99" s="62" t="s">
        <v>8602</v>
      </c>
      <c r="W99" s="160">
        <v>5000</v>
      </c>
      <c r="X99" s="48"/>
    </row>
    <row r="100" spans="1:24">
      <c r="A100" s="83" t="s">
        <v>235</v>
      </c>
      <c r="B100" s="319">
        <v>439400</v>
      </c>
      <c r="C100" s="47" t="s">
        <v>251</v>
      </c>
      <c r="D100" s="102">
        <v>12.5</v>
      </c>
      <c r="E100" s="102">
        <v>22</v>
      </c>
      <c r="F100" s="94">
        <v>135.16</v>
      </c>
      <c r="G100" s="94">
        <v>256.49</v>
      </c>
      <c r="H100" s="94">
        <f t="shared" si="1"/>
        <v>275</v>
      </c>
      <c r="I100" s="95">
        <v>28</v>
      </c>
      <c r="J100" t="s">
        <v>262</v>
      </c>
      <c r="K100" t="s">
        <v>244</v>
      </c>
      <c r="L100" s="46">
        <v>3900</v>
      </c>
      <c r="N100" t="s">
        <v>7316</v>
      </c>
      <c r="O100" t="s">
        <v>7316</v>
      </c>
      <c r="R100" s="48" t="s">
        <v>8546</v>
      </c>
      <c r="S100" t="s">
        <v>8622</v>
      </c>
      <c r="T100" t="s">
        <v>8629</v>
      </c>
      <c r="U100" s="62">
        <v>7.3</v>
      </c>
      <c r="V100" s="62" t="s">
        <v>8602</v>
      </c>
      <c r="W100" s="160">
        <v>5000</v>
      </c>
    </row>
    <row r="101" spans="1:24">
      <c r="A101" s="83" t="s">
        <v>235</v>
      </c>
      <c r="B101" s="319">
        <v>439400</v>
      </c>
      <c r="C101" s="47" t="s">
        <v>251</v>
      </c>
      <c r="D101" s="102">
        <v>12.5</v>
      </c>
      <c r="E101" s="102">
        <v>22</v>
      </c>
      <c r="F101" s="94">
        <v>135.16</v>
      </c>
      <c r="G101" s="94">
        <v>256.49</v>
      </c>
      <c r="H101" s="94">
        <f t="shared" si="1"/>
        <v>275</v>
      </c>
      <c r="I101" s="95">
        <v>28</v>
      </c>
      <c r="J101" t="s">
        <v>262</v>
      </c>
      <c r="K101" t="s">
        <v>247</v>
      </c>
      <c r="L101" s="46">
        <v>19900</v>
      </c>
      <c r="N101" t="s">
        <v>7316</v>
      </c>
      <c r="O101" t="s">
        <v>7317</v>
      </c>
      <c r="R101" s="48" t="s">
        <v>8546</v>
      </c>
      <c r="S101" t="s">
        <v>8622</v>
      </c>
      <c r="T101" t="s">
        <v>8630</v>
      </c>
      <c r="U101" s="203">
        <v>7.1</v>
      </c>
      <c r="V101" s="203" t="s">
        <v>8601</v>
      </c>
      <c r="W101" s="204">
        <v>15000</v>
      </c>
    </row>
    <row r="102" spans="1:24">
      <c r="A102" s="83" t="s">
        <v>235</v>
      </c>
      <c r="B102" s="319">
        <v>439400</v>
      </c>
      <c r="C102" s="47" t="s">
        <v>251</v>
      </c>
      <c r="D102" s="102">
        <v>12.5</v>
      </c>
      <c r="E102" s="102">
        <v>22</v>
      </c>
      <c r="F102" s="94">
        <v>135.16</v>
      </c>
      <c r="G102" s="94">
        <v>256.49</v>
      </c>
      <c r="H102" s="94">
        <f t="shared" si="1"/>
        <v>275</v>
      </c>
      <c r="I102" s="95">
        <v>28</v>
      </c>
      <c r="J102" t="s">
        <v>262</v>
      </c>
      <c r="K102" t="s">
        <v>245</v>
      </c>
      <c r="L102" s="46">
        <v>4900</v>
      </c>
      <c r="N102" t="s">
        <v>7316</v>
      </c>
      <c r="O102" t="s">
        <v>7316</v>
      </c>
      <c r="R102" s="48" t="s">
        <v>8546</v>
      </c>
      <c r="S102" t="s">
        <v>8622</v>
      </c>
      <c r="T102" t="s">
        <v>8635</v>
      </c>
      <c r="U102" s="62">
        <v>7</v>
      </c>
      <c r="V102" s="62" t="s">
        <v>8601</v>
      </c>
      <c r="W102" s="160">
        <v>15000</v>
      </c>
    </row>
    <row r="103" spans="1:24">
      <c r="A103" s="83" t="s">
        <v>235</v>
      </c>
      <c r="B103" s="319">
        <v>439400</v>
      </c>
      <c r="C103" s="47" t="s">
        <v>251</v>
      </c>
      <c r="D103" s="102">
        <v>12.5</v>
      </c>
      <c r="E103" s="102">
        <v>22</v>
      </c>
      <c r="F103" s="94">
        <v>135.16</v>
      </c>
      <c r="G103" s="94">
        <v>256.49</v>
      </c>
      <c r="H103" s="94">
        <f t="shared" si="1"/>
        <v>275</v>
      </c>
      <c r="I103" s="95">
        <v>28</v>
      </c>
      <c r="J103" t="s">
        <v>262</v>
      </c>
      <c r="K103" t="s">
        <v>246</v>
      </c>
      <c r="L103" s="46" t="s">
        <v>1</v>
      </c>
      <c r="N103" t="s">
        <v>7316</v>
      </c>
      <c r="O103" t="s">
        <v>7316</v>
      </c>
      <c r="R103" s="48" t="s">
        <v>8546</v>
      </c>
      <c r="S103" t="s">
        <v>8622</v>
      </c>
      <c r="T103" t="s">
        <v>8631</v>
      </c>
      <c r="U103" s="62">
        <v>7.1</v>
      </c>
      <c r="V103" s="62" t="s">
        <v>8601</v>
      </c>
      <c r="W103" s="160">
        <v>15000</v>
      </c>
    </row>
    <row r="104" spans="1:24">
      <c r="A104" s="83" t="s">
        <v>236</v>
      </c>
      <c r="B104" s="319">
        <v>469800</v>
      </c>
      <c r="C104" s="47" t="s">
        <v>251</v>
      </c>
      <c r="D104" s="102">
        <v>12.5</v>
      </c>
      <c r="E104" s="102">
        <v>25</v>
      </c>
      <c r="F104" s="94">
        <v>165.95</v>
      </c>
      <c r="G104" s="94">
        <v>286.5</v>
      </c>
      <c r="H104" s="94">
        <f t="shared" si="1"/>
        <v>312.5</v>
      </c>
      <c r="I104" s="95">
        <v>31</v>
      </c>
      <c r="J104" t="s">
        <v>263</v>
      </c>
      <c r="K104" t="s">
        <v>244</v>
      </c>
      <c r="L104" s="46">
        <v>3900</v>
      </c>
      <c r="N104" t="s">
        <v>7316</v>
      </c>
      <c r="O104" t="s">
        <v>7316</v>
      </c>
      <c r="R104" s="48" t="s">
        <v>8546</v>
      </c>
      <c r="S104" t="s">
        <v>8622</v>
      </c>
      <c r="T104" t="s">
        <v>8632</v>
      </c>
      <c r="U104" s="62">
        <v>7.3</v>
      </c>
      <c r="V104" s="62" t="s">
        <v>8602</v>
      </c>
      <c r="W104" s="160">
        <v>5000</v>
      </c>
    </row>
    <row r="105" spans="1:24">
      <c r="A105" s="83" t="s">
        <v>236</v>
      </c>
      <c r="B105" s="319">
        <v>469800</v>
      </c>
      <c r="C105" s="47" t="s">
        <v>251</v>
      </c>
      <c r="D105" s="102">
        <v>12.5</v>
      </c>
      <c r="E105" s="102">
        <v>25</v>
      </c>
      <c r="F105" s="94">
        <v>165.95</v>
      </c>
      <c r="G105" s="94">
        <v>286.5</v>
      </c>
      <c r="H105" s="94">
        <f t="shared" si="1"/>
        <v>312.5</v>
      </c>
      <c r="I105" s="95">
        <v>31</v>
      </c>
      <c r="J105" t="s">
        <v>263</v>
      </c>
      <c r="K105" t="s">
        <v>247</v>
      </c>
      <c r="L105" s="46">
        <v>19900</v>
      </c>
      <c r="N105" t="s">
        <v>7316</v>
      </c>
      <c r="O105" t="s">
        <v>7317</v>
      </c>
      <c r="R105" s="48" t="s">
        <v>8546</v>
      </c>
      <c r="S105" t="s">
        <v>8622</v>
      </c>
      <c r="T105" t="s">
        <v>8633</v>
      </c>
      <c r="U105" s="62">
        <v>7.2</v>
      </c>
      <c r="V105" s="62" t="s">
        <v>8601</v>
      </c>
      <c r="W105" s="160">
        <v>15000</v>
      </c>
    </row>
    <row r="106" spans="1:24">
      <c r="A106" s="83" t="s">
        <v>236</v>
      </c>
      <c r="B106" s="319">
        <v>469800</v>
      </c>
      <c r="C106" s="47" t="s">
        <v>251</v>
      </c>
      <c r="D106" s="102">
        <v>12.5</v>
      </c>
      <c r="E106" s="102">
        <v>25</v>
      </c>
      <c r="F106" s="94">
        <v>165.95</v>
      </c>
      <c r="G106" s="94">
        <v>286.5</v>
      </c>
      <c r="H106" s="94">
        <f t="shared" si="1"/>
        <v>312.5</v>
      </c>
      <c r="I106" s="95">
        <v>31</v>
      </c>
      <c r="J106" t="s">
        <v>263</v>
      </c>
      <c r="K106" t="s">
        <v>245</v>
      </c>
      <c r="L106" s="46">
        <v>4900</v>
      </c>
      <c r="N106" t="s">
        <v>7316</v>
      </c>
      <c r="O106" t="s">
        <v>7316</v>
      </c>
      <c r="R106" s="48" t="s">
        <v>8546</v>
      </c>
      <c r="S106" t="s">
        <v>8622</v>
      </c>
      <c r="T106" t="s">
        <v>8601</v>
      </c>
      <c r="U106" s="62">
        <v>7.1</v>
      </c>
      <c r="V106" s="62" t="s">
        <v>8601</v>
      </c>
      <c r="W106" s="160">
        <v>15000</v>
      </c>
    </row>
    <row r="107" spans="1:24">
      <c r="A107" s="83" t="s">
        <v>236</v>
      </c>
      <c r="B107" s="319">
        <v>469800</v>
      </c>
      <c r="C107" s="47" t="s">
        <v>251</v>
      </c>
      <c r="D107" s="102">
        <v>12.5</v>
      </c>
      <c r="E107" s="102">
        <v>25</v>
      </c>
      <c r="F107" s="94">
        <v>165.95</v>
      </c>
      <c r="G107" s="94">
        <v>286.5</v>
      </c>
      <c r="H107" s="94">
        <f t="shared" si="1"/>
        <v>312.5</v>
      </c>
      <c r="I107" s="95">
        <v>31</v>
      </c>
      <c r="J107" t="s">
        <v>263</v>
      </c>
      <c r="K107" t="s">
        <v>246</v>
      </c>
      <c r="L107" s="46" t="s">
        <v>1</v>
      </c>
      <c r="N107" t="s">
        <v>7316</v>
      </c>
      <c r="O107" t="s">
        <v>7316</v>
      </c>
      <c r="R107" s="48" t="s">
        <v>8546</v>
      </c>
      <c r="S107" t="s">
        <v>8622</v>
      </c>
      <c r="T107" t="s">
        <v>8634</v>
      </c>
      <c r="U107" s="62">
        <v>7.2</v>
      </c>
      <c r="V107" s="62" t="s">
        <v>8601</v>
      </c>
      <c r="W107" s="160">
        <v>15000</v>
      </c>
    </row>
    <row r="108" spans="1:24">
      <c r="A108" s="83" t="s">
        <v>8777</v>
      </c>
      <c r="B108" s="319">
        <v>292000</v>
      </c>
      <c r="C108" s="47" t="s">
        <v>250</v>
      </c>
      <c r="D108" s="102">
        <v>8.5</v>
      </c>
      <c r="E108" s="102">
        <v>25</v>
      </c>
      <c r="F108" s="94">
        <v>140.76</v>
      </c>
      <c r="G108" s="94">
        <v>140.76</v>
      </c>
      <c r="H108" s="94">
        <f t="shared" si="1"/>
        <v>212.5</v>
      </c>
      <c r="I108" s="95">
        <v>15</v>
      </c>
      <c r="J108" t="s">
        <v>9285</v>
      </c>
      <c r="K108" t="s">
        <v>241</v>
      </c>
      <c r="L108" s="46" t="s">
        <v>1</v>
      </c>
      <c r="N108" t="s">
        <v>7316</v>
      </c>
      <c r="O108" t="s">
        <v>7316</v>
      </c>
      <c r="R108" s="48" t="s">
        <v>8546</v>
      </c>
      <c r="S108" t="s">
        <v>8623</v>
      </c>
      <c r="T108" t="s">
        <v>8629</v>
      </c>
      <c r="U108" s="62">
        <v>7.3</v>
      </c>
      <c r="V108" s="62" t="s">
        <v>8602</v>
      </c>
      <c r="W108" s="160">
        <v>5000</v>
      </c>
    </row>
    <row r="109" spans="1:24">
      <c r="A109" s="83" t="s">
        <v>8777</v>
      </c>
      <c r="B109" s="319">
        <v>292000</v>
      </c>
      <c r="C109" s="47" t="s">
        <v>250</v>
      </c>
      <c r="D109" s="102">
        <v>8.5</v>
      </c>
      <c r="E109" s="102">
        <v>25</v>
      </c>
      <c r="F109" s="94">
        <v>140.76</v>
      </c>
      <c r="G109" s="94">
        <v>140.76</v>
      </c>
      <c r="H109" s="94">
        <f t="shared" si="1"/>
        <v>212.5</v>
      </c>
      <c r="I109" s="95">
        <v>15</v>
      </c>
      <c r="J109" t="s">
        <v>9285</v>
      </c>
      <c r="K109" t="s">
        <v>10765</v>
      </c>
      <c r="L109" s="46">
        <v>2900</v>
      </c>
      <c r="N109" t="s">
        <v>7316</v>
      </c>
      <c r="O109" t="s">
        <v>7316</v>
      </c>
      <c r="R109" s="48" t="s">
        <v>8546</v>
      </c>
      <c r="S109" t="s">
        <v>8623</v>
      </c>
      <c r="T109" t="s">
        <v>8630</v>
      </c>
      <c r="U109" s="62">
        <v>7.1</v>
      </c>
      <c r="V109" s="62" t="s">
        <v>8601</v>
      </c>
      <c r="W109" s="160">
        <v>15000</v>
      </c>
    </row>
    <row r="110" spans="1:24">
      <c r="A110" s="83" t="s">
        <v>8777</v>
      </c>
      <c r="B110" s="319">
        <v>292000</v>
      </c>
      <c r="C110" s="47" t="s">
        <v>250</v>
      </c>
      <c r="D110" s="102">
        <v>8.5</v>
      </c>
      <c r="E110" s="102">
        <v>25</v>
      </c>
      <c r="F110" s="94">
        <v>140.76</v>
      </c>
      <c r="G110" s="94">
        <v>140.76</v>
      </c>
      <c r="H110" s="94">
        <f t="shared" si="1"/>
        <v>212.5</v>
      </c>
      <c r="I110" s="95">
        <v>15</v>
      </c>
      <c r="J110" t="s">
        <v>9285</v>
      </c>
      <c r="K110" t="s">
        <v>242</v>
      </c>
      <c r="L110" s="46">
        <v>1000</v>
      </c>
      <c r="N110" t="s">
        <v>7316</v>
      </c>
      <c r="O110" t="s">
        <v>7316</v>
      </c>
      <c r="R110" s="48" t="s">
        <v>8546</v>
      </c>
      <c r="S110" t="s">
        <v>8623</v>
      </c>
      <c r="T110" t="s">
        <v>8635</v>
      </c>
      <c r="U110" s="62">
        <v>7</v>
      </c>
      <c r="V110" s="62" t="s">
        <v>8601</v>
      </c>
      <c r="W110" s="160">
        <v>15000</v>
      </c>
    </row>
    <row r="111" spans="1:24">
      <c r="A111" s="83" t="s">
        <v>8777</v>
      </c>
      <c r="B111" s="319">
        <v>292000</v>
      </c>
      <c r="C111" s="47" t="s">
        <v>250</v>
      </c>
      <c r="D111" s="102">
        <v>8.5</v>
      </c>
      <c r="E111" s="102">
        <v>25</v>
      </c>
      <c r="F111" s="94">
        <v>140.76</v>
      </c>
      <c r="G111" s="94">
        <v>140.76</v>
      </c>
      <c r="H111" s="94">
        <f t="shared" si="1"/>
        <v>212.5</v>
      </c>
      <c r="I111" s="95">
        <v>15</v>
      </c>
      <c r="J111" t="s">
        <v>9285</v>
      </c>
      <c r="K111" t="s">
        <v>10766</v>
      </c>
      <c r="L111" s="309">
        <v>2900</v>
      </c>
      <c r="N111" t="s">
        <v>7316</v>
      </c>
      <c r="O111" t="s">
        <v>7316</v>
      </c>
      <c r="R111" s="48" t="s">
        <v>8546</v>
      </c>
      <c r="S111" t="s">
        <v>8623</v>
      </c>
      <c r="T111" t="s">
        <v>8631</v>
      </c>
      <c r="U111" s="62">
        <v>7.1</v>
      </c>
      <c r="V111" s="62" t="s">
        <v>8601</v>
      </c>
      <c r="W111" s="160">
        <v>15000</v>
      </c>
    </row>
    <row r="112" spans="1:24">
      <c r="A112" s="83" t="s">
        <v>8777</v>
      </c>
      <c r="B112" s="319">
        <v>292000</v>
      </c>
      <c r="C112" s="47" t="s">
        <v>250</v>
      </c>
      <c r="D112" s="102">
        <v>8.5</v>
      </c>
      <c r="E112" s="102">
        <v>25</v>
      </c>
      <c r="F112" s="94">
        <v>140.76</v>
      </c>
      <c r="G112" s="94">
        <v>140.76</v>
      </c>
      <c r="H112" s="94">
        <f t="shared" si="1"/>
        <v>212.5</v>
      </c>
      <c r="I112" s="95">
        <v>15</v>
      </c>
      <c r="J112" t="s">
        <v>9285</v>
      </c>
      <c r="K112" t="s">
        <v>10767</v>
      </c>
      <c r="L112" s="46">
        <v>2500</v>
      </c>
      <c r="N112" t="s">
        <v>7316</v>
      </c>
      <c r="O112" t="s">
        <v>7316</v>
      </c>
      <c r="P112" t="s">
        <v>7318</v>
      </c>
      <c r="R112" s="48" t="s">
        <v>8546</v>
      </c>
      <c r="S112" t="s">
        <v>8623</v>
      </c>
      <c r="T112" t="s">
        <v>8632</v>
      </c>
      <c r="U112" s="203">
        <v>7.3</v>
      </c>
      <c r="V112" s="203" t="s">
        <v>8602</v>
      </c>
      <c r="W112" s="204">
        <v>5000</v>
      </c>
    </row>
    <row r="113" spans="1:23">
      <c r="A113" s="83" t="s">
        <v>8777</v>
      </c>
      <c r="B113" s="319">
        <v>292000</v>
      </c>
      <c r="C113" s="47" t="s">
        <v>250</v>
      </c>
      <c r="D113" s="102">
        <v>8.5</v>
      </c>
      <c r="E113" s="102">
        <v>25</v>
      </c>
      <c r="F113" s="94">
        <v>140.76</v>
      </c>
      <c r="G113" s="94">
        <v>140.76</v>
      </c>
      <c r="H113" s="94">
        <f t="shared" si="1"/>
        <v>212.5</v>
      </c>
      <c r="I113" s="95">
        <v>15</v>
      </c>
      <c r="J113" t="s">
        <v>9285</v>
      </c>
      <c r="K113" t="s">
        <v>240</v>
      </c>
      <c r="L113" s="46" t="s">
        <v>1</v>
      </c>
      <c r="N113" t="s">
        <v>7316</v>
      </c>
      <c r="O113" t="s">
        <v>7316</v>
      </c>
      <c r="R113" s="48" t="s">
        <v>8546</v>
      </c>
      <c r="S113" t="s">
        <v>8623</v>
      </c>
      <c r="T113" t="s">
        <v>8633</v>
      </c>
      <c r="U113" s="62">
        <v>7.2</v>
      </c>
      <c r="V113" s="62" t="s">
        <v>8601</v>
      </c>
      <c r="W113" s="160">
        <v>15000</v>
      </c>
    </row>
    <row r="114" spans="1:23">
      <c r="A114" s="83" t="s">
        <v>8777</v>
      </c>
      <c r="B114" s="319">
        <v>292000</v>
      </c>
      <c r="C114" s="47" t="s">
        <v>250</v>
      </c>
      <c r="D114" s="102">
        <v>8.5</v>
      </c>
      <c r="E114" s="102">
        <v>25</v>
      </c>
      <c r="F114" s="94">
        <v>140.76</v>
      </c>
      <c r="G114" s="94">
        <v>140.76</v>
      </c>
      <c r="H114" s="94">
        <f t="shared" si="1"/>
        <v>212.5</v>
      </c>
      <c r="I114" s="95">
        <v>15</v>
      </c>
      <c r="J114" t="s">
        <v>9285</v>
      </c>
      <c r="K114" t="s">
        <v>10768</v>
      </c>
      <c r="L114" s="46">
        <v>5000</v>
      </c>
      <c r="N114" t="s">
        <v>7316</v>
      </c>
      <c r="O114" t="s">
        <v>7316</v>
      </c>
      <c r="R114" s="48" t="s">
        <v>8546</v>
      </c>
      <c r="S114" t="s">
        <v>8623</v>
      </c>
      <c r="T114" t="s">
        <v>8601</v>
      </c>
      <c r="U114" s="62">
        <v>7.1</v>
      </c>
      <c r="V114" s="62" t="s">
        <v>8601</v>
      </c>
      <c r="W114" s="160">
        <v>15000</v>
      </c>
    </row>
    <row r="115" spans="1:23">
      <c r="A115" s="83" t="s">
        <v>232</v>
      </c>
      <c r="B115" s="319">
        <v>418600</v>
      </c>
      <c r="C115" s="47" t="s">
        <v>251</v>
      </c>
      <c r="D115" s="102">
        <v>14</v>
      </c>
      <c r="E115" s="102">
        <v>16</v>
      </c>
      <c r="F115" s="94">
        <v>110.72</v>
      </c>
      <c r="G115" s="94">
        <v>205.89</v>
      </c>
      <c r="H115" s="94">
        <f t="shared" si="1"/>
        <v>224</v>
      </c>
      <c r="I115" s="95">
        <v>22</v>
      </c>
      <c r="J115" t="s">
        <v>264</v>
      </c>
      <c r="K115" t="s">
        <v>244</v>
      </c>
      <c r="L115" s="46">
        <v>3900</v>
      </c>
      <c r="N115" t="s">
        <v>7316</v>
      </c>
      <c r="O115" t="s">
        <v>7316</v>
      </c>
      <c r="R115" s="48" t="s">
        <v>8546</v>
      </c>
      <c r="S115" t="s">
        <v>8623</v>
      </c>
      <c r="T115" t="s">
        <v>8634</v>
      </c>
      <c r="U115" s="62">
        <v>7.2</v>
      </c>
      <c r="V115" s="62" t="s">
        <v>8602</v>
      </c>
      <c r="W115" s="160">
        <v>5000</v>
      </c>
    </row>
    <row r="116" spans="1:23">
      <c r="A116" s="83" t="s">
        <v>232</v>
      </c>
      <c r="B116" s="319">
        <v>418600</v>
      </c>
      <c r="C116" s="47" t="s">
        <v>251</v>
      </c>
      <c r="D116" s="102">
        <v>14</v>
      </c>
      <c r="E116" s="102">
        <v>16</v>
      </c>
      <c r="F116" s="94">
        <v>110.72</v>
      </c>
      <c r="G116" s="94">
        <v>205.89</v>
      </c>
      <c r="H116" s="94">
        <f t="shared" si="1"/>
        <v>224</v>
      </c>
      <c r="I116" s="95">
        <v>22</v>
      </c>
      <c r="J116" t="s">
        <v>264</v>
      </c>
      <c r="K116" t="s">
        <v>247</v>
      </c>
      <c r="L116" s="46">
        <v>19900</v>
      </c>
      <c r="N116" t="s">
        <v>7316</v>
      </c>
      <c r="O116" t="s">
        <v>7317</v>
      </c>
      <c r="R116" s="48" t="s">
        <v>8493</v>
      </c>
      <c r="S116" t="s">
        <v>8622</v>
      </c>
      <c r="T116" t="s">
        <v>8629</v>
      </c>
      <c r="U116" s="62">
        <v>7.3</v>
      </c>
      <c r="V116" s="62" t="s">
        <v>8602</v>
      </c>
      <c r="W116" s="160">
        <v>5000</v>
      </c>
    </row>
    <row r="117" spans="1:23">
      <c r="A117" s="83" t="s">
        <v>232</v>
      </c>
      <c r="B117" s="319">
        <v>418600</v>
      </c>
      <c r="C117" s="47" t="s">
        <v>251</v>
      </c>
      <c r="D117" s="102">
        <v>14</v>
      </c>
      <c r="E117" s="102">
        <v>16</v>
      </c>
      <c r="F117" s="94">
        <v>110.72</v>
      </c>
      <c r="G117" s="94">
        <v>205.89</v>
      </c>
      <c r="H117" s="94">
        <f t="shared" si="1"/>
        <v>224</v>
      </c>
      <c r="I117" s="95">
        <v>22</v>
      </c>
      <c r="J117" t="s">
        <v>264</v>
      </c>
      <c r="K117" t="s">
        <v>245</v>
      </c>
      <c r="L117" s="46">
        <v>4900</v>
      </c>
      <c r="N117" t="s">
        <v>7316</v>
      </c>
      <c r="O117" t="s">
        <v>7316</v>
      </c>
      <c r="R117" s="48" t="s">
        <v>8493</v>
      </c>
      <c r="S117" t="s">
        <v>8622</v>
      </c>
      <c r="T117" t="s">
        <v>8630</v>
      </c>
      <c r="U117" s="203">
        <v>7.1</v>
      </c>
      <c r="V117" s="203" t="s">
        <v>8601</v>
      </c>
      <c r="W117" s="204">
        <v>15000</v>
      </c>
    </row>
    <row r="118" spans="1:23">
      <c r="A118" s="83" t="s">
        <v>232</v>
      </c>
      <c r="B118" s="319">
        <v>418600</v>
      </c>
      <c r="C118" s="47" t="s">
        <v>251</v>
      </c>
      <c r="D118" s="102">
        <v>14</v>
      </c>
      <c r="E118" s="102">
        <v>16</v>
      </c>
      <c r="F118" s="94">
        <v>110.72</v>
      </c>
      <c r="G118" s="94">
        <v>205.89</v>
      </c>
      <c r="H118" s="94">
        <f t="shared" si="1"/>
        <v>224</v>
      </c>
      <c r="I118" s="95">
        <v>22</v>
      </c>
      <c r="J118" t="s">
        <v>264</v>
      </c>
      <c r="K118" t="s">
        <v>246</v>
      </c>
      <c r="L118" s="46" t="s">
        <v>1</v>
      </c>
      <c r="N118" t="s">
        <v>7316</v>
      </c>
      <c r="O118" t="s">
        <v>7316</v>
      </c>
      <c r="R118" s="48" t="s">
        <v>8493</v>
      </c>
      <c r="S118" t="s">
        <v>8622</v>
      </c>
      <c r="T118" t="s">
        <v>8635</v>
      </c>
      <c r="U118" s="62">
        <v>7</v>
      </c>
      <c r="V118" s="62" t="s">
        <v>8601</v>
      </c>
      <c r="W118" s="160">
        <v>15000</v>
      </c>
    </row>
    <row r="119" spans="1:23">
      <c r="A119" s="83" t="s">
        <v>205</v>
      </c>
      <c r="B119" s="319">
        <v>294600</v>
      </c>
      <c r="C119" s="47" t="s">
        <v>250</v>
      </c>
      <c r="D119" s="102">
        <v>12.5</v>
      </c>
      <c r="E119" s="102">
        <v>21</v>
      </c>
      <c r="F119" s="94">
        <v>149.21</v>
      </c>
      <c r="G119" s="94">
        <v>149.21</v>
      </c>
      <c r="H119" s="94">
        <f t="shared" si="1"/>
        <v>262.5</v>
      </c>
      <c r="I119" s="95">
        <v>16</v>
      </c>
      <c r="J119" t="s">
        <v>265</v>
      </c>
      <c r="K119" t="s">
        <v>241</v>
      </c>
      <c r="L119" s="46" t="s">
        <v>1</v>
      </c>
      <c r="N119" t="s">
        <v>7316</v>
      </c>
      <c r="O119" t="s">
        <v>7316</v>
      </c>
      <c r="R119" s="48" t="s">
        <v>8493</v>
      </c>
      <c r="S119" t="s">
        <v>8622</v>
      </c>
      <c r="T119" t="s">
        <v>8631</v>
      </c>
      <c r="U119" s="62">
        <v>7.1</v>
      </c>
      <c r="V119" s="62" t="s">
        <v>8601</v>
      </c>
      <c r="W119" s="160">
        <v>15000</v>
      </c>
    </row>
    <row r="120" spans="1:23">
      <c r="A120" s="83" t="s">
        <v>205</v>
      </c>
      <c r="B120" s="319">
        <v>294600</v>
      </c>
      <c r="C120" s="47" t="s">
        <v>250</v>
      </c>
      <c r="D120" s="102">
        <v>12.5</v>
      </c>
      <c r="E120" s="102">
        <v>21</v>
      </c>
      <c r="F120" s="94">
        <v>149.21</v>
      </c>
      <c r="G120" s="94">
        <v>149.21</v>
      </c>
      <c r="H120" s="94">
        <f t="shared" si="1"/>
        <v>262.5</v>
      </c>
      <c r="I120" s="95">
        <v>16</v>
      </c>
      <c r="J120" t="s">
        <v>265</v>
      </c>
      <c r="K120" t="s">
        <v>10765</v>
      </c>
      <c r="L120" s="46">
        <v>2900</v>
      </c>
      <c r="N120" t="s">
        <v>7316</v>
      </c>
      <c r="O120" t="s">
        <v>7316</v>
      </c>
      <c r="R120" s="48" t="s">
        <v>8493</v>
      </c>
      <c r="S120" t="s">
        <v>8622</v>
      </c>
      <c r="T120" t="s">
        <v>8632</v>
      </c>
      <c r="U120" s="62">
        <v>7.3</v>
      </c>
      <c r="V120" s="62" t="s">
        <v>8602</v>
      </c>
      <c r="W120" s="160">
        <v>5000</v>
      </c>
    </row>
    <row r="121" spans="1:23">
      <c r="A121" s="83" t="s">
        <v>205</v>
      </c>
      <c r="B121" s="319">
        <v>294600</v>
      </c>
      <c r="C121" s="47" t="s">
        <v>250</v>
      </c>
      <c r="D121" s="102">
        <v>12.5</v>
      </c>
      <c r="E121" s="102">
        <v>21</v>
      </c>
      <c r="F121" s="94">
        <v>149.21</v>
      </c>
      <c r="G121" s="94">
        <v>149.21</v>
      </c>
      <c r="H121" s="94">
        <f t="shared" si="1"/>
        <v>262.5</v>
      </c>
      <c r="I121" s="95">
        <v>16</v>
      </c>
      <c r="J121" t="s">
        <v>265</v>
      </c>
      <c r="K121" t="s">
        <v>242</v>
      </c>
      <c r="L121" s="46">
        <v>1000</v>
      </c>
      <c r="N121" t="s">
        <v>7316</v>
      </c>
      <c r="O121" t="s">
        <v>7316</v>
      </c>
      <c r="R121" s="48" t="s">
        <v>8493</v>
      </c>
      <c r="S121" t="s">
        <v>8622</v>
      </c>
      <c r="T121" t="s">
        <v>8633</v>
      </c>
      <c r="U121" s="62">
        <v>7.2</v>
      </c>
      <c r="V121" s="62" t="s">
        <v>8601</v>
      </c>
      <c r="W121" s="160">
        <v>15000</v>
      </c>
    </row>
    <row r="122" spans="1:23">
      <c r="A122" s="83" t="s">
        <v>205</v>
      </c>
      <c r="B122" s="319">
        <v>294600</v>
      </c>
      <c r="C122" s="47" t="s">
        <v>250</v>
      </c>
      <c r="D122" s="102">
        <v>12.5</v>
      </c>
      <c r="E122" s="102">
        <v>21</v>
      </c>
      <c r="F122" s="94">
        <v>149.21</v>
      </c>
      <c r="G122" s="94">
        <v>149.21</v>
      </c>
      <c r="H122" s="94">
        <f t="shared" si="1"/>
        <v>262.5</v>
      </c>
      <c r="I122" s="95">
        <v>16</v>
      </c>
      <c r="J122" t="s">
        <v>265</v>
      </c>
      <c r="K122" t="s">
        <v>10767</v>
      </c>
      <c r="L122" s="46">
        <v>2500</v>
      </c>
      <c r="N122" t="s">
        <v>7316</v>
      </c>
      <c r="O122" t="s">
        <v>7316</v>
      </c>
      <c r="P122" t="s">
        <v>7318</v>
      </c>
      <c r="R122" s="48" t="s">
        <v>8493</v>
      </c>
      <c r="S122" t="s">
        <v>8622</v>
      </c>
      <c r="T122" t="s">
        <v>8601</v>
      </c>
      <c r="U122" s="62">
        <v>7.1</v>
      </c>
      <c r="V122" s="62" t="s">
        <v>8601</v>
      </c>
      <c r="W122" s="160">
        <v>15000</v>
      </c>
    </row>
    <row r="123" spans="1:23">
      <c r="A123" s="83" t="s">
        <v>205</v>
      </c>
      <c r="B123" s="319">
        <v>294600</v>
      </c>
      <c r="C123" s="47" t="s">
        <v>250</v>
      </c>
      <c r="D123" s="102">
        <v>12.5</v>
      </c>
      <c r="E123" s="102">
        <v>21</v>
      </c>
      <c r="F123" s="94">
        <v>149.21</v>
      </c>
      <c r="G123" s="94">
        <v>149.21</v>
      </c>
      <c r="H123" s="94">
        <f t="shared" si="1"/>
        <v>262.5</v>
      </c>
      <c r="I123" s="95">
        <v>16</v>
      </c>
      <c r="J123" t="s">
        <v>265</v>
      </c>
      <c r="K123" t="s">
        <v>10766</v>
      </c>
      <c r="L123" s="309">
        <v>2900</v>
      </c>
      <c r="N123" t="s">
        <v>7316</v>
      </c>
      <c r="O123" t="s">
        <v>7316</v>
      </c>
      <c r="R123" s="48" t="s">
        <v>8493</v>
      </c>
      <c r="S123" t="s">
        <v>8622</v>
      </c>
      <c r="T123" t="s">
        <v>8634</v>
      </c>
      <c r="U123" s="62">
        <v>7.2</v>
      </c>
      <c r="V123" s="62" t="s">
        <v>8601</v>
      </c>
      <c r="W123" s="160">
        <v>15000</v>
      </c>
    </row>
    <row r="124" spans="1:23">
      <c r="A124" s="83" t="s">
        <v>205</v>
      </c>
      <c r="B124" s="319">
        <v>294600</v>
      </c>
      <c r="C124" s="47" t="s">
        <v>250</v>
      </c>
      <c r="D124" s="102">
        <v>12.5</v>
      </c>
      <c r="E124" s="102">
        <v>21</v>
      </c>
      <c r="F124" s="94">
        <v>149.21</v>
      </c>
      <c r="G124" s="94">
        <v>149.21</v>
      </c>
      <c r="H124" s="94">
        <f t="shared" si="1"/>
        <v>262.5</v>
      </c>
      <c r="I124" s="95">
        <v>16</v>
      </c>
      <c r="J124" t="s">
        <v>265</v>
      </c>
      <c r="K124" t="s">
        <v>240</v>
      </c>
      <c r="L124" s="46" t="s">
        <v>1</v>
      </c>
      <c r="N124" t="s">
        <v>7316</v>
      </c>
      <c r="O124" t="s">
        <v>7316</v>
      </c>
      <c r="R124" s="48" t="s">
        <v>8493</v>
      </c>
      <c r="S124" t="s">
        <v>8623</v>
      </c>
      <c r="T124" t="s">
        <v>8629</v>
      </c>
      <c r="U124" s="62">
        <v>7.3</v>
      </c>
      <c r="V124" s="62" t="s">
        <v>8602</v>
      </c>
      <c r="W124" s="160">
        <v>5000</v>
      </c>
    </row>
    <row r="125" spans="1:23">
      <c r="A125" s="83" t="s">
        <v>205</v>
      </c>
      <c r="B125" s="319">
        <v>294600</v>
      </c>
      <c r="C125" s="47" t="s">
        <v>250</v>
      </c>
      <c r="D125" s="102">
        <v>12.5</v>
      </c>
      <c r="E125" s="102">
        <v>21.5</v>
      </c>
      <c r="F125" s="94">
        <v>149.21</v>
      </c>
      <c r="G125" s="94">
        <v>149.21</v>
      </c>
      <c r="H125" s="94">
        <f t="shared" si="1"/>
        <v>268.75</v>
      </c>
      <c r="I125" s="95">
        <v>16</v>
      </c>
      <c r="J125" t="s">
        <v>265</v>
      </c>
      <c r="K125" t="s">
        <v>10768</v>
      </c>
      <c r="L125" s="46">
        <v>5000</v>
      </c>
      <c r="N125" t="s">
        <v>7316</v>
      </c>
      <c r="O125" t="s">
        <v>7316</v>
      </c>
      <c r="R125" s="48" t="s">
        <v>8493</v>
      </c>
      <c r="S125" t="s">
        <v>8623</v>
      </c>
      <c r="T125" t="s">
        <v>8630</v>
      </c>
      <c r="U125" s="62">
        <v>7.1</v>
      </c>
      <c r="V125" s="62" t="s">
        <v>8601</v>
      </c>
      <c r="W125" s="160">
        <v>15000</v>
      </c>
    </row>
    <row r="126" spans="1:23">
      <c r="A126" s="83" t="s">
        <v>9181</v>
      </c>
      <c r="B126" s="319">
        <v>300700</v>
      </c>
      <c r="C126" s="47" t="s">
        <v>250</v>
      </c>
      <c r="D126" s="102">
        <v>14.5</v>
      </c>
      <c r="E126" s="102">
        <v>21</v>
      </c>
      <c r="F126" s="94">
        <v>161.85</v>
      </c>
      <c r="G126" s="94">
        <v>161.85</v>
      </c>
      <c r="H126" s="94">
        <f t="shared" si="1"/>
        <v>304.5</v>
      </c>
      <c r="I126" s="95">
        <v>18</v>
      </c>
      <c r="J126" t="s">
        <v>259</v>
      </c>
      <c r="K126" t="s">
        <v>241</v>
      </c>
      <c r="L126" s="46" t="s">
        <v>1</v>
      </c>
      <c r="N126" t="s">
        <v>7316</v>
      </c>
      <c r="O126" t="s">
        <v>7316</v>
      </c>
      <c r="R126" s="48" t="s">
        <v>8493</v>
      </c>
      <c r="S126" t="s">
        <v>8623</v>
      </c>
      <c r="T126" t="s">
        <v>8635</v>
      </c>
      <c r="U126" s="62">
        <v>7</v>
      </c>
      <c r="V126" s="62" t="s">
        <v>8601</v>
      </c>
      <c r="W126" s="160">
        <v>15000</v>
      </c>
    </row>
    <row r="127" spans="1:23">
      <c r="A127" s="83" t="s">
        <v>9181</v>
      </c>
      <c r="B127" s="319">
        <v>300700</v>
      </c>
      <c r="C127" s="47" t="s">
        <v>250</v>
      </c>
      <c r="D127" s="102">
        <v>14.5</v>
      </c>
      <c r="E127" s="102">
        <v>21</v>
      </c>
      <c r="F127" s="94">
        <v>161.85</v>
      </c>
      <c r="G127" s="94">
        <v>161.85</v>
      </c>
      <c r="H127" s="94">
        <f t="shared" si="1"/>
        <v>304.5</v>
      </c>
      <c r="I127" s="95">
        <v>18</v>
      </c>
      <c r="J127" t="s">
        <v>259</v>
      </c>
      <c r="K127" t="s">
        <v>10765</v>
      </c>
      <c r="L127" s="46">
        <v>2900</v>
      </c>
      <c r="N127" t="s">
        <v>7316</v>
      </c>
      <c r="O127" t="s">
        <v>7316</v>
      </c>
      <c r="R127" s="48" t="s">
        <v>8493</v>
      </c>
      <c r="S127" t="s">
        <v>8623</v>
      </c>
      <c r="T127" t="s">
        <v>8631</v>
      </c>
      <c r="U127" s="62">
        <v>7.1</v>
      </c>
      <c r="V127" s="62" t="s">
        <v>8601</v>
      </c>
      <c r="W127" s="160">
        <v>15000</v>
      </c>
    </row>
    <row r="128" spans="1:23">
      <c r="A128" s="83" t="s">
        <v>9181</v>
      </c>
      <c r="B128" s="319">
        <v>300700</v>
      </c>
      <c r="C128" s="47" t="s">
        <v>250</v>
      </c>
      <c r="D128" s="102">
        <v>14.5</v>
      </c>
      <c r="E128" s="102">
        <v>21</v>
      </c>
      <c r="F128" s="94">
        <v>161.85</v>
      </c>
      <c r="G128" s="94">
        <v>161.85</v>
      </c>
      <c r="H128" s="94">
        <f t="shared" si="1"/>
        <v>304.5</v>
      </c>
      <c r="I128" s="95">
        <v>18</v>
      </c>
      <c r="J128" t="s">
        <v>259</v>
      </c>
      <c r="K128" t="s">
        <v>242</v>
      </c>
      <c r="L128" s="46">
        <v>1000</v>
      </c>
      <c r="N128" t="s">
        <v>7316</v>
      </c>
      <c r="O128" t="s">
        <v>7316</v>
      </c>
      <c r="R128" s="48" t="s">
        <v>8493</v>
      </c>
      <c r="S128" t="s">
        <v>8623</v>
      </c>
      <c r="T128" t="s">
        <v>8632</v>
      </c>
      <c r="U128" s="203">
        <v>7.3</v>
      </c>
      <c r="V128" s="203" t="s">
        <v>8602</v>
      </c>
      <c r="W128" s="204">
        <v>5000</v>
      </c>
    </row>
    <row r="129" spans="1:23">
      <c r="A129" s="83" t="s">
        <v>9181</v>
      </c>
      <c r="B129" s="319">
        <v>300700</v>
      </c>
      <c r="C129" s="47" t="s">
        <v>250</v>
      </c>
      <c r="D129" s="102">
        <v>14.5</v>
      </c>
      <c r="E129" s="102">
        <v>21</v>
      </c>
      <c r="F129" s="94">
        <v>161.85</v>
      </c>
      <c r="G129" s="94">
        <v>161.85</v>
      </c>
      <c r="H129" s="94">
        <f t="shared" si="1"/>
        <v>304.5</v>
      </c>
      <c r="I129" s="95">
        <v>18</v>
      </c>
      <c r="J129" t="s">
        <v>259</v>
      </c>
      <c r="K129" t="s">
        <v>10767</v>
      </c>
      <c r="L129" s="46">
        <v>2500</v>
      </c>
      <c r="N129" t="s">
        <v>7316</v>
      </c>
      <c r="O129" t="s">
        <v>7316</v>
      </c>
      <c r="P129" t="s">
        <v>7318</v>
      </c>
      <c r="R129" s="48" t="s">
        <v>8493</v>
      </c>
      <c r="S129" t="s">
        <v>8623</v>
      </c>
      <c r="T129" t="s">
        <v>8633</v>
      </c>
      <c r="U129" s="62">
        <v>7.2</v>
      </c>
      <c r="V129" s="62" t="s">
        <v>8601</v>
      </c>
      <c r="W129" s="160">
        <v>15000</v>
      </c>
    </row>
    <row r="130" spans="1:23">
      <c r="A130" s="83" t="s">
        <v>9181</v>
      </c>
      <c r="B130" s="319">
        <v>300700</v>
      </c>
      <c r="C130" s="47" t="s">
        <v>250</v>
      </c>
      <c r="D130" s="102">
        <v>14.5</v>
      </c>
      <c r="E130" s="102">
        <v>21</v>
      </c>
      <c r="F130" s="94">
        <v>161.85</v>
      </c>
      <c r="G130" s="94">
        <v>161.85</v>
      </c>
      <c r="H130" s="94">
        <f t="shared" si="1"/>
        <v>304.5</v>
      </c>
      <c r="I130" s="95">
        <v>18</v>
      </c>
      <c r="J130" t="s">
        <v>259</v>
      </c>
      <c r="K130" t="s">
        <v>10766</v>
      </c>
      <c r="L130" s="309">
        <v>2900</v>
      </c>
      <c r="N130" t="s">
        <v>7316</v>
      </c>
      <c r="O130" t="s">
        <v>7316</v>
      </c>
      <c r="R130" s="48" t="s">
        <v>8493</v>
      </c>
      <c r="S130" t="s">
        <v>8623</v>
      </c>
      <c r="T130" t="s">
        <v>8601</v>
      </c>
      <c r="U130" s="62">
        <v>7.1</v>
      </c>
      <c r="V130" s="62" t="s">
        <v>8601</v>
      </c>
      <c r="W130" s="160">
        <v>15000</v>
      </c>
    </row>
    <row r="131" spans="1:23">
      <c r="A131" s="83" t="s">
        <v>9181</v>
      </c>
      <c r="B131" s="319">
        <v>300700</v>
      </c>
      <c r="C131" s="47" t="s">
        <v>250</v>
      </c>
      <c r="D131" s="102">
        <v>14.5</v>
      </c>
      <c r="E131" s="102">
        <v>21</v>
      </c>
      <c r="F131" s="94">
        <v>161.85</v>
      </c>
      <c r="G131" s="94">
        <v>161.85</v>
      </c>
      <c r="H131" s="94">
        <f t="shared" si="1"/>
        <v>304.5</v>
      </c>
      <c r="I131" s="95">
        <v>18</v>
      </c>
      <c r="J131" t="s">
        <v>259</v>
      </c>
      <c r="K131" t="s">
        <v>240</v>
      </c>
      <c r="L131" s="46" t="s">
        <v>1</v>
      </c>
      <c r="N131" t="s">
        <v>7316</v>
      </c>
      <c r="O131" t="s">
        <v>7316</v>
      </c>
      <c r="R131" s="48" t="s">
        <v>8493</v>
      </c>
      <c r="S131" t="s">
        <v>8623</v>
      </c>
      <c r="T131" t="s">
        <v>8634</v>
      </c>
      <c r="U131" s="62">
        <v>7.2</v>
      </c>
      <c r="V131" s="62" t="s">
        <v>8602</v>
      </c>
      <c r="W131" s="160">
        <v>5000</v>
      </c>
    </row>
    <row r="132" spans="1:23">
      <c r="A132" s="83" t="s">
        <v>9181</v>
      </c>
      <c r="B132" s="319">
        <v>300700</v>
      </c>
      <c r="C132" s="47" t="s">
        <v>250</v>
      </c>
      <c r="D132" s="102">
        <v>14.5</v>
      </c>
      <c r="E132" s="102">
        <v>21.5</v>
      </c>
      <c r="F132" s="94">
        <v>161.85</v>
      </c>
      <c r="G132" s="94">
        <v>161.85</v>
      </c>
      <c r="H132" s="94">
        <f t="shared" ref="H132:H195" si="2">(D132*E132)</f>
        <v>311.75</v>
      </c>
      <c r="I132" s="95">
        <v>18</v>
      </c>
      <c r="J132" t="s">
        <v>259</v>
      </c>
      <c r="K132" t="s">
        <v>10768</v>
      </c>
      <c r="L132" s="46">
        <v>5000</v>
      </c>
      <c r="N132" t="s">
        <v>7316</v>
      </c>
      <c r="O132" t="s">
        <v>7316</v>
      </c>
      <c r="R132" s="48" t="s">
        <v>8962</v>
      </c>
      <c r="S132" t="s">
        <v>8622</v>
      </c>
      <c r="T132" t="s">
        <v>8629</v>
      </c>
      <c r="U132" s="62">
        <v>7.4</v>
      </c>
      <c r="V132" s="62" t="s">
        <v>8602</v>
      </c>
      <c r="W132" s="160">
        <v>5000</v>
      </c>
    </row>
    <row r="133" spans="1:23">
      <c r="A133" s="83" t="s">
        <v>209</v>
      </c>
      <c r="B133" s="319">
        <v>310800</v>
      </c>
      <c r="C133" s="47" t="s">
        <v>250</v>
      </c>
      <c r="D133" s="102">
        <v>10.5</v>
      </c>
      <c r="E133" s="102">
        <v>28.5</v>
      </c>
      <c r="F133" s="94">
        <v>174.86</v>
      </c>
      <c r="G133" s="94">
        <v>174.86</v>
      </c>
      <c r="H133" s="94">
        <f t="shared" si="2"/>
        <v>299.25</v>
      </c>
      <c r="I133" s="95">
        <v>19</v>
      </c>
      <c r="J133" t="s">
        <v>254</v>
      </c>
      <c r="K133" t="s">
        <v>241</v>
      </c>
      <c r="L133" s="46" t="s">
        <v>1</v>
      </c>
      <c r="N133" t="s">
        <v>7316</v>
      </c>
      <c r="O133" t="s">
        <v>7316</v>
      </c>
      <c r="R133" s="48" t="s">
        <v>8962</v>
      </c>
      <c r="S133" t="s">
        <v>8622</v>
      </c>
      <c r="T133" t="s">
        <v>8630</v>
      </c>
      <c r="U133" s="62">
        <v>7.2</v>
      </c>
      <c r="V133" s="62" t="s">
        <v>8602</v>
      </c>
      <c r="W133" s="160">
        <v>5000</v>
      </c>
    </row>
    <row r="134" spans="1:23">
      <c r="A134" s="83" t="s">
        <v>209</v>
      </c>
      <c r="B134" s="319">
        <v>310800</v>
      </c>
      <c r="C134" s="47" t="s">
        <v>250</v>
      </c>
      <c r="D134" s="102">
        <v>10.5</v>
      </c>
      <c r="E134" s="102">
        <v>28.5</v>
      </c>
      <c r="F134" s="94">
        <v>174.86</v>
      </c>
      <c r="G134" s="94">
        <v>174.86</v>
      </c>
      <c r="H134" s="94">
        <f t="shared" si="2"/>
        <v>299.25</v>
      </c>
      <c r="I134" s="95">
        <v>19</v>
      </c>
      <c r="J134" t="s">
        <v>254</v>
      </c>
      <c r="K134" t="s">
        <v>10765</v>
      </c>
      <c r="L134" s="46">
        <v>2900</v>
      </c>
      <c r="N134" t="s">
        <v>7316</v>
      </c>
      <c r="O134" t="s">
        <v>7316</v>
      </c>
      <c r="R134" s="48" t="s">
        <v>8962</v>
      </c>
      <c r="S134" t="s">
        <v>8622</v>
      </c>
      <c r="T134" t="s">
        <v>8635</v>
      </c>
      <c r="U134" s="62">
        <v>7.1</v>
      </c>
      <c r="V134" s="62" t="s">
        <v>8601</v>
      </c>
      <c r="W134" s="160">
        <v>15000</v>
      </c>
    </row>
    <row r="135" spans="1:23">
      <c r="A135" s="83" t="s">
        <v>209</v>
      </c>
      <c r="B135" s="319">
        <v>310800</v>
      </c>
      <c r="C135" s="47" t="s">
        <v>250</v>
      </c>
      <c r="D135" s="102">
        <v>10.5</v>
      </c>
      <c r="E135" s="102">
        <v>28.5</v>
      </c>
      <c r="F135" s="94">
        <v>174.86</v>
      </c>
      <c r="G135" s="94">
        <v>174.86</v>
      </c>
      <c r="H135" s="94">
        <f t="shared" si="2"/>
        <v>299.25</v>
      </c>
      <c r="I135" s="95">
        <v>19</v>
      </c>
      <c r="J135" t="s">
        <v>254</v>
      </c>
      <c r="K135" t="s">
        <v>242</v>
      </c>
      <c r="L135" s="46">
        <v>1000</v>
      </c>
      <c r="N135" t="s">
        <v>7316</v>
      </c>
      <c r="O135" t="s">
        <v>7316</v>
      </c>
      <c r="R135" s="48" t="s">
        <v>8962</v>
      </c>
      <c r="S135" t="s">
        <v>8622</v>
      </c>
      <c r="T135" t="s">
        <v>8631</v>
      </c>
      <c r="U135" s="62">
        <v>7.1</v>
      </c>
      <c r="V135" s="62" t="s">
        <v>8601</v>
      </c>
      <c r="W135" s="160">
        <v>15000</v>
      </c>
    </row>
    <row r="136" spans="1:23">
      <c r="A136" s="83" t="s">
        <v>209</v>
      </c>
      <c r="B136" s="319">
        <v>310800</v>
      </c>
      <c r="C136" s="47" t="s">
        <v>250</v>
      </c>
      <c r="D136" s="102">
        <v>10.5</v>
      </c>
      <c r="E136" s="102">
        <v>28.5</v>
      </c>
      <c r="F136" s="94">
        <v>174.86</v>
      </c>
      <c r="G136" s="94">
        <v>174.86</v>
      </c>
      <c r="H136" s="94">
        <f t="shared" si="2"/>
        <v>299.25</v>
      </c>
      <c r="I136" s="95">
        <v>19</v>
      </c>
      <c r="J136" t="s">
        <v>254</v>
      </c>
      <c r="K136" t="s">
        <v>10767</v>
      </c>
      <c r="L136" s="46">
        <v>2500</v>
      </c>
      <c r="N136" t="s">
        <v>7316</v>
      </c>
      <c r="O136" t="s">
        <v>7316</v>
      </c>
      <c r="P136" t="s">
        <v>7318</v>
      </c>
      <c r="R136" s="48" t="s">
        <v>8962</v>
      </c>
      <c r="S136" t="s">
        <v>8622</v>
      </c>
      <c r="T136" t="s">
        <v>8632</v>
      </c>
      <c r="U136" s="62">
        <v>7.2</v>
      </c>
      <c r="V136" s="62" t="s">
        <v>8601</v>
      </c>
      <c r="W136" s="160">
        <v>15000</v>
      </c>
    </row>
    <row r="137" spans="1:23">
      <c r="A137" s="83" t="s">
        <v>209</v>
      </c>
      <c r="B137" s="319">
        <v>310800</v>
      </c>
      <c r="C137" s="47" t="s">
        <v>250</v>
      </c>
      <c r="D137" s="102">
        <v>10.5</v>
      </c>
      <c r="E137" s="102">
        <v>28.5</v>
      </c>
      <c r="F137" s="94">
        <v>174.86</v>
      </c>
      <c r="G137" s="94">
        <v>174.86</v>
      </c>
      <c r="H137" s="94">
        <f t="shared" si="2"/>
        <v>299.25</v>
      </c>
      <c r="I137" s="95">
        <v>19</v>
      </c>
      <c r="J137" t="s">
        <v>254</v>
      </c>
      <c r="K137" t="s">
        <v>10766</v>
      </c>
      <c r="L137" s="309">
        <v>2900</v>
      </c>
      <c r="N137" t="s">
        <v>7316</v>
      </c>
      <c r="O137" t="s">
        <v>7316</v>
      </c>
      <c r="R137" s="48" t="s">
        <v>8962</v>
      </c>
      <c r="S137" t="s">
        <v>8622</v>
      </c>
      <c r="T137" t="s">
        <v>8633</v>
      </c>
      <c r="U137" s="62">
        <v>7</v>
      </c>
      <c r="V137" s="62" t="s">
        <v>8601</v>
      </c>
      <c r="W137" s="160">
        <v>15000</v>
      </c>
    </row>
    <row r="138" spans="1:23">
      <c r="A138" s="83" t="s">
        <v>209</v>
      </c>
      <c r="B138" s="319">
        <v>310800</v>
      </c>
      <c r="C138" s="47" t="s">
        <v>250</v>
      </c>
      <c r="D138" s="102">
        <v>10.5</v>
      </c>
      <c r="E138" s="102">
        <v>28.5</v>
      </c>
      <c r="F138" s="94">
        <v>174.86</v>
      </c>
      <c r="G138" s="94">
        <v>174.86</v>
      </c>
      <c r="H138" s="94">
        <f t="shared" si="2"/>
        <v>299.25</v>
      </c>
      <c r="I138" s="95">
        <v>19</v>
      </c>
      <c r="J138" t="s">
        <v>254</v>
      </c>
      <c r="K138" t="s">
        <v>240</v>
      </c>
      <c r="L138" s="46" t="s">
        <v>1</v>
      </c>
      <c r="N138" t="s">
        <v>7316</v>
      </c>
      <c r="O138" t="s">
        <v>7316</v>
      </c>
      <c r="R138" s="48" t="s">
        <v>8962</v>
      </c>
      <c r="S138" t="s">
        <v>8622</v>
      </c>
      <c r="T138" t="s">
        <v>8601</v>
      </c>
      <c r="U138" s="62">
        <v>7</v>
      </c>
      <c r="V138" s="62" t="s">
        <v>8601</v>
      </c>
      <c r="W138" s="160">
        <v>15000</v>
      </c>
    </row>
    <row r="139" spans="1:23">
      <c r="A139" s="83" t="s">
        <v>209</v>
      </c>
      <c r="B139" s="319">
        <v>310800</v>
      </c>
      <c r="C139" s="47" t="s">
        <v>250</v>
      </c>
      <c r="D139" s="102">
        <v>10.5</v>
      </c>
      <c r="E139" s="102">
        <v>29</v>
      </c>
      <c r="F139" s="94">
        <v>174.86</v>
      </c>
      <c r="G139" s="94">
        <v>174.86</v>
      </c>
      <c r="H139" s="94">
        <f t="shared" si="2"/>
        <v>304.5</v>
      </c>
      <c r="I139" s="95">
        <v>19</v>
      </c>
      <c r="J139" t="s">
        <v>254</v>
      </c>
      <c r="K139" t="s">
        <v>10768</v>
      </c>
      <c r="L139" s="46">
        <v>5000</v>
      </c>
      <c r="N139" t="s">
        <v>7316</v>
      </c>
      <c r="O139" t="s">
        <v>7316</v>
      </c>
      <c r="R139" s="48" t="s">
        <v>8962</v>
      </c>
      <c r="S139" t="s">
        <v>8622</v>
      </c>
      <c r="T139" t="s">
        <v>8634</v>
      </c>
      <c r="U139" s="62">
        <v>7.2</v>
      </c>
      <c r="V139" s="62" t="s">
        <v>8602</v>
      </c>
      <c r="W139" s="160">
        <v>5000</v>
      </c>
    </row>
    <row r="140" spans="1:23">
      <c r="A140" s="83" t="s">
        <v>8227</v>
      </c>
      <c r="B140" s="319">
        <v>323600</v>
      </c>
      <c r="C140" s="47" t="s">
        <v>250</v>
      </c>
      <c r="D140" s="102">
        <v>10.5</v>
      </c>
      <c r="E140" s="102">
        <v>28.5</v>
      </c>
      <c r="F140" s="94">
        <v>174.86</v>
      </c>
      <c r="G140" s="94">
        <v>174.86</v>
      </c>
      <c r="H140" s="94">
        <f t="shared" si="2"/>
        <v>299.25</v>
      </c>
      <c r="I140" s="95">
        <v>19</v>
      </c>
      <c r="J140" t="s">
        <v>8228</v>
      </c>
      <c r="K140" t="s">
        <v>241</v>
      </c>
      <c r="L140" s="46" t="s">
        <v>1</v>
      </c>
      <c r="N140" t="s">
        <v>7316</v>
      </c>
      <c r="O140" t="s">
        <v>7316</v>
      </c>
      <c r="R140" s="48" t="s">
        <v>8962</v>
      </c>
      <c r="S140" t="s">
        <v>8623</v>
      </c>
      <c r="T140" t="s">
        <v>8629</v>
      </c>
      <c r="U140" s="62">
        <v>7.2</v>
      </c>
      <c r="V140" s="62" t="s">
        <v>8602</v>
      </c>
      <c r="W140" s="160">
        <v>5000</v>
      </c>
    </row>
    <row r="141" spans="1:23">
      <c r="A141" s="83" t="s">
        <v>8227</v>
      </c>
      <c r="B141" s="319">
        <v>323600</v>
      </c>
      <c r="C141" s="47" t="s">
        <v>250</v>
      </c>
      <c r="D141" s="102">
        <v>10.5</v>
      </c>
      <c r="E141" s="102">
        <v>28.5</v>
      </c>
      <c r="F141" s="94">
        <v>174.86</v>
      </c>
      <c r="G141" s="94">
        <v>174.86</v>
      </c>
      <c r="H141" s="94">
        <f t="shared" si="2"/>
        <v>299.25</v>
      </c>
      <c r="I141" s="95">
        <v>19</v>
      </c>
      <c r="J141" t="s">
        <v>8228</v>
      </c>
      <c r="K141" t="s">
        <v>10765</v>
      </c>
      <c r="L141" s="46">
        <v>2900</v>
      </c>
      <c r="N141" t="s">
        <v>7316</v>
      </c>
      <c r="O141" t="s">
        <v>7316</v>
      </c>
      <c r="R141" s="48" t="s">
        <v>8962</v>
      </c>
      <c r="S141" t="s">
        <v>8623</v>
      </c>
      <c r="T141" t="s">
        <v>8630</v>
      </c>
      <c r="U141" s="62">
        <v>7</v>
      </c>
      <c r="V141" s="62" t="s">
        <v>8601</v>
      </c>
      <c r="W141" s="160">
        <v>15000</v>
      </c>
    </row>
    <row r="142" spans="1:23">
      <c r="A142" s="83" t="s">
        <v>8227</v>
      </c>
      <c r="B142" s="319">
        <v>323600</v>
      </c>
      <c r="C142" s="47" t="s">
        <v>250</v>
      </c>
      <c r="D142" s="102">
        <v>10.5</v>
      </c>
      <c r="E142" s="102">
        <v>28.5</v>
      </c>
      <c r="F142" s="94">
        <v>174.86</v>
      </c>
      <c r="G142" s="94">
        <v>174.86</v>
      </c>
      <c r="H142" s="94">
        <f t="shared" si="2"/>
        <v>299.25</v>
      </c>
      <c r="I142" s="95">
        <v>19</v>
      </c>
      <c r="J142" t="s">
        <v>8228</v>
      </c>
      <c r="K142" t="s">
        <v>242</v>
      </c>
      <c r="L142" s="46">
        <v>1000</v>
      </c>
      <c r="N142" t="s">
        <v>7316</v>
      </c>
      <c r="O142" t="s">
        <v>7316</v>
      </c>
      <c r="R142" s="48" t="s">
        <v>8962</v>
      </c>
      <c r="S142" t="s">
        <v>8623</v>
      </c>
      <c r="T142" t="s">
        <v>8635</v>
      </c>
      <c r="U142" s="62">
        <v>7.1</v>
      </c>
      <c r="V142" s="62" t="s">
        <v>8601</v>
      </c>
      <c r="W142" s="160">
        <v>15000</v>
      </c>
    </row>
    <row r="143" spans="1:23">
      <c r="A143" s="83" t="s">
        <v>8227</v>
      </c>
      <c r="B143" s="319">
        <v>323600</v>
      </c>
      <c r="C143" s="47" t="s">
        <v>250</v>
      </c>
      <c r="D143" s="102">
        <v>10.5</v>
      </c>
      <c r="E143" s="102">
        <v>28.5</v>
      </c>
      <c r="F143" s="94">
        <v>174.86</v>
      </c>
      <c r="G143" s="94">
        <v>174.86</v>
      </c>
      <c r="H143" s="94">
        <f t="shared" si="2"/>
        <v>299.25</v>
      </c>
      <c r="I143" s="95">
        <v>19</v>
      </c>
      <c r="J143" t="s">
        <v>8228</v>
      </c>
      <c r="K143" t="s">
        <v>10767</v>
      </c>
      <c r="L143" s="46">
        <v>2500</v>
      </c>
      <c r="N143" t="s">
        <v>7316</v>
      </c>
      <c r="O143" t="s">
        <v>7316</v>
      </c>
      <c r="P143" t="s">
        <v>7318</v>
      </c>
      <c r="R143" s="48" t="s">
        <v>8962</v>
      </c>
      <c r="S143" t="s">
        <v>8623</v>
      </c>
      <c r="T143" t="s">
        <v>8631</v>
      </c>
      <c r="U143" s="62">
        <v>7.2</v>
      </c>
      <c r="V143" s="62" t="s">
        <v>8602</v>
      </c>
      <c r="W143" s="160">
        <v>5000</v>
      </c>
    </row>
    <row r="144" spans="1:23">
      <c r="A144" s="83" t="s">
        <v>8227</v>
      </c>
      <c r="B144" s="319">
        <v>323600</v>
      </c>
      <c r="C144" s="47" t="s">
        <v>250</v>
      </c>
      <c r="D144" s="102">
        <v>10.5</v>
      </c>
      <c r="E144" s="102">
        <v>28.5</v>
      </c>
      <c r="F144" s="94">
        <v>174.86</v>
      </c>
      <c r="G144" s="94">
        <v>174.86</v>
      </c>
      <c r="H144" s="94">
        <f t="shared" si="2"/>
        <v>299.25</v>
      </c>
      <c r="I144" s="95">
        <v>19</v>
      </c>
      <c r="J144" t="s">
        <v>8228</v>
      </c>
      <c r="K144" t="s">
        <v>10766</v>
      </c>
      <c r="L144" s="309">
        <v>2900</v>
      </c>
      <c r="N144" t="s">
        <v>7316</v>
      </c>
      <c r="O144" t="s">
        <v>7316</v>
      </c>
      <c r="R144" s="48" t="s">
        <v>8962</v>
      </c>
      <c r="S144" t="s">
        <v>8623</v>
      </c>
      <c r="T144" t="s">
        <v>8632</v>
      </c>
      <c r="U144" s="62">
        <v>7.3</v>
      </c>
      <c r="V144" s="62" t="s">
        <v>8602</v>
      </c>
      <c r="W144" s="160">
        <v>5000</v>
      </c>
    </row>
    <row r="145" spans="1:23">
      <c r="A145" s="83" t="s">
        <v>8227</v>
      </c>
      <c r="B145" s="319">
        <v>323600</v>
      </c>
      <c r="C145" s="47" t="s">
        <v>250</v>
      </c>
      <c r="D145" s="102">
        <v>10.5</v>
      </c>
      <c r="E145" s="102">
        <v>28.5</v>
      </c>
      <c r="F145" s="94">
        <v>174.86</v>
      </c>
      <c r="G145" s="94">
        <v>174.86</v>
      </c>
      <c r="H145" s="94">
        <f t="shared" si="2"/>
        <v>299.25</v>
      </c>
      <c r="I145" s="95">
        <v>19</v>
      </c>
      <c r="J145" t="s">
        <v>8228</v>
      </c>
      <c r="K145" t="s">
        <v>240</v>
      </c>
      <c r="L145" s="46" t="s">
        <v>1</v>
      </c>
      <c r="N145" t="s">
        <v>7316</v>
      </c>
      <c r="O145" t="s">
        <v>7316</v>
      </c>
      <c r="R145" s="48" t="s">
        <v>8962</v>
      </c>
      <c r="S145" t="s">
        <v>8623</v>
      </c>
      <c r="T145" t="s">
        <v>8633</v>
      </c>
      <c r="U145" s="62">
        <v>7.1</v>
      </c>
      <c r="V145" s="62" t="s">
        <v>8601</v>
      </c>
      <c r="W145" s="160">
        <v>15000</v>
      </c>
    </row>
    <row r="146" spans="1:23">
      <c r="A146" s="83" t="s">
        <v>8227</v>
      </c>
      <c r="B146" s="319">
        <v>323600</v>
      </c>
      <c r="C146" s="47" t="s">
        <v>250</v>
      </c>
      <c r="D146" s="102">
        <v>10.5</v>
      </c>
      <c r="E146" s="102">
        <v>29</v>
      </c>
      <c r="F146" s="94">
        <v>174.86</v>
      </c>
      <c r="G146" s="94">
        <v>174.86</v>
      </c>
      <c r="H146" s="94">
        <f t="shared" si="2"/>
        <v>304.5</v>
      </c>
      <c r="I146" s="95">
        <v>19</v>
      </c>
      <c r="J146" t="s">
        <v>8228</v>
      </c>
      <c r="K146" t="s">
        <v>10768</v>
      </c>
      <c r="L146" s="46">
        <v>5000</v>
      </c>
      <c r="N146" t="s">
        <v>7316</v>
      </c>
      <c r="O146" t="s">
        <v>7316</v>
      </c>
      <c r="R146" s="48" t="s">
        <v>8962</v>
      </c>
      <c r="S146" t="s">
        <v>8623</v>
      </c>
      <c r="T146" t="s">
        <v>8601</v>
      </c>
      <c r="U146" s="62">
        <v>7.1</v>
      </c>
      <c r="V146" s="62" t="s">
        <v>8601</v>
      </c>
      <c r="W146" s="160">
        <v>15000</v>
      </c>
    </row>
    <row r="147" spans="1:23">
      <c r="A147" s="83" t="s">
        <v>216</v>
      </c>
      <c r="B147" s="319">
        <v>317800</v>
      </c>
      <c r="C147" s="47" t="s">
        <v>250</v>
      </c>
      <c r="D147" s="102">
        <v>12.5</v>
      </c>
      <c r="E147" s="102">
        <v>26</v>
      </c>
      <c r="F147" s="94">
        <v>190.57</v>
      </c>
      <c r="G147" s="94">
        <v>190.57</v>
      </c>
      <c r="H147" s="94">
        <f t="shared" si="2"/>
        <v>325</v>
      </c>
      <c r="I147" s="95">
        <v>20</v>
      </c>
      <c r="J147" t="s">
        <v>253</v>
      </c>
      <c r="K147" t="s">
        <v>241</v>
      </c>
      <c r="L147" s="46" t="s">
        <v>1</v>
      </c>
      <c r="N147" t="s">
        <v>7316</v>
      </c>
      <c r="O147" t="s">
        <v>7316</v>
      </c>
      <c r="R147" s="48" t="s">
        <v>8962</v>
      </c>
      <c r="S147" t="s">
        <v>8623</v>
      </c>
      <c r="T147" t="s">
        <v>8634</v>
      </c>
      <c r="U147" s="62">
        <v>7.1</v>
      </c>
      <c r="V147" s="62" t="s">
        <v>8601</v>
      </c>
      <c r="W147" s="160">
        <v>15000</v>
      </c>
    </row>
    <row r="148" spans="1:23">
      <c r="A148" s="83" t="s">
        <v>216</v>
      </c>
      <c r="B148" s="319">
        <v>317800</v>
      </c>
      <c r="C148" s="47" t="s">
        <v>250</v>
      </c>
      <c r="D148" s="102">
        <v>12.5</v>
      </c>
      <c r="E148" s="102">
        <v>26</v>
      </c>
      <c r="F148" s="94">
        <v>190.57</v>
      </c>
      <c r="G148" s="94">
        <v>190.57</v>
      </c>
      <c r="H148" s="94">
        <f t="shared" si="2"/>
        <v>325</v>
      </c>
      <c r="I148" s="95">
        <v>20</v>
      </c>
      <c r="J148" t="s">
        <v>253</v>
      </c>
      <c r="K148" t="s">
        <v>10765</v>
      </c>
      <c r="L148" s="46">
        <v>2900</v>
      </c>
      <c r="N148" t="s">
        <v>7316</v>
      </c>
      <c r="O148" t="s">
        <v>7316</v>
      </c>
      <c r="R148" s="48" t="s">
        <v>8964</v>
      </c>
      <c r="S148" t="s">
        <v>8622</v>
      </c>
      <c r="T148" t="s">
        <v>8629</v>
      </c>
      <c r="U148" s="62">
        <v>7.4</v>
      </c>
      <c r="V148" s="62" t="s">
        <v>8602</v>
      </c>
      <c r="W148" s="160">
        <v>5000</v>
      </c>
    </row>
    <row r="149" spans="1:23">
      <c r="A149" s="83" t="s">
        <v>216</v>
      </c>
      <c r="B149" s="319">
        <v>317800</v>
      </c>
      <c r="C149" s="47" t="s">
        <v>250</v>
      </c>
      <c r="D149" s="102">
        <v>12.5</v>
      </c>
      <c r="E149" s="102">
        <v>26</v>
      </c>
      <c r="F149" s="94">
        <v>190.57</v>
      </c>
      <c r="G149" s="94">
        <v>190.57</v>
      </c>
      <c r="H149" s="94">
        <f t="shared" si="2"/>
        <v>325</v>
      </c>
      <c r="I149" s="95">
        <v>20</v>
      </c>
      <c r="J149" t="s">
        <v>253</v>
      </c>
      <c r="K149" t="s">
        <v>242</v>
      </c>
      <c r="L149" s="46">
        <v>1000</v>
      </c>
      <c r="N149" t="s">
        <v>7316</v>
      </c>
      <c r="O149" t="s">
        <v>7316</v>
      </c>
      <c r="R149" s="48" t="s">
        <v>8964</v>
      </c>
      <c r="S149" t="s">
        <v>8622</v>
      </c>
      <c r="T149" t="s">
        <v>8630</v>
      </c>
      <c r="U149" s="62">
        <v>7.2</v>
      </c>
      <c r="V149" s="62" t="s">
        <v>8602</v>
      </c>
      <c r="W149" s="160">
        <v>5000</v>
      </c>
    </row>
    <row r="150" spans="1:23">
      <c r="A150" s="83" t="s">
        <v>216</v>
      </c>
      <c r="B150" s="319">
        <v>317800</v>
      </c>
      <c r="C150" s="47" t="s">
        <v>250</v>
      </c>
      <c r="D150" s="102">
        <v>12.5</v>
      </c>
      <c r="E150" s="102">
        <v>26</v>
      </c>
      <c r="F150" s="94">
        <v>190.57</v>
      </c>
      <c r="G150" s="94">
        <v>190.57</v>
      </c>
      <c r="H150" s="94">
        <f t="shared" si="2"/>
        <v>325</v>
      </c>
      <c r="I150" s="95">
        <v>20</v>
      </c>
      <c r="J150" t="s">
        <v>253</v>
      </c>
      <c r="K150" t="s">
        <v>10767</v>
      </c>
      <c r="L150" s="46">
        <v>2500</v>
      </c>
      <c r="N150" t="s">
        <v>7316</v>
      </c>
      <c r="O150" t="s">
        <v>7316</v>
      </c>
      <c r="P150" t="s">
        <v>7318</v>
      </c>
      <c r="R150" s="48" t="s">
        <v>8964</v>
      </c>
      <c r="S150" t="s">
        <v>8622</v>
      </c>
      <c r="T150" t="s">
        <v>8635</v>
      </c>
      <c r="U150" s="62">
        <v>7.1</v>
      </c>
      <c r="V150" s="62" t="s">
        <v>8601</v>
      </c>
      <c r="W150" s="160">
        <v>15000</v>
      </c>
    </row>
    <row r="151" spans="1:23">
      <c r="A151" s="83" t="s">
        <v>216</v>
      </c>
      <c r="B151" s="319">
        <v>317800</v>
      </c>
      <c r="C151" s="47" t="s">
        <v>250</v>
      </c>
      <c r="D151" s="102">
        <v>12.5</v>
      </c>
      <c r="E151" s="102">
        <v>26</v>
      </c>
      <c r="F151" s="94">
        <v>190.57</v>
      </c>
      <c r="G151" s="94">
        <v>190.57</v>
      </c>
      <c r="H151" s="94">
        <f t="shared" si="2"/>
        <v>325</v>
      </c>
      <c r="I151" s="95">
        <v>20</v>
      </c>
      <c r="J151" t="s">
        <v>253</v>
      </c>
      <c r="K151" t="s">
        <v>10766</v>
      </c>
      <c r="L151" s="309">
        <v>2900</v>
      </c>
      <c r="N151" t="s">
        <v>7316</v>
      </c>
      <c r="O151" t="s">
        <v>7316</v>
      </c>
      <c r="R151" s="48" t="s">
        <v>8964</v>
      </c>
      <c r="S151" t="s">
        <v>8622</v>
      </c>
      <c r="T151" t="s">
        <v>8631</v>
      </c>
      <c r="U151" s="62">
        <v>7.1</v>
      </c>
      <c r="V151" s="62" t="s">
        <v>8601</v>
      </c>
      <c r="W151" s="160">
        <v>15000</v>
      </c>
    </row>
    <row r="152" spans="1:23">
      <c r="A152" s="83" t="s">
        <v>216</v>
      </c>
      <c r="B152" s="319">
        <v>317800</v>
      </c>
      <c r="C152" s="47" t="s">
        <v>250</v>
      </c>
      <c r="D152" s="102">
        <v>12.5</v>
      </c>
      <c r="E152" s="102">
        <v>26</v>
      </c>
      <c r="F152" s="94">
        <v>190.57</v>
      </c>
      <c r="G152" s="94">
        <v>190.57</v>
      </c>
      <c r="H152" s="94">
        <f t="shared" si="2"/>
        <v>325</v>
      </c>
      <c r="I152" s="95">
        <v>20</v>
      </c>
      <c r="J152" t="s">
        <v>253</v>
      </c>
      <c r="K152" t="s">
        <v>240</v>
      </c>
      <c r="L152" s="46" t="s">
        <v>1</v>
      </c>
      <c r="N152" t="s">
        <v>7316</v>
      </c>
      <c r="O152" t="s">
        <v>7316</v>
      </c>
      <c r="R152" s="48" t="s">
        <v>8964</v>
      </c>
      <c r="S152" t="s">
        <v>8622</v>
      </c>
      <c r="T152" t="s">
        <v>8632</v>
      </c>
      <c r="U152" s="62">
        <v>7.2</v>
      </c>
      <c r="V152" s="62" t="s">
        <v>8601</v>
      </c>
      <c r="W152" s="160">
        <v>15000</v>
      </c>
    </row>
    <row r="153" spans="1:23">
      <c r="A153" s="83" t="s">
        <v>216</v>
      </c>
      <c r="B153" s="319">
        <v>317800</v>
      </c>
      <c r="C153" s="47" t="s">
        <v>250</v>
      </c>
      <c r="D153" s="102">
        <v>12.5</v>
      </c>
      <c r="E153" s="102">
        <v>26.5</v>
      </c>
      <c r="F153" s="94">
        <v>190.57</v>
      </c>
      <c r="G153" s="94">
        <v>190.57</v>
      </c>
      <c r="H153" s="94">
        <f t="shared" si="2"/>
        <v>331.25</v>
      </c>
      <c r="I153" s="95">
        <v>20</v>
      </c>
      <c r="J153" t="s">
        <v>253</v>
      </c>
      <c r="K153" t="s">
        <v>10768</v>
      </c>
      <c r="L153" s="46">
        <v>5000</v>
      </c>
      <c r="N153" t="s">
        <v>7316</v>
      </c>
      <c r="O153" t="s">
        <v>7316</v>
      </c>
      <c r="R153" s="48" t="s">
        <v>8964</v>
      </c>
      <c r="S153" t="s">
        <v>8622</v>
      </c>
      <c r="T153" t="s">
        <v>8633</v>
      </c>
      <c r="U153" s="62">
        <v>7</v>
      </c>
      <c r="V153" s="62" t="s">
        <v>8601</v>
      </c>
      <c r="W153" s="160">
        <v>15000</v>
      </c>
    </row>
    <row r="154" spans="1:23">
      <c r="A154" s="83" t="s">
        <v>215</v>
      </c>
      <c r="B154" s="319">
        <v>317800</v>
      </c>
      <c r="C154" s="47" t="s">
        <v>250</v>
      </c>
      <c r="D154" s="102">
        <v>12.5</v>
      </c>
      <c r="E154" s="102">
        <v>26</v>
      </c>
      <c r="F154" s="94">
        <v>190.43</v>
      </c>
      <c r="G154" s="94">
        <v>190.43</v>
      </c>
      <c r="H154" s="94">
        <f t="shared" si="2"/>
        <v>325</v>
      </c>
      <c r="I154" s="95">
        <v>20</v>
      </c>
      <c r="J154" t="s">
        <v>253</v>
      </c>
      <c r="K154" t="s">
        <v>241</v>
      </c>
      <c r="L154" s="46" t="s">
        <v>1</v>
      </c>
      <c r="N154" t="s">
        <v>7316</v>
      </c>
      <c r="O154" t="s">
        <v>7316</v>
      </c>
      <c r="R154" s="48" t="s">
        <v>8964</v>
      </c>
      <c r="S154" t="s">
        <v>8622</v>
      </c>
      <c r="T154" t="s">
        <v>8601</v>
      </c>
      <c r="U154" s="62">
        <v>7</v>
      </c>
      <c r="V154" s="62" t="s">
        <v>8601</v>
      </c>
      <c r="W154" s="160">
        <v>15000</v>
      </c>
    </row>
    <row r="155" spans="1:23">
      <c r="A155" s="83" t="s">
        <v>215</v>
      </c>
      <c r="B155" s="319">
        <v>317800</v>
      </c>
      <c r="C155" s="47" t="s">
        <v>250</v>
      </c>
      <c r="D155" s="102">
        <v>12.5</v>
      </c>
      <c r="E155" s="102">
        <v>26</v>
      </c>
      <c r="F155" s="94">
        <v>190.43</v>
      </c>
      <c r="G155" s="94">
        <v>190.43</v>
      </c>
      <c r="H155" s="94">
        <f t="shared" si="2"/>
        <v>325</v>
      </c>
      <c r="I155" s="95">
        <v>20</v>
      </c>
      <c r="J155" t="s">
        <v>253</v>
      </c>
      <c r="K155" t="s">
        <v>10765</v>
      </c>
      <c r="L155" s="46">
        <v>2900</v>
      </c>
      <c r="N155" t="s">
        <v>7316</v>
      </c>
      <c r="O155" t="s">
        <v>7316</v>
      </c>
      <c r="R155" s="48" t="s">
        <v>8964</v>
      </c>
      <c r="S155" t="s">
        <v>8622</v>
      </c>
      <c r="T155" t="s">
        <v>8634</v>
      </c>
      <c r="U155" s="62">
        <v>7.2</v>
      </c>
      <c r="V155" s="62" t="s">
        <v>8602</v>
      </c>
      <c r="W155" s="160">
        <v>5000</v>
      </c>
    </row>
    <row r="156" spans="1:23">
      <c r="A156" s="83" t="s">
        <v>215</v>
      </c>
      <c r="B156" s="319">
        <v>317800</v>
      </c>
      <c r="C156" s="47" t="s">
        <v>250</v>
      </c>
      <c r="D156" s="102">
        <v>12.5</v>
      </c>
      <c r="E156" s="102">
        <v>26</v>
      </c>
      <c r="F156" s="94">
        <v>190.43</v>
      </c>
      <c r="G156" s="94">
        <v>190.43</v>
      </c>
      <c r="H156" s="94">
        <f t="shared" si="2"/>
        <v>325</v>
      </c>
      <c r="I156" s="95">
        <v>20</v>
      </c>
      <c r="J156" t="s">
        <v>253</v>
      </c>
      <c r="K156" t="s">
        <v>242</v>
      </c>
      <c r="L156" s="46">
        <v>1000</v>
      </c>
      <c r="N156" t="s">
        <v>7316</v>
      </c>
      <c r="O156" t="s">
        <v>7316</v>
      </c>
      <c r="R156" s="48" t="s">
        <v>8964</v>
      </c>
      <c r="S156" t="s">
        <v>8623</v>
      </c>
      <c r="T156" t="s">
        <v>8629</v>
      </c>
      <c r="U156" s="62">
        <v>7.2</v>
      </c>
      <c r="V156" s="62" t="s">
        <v>8602</v>
      </c>
      <c r="W156" s="160">
        <v>5000</v>
      </c>
    </row>
    <row r="157" spans="1:23">
      <c r="A157" s="83" t="s">
        <v>215</v>
      </c>
      <c r="B157" s="319">
        <v>317800</v>
      </c>
      <c r="C157" s="47" t="s">
        <v>250</v>
      </c>
      <c r="D157" s="102">
        <v>12.5</v>
      </c>
      <c r="E157" s="102">
        <v>26</v>
      </c>
      <c r="F157" s="94">
        <v>190.43</v>
      </c>
      <c r="G157" s="94">
        <v>190.43</v>
      </c>
      <c r="H157" s="94">
        <f t="shared" si="2"/>
        <v>325</v>
      </c>
      <c r="I157" s="95">
        <v>20</v>
      </c>
      <c r="J157" t="s">
        <v>253</v>
      </c>
      <c r="K157" t="s">
        <v>10767</v>
      </c>
      <c r="L157" s="46">
        <v>2500</v>
      </c>
      <c r="N157" t="s">
        <v>7316</v>
      </c>
      <c r="O157" t="s">
        <v>7316</v>
      </c>
      <c r="P157" t="s">
        <v>7318</v>
      </c>
      <c r="R157" s="48" t="s">
        <v>8964</v>
      </c>
      <c r="S157" t="s">
        <v>8623</v>
      </c>
      <c r="T157" t="s">
        <v>8630</v>
      </c>
      <c r="U157" s="62">
        <v>7</v>
      </c>
      <c r="V157" s="62" t="s">
        <v>8601</v>
      </c>
      <c r="W157" s="160">
        <v>15000</v>
      </c>
    </row>
    <row r="158" spans="1:23">
      <c r="A158" s="83" t="s">
        <v>215</v>
      </c>
      <c r="B158" s="319">
        <v>317800</v>
      </c>
      <c r="C158" s="47" t="s">
        <v>250</v>
      </c>
      <c r="D158" s="102">
        <v>12.5</v>
      </c>
      <c r="E158" s="102">
        <v>26</v>
      </c>
      <c r="F158" s="94">
        <v>190.43</v>
      </c>
      <c r="G158" s="94">
        <v>190.43</v>
      </c>
      <c r="H158" s="94">
        <f t="shared" si="2"/>
        <v>325</v>
      </c>
      <c r="I158" s="95">
        <v>20</v>
      </c>
      <c r="J158" t="s">
        <v>253</v>
      </c>
      <c r="K158" t="s">
        <v>10766</v>
      </c>
      <c r="L158" s="309">
        <v>2900</v>
      </c>
      <c r="N158" t="s">
        <v>7316</v>
      </c>
      <c r="O158" t="s">
        <v>7316</v>
      </c>
      <c r="R158" s="48" t="s">
        <v>8964</v>
      </c>
      <c r="S158" t="s">
        <v>8623</v>
      </c>
      <c r="T158" t="s">
        <v>8635</v>
      </c>
      <c r="U158" s="62">
        <v>7.1</v>
      </c>
      <c r="V158" s="62" t="s">
        <v>8601</v>
      </c>
      <c r="W158" s="160">
        <v>15000</v>
      </c>
    </row>
    <row r="159" spans="1:23">
      <c r="A159" s="83" t="s">
        <v>215</v>
      </c>
      <c r="B159" s="319">
        <v>317800</v>
      </c>
      <c r="C159" s="47" t="s">
        <v>250</v>
      </c>
      <c r="D159" s="102">
        <v>12.5</v>
      </c>
      <c r="E159" s="102">
        <v>26</v>
      </c>
      <c r="F159" s="94">
        <v>190.43</v>
      </c>
      <c r="G159" s="94">
        <v>190.43</v>
      </c>
      <c r="H159" s="94">
        <f t="shared" si="2"/>
        <v>325</v>
      </c>
      <c r="I159" s="95">
        <v>20</v>
      </c>
      <c r="J159" t="s">
        <v>253</v>
      </c>
      <c r="K159" t="s">
        <v>240</v>
      </c>
      <c r="L159" s="46" t="s">
        <v>1</v>
      </c>
      <c r="N159" t="s">
        <v>7316</v>
      </c>
      <c r="O159" t="s">
        <v>7316</v>
      </c>
      <c r="R159" s="48" t="s">
        <v>8964</v>
      </c>
      <c r="S159" t="s">
        <v>8623</v>
      </c>
      <c r="T159" t="s">
        <v>8631</v>
      </c>
      <c r="U159" s="62">
        <v>7.2</v>
      </c>
      <c r="V159" s="62" t="s">
        <v>8602</v>
      </c>
      <c r="W159" s="160">
        <v>5000</v>
      </c>
    </row>
    <row r="160" spans="1:23">
      <c r="A160" s="83" t="s">
        <v>215</v>
      </c>
      <c r="B160" s="319">
        <v>317800</v>
      </c>
      <c r="C160" s="47" t="s">
        <v>250</v>
      </c>
      <c r="D160" s="102">
        <v>12.5</v>
      </c>
      <c r="E160" s="102">
        <v>26.5</v>
      </c>
      <c r="F160" s="94">
        <v>190.43</v>
      </c>
      <c r="G160" s="94">
        <v>190.43</v>
      </c>
      <c r="H160" s="94">
        <f t="shared" si="2"/>
        <v>331.25</v>
      </c>
      <c r="I160" s="95">
        <v>20</v>
      </c>
      <c r="J160" t="s">
        <v>253</v>
      </c>
      <c r="K160" t="s">
        <v>10768</v>
      </c>
      <c r="L160" s="46">
        <v>5000</v>
      </c>
      <c r="N160" t="s">
        <v>7316</v>
      </c>
      <c r="O160" t="s">
        <v>7316</v>
      </c>
      <c r="R160" s="48" t="s">
        <v>8964</v>
      </c>
      <c r="S160" t="s">
        <v>8623</v>
      </c>
      <c r="T160" t="s">
        <v>8632</v>
      </c>
      <c r="U160" s="62">
        <v>7.3</v>
      </c>
      <c r="V160" s="62" t="s">
        <v>8602</v>
      </c>
      <c r="W160" s="160">
        <v>5000</v>
      </c>
    </row>
    <row r="161" spans="1:24">
      <c r="A161" s="83" t="s">
        <v>9780</v>
      </c>
      <c r="B161" s="319">
        <v>391800</v>
      </c>
      <c r="C161" s="47" t="s">
        <v>251</v>
      </c>
      <c r="D161" s="102">
        <v>14</v>
      </c>
      <c r="E161" s="102">
        <v>16</v>
      </c>
      <c r="F161" s="94">
        <v>66.5</v>
      </c>
      <c r="G161" s="94">
        <v>190.13</v>
      </c>
      <c r="H161" s="94">
        <f t="shared" si="2"/>
        <v>224</v>
      </c>
      <c r="I161" s="95">
        <v>20</v>
      </c>
      <c r="J161" t="s">
        <v>9781</v>
      </c>
      <c r="K161" t="s">
        <v>244</v>
      </c>
      <c r="L161" s="46">
        <v>3900</v>
      </c>
      <c r="O161" s="46"/>
      <c r="P161" t="s">
        <v>9782</v>
      </c>
      <c r="R161" s="48" t="s">
        <v>8964</v>
      </c>
      <c r="S161" t="s">
        <v>8623</v>
      </c>
      <c r="T161" t="s">
        <v>8633</v>
      </c>
      <c r="U161" s="62">
        <v>7.1</v>
      </c>
      <c r="V161" s="62" t="s">
        <v>8601</v>
      </c>
      <c r="W161" s="160">
        <v>15000</v>
      </c>
    </row>
    <row r="162" spans="1:24">
      <c r="A162" s="83" t="s">
        <v>9780</v>
      </c>
      <c r="B162" s="319">
        <v>391800</v>
      </c>
      <c r="C162" s="47" t="s">
        <v>251</v>
      </c>
      <c r="D162" s="102">
        <v>14</v>
      </c>
      <c r="E162" s="102">
        <v>16</v>
      </c>
      <c r="F162" s="94">
        <v>66.5</v>
      </c>
      <c r="G162" s="94">
        <v>190.13</v>
      </c>
      <c r="H162" s="94">
        <f t="shared" si="2"/>
        <v>224</v>
      </c>
      <c r="I162" s="95">
        <v>20</v>
      </c>
      <c r="J162" t="s">
        <v>9781</v>
      </c>
      <c r="K162" t="s">
        <v>247</v>
      </c>
      <c r="L162" s="46">
        <v>19900</v>
      </c>
      <c r="O162" s="46"/>
      <c r="R162" s="48" t="s">
        <v>8964</v>
      </c>
      <c r="S162" t="s">
        <v>8623</v>
      </c>
      <c r="T162" t="s">
        <v>8601</v>
      </c>
      <c r="U162" s="62">
        <v>7.1</v>
      </c>
      <c r="V162" s="62" t="s">
        <v>8601</v>
      </c>
      <c r="W162" s="160">
        <v>15000</v>
      </c>
    </row>
    <row r="163" spans="1:24">
      <c r="A163" s="83" t="s">
        <v>9780</v>
      </c>
      <c r="B163" s="319">
        <v>391800</v>
      </c>
      <c r="C163" s="47" t="s">
        <v>251</v>
      </c>
      <c r="D163" s="102">
        <v>14</v>
      </c>
      <c r="E163" s="102">
        <v>16</v>
      </c>
      <c r="F163" s="94">
        <v>66.5</v>
      </c>
      <c r="G163" s="94">
        <v>190.13</v>
      </c>
      <c r="H163" s="94">
        <f t="shared" si="2"/>
        <v>224</v>
      </c>
      <c r="I163" s="95">
        <v>20</v>
      </c>
      <c r="J163" t="s">
        <v>9781</v>
      </c>
      <c r="K163" t="s">
        <v>245</v>
      </c>
      <c r="L163" s="46">
        <v>4900</v>
      </c>
      <c r="O163" s="46"/>
      <c r="R163" s="48" t="s">
        <v>8964</v>
      </c>
      <c r="S163" t="s">
        <v>8623</v>
      </c>
      <c r="T163" t="s">
        <v>8634</v>
      </c>
      <c r="U163" s="62">
        <v>7.1</v>
      </c>
      <c r="V163" s="62" t="s">
        <v>8601</v>
      </c>
      <c r="W163" s="160">
        <v>15000</v>
      </c>
    </row>
    <row r="164" spans="1:24">
      <c r="A164" s="83" t="s">
        <v>9780</v>
      </c>
      <c r="B164" s="319">
        <v>391800</v>
      </c>
      <c r="C164" s="47" t="s">
        <v>251</v>
      </c>
      <c r="D164" s="102">
        <v>14</v>
      </c>
      <c r="E164" s="102">
        <v>16</v>
      </c>
      <c r="F164" s="94">
        <v>66.5</v>
      </c>
      <c r="G164" s="94">
        <v>190.13</v>
      </c>
      <c r="H164" s="94">
        <f t="shared" si="2"/>
        <v>224</v>
      </c>
      <c r="I164" s="95">
        <v>20</v>
      </c>
      <c r="J164" t="s">
        <v>9781</v>
      </c>
      <c r="K164" t="s">
        <v>246</v>
      </c>
      <c r="L164" s="46" t="s">
        <v>1</v>
      </c>
      <c r="O164" s="46"/>
      <c r="R164" s="48" t="s">
        <v>8547</v>
      </c>
      <c r="S164" t="s">
        <v>8622</v>
      </c>
      <c r="T164" t="s">
        <v>8629</v>
      </c>
      <c r="U164" s="62">
        <v>7.4</v>
      </c>
      <c r="V164" s="62" t="s">
        <v>8602</v>
      </c>
      <c r="W164" s="160">
        <v>5000</v>
      </c>
    </row>
    <row r="165" spans="1:24">
      <c r="A165" s="83" t="s">
        <v>211</v>
      </c>
      <c r="B165" s="319">
        <v>313600</v>
      </c>
      <c r="C165" s="47" t="s">
        <v>250</v>
      </c>
      <c r="D165" s="102">
        <v>12.5</v>
      </c>
      <c r="E165" s="102">
        <v>25.5</v>
      </c>
      <c r="F165" s="94">
        <v>179.61</v>
      </c>
      <c r="G165" s="94">
        <v>179.61</v>
      </c>
      <c r="H165" s="94">
        <f t="shared" si="2"/>
        <v>318.75</v>
      </c>
      <c r="I165" s="95">
        <v>19</v>
      </c>
      <c r="J165" t="s">
        <v>255</v>
      </c>
      <c r="K165" t="s">
        <v>241</v>
      </c>
      <c r="L165" s="46" t="s">
        <v>1</v>
      </c>
      <c r="N165" t="s">
        <v>7316</v>
      </c>
      <c r="O165" t="s">
        <v>7316</v>
      </c>
      <c r="R165" s="48" t="s">
        <v>8547</v>
      </c>
      <c r="S165" t="s">
        <v>8622</v>
      </c>
      <c r="T165" t="s">
        <v>8630</v>
      </c>
      <c r="U165" s="62">
        <v>7.2</v>
      </c>
      <c r="V165" s="62" t="s">
        <v>8602</v>
      </c>
      <c r="W165" s="160">
        <v>5000</v>
      </c>
    </row>
    <row r="166" spans="1:24">
      <c r="A166" s="83" t="s">
        <v>211</v>
      </c>
      <c r="B166" s="319">
        <v>313600</v>
      </c>
      <c r="C166" s="47" t="s">
        <v>250</v>
      </c>
      <c r="D166" s="102">
        <v>12.5</v>
      </c>
      <c r="E166" s="102">
        <v>25.5</v>
      </c>
      <c r="F166" s="94">
        <v>179.61</v>
      </c>
      <c r="G166" s="94">
        <v>179.61</v>
      </c>
      <c r="H166" s="94">
        <f t="shared" si="2"/>
        <v>318.75</v>
      </c>
      <c r="I166" s="95">
        <v>19</v>
      </c>
      <c r="J166" t="s">
        <v>255</v>
      </c>
      <c r="K166" t="s">
        <v>10765</v>
      </c>
      <c r="L166" s="46">
        <v>2900</v>
      </c>
      <c r="N166" t="s">
        <v>7316</v>
      </c>
      <c r="O166" t="s">
        <v>7316</v>
      </c>
      <c r="R166" s="48" t="s">
        <v>8547</v>
      </c>
      <c r="S166" t="s">
        <v>8622</v>
      </c>
      <c r="T166" t="s">
        <v>8635</v>
      </c>
      <c r="U166" s="62">
        <v>7.1</v>
      </c>
      <c r="V166" s="62" t="s">
        <v>8601</v>
      </c>
      <c r="W166" s="160">
        <v>15000</v>
      </c>
    </row>
    <row r="167" spans="1:24">
      <c r="A167" s="83" t="s">
        <v>211</v>
      </c>
      <c r="B167" s="319">
        <v>313600</v>
      </c>
      <c r="C167" s="47" t="s">
        <v>250</v>
      </c>
      <c r="D167" s="102">
        <v>12.5</v>
      </c>
      <c r="E167" s="102">
        <v>25.5</v>
      </c>
      <c r="F167" s="94">
        <v>179.61</v>
      </c>
      <c r="G167" s="94">
        <v>179.61</v>
      </c>
      <c r="H167" s="94">
        <f t="shared" si="2"/>
        <v>318.75</v>
      </c>
      <c r="I167" s="95">
        <v>19</v>
      </c>
      <c r="J167" t="s">
        <v>255</v>
      </c>
      <c r="K167" t="s">
        <v>242</v>
      </c>
      <c r="L167" s="46">
        <v>1000</v>
      </c>
      <c r="N167" t="s">
        <v>7316</v>
      </c>
      <c r="O167" t="s">
        <v>7316</v>
      </c>
      <c r="Q167" s="48"/>
      <c r="R167" s="48" t="s">
        <v>8547</v>
      </c>
      <c r="S167" t="s">
        <v>8622</v>
      </c>
      <c r="T167" t="s">
        <v>8631</v>
      </c>
      <c r="U167" s="62">
        <v>7.1</v>
      </c>
      <c r="V167" s="62" t="s">
        <v>8601</v>
      </c>
      <c r="W167" s="160">
        <v>15000</v>
      </c>
      <c r="X167" s="48"/>
    </row>
    <row r="168" spans="1:24">
      <c r="A168" s="83" t="s">
        <v>211</v>
      </c>
      <c r="B168" s="319">
        <v>313600</v>
      </c>
      <c r="C168" s="47" t="s">
        <v>250</v>
      </c>
      <c r="D168" s="102">
        <v>12.5</v>
      </c>
      <c r="E168" s="102">
        <v>25.5</v>
      </c>
      <c r="F168" s="94">
        <v>179.61</v>
      </c>
      <c r="G168" s="94">
        <v>179.61</v>
      </c>
      <c r="H168" s="94">
        <f t="shared" si="2"/>
        <v>318.75</v>
      </c>
      <c r="I168" s="95">
        <v>19</v>
      </c>
      <c r="J168" t="s">
        <v>255</v>
      </c>
      <c r="K168" t="s">
        <v>10767</v>
      </c>
      <c r="L168" s="46">
        <v>2500</v>
      </c>
      <c r="N168" t="s">
        <v>7316</v>
      </c>
      <c r="O168" t="s">
        <v>7316</v>
      </c>
      <c r="P168" t="s">
        <v>7318</v>
      </c>
      <c r="R168" s="48" t="s">
        <v>8547</v>
      </c>
      <c r="S168" t="s">
        <v>8622</v>
      </c>
      <c r="T168" t="s">
        <v>8632</v>
      </c>
      <c r="U168" s="62">
        <v>7.2</v>
      </c>
      <c r="V168" s="62" t="s">
        <v>8601</v>
      </c>
      <c r="W168" s="160">
        <v>15000</v>
      </c>
    </row>
    <row r="169" spans="1:24">
      <c r="A169" s="83" t="s">
        <v>211</v>
      </c>
      <c r="B169" s="319">
        <v>313600</v>
      </c>
      <c r="C169" s="47" t="s">
        <v>250</v>
      </c>
      <c r="D169" s="102">
        <v>12.5</v>
      </c>
      <c r="E169" s="102">
        <v>25.5</v>
      </c>
      <c r="F169" s="94">
        <v>179.61</v>
      </c>
      <c r="G169" s="94">
        <v>179.61</v>
      </c>
      <c r="H169" s="94">
        <f t="shared" si="2"/>
        <v>318.75</v>
      </c>
      <c r="I169" s="95">
        <v>19</v>
      </c>
      <c r="J169" t="s">
        <v>255</v>
      </c>
      <c r="K169" t="s">
        <v>10766</v>
      </c>
      <c r="L169" s="309">
        <v>2900</v>
      </c>
      <c r="N169" t="s">
        <v>7316</v>
      </c>
      <c r="O169" t="s">
        <v>7316</v>
      </c>
      <c r="R169" s="48" t="s">
        <v>8547</v>
      </c>
      <c r="S169" t="s">
        <v>8622</v>
      </c>
      <c r="T169" t="s">
        <v>8633</v>
      </c>
      <c r="U169" s="62">
        <v>7</v>
      </c>
      <c r="V169" s="62" t="s">
        <v>8601</v>
      </c>
      <c r="W169" s="160">
        <v>15000</v>
      </c>
    </row>
    <row r="170" spans="1:24">
      <c r="A170" s="83" t="s">
        <v>211</v>
      </c>
      <c r="B170" s="319">
        <v>313600</v>
      </c>
      <c r="C170" s="47" t="s">
        <v>250</v>
      </c>
      <c r="D170" s="102">
        <v>12.5</v>
      </c>
      <c r="E170" s="102">
        <v>25.5</v>
      </c>
      <c r="F170" s="94">
        <v>179.61</v>
      </c>
      <c r="G170" s="94">
        <v>179.61</v>
      </c>
      <c r="H170" s="94">
        <f t="shared" si="2"/>
        <v>318.75</v>
      </c>
      <c r="I170" s="95">
        <v>19</v>
      </c>
      <c r="J170" t="s">
        <v>255</v>
      </c>
      <c r="K170" t="s">
        <v>240</v>
      </c>
      <c r="L170" s="46" t="s">
        <v>1</v>
      </c>
      <c r="N170" t="s">
        <v>7316</v>
      </c>
      <c r="O170" t="s">
        <v>7316</v>
      </c>
      <c r="R170" s="48" t="s">
        <v>8547</v>
      </c>
      <c r="S170" t="s">
        <v>8622</v>
      </c>
      <c r="T170" t="s">
        <v>8601</v>
      </c>
      <c r="U170" s="62">
        <v>7</v>
      </c>
      <c r="V170" s="62" t="s">
        <v>8601</v>
      </c>
      <c r="W170" s="160">
        <v>15000</v>
      </c>
    </row>
    <row r="171" spans="1:24">
      <c r="A171" s="83" t="s">
        <v>211</v>
      </c>
      <c r="B171" s="319">
        <v>313600</v>
      </c>
      <c r="C171" s="47" t="s">
        <v>250</v>
      </c>
      <c r="D171" s="102">
        <v>12.5</v>
      </c>
      <c r="E171" s="102">
        <v>26</v>
      </c>
      <c r="F171" s="94">
        <v>179.61</v>
      </c>
      <c r="G171" s="94">
        <v>179.61</v>
      </c>
      <c r="H171" s="94">
        <f t="shared" si="2"/>
        <v>325</v>
      </c>
      <c r="I171" s="95">
        <v>19</v>
      </c>
      <c r="J171" t="s">
        <v>255</v>
      </c>
      <c r="K171" t="s">
        <v>10768</v>
      </c>
      <c r="L171" s="46">
        <v>5000</v>
      </c>
      <c r="N171" t="s">
        <v>7316</v>
      </c>
      <c r="O171" t="s">
        <v>7316</v>
      </c>
      <c r="R171" s="48" t="s">
        <v>8547</v>
      </c>
      <c r="S171" t="s">
        <v>8622</v>
      </c>
      <c r="T171" t="s">
        <v>8634</v>
      </c>
      <c r="U171" s="62">
        <v>7.2</v>
      </c>
      <c r="V171" s="62" t="s">
        <v>8602</v>
      </c>
      <c r="W171" s="160">
        <v>5000</v>
      </c>
    </row>
    <row r="172" spans="1:24">
      <c r="A172" s="83" t="s">
        <v>10247</v>
      </c>
      <c r="B172" s="319">
        <v>530000</v>
      </c>
      <c r="C172" s="47" t="s">
        <v>250</v>
      </c>
      <c r="D172" s="102">
        <v>14</v>
      </c>
      <c r="E172" s="102">
        <v>36</v>
      </c>
      <c r="F172" s="94">
        <v>293.49</v>
      </c>
      <c r="G172" s="94">
        <v>296.92</v>
      </c>
      <c r="H172" s="94">
        <f t="shared" si="2"/>
        <v>504</v>
      </c>
      <c r="I172" s="95">
        <v>32</v>
      </c>
      <c r="J172" t="s">
        <v>10248</v>
      </c>
      <c r="K172" t="s">
        <v>241</v>
      </c>
      <c r="L172" s="46" t="s">
        <v>1</v>
      </c>
      <c r="N172" t="s">
        <v>7316</v>
      </c>
      <c r="O172" s="46" t="s">
        <v>7316</v>
      </c>
      <c r="R172" s="48" t="s">
        <v>8547</v>
      </c>
      <c r="S172" t="s">
        <v>8623</v>
      </c>
      <c r="T172" t="s">
        <v>8629</v>
      </c>
      <c r="U172" s="62">
        <v>7.2</v>
      </c>
      <c r="V172" s="62" t="s">
        <v>8602</v>
      </c>
      <c r="W172" s="160">
        <v>5000</v>
      </c>
    </row>
    <row r="173" spans="1:24">
      <c r="A173" s="83" t="s">
        <v>10247</v>
      </c>
      <c r="B173" s="319">
        <v>530000</v>
      </c>
      <c r="C173" s="47" t="s">
        <v>250</v>
      </c>
      <c r="D173" s="102">
        <v>14</v>
      </c>
      <c r="E173" s="102">
        <v>36</v>
      </c>
      <c r="F173" s="94">
        <v>293.49</v>
      </c>
      <c r="G173" s="94">
        <v>296.92</v>
      </c>
      <c r="H173" s="94">
        <f t="shared" si="2"/>
        <v>504</v>
      </c>
      <c r="I173" s="95">
        <v>32</v>
      </c>
      <c r="J173" t="s">
        <v>10248</v>
      </c>
      <c r="K173" t="s">
        <v>10765</v>
      </c>
      <c r="L173" s="46">
        <v>2900</v>
      </c>
      <c r="O173" s="46"/>
      <c r="R173" s="48" t="s">
        <v>8547</v>
      </c>
      <c r="S173" t="s">
        <v>8623</v>
      </c>
      <c r="T173" t="s">
        <v>8630</v>
      </c>
      <c r="U173" s="62">
        <v>7</v>
      </c>
      <c r="V173" s="62" t="s">
        <v>8601</v>
      </c>
      <c r="W173" s="160">
        <v>15000</v>
      </c>
    </row>
    <row r="174" spans="1:24">
      <c r="A174" s="83" t="s">
        <v>10247</v>
      </c>
      <c r="B174" s="319">
        <v>530000</v>
      </c>
      <c r="C174" s="47" t="s">
        <v>250</v>
      </c>
      <c r="D174" s="102">
        <v>14</v>
      </c>
      <c r="E174" s="102">
        <v>36</v>
      </c>
      <c r="F174" s="94">
        <v>293.49</v>
      </c>
      <c r="G174" s="94">
        <v>296.92</v>
      </c>
      <c r="H174" s="94">
        <f t="shared" si="2"/>
        <v>504</v>
      </c>
      <c r="I174" s="95">
        <v>32</v>
      </c>
      <c r="J174" t="s">
        <v>10248</v>
      </c>
      <c r="K174" t="s">
        <v>242</v>
      </c>
      <c r="L174" s="46">
        <v>1000</v>
      </c>
      <c r="O174" s="46"/>
      <c r="R174" s="48" t="s">
        <v>8547</v>
      </c>
      <c r="S174" t="s">
        <v>8623</v>
      </c>
      <c r="T174" t="s">
        <v>8635</v>
      </c>
      <c r="U174" s="62">
        <v>7.1</v>
      </c>
      <c r="V174" s="62" t="s">
        <v>8601</v>
      </c>
      <c r="W174" s="160">
        <v>15000</v>
      </c>
    </row>
    <row r="175" spans="1:24">
      <c r="A175" s="83" t="s">
        <v>10247</v>
      </c>
      <c r="B175" s="319">
        <v>530000</v>
      </c>
      <c r="C175" s="47" t="s">
        <v>250</v>
      </c>
      <c r="D175" s="102">
        <v>14</v>
      </c>
      <c r="E175" s="102">
        <v>36</v>
      </c>
      <c r="F175" s="94">
        <v>293.49</v>
      </c>
      <c r="G175" s="94">
        <v>296.92</v>
      </c>
      <c r="H175" s="94">
        <f t="shared" si="2"/>
        <v>504</v>
      </c>
      <c r="I175" s="95">
        <v>32</v>
      </c>
      <c r="J175" t="s">
        <v>10248</v>
      </c>
      <c r="K175" t="s">
        <v>10767</v>
      </c>
      <c r="L175" s="46">
        <v>2500</v>
      </c>
      <c r="O175" s="46"/>
      <c r="R175" s="48" t="s">
        <v>8547</v>
      </c>
      <c r="S175" t="s">
        <v>8623</v>
      </c>
      <c r="T175" t="s">
        <v>8631</v>
      </c>
      <c r="U175" s="62">
        <v>7.2</v>
      </c>
      <c r="V175" s="62" t="s">
        <v>8602</v>
      </c>
      <c r="W175" s="160">
        <v>5000</v>
      </c>
    </row>
    <row r="176" spans="1:24">
      <c r="A176" s="83" t="s">
        <v>10247</v>
      </c>
      <c r="B176" s="319">
        <v>530000</v>
      </c>
      <c r="C176" s="47" t="s">
        <v>250</v>
      </c>
      <c r="D176" s="102">
        <v>14</v>
      </c>
      <c r="E176" s="102">
        <v>36</v>
      </c>
      <c r="F176" s="94">
        <v>293.49</v>
      </c>
      <c r="G176" s="94">
        <v>296.92</v>
      </c>
      <c r="H176" s="94">
        <f t="shared" si="2"/>
        <v>504</v>
      </c>
      <c r="I176" s="95">
        <v>32</v>
      </c>
      <c r="J176" t="s">
        <v>10248</v>
      </c>
      <c r="K176" t="s">
        <v>10766</v>
      </c>
      <c r="L176" s="46">
        <v>2900</v>
      </c>
      <c r="O176" s="46"/>
      <c r="R176" s="48" t="s">
        <v>8547</v>
      </c>
      <c r="S176" t="s">
        <v>8623</v>
      </c>
      <c r="T176" t="s">
        <v>8632</v>
      </c>
      <c r="U176" s="62">
        <v>7.3</v>
      </c>
      <c r="V176" s="62" t="s">
        <v>8602</v>
      </c>
      <c r="W176" s="160">
        <v>5000</v>
      </c>
    </row>
    <row r="177" spans="1:24">
      <c r="A177" s="83" t="s">
        <v>10247</v>
      </c>
      <c r="B177" s="319">
        <v>530000</v>
      </c>
      <c r="C177" s="47" t="s">
        <v>250</v>
      </c>
      <c r="D177" s="102">
        <v>14</v>
      </c>
      <c r="E177" s="102">
        <v>36</v>
      </c>
      <c r="F177" s="94">
        <v>293.49</v>
      </c>
      <c r="G177" s="94">
        <v>296.92</v>
      </c>
      <c r="H177" s="94">
        <f t="shared" si="2"/>
        <v>504</v>
      </c>
      <c r="I177" s="95">
        <v>32</v>
      </c>
      <c r="J177" t="s">
        <v>10248</v>
      </c>
      <c r="K177" t="s">
        <v>240</v>
      </c>
      <c r="L177" s="46" t="s">
        <v>1</v>
      </c>
      <c r="O177" s="46"/>
      <c r="R177" s="48" t="s">
        <v>8547</v>
      </c>
      <c r="S177" t="s">
        <v>8623</v>
      </c>
      <c r="T177" t="s">
        <v>8633</v>
      </c>
      <c r="U177" s="62">
        <v>7.1</v>
      </c>
      <c r="V177" s="62" t="s">
        <v>8601</v>
      </c>
      <c r="W177" s="160">
        <v>15000</v>
      </c>
    </row>
    <row r="178" spans="1:24">
      <c r="A178" s="83" t="s">
        <v>10247</v>
      </c>
      <c r="B178" s="319">
        <v>530000</v>
      </c>
      <c r="C178" s="47" t="s">
        <v>250</v>
      </c>
      <c r="D178" s="102">
        <v>14</v>
      </c>
      <c r="E178" s="102">
        <v>36</v>
      </c>
      <c r="F178" s="94">
        <v>293.49</v>
      </c>
      <c r="G178" s="94">
        <v>296.92</v>
      </c>
      <c r="H178" s="94">
        <f t="shared" si="2"/>
        <v>504</v>
      </c>
      <c r="I178" s="95">
        <v>32</v>
      </c>
      <c r="J178" t="s">
        <v>10248</v>
      </c>
      <c r="K178" t="s">
        <v>10768</v>
      </c>
      <c r="L178" s="46">
        <v>5000</v>
      </c>
      <c r="O178" s="46"/>
      <c r="Q178" s="48"/>
      <c r="R178" s="48" t="s">
        <v>8547</v>
      </c>
      <c r="S178" t="s">
        <v>8623</v>
      </c>
      <c r="T178" t="s">
        <v>8601</v>
      </c>
      <c r="U178" s="62">
        <v>7.1</v>
      </c>
      <c r="V178" s="62" t="s">
        <v>8601</v>
      </c>
      <c r="W178" s="160">
        <v>15000</v>
      </c>
      <c r="X178" s="48"/>
    </row>
    <row r="179" spans="1:24">
      <c r="A179" s="83" t="s">
        <v>207</v>
      </c>
      <c r="B179" s="319">
        <v>305400</v>
      </c>
      <c r="C179" s="47" t="s">
        <v>250</v>
      </c>
      <c r="D179" s="102">
        <v>12.5</v>
      </c>
      <c r="E179" s="102">
        <v>22</v>
      </c>
      <c r="F179" s="94">
        <v>159.13999999999999</v>
      </c>
      <c r="G179" s="94">
        <v>159.13999999999999</v>
      </c>
      <c r="H179" s="94">
        <f t="shared" si="2"/>
        <v>275</v>
      </c>
      <c r="I179" s="95">
        <v>17</v>
      </c>
      <c r="J179" t="s">
        <v>255</v>
      </c>
      <c r="K179" t="s">
        <v>241</v>
      </c>
      <c r="L179" s="46" t="s">
        <v>1</v>
      </c>
      <c r="N179" t="s">
        <v>7316</v>
      </c>
      <c r="O179" t="s">
        <v>7316</v>
      </c>
      <c r="R179" s="48" t="s">
        <v>8547</v>
      </c>
      <c r="S179" t="s">
        <v>8623</v>
      </c>
      <c r="T179" t="s">
        <v>8634</v>
      </c>
      <c r="U179" s="62">
        <v>7.1</v>
      </c>
      <c r="V179" s="62" t="s">
        <v>8601</v>
      </c>
      <c r="W179" s="160">
        <v>15000</v>
      </c>
    </row>
    <row r="180" spans="1:24">
      <c r="A180" s="83" t="s">
        <v>207</v>
      </c>
      <c r="B180" s="319">
        <v>305400</v>
      </c>
      <c r="C180" s="47" t="s">
        <v>250</v>
      </c>
      <c r="D180" s="102">
        <v>12.5</v>
      </c>
      <c r="E180" s="102">
        <v>22</v>
      </c>
      <c r="F180" s="94">
        <v>159.13999999999999</v>
      </c>
      <c r="G180" s="94">
        <v>159.13999999999999</v>
      </c>
      <c r="H180" s="94">
        <f t="shared" si="2"/>
        <v>275</v>
      </c>
      <c r="I180" s="95">
        <v>17</v>
      </c>
      <c r="J180" t="s">
        <v>255</v>
      </c>
      <c r="K180" t="s">
        <v>10765</v>
      </c>
      <c r="L180" s="46">
        <v>2900</v>
      </c>
      <c r="N180" t="s">
        <v>7316</v>
      </c>
      <c r="O180" t="s">
        <v>7316</v>
      </c>
      <c r="R180" s="48" t="s">
        <v>8495</v>
      </c>
      <c r="S180" t="s">
        <v>8622</v>
      </c>
      <c r="T180" t="s">
        <v>8629</v>
      </c>
      <c r="U180" s="62">
        <v>7.4</v>
      </c>
      <c r="V180" s="62" t="s">
        <v>8602</v>
      </c>
      <c r="W180" s="160">
        <v>5000</v>
      </c>
    </row>
    <row r="181" spans="1:24">
      <c r="A181" s="83" t="s">
        <v>207</v>
      </c>
      <c r="B181" s="319">
        <v>305400</v>
      </c>
      <c r="C181" s="47" t="s">
        <v>250</v>
      </c>
      <c r="D181" s="102">
        <v>12.5</v>
      </c>
      <c r="E181" s="102">
        <v>22</v>
      </c>
      <c r="F181" s="94">
        <v>159.13999999999999</v>
      </c>
      <c r="G181" s="94">
        <v>159.13999999999999</v>
      </c>
      <c r="H181" s="94">
        <f t="shared" si="2"/>
        <v>275</v>
      </c>
      <c r="I181" s="95">
        <v>17</v>
      </c>
      <c r="J181" t="s">
        <v>255</v>
      </c>
      <c r="K181" t="s">
        <v>242</v>
      </c>
      <c r="L181" s="46">
        <v>1000</v>
      </c>
      <c r="N181" t="s">
        <v>7316</v>
      </c>
      <c r="O181" t="s">
        <v>7316</v>
      </c>
      <c r="R181" s="48" t="s">
        <v>8495</v>
      </c>
      <c r="S181" t="s">
        <v>8622</v>
      </c>
      <c r="T181" t="s">
        <v>8630</v>
      </c>
      <c r="U181" s="62">
        <v>7.2</v>
      </c>
      <c r="V181" s="62" t="s">
        <v>8602</v>
      </c>
      <c r="W181" s="160">
        <v>5000</v>
      </c>
    </row>
    <row r="182" spans="1:24">
      <c r="A182" s="83" t="s">
        <v>207</v>
      </c>
      <c r="B182" s="319">
        <v>305400</v>
      </c>
      <c r="C182" s="47" t="s">
        <v>250</v>
      </c>
      <c r="D182" s="102">
        <v>12.5</v>
      </c>
      <c r="E182" s="102">
        <v>22</v>
      </c>
      <c r="F182" s="94">
        <v>159.13999999999999</v>
      </c>
      <c r="G182" s="94">
        <v>159.13999999999999</v>
      </c>
      <c r="H182" s="94">
        <f t="shared" si="2"/>
        <v>275</v>
      </c>
      <c r="I182" s="95">
        <v>17</v>
      </c>
      <c r="J182" t="s">
        <v>255</v>
      </c>
      <c r="K182" t="s">
        <v>10767</v>
      </c>
      <c r="L182" s="46">
        <v>2500</v>
      </c>
      <c r="N182" t="s">
        <v>7316</v>
      </c>
      <c r="O182" t="s">
        <v>7316</v>
      </c>
      <c r="P182" t="s">
        <v>7318</v>
      </c>
      <c r="R182" s="48" t="s">
        <v>8495</v>
      </c>
      <c r="S182" t="s">
        <v>8622</v>
      </c>
      <c r="T182" t="s">
        <v>8635</v>
      </c>
      <c r="U182" s="62">
        <v>7.1</v>
      </c>
      <c r="V182" s="62" t="s">
        <v>8601</v>
      </c>
      <c r="W182" s="160">
        <v>15000</v>
      </c>
    </row>
    <row r="183" spans="1:24">
      <c r="A183" s="83" t="s">
        <v>207</v>
      </c>
      <c r="B183" s="319">
        <v>305400</v>
      </c>
      <c r="C183" s="47" t="s">
        <v>250</v>
      </c>
      <c r="D183" s="102">
        <v>12.5</v>
      </c>
      <c r="E183" s="102">
        <v>22</v>
      </c>
      <c r="F183" s="94">
        <v>159.13999999999999</v>
      </c>
      <c r="G183" s="94">
        <v>159.13999999999999</v>
      </c>
      <c r="H183" s="94">
        <f t="shared" si="2"/>
        <v>275</v>
      </c>
      <c r="I183" s="95">
        <v>17</v>
      </c>
      <c r="J183" t="s">
        <v>255</v>
      </c>
      <c r="K183" t="s">
        <v>10766</v>
      </c>
      <c r="L183" s="309">
        <v>2900</v>
      </c>
      <c r="N183" t="s">
        <v>7316</v>
      </c>
      <c r="O183" t="s">
        <v>7316</v>
      </c>
      <c r="R183" s="48" t="s">
        <v>8495</v>
      </c>
      <c r="S183" t="s">
        <v>8622</v>
      </c>
      <c r="T183" t="s">
        <v>8631</v>
      </c>
      <c r="U183" s="62">
        <v>7.1</v>
      </c>
      <c r="V183" s="62" t="s">
        <v>8601</v>
      </c>
      <c r="W183" s="160">
        <v>15000</v>
      </c>
    </row>
    <row r="184" spans="1:24">
      <c r="A184" s="83" t="s">
        <v>207</v>
      </c>
      <c r="B184" s="319">
        <v>305400</v>
      </c>
      <c r="C184" s="47" t="s">
        <v>250</v>
      </c>
      <c r="D184" s="102">
        <v>12.5</v>
      </c>
      <c r="E184" s="102">
        <v>22</v>
      </c>
      <c r="F184" s="94">
        <v>159.13999999999999</v>
      </c>
      <c r="G184" s="94">
        <v>159.13999999999999</v>
      </c>
      <c r="H184" s="94">
        <f t="shared" si="2"/>
        <v>275</v>
      </c>
      <c r="I184" s="95">
        <v>17</v>
      </c>
      <c r="J184" t="s">
        <v>255</v>
      </c>
      <c r="K184" t="s">
        <v>240</v>
      </c>
      <c r="L184" s="46" t="s">
        <v>1</v>
      </c>
      <c r="N184" t="s">
        <v>7316</v>
      </c>
      <c r="O184" t="s">
        <v>7316</v>
      </c>
      <c r="R184" s="48" t="s">
        <v>8495</v>
      </c>
      <c r="S184" t="s">
        <v>8622</v>
      </c>
      <c r="T184" t="s">
        <v>8632</v>
      </c>
      <c r="U184" s="62">
        <v>7.2</v>
      </c>
      <c r="V184" s="62" t="s">
        <v>8601</v>
      </c>
      <c r="W184" s="160">
        <v>15000</v>
      </c>
    </row>
    <row r="185" spans="1:24">
      <c r="A185" s="83" t="s">
        <v>207</v>
      </c>
      <c r="B185" s="319">
        <v>305400</v>
      </c>
      <c r="C185" s="47" t="s">
        <v>250</v>
      </c>
      <c r="D185" s="102">
        <v>12.5</v>
      </c>
      <c r="E185" s="102">
        <v>23</v>
      </c>
      <c r="F185" s="94">
        <v>159.13999999999999</v>
      </c>
      <c r="G185" s="94">
        <v>159.13999999999999</v>
      </c>
      <c r="H185" s="94">
        <f t="shared" si="2"/>
        <v>287.5</v>
      </c>
      <c r="I185" s="95">
        <v>17</v>
      </c>
      <c r="J185" t="s">
        <v>255</v>
      </c>
      <c r="K185" t="s">
        <v>10768</v>
      </c>
      <c r="L185" s="46">
        <v>5000</v>
      </c>
      <c r="N185" t="s">
        <v>7316</v>
      </c>
      <c r="O185" t="s">
        <v>7316</v>
      </c>
      <c r="R185" s="48" t="s">
        <v>8495</v>
      </c>
      <c r="S185" t="s">
        <v>8622</v>
      </c>
      <c r="T185" t="s">
        <v>8633</v>
      </c>
      <c r="U185" s="62">
        <v>7</v>
      </c>
      <c r="V185" s="62" t="s">
        <v>8601</v>
      </c>
      <c r="W185" s="160">
        <v>15000</v>
      </c>
    </row>
    <row r="186" spans="1:24">
      <c r="A186" s="83" t="s">
        <v>9776</v>
      </c>
      <c r="B186" s="319">
        <v>274500</v>
      </c>
      <c r="C186" s="47" t="s">
        <v>250</v>
      </c>
      <c r="D186" s="102">
        <v>8.5</v>
      </c>
      <c r="E186" s="102">
        <v>21</v>
      </c>
      <c r="F186" s="94">
        <v>89.16</v>
      </c>
      <c r="G186" s="94">
        <v>116.74</v>
      </c>
      <c r="H186" s="94">
        <f t="shared" si="2"/>
        <v>178.5</v>
      </c>
      <c r="I186" s="95">
        <v>13</v>
      </c>
      <c r="J186" t="s">
        <v>9777</v>
      </c>
      <c r="K186" t="s">
        <v>241</v>
      </c>
      <c r="L186" s="46" t="s">
        <v>1</v>
      </c>
      <c r="O186" s="46"/>
      <c r="R186" s="48" t="s">
        <v>8495</v>
      </c>
      <c r="S186" t="s">
        <v>8622</v>
      </c>
      <c r="T186" t="s">
        <v>8601</v>
      </c>
      <c r="U186" s="62">
        <v>7</v>
      </c>
      <c r="V186" s="62" t="s">
        <v>8601</v>
      </c>
      <c r="W186" s="160">
        <v>15000</v>
      </c>
    </row>
    <row r="187" spans="1:24">
      <c r="A187" s="83" t="s">
        <v>9776</v>
      </c>
      <c r="B187" s="319">
        <v>274500</v>
      </c>
      <c r="C187" s="47" t="s">
        <v>250</v>
      </c>
      <c r="D187" s="102">
        <v>8.5</v>
      </c>
      <c r="E187" s="102">
        <v>21</v>
      </c>
      <c r="F187" s="94">
        <v>89.16</v>
      </c>
      <c r="G187" s="94">
        <v>116.74</v>
      </c>
      <c r="H187" s="94">
        <f t="shared" si="2"/>
        <v>178.5</v>
      </c>
      <c r="I187" s="95">
        <v>13</v>
      </c>
      <c r="J187" t="s">
        <v>9777</v>
      </c>
      <c r="K187" t="s">
        <v>10765</v>
      </c>
      <c r="L187" s="46">
        <v>2900</v>
      </c>
      <c r="O187" s="46"/>
      <c r="R187" s="48" t="s">
        <v>8495</v>
      </c>
      <c r="S187" t="s">
        <v>8622</v>
      </c>
      <c r="T187" t="s">
        <v>8634</v>
      </c>
      <c r="U187" s="62">
        <v>7.2</v>
      </c>
      <c r="V187" s="62" t="s">
        <v>8602</v>
      </c>
      <c r="W187" s="160">
        <v>5000</v>
      </c>
    </row>
    <row r="188" spans="1:24">
      <c r="A188" s="83" t="s">
        <v>9776</v>
      </c>
      <c r="B188" s="319">
        <v>274500</v>
      </c>
      <c r="C188" s="47" t="s">
        <v>250</v>
      </c>
      <c r="D188" s="102">
        <v>8.5</v>
      </c>
      <c r="E188" s="102">
        <v>21</v>
      </c>
      <c r="F188" s="94">
        <v>89.16</v>
      </c>
      <c r="G188" s="94">
        <v>116.74</v>
      </c>
      <c r="H188" s="94">
        <f t="shared" si="2"/>
        <v>178.5</v>
      </c>
      <c r="I188" s="95">
        <v>13</v>
      </c>
      <c r="J188" t="s">
        <v>9777</v>
      </c>
      <c r="K188" t="s">
        <v>242</v>
      </c>
      <c r="L188" s="46">
        <v>1000</v>
      </c>
      <c r="O188" s="46"/>
      <c r="R188" s="48" t="s">
        <v>8495</v>
      </c>
      <c r="S188" t="s">
        <v>8623</v>
      </c>
      <c r="T188" t="s">
        <v>8629</v>
      </c>
      <c r="U188" s="62">
        <v>7.2</v>
      </c>
      <c r="V188" s="62" t="s">
        <v>8602</v>
      </c>
      <c r="W188" s="160">
        <v>5000</v>
      </c>
    </row>
    <row r="189" spans="1:24">
      <c r="A189" s="83" t="s">
        <v>9776</v>
      </c>
      <c r="B189" s="319">
        <v>274500</v>
      </c>
      <c r="C189" s="47" t="s">
        <v>250</v>
      </c>
      <c r="D189" s="102">
        <v>8.5</v>
      </c>
      <c r="E189" s="102">
        <v>21</v>
      </c>
      <c r="F189" s="94">
        <v>89.16</v>
      </c>
      <c r="G189" s="94">
        <v>116.74</v>
      </c>
      <c r="H189" s="94">
        <f t="shared" si="2"/>
        <v>178.5</v>
      </c>
      <c r="I189" s="95">
        <v>13</v>
      </c>
      <c r="J189" t="s">
        <v>9777</v>
      </c>
      <c r="K189" t="s">
        <v>10767</v>
      </c>
      <c r="L189" s="46">
        <v>2500</v>
      </c>
      <c r="O189" s="46"/>
      <c r="Q189" s="48"/>
      <c r="R189" s="48" t="s">
        <v>8495</v>
      </c>
      <c r="S189" t="s">
        <v>8623</v>
      </c>
      <c r="T189" t="s">
        <v>8630</v>
      </c>
      <c r="U189" s="62">
        <v>7</v>
      </c>
      <c r="V189" s="62" t="s">
        <v>8601</v>
      </c>
      <c r="W189" s="160">
        <v>15000</v>
      </c>
      <c r="X189" s="48"/>
    </row>
    <row r="190" spans="1:24">
      <c r="A190" s="83" t="s">
        <v>9776</v>
      </c>
      <c r="B190" s="319">
        <v>274500</v>
      </c>
      <c r="C190" s="47" t="s">
        <v>250</v>
      </c>
      <c r="D190" s="102">
        <v>8.5</v>
      </c>
      <c r="E190" s="102">
        <v>21</v>
      </c>
      <c r="F190" s="94">
        <v>89.16</v>
      </c>
      <c r="G190" s="94">
        <v>116.74</v>
      </c>
      <c r="H190" s="94">
        <f t="shared" si="2"/>
        <v>178.5</v>
      </c>
      <c r="I190" s="95">
        <v>13</v>
      </c>
      <c r="J190" t="s">
        <v>9777</v>
      </c>
      <c r="K190" t="s">
        <v>10766</v>
      </c>
      <c r="L190" s="46">
        <v>2900</v>
      </c>
      <c r="O190" s="46"/>
      <c r="R190" s="48" t="s">
        <v>8495</v>
      </c>
      <c r="S190" t="s">
        <v>8623</v>
      </c>
      <c r="T190" t="s">
        <v>8635</v>
      </c>
      <c r="U190" s="62">
        <v>7.1</v>
      </c>
      <c r="V190" s="62" t="s">
        <v>8601</v>
      </c>
      <c r="W190" s="160">
        <v>15000</v>
      </c>
    </row>
    <row r="191" spans="1:24">
      <c r="A191" s="83" t="s">
        <v>9776</v>
      </c>
      <c r="B191" s="319">
        <v>274500</v>
      </c>
      <c r="C191" s="47" t="s">
        <v>250</v>
      </c>
      <c r="D191" s="102">
        <v>8.5</v>
      </c>
      <c r="E191" s="102">
        <v>21</v>
      </c>
      <c r="F191" s="94">
        <v>89.16</v>
      </c>
      <c r="G191" s="94">
        <v>116.74</v>
      </c>
      <c r="H191" s="94">
        <f t="shared" si="2"/>
        <v>178.5</v>
      </c>
      <c r="I191" s="95">
        <v>13</v>
      </c>
      <c r="J191" t="s">
        <v>9777</v>
      </c>
      <c r="K191" t="s">
        <v>240</v>
      </c>
      <c r="L191" s="46" t="s">
        <v>1</v>
      </c>
      <c r="O191" s="46"/>
      <c r="R191" s="48" t="s">
        <v>8495</v>
      </c>
      <c r="S191" t="s">
        <v>8623</v>
      </c>
      <c r="T191" t="s">
        <v>8631</v>
      </c>
      <c r="U191" s="62">
        <v>7.2</v>
      </c>
      <c r="V191" s="62" t="s">
        <v>8602</v>
      </c>
      <c r="W191" s="160">
        <v>5000</v>
      </c>
    </row>
    <row r="192" spans="1:24">
      <c r="A192" s="83" t="s">
        <v>9776</v>
      </c>
      <c r="B192" s="319">
        <v>274500</v>
      </c>
      <c r="C192" s="47" t="s">
        <v>250</v>
      </c>
      <c r="D192" s="102">
        <v>8.5</v>
      </c>
      <c r="E192" s="102">
        <v>21</v>
      </c>
      <c r="F192" s="94">
        <v>89.16</v>
      </c>
      <c r="G192" s="94">
        <v>116.74</v>
      </c>
      <c r="H192" s="94">
        <f t="shared" si="2"/>
        <v>178.5</v>
      </c>
      <c r="I192" s="95">
        <v>13</v>
      </c>
      <c r="J192" t="s">
        <v>9777</v>
      </c>
      <c r="K192" t="s">
        <v>10768</v>
      </c>
      <c r="L192" s="46">
        <v>5000</v>
      </c>
      <c r="O192" s="46"/>
      <c r="R192" s="48" t="s">
        <v>8495</v>
      </c>
      <c r="S192" t="s">
        <v>8623</v>
      </c>
      <c r="T192" t="s">
        <v>8632</v>
      </c>
      <c r="U192" s="62">
        <v>7.3</v>
      </c>
      <c r="V192" s="62" t="s">
        <v>8602</v>
      </c>
      <c r="W192" s="160">
        <v>5000</v>
      </c>
    </row>
    <row r="193" spans="1:24">
      <c r="A193" s="83" t="s">
        <v>217</v>
      </c>
      <c r="B193" s="319">
        <v>327000</v>
      </c>
      <c r="C193" s="47" t="s">
        <v>250</v>
      </c>
      <c r="D193" s="102">
        <v>14</v>
      </c>
      <c r="E193" s="102">
        <v>24</v>
      </c>
      <c r="F193" s="94">
        <v>195.67</v>
      </c>
      <c r="G193" s="94">
        <v>195.67</v>
      </c>
      <c r="H193" s="94">
        <f t="shared" si="2"/>
        <v>336</v>
      </c>
      <c r="I193" s="95">
        <v>21</v>
      </c>
      <c r="J193" t="s">
        <v>253</v>
      </c>
      <c r="K193" t="s">
        <v>241</v>
      </c>
      <c r="L193" s="46" t="s">
        <v>1</v>
      </c>
      <c r="N193" t="s">
        <v>7316</v>
      </c>
      <c r="O193" t="s">
        <v>7316</v>
      </c>
      <c r="R193" s="48" t="s">
        <v>8495</v>
      </c>
      <c r="S193" t="s">
        <v>8623</v>
      </c>
      <c r="T193" t="s">
        <v>8633</v>
      </c>
      <c r="U193" s="62">
        <v>7.1</v>
      </c>
      <c r="V193" s="62" t="s">
        <v>8601</v>
      </c>
      <c r="W193" s="160">
        <v>15000</v>
      </c>
    </row>
    <row r="194" spans="1:24">
      <c r="A194" s="83" t="s">
        <v>217</v>
      </c>
      <c r="B194" s="319">
        <v>327000</v>
      </c>
      <c r="C194" s="47" t="s">
        <v>250</v>
      </c>
      <c r="D194" s="102">
        <v>14</v>
      </c>
      <c r="E194" s="102">
        <v>24</v>
      </c>
      <c r="F194" s="94">
        <v>195.67</v>
      </c>
      <c r="G194" s="94">
        <v>195.67</v>
      </c>
      <c r="H194" s="94">
        <f t="shared" si="2"/>
        <v>336</v>
      </c>
      <c r="I194" s="95">
        <v>21</v>
      </c>
      <c r="J194" t="s">
        <v>253</v>
      </c>
      <c r="K194" t="s">
        <v>10765</v>
      </c>
      <c r="L194" s="46">
        <v>2900</v>
      </c>
      <c r="N194" t="s">
        <v>7316</v>
      </c>
      <c r="O194" t="s">
        <v>7316</v>
      </c>
      <c r="R194" s="48" t="s">
        <v>8495</v>
      </c>
      <c r="S194" t="s">
        <v>8623</v>
      </c>
      <c r="T194" t="s">
        <v>8601</v>
      </c>
      <c r="U194" s="62">
        <v>7.1</v>
      </c>
      <c r="V194" s="62" t="s">
        <v>8601</v>
      </c>
      <c r="W194" s="160">
        <v>15000</v>
      </c>
    </row>
    <row r="195" spans="1:24">
      <c r="A195" s="83" t="s">
        <v>217</v>
      </c>
      <c r="B195" s="319">
        <v>327000</v>
      </c>
      <c r="C195" s="47" t="s">
        <v>250</v>
      </c>
      <c r="D195" s="102">
        <v>14</v>
      </c>
      <c r="E195" s="102">
        <v>24</v>
      </c>
      <c r="F195" s="94">
        <v>195.67</v>
      </c>
      <c r="G195" s="94">
        <v>195.67</v>
      </c>
      <c r="H195" s="94">
        <f t="shared" si="2"/>
        <v>336</v>
      </c>
      <c r="I195" s="95">
        <v>21</v>
      </c>
      <c r="J195" t="s">
        <v>253</v>
      </c>
      <c r="K195" t="s">
        <v>242</v>
      </c>
      <c r="L195" s="46">
        <v>1000</v>
      </c>
      <c r="N195" t="s">
        <v>7316</v>
      </c>
      <c r="O195" t="s">
        <v>7316</v>
      </c>
      <c r="R195" s="48" t="s">
        <v>8495</v>
      </c>
      <c r="S195" t="s">
        <v>8623</v>
      </c>
      <c r="T195" t="s">
        <v>8634</v>
      </c>
      <c r="U195" s="62">
        <v>7.1</v>
      </c>
      <c r="V195" s="62" t="s">
        <v>8601</v>
      </c>
      <c r="W195" s="160">
        <v>15000</v>
      </c>
    </row>
    <row r="196" spans="1:24">
      <c r="A196" s="83" t="s">
        <v>217</v>
      </c>
      <c r="B196" s="319">
        <v>327000</v>
      </c>
      <c r="C196" s="47" t="s">
        <v>250</v>
      </c>
      <c r="D196" s="102">
        <v>14</v>
      </c>
      <c r="E196" s="102">
        <v>24</v>
      </c>
      <c r="F196" s="94">
        <v>195.67</v>
      </c>
      <c r="G196" s="94">
        <v>195.67</v>
      </c>
      <c r="H196" s="94">
        <f t="shared" ref="H196:H259" si="3">(D196*E196)</f>
        <v>336</v>
      </c>
      <c r="I196" s="95">
        <v>21</v>
      </c>
      <c r="J196" t="s">
        <v>253</v>
      </c>
      <c r="K196" t="s">
        <v>10767</v>
      </c>
      <c r="L196" s="46">
        <v>2500</v>
      </c>
      <c r="N196" t="s">
        <v>7316</v>
      </c>
      <c r="O196" t="s">
        <v>7316</v>
      </c>
      <c r="P196" t="s">
        <v>7318</v>
      </c>
      <c r="R196" s="48" t="s">
        <v>8548</v>
      </c>
      <c r="S196" t="s">
        <v>8622</v>
      </c>
      <c r="T196" t="s">
        <v>8629</v>
      </c>
      <c r="U196" s="62">
        <v>7.4</v>
      </c>
      <c r="V196" s="62" t="s">
        <v>8602</v>
      </c>
      <c r="W196" s="160">
        <v>5000</v>
      </c>
    </row>
    <row r="197" spans="1:24">
      <c r="A197" s="83" t="s">
        <v>217</v>
      </c>
      <c r="B197" s="319">
        <v>327000</v>
      </c>
      <c r="C197" s="47" t="s">
        <v>250</v>
      </c>
      <c r="D197" s="102">
        <v>14</v>
      </c>
      <c r="E197" s="102">
        <v>24</v>
      </c>
      <c r="F197" s="94">
        <v>195.67</v>
      </c>
      <c r="G197" s="94">
        <v>195.67</v>
      </c>
      <c r="H197" s="94">
        <f t="shared" si="3"/>
        <v>336</v>
      </c>
      <c r="I197" s="95">
        <v>21</v>
      </c>
      <c r="J197" t="s">
        <v>253</v>
      </c>
      <c r="K197" t="s">
        <v>10766</v>
      </c>
      <c r="L197" s="309">
        <v>2900</v>
      </c>
      <c r="N197" t="s">
        <v>7316</v>
      </c>
      <c r="O197" t="s">
        <v>7316</v>
      </c>
      <c r="R197" s="48" t="s">
        <v>8548</v>
      </c>
      <c r="S197" t="s">
        <v>8622</v>
      </c>
      <c r="T197" t="s">
        <v>8630</v>
      </c>
      <c r="U197" s="62">
        <v>7.2</v>
      </c>
      <c r="V197" s="62" t="s">
        <v>8602</v>
      </c>
      <c r="W197" s="160">
        <v>5000</v>
      </c>
    </row>
    <row r="198" spans="1:24">
      <c r="A198" s="83" t="s">
        <v>217</v>
      </c>
      <c r="B198" s="319">
        <v>327000</v>
      </c>
      <c r="C198" s="47" t="s">
        <v>250</v>
      </c>
      <c r="D198" s="102">
        <v>14</v>
      </c>
      <c r="E198" s="102">
        <v>24</v>
      </c>
      <c r="F198" s="94">
        <v>195.67</v>
      </c>
      <c r="G198" s="94">
        <v>195.67</v>
      </c>
      <c r="H198" s="94">
        <f t="shared" si="3"/>
        <v>336</v>
      </c>
      <c r="I198" s="95">
        <v>21</v>
      </c>
      <c r="J198" t="s">
        <v>253</v>
      </c>
      <c r="K198" t="s">
        <v>240</v>
      </c>
      <c r="L198" s="46" t="s">
        <v>1</v>
      </c>
      <c r="N198" t="s">
        <v>7316</v>
      </c>
      <c r="O198" t="s">
        <v>7316</v>
      </c>
      <c r="R198" s="48" t="s">
        <v>8548</v>
      </c>
      <c r="S198" t="s">
        <v>8622</v>
      </c>
      <c r="T198" t="s">
        <v>8635</v>
      </c>
      <c r="U198" s="62">
        <v>7.1</v>
      </c>
      <c r="V198" s="62" t="s">
        <v>8601</v>
      </c>
      <c r="W198" s="160">
        <v>15000</v>
      </c>
    </row>
    <row r="199" spans="1:24">
      <c r="A199" s="83" t="s">
        <v>217</v>
      </c>
      <c r="B199" s="319">
        <v>327000</v>
      </c>
      <c r="C199" s="47" t="s">
        <v>250</v>
      </c>
      <c r="D199" s="102">
        <v>14</v>
      </c>
      <c r="E199" s="102">
        <v>25</v>
      </c>
      <c r="F199" s="94">
        <v>195.67</v>
      </c>
      <c r="G199" s="94">
        <v>195.67</v>
      </c>
      <c r="H199" s="94">
        <f t="shared" si="3"/>
        <v>350</v>
      </c>
      <c r="I199" s="95">
        <v>21</v>
      </c>
      <c r="J199" t="s">
        <v>253</v>
      </c>
      <c r="K199" t="s">
        <v>10768</v>
      </c>
      <c r="L199" s="46">
        <v>5000</v>
      </c>
      <c r="N199" t="s">
        <v>7316</v>
      </c>
      <c r="O199" t="s">
        <v>7316</v>
      </c>
      <c r="R199" s="48" t="s">
        <v>8548</v>
      </c>
      <c r="S199" t="s">
        <v>8622</v>
      </c>
      <c r="T199" t="s">
        <v>8631</v>
      </c>
      <c r="U199" s="62">
        <v>7.1</v>
      </c>
      <c r="V199" s="62" t="s">
        <v>8601</v>
      </c>
      <c r="W199" s="160">
        <v>15000</v>
      </c>
    </row>
    <row r="200" spans="1:24">
      <c r="A200" s="83" t="s">
        <v>8229</v>
      </c>
      <c r="B200" s="319">
        <v>331900</v>
      </c>
      <c r="C200" s="47" t="s">
        <v>250</v>
      </c>
      <c r="D200" s="102">
        <v>14</v>
      </c>
      <c r="E200" s="102">
        <v>24</v>
      </c>
      <c r="F200" s="94">
        <v>195.67</v>
      </c>
      <c r="G200" s="94">
        <v>195.67</v>
      </c>
      <c r="H200" s="94">
        <f t="shared" si="3"/>
        <v>336</v>
      </c>
      <c r="I200" s="95">
        <v>21</v>
      </c>
      <c r="J200" t="s">
        <v>266</v>
      </c>
      <c r="K200" t="s">
        <v>241</v>
      </c>
      <c r="L200" s="46" t="s">
        <v>1</v>
      </c>
      <c r="N200" t="s">
        <v>7316</v>
      </c>
      <c r="O200" t="s">
        <v>7316</v>
      </c>
      <c r="Q200" s="48"/>
      <c r="R200" s="48" t="s">
        <v>8548</v>
      </c>
      <c r="S200" t="s">
        <v>8622</v>
      </c>
      <c r="T200" t="s">
        <v>8632</v>
      </c>
      <c r="U200" s="62">
        <v>7.2</v>
      </c>
      <c r="V200" s="62" t="s">
        <v>8601</v>
      </c>
      <c r="W200" s="160">
        <v>15000</v>
      </c>
      <c r="X200" s="48"/>
    </row>
    <row r="201" spans="1:24">
      <c r="A201" s="83" t="s">
        <v>8229</v>
      </c>
      <c r="B201" s="319">
        <v>331900</v>
      </c>
      <c r="C201" s="47" t="s">
        <v>250</v>
      </c>
      <c r="D201" s="102">
        <v>14</v>
      </c>
      <c r="E201" s="102">
        <v>24</v>
      </c>
      <c r="F201" s="94">
        <v>195.67</v>
      </c>
      <c r="G201" s="94">
        <v>195.67</v>
      </c>
      <c r="H201" s="94">
        <f t="shared" si="3"/>
        <v>336</v>
      </c>
      <c r="I201" s="95">
        <v>21</v>
      </c>
      <c r="J201" t="s">
        <v>266</v>
      </c>
      <c r="K201" t="s">
        <v>10765</v>
      </c>
      <c r="L201" s="46">
        <v>2900</v>
      </c>
      <c r="N201" t="s">
        <v>7316</v>
      </c>
      <c r="O201" t="s">
        <v>7316</v>
      </c>
      <c r="R201" s="48" t="s">
        <v>8548</v>
      </c>
      <c r="S201" t="s">
        <v>8622</v>
      </c>
      <c r="T201" t="s">
        <v>8633</v>
      </c>
      <c r="U201" s="62">
        <v>7</v>
      </c>
      <c r="V201" s="62" t="s">
        <v>8601</v>
      </c>
      <c r="W201" s="160">
        <v>15000</v>
      </c>
    </row>
    <row r="202" spans="1:24">
      <c r="A202" s="83" t="s">
        <v>8229</v>
      </c>
      <c r="B202" s="319">
        <v>331900</v>
      </c>
      <c r="C202" s="47" t="s">
        <v>250</v>
      </c>
      <c r="D202" s="102">
        <v>14</v>
      </c>
      <c r="E202" s="102">
        <v>24</v>
      </c>
      <c r="F202" s="94">
        <v>195.67</v>
      </c>
      <c r="G202" s="94">
        <v>195.67</v>
      </c>
      <c r="H202" s="94">
        <f t="shared" si="3"/>
        <v>336</v>
      </c>
      <c r="I202" s="95">
        <v>21</v>
      </c>
      <c r="J202" t="s">
        <v>266</v>
      </c>
      <c r="K202" t="s">
        <v>242</v>
      </c>
      <c r="L202" s="46">
        <v>1000</v>
      </c>
      <c r="N202" t="s">
        <v>7316</v>
      </c>
      <c r="O202" t="s">
        <v>7316</v>
      </c>
      <c r="R202" s="48" t="s">
        <v>8548</v>
      </c>
      <c r="S202" t="s">
        <v>8622</v>
      </c>
      <c r="T202" t="s">
        <v>8601</v>
      </c>
      <c r="U202" s="62">
        <v>7</v>
      </c>
      <c r="V202" s="62" t="s">
        <v>8601</v>
      </c>
      <c r="W202" s="160">
        <v>15000</v>
      </c>
    </row>
    <row r="203" spans="1:24">
      <c r="A203" s="83" t="s">
        <v>8229</v>
      </c>
      <c r="B203" s="319">
        <v>331900</v>
      </c>
      <c r="C203" s="47" t="s">
        <v>250</v>
      </c>
      <c r="D203" s="102">
        <v>14</v>
      </c>
      <c r="E203" s="102">
        <v>24</v>
      </c>
      <c r="F203" s="94">
        <v>195.67</v>
      </c>
      <c r="G203" s="94">
        <v>195.67</v>
      </c>
      <c r="H203" s="94">
        <f t="shared" si="3"/>
        <v>336</v>
      </c>
      <c r="I203" s="95">
        <v>21</v>
      </c>
      <c r="J203" t="s">
        <v>266</v>
      </c>
      <c r="K203" t="s">
        <v>10767</v>
      </c>
      <c r="L203" s="46">
        <v>2500</v>
      </c>
      <c r="N203" t="s">
        <v>7316</v>
      </c>
      <c r="O203" t="s">
        <v>7316</v>
      </c>
      <c r="P203" t="s">
        <v>7318</v>
      </c>
      <c r="R203" s="48" t="s">
        <v>8548</v>
      </c>
      <c r="S203" t="s">
        <v>8622</v>
      </c>
      <c r="T203" t="s">
        <v>8634</v>
      </c>
      <c r="U203" s="62">
        <v>7.2</v>
      </c>
      <c r="V203" s="62" t="s">
        <v>8602</v>
      </c>
      <c r="W203" s="160">
        <v>5000</v>
      </c>
    </row>
    <row r="204" spans="1:24">
      <c r="A204" s="83" t="s">
        <v>8229</v>
      </c>
      <c r="B204" s="319">
        <v>331900</v>
      </c>
      <c r="C204" s="47" t="s">
        <v>250</v>
      </c>
      <c r="D204" s="102">
        <v>14</v>
      </c>
      <c r="E204" s="102">
        <v>24</v>
      </c>
      <c r="F204" s="94">
        <v>195.67</v>
      </c>
      <c r="G204" s="94">
        <v>195.67</v>
      </c>
      <c r="H204" s="94">
        <f t="shared" si="3"/>
        <v>336</v>
      </c>
      <c r="I204" s="95">
        <v>21</v>
      </c>
      <c r="J204" t="s">
        <v>266</v>
      </c>
      <c r="K204" t="s">
        <v>10766</v>
      </c>
      <c r="L204" s="309">
        <v>2900</v>
      </c>
      <c r="N204" t="s">
        <v>7316</v>
      </c>
      <c r="O204" t="s">
        <v>7316</v>
      </c>
      <c r="R204" s="48" t="s">
        <v>8548</v>
      </c>
      <c r="S204" t="s">
        <v>8623</v>
      </c>
      <c r="T204" t="s">
        <v>8629</v>
      </c>
      <c r="U204" s="62">
        <v>7.2</v>
      </c>
      <c r="V204" s="62" t="s">
        <v>8602</v>
      </c>
      <c r="W204" s="160">
        <v>5000</v>
      </c>
    </row>
    <row r="205" spans="1:24">
      <c r="A205" s="83" t="s">
        <v>8229</v>
      </c>
      <c r="B205" s="319">
        <v>331900</v>
      </c>
      <c r="C205" s="47" t="s">
        <v>250</v>
      </c>
      <c r="D205" s="102">
        <v>14</v>
      </c>
      <c r="E205" s="102">
        <v>24</v>
      </c>
      <c r="F205" s="94">
        <v>195.67</v>
      </c>
      <c r="G205" s="94">
        <v>195.67</v>
      </c>
      <c r="H205" s="94">
        <f t="shared" si="3"/>
        <v>336</v>
      </c>
      <c r="I205" s="95">
        <v>21</v>
      </c>
      <c r="J205" t="s">
        <v>266</v>
      </c>
      <c r="K205" t="s">
        <v>240</v>
      </c>
      <c r="L205" s="46" t="s">
        <v>1</v>
      </c>
      <c r="N205" t="s">
        <v>7316</v>
      </c>
      <c r="O205" t="s">
        <v>7316</v>
      </c>
      <c r="R205" s="48" t="s">
        <v>8548</v>
      </c>
      <c r="S205" t="s">
        <v>8623</v>
      </c>
      <c r="T205" t="s">
        <v>8630</v>
      </c>
      <c r="U205" s="62">
        <v>7</v>
      </c>
      <c r="V205" s="62" t="s">
        <v>8601</v>
      </c>
      <c r="W205" s="160">
        <v>15000</v>
      </c>
    </row>
    <row r="206" spans="1:24">
      <c r="A206" s="83" t="s">
        <v>8229</v>
      </c>
      <c r="B206" s="319">
        <v>331900</v>
      </c>
      <c r="C206" s="47" t="s">
        <v>250</v>
      </c>
      <c r="D206" s="102">
        <v>14</v>
      </c>
      <c r="E206" s="102">
        <v>25</v>
      </c>
      <c r="F206" s="94">
        <v>195.67</v>
      </c>
      <c r="G206" s="94">
        <v>195.67</v>
      </c>
      <c r="H206" s="94">
        <f t="shared" si="3"/>
        <v>350</v>
      </c>
      <c r="I206" s="95">
        <v>21</v>
      </c>
      <c r="J206" t="s">
        <v>266</v>
      </c>
      <c r="K206" t="s">
        <v>10768</v>
      </c>
      <c r="L206" s="46">
        <v>5000</v>
      </c>
      <c r="N206" t="s">
        <v>7316</v>
      </c>
      <c r="O206" t="s">
        <v>7316</v>
      </c>
      <c r="R206" s="48" t="s">
        <v>8548</v>
      </c>
      <c r="S206" t="s">
        <v>8623</v>
      </c>
      <c r="T206" t="s">
        <v>8635</v>
      </c>
      <c r="U206" s="62">
        <v>7.1</v>
      </c>
      <c r="V206" s="62" t="s">
        <v>8601</v>
      </c>
      <c r="W206" s="160">
        <v>15000</v>
      </c>
    </row>
    <row r="207" spans="1:24">
      <c r="A207" s="83" t="s">
        <v>228</v>
      </c>
      <c r="B207" s="319">
        <v>377500</v>
      </c>
      <c r="C207" s="47" t="s">
        <v>250</v>
      </c>
      <c r="D207" s="102">
        <v>14</v>
      </c>
      <c r="E207" s="102">
        <v>31</v>
      </c>
      <c r="F207" s="94">
        <v>262.17</v>
      </c>
      <c r="G207" s="94">
        <v>262.17</v>
      </c>
      <c r="H207" s="94">
        <f t="shared" si="3"/>
        <v>434</v>
      </c>
      <c r="I207" s="95">
        <v>28</v>
      </c>
      <c r="J207" t="s">
        <v>260</v>
      </c>
      <c r="K207" t="s">
        <v>241</v>
      </c>
      <c r="L207" s="46" t="s">
        <v>1</v>
      </c>
      <c r="N207" t="s">
        <v>7316</v>
      </c>
      <c r="O207" t="s">
        <v>7316</v>
      </c>
      <c r="R207" s="48" t="s">
        <v>8548</v>
      </c>
      <c r="S207" t="s">
        <v>8623</v>
      </c>
      <c r="T207" t="s">
        <v>8631</v>
      </c>
      <c r="U207" s="62">
        <v>7.2</v>
      </c>
      <c r="V207" s="62" t="s">
        <v>8602</v>
      </c>
      <c r="W207" s="160">
        <v>5000</v>
      </c>
    </row>
    <row r="208" spans="1:24">
      <c r="A208" s="83" t="s">
        <v>228</v>
      </c>
      <c r="B208" s="319">
        <v>377500</v>
      </c>
      <c r="C208" s="47" t="s">
        <v>250</v>
      </c>
      <c r="D208" s="102">
        <v>14</v>
      </c>
      <c r="E208" s="102">
        <v>31</v>
      </c>
      <c r="F208" s="94">
        <v>262.17</v>
      </c>
      <c r="G208" s="94">
        <v>262.17</v>
      </c>
      <c r="H208" s="94">
        <f t="shared" si="3"/>
        <v>434</v>
      </c>
      <c r="I208" s="95">
        <v>28</v>
      </c>
      <c r="J208" t="s">
        <v>260</v>
      </c>
      <c r="K208" t="s">
        <v>10765</v>
      </c>
      <c r="L208" s="46">
        <v>2900</v>
      </c>
      <c r="N208" t="s">
        <v>7316</v>
      </c>
      <c r="O208" t="s">
        <v>7316</v>
      </c>
      <c r="R208" s="48" t="s">
        <v>8548</v>
      </c>
      <c r="S208" t="s">
        <v>8623</v>
      </c>
      <c r="T208" t="s">
        <v>8632</v>
      </c>
      <c r="U208" s="62">
        <v>7.3</v>
      </c>
      <c r="V208" s="62" t="s">
        <v>8602</v>
      </c>
      <c r="W208" s="160">
        <v>5000</v>
      </c>
    </row>
    <row r="209" spans="1:24">
      <c r="A209" s="83" t="s">
        <v>228</v>
      </c>
      <c r="B209" s="319">
        <v>377500</v>
      </c>
      <c r="C209" s="47" t="s">
        <v>250</v>
      </c>
      <c r="D209" s="102">
        <v>14</v>
      </c>
      <c r="E209" s="102">
        <v>31</v>
      </c>
      <c r="F209" s="94">
        <v>262.17</v>
      </c>
      <c r="G209" s="94">
        <v>262.17</v>
      </c>
      <c r="H209" s="94">
        <f t="shared" si="3"/>
        <v>434</v>
      </c>
      <c r="I209" s="95">
        <v>28</v>
      </c>
      <c r="J209" t="s">
        <v>260</v>
      </c>
      <c r="K209" t="s">
        <v>242</v>
      </c>
      <c r="L209" s="46">
        <v>1000</v>
      </c>
      <c r="N209" t="s">
        <v>7316</v>
      </c>
      <c r="O209" t="s">
        <v>7316</v>
      </c>
      <c r="R209" s="48" t="s">
        <v>8548</v>
      </c>
      <c r="S209" t="s">
        <v>8623</v>
      </c>
      <c r="T209" t="s">
        <v>8633</v>
      </c>
      <c r="U209" s="62">
        <v>7.1</v>
      </c>
      <c r="V209" s="62" t="s">
        <v>8601</v>
      </c>
      <c r="W209" s="160">
        <v>15000</v>
      </c>
    </row>
    <row r="210" spans="1:24">
      <c r="A210" s="83" t="s">
        <v>228</v>
      </c>
      <c r="B210" s="319">
        <v>377500</v>
      </c>
      <c r="C210" s="47" t="s">
        <v>250</v>
      </c>
      <c r="D210" s="102">
        <v>14</v>
      </c>
      <c r="E210" s="102">
        <v>31</v>
      </c>
      <c r="F210" s="94">
        <v>262.17</v>
      </c>
      <c r="G210" s="94">
        <v>262.17</v>
      </c>
      <c r="H210" s="94">
        <f t="shared" si="3"/>
        <v>434</v>
      </c>
      <c r="I210" s="95">
        <v>28</v>
      </c>
      <c r="J210" t="s">
        <v>260</v>
      </c>
      <c r="K210" t="s">
        <v>10767</v>
      </c>
      <c r="L210" s="46">
        <v>2500</v>
      </c>
      <c r="N210" t="s">
        <v>7316</v>
      </c>
      <c r="O210" t="s">
        <v>7316</v>
      </c>
      <c r="P210" t="s">
        <v>7318</v>
      </c>
      <c r="R210" s="48" t="s">
        <v>8548</v>
      </c>
      <c r="S210" t="s">
        <v>8623</v>
      </c>
      <c r="T210" t="s">
        <v>8601</v>
      </c>
      <c r="U210" s="62">
        <v>7.1</v>
      </c>
      <c r="V210" s="62" t="s">
        <v>8601</v>
      </c>
      <c r="W210" s="160">
        <v>15000</v>
      </c>
    </row>
    <row r="211" spans="1:24">
      <c r="A211" s="83" t="s">
        <v>228</v>
      </c>
      <c r="B211" s="319">
        <v>377500</v>
      </c>
      <c r="C211" s="47" t="s">
        <v>250</v>
      </c>
      <c r="D211" s="102">
        <v>14</v>
      </c>
      <c r="E211" s="102">
        <v>31</v>
      </c>
      <c r="F211" s="94">
        <v>262.17</v>
      </c>
      <c r="G211" s="94">
        <v>262.17</v>
      </c>
      <c r="H211" s="94">
        <f t="shared" si="3"/>
        <v>434</v>
      </c>
      <c r="I211" s="95">
        <v>28</v>
      </c>
      <c r="J211" t="s">
        <v>260</v>
      </c>
      <c r="K211" t="s">
        <v>10766</v>
      </c>
      <c r="L211" s="309">
        <v>2900</v>
      </c>
      <c r="N211" t="s">
        <v>7316</v>
      </c>
      <c r="O211" t="s">
        <v>7316</v>
      </c>
      <c r="Q211" s="48"/>
      <c r="R211" s="48" t="s">
        <v>8548</v>
      </c>
      <c r="S211" t="s">
        <v>8623</v>
      </c>
      <c r="T211" t="s">
        <v>8634</v>
      </c>
      <c r="U211" s="62">
        <v>7.1</v>
      </c>
      <c r="V211" s="62" t="s">
        <v>8601</v>
      </c>
      <c r="W211" s="160">
        <v>15000</v>
      </c>
      <c r="X211" s="48"/>
    </row>
    <row r="212" spans="1:24">
      <c r="A212" s="83" t="s">
        <v>228</v>
      </c>
      <c r="B212" s="319">
        <v>377500</v>
      </c>
      <c r="C212" s="47" t="s">
        <v>250</v>
      </c>
      <c r="D212" s="102">
        <v>14</v>
      </c>
      <c r="E212" s="102">
        <v>31</v>
      </c>
      <c r="F212" s="94">
        <v>262.17</v>
      </c>
      <c r="G212" s="94">
        <v>262.17</v>
      </c>
      <c r="H212" s="94">
        <f t="shared" si="3"/>
        <v>434</v>
      </c>
      <c r="I212" s="95">
        <v>28</v>
      </c>
      <c r="J212" t="s">
        <v>260</v>
      </c>
      <c r="K212" t="s">
        <v>240</v>
      </c>
      <c r="L212" s="46" t="s">
        <v>1</v>
      </c>
      <c r="N212" t="s">
        <v>7316</v>
      </c>
      <c r="O212" t="s">
        <v>7316</v>
      </c>
      <c r="R212" s="48" t="s">
        <v>8496</v>
      </c>
      <c r="S212" t="s">
        <v>8622</v>
      </c>
      <c r="T212" t="s">
        <v>8629</v>
      </c>
      <c r="U212" s="62">
        <v>7.4</v>
      </c>
      <c r="V212" s="62" t="s">
        <v>8602</v>
      </c>
      <c r="W212" s="160">
        <v>5000</v>
      </c>
    </row>
    <row r="213" spans="1:24">
      <c r="A213" s="83" t="s">
        <v>228</v>
      </c>
      <c r="B213" s="319">
        <v>377500</v>
      </c>
      <c r="C213" s="47" t="s">
        <v>250</v>
      </c>
      <c r="D213" s="102">
        <v>14</v>
      </c>
      <c r="E213" s="102">
        <v>31</v>
      </c>
      <c r="F213" s="94">
        <v>262.17</v>
      </c>
      <c r="G213" s="94">
        <v>262.17</v>
      </c>
      <c r="H213" s="94">
        <f t="shared" si="3"/>
        <v>434</v>
      </c>
      <c r="I213" s="95">
        <v>28</v>
      </c>
      <c r="J213" t="s">
        <v>260</v>
      </c>
      <c r="K213" t="s">
        <v>10768</v>
      </c>
      <c r="L213" s="46">
        <v>5000</v>
      </c>
      <c r="N213" t="s">
        <v>7316</v>
      </c>
      <c r="O213" t="s">
        <v>7316</v>
      </c>
      <c r="R213" s="48" t="s">
        <v>8496</v>
      </c>
      <c r="S213" t="s">
        <v>8622</v>
      </c>
      <c r="T213" t="s">
        <v>8630</v>
      </c>
      <c r="U213" s="62">
        <v>7.2</v>
      </c>
      <c r="V213" s="62" t="s">
        <v>8602</v>
      </c>
      <c r="W213" s="160">
        <v>5000</v>
      </c>
    </row>
    <row r="214" spans="1:24">
      <c r="A214" s="83" t="s">
        <v>9778</v>
      </c>
      <c r="B214" s="319">
        <v>284300</v>
      </c>
      <c r="C214" s="47" t="s">
        <v>250</v>
      </c>
      <c r="D214" s="102">
        <v>10.5</v>
      </c>
      <c r="E214" s="102">
        <v>21</v>
      </c>
      <c r="F214" s="94">
        <v>100.43</v>
      </c>
      <c r="G214" s="94">
        <v>140.69</v>
      </c>
      <c r="H214" s="94">
        <f t="shared" si="3"/>
        <v>220.5</v>
      </c>
      <c r="I214" s="95">
        <v>15</v>
      </c>
      <c r="J214" t="s">
        <v>9779</v>
      </c>
      <c r="K214" t="s">
        <v>241</v>
      </c>
      <c r="L214" s="46" t="s">
        <v>1</v>
      </c>
      <c r="N214" t="s">
        <v>7316</v>
      </c>
      <c r="O214" t="s">
        <v>7316</v>
      </c>
      <c r="R214" s="48" t="s">
        <v>8496</v>
      </c>
      <c r="S214" t="s">
        <v>8622</v>
      </c>
      <c r="T214" t="s">
        <v>8635</v>
      </c>
      <c r="U214" s="62">
        <v>7.1</v>
      </c>
      <c r="V214" s="62" t="s">
        <v>8601</v>
      </c>
      <c r="W214" s="160">
        <v>15000</v>
      </c>
    </row>
    <row r="215" spans="1:24">
      <c r="A215" s="83" t="s">
        <v>9778</v>
      </c>
      <c r="B215" s="319">
        <v>284300</v>
      </c>
      <c r="C215" s="47" t="s">
        <v>250</v>
      </c>
      <c r="D215" s="102">
        <v>10.5</v>
      </c>
      <c r="E215" s="102">
        <v>21</v>
      </c>
      <c r="F215" s="94">
        <v>100.43</v>
      </c>
      <c r="G215" s="94">
        <v>140.69</v>
      </c>
      <c r="H215" s="94">
        <f t="shared" si="3"/>
        <v>220.5</v>
      </c>
      <c r="I215" s="95">
        <v>15</v>
      </c>
      <c r="J215" t="s">
        <v>9779</v>
      </c>
      <c r="K215" t="s">
        <v>10765</v>
      </c>
      <c r="L215" s="46">
        <v>2900</v>
      </c>
      <c r="N215" t="s">
        <v>7316</v>
      </c>
      <c r="O215" t="s">
        <v>7316</v>
      </c>
      <c r="R215" s="48" t="s">
        <v>8496</v>
      </c>
      <c r="S215" t="s">
        <v>8622</v>
      </c>
      <c r="T215" t="s">
        <v>8631</v>
      </c>
      <c r="U215" s="62">
        <v>7.1</v>
      </c>
      <c r="V215" s="62" t="s">
        <v>8601</v>
      </c>
      <c r="W215" s="160">
        <v>15000</v>
      </c>
    </row>
    <row r="216" spans="1:24">
      <c r="A216" s="83" t="s">
        <v>9778</v>
      </c>
      <c r="B216" s="319">
        <v>284300</v>
      </c>
      <c r="C216" s="47" t="s">
        <v>250</v>
      </c>
      <c r="D216" s="102">
        <v>10.5</v>
      </c>
      <c r="E216" s="102">
        <v>21</v>
      </c>
      <c r="F216" s="94">
        <v>100.43</v>
      </c>
      <c r="G216" s="94">
        <v>140.69</v>
      </c>
      <c r="H216" s="94">
        <f t="shared" si="3"/>
        <v>220.5</v>
      </c>
      <c r="I216" s="95">
        <v>15</v>
      </c>
      <c r="J216" t="s">
        <v>9779</v>
      </c>
      <c r="K216" t="s">
        <v>242</v>
      </c>
      <c r="L216" s="46">
        <v>1000</v>
      </c>
      <c r="N216" t="s">
        <v>7316</v>
      </c>
      <c r="O216" t="s">
        <v>7316</v>
      </c>
      <c r="R216" s="48" t="s">
        <v>8496</v>
      </c>
      <c r="S216" t="s">
        <v>8622</v>
      </c>
      <c r="T216" t="s">
        <v>8632</v>
      </c>
      <c r="U216" s="62">
        <v>7.2</v>
      </c>
      <c r="V216" s="62" t="s">
        <v>8601</v>
      </c>
      <c r="W216" s="160">
        <v>15000</v>
      </c>
    </row>
    <row r="217" spans="1:24">
      <c r="A217" s="83" t="s">
        <v>9778</v>
      </c>
      <c r="B217" s="319">
        <v>284300</v>
      </c>
      <c r="C217" s="47" t="s">
        <v>250</v>
      </c>
      <c r="D217" s="102">
        <v>10.5</v>
      </c>
      <c r="E217" s="102">
        <v>21</v>
      </c>
      <c r="F217" s="94">
        <v>100.43</v>
      </c>
      <c r="G217" s="94">
        <v>140.69</v>
      </c>
      <c r="H217" s="94">
        <f t="shared" si="3"/>
        <v>220.5</v>
      </c>
      <c r="I217" s="95">
        <v>15</v>
      </c>
      <c r="J217" t="s">
        <v>9779</v>
      </c>
      <c r="K217" t="s">
        <v>10767</v>
      </c>
      <c r="L217" s="46">
        <v>2500</v>
      </c>
      <c r="N217" t="s">
        <v>7316</v>
      </c>
      <c r="O217" t="s">
        <v>7316</v>
      </c>
      <c r="R217" s="48" t="s">
        <v>8496</v>
      </c>
      <c r="S217" t="s">
        <v>8622</v>
      </c>
      <c r="T217" t="s">
        <v>8633</v>
      </c>
      <c r="U217" s="62">
        <v>7</v>
      </c>
      <c r="V217" s="62" t="s">
        <v>8601</v>
      </c>
      <c r="W217" s="160">
        <v>15000</v>
      </c>
    </row>
    <row r="218" spans="1:24">
      <c r="A218" s="83" t="s">
        <v>9778</v>
      </c>
      <c r="B218" s="319">
        <v>284300</v>
      </c>
      <c r="C218" s="47" t="s">
        <v>250</v>
      </c>
      <c r="D218" s="102">
        <v>10.5</v>
      </c>
      <c r="E218" s="102">
        <v>21</v>
      </c>
      <c r="F218" s="94">
        <v>100.43</v>
      </c>
      <c r="G218" s="94">
        <v>140.69</v>
      </c>
      <c r="H218" s="94">
        <f t="shared" si="3"/>
        <v>220.5</v>
      </c>
      <c r="I218" s="95">
        <v>15</v>
      </c>
      <c r="J218" t="s">
        <v>9779</v>
      </c>
      <c r="K218" t="s">
        <v>10766</v>
      </c>
      <c r="L218" s="46">
        <v>2900</v>
      </c>
      <c r="N218" t="s">
        <v>7316</v>
      </c>
      <c r="O218" t="s">
        <v>7316</v>
      </c>
      <c r="R218" s="48" t="s">
        <v>8496</v>
      </c>
      <c r="S218" t="s">
        <v>8622</v>
      </c>
      <c r="T218" t="s">
        <v>8601</v>
      </c>
      <c r="U218" s="62">
        <v>7</v>
      </c>
      <c r="V218" s="62" t="s">
        <v>8601</v>
      </c>
      <c r="W218" s="160">
        <v>15000</v>
      </c>
    </row>
    <row r="219" spans="1:24">
      <c r="A219" s="83" t="s">
        <v>9778</v>
      </c>
      <c r="B219" s="319">
        <v>284300</v>
      </c>
      <c r="C219" s="47" t="s">
        <v>250</v>
      </c>
      <c r="D219" s="102">
        <v>10.5</v>
      </c>
      <c r="E219" s="102">
        <v>21</v>
      </c>
      <c r="F219" s="94">
        <v>100.43</v>
      </c>
      <c r="G219" s="94">
        <v>140.69</v>
      </c>
      <c r="H219" s="94">
        <f t="shared" si="3"/>
        <v>220.5</v>
      </c>
      <c r="I219" s="95">
        <v>15</v>
      </c>
      <c r="J219" t="s">
        <v>9779</v>
      </c>
      <c r="K219" t="s">
        <v>240</v>
      </c>
      <c r="L219" s="46" t="s">
        <v>1</v>
      </c>
      <c r="N219" t="s">
        <v>7316</v>
      </c>
      <c r="O219" t="s">
        <v>7316</v>
      </c>
      <c r="R219" s="48" t="s">
        <v>8496</v>
      </c>
      <c r="S219" t="s">
        <v>8622</v>
      </c>
      <c r="T219" t="s">
        <v>8634</v>
      </c>
      <c r="U219" s="62">
        <v>7.2</v>
      </c>
      <c r="V219" s="62" t="s">
        <v>8602</v>
      </c>
      <c r="W219" s="160">
        <v>5000</v>
      </c>
    </row>
    <row r="220" spans="1:24">
      <c r="A220" s="83" t="s">
        <v>9778</v>
      </c>
      <c r="B220" s="319">
        <v>284300</v>
      </c>
      <c r="C220" s="47" t="s">
        <v>250</v>
      </c>
      <c r="D220" s="102">
        <v>10.5</v>
      </c>
      <c r="E220" s="102">
        <v>21</v>
      </c>
      <c r="F220" s="94">
        <v>100.43</v>
      </c>
      <c r="G220" s="94">
        <v>140.69</v>
      </c>
      <c r="H220" s="94">
        <f t="shared" si="3"/>
        <v>220.5</v>
      </c>
      <c r="I220" s="95">
        <v>15</v>
      </c>
      <c r="J220" t="s">
        <v>9779</v>
      </c>
      <c r="K220" t="s">
        <v>10768</v>
      </c>
      <c r="L220" s="46">
        <v>5000</v>
      </c>
      <c r="N220" t="s">
        <v>7316</v>
      </c>
      <c r="O220" t="s">
        <v>7316</v>
      </c>
      <c r="R220" s="48" t="s">
        <v>8496</v>
      </c>
      <c r="S220" t="s">
        <v>8623</v>
      </c>
      <c r="T220" t="s">
        <v>8629</v>
      </c>
      <c r="U220" s="62">
        <v>7.2</v>
      </c>
      <c r="V220" s="62" t="s">
        <v>8602</v>
      </c>
      <c r="W220" s="160">
        <v>5000</v>
      </c>
    </row>
    <row r="221" spans="1:24">
      <c r="A221" s="83" t="s">
        <v>208</v>
      </c>
      <c r="B221" s="319">
        <v>307300</v>
      </c>
      <c r="C221" s="47" t="s">
        <v>250</v>
      </c>
      <c r="D221" s="102">
        <v>10.5</v>
      </c>
      <c r="E221" s="102">
        <v>27</v>
      </c>
      <c r="F221" s="94">
        <v>168.45</v>
      </c>
      <c r="G221" s="94">
        <v>168.45</v>
      </c>
      <c r="H221" s="94">
        <f t="shared" si="3"/>
        <v>283.5</v>
      </c>
      <c r="I221" s="95">
        <v>18</v>
      </c>
      <c r="J221" t="s">
        <v>265</v>
      </c>
      <c r="K221" t="s">
        <v>241</v>
      </c>
      <c r="L221" s="46" t="s">
        <v>1</v>
      </c>
      <c r="N221" t="s">
        <v>7316</v>
      </c>
      <c r="O221" t="s">
        <v>7316</v>
      </c>
      <c r="R221" s="48" t="s">
        <v>8496</v>
      </c>
      <c r="S221" t="s">
        <v>8623</v>
      </c>
      <c r="T221" t="s">
        <v>8630</v>
      </c>
      <c r="U221" s="62">
        <v>7</v>
      </c>
      <c r="V221" s="62" t="s">
        <v>8601</v>
      </c>
      <c r="W221" s="160">
        <v>15000</v>
      </c>
    </row>
    <row r="222" spans="1:24">
      <c r="A222" s="83" t="s">
        <v>208</v>
      </c>
      <c r="B222" s="319">
        <v>307300</v>
      </c>
      <c r="C222" s="47" t="s">
        <v>250</v>
      </c>
      <c r="D222" s="102">
        <v>10.5</v>
      </c>
      <c r="E222" s="102">
        <v>27</v>
      </c>
      <c r="F222" s="94">
        <v>168.45</v>
      </c>
      <c r="G222" s="94">
        <v>168.45</v>
      </c>
      <c r="H222" s="94">
        <f t="shared" si="3"/>
        <v>283.5</v>
      </c>
      <c r="I222" s="95">
        <v>18</v>
      </c>
      <c r="J222" t="s">
        <v>265</v>
      </c>
      <c r="K222" t="s">
        <v>10765</v>
      </c>
      <c r="L222" s="46">
        <v>2900</v>
      </c>
      <c r="N222" t="s">
        <v>7316</v>
      </c>
      <c r="O222" t="s">
        <v>7316</v>
      </c>
      <c r="Q222" s="48"/>
      <c r="R222" s="48" t="s">
        <v>8496</v>
      </c>
      <c r="S222" t="s">
        <v>8623</v>
      </c>
      <c r="T222" t="s">
        <v>8635</v>
      </c>
      <c r="U222" s="62">
        <v>7.1</v>
      </c>
      <c r="V222" s="62" t="s">
        <v>8601</v>
      </c>
      <c r="W222" s="160">
        <v>15000</v>
      </c>
      <c r="X222" s="48"/>
    </row>
    <row r="223" spans="1:24">
      <c r="A223" s="83" t="s">
        <v>208</v>
      </c>
      <c r="B223" s="319">
        <v>307300</v>
      </c>
      <c r="C223" s="47" t="s">
        <v>250</v>
      </c>
      <c r="D223" s="102">
        <v>10.5</v>
      </c>
      <c r="E223" s="102">
        <v>27</v>
      </c>
      <c r="F223" s="94">
        <v>168.45</v>
      </c>
      <c r="G223" s="94">
        <v>168.45</v>
      </c>
      <c r="H223" s="94">
        <f t="shared" si="3"/>
        <v>283.5</v>
      </c>
      <c r="I223" s="95">
        <v>18</v>
      </c>
      <c r="J223" t="s">
        <v>265</v>
      </c>
      <c r="K223" t="s">
        <v>242</v>
      </c>
      <c r="L223" s="46">
        <v>1000</v>
      </c>
      <c r="N223" t="s">
        <v>7316</v>
      </c>
      <c r="O223" t="s">
        <v>7316</v>
      </c>
      <c r="R223" s="48" t="s">
        <v>8496</v>
      </c>
      <c r="S223" t="s">
        <v>8623</v>
      </c>
      <c r="T223" t="s">
        <v>8631</v>
      </c>
      <c r="U223" s="62">
        <v>7.2</v>
      </c>
      <c r="V223" s="62" t="s">
        <v>8602</v>
      </c>
      <c r="W223" s="160">
        <v>5000</v>
      </c>
    </row>
    <row r="224" spans="1:24">
      <c r="A224" s="83" t="s">
        <v>208</v>
      </c>
      <c r="B224" s="319">
        <v>307300</v>
      </c>
      <c r="C224" s="47" t="s">
        <v>250</v>
      </c>
      <c r="D224" s="102">
        <v>10.5</v>
      </c>
      <c r="E224" s="102">
        <v>27</v>
      </c>
      <c r="F224" s="94">
        <v>168.45</v>
      </c>
      <c r="G224" s="94">
        <v>168.45</v>
      </c>
      <c r="H224" s="94">
        <f t="shared" si="3"/>
        <v>283.5</v>
      </c>
      <c r="I224" s="95">
        <v>18</v>
      </c>
      <c r="J224" t="s">
        <v>265</v>
      </c>
      <c r="K224" t="s">
        <v>10767</v>
      </c>
      <c r="L224" s="46">
        <v>2500</v>
      </c>
      <c r="N224" t="s">
        <v>7316</v>
      </c>
      <c r="O224" t="s">
        <v>7316</v>
      </c>
      <c r="P224" t="s">
        <v>7318</v>
      </c>
      <c r="R224" s="48" t="s">
        <v>8496</v>
      </c>
      <c r="S224" t="s">
        <v>8623</v>
      </c>
      <c r="T224" t="s">
        <v>8632</v>
      </c>
      <c r="U224" s="62">
        <v>7.3</v>
      </c>
      <c r="V224" s="62" t="s">
        <v>8602</v>
      </c>
      <c r="W224" s="160">
        <v>5000</v>
      </c>
    </row>
    <row r="225" spans="1:24">
      <c r="A225" s="83" t="s">
        <v>208</v>
      </c>
      <c r="B225" s="319">
        <v>307300</v>
      </c>
      <c r="C225" s="47" t="s">
        <v>250</v>
      </c>
      <c r="D225" s="102">
        <v>10.5</v>
      </c>
      <c r="E225" s="102">
        <v>27</v>
      </c>
      <c r="F225" s="94">
        <v>168.45</v>
      </c>
      <c r="G225" s="94">
        <v>168.45</v>
      </c>
      <c r="H225" s="94">
        <f t="shared" si="3"/>
        <v>283.5</v>
      </c>
      <c r="I225" s="95">
        <v>18</v>
      </c>
      <c r="J225" t="s">
        <v>265</v>
      </c>
      <c r="K225" t="s">
        <v>10766</v>
      </c>
      <c r="L225" s="309">
        <v>2900</v>
      </c>
      <c r="N225" t="s">
        <v>7316</v>
      </c>
      <c r="O225" t="s">
        <v>7316</v>
      </c>
      <c r="R225" s="48" t="s">
        <v>8496</v>
      </c>
      <c r="S225" t="s">
        <v>8623</v>
      </c>
      <c r="T225" t="s">
        <v>8633</v>
      </c>
      <c r="U225" s="62">
        <v>7.1</v>
      </c>
      <c r="V225" s="62" t="s">
        <v>8601</v>
      </c>
      <c r="W225" s="160">
        <v>15000</v>
      </c>
    </row>
    <row r="226" spans="1:24">
      <c r="A226" s="83" t="s">
        <v>208</v>
      </c>
      <c r="B226" s="319">
        <v>307300</v>
      </c>
      <c r="C226" s="47" t="s">
        <v>250</v>
      </c>
      <c r="D226" s="102">
        <v>10.5</v>
      </c>
      <c r="E226" s="102">
        <v>27</v>
      </c>
      <c r="F226" s="94">
        <v>168.45</v>
      </c>
      <c r="G226" s="94">
        <v>168.45</v>
      </c>
      <c r="H226" s="94">
        <f t="shared" si="3"/>
        <v>283.5</v>
      </c>
      <c r="I226" s="95">
        <v>18</v>
      </c>
      <c r="J226" t="s">
        <v>265</v>
      </c>
      <c r="K226" t="s">
        <v>240</v>
      </c>
      <c r="L226" s="46" t="s">
        <v>1</v>
      </c>
      <c r="N226" t="s">
        <v>7316</v>
      </c>
      <c r="O226" t="s">
        <v>7316</v>
      </c>
      <c r="R226" s="48" t="s">
        <v>8496</v>
      </c>
      <c r="S226" t="s">
        <v>8623</v>
      </c>
      <c r="T226" t="s">
        <v>8601</v>
      </c>
      <c r="U226" s="62">
        <v>7.1</v>
      </c>
      <c r="V226" s="62" t="s">
        <v>8601</v>
      </c>
      <c r="W226" s="160">
        <v>15000</v>
      </c>
    </row>
    <row r="227" spans="1:24">
      <c r="A227" s="83" t="s">
        <v>208</v>
      </c>
      <c r="B227" s="319">
        <v>307300</v>
      </c>
      <c r="C227" s="47" t="s">
        <v>250</v>
      </c>
      <c r="D227" s="102">
        <v>10.5</v>
      </c>
      <c r="E227" s="102">
        <v>28</v>
      </c>
      <c r="F227" s="94">
        <v>168.45</v>
      </c>
      <c r="G227" s="94">
        <v>168.45</v>
      </c>
      <c r="H227" s="94">
        <f t="shared" si="3"/>
        <v>294</v>
      </c>
      <c r="I227" s="95">
        <v>18</v>
      </c>
      <c r="J227" t="s">
        <v>265</v>
      </c>
      <c r="K227" t="s">
        <v>10768</v>
      </c>
      <c r="L227" s="46">
        <v>5000</v>
      </c>
      <c r="N227" t="s">
        <v>7316</v>
      </c>
      <c r="O227" t="s">
        <v>7316</v>
      </c>
      <c r="R227" s="48" t="s">
        <v>8496</v>
      </c>
      <c r="S227" t="s">
        <v>8623</v>
      </c>
      <c r="T227" t="s">
        <v>8634</v>
      </c>
      <c r="U227" s="62">
        <v>7.1</v>
      </c>
      <c r="V227" s="62" t="s">
        <v>8601</v>
      </c>
      <c r="W227" s="160">
        <v>15000</v>
      </c>
    </row>
    <row r="228" spans="1:24">
      <c r="A228" s="83" t="s">
        <v>7485</v>
      </c>
      <c r="B228" s="319">
        <v>317000</v>
      </c>
      <c r="C228" s="47" t="s">
        <v>250</v>
      </c>
      <c r="D228" s="102">
        <v>10.5</v>
      </c>
      <c r="E228" s="102">
        <v>27</v>
      </c>
      <c r="F228" s="94">
        <v>168.45</v>
      </c>
      <c r="G228" s="94">
        <v>168.45</v>
      </c>
      <c r="H228" s="94">
        <f t="shared" si="3"/>
        <v>283.5</v>
      </c>
      <c r="I228" s="95">
        <v>18</v>
      </c>
      <c r="J228" t="s">
        <v>7486</v>
      </c>
      <c r="K228" t="s">
        <v>241</v>
      </c>
      <c r="L228" s="46" t="s">
        <v>1</v>
      </c>
      <c r="N228" t="s">
        <v>7316</v>
      </c>
      <c r="O228" t="s">
        <v>7316</v>
      </c>
      <c r="R228" s="48" t="s">
        <v>9907</v>
      </c>
      <c r="S228" t="s">
        <v>8622</v>
      </c>
      <c r="T228" t="s">
        <v>8629</v>
      </c>
      <c r="U228" s="62"/>
      <c r="V228" s="62"/>
      <c r="W228" s="160">
        <v>0</v>
      </c>
    </row>
    <row r="229" spans="1:24">
      <c r="A229" s="83" t="s">
        <v>7485</v>
      </c>
      <c r="B229" s="319">
        <v>317000</v>
      </c>
      <c r="C229" s="47" t="s">
        <v>250</v>
      </c>
      <c r="D229" s="102">
        <v>10.5</v>
      </c>
      <c r="E229" s="102">
        <v>27</v>
      </c>
      <c r="F229" s="94">
        <v>168.45</v>
      </c>
      <c r="G229" s="94">
        <v>168.45</v>
      </c>
      <c r="H229" s="94">
        <f t="shared" si="3"/>
        <v>283.5</v>
      </c>
      <c r="I229" s="95">
        <v>18</v>
      </c>
      <c r="J229" t="s">
        <v>7486</v>
      </c>
      <c r="K229" t="s">
        <v>10765</v>
      </c>
      <c r="L229" s="46">
        <v>2900</v>
      </c>
      <c r="N229" t="s">
        <v>7316</v>
      </c>
      <c r="O229" t="s">
        <v>7316</v>
      </c>
      <c r="R229" s="48" t="s">
        <v>9907</v>
      </c>
      <c r="S229" t="s">
        <v>8622</v>
      </c>
      <c r="T229" t="s">
        <v>8630</v>
      </c>
      <c r="U229" s="62"/>
      <c r="V229" s="62"/>
      <c r="W229" s="160">
        <v>0</v>
      </c>
    </row>
    <row r="230" spans="1:24">
      <c r="A230" s="83" t="s">
        <v>7485</v>
      </c>
      <c r="B230" s="319">
        <v>317000</v>
      </c>
      <c r="C230" s="47" t="s">
        <v>250</v>
      </c>
      <c r="D230" s="102">
        <v>10.5</v>
      </c>
      <c r="E230" s="102">
        <v>27</v>
      </c>
      <c r="F230" s="94">
        <v>168.45</v>
      </c>
      <c r="G230" s="94">
        <v>168.45</v>
      </c>
      <c r="H230" s="94">
        <f t="shared" si="3"/>
        <v>283.5</v>
      </c>
      <c r="I230" s="95">
        <v>18</v>
      </c>
      <c r="J230" t="s">
        <v>7486</v>
      </c>
      <c r="K230" t="s">
        <v>242</v>
      </c>
      <c r="L230" s="46">
        <v>1000</v>
      </c>
      <c r="N230" t="s">
        <v>7316</v>
      </c>
      <c r="O230" t="s">
        <v>7316</v>
      </c>
      <c r="R230" s="48" t="s">
        <v>9907</v>
      </c>
      <c r="S230" t="s">
        <v>8622</v>
      </c>
      <c r="T230" t="s">
        <v>8635</v>
      </c>
      <c r="U230" s="62"/>
      <c r="V230" s="62"/>
      <c r="W230" s="160">
        <v>0</v>
      </c>
    </row>
    <row r="231" spans="1:24">
      <c r="A231" s="83" t="s">
        <v>7485</v>
      </c>
      <c r="B231" s="319">
        <v>317000</v>
      </c>
      <c r="C231" s="47" t="s">
        <v>250</v>
      </c>
      <c r="D231" s="102">
        <v>10.5</v>
      </c>
      <c r="E231" s="102">
        <v>27</v>
      </c>
      <c r="F231" s="94">
        <v>168.45</v>
      </c>
      <c r="G231" s="94">
        <v>168.45</v>
      </c>
      <c r="H231" s="94">
        <f t="shared" si="3"/>
        <v>283.5</v>
      </c>
      <c r="I231" s="95">
        <v>18</v>
      </c>
      <c r="J231" t="s">
        <v>7486</v>
      </c>
      <c r="K231" t="s">
        <v>10767</v>
      </c>
      <c r="L231" s="46">
        <v>2500</v>
      </c>
      <c r="N231" t="s">
        <v>7316</v>
      </c>
      <c r="O231" t="s">
        <v>7316</v>
      </c>
      <c r="P231" t="s">
        <v>7318</v>
      </c>
      <c r="R231" s="48" t="s">
        <v>9907</v>
      </c>
      <c r="S231" t="s">
        <v>8622</v>
      </c>
      <c r="T231" t="s">
        <v>8631</v>
      </c>
      <c r="U231" s="62"/>
      <c r="V231" s="62"/>
      <c r="W231" s="160">
        <v>0</v>
      </c>
    </row>
    <row r="232" spans="1:24">
      <c r="A232" s="83" t="s">
        <v>7485</v>
      </c>
      <c r="B232" s="319">
        <v>317000</v>
      </c>
      <c r="C232" s="47" t="s">
        <v>250</v>
      </c>
      <c r="D232" s="102">
        <v>10.5</v>
      </c>
      <c r="E232" s="102">
        <v>27</v>
      </c>
      <c r="F232" s="94">
        <v>168.45</v>
      </c>
      <c r="G232" s="94">
        <v>168.45</v>
      </c>
      <c r="H232" s="94">
        <f t="shared" si="3"/>
        <v>283.5</v>
      </c>
      <c r="I232" s="95">
        <v>18</v>
      </c>
      <c r="J232" t="s">
        <v>7486</v>
      </c>
      <c r="K232" t="s">
        <v>10766</v>
      </c>
      <c r="L232" s="309">
        <v>2900</v>
      </c>
      <c r="N232" t="s">
        <v>7316</v>
      </c>
      <c r="O232" t="s">
        <v>7316</v>
      </c>
      <c r="R232" s="48" t="s">
        <v>9907</v>
      </c>
      <c r="S232" t="s">
        <v>8622</v>
      </c>
      <c r="T232" t="s">
        <v>8632</v>
      </c>
      <c r="U232" s="62"/>
      <c r="V232" s="62"/>
      <c r="W232" s="160">
        <v>0</v>
      </c>
    </row>
    <row r="233" spans="1:24">
      <c r="A233" s="83" t="s">
        <v>7485</v>
      </c>
      <c r="B233" s="319">
        <v>317000</v>
      </c>
      <c r="C233" s="47" t="s">
        <v>250</v>
      </c>
      <c r="D233" s="102">
        <v>10.5</v>
      </c>
      <c r="E233" s="102">
        <v>27</v>
      </c>
      <c r="F233" s="94">
        <v>168.45</v>
      </c>
      <c r="G233" s="94">
        <v>168.45</v>
      </c>
      <c r="H233" s="94">
        <f t="shared" si="3"/>
        <v>283.5</v>
      </c>
      <c r="I233" s="95">
        <v>18</v>
      </c>
      <c r="J233" t="s">
        <v>7486</v>
      </c>
      <c r="K233" t="s">
        <v>240</v>
      </c>
      <c r="L233" s="46" t="s">
        <v>1</v>
      </c>
      <c r="N233" t="s">
        <v>7316</v>
      </c>
      <c r="O233" t="s">
        <v>7316</v>
      </c>
      <c r="Q233" s="48"/>
      <c r="R233" s="48" t="s">
        <v>9907</v>
      </c>
      <c r="S233" t="s">
        <v>8622</v>
      </c>
      <c r="T233" t="s">
        <v>8633</v>
      </c>
      <c r="U233" s="62"/>
      <c r="V233" s="62"/>
      <c r="W233" s="160">
        <v>0</v>
      </c>
      <c r="X233" s="48"/>
    </row>
    <row r="234" spans="1:24">
      <c r="A234" s="83" t="s">
        <v>7485</v>
      </c>
      <c r="B234" s="319">
        <v>317000</v>
      </c>
      <c r="C234" s="47" t="s">
        <v>250</v>
      </c>
      <c r="D234" s="102">
        <v>10.5</v>
      </c>
      <c r="E234" s="102">
        <v>28</v>
      </c>
      <c r="F234" s="94">
        <v>168.45</v>
      </c>
      <c r="G234" s="94">
        <v>168.45</v>
      </c>
      <c r="H234" s="94">
        <f t="shared" si="3"/>
        <v>294</v>
      </c>
      <c r="I234" s="95">
        <v>18</v>
      </c>
      <c r="J234" t="s">
        <v>7486</v>
      </c>
      <c r="K234" t="s">
        <v>10768</v>
      </c>
      <c r="L234" s="46">
        <v>5000</v>
      </c>
      <c r="N234" t="s">
        <v>7316</v>
      </c>
      <c r="O234" t="s">
        <v>7316</v>
      </c>
      <c r="R234" s="48" t="s">
        <v>9907</v>
      </c>
      <c r="S234" t="s">
        <v>8622</v>
      </c>
      <c r="T234" t="s">
        <v>8601</v>
      </c>
      <c r="U234" s="62"/>
      <c r="V234" s="62"/>
      <c r="W234" s="160">
        <v>0</v>
      </c>
    </row>
    <row r="235" spans="1:24">
      <c r="A235" s="83" t="s">
        <v>9184</v>
      </c>
      <c r="B235" s="319">
        <v>313400</v>
      </c>
      <c r="C235" s="47" t="s">
        <v>250</v>
      </c>
      <c r="D235" s="102">
        <v>12.5</v>
      </c>
      <c r="E235" s="102">
        <v>27</v>
      </c>
      <c r="F235" s="94">
        <v>181.39</v>
      </c>
      <c r="G235" s="94">
        <v>181.39</v>
      </c>
      <c r="H235" s="94">
        <f t="shared" si="3"/>
        <v>337.5</v>
      </c>
      <c r="I235" s="95">
        <v>20</v>
      </c>
      <c r="J235" t="s">
        <v>259</v>
      </c>
      <c r="K235" t="s">
        <v>241</v>
      </c>
      <c r="L235" s="46" t="s">
        <v>1</v>
      </c>
      <c r="N235" t="s">
        <v>7316</v>
      </c>
      <c r="O235" t="s">
        <v>7316</v>
      </c>
      <c r="R235" s="48" t="s">
        <v>9907</v>
      </c>
      <c r="S235" t="s">
        <v>8622</v>
      </c>
      <c r="T235" t="s">
        <v>8634</v>
      </c>
      <c r="U235" s="62"/>
      <c r="V235" s="62"/>
      <c r="W235" s="160">
        <v>0</v>
      </c>
    </row>
    <row r="236" spans="1:24">
      <c r="A236" s="83" t="s">
        <v>9184</v>
      </c>
      <c r="B236" s="319">
        <v>313400</v>
      </c>
      <c r="C236" s="47" t="s">
        <v>250</v>
      </c>
      <c r="D236" s="102">
        <v>12.5</v>
      </c>
      <c r="E236" s="102">
        <v>27</v>
      </c>
      <c r="F236" s="94">
        <v>181.39</v>
      </c>
      <c r="G236" s="94">
        <v>181.39</v>
      </c>
      <c r="H236" s="94">
        <f t="shared" si="3"/>
        <v>337.5</v>
      </c>
      <c r="I236" s="95">
        <v>20</v>
      </c>
      <c r="J236" t="s">
        <v>259</v>
      </c>
      <c r="K236" t="s">
        <v>10765</v>
      </c>
      <c r="L236" s="46">
        <v>2900</v>
      </c>
      <c r="N236" t="s">
        <v>7316</v>
      </c>
      <c r="O236" t="s">
        <v>7316</v>
      </c>
      <c r="R236" s="48" t="s">
        <v>9907</v>
      </c>
      <c r="S236" t="s">
        <v>8623</v>
      </c>
      <c r="T236" t="s">
        <v>8629</v>
      </c>
      <c r="U236" s="62"/>
      <c r="V236" s="62"/>
      <c r="W236" s="160">
        <v>0</v>
      </c>
    </row>
    <row r="237" spans="1:24">
      <c r="A237" s="83" t="s">
        <v>9184</v>
      </c>
      <c r="B237" s="319">
        <v>313400</v>
      </c>
      <c r="C237" s="47" t="s">
        <v>250</v>
      </c>
      <c r="D237" s="102">
        <v>12.5</v>
      </c>
      <c r="E237" s="102">
        <v>27</v>
      </c>
      <c r="F237" s="94">
        <v>181.39</v>
      </c>
      <c r="G237" s="94">
        <v>181.39</v>
      </c>
      <c r="H237" s="94">
        <f t="shared" si="3"/>
        <v>337.5</v>
      </c>
      <c r="I237" s="95">
        <v>20</v>
      </c>
      <c r="J237" t="s">
        <v>259</v>
      </c>
      <c r="K237" t="s">
        <v>242</v>
      </c>
      <c r="L237" s="46">
        <v>1000</v>
      </c>
      <c r="N237" t="s">
        <v>7316</v>
      </c>
      <c r="O237" t="s">
        <v>7316</v>
      </c>
      <c r="R237" s="48" t="s">
        <v>9907</v>
      </c>
      <c r="S237" t="s">
        <v>8623</v>
      </c>
      <c r="T237" t="s">
        <v>8630</v>
      </c>
      <c r="U237" s="62"/>
      <c r="V237" s="62"/>
      <c r="W237" s="160">
        <v>0</v>
      </c>
    </row>
    <row r="238" spans="1:24">
      <c r="A238" s="83" t="s">
        <v>9184</v>
      </c>
      <c r="B238" s="319">
        <v>313400</v>
      </c>
      <c r="C238" s="47" t="s">
        <v>250</v>
      </c>
      <c r="D238" s="102">
        <v>12.5</v>
      </c>
      <c r="E238" s="102">
        <v>27</v>
      </c>
      <c r="F238" s="94">
        <v>181.39</v>
      </c>
      <c r="G238" s="94">
        <v>181.39</v>
      </c>
      <c r="H238" s="94">
        <f t="shared" si="3"/>
        <v>337.5</v>
      </c>
      <c r="I238" s="95">
        <v>20</v>
      </c>
      <c r="J238" t="s">
        <v>259</v>
      </c>
      <c r="K238" t="s">
        <v>10767</v>
      </c>
      <c r="L238" s="46">
        <v>2500</v>
      </c>
      <c r="N238" t="s">
        <v>7316</v>
      </c>
      <c r="O238" t="s">
        <v>7316</v>
      </c>
      <c r="P238" t="s">
        <v>7318</v>
      </c>
      <c r="R238" s="48" t="s">
        <v>9907</v>
      </c>
      <c r="S238" t="s">
        <v>8623</v>
      </c>
      <c r="T238" t="s">
        <v>8635</v>
      </c>
      <c r="U238" s="62"/>
      <c r="V238" s="62"/>
      <c r="W238" s="160">
        <v>0</v>
      </c>
    </row>
    <row r="239" spans="1:24">
      <c r="A239" s="83" t="s">
        <v>9184</v>
      </c>
      <c r="B239" s="319">
        <v>313400</v>
      </c>
      <c r="C239" s="47" t="s">
        <v>250</v>
      </c>
      <c r="D239" s="102">
        <v>12.5</v>
      </c>
      <c r="E239" s="102">
        <v>27</v>
      </c>
      <c r="F239" s="94">
        <v>181.39</v>
      </c>
      <c r="G239" s="94">
        <v>181.39</v>
      </c>
      <c r="H239" s="94">
        <f t="shared" si="3"/>
        <v>337.5</v>
      </c>
      <c r="I239" s="95">
        <v>20</v>
      </c>
      <c r="J239" t="s">
        <v>259</v>
      </c>
      <c r="K239" t="s">
        <v>10766</v>
      </c>
      <c r="L239" s="309">
        <v>2900</v>
      </c>
      <c r="N239" t="s">
        <v>7316</v>
      </c>
      <c r="O239" t="s">
        <v>7316</v>
      </c>
      <c r="R239" s="48" t="s">
        <v>9907</v>
      </c>
      <c r="S239" t="s">
        <v>8623</v>
      </c>
      <c r="T239" t="s">
        <v>8631</v>
      </c>
      <c r="U239" s="62"/>
      <c r="V239" s="62"/>
      <c r="W239" s="160">
        <v>0</v>
      </c>
    </row>
    <row r="240" spans="1:24">
      <c r="A240" s="83" t="s">
        <v>9184</v>
      </c>
      <c r="B240" s="319">
        <v>313400</v>
      </c>
      <c r="C240" s="47" t="s">
        <v>250</v>
      </c>
      <c r="D240" s="102">
        <v>12.5</v>
      </c>
      <c r="E240" s="102">
        <v>27</v>
      </c>
      <c r="F240" s="94">
        <v>181.39</v>
      </c>
      <c r="G240" s="94">
        <v>181.39</v>
      </c>
      <c r="H240" s="94">
        <f t="shared" si="3"/>
        <v>337.5</v>
      </c>
      <c r="I240" s="95">
        <v>20</v>
      </c>
      <c r="J240" t="s">
        <v>259</v>
      </c>
      <c r="K240" t="s">
        <v>240</v>
      </c>
      <c r="L240" s="46" t="s">
        <v>1</v>
      </c>
      <c r="N240" t="s">
        <v>7316</v>
      </c>
      <c r="O240" t="s">
        <v>7316</v>
      </c>
      <c r="R240" s="48" t="s">
        <v>9907</v>
      </c>
      <c r="S240" t="s">
        <v>8623</v>
      </c>
      <c r="T240" t="s">
        <v>8632</v>
      </c>
      <c r="U240" s="62"/>
      <c r="V240" s="62"/>
      <c r="W240" s="160">
        <v>0</v>
      </c>
    </row>
    <row r="241" spans="1:24">
      <c r="A241" s="83" t="s">
        <v>9184</v>
      </c>
      <c r="B241" s="319">
        <v>313400</v>
      </c>
      <c r="C241" s="47" t="s">
        <v>250</v>
      </c>
      <c r="D241" s="102">
        <v>12.5</v>
      </c>
      <c r="E241" s="102">
        <v>28</v>
      </c>
      <c r="F241" s="94">
        <v>181.39</v>
      </c>
      <c r="G241" s="94">
        <v>181.39</v>
      </c>
      <c r="H241" s="94">
        <f t="shared" si="3"/>
        <v>350</v>
      </c>
      <c r="I241" s="95">
        <v>20</v>
      </c>
      <c r="J241" t="s">
        <v>259</v>
      </c>
      <c r="K241" t="s">
        <v>10768</v>
      </c>
      <c r="L241" s="46">
        <v>5000</v>
      </c>
      <c r="N241" t="s">
        <v>7316</v>
      </c>
      <c r="O241" t="s">
        <v>7316</v>
      </c>
      <c r="R241" s="48" t="s">
        <v>9907</v>
      </c>
      <c r="S241" t="s">
        <v>8623</v>
      </c>
      <c r="T241" t="s">
        <v>8633</v>
      </c>
      <c r="U241" s="62"/>
      <c r="V241" s="62"/>
      <c r="W241" s="160">
        <v>0</v>
      </c>
    </row>
    <row r="242" spans="1:24">
      <c r="A242" s="83" t="s">
        <v>9183</v>
      </c>
      <c r="B242" s="319">
        <v>323100</v>
      </c>
      <c r="C242" s="47" t="s">
        <v>250</v>
      </c>
      <c r="D242" s="102">
        <v>12.5</v>
      </c>
      <c r="E242" s="102">
        <v>27</v>
      </c>
      <c r="F242" s="94">
        <v>181.39</v>
      </c>
      <c r="G242" s="94">
        <v>181.39</v>
      </c>
      <c r="H242" s="94">
        <f t="shared" si="3"/>
        <v>337.5</v>
      </c>
      <c r="I242" s="95">
        <v>20</v>
      </c>
      <c r="J242" t="s">
        <v>9182</v>
      </c>
      <c r="K242" t="s">
        <v>241</v>
      </c>
      <c r="L242" s="46" t="s">
        <v>1</v>
      </c>
      <c r="N242" t="s">
        <v>7316</v>
      </c>
      <c r="O242" t="s">
        <v>7316</v>
      </c>
      <c r="R242" s="48" t="s">
        <v>9907</v>
      </c>
      <c r="S242" t="s">
        <v>8623</v>
      </c>
      <c r="T242" t="s">
        <v>8601</v>
      </c>
      <c r="U242" s="62"/>
      <c r="V242" s="62"/>
      <c r="W242" s="160">
        <v>0</v>
      </c>
    </row>
    <row r="243" spans="1:24">
      <c r="A243" s="83" t="s">
        <v>9183</v>
      </c>
      <c r="B243" s="319">
        <v>323100</v>
      </c>
      <c r="C243" s="47" t="s">
        <v>250</v>
      </c>
      <c r="D243" s="102">
        <v>12.5</v>
      </c>
      <c r="E243" s="102">
        <v>27</v>
      </c>
      <c r="F243" s="94">
        <v>181.39</v>
      </c>
      <c r="G243" s="94">
        <v>181.39</v>
      </c>
      <c r="H243" s="94">
        <f t="shared" si="3"/>
        <v>337.5</v>
      </c>
      <c r="I243" s="95">
        <v>20</v>
      </c>
      <c r="J243" t="s">
        <v>9182</v>
      </c>
      <c r="K243" t="s">
        <v>10765</v>
      </c>
      <c r="L243" s="46">
        <v>2900</v>
      </c>
      <c r="N243" t="s">
        <v>7316</v>
      </c>
      <c r="O243" t="s">
        <v>7316</v>
      </c>
      <c r="R243" s="48" t="s">
        <v>9907</v>
      </c>
      <c r="S243" t="s">
        <v>8623</v>
      </c>
      <c r="T243" t="s">
        <v>8634</v>
      </c>
      <c r="U243" s="62"/>
      <c r="V243" s="62"/>
      <c r="W243" s="160">
        <v>0</v>
      </c>
    </row>
    <row r="244" spans="1:24">
      <c r="A244" s="83" t="s">
        <v>9183</v>
      </c>
      <c r="B244" s="319">
        <v>323100</v>
      </c>
      <c r="C244" s="47" t="s">
        <v>250</v>
      </c>
      <c r="D244" s="102">
        <v>12.5</v>
      </c>
      <c r="E244" s="102">
        <v>27</v>
      </c>
      <c r="F244" s="94">
        <v>181.39</v>
      </c>
      <c r="G244" s="94">
        <v>181.39</v>
      </c>
      <c r="H244" s="94">
        <f t="shared" si="3"/>
        <v>337.5</v>
      </c>
      <c r="I244" s="95">
        <v>20</v>
      </c>
      <c r="J244" t="s">
        <v>9182</v>
      </c>
      <c r="K244" t="s">
        <v>242</v>
      </c>
      <c r="L244" s="46">
        <v>1000</v>
      </c>
      <c r="N244" t="s">
        <v>7316</v>
      </c>
      <c r="O244" t="s">
        <v>7316</v>
      </c>
      <c r="R244" s="48" t="s">
        <v>9774</v>
      </c>
      <c r="S244" t="s">
        <v>8622</v>
      </c>
      <c r="T244" t="s">
        <v>8629</v>
      </c>
      <c r="U244" s="62"/>
      <c r="V244" s="62"/>
      <c r="W244" s="160">
        <v>0</v>
      </c>
    </row>
    <row r="245" spans="1:24">
      <c r="A245" s="83" t="s">
        <v>9183</v>
      </c>
      <c r="B245" s="319">
        <v>323100</v>
      </c>
      <c r="C245" s="47" t="s">
        <v>250</v>
      </c>
      <c r="D245" s="102">
        <v>12.5</v>
      </c>
      <c r="E245" s="102">
        <v>27</v>
      </c>
      <c r="F245" s="94">
        <v>181.39</v>
      </c>
      <c r="G245" s="94">
        <v>181.39</v>
      </c>
      <c r="H245" s="94">
        <f t="shared" si="3"/>
        <v>337.5</v>
      </c>
      <c r="I245" s="95">
        <v>20</v>
      </c>
      <c r="J245" t="s">
        <v>9182</v>
      </c>
      <c r="K245" t="s">
        <v>10767</v>
      </c>
      <c r="L245" s="46">
        <v>2500</v>
      </c>
      <c r="N245" t="s">
        <v>7316</v>
      </c>
      <c r="O245" t="s">
        <v>7316</v>
      </c>
      <c r="P245" t="s">
        <v>7318</v>
      </c>
      <c r="R245" s="48" t="s">
        <v>9774</v>
      </c>
      <c r="S245" t="s">
        <v>8622</v>
      </c>
      <c r="T245" t="s">
        <v>8630</v>
      </c>
      <c r="U245" s="62"/>
      <c r="V245" s="62"/>
      <c r="W245" s="160">
        <v>0</v>
      </c>
    </row>
    <row r="246" spans="1:24">
      <c r="A246" s="83" t="s">
        <v>9183</v>
      </c>
      <c r="B246" s="319">
        <v>323100</v>
      </c>
      <c r="C246" s="47" t="s">
        <v>250</v>
      </c>
      <c r="D246" s="102">
        <v>12.5</v>
      </c>
      <c r="E246" s="102">
        <v>27</v>
      </c>
      <c r="F246" s="94">
        <v>181.39</v>
      </c>
      <c r="G246" s="94">
        <v>181.39</v>
      </c>
      <c r="H246" s="94">
        <f t="shared" si="3"/>
        <v>337.5</v>
      </c>
      <c r="I246" s="95">
        <v>20</v>
      </c>
      <c r="J246" t="s">
        <v>9182</v>
      </c>
      <c r="K246" t="s">
        <v>10766</v>
      </c>
      <c r="L246" s="309">
        <v>2900</v>
      </c>
      <c r="N246" t="s">
        <v>7316</v>
      </c>
      <c r="O246" t="s">
        <v>7316</v>
      </c>
      <c r="R246" s="48" t="s">
        <v>9774</v>
      </c>
      <c r="S246" t="s">
        <v>8622</v>
      </c>
      <c r="T246" t="s">
        <v>8635</v>
      </c>
      <c r="U246" s="62"/>
      <c r="V246" s="62"/>
      <c r="W246" s="160">
        <v>0</v>
      </c>
    </row>
    <row r="247" spans="1:24">
      <c r="A247" s="83" t="s">
        <v>9183</v>
      </c>
      <c r="B247" s="319">
        <v>323100</v>
      </c>
      <c r="C247" s="47" t="s">
        <v>250</v>
      </c>
      <c r="D247" s="102">
        <v>12.5</v>
      </c>
      <c r="E247" s="102">
        <v>27</v>
      </c>
      <c r="F247" s="94">
        <v>181.39</v>
      </c>
      <c r="G247" s="94">
        <v>181.39</v>
      </c>
      <c r="H247" s="94">
        <f t="shared" si="3"/>
        <v>337.5</v>
      </c>
      <c r="I247" s="95">
        <v>20</v>
      </c>
      <c r="J247" t="s">
        <v>9182</v>
      </c>
      <c r="K247" t="s">
        <v>240</v>
      </c>
      <c r="L247" s="46" t="s">
        <v>1</v>
      </c>
      <c r="N247" t="s">
        <v>7316</v>
      </c>
      <c r="O247" t="s">
        <v>7316</v>
      </c>
      <c r="R247" s="48" t="s">
        <v>9774</v>
      </c>
      <c r="S247" t="s">
        <v>8622</v>
      </c>
      <c r="T247" t="s">
        <v>8631</v>
      </c>
      <c r="U247" s="62"/>
      <c r="V247" s="62"/>
      <c r="W247" s="160">
        <v>0</v>
      </c>
    </row>
    <row r="248" spans="1:24">
      <c r="A248" s="83" t="s">
        <v>9183</v>
      </c>
      <c r="B248" s="319">
        <v>323100</v>
      </c>
      <c r="C248" s="47" t="s">
        <v>250</v>
      </c>
      <c r="D248" s="102">
        <v>12.5</v>
      </c>
      <c r="E248" s="102">
        <v>28</v>
      </c>
      <c r="F248" s="94">
        <v>181.39</v>
      </c>
      <c r="G248" s="94">
        <v>181.39</v>
      </c>
      <c r="H248" s="94">
        <f t="shared" si="3"/>
        <v>350</v>
      </c>
      <c r="I248" s="95">
        <v>20</v>
      </c>
      <c r="J248" t="s">
        <v>9182</v>
      </c>
      <c r="K248" t="s">
        <v>10768</v>
      </c>
      <c r="L248" s="46">
        <v>5000</v>
      </c>
      <c r="N248" t="s">
        <v>7316</v>
      </c>
      <c r="O248" t="s">
        <v>7316</v>
      </c>
      <c r="Q248" s="48"/>
      <c r="R248" s="48" t="s">
        <v>9774</v>
      </c>
      <c r="S248" t="s">
        <v>8622</v>
      </c>
      <c r="T248" t="s">
        <v>8632</v>
      </c>
      <c r="U248" s="62"/>
      <c r="V248" s="62"/>
      <c r="W248" s="160">
        <v>0</v>
      </c>
      <c r="X248" s="48"/>
    </row>
    <row r="249" spans="1:24">
      <c r="A249" s="83" t="s">
        <v>221</v>
      </c>
      <c r="B249" s="319">
        <v>334600</v>
      </c>
      <c r="C249" s="47" t="s">
        <v>250</v>
      </c>
      <c r="D249" s="102">
        <v>12.5</v>
      </c>
      <c r="E249" s="102">
        <v>28</v>
      </c>
      <c r="F249" s="94">
        <v>208.96</v>
      </c>
      <c r="G249" s="94">
        <v>208.96</v>
      </c>
      <c r="H249" s="94">
        <f t="shared" si="3"/>
        <v>350</v>
      </c>
      <c r="I249" s="95">
        <v>22</v>
      </c>
      <c r="J249" t="s">
        <v>253</v>
      </c>
      <c r="K249" t="s">
        <v>241</v>
      </c>
      <c r="L249" s="46" t="s">
        <v>1</v>
      </c>
      <c r="N249" t="s">
        <v>7316</v>
      </c>
      <c r="O249" t="s">
        <v>7316</v>
      </c>
      <c r="R249" s="48" t="s">
        <v>9774</v>
      </c>
      <c r="S249" t="s">
        <v>8622</v>
      </c>
      <c r="T249" t="s">
        <v>8633</v>
      </c>
      <c r="U249" s="62"/>
      <c r="V249" s="62"/>
      <c r="W249" s="160">
        <v>0</v>
      </c>
    </row>
    <row r="250" spans="1:24">
      <c r="A250" s="83" t="s">
        <v>221</v>
      </c>
      <c r="B250" s="319">
        <v>334600</v>
      </c>
      <c r="C250" s="47" t="s">
        <v>250</v>
      </c>
      <c r="D250" s="102">
        <v>12.5</v>
      </c>
      <c r="E250" s="102">
        <v>28</v>
      </c>
      <c r="F250" s="94">
        <v>208.96</v>
      </c>
      <c r="G250" s="94">
        <v>208.96</v>
      </c>
      <c r="H250" s="94">
        <f t="shared" si="3"/>
        <v>350</v>
      </c>
      <c r="I250" s="95">
        <v>22</v>
      </c>
      <c r="J250" t="s">
        <v>253</v>
      </c>
      <c r="K250" t="s">
        <v>10765</v>
      </c>
      <c r="L250" s="46">
        <v>2900</v>
      </c>
      <c r="N250" t="s">
        <v>7316</v>
      </c>
      <c r="O250" t="s">
        <v>7316</v>
      </c>
      <c r="R250" s="48" t="s">
        <v>9774</v>
      </c>
      <c r="S250" t="s">
        <v>8622</v>
      </c>
      <c r="T250" t="s">
        <v>8601</v>
      </c>
      <c r="U250" s="62"/>
      <c r="V250" s="62"/>
      <c r="W250" s="160">
        <v>0</v>
      </c>
    </row>
    <row r="251" spans="1:24">
      <c r="A251" s="83" t="s">
        <v>221</v>
      </c>
      <c r="B251" s="319">
        <v>334600</v>
      </c>
      <c r="C251" s="47" t="s">
        <v>250</v>
      </c>
      <c r="D251" s="102">
        <v>12.5</v>
      </c>
      <c r="E251" s="102">
        <v>28</v>
      </c>
      <c r="F251" s="94">
        <v>208.96</v>
      </c>
      <c r="G251" s="94">
        <v>208.96</v>
      </c>
      <c r="H251" s="94">
        <f t="shared" si="3"/>
        <v>350</v>
      </c>
      <c r="I251" s="95">
        <v>22</v>
      </c>
      <c r="J251" t="s">
        <v>253</v>
      </c>
      <c r="K251" t="s">
        <v>242</v>
      </c>
      <c r="L251" s="46">
        <v>1000</v>
      </c>
      <c r="N251" t="s">
        <v>7316</v>
      </c>
      <c r="O251" t="s">
        <v>7316</v>
      </c>
      <c r="R251" s="48" t="s">
        <v>9774</v>
      </c>
      <c r="S251" t="s">
        <v>8622</v>
      </c>
      <c r="T251" t="s">
        <v>8634</v>
      </c>
      <c r="U251" s="62"/>
      <c r="V251" s="62"/>
      <c r="W251" s="160">
        <v>0</v>
      </c>
    </row>
    <row r="252" spans="1:24">
      <c r="A252" s="83" t="s">
        <v>221</v>
      </c>
      <c r="B252" s="319">
        <v>334600</v>
      </c>
      <c r="C252" s="47" t="s">
        <v>250</v>
      </c>
      <c r="D252" s="102">
        <v>12.5</v>
      </c>
      <c r="E252" s="102">
        <v>28</v>
      </c>
      <c r="F252" s="94">
        <v>208.96</v>
      </c>
      <c r="G252" s="94">
        <v>208.96</v>
      </c>
      <c r="H252" s="94">
        <f t="shared" si="3"/>
        <v>350</v>
      </c>
      <c r="I252" s="95">
        <v>22</v>
      </c>
      <c r="J252" t="s">
        <v>253</v>
      </c>
      <c r="K252" t="s">
        <v>10767</v>
      </c>
      <c r="L252" s="46">
        <v>2500</v>
      </c>
      <c r="N252" t="s">
        <v>7316</v>
      </c>
      <c r="O252" t="s">
        <v>7316</v>
      </c>
      <c r="P252" t="s">
        <v>7318</v>
      </c>
      <c r="R252" s="48" t="s">
        <v>9774</v>
      </c>
      <c r="S252" t="s">
        <v>8623</v>
      </c>
      <c r="T252" t="s">
        <v>8629</v>
      </c>
      <c r="U252" s="62"/>
      <c r="V252" s="62"/>
      <c r="W252" s="160">
        <v>0</v>
      </c>
    </row>
    <row r="253" spans="1:24">
      <c r="A253" s="83" t="s">
        <v>221</v>
      </c>
      <c r="B253" s="319">
        <v>334600</v>
      </c>
      <c r="C253" s="47" t="s">
        <v>250</v>
      </c>
      <c r="D253" s="102">
        <v>12.5</v>
      </c>
      <c r="E253" s="102">
        <v>28</v>
      </c>
      <c r="F253" s="94">
        <v>208.96</v>
      </c>
      <c r="G253" s="94">
        <v>208.96</v>
      </c>
      <c r="H253" s="94">
        <f t="shared" si="3"/>
        <v>350</v>
      </c>
      <c r="I253" s="95">
        <v>22</v>
      </c>
      <c r="J253" t="s">
        <v>253</v>
      </c>
      <c r="K253" t="s">
        <v>10766</v>
      </c>
      <c r="L253" s="309">
        <v>2900</v>
      </c>
      <c r="N253" t="s">
        <v>7316</v>
      </c>
      <c r="O253" t="s">
        <v>7316</v>
      </c>
      <c r="R253" s="48" t="s">
        <v>9774</v>
      </c>
      <c r="S253" t="s">
        <v>8623</v>
      </c>
      <c r="T253" t="s">
        <v>8630</v>
      </c>
      <c r="U253" s="62"/>
      <c r="V253" s="62"/>
      <c r="W253" s="160">
        <v>0</v>
      </c>
    </row>
    <row r="254" spans="1:24">
      <c r="A254" s="83" t="s">
        <v>221</v>
      </c>
      <c r="B254" s="319">
        <v>334600</v>
      </c>
      <c r="C254" s="47" t="s">
        <v>250</v>
      </c>
      <c r="D254" s="102">
        <v>12.5</v>
      </c>
      <c r="E254" s="102">
        <v>28</v>
      </c>
      <c r="F254" s="94">
        <v>208.96</v>
      </c>
      <c r="G254" s="94">
        <v>208.96</v>
      </c>
      <c r="H254" s="94">
        <f t="shared" si="3"/>
        <v>350</v>
      </c>
      <c r="I254" s="95">
        <v>22</v>
      </c>
      <c r="J254" t="s">
        <v>253</v>
      </c>
      <c r="K254" t="s">
        <v>240</v>
      </c>
      <c r="L254" s="46" t="s">
        <v>1</v>
      </c>
      <c r="N254" t="s">
        <v>7316</v>
      </c>
      <c r="O254" t="s">
        <v>7316</v>
      </c>
      <c r="R254" s="48" t="s">
        <v>9774</v>
      </c>
      <c r="S254" t="s">
        <v>8623</v>
      </c>
      <c r="T254" t="s">
        <v>8635</v>
      </c>
      <c r="U254" s="62"/>
      <c r="V254" s="62"/>
      <c r="W254" s="160">
        <v>0</v>
      </c>
    </row>
    <row r="255" spans="1:24">
      <c r="A255" s="83" t="s">
        <v>221</v>
      </c>
      <c r="B255" s="319">
        <v>334600</v>
      </c>
      <c r="C255" s="47" t="s">
        <v>250</v>
      </c>
      <c r="D255" s="102">
        <v>12.5</v>
      </c>
      <c r="E255" s="102">
        <v>28</v>
      </c>
      <c r="F255" s="94">
        <v>208.96</v>
      </c>
      <c r="G255" s="94">
        <v>208.96</v>
      </c>
      <c r="H255" s="94">
        <f t="shared" si="3"/>
        <v>350</v>
      </c>
      <c r="I255" s="95">
        <v>22</v>
      </c>
      <c r="J255" t="s">
        <v>253</v>
      </c>
      <c r="K255" t="s">
        <v>10768</v>
      </c>
      <c r="L255" s="46">
        <v>5000</v>
      </c>
      <c r="N255" t="s">
        <v>7316</v>
      </c>
      <c r="O255" t="s">
        <v>7316</v>
      </c>
      <c r="R255" s="48" t="s">
        <v>9774</v>
      </c>
      <c r="S255" t="s">
        <v>8623</v>
      </c>
      <c r="T255" t="s">
        <v>8631</v>
      </c>
      <c r="U255" s="62"/>
      <c r="V255" s="62"/>
      <c r="W255" s="160">
        <v>0</v>
      </c>
    </row>
    <row r="256" spans="1:24">
      <c r="A256" s="83" t="s">
        <v>219</v>
      </c>
      <c r="B256" s="319">
        <v>334600</v>
      </c>
      <c r="C256" s="47" t="s">
        <v>250</v>
      </c>
      <c r="D256" s="102">
        <v>12.5</v>
      </c>
      <c r="E256" s="102">
        <v>28</v>
      </c>
      <c r="F256" s="94">
        <v>206.32</v>
      </c>
      <c r="G256" s="94">
        <v>206.32</v>
      </c>
      <c r="H256" s="94">
        <f t="shared" si="3"/>
        <v>350</v>
      </c>
      <c r="I256" s="95">
        <v>22</v>
      </c>
      <c r="J256" t="s">
        <v>253</v>
      </c>
      <c r="K256" t="s">
        <v>241</v>
      </c>
      <c r="L256" s="46" t="s">
        <v>1</v>
      </c>
      <c r="N256" t="s">
        <v>7316</v>
      </c>
      <c r="O256" t="s">
        <v>7316</v>
      </c>
      <c r="R256" s="48" t="s">
        <v>9774</v>
      </c>
      <c r="S256" t="s">
        <v>8623</v>
      </c>
      <c r="T256" t="s">
        <v>8632</v>
      </c>
      <c r="U256" s="62"/>
      <c r="V256" s="62"/>
      <c r="W256" s="160">
        <v>0</v>
      </c>
    </row>
    <row r="257" spans="1:24">
      <c r="A257" s="83" t="s">
        <v>219</v>
      </c>
      <c r="B257" s="319">
        <v>334600</v>
      </c>
      <c r="C257" s="47" t="s">
        <v>250</v>
      </c>
      <c r="D257" s="102">
        <v>12.5</v>
      </c>
      <c r="E257" s="102">
        <v>28</v>
      </c>
      <c r="F257" s="94">
        <v>206.32</v>
      </c>
      <c r="G257" s="94">
        <v>206.32</v>
      </c>
      <c r="H257" s="94">
        <f t="shared" si="3"/>
        <v>350</v>
      </c>
      <c r="I257" s="95">
        <v>22</v>
      </c>
      <c r="J257" t="s">
        <v>253</v>
      </c>
      <c r="K257" t="s">
        <v>10765</v>
      </c>
      <c r="L257" s="46">
        <v>2900</v>
      </c>
      <c r="N257" t="s">
        <v>7316</v>
      </c>
      <c r="O257" t="s">
        <v>7316</v>
      </c>
      <c r="R257" s="48" t="s">
        <v>9774</v>
      </c>
      <c r="S257" t="s">
        <v>8623</v>
      </c>
      <c r="T257" t="s">
        <v>8633</v>
      </c>
      <c r="U257" s="62"/>
      <c r="V257" s="62"/>
      <c r="W257" s="160">
        <v>0</v>
      </c>
    </row>
    <row r="258" spans="1:24">
      <c r="A258" s="83" t="s">
        <v>219</v>
      </c>
      <c r="B258" s="319">
        <v>334600</v>
      </c>
      <c r="C258" s="47" t="s">
        <v>250</v>
      </c>
      <c r="D258" s="102">
        <v>12.5</v>
      </c>
      <c r="E258" s="102">
        <v>28</v>
      </c>
      <c r="F258" s="94">
        <v>206.32</v>
      </c>
      <c r="G258" s="94">
        <v>206.32</v>
      </c>
      <c r="H258" s="94">
        <f t="shared" si="3"/>
        <v>350</v>
      </c>
      <c r="I258" s="95">
        <v>22</v>
      </c>
      <c r="J258" t="s">
        <v>253</v>
      </c>
      <c r="K258" t="s">
        <v>242</v>
      </c>
      <c r="L258" s="46">
        <v>1000</v>
      </c>
      <c r="N258" t="s">
        <v>7316</v>
      </c>
      <c r="O258" t="s">
        <v>7316</v>
      </c>
      <c r="R258" s="48" t="s">
        <v>9774</v>
      </c>
      <c r="S258" t="s">
        <v>8623</v>
      </c>
      <c r="T258" t="s">
        <v>8601</v>
      </c>
      <c r="U258" s="62"/>
      <c r="V258" s="62"/>
      <c r="W258" s="160">
        <v>0</v>
      </c>
    </row>
    <row r="259" spans="1:24">
      <c r="A259" s="83" t="s">
        <v>219</v>
      </c>
      <c r="B259" s="319">
        <v>334600</v>
      </c>
      <c r="C259" s="47" t="s">
        <v>250</v>
      </c>
      <c r="D259" s="102">
        <v>12.5</v>
      </c>
      <c r="E259" s="102">
        <v>28</v>
      </c>
      <c r="F259" s="94">
        <v>206.32</v>
      </c>
      <c r="G259" s="94">
        <v>206.32</v>
      </c>
      <c r="H259" s="94">
        <f t="shared" si="3"/>
        <v>350</v>
      </c>
      <c r="I259" s="95">
        <v>22</v>
      </c>
      <c r="J259" t="s">
        <v>253</v>
      </c>
      <c r="K259" t="s">
        <v>10767</v>
      </c>
      <c r="L259" s="46">
        <v>2500</v>
      </c>
      <c r="N259" t="s">
        <v>7316</v>
      </c>
      <c r="O259" t="s">
        <v>7316</v>
      </c>
      <c r="P259" t="s">
        <v>7318</v>
      </c>
      <c r="Q259" s="48"/>
      <c r="R259" s="48" t="s">
        <v>9774</v>
      </c>
      <c r="S259" t="s">
        <v>8623</v>
      </c>
      <c r="T259" t="s">
        <v>8634</v>
      </c>
      <c r="U259" s="62"/>
      <c r="V259" s="62"/>
      <c r="W259" s="160">
        <v>0</v>
      </c>
      <c r="X259" s="48"/>
    </row>
    <row r="260" spans="1:24">
      <c r="A260" s="83" t="s">
        <v>219</v>
      </c>
      <c r="B260" s="319">
        <v>334600</v>
      </c>
      <c r="C260" s="47" t="s">
        <v>250</v>
      </c>
      <c r="D260" s="102">
        <v>12.5</v>
      </c>
      <c r="E260" s="102">
        <v>28</v>
      </c>
      <c r="F260" s="94">
        <v>206.32</v>
      </c>
      <c r="G260" s="94">
        <v>206.32</v>
      </c>
      <c r="H260" s="94">
        <f t="shared" ref="H260:H316" si="4">(D260*E260)</f>
        <v>350</v>
      </c>
      <c r="I260" s="95">
        <v>22</v>
      </c>
      <c r="J260" t="s">
        <v>253</v>
      </c>
      <c r="K260" t="s">
        <v>10766</v>
      </c>
      <c r="L260" s="309">
        <v>2900</v>
      </c>
      <c r="N260" t="s">
        <v>7316</v>
      </c>
      <c r="O260" t="s">
        <v>7316</v>
      </c>
      <c r="R260" t="s">
        <v>223</v>
      </c>
      <c r="S260" t="s">
        <v>8622</v>
      </c>
      <c r="T260" t="s">
        <v>8629</v>
      </c>
      <c r="U260" s="62">
        <v>7.1</v>
      </c>
      <c r="V260" s="62" t="s">
        <v>8601</v>
      </c>
      <c r="W260" s="46">
        <v>15000</v>
      </c>
    </row>
    <row r="261" spans="1:24">
      <c r="A261" s="83" t="s">
        <v>219</v>
      </c>
      <c r="B261" s="319">
        <v>334600</v>
      </c>
      <c r="C261" s="47" t="s">
        <v>250</v>
      </c>
      <c r="D261" s="102">
        <v>12.5</v>
      </c>
      <c r="E261" s="102">
        <v>28</v>
      </c>
      <c r="F261" s="94">
        <v>206.32</v>
      </c>
      <c r="G261" s="94">
        <v>206.32</v>
      </c>
      <c r="H261" s="94">
        <f t="shared" si="4"/>
        <v>350</v>
      </c>
      <c r="I261" s="95">
        <v>22</v>
      </c>
      <c r="J261" t="s">
        <v>253</v>
      </c>
      <c r="K261" t="s">
        <v>240</v>
      </c>
      <c r="L261" s="46" t="s">
        <v>1</v>
      </c>
      <c r="N261" t="s">
        <v>7316</v>
      </c>
      <c r="O261" t="s">
        <v>7316</v>
      </c>
      <c r="R261" t="s">
        <v>223</v>
      </c>
      <c r="S261" t="s">
        <v>8622</v>
      </c>
      <c r="T261" t="s">
        <v>8630</v>
      </c>
      <c r="U261" s="62">
        <v>7</v>
      </c>
      <c r="V261" s="62" t="s">
        <v>8601</v>
      </c>
      <c r="W261" s="46">
        <v>15000</v>
      </c>
    </row>
    <row r="262" spans="1:24">
      <c r="A262" s="83" t="s">
        <v>219</v>
      </c>
      <c r="B262" s="319">
        <v>334600</v>
      </c>
      <c r="C262" s="47" t="s">
        <v>250</v>
      </c>
      <c r="D262" s="102">
        <v>12.5</v>
      </c>
      <c r="E262" s="102">
        <v>28</v>
      </c>
      <c r="F262" s="94">
        <v>206.32</v>
      </c>
      <c r="G262" s="94">
        <v>206.32</v>
      </c>
      <c r="H262" s="94">
        <f t="shared" si="4"/>
        <v>350</v>
      </c>
      <c r="I262" s="95">
        <v>22</v>
      </c>
      <c r="J262" t="s">
        <v>253</v>
      </c>
      <c r="K262" t="s">
        <v>10768</v>
      </c>
      <c r="L262" s="46">
        <v>5000</v>
      </c>
      <c r="N262" t="s">
        <v>7316</v>
      </c>
      <c r="O262" t="s">
        <v>7316</v>
      </c>
      <c r="R262" t="s">
        <v>223</v>
      </c>
      <c r="S262" t="s">
        <v>8622</v>
      </c>
      <c r="T262" t="s">
        <v>8635</v>
      </c>
      <c r="U262" s="62">
        <v>7.1</v>
      </c>
      <c r="V262" s="62" t="s">
        <v>8601</v>
      </c>
      <c r="W262" s="46">
        <v>15000</v>
      </c>
    </row>
    <row r="263" spans="1:24">
      <c r="A263" s="83" t="s">
        <v>218</v>
      </c>
      <c r="B263" s="319">
        <v>349500</v>
      </c>
      <c r="C263" s="47" t="s">
        <v>250</v>
      </c>
      <c r="D263" s="102">
        <v>12.5</v>
      </c>
      <c r="E263" s="102">
        <v>28</v>
      </c>
      <c r="F263" s="94">
        <v>206.32</v>
      </c>
      <c r="G263" s="94">
        <v>206.32</v>
      </c>
      <c r="H263" s="94">
        <f t="shared" si="4"/>
        <v>350</v>
      </c>
      <c r="I263" s="95">
        <v>22</v>
      </c>
      <c r="J263" t="s">
        <v>266</v>
      </c>
      <c r="K263" t="s">
        <v>241</v>
      </c>
      <c r="L263" s="46" t="s">
        <v>1</v>
      </c>
      <c r="N263" t="s">
        <v>7316</v>
      </c>
      <c r="O263" t="s">
        <v>7316</v>
      </c>
      <c r="R263" t="s">
        <v>223</v>
      </c>
      <c r="S263" t="s">
        <v>8622</v>
      </c>
      <c r="T263" t="s">
        <v>8631</v>
      </c>
      <c r="U263" s="62">
        <v>7.1</v>
      </c>
      <c r="V263" s="62" t="s">
        <v>8601</v>
      </c>
      <c r="W263" s="46">
        <v>15000</v>
      </c>
    </row>
    <row r="264" spans="1:24">
      <c r="A264" s="83" t="s">
        <v>218</v>
      </c>
      <c r="B264" s="319">
        <v>349500</v>
      </c>
      <c r="C264" s="47" t="s">
        <v>250</v>
      </c>
      <c r="D264" s="102">
        <v>12.5</v>
      </c>
      <c r="E264" s="102">
        <v>28</v>
      </c>
      <c r="F264" s="94">
        <v>206.32</v>
      </c>
      <c r="G264" s="94">
        <v>206.32</v>
      </c>
      <c r="H264" s="94">
        <f t="shared" si="4"/>
        <v>350</v>
      </c>
      <c r="I264" s="95">
        <v>22</v>
      </c>
      <c r="J264" t="s">
        <v>266</v>
      </c>
      <c r="K264" t="s">
        <v>10765</v>
      </c>
      <c r="L264" s="46">
        <v>2900</v>
      </c>
      <c r="N264" t="s">
        <v>7316</v>
      </c>
      <c r="O264" t="s">
        <v>7316</v>
      </c>
      <c r="R264" t="s">
        <v>223</v>
      </c>
      <c r="S264" t="s">
        <v>8622</v>
      </c>
      <c r="T264" t="s">
        <v>8632</v>
      </c>
      <c r="U264" s="62">
        <v>7.4</v>
      </c>
      <c r="V264" s="62" t="s">
        <v>8602</v>
      </c>
      <c r="W264" s="46">
        <v>5000</v>
      </c>
    </row>
    <row r="265" spans="1:24">
      <c r="A265" s="83" t="s">
        <v>218</v>
      </c>
      <c r="B265" s="319">
        <v>349500</v>
      </c>
      <c r="C265" s="47" t="s">
        <v>250</v>
      </c>
      <c r="D265" s="102">
        <v>12.5</v>
      </c>
      <c r="E265" s="102">
        <v>28</v>
      </c>
      <c r="F265" s="94">
        <v>206.32</v>
      </c>
      <c r="G265" s="94">
        <v>206.32</v>
      </c>
      <c r="H265" s="94">
        <f t="shared" si="4"/>
        <v>350</v>
      </c>
      <c r="I265" s="95">
        <v>22</v>
      </c>
      <c r="J265" t="s">
        <v>266</v>
      </c>
      <c r="K265" t="s">
        <v>242</v>
      </c>
      <c r="L265" s="46">
        <v>1000</v>
      </c>
      <c r="N265" t="s">
        <v>7316</v>
      </c>
      <c r="O265" t="s">
        <v>7316</v>
      </c>
      <c r="R265" t="s">
        <v>223</v>
      </c>
      <c r="S265" t="s">
        <v>8622</v>
      </c>
      <c r="T265" t="s">
        <v>8633</v>
      </c>
      <c r="U265" s="62">
        <v>7.3</v>
      </c>
      <c r="V265" s="62" t="s">
        <v>8602</v>
      </c>
      <c r="W265" s="46">
        <v>5000</v>
      </c>
    </row>
    <row r="266" spans="1:24">
      <c r="A266" s="83" t="s">
        <v>218</v>
      </c>
      <c r="B266" s="319">
        <v>349500</v>
      </c>
      <c r="C266" s="47" t="s">
        <v>250</v>
      </c>
      <c r="D266" s="102">
        <v>12.5</v>
      </c>
      <c r="E266" s="102">
        <v>28</v>
      </c>
      <c r="F266" s="94">
        <v>206.32</v>
      </c>
      <c r="G266" s="94">
        <v>206.32</v>
      </c>
      <c r="H266" s="94">
        <f t="shared" si="4"/>
        <v>350</v>
      </c>
      <c r="I266" s="95">
        <v>22</v>
      </c>
      <c r="J266" t="s">
        <v>266</v>
      </c>
      <c r="K266" t="s">
        <v>10767</v>
      </c>
      <c r="L266" s="46">
        <v>2500</v>
      </c>
      <c r="N266" t="s">
        <v>7316</v>
      </c>
      <c r="O266" t="s">
        <v>7316</v>
      </c>
      <c r="P266" t="s">
        <v>7318</v>
      </c>
      <c r="R266" t="s">
        <v>223</v>
      </c>
      <c r="S266" t="s">
        <v>8622</v>
      </c>
      <c r="T266" t="s">
        <v>8601</v>
      </c>
      <c r="U266" s="62">
        <v>7.2</v>
      </c>
      <c r="V266" s="62" t="s">
        <v>8602</v>
      </c>
      <c r="W266" s="46">
        <v>5000</v>
      </c>
    </row>
    <row r="267" spans="1:24">
      <c r="A267" s="83" t="s">
        <v>218</v>
      </c>
      <c r="B267" s="319">
        <v>349500</v>
      </c>
      <c r="C267" s="47" t="s">
        <v>250</v>
      </c>
      <c r="D267" s="102">
        <v>12.5</v>
      </c>
      <c r="E267" s="102">
        <v>28</v>
      </c>
      <c r="F267" s="94">
        <v>206.32</v>
      </c>
      <c r="G267" s="94">
        <v>206.32</v>
      </c>
      <c r="H267" s="94">
        <f t="shared" si="4"/>
        <v>350</v>
      </c>
      <c r="I267" s="95">
        <v>22</v>
      </c>
      <c r="J267" t="s">
        <v>266</v>
      </c>
      <c r="K267" t="s">
        <v>10766</v>
      </c>
      <c r="L267" s="309">
        <v>2900</v>
      </c>
      <c r="N267" t="s">
        <v>7316</v>
      </c>
      <c r="O267" t="s">
        <v>7316</v>
      </c>
      <c r="R267" t="s">
        <v>223</v>
      </c>
      <c r="S267" t="s">
        <v>8622</v>
      </c>
      <c r="T267" t="s">
        <v>8634</v>
      </c>
      <c r="U267" s="62">
        <v>7.1</v>
      </c>
      <c r="V267" s="62" t="s">
        <v>8601</v>
      </c>
      <c r="W267" s="46">
        <v>15000</v>
      </c>
    </row>
    <row r="268" spans="1:24">
      <c r="A268" s="83" t="s">
        <v>218</v>
      </c>
      <c r="B268" s="319">
        <v>349500</v>
      </c>
      <c r="C268" s="47" t="s">
        <v>250</v>
      </c>
      <c r="D268" s="102">
        <v>12.5</v>
      </c>
      <c r="E268" s="102">
        <v>28</v>
      </c>
      <c r="F268" s="94">
        <v>206.32</v>
      </c>
      <c r="G268" s="94">
        <v>206.32</v>
      </c>
      <c r="H268" s="94">
        <f t="shared" si="4"/>
        <v>350</v>
      </c>
      <c r="I268" s="95">
        <v>22</v>
      </c>
      <c r="J268" t="s">
        <v>266</v>
      </c>
      <c r="K268" t="s">
        <v>240</v>
      </c>
      <c r="L268" s="46" t="s">
        <v>1</v>
      </c>
      <c r="N268" t="s">
        <v>7316</v>
      </c>
      <c r="O268" t="s">
        <v>7316</v>
      </c>
      <c r="R268" t="s">
        <v>223</v>
      </c>
      <c r="S268" t="s">
        <v>8623</v>
      </c>
      <c r="T268" t="s">
        <v>8629</v>
      </c>
      <c r="U268" s="62">
        <v>7.3</v>
      </c>
      <c r="V268" s="62" t="s">
        <v>8602</v>
      </c>
      <c r="W268" s="46">
        <v>5000</v>
      </c>
    </row>
    <row r="269" spans="1:24">
      <c r="A269" s="83" t="s">
        <v>218</v>
      </c>
      <c r="B269" s="319">
        <v>349500</v>
      </c>
      <c r="C269" s="47" t="s">
        <v>250</v>
      </c>
      <c r="D269" s="102">
        <v>12.5</v>
      </c>
      <c r="E269" s="102">
        <v>28</v>
      </c>
      <c r="F269" s="94">
        <v>206.32</v>
      </c>
      <c r="G269" s="94">
        <v>206.32</v>
      </c>
      <c r="H269" s="94">
        <f t="shared" si="4"/>
        <v>350</v>
      </c>
      <c r="I269" s="95">
        <v>22</v>
      </c>
      <c r="J269" t="s">
        <v>266</v>
      </c>
      <c r="K269" t="s">
        <v>10768</v>
      </c>
      <c r="L269" s="46">
        <v>5000</v>
      </c>
      <c r="N269" t="s">
        <v>7316</v>
      </c>
      <c r="O269" t="s">
        <v>7316</v>
      </c>
      <c r="R269" t="s">
        <v>223</v>
      </c>
      <c r="S269" t="s">
        <v>8623</v>
      </c>
      <c r="T269" t="s">
        <v>8630</v>
      </c>
      <c r="U269" s="62">
        <v>7.1</v>
      </c>
      <c r="V269" s="62" t="s">
        <v>8601</v>
      </c>
      <c r="W269" s="46">
        <v>15000</v>
      </c>
    </row>
    <row r="270" spans="1:24">
      <c r="A270" s="83" t="s">
        <v>9570</v>
      </c>
      <c r="B270" s="319">
        <v>359000</v>
      </c>
      <c r="C270" s="47" t="s">
        <v>250</v>
      </c>
      <c r="D270" s="102">
        <v>12.5</v>
      </c>
      <c r="E270" s="102">
        <v>28</v>
      </c>
      <c r="F270" s="94">
        <v>205.75</v>
      </c>
      <c r="G270" s="94">
        <v>205.75</v>
      </c>
      <c r="H270" s="94">
        <f t="shared" si="4"/>
        <v>350</v>
      </c>
      <c r="I270" s="95">
        <v>22</v>
      </c>
      <c r="J270" t="s">
        <v>9474</v>
      </c>
      <c r="K270" t="s">
        <v>241</v>
      </c>
      <c r="L270" s="46" t="s">
        <v>1</v>
      </c>
      <c r="N270" t="s">
        <v>7316</v>
      </c>
      <c r="O270" t="s">
        <v>7316</v>
      </c>
      <c r="Q270" s="48"/>
      <c r="R270" t="s">
        <v>223</v>
      </c>
      <c r="S270" t="s">
        <v>8623</v>
      </c>
      <c r="T270" t="s">
        <v>8635</v>
      </c>
      <c r="U270" s="62">
        <v>7.1</v>
      </c>
      <c r="V270" s="62" t="s">
        <v>8601</v>
      </c>
      <c r="W270" s="46">
        <v>15000</v>
      </c>
      <c r="X270" s="48"/>
    </row>
    <row r="271" spans="1:24">
      <c r="A271" s="83" t="s">
        <v>9570</v>
      </c>
      <c r="B271" s="319">
        <v>359000</v>
      </c>
      <c r="C271" s="47" t="s">
        <v>250</v>
      </c>
      <c r="D271" s="102">
        <v>12.5</v>
      </c>
      <c r="E271" s="102">
        <v>28</v>
      </c>
      <c r="F271" s="94">
        <v>205.75</v>
      </c>
      <c r="G271" s="94">
        <v>205.75</v>
      </c>
      <c r="H271" s="94">
        <f t="shared" si="4"/>
        <v>350</v>
      </c>
      <c r="I271" s="95">
        <v>22</v>
      </c>
      <c r="J271" t="s">
        <v>9474</v>
      </c>
      <c r="K271" t="s">
        <v>10765</v>
      </c>
      <c r="L271" s="46">
        <v>2900</v>
      </c>
      <c r="N271" t="s">
        <v>7316</v>
      </c>
      <c r="O271" t="s">
        <v>7316</v>
      </c>
      <c r="R271" t="s">
        <v>223</v>
      </c>
      <c r="S271" t="s">
        <v>8623</v>
      </c>
      <c r="T271" t="s">
        <v>8631</v>
      </c>
      <c r="U271" s="62">
        <v>7.1</v>
      </c>
      <c r="V271" s="62" t="s">
        <v>8601</v>
      </c>
      <c r="W271" s="46">
        <v>15000</v>
      </c>
    </row>
    <row r="272" spans="1:24">
      <c r="A272" s="83" t="s">
        <v>9570</v>
      </c>
      <c r="B272" s="319">
        <v>359000</v>
      </c>
      <c r="C272" s="47" t="s">
        <v>250</v>
      </c>
      <c r="D272" s="102">
        <v>12.5</v>
      </c>
      <c r="E272" s="102">
        <v>28</v>
      </c>
      <c r="F272" s="94">
        <v>205.75</v>
      </c>
      <c r="G272" s="94">
        <v>205.75</v>
      </c>
      <c r="H272" s="94">
        <f t="shared" si="4"/>
        <v>350</v>
      </c>
      <c r="I272" s="95">
        <v>22</v>
      </c>
      <c r="J272" t="s">
        <v>9474</v>
      </c>
      <c r="K272" t="s">
        <v>242</v>
      </c>
      <c r="L272" s="46">
        <v>1000</v>
      </c>
      <c r="N272" t="s">
        <v>7316</v>
      </c>
      <c r="O272" t="s">
        <v>7316</v>
      </c>
      <c r="R272" t="s">
        <v>223</v>
      </c>
      <c r="S272" t="s">
        <v>8623</v>
      </c>
      <c r="T272" t="s">
        <v>8632</v>
      </c>
      <c r="U272" s="62">
        <v>7.3</v>
      </c>
      <c r="V272" s="62" t="s">
        <v>8602</v>
      </c>
      <c r="W272" s="46">
        <v>5000</v>
      </c>
    </row>
    <row r="273" spans="1:24">
      <c r="A273" s="83" t="s">
        <v>9570</v>
      </c>
      <c r="B273" s="319">
        <v>359000</v>
      </c>
      <c r="C273" s="47" t="s">
        <v>250</v>
      </c>
      <c r="D273" s="102">
        <v>12.5</v>
      </c>
      <c r="E273" s="102">
        <v>28</v>
      </c>
      <c r="F273" s="94">
        <v>205.75</v>
      </c>
      <c r="G273" s="94">
        <v>205.75</v>
      </c>
      <c r="H273" s="94">
        <f t="shared" si="4"/>
        <v>350</v>
      </c>
      <c r="I273" s="95">
        <v>22</v>
      </c>
      <c r="J273" t="s">
        <v>9474</v>
      </c>
      <c r="K273" t="s">
        <v>10767</v>
      </c>
      <c r="L273" s="46">
        <v>2500</v>
      </c>
      <c r="N273" t="s">
        <v>7316</v>
      </c>
      <c r="O273" t="s">
        <v>7316</v>
      </c>
      <c r="P273" t="s">
        <v>7318</v>
      </c>
      <c r="R273" t="s">
        <v>223</v>
      </c>
      <c r="S273" t="s">
        <v>8623</v>
      </c>
      <c r="T273" t="s">
        <v>8633</v>
      </c>
      <c r="U273" s="62">
        <v>7.3</v>
      </c>
      <c r="V273" s="62" t="s">
        <v>8602</v>
      </c>
      <c r="W273" s="46">
        <v>5000</v>
      </c>
    </row>
    <row r="274" spans="1:24">
      <c r="A274" s="83" t="s">
        <v>9570</v>
      </c>
      <c r="B274" s="319">
        <v>359000</v>
      </c>
      <c r="C274" s="47" t="s">
        <v>250</v>
      </c>
      <c r="D274" s="102">
        <v>12.5</v>
      </c>
      <c r="E274" s="102">
        <v>28</v>
      </c>
      <c r="F274" s="94">
        <v>205.75</v>
      </c>
      <c r="G274" s="94">
        <v>205.75</v>
      </c>
      <c r="H274" s="94">
        <f t="shared" si="4"/>
        <v>350</v>
      </c>
      <c r="I274" s="95">
        <v>22</v>
      </c>
      <c r="J274" t="s">
        <v>9474</v>
      </c>
      <c r="K274" t="s">
        <v>10766</v>
      </c>
      <c r="L274" s="309">
        <v>2900</v>
      </c>
      <c r="N274" t="s">
        <v>7316</v>
      </c>
      <c r="O274" t="s">
        <v>7316</v>
      </c>
      <c r="R274" t="s">
        <v>223</v>
      </c>
      <c r="S274" t="s">
        <v>8623</v>
      </c>
      <c r="T274" t="s">
        <v>8601</v>
      </c>
      <c r="U274" s="62">
        <v>7.4</v>
      </c>
      <c r="V274" s="62" t="s">
        <v>8602</v>
      </c>
      <c r="W274" s="46">
        <v>5000</v>
      </c>
    </row>
    <row r="275" spans="1:24">
      <c r="A275" s="83" t="s">
        <v>9570</v>
      </c>
      <c r="B275" s="319">
        <v>359000</v>
      </c>
      <c r="C275" s="47" t="s">
        <v>250</v>
      </c>
      <c r="D275" s="102">
        <v>12.5</v>
      </c>
      <c r="E275" s="102">
        <v>28</v>
      </c>
      <c r="F275" s="94">
        <v>205.75</v>
      </c>
      <c r="G275" s="94">
        <v>205.75</v>
      </c>
      <c r="H275" s="94">
        <f t="shared" si="4"/>
        <v>350</v>
      </c>
      <c r="I275" s="95">
        <v>22</v>
      </c>
      <c r="J275" t="s">
        <v>9474</v>
      </c>
      <c r="K275" t="s">
        <v>240</v>
      </c>
      <c r="L275" s="46" t="s">
        <v>1</v>
      </c>
      <c r="N275" t="s">
        <v>7316</v>
      </c>
      <c r="O275" t="s">
        <v>7316</v>
      </c>
      <c r="R275" t="s">
        <v>223</v>
      </c>
      <c r="S275" t="s">
        <v>8623</v>
      </c>
      <c r="T275" t="s">
        <v>8634</v>
      </c>
      <c r="U275" s="62">
        <v>7.3</v>
      </c>
      <c r="V275" s="62" t="s">
        <v>8602</v>
      </c>
      <c r="W275" s="46">
        <v>5000</v>
      </c>
    </row>
    <row r="276" spans="1:24">
      <c r="A276" s="83" t="s">
        <v>9570</v>
      </c>
      <c r="B276" s="319">
        <v>359000</v>
      </c>
      <c r="C276" s="47" t="s">
        <v>250</v>
      </c>
      <c r="D276" s="102">
        <v>12.5</v>
      </c>
      <c r="E276" s="102">
        <v>28</v>
      </c>
      <c r="F276" s="94">
        <v>205.75</v>
      </c>
      <c r="G276" s="94">
        <v>205.75</v>
      </c>
      <c r="H276" s="94">
        <f t="shared" si="4"/>
        <v>350</v>
      </c>
      <c r="I276" s="95">
        <v>22</v>
      </c>
      <c r="J276" t="s">
        <v>9474</v>
      </c>
      <c r="K276" t="s">
        <v>10768</v>
      </c>
      <c r="L276" s="46">
        <v>5000</v>
      </c>
      <c r="N276" t="s">
        <v>7316</v>
      </c>
      <c r="O276" t="s">
        <v>7316</v>
      </c>
      <c r="R276" t="s">
        <v>9691</v>
      </c>
      <c r="S276" t="s">
        <v>8622</v>
      </c>
      <c r="T276" t="s">
        <v>8629</v>
      </c>
      <c r="U276" s="62">
        <v>7</v>
      </c>
      <c r="V276" s="62" t="s">
        <v>8601</v>
      </c>
      <c r="W276" s="46">
        <v>15000</v>
      </c>
    </row>
    <row r="277" spans="1:24">
      <c r="A277" s="83" t="s">
        <v>9909</v>
      </c>
      <c r="B277" s="319">
        <v>394500</v>
      </c>
      <c r="C277" s="47" t="s">
        <v>250</v>
      </c>
      <c r="D277" s="102">
        <v>12.5</v>
      </c>
      <c r="E277" s="102">
        <v>32</v>
      </c>
      <c r="F277" s="94">
        <v>193.49</v>
      </c>
      <c r="G277" s="94">
        <v>234.01</v>
      </c>
      <c r="H277" s="94">
        <f t="shared" si="4"/>
        <v>400</v>
      </c>
      <c r="I277" s="95">
        <v>25</v>
      </c>
      <c r="J277" t="s">
        <v>9910</v>
      </c>
      <c r="K277" t="s">
        <v>241</v>
      </c>
      <c r="L277" s="46" t="s">
        <v>1</v>
      </c>
      <c r="N277" t="s">
        <v>7316</v>
      </c>
      <c r="O277" t="s">
        <v>7316</v>
      </c>
      <c r="R277" t="s">
        <v>9691</v>
      </c>
      <c r="S277" t="s">
        <v>8622</v>
      </c>
      <c r="T277" t="s">
        <v>8630</v>
      </c>
      <c r="U277" s="62">
        <v>7</v>
      </c>
      <c r="V277" s="62" t="s">
        <v>8601</v>
      </c>
      <c r="W277" s="46">
        <v>15000</v>
      </c>
    </row>
    <row r="278" spans="1:24">
      <c r="A278" s="83" t="s">
        <v>9909</v>
      </c>
      <c r="B278" s="319">
        <v>389500</v>
      </c>
      <c r="C278" s="47" t="s">
        <v>250</v>
      </c>
      <c r="D278" s="102">
        <v>12.5</v>
      </c>
      <c r="E278" s="102">
        <v>32</v>
      </c>
      <c r="F278" s="94">
        <v>193.49</v>
      </c>
      <c r="G278" s="94">
        <v>234.01</v>
      </c>
      <c r="H278" s="94">
        <f t="shared" si="4"/>
        <v>400</v>
      </c>
      <c r="I278" s="95">
        <v>25</v>
      </c>
      <c r="J278" t="s">
        <v>9910</v>
      </c>
      <c r="K278" t="s">
        <v>10765</v>
      </c>
      <c r="L278" s="46">
        <v>2900</v>
      </c>
      <c r="N278" t="s">
        <v>7316</v>
      </c>
      <c r="O278" t="s">
        <v>7316</v>
      </c>
      <c r="R278" t="s">
        <v>9691</v>
      </c>
      <c r="S278" t="s">
        <v>8622</v>
      </c>
      <c r="T278" t="s">
        <v>8635</v>
      </c>
      <c r="U278" s="62">
        <v>7.1</v>
      </c>
      <c r="V278" s="62" t="s">
        <v>8601</v>
      </c>
      <c r="W278" s="46">
        <v>15000</v>
      </c>
    </row>
    <row r="279" spans="1:24">
      <c r="A279" s="83" t="s">
        <v>9909</v>
      </c>
      <c r="B279" s="319">
        <v>389500</v>
      </c>
      <c r="C279" s="47" t="s">
        <v>250</v>
      </c>
      <c r="D279" s="102">
        <v>12.5</v>
      </c>
      <c r="E279" s="102">
        <v>32</v>
      </c>
      <c r="F279" s="94">
        <v>193.49</v>
      </c>
      <c r="G279" s="94">
        <v>234.01</v>
      </c>
      <c r="H279" s="94">
        <f t="shared" si="4"/>
        <v>400</v>
      </c>
      <c r="I279" s="95">
        <v>25</v>
      </c>
      <c r="J279" t="s">
        <v>9910</v>
      </c>
      <c r="K279" t="s">
        <v>242</v>
      </c>
      <c r="L279" s="46">
        <v>1000</v>
      </c>
      <c r="N279" t="s">
        <v>7316</v>
      </c>
      <c r="O279" t="s">
        <v>7316</v>
      </c>
      <c r="R279" t="s">
        <v>9691</v>
      </c>
      <c r="S279" t="s">
        <v>8622</v>
      </c>
      <c r="T279" t="s">
        <v>8631</v>
      </c>
      <c r="U279" s="62">
        <v>7</v>
      </c>
      <c r="V279" s="62" t="s">
        <v>8601</v>
      </c>
      <c r="W279" s="46">
        <v>15000</v>
      </c>
    </row>
    <row r="280" spans="1:24">
      <c r="A280" s="83" t="s">
        <v>9909</v>
      </c>
      <c r="B280" s="319">
        <v>389500</v>
      </c>
      <c r="C280" s="47" t="s">
        <v>250</v>
      </c>
      <c r="D280" s="102">
        <v>12.5</v>
      </c>
      <c r="E280" s="102">
        <v>32</v>
      </c>
      <c r="F280" s="94">
        <v>193.49</v>
      </c>
      <c r="G280" s="94">
        <v>234.01</v>
      </c>
      <c r="H280" s="94">
        <f t="shared" si="4"/>
        <v>400</v>
      </c>
      <c r="I280" s="95">
        <v>25</v>
      </c>
      <c r="J280" t="s">
        <v>9910</v>
      </c>
      <c r="K280" t="s">
        <v>10766</v>
      </c>
      <c r="L280" s="46">
        <v>2900</v>
      </c>
      <c r="N280" t="s">
        <v>7316</v>
      </c>
      <c r="O280" t="s">
        <v>7316</v>
      </c>
      <c r="R280" t="s">
        <v>9691</v>
      </c>
      <c r="S280" t="s">
        <v>8622</v>
      </c>
      <c r="T280" t="s">
        <v>8632</v>
      </c>
      <c r="U280" s="62">
        <v>7.1</v>
      </c>
      <c r="V280" s="62" t="s">
        <v>8601</v>
      </c>
      <c r="W280" s="46">
        <v>15000</v>
      </c>
    </row>
    <row r="281" spans="1:24">
      <c r="A281" s="83" t="s">
        <v>9909</v>
      </c>
      <c r="B281" s="319">
        <v>389500</v>
      </c>
      <c r="C281" s="47" t="s">
        <v>250</v>
      </c>
      <c r="D281" s="102">
        <v>12.5</v>
      </c>
      <c r="E281" s="102">
        <v>32</v>
      </c>
      <c r="F281" s="94">
        <v>193.49</v>
      </c>
      <c r="G281" s="94">
        <v>234.01</v>
      </c>
      <c r="H281" s="94">
        <f t="shared" si="4"/>
        <v>400</v>
      </c>
      <c r="I281" s="95">
        <v>25</v>
      </c>
      <c r="J281" t="s">
        <v>9910</v>
      </c>
      <c r="K281" t="s">
        <v>10767</v>
      </c>
      <c r="L281" s="46">
        <v>2500</v>
      </c>
      <c r="N281" t="s">
        <v>7316</v>
      </c>
      <c r="O281" t="s">
        <v>7316</v>
      </c>
      <c r="Q281" s="48"/>
      <c r="R281" t="s">
        <v>9691</v>
      </c>
      <c r="S281" t="s">
        <v>8622</v>
      </c>
      <c r="T281" t="s">
        <v>8633</v>
      </c>
      <c r="U281" s="62">
        <v>7.2</v>
      </c>
      <c r="V281" s="62" t="s">
        <v>8602</v>
      </c>
      <c r="W281" s="46">
        <v>8000</v>
      </c>
      <c r="X281" s="48"/>
    </row>
    <row r="282" spans="1:24">
      <c r="A282" s="83" t="s">
        <v>9909</v>
      </c>
      <c r="B282" s="319">
        <v>389500</v>
      </c>
      <c r="C282" s="47" t="s">
        <v>250</v>
      </c>
      <c r="D282" s="102">
        <v>12.5</v>
      </c>
      <c r="E282" s="102">
        <v>32</v>
      </c>
      <c r="F282" s="94">
        <v>193.49</v>
      </c>
      <c r="G282" s="94">
        <v>234.01</v>
      </c>
      <c r="H282" s="94">
        <f t="shared" si="4"/>
        <v>400</v>
      </c>
      <c r="I282" s="95">
        <v>25</v>
      </c>
      <c r="J282" t="s">
        <v>9910</v>
      </c>
      <c r="K282" t="s">
        <v>240</v>
      </c>
      <c r="L282" s="46" t="s">
        <v>1</v>
      </c>
      <c r="N282" t="s">
        <v>7316</v>
      </c>
      <c r="O282" t="s">
        <v>7316</v>
      </c>
      <c r="R282" t="s">
        <v>9691</v>
      </c>
      <c r="S282" t="s">
        <v>8622</v>
      </c>
      <c r="T282" t="s">
        <v>8601</v>
      </c>
      <c r="U282" s="62">
        <v>7.3</v>
      </c>
      <c r="V282" s="62" t="s">
        <v>8602</v>
      </c>
      <c r="W282" s="46">
        <v>8000</v>
      </c>
    </row>
    <row r="283" spans="1:24">
      <c r="A283" s="83" t="s">
        <v>9909</v>
      </c>
      <c r="B283" s="319">
        <v>389500</v>
      </c>
      <c r="C283" s="47" t="s">
        <v>250</v>
      </c>
      <c r="D283" s="102">
        <v>12.5</v>
      </c>
      <c r="E283" s="102">
        <v>32</v>
      </c>
      <c r="F283" s="94">
        <v>193.49</v>
      </c>
      <c r="G283" s="94">
        <v>234.01</v>
      </c>
      <c r="H283" s="94">
        <f t="shared" si="4"/>
        <v>400</v>
      </c>
      <c r="I283" s="95">
        <v>25</v>
      </c>
      <c r="J283" t="s">
        <v>9910</v>
      </c>
      <c r="K283" t="s">
        <v>10768</v>
      </c>
      <c r="L283" s="46">
        <v>5000</v>
      </c>
      <c r="N283" t="s">
        <v>7316</v>
      </c>
      <c r="O283" t="s">
        <v>7316</v>
      </c>
      <c r="R283" t="s">
        <v>9691</v>
      </c>
      <c r="S283" t="s">
        <v>8622</v>
      </c>
      <c r="T283" t="s">
        <v>8634</v>
      </c>
      <c r="U283" s="62">
        <v>7</v>
      </c>
      <c r="V283" s="62" t="s">
        <v>8601</v>
      </c>
      <c r="W283" s="46">
        <v>15000</v>
      </c>
    </row>
    <row r="284" spans="1:24">
      <c r="A284" s="83" t="s">
        <v>204</v>
      </c>
      <c r="B284" s="319">
        <v>291600</v>
      </c>
      <c r="C284" s="47" t="s">
        <v>250</v>
      </c>
      <c r="D284" s="102">
        <v>8.5</v>
      </c>
      <c r="E284" s="102">
        <v>26</v>
      </c>
      <c r="F284" s="94">
        <v>145.94999999999999</v>
      </c>
      <c r="G284" s="94">
        <v>145.94999999999999</v>
      </c>
      <c r="H284" s="94">
        <f t="shared" si="4"/>
        <v>221</v>
      </c>
      <c r="I284" s="95">
        <v>16</v>
      </c>
      <c r="J284" t="s">
        <v>265</v>
      </c>
      <c r="K284" t="s">
        <v>241</v>
      </c>
      <c r="L284" s="46" t="s">
        <v>1</v>
      </c>
      <c r="N284" t="s">
        <v>7316</v>
      </c>
      <c r="O284" t="s">
        <v>7316</v>
      </c>
      <c r="R284" t="s">
        <v>9691</v>
      </c>
      <c r="S284" t="s">
        <v>8623</v>
      </c>
      <c r="T284" t="s">
        <v>8629</v>
      </c>
      <c r="U284" s="62">
        <v>7</v>
      </c>
      <c r="V284" s="62" t="s">
        <v>8601</v>
      </c>
      <c r="W284" s="46">
        <v>15000</v>
      </c>
    </row>
    <row r="285" spans="1:24">
      <c r="A285" s="83" t="s">
        <v>204</v>
      </c>
      <c r="B285" s="319">
        <v>291600</v>
      </c>
      <c r="C285" s="47" t="s">
        <v>250</v>
      </c>
      <c r="D285" s="102">
        <v>8.5</v>
      </c>
      <c r="E285" s="102">
        <v>26</v>
      </c>
      <c r="F285" s="94">
        <v>145.94999999999999</v>
      </c>
      <c r="G285" s="94">
        <v>145.94999999999999</v>
      </c>
      <c r="H285" s="94">
        <f t="shared" si="4"/>
        <v>221</v>
      </c>
      <c r="I285" s="95">
        <v>16</v>
      </c>
      <c r="J285" t="s">
        <v>265</v>
      </c>
      <c r="K285" t="s">
        <v>10765</v>
      </c>
      <c r="L285" s="46">
        <v>2900</v>
      </c>
      <c r="N285" t="s">
        <v>7316</v>
      </c>
      <c r="O285" t="s">
        <v>7316</v>
      </c>
      <c r="R285" t="s">
        <v>9691</v>
      </c>
      <c r="S285" t="s">
        <v>8623</v>
      </c>
      <c r="T285" t="s">
        <v>8630</v>
      </c>
      <c r="U285" s="62">
        <v>7</v>
      </c>
      <c r="V285" s="62" t="s">
        <v>8601</v>
      </c>
      <c r="W285" s="46">
        <v>15000</v>
      </c>
    </row>
    <row r="286" spans="1:24">
      <c r="A286" s="83" t="s">
        <v>204</v>
      </c>
      <c r="B286" s="319">
        <v>291600</v>
      </c>
      <c r="C286" s="47" t="s">
        <v>250</v>
      </c>
      <c r="D286" s="102">
        <v>8.5</v>
      </c>
      <c r="E286" s="102">
        <v>26</v>
      </c>
      <c r="F286" s="94">
        <v>145.94999999999999</v>
      </c>
      <c r="G286" s="94">
        <v>145.94999999999999</v>
      </c>
      <c r="H286" s="94">
        <f t="shared" si="4"/>
        <v>221</v>
      </c>
      <c r="I286" s="95">
        <v>16</v>
      </c>
      <c r="J286" t="s">
        <v>265</v>
      </c>
      <c r="K286" t="s">
        <v>242</v>
      </c>
      <c r="L286" s="46">
        <v>1000</v>
      </c>
      <c r="N286" t="s">
        <v>7316</v>
      </c>
      <c r="O286" t="s">
        <v>7316</v>
      </c>
      <c r="R286" t="s">
        <v>9691</v>
      </c>
      <c r="S286" t="s">
        <v>8623</v>
      </c>
      <c r="T286" t="s">
        <v>8635</v>
      </c>
      <c r="U286" s="62">
        <v>7.1</v>
      </c>
      <c r="V286" s="62" t="s">
        <v>8601</v>
      </c>
      <c r="W286" s="46">
        <v>15000</v>
      </c>
    </row>
    <row r="287" spans="1:24">
      <c r="A287" s="83" t="s">
        <v>204</v>
      </c>
      <c r="B287" s="319">
        <v>291600</v>
      </c>
      <c r="C287" s="47" t="s">
        <v>250</v>
      </c>
      <c r="D287" s="102">
        <v>8.5</v>
      </c>
      <c r="E287" s="102">
        <v>26</v>
      </c>
      <c r="F287" s="94">
        <v>145.94999999999999</v>
      </c>
      <c r="G287" s="94">
        <v>145.94999999999999</v>
      </c>
      <c r="H287" s="94">
        <f t="shared" si="4"/>
        <v>221</v>
      </c>
      <c r="I287" s="95">
        <v>16</v>
      </c>
      <c r="J287" t="s">
        <v>265</v>
      </c>
      <c r="K287" t="s">
        <v>10766</v>
      </c>
      <c r="L287" s="309">
        <v>2900</v>
      </c>
      <c r="N287" t="s">
        <v>7316</v>
      </c>
      <c r="O287" t="s">
        <v>7316</v>
      </c>
      <c r="R287" t="s">
        <v>9691</v>
      </c>
      <c r="S287" t="s">
        <v>8623</v>
      </c>
      <c r="T287" t="s">
        <v>8631</v>
      </c>
      <c r="U287" s="62">
        <v>7.1</v>
      </c>
      <c r="V287" s="62" t="s">
        <v>8601</v>
      </c>
      <c r="W287" s="46">
        <v>15000</v>
      </c>
    </row>
    <row r="288" spans="1:24">
      <c r="A288" s="83" t="s">
        <v>204</v>
      </c>
      <c r="B288" s="319">
        <v>291600</v>
      </c>
      <c r="C288" s="47" t="s">
        <v>250</v>
      </c>
      <c r="D288" s="102">
        <v>8.5</v>
      </c>
      <c r="E288" s="102">
        <v>26</v>
      </c>
      <c r="F288" s="94">
        <v>145.94999999999999</v>
      </c>
      <c r="G288" s="94">
        <v>145.94999999999999</v>
      </c>
      <c r="H288" s="94">
        <f t="shared" si="4"/>
        <v>221</v>
      </c>
      <c r="I288" s="95">
        <v>16</v>
      </c>
      <c r="J288" t="s">
        <v>265</v>
      </c>
      <c r="K288" t="s">
        <v>10767</v>
      </c>
      <c r="L288" s="46">
        <v>2500</v>
      </c>
      <c r="N288" t="s">
        <v>7316</v>
      </c>
      <c r="O288" t="s">
        <v>7316</v>
      </c>
      <c r="P288" t="s">
        <v>7318</v>
      </c>
      <c r="R288" t="s">
        <v>9691</v>
      </c>
      <c r="S288" t="s">
        <v>8623</v>
      </c>
      <c r="T288" t="s">
        <v>8632</v>
      </c>
      <c r="U288" s="62">
        <v>7.1</v>
      </c>
      <c r="V288" s="62" t="s">
        <v>8601</v>
      </c>
      <c r="W288" s="46">
        <v>15000</v>
      </c>
    </row>
    <row r="289" spans="1:24">
      <c r="A289" s="83" t="s">
        <v>204</v>
      </c>
      <c r="B289" s="319">
        <v>291600</v>
      </c>
      <c r="C289" s="47" t="s">
        <v>250</v>
      </c>
      <c r="D289" s="102">
        <v>8.5</v>
      </c>
      <c r="E289" s="102">
        <v>26</v>
      </c>
      <c r="F289" s="94">
        <v>145.94999999999999</v>
      </c>
      <c r="G289" s="94">
        <v>145.94999999999999</v>
      </c>
      <c r="H289" s="94">
        <f t="shared" si="4"/>
        <v>221</v>
      </c>
      <c r="I289" s="95">
        <v>16</v>
      </c>
      <c r="J289" t="s">
        <v>265</v>
      </c>
      <c r="K289" t="s">
        <v>240</v>
      </c>
      <c r="L289" s="46" t="s">
        <v>1</v>
      </c>
      <c r="N289" t="s">
        <v>7316</v>
      </c>
      <c r="O289" t="s">
        <v>7316</v>
      </c>
      <c r="R289" t="s">
        <v>9691</v>
      </c>
      <c r="S289" t="s">
        <v>8623</v>
      </c>
      <c r="T289" t="s">
        <v>8633</v>
      </c>
      <c r="U289" s="62">
        <v>7.1</v>
      </c>
      <c r="V289" s="62" t="s">
        <v>8601</v>
      </c>
      <c r="W289" s="46">
        <v>15000</v>
      </c>
    </row>
    <row r="290" spans="1:24">
      <c r="A290" s="83" t="s">
        <v>204</v>
      </c>
      <c r="B290" s="319">
        <v>291600</v>
      </c>
      <c r="C290" s="47" t="s">
        <v>250</v>
      </c>
      <c r="D290" s="102">
        <v>8.5</v>
      </c>
      <c r="E290" s="102">
        <v>26</v>
      </c>
      <c r="F290" s="94">
        <v>145.94999999999999</v>
      </c>
      <c r="G290" s="94">
        <v>145.94999999999999</v>
      </c>
      <c r="H290" s="94">
        <f t="shared" si="4"/>
        <v>221</v>
      </c>
      <c r="I290" s="95">
        <v>16</v>
      </c>
      <c r="J290" t="s">
        <v>265</v>
      </c>
      <c r="K290" t="s">
        <v>10768</v>
      </c>
      <c r="L290" s="46">
        <v>5000</v>
      </c>
      <c r="N290" t="s">
        <v>7316</v>
      </c>
      <c r="O290" t="s">
        <v>7316</v>
      </c>
      <c r="R290" t="s">
        <v>9691</v>
      </c>
      <c r="S290" t="s">
        <v>8623</v>
      </c>
      <c r="T290" t="s">
        <v>8601</v>
      </c>
      <c r="U290" s="62">
        <v>7.3</v>
      </c>
      <c r="V290" s="62" t="s">
        <v>8602</v>
      </c>
      <c r="W290" s="46">
        <v>8000</v>
      </c>
    </row>
    <row r="291" spans="1:24">
      <c r="A291" s="83" t="s">
        <v>225</v>
      </c>
      <c r="B291" s="319">
        <v>357800</v>
      </c>
      <c r="C291" s="47" t="s">
        <v>250</v>
      </c>
      <c r="D291" s="102">
        <v>14</v>
      </c>
      <c r="E291" s="102">
        <v>28</v>
      </c>
      <c r="F291" s="94">
        <v>231.34</v>
      </c>
      <c r="G291" s="94">
        <v>231.34</v>
      </c>
      <c r="H291" s="94">
        <f t="shared" si="4"/>
        <v>392</v>
      </c>
      <c r="I291" s="95">
        <v>25</v>
      </c>
      <c r="J291" t="s">
        <v>260</v>
      </c>
      <c r="K291" t="s">
        <v>241</v>
      </c>
      <c r="L291" s="46" t="s">
        <v>1</v>
      </c>
      <c r="N291" t="s">
        <v>7316</v>
      </c>
      <c r="O291" t="s">
        <v>7316</v>
      </c>
      <c r="R291" t="s">
        <v>9691</v>
      </c>
      <c r="S291" t="s">
        <v>8623</v>
      </c>
      <c r="T291" t="s">
        <v>8634</v>
      </c>
      <c r="U291" s="62">
        <v>7</v>
      </c>
      <c r="V291" s="62" t="s">
        <v>8601</v>
      </c>
      <c r="W291" s="46">
        <v>15000</v>
      </c>
    </row>
    <row r="292" spans="1:24">
      <c r="A292" s="83" t="s">
        <v>225</v>
      </c>
      <c r="B292" s="319">
        <v>357800</v>
      </c>
      <c r="C292" s="47" t="s">
        <v>250</v>
      </c>
      <c r="D292" s="102">
        <v>14</v>
      </c>
      <c r="E292" s="102">
        <v>28</v>
      </c>
      <c r="F292" s="94">
        <v>231.34</v>
      </c>
      <c r="G292" s="94">
        <v>231.34</v>
      </c>
      <c r="H292" s="94">
        <f t="shared" si="4"/>
        <v>392</v>
      </c>
      <c r="I292" s="95">
        <v>25</v>
      </c>
      <c r="J292" t="s">
        <v>260</v>
      </c>
      <c r="K292" t="s">
        <v>10765</v>
      </c>
      <c r="L292" s="46">
        <v>2900</v>
      </c>
      <c r="N292" t="s">
        <v>7316</v>
      </c>
      <c r="O292" t="s">
        <v>7316</v>
      </c>
      <c r="Q292" s="48"/>
      <c r="R292" t="s">
        <v>9692</v>
      </c>
      <c r="S292" t="s">
        <v>8622</v>
      </c>
      <c r="T292" t="s">
        <v>8629</v>
      </c>
      <c r="U292" s="62">
        <v>7</v>
      </c>
      <c r="V292" s="62" t="s">
        <v>8601</v>
      </c>
      <c r="W292" s="46">
        <v>15000</v>
      </c>
      <c r="X292" s="48"/>
    </row>
    <row r="293" spans="1:24">
      <c r="A293" s="83" t="s">
        <v>225</v>
      </c>
      <c r="B293" s="319">
        <v>357800</v>
      </c>
      <c r="C293" s="47" t="s">
        <v>250</v>
      </c>
      <c r="D293" s="102">
        <v>14</v>
      </c>
      <c r="E293" s="102">
        <v>28</v>
      </c>
      <c r="F293" s="94">
        <v>231.34</v>
      </c>
      <c r="G293" s="94">
        <v>231.34</v>
      </c>
      <c r="H293" s="94">
        <f t="shared" si="4"/>
        <v>392</v>
      </c>
      <c r="I293" s="95">
        <v>25</v>
      </c>
      <c r="J293" t="s">
        <v>260</v>
      </c>
      <c r="K293" t="s">
        <v>242</v>
      </c>
      <c r="L293" s="46">
        <v>1000</v>
      </c>
      <c r="N293" t="s">
        <v>7316</v>
      </c>
      <c r="O293" t="s">
        <v>7316</v>
      </c>
      <c r="R293" t="s">
        <v>9692</v>
      </c>
      <c r="S293" t="s">
        <v>8622</v>
      </c>
      <c r="T293" t="s">
        <v>8630</v>
      </c>
      <c r="U293" s="62">
        <v>7</v>
      </c>
      <c r="V293" s="62" t="s">
        <v>8601</v>
      </c>
      <c r="W293" s="46">
        <v>15000</v>
      </c>
    </row>
    <row r="294" spans="1:24">
      <c r="A294" s="83" t="s">
        <v>225</v>
      </c>
      <c r="B294" s="319">
        <v>357800</v>
      </c>
      <c r="C294" s="47" t="s">
        <v>250</v>
      </c>
      <c r="D294" s="102">
        <v>14</v>
      </c>
      <c r="E294" s="102">
        <v>28</v>
      </c>
      <c r="F294" s="94">
        <v>231.34</v>
      </c>
      <c r="G294" s="94">
        <v>231.34</v>
      </c>
      <c r="H294" s="94">
        <f t="shared" si="4"/>
        <v>392</v>
      </c>
      <c r="I294" s="95">
        <v>25</v>
      </c>
      <c r="J294" t="s">
        <v>260</v>
      </c>
      <c r="K294" t="s">
        <v>10767</v>
      </c>
      <c r="L294" s="46">
        <v>2500</v>
      </c>
      <c r="N294" t="s">
        <v>7316</v>
      </c>
      <c r="O294" t="s">
        <v>7316</v>
      </c>
      <c r="P294" t="s">
        <v>7318</v>
      </c>
      <c r="R294" t="s">
        <v>9692</v>
      </c>
      <c r="S294" t="s">
        <v>8622</v>
      </c>
      <c r="T294" t="s">
        <v>8635</v>
      </c>
      <c r="U294" s="62">
        <v>7.1</v>
      </c>
      <c r="V294" s="62" t="s">
        <v>8601</v>
      </c>
      <c r="W294" s="46">
        <v>15000</v>
      </c>
    </row>
    <row r="295" spans="1:24">
      <c r="A295" s="83" t="s">
        <v>225</v>
      </c>
      <c r="B295" s="319">
        <v>357800</v>
      </c>
      <c r="C295" s="47" t="s">
        <v>250</v>
      </c>
      <c r="D295" s="102">
        <v>14</v>
      </c>
      <c r="E295" s="102">
        <v>28</v>
      </c>
      <c r="F295" s="94">
        <v>231.34</v>
      </c>
      <c r="G295" s="94">
        <v>231.34</v>
      </c>
      <c r="H295" s="94">
        <f t="shared" si="4"/>
        <v>392</v>
      </c>
      <c r="I295" s="95">
        <v>25</v>
      </c>
      <c r="J295" t="s">
        <v>260</v>
      </c>
      <c r="K295" t="s">
        <v>10766</v>
      </c>
      <c r="L295" s="309">
        <v>2900</v>
      </c>
      <c r="N295" t="s">
        <v>7316</v>
      </c>
      <c r="O295" t="s">
        <v>7316</v>
      </c>
      <c r="R295" t="s">
        <v>9692</v>
      </c>
      <c r="S295" t="s">
        <v>8622</v>
      </c>
      <c r="T295" t="s">
        <v>8631</v>
      </c>
      <c r="U295" s="62">
        <v>7</v>
      </c>
      <c r="V295" s="62" t="s">
        <v>8601</v>
      </c>
      <c r="W295" s="46">
        <v>15000</v>
      </c>
    </row>
    <row r="296" spans="1:24">
      <c r="A296" s="83" t="s">
        <v>225</v>
      </c>
      <c r="B296" s="319">
        <v>357800</v>
      </c>
      <c r="C296" s="47" t="s">
        <v>250</v>
      </c>
      <c r="D296" s="102">
        <v>14</v>
      </c>
      <c r="E296" s="102">
        <v>28</v>
      </c>
      <c r="F296" s="94">
        <v>231.34</v>
      </c>
      <c r="G296" s="94">
        <v>231.34</v>
      </c>
      <c r="H296" s="94">
        <f t="shared" si="4"/>
        <v>392</v>
      </c>
      <c r="I296" s="95">
        <v>25</v>
      </c>
      <c r="J296" t="s">
        <v>260</v>
      </c>
      <c r="K296" t="s">
        <v>240</v>
      </c>
      <c r="L296" s="46" t="s">
        <v>1</v>
      </c>
      <c r="N296" t="s">
        <v>7316</v>
      </c>
      <c r="O296" t="s">
        <v>7316</v>
      </c>
      <c r="R296" t="s">
        <v>9692</v>
      </c>
      <c r="S296" t="s">
        <v>8622</v>
      </c>
      <c r="T296" t="s">
        <v>8632</v>
      </c>
      <c r="U296" s="62">
        <v>7.1</v>
      </c>
      <c r="V296" s="62" t="s">
        <v>8601</v>
      </c>
      <c r="W296" s="46">
        <v>15000</v>
      </c>
    </row>
    <row r="297" spans="1:24">
      <c r="A297" s="83" t="s">
        <v>225</v>
      </c>
      <c r="B297" s="319">
        <v>357800</v>
      </c>
      <c r="C297" s="47" t="s">
        <v>250</v>
      </c>
      <c r="D297" s="102">
        <v>14</v>
      </c>
      <c r="E297" s="102">
        <v>28</v>
      </c>
      <c r="F297" s="94">
        <v>231.34</v>
      </c>
      <c r="G297" s="94">
        <v>231.34</v>
      </c>
      <c r="H297" s="94">
        <f t="shared" si="4"/>
        <v>392</v>
      </c>
      <c r="I297" s="95">
        <v>25</v>
      </c>
      <c r="J297" t="s">
        <v>260</v>
      </c>
      <c r="K297" t="s">
        <v>10768</v>
      </c>
      <c r="L297" s="46">
        <v>5000</v>
      </c>
      <c r="N297" t="s">
        <v>7316</v>
      </c>
      <c r="O297" t="s">
        <v>7316</v>
      </c>
      <c r="R297" t="s">
        <v>9692</v>
      </c>
      <c r="S297" t="s">
        <v>8622</v>
      </c>
      <c r="T297" t="s">
        <v>8633</v>
      </c>
      <c r="U297" s="62">
        <v>7.2</v>
      </c>
      <c r="V297" s="62" t="s">
        <v>8602</v>
      </c>
      <c r="W297" s="46">
        <v>8000</v>
      </c>
    </row>
    <row r="298" spans="1:24">
      <c r="A298" s="83" t="s">
        <v>9752</v>
      </c>
      <c r="B298" s="319">
        <v>299000</v>
      </c>
      <c r="C298" s="47" t="s">
        <v>250</v>
      </c>
      <c r="D298" s="102">
        <v>10.5</v>
      </c>
      <c r="E298" s="102">
        <v>25</v>
      </c>
      <c r="F298" s="94">
        <v>166.98</v>
      </c>
      <c r="G298" s="94">
        <v>166.98</v>
      </c>
      <c r="H298" s="94">
        <f t="shared" si="4"/>
        <v>262.5</v>
      </c>
      <c r="I298" s="95">
        <v>18</v>
      </c>
      <c r="J298" t="s">
        <v>258</v>
      </c>
      <c r="K298" t="s">
        <v>241</v>
      </c>
      <c r="L298" s="46" t="s">
        <v>1</v>
      </c>
      <c r="N298" t="s">
        <v>7316</v>
      </c>
      <c r="O298" t="s">
        <v>7316</v>
      </c>
      <c r="R298" t="s">
        <v>9692</v>
      </c>
      <c r="S298" t="s">
        <v>8622</v>
      </c>
      <c r="T298" t="s">
        <v>8601</v>
      </c>
      <c r="U298" s="62">
        <v>7.3</v>
      </c>
      <c r="V298" s="62" t="s">
        <v>8602</v>
      </c>
      <c r="W298" s="46">
        <v>8000</v>
      </c>
    </row>
    <row r="299" spans="1:24">
      <c r="A299" s="83" t="s">
        <v>9752</v>
      </c>
      <c r="B299" s="319">
        <v>299000</v>
      </c>
      <c r="C299" s="47" t="s">
        <v>250</v>
      </c>
      <c r="D299" s="102">
        <v>10.5</v>
      </c>
      <c r="E299" s="102">
        <v>25</v>
      </c>
      <c r="F299" s="94">
        <v>166.98</v>
      </c>
      <c r="G299" s="94">
        <v>166.98</v>
      </c>
      <c r="H299" s="94">
        <f t="shared" si="4"/>
        <v>262.5</v>
      </c>
      <c r="I299" s="95">
        <v>18</v>
      </c>
      <c r="J299" t="s">
        <v>258</v>
      </c>
      <c r="K299" t="s">
        <v>10765</v>
      </c>
      <c r="L299" s="46">
        <v>2900</v>
      </c>
      <c r="N299" t="s">
        <v>7316</v>
      </c>
      <c r="O299" t="s">
        <v>7316</v>
      </c>
      <c r="R299" t="s">
        <v>9692</v>
      </c>
      <c r="S299" t="s">
        <v>8622</v>
      </c>
      <c r="T299" t="s">
        <v>8634</v>
      </c>
      <c r="U299" s="62">
        <v>7</v>
      </c>
      <c r="V299" s="62" t="s">
        <v>8601</v>
      </c>
      <c r="W299" s="46">
        <v>15000</v>
      </c>
    </row>
    <row r="300" spans="1:24">
      <c r="A300" s="83" t="s">
        <v>9752</v>
      </c>
      <c r="B300" s="319">
        <v>299000</v>
      </c>
      <c r="C300" s="47" t="s">
        <v>250</v>
      </c>
      <c r="D300" s="102">
        <v>10.5</v>
      </c>
      <c r="E300" s="102">
        <v>25</v>
      </c>
      <c r="F300" s="94">
        <v>166.98</v>
      </c>
      <c r="G300" s="94">
        <v>166.98</v>
      </c>
      <c r="H300" s="94">
        <f t="shared" si="4"/>
        <v>262.5</v>
      </c>
      <c r="I300" s="95">
        <v>18</v>
      </c>
      <c r="J300" t="s">
        <v>258</v>
      </c>
      <c r="K300" t="s">
        <v>242</v>
      </c>
      <c r="L300" s="46">
        <v>1000</v>
      </c>
      <c r="N300" t="s">
        <v>7316</v>
      </c>
      <c r="O300" t="s">
        <v>7316</v>
      </c>
      <c r="R300" t="s">
        <v>9692</v>
      </c>
      <c r="S300" t="s">
        <v>8623</v>
      </c>
      <c r="T300" t="s">
        <v>8629</v>
      </c>
      <c r="U300" s="62">
        <v>7</v>
      </c>
      <c r="V300" s="62" t="s">
        <v>8601</v>
      </c>
      <c r="W300" s="46">
        <v>15000</v>
      </c>
    </row>
    <row r="301" spans="1:24">
      <c r="A301" s="83" t="s">
        <v>9752</v>
      </c>
      <c r="B301" s="319">
        <v>299000</v>
      </c>
      <c r="C301" s="47" t="s">
        <v>250</v>
      </c>
      <c r="D301" s="102">
        <v>10.5</v>
      </c>
      <c r="E301" s="102">
        <v>25</v>
      </c>
      <c r="F301" s="94">
        <v>166.98</v>
      </c>
      <c r="G301" s="94">
        <v>166.98</v>
      </c>
      <c r="H301" s="94">
        <f t="shared" si="4"/>
        <v>262.5</v>
      </c>
      <c r="I301" s="95">
        <v>18</v>
      </c>
      <c r="J301" t="s">
        <v>258</v>
      </c>
      <c r="K301" t="s">
        <v>10767</v>
      </c>
      <c r="L301" s="46">
        <v>2500</v>
      </c>
      <c r="N301" t="s">
        <v>7316</v>
      </c>
      <c r="O301" t="s">
        <v>7316</v>
      </c>
      <c r="P301" t="s">
        <v>7318</v>
      </c>
      <c r="R301" t="s">
        <v>9692</v>
      </c>
      <c r="S301" t="s">
        <v>8623</v>
      </c>
      <c r="T301" t="s">
        <v>8630</v>
      </c>
      <c r="U301" s="62">
        <v>7</v>
      </c>
      <c r="V301" s="62" t="s">
        <v>8601</v>
      </c>
      <c r="W301" s="46">
        <v>15000</v>
      </c>
    </row>
    <row r="302" spans="1:24">
      <c r="A302" s="83" t="s">
        <v>9752</v>
      </c>
      <c r="B302" s="319">
        <v>299000</v>
      </c>
      <c r="C302" s="47" t="s">
        <v>250</v>
      </c>
      <c r="D302" s="102">
        <v>10.5</v>
      </c>
      <c r="E302" s="102">
        <v>25</v>
      </c>
      <c r="F302" s="94">
        <v>166.98</v>
      </c>
      <c r="G302" s="94">
        <v>166.98</v>
      </c>
      <c r="H302" s="94">
        <f t="shared" si="4"/>
        <v>262.5</v>
      </c>
      <c r="I302" s="95">
        <v>18</v>
      </c>
      <c r="J302" t="s">
        <v>258</v>
      </c>
      <c r="K302" t="s">
        <v>10766</v>
      </c>
      <c r="L302" s="309">
        <v>2900</v>
      </c>
      <c r="N302" t="s">
        <v>7316</v>
      </c>
      <c r="O302" t="s">
        <v>7316</v>
      </c>
      <c r="R302" t="s">
        <v>9692</v>
      </c>
      <c r="S302" t="s">
        <v>8623</v>
      </c>
      <c r="T302" t="s">
        <v>8635</v>
      </c>
      <c r="U302" s="62">
        <v>7.1</v>
      </c>
      <c r="V302" s="62" t="s">
        <v>8601</v>
      </c>
      <c r="W302" s="46">
        <v>15000</v>
      </c>
    </row>
    <row r="303" spans="1:24">
      <c r="A303" s="83" t="s">
        <v>9752</v>
      </c>
      <c r="B303" s="319">
        <v>299000</v>
      </c>
      <c r="C303" s="47" t="s">
        <v>250</v>
      </c>
      <c r="D303" s="102">
        <v>10.5</v>
      </c>
      <c r="E303" s="102">
        <v>25</v>
      </c>
      <c r="F303" s="94">
        <v>166.98</v>
      </c>
      <c r="G303" s="94">
        <v>166.98</v>
      </c>
      <c r="H303" s="94">
        <f t="shared" si="4"/>
        <v>262.5</v>
      </c>
      <c r="I303" s="95">
        <v>18</v>
      </c>
      <c r="J303" t="s">
        <v>258</v>
      </c>
      <c r="K303" t="s">
        <v>240</v>
      </c>
      <c r="L303" s="46" t="s">
        <v>1</v>
      </c>
      <c r="N303" t="s">
        <v>7316</v>
      </c>
      <c r="O303" t="s">
        <v>7316</v>
      </c>
      <c r="Q303" s="48"/>
      <c r="R303" t="s">
        <v>9692</v>
      </c>
      <c r="S303" t="s">
        <v>8623</v>
      </c>
      <c r="T303" t="s">
        <v>8631</v>
      </c>
      <c r="U303" s="62">
        <v>7.1</v>
      </c>
      <c r="V303" s="62" t="s">
        <v>8601</v>
      </c>
      <c r="W303" s="46">
        <v>15000</v>
      </c>
      <c r="X303" s="48"/>
    </row>
    <row r="304" spans="1:24">
      <c r="A304" s="83" t="s">
        <v>9752</v>
      </c>
      <c r="B304" s="319">
        <v>299000</v>
      </c>
      <c r="C304" s="47" t="s">
        <v>250</v>
      </c>
      <c r="D304" s="102">
        <v>10.5</v>
      </c>
      <c r="E304" s="102">
        <v>25</v>
      </c>
      <c r="F304" s="94">
        <v>166.98</v>
      </c>
      <c r="G304" s="94">
        <v>166.98</v>
      </c>
      <c r="H304" s="94">
        <f t="shared" si="4"/>
        <v>262.5</v>
      </c>
      <c r="I304" s="95">
        <v>18</v>
      </c>
      <c r="J304" t="s">
        <v>258</v>
      </c>
      <c r="K304" t="s">
        <v>10768</v>
      </c>
      <c r="L304" s="46">
        <v>5000</v>
      </c>
      <c r="N304" t="s">
        <v>7316</v>
      </c>
      <c r="O304" t="s">
        <v>7316</v>
      </c>
      <c r="R304" t="s">
        <v>9692</v>
      </c>
      <c r="S304" t="s">
        <v>8623</v>
      </c>
      <c r="T304" t="s">
        <v>8632</v>
      </c>
      <c r="U304" s="62">
        <v>7.1</v>
      </c>
      <c r="V304" s="62" t="s">
        <v>8601</v>
      </c>
      <c r="W304" s="46">
        <v>15000</v>
      </c>
    </row>
    <row r="305" spans="1:24">
      <c r="A305" s="83" t="s">
        <v>206</v>
      </c>
      <c r="B305" s="319">
        <v>295800</v>
      </c>
      <c r="C305" s="47" t="s">
        <v>250</v>
      </c>
      <c r="D305" s="102">
        <v>12.5</v>
      </c>
      <c r="E305" s="102">
        <v>21</v>
      </c>
      <c r="F305" s="94">
        <v>151.63</v>
      </c>
      <c r="G305" s="94">
        <v>151.63</v>
      </c>
      <c r="H305" s="94">
        <f t="shared" si="4"/>
        <v>262.5</v>
      </c>
      <c r="I305" s="95">
        <v>17</v>
      </c>
      <c r="J305" t="s">
        <v>257</v>
      </c>
      <c r="K305" t="s">
        <v>241</v>
      </c>
      <c r="L305" s="46" t="s">
        <v>1</v>
      </c>
      <c r="N305" t="s">
        <v>7316</v>
      </c>
      <c r="O305" t="s">
        <v>7316</v>
      </c>
      <c r="R305" t="s">
        <v>9692</v>
      </c>
      <c r="S305" t="s">
        <v>8623</v>
      </c>
      <c r="T305" t="s">
        <v>8633</v>
      </c>
      <c r="U305" s="62">
        <v>7.1</v>
      </c>
      <c r="V305" s="62" t="s">
        <v>8601</v>
      </c>
      <c r="W305" s="46">
        <v>15000</v>
      </c>
    </row>
    <row r="306" spans="1:24">
      <c r="A306" s="83" t="s">
        <v>206</v>
      </c>
      <c r="B306" s="319">
        <v>295800</v>
      </c>
      <c r="C306" s="47" t="s">
        <v>250</v>
      </c>
      <c r="D306" s="102">
        <v>12.5</v>
      </c>
      <c r="E306" s="102">
        <v>21</v>
      </c>
      <c r="F306" s="94">
        <v>151.63</v>
      </c>
      <c r="G306" s="94">
        <v>151.63</v>
      </c>
      <c r="H306" s="94">
        <f t="shared" si="4"/>
        <v>262.5</v>
      </c>
      <c r="I306" s="95">
        <v>17</v>
      </c>
      <c r="J306" t="s">
        <v>257</v>
      </c>
      <c r="K306" t="s">
        <v>10765</v>
      </c>
      <c r="L306" s="46">
        <v>2900</v>
      </c>
      <c r="N306" t="s">
        <v>7316</v>
      </c>
      <c r="O306" t="s">
        <v>7316</v>
      </c>
      <c r="R306" t="s">
        <v>9692</v>
      </c>
      <c r="S306" t="s">
        <v>8623</v>
      </c>
      <c r="T306" t="s">
        <v>8601</v>
      </c>
      <c r="U306" s="62">
        <v>7.3</v>
      </c>
      <c r="V306" s="62" t="s">
        <v>8602</v>
      </c>
      <c r="W306" s="46">
        <v>8000</v>
      </c>
    </row>
    <row r="307" spans="1:24">
      <c r="A307" s="83" t="s">
        <v>206</v>
      </c>
      <c r="B307" s="319">
        <v>295800</v>
      </c>
      <c r="C307" s="47" t="s">
        <v>250</v>
      </c>
      <c r="D307" s="102">
        <v>12.5</v>
      </c>
      <c r="E307" s="102">
        <v>21</v>
      </c>
      <c r="F307" s="94">
        <v>151.63</v>
      </c>
      <c r="G307" s="94">
        <v>151.63</v>
      </c>
      <c r="H307" s="94">
        <f t="shared" si="4"/>
        <v>262.5</v>
      </c>
      <c r="I307" s="95">
        <v>17</v>
      </c>
      <c r="J307" t="s">
        <v>257</v>
      </c>
      <c r="K307" t="s">
        <v>242</v>
      </c>
      <c r="L307" s="46">
        <v>1000</v>
      </c>
      <c r="N307" t="s">
        <v>7316</v>
      </c>
      <c r="O307" t="s">
        <v>7316</v>
      </c>
      <c r="R307" t="s">
        <v>9692</v>
      </c>
      <c r="S307" t="s">
        <v>8623</v>
      </c>
      <c r="T307" t="s">
        <v>8634</v>
      </c>
      <c r="U307" s="62">
        <v>7</v>
      </c>
      <c r="V307" s="62" t="s">
        <v>8601</v>
      </c>
      <c r="W307" s="46">
        <v>15000</v>
      </c>
    </row>
    <row r="308" spans="1:24">
      <c r="A308" s="83" t="s">
        <v>206</v>
      </c>
      <c r="B308" s="319">
        <v>295800</v>
      </c>
      <c r="C308" s="47" t="s">
        <v>250</v>
      </c>
      <c r="D308" s="102">
        <v>12.5</v>
      </c>
      <c r="E308" s="102">
        <v>21</v>
      </c>
      <c r="F308" s="94">
        <v>151.63</v>
      </c>
      <c r="G308" s="94">
        <v>151.63</v>
      </c>
      <c r="H308" s="94">
        <f t="shared" si="4"/>
        <v>262.5</v>
      </c>
      <c r="I308" s="95">
        <v>17</v>
      </c>
      <c r="J308" t="s">
        <v>257</v>
      </c>
      <c r="K308" t="s">
        <v>10767</v>
      </c>
      <c r="L308" s="46">
        <v>2500</v>
      </c>
      <c r="N308" t="s">
        <v>7316</v>
      </c>
      <c r="O308" t="s">
        <v>7316</v>
      </c>
      <c r="P308" t="s">
        <v>7318</v>
      </c>
      <c r="R308" t="s">
        <v>201</v>
      </c>
      <c r="S308" t="s">
        <v>8622</v>
      </c>
      <c r="T308" t="s">
        <v>8629</v>
      </c>
      <c r="U308" s="62">
        <v>7.2</v>
      </c>
      <c r="V308" s="62" t="s">
        <v>8601</v>
      </c>
      <c r="W308" s="46">
        <v>15000</v>
      </c>
    </row>
    <row r="309" spans="1:24">
      <c r="A309" s="83" t="s">
        <v>206</v>
      </c>
      <c r="B309" s="319">
        <v>295800</v>
      </c>
      <c r="C309" s="47" t="s">
        <v>250</v>
      </c>
      <c r="D309" s="102">
        <v>12.5</v>
      </c>
      <c r="E309" s="102">
        <v>21</v>
      </c>
      <c r="F309" s="94">
        <v>151.63</v>
      </c>
      <c r="G309" s="94">
        <v>151.63</v>
      </c>
      <c r="H309" s="94">
        <f t="shared" si="4"/>
        <v>262.5</v>
      </c>
      <c r="I309" s="95">
        <v>17</v>
      </c>
      <c r="J309" t="s">
        <v>257</v>
      </c>
      <c r="K309" t="s">
        <v>10766</v>
      </c>
      <c r="L309" s="309">
        <v>2900</v>
      </c>
      <c r="N309" t="s">
        <v>7316</v>
      </c>
      <c r="O309" t="s">
        <v>7316</v>
      </c>
      <c r="R309" t="s">
        <v>201</v>
      </c>
      <c r="S309" t="s">
        <v>8622</v>
      </c>
      <c r="T309" t="s">
        <v>8630</v>
      </c>
      <c r="U309" s="62">
        <v>7.1</v>
      </c>
      <c r="V309" s="62" t="s">
        <v>8601</v>
      </c>
      <c r="W309" s="46">
        <v>15000</v>
      </c>
    </row>
    <row r="310" spans="1:24">
      <c r="A310" s="83" t="s">
        <v>206</v>
      </c>
      <c r="B310" s="319">
        <v>295800</v>
      </c>
      <c r="C310" s="47" t="s">
        <v>250</v>
      </c>
      <c r="D310" s="102">
        <v>12.5</v>
      </c>
      <c r="E310" s="102">
        <v>21</v>
      </c>
      <c r="F310" s="94">
        <v>151.63</v>
      </c>
      <c r="G310" s="94">
        <v>151.63</v>
      </c>
      <c r="H310" s="94">
        <f t="shared" si="4"/>
        <v>262.5</v>
      </c>
      <c r="I310" s="95">
        <v>17</v>
      </c>
      <c r="J310" t="s">
        <v>257</v>
      </c>
      <c r="K310" t="s">
        <v>240</v>
      </c>
      <c r="L310" s="46" t="s">
        <v>1</v>
      </c>
      <c r="N310" t="s">
        <v>7316</v>
      </c>
      <c r="O310" t="s">
        <v>7316</v>
      </c>
      <c r="R310" t="s">
        <v>201</v>
      </c>
      <c r="S310" t="s">
        <v>8622</v>
      </c>
      <c r="T310" t="s">
        <v>8635</v>
      </c>
      <c r="U310" s="62">
        <v>7.1</v>
      </c>
      <c r="V310" s="62" t="s">
        <v>8601</v>
      </c>
      <c r="W310" s="46">
        <v>15000</v>
      </c>
    </row>
    <row r="311" spans="1:24">
      <c r="A311" s="83" t="s">
        <v>206</v>
      </c>
      <c r="B311" s="319">
        <v>295800</v>
      </c>
      <c r="C311" s="47" t="s">
        <v>250</v>
      </c>
      <c r="D311" s="102">
        <v>12.5</v>
      </c>
      <c r="E311" s="102">
        <v>21</v>
      </c>
      <c r="F311" s="94">
        <v>151.63</v>
      </c>
      <c r="G311" s="94">
        <v>151.63</v>
      </c>
      <c r="H311" s="94">
        <f t="shared" si="4"/>
        <v>262.5</v>
      </c>
      <c r="I311" s="95">
        <v>17</v>
      </c>
      <c r="J311" t="s">
        <v>257</v>
      </c>
      <c r="K311" t="s">
        <v>10768</v>
      </c>
      <c r="L311" s="46">
        <v>5000</v>
      </c>
      <c r="N311" t="s">
        <v>7316</v>
      </c>
      <c r="O311" t="s">
        <v>7316</v>
      </c>
      <c r="R311" t="s">
        <v>201</v>
      </c>
      <c r="S311" t="s">
        <v>8622</v>
      </c>
      <c r="T311" t="s">
        <v>8631</v>
      </c>
      <c r="U311" s="62">
        <v>7.1</v>
      </c>
      <c r="V311" s="62" t="s">
        <v>8601</v>
      </c>
      <c r="W311" s="46">
        <v>15000</v>
      </c>
    </row>
    <row r="312" spans="1:24">
      <c r="A312" s="83" t="s">
        <v>234</v>
      </c>
      <c r="B312" s="319">
        <v>422900</v>
      </c>
      <c r="C312" s="47" t="s">
        <v>251</v>
      </c>
      <c r="D312" s="102">
        <v>12.5</v>
      </c>
      <c r="E312" s="102">
        <v>22</v>
      </c>
      <c r="F312" s="94">
        <v>131.18</v>
      </c>
      <c r="G312" s="94">
        <v>247.5</v>
      </c>
      <c r="H312" s="94">
        <f t="shared" si="4"/>
        <v>275</v>
      </c>
      <c r="I312" s="95">
        <v>27</v>
      </c>
      <c r="J312" t="s">
        <v>261</v>
      </c>
      <c r="K312" t="s">
        <v>244</v>
      </c>
      <c r="L312" s="46">
        <v>3900</v>
      </c>
      <c r="N312" t="s">
        <v>7316</v>
      </c>
      <c r="O312" t="s">
        <v>7316</v>
      </c>
      <c r="R312" t="s">
        <v>201</v>
      </c>
      <c r="S312" t="s">
        <v>8622</v>
      </c>
      <c r="T312" t="s">
        <v>8632</v>
      </c>
      <c r="U312" s="62">
        <v>7.4</v>
      </c>
      <c r="V312" s="62" t="s">
        <v>8601</v>
      </c>
      <c r="W312" s="46">
        <v>15000</v>
      </c>
    </row>
    <row r="313" spans="1:24">
      <c r="A313" s="83" t="s">
        <v>234</v>
      </c>
      <c r="B313" s="319">
        <v>422900</v>
      </c>
      <c r="C313" s="47" t="s">
        <v>251</v>
      </c>
      <c r="D313" s="102">
        <v>12.5</v>
      </c>
      <c r="E313" s="102">
        <v>22</v>
      </c>
      <c r="F313" s="94">
        <v>131.18</v>
      </c>
      <c r="G313" s="94">
        <v>247.5</v>
      </c>
      <c r="H313" s="94">
        <f t="shared" si="4"/>
        <v>275</v>
      </c>
      <c r="I313" s="95">
        <v>27</v>
      </c>
      <c r="J313" t="s">
        <v>261</v>
      </c>
      <c r="K313" t="s">
        <v>247</v>
      </c>
      <c r="L313" s="46">
        <v>19900</v>
      </c>
      <c r="N313" t="s">
        <v>7316</v>
      </c>
      <c r="O313" t="s">
        <v>7317</v>
      </c>
      <c r="R313" t="s">
        <v>201</v>
      </c>
      <c r="S313" t="s">
        <v>8622</v>
      </c>
      <c r="T313" t="s">
        <v>8633</v>
      </c>
      <c r="U313" s="62">
        <v>7.9</v>
      </c>
      <c r="V313" s="62" t="s">
        <v>8602</v>
      </c>
      <c r="W313" s="46">
        <v>5000</v>
      </c>
    </row>
    <row r="314" spans="1:24">
      <c r="A314" s="83" t="s">
        <v>234</v>
      </c>
      <c r="B314" s="319">
        <v>422900</v>
      </c>
      <c r="C314" s="47" t="s">
        <v>251</v>
      </c>
      <c r="D314" s="102">
        <v>12.5</v>
      </c>
      <c r="E314" s="102">
        <v>22</v>
      </c>
      <c r="F314" s="94">
        <v>131.18</v>
      </c>
      <c r="G314" s="94">
        <v>247.5</v>
      </c>
      <c r="H314" s="94">
        <f t="shared" si="4"/>
        <v>275</v>
      </c>
      <c r="I314" s="95">
        <v>27</v>
      </c>
      <c r="J314" t="s">
        <v>261</v>
      </c>
      <c r="K314" t="s">
        <v>245</v>
      </c>
      <c r="L314" s="46">
        <v>4900</v>
      </c>
      <c r="N314" t="s">
        <v>7316</v>
      </c>
      <c r="O314" t="s">
        <v>7316</v>
      </c>
      <c r="Q314" s="48"/>
      <c r="R314" t="s">
        <v>201</v>
      </c>
      <c r="S314" t="s">
        <v>8622</v>
      </c>
      <c r="T314" t="s">
        <v>8601</v>
      </c>
      <c r="U314" s="62">
        <v>8</v>
      </c>
      <c r="V314" s="62" t="s">
        <v>8602</v>
      </c>
      <c r="W314" s="46">
        <v>5000</v>
      </c>
      <c r="X314" s="48"/>
    </row>
    <row r="315" spans="1:24">
      <c r="A315" s="83" t="s">
        <v>234</v>
      </c>
      <c r="B315" s="319">
        <v>422900</v>
      </c>
      <c r="C315" s="47" t="s">
        <v>251</v>
      </c>
      <c r="D315" s="102">
        <v>12.5</v>
      </c>
      <c r="E315" s="102">
        <v>22</v>
      </c>
      <c r="F315" s="94">
        <v>131.18</v>
      </c>
      <c r="G315" s="94">
        <v>247.5</v>
      </c>
      <c r="H315" s="94">
        <f t="shared" si="4"/>
        <v>275</v>
      </c>
      <c r="I315" s="95">
        <v>27</v>
      </c>
      <c r="J315" t="s">
        <v>261</v>
      </c>
      <c r="K315" t="s">
        <v>246</v>
      </c>
      <c r="L315" s="46" t="s">
        <v>1</v>
      </c>
      <c r="N315" t="s">
        <v>7316</v>
      </c>
      <c r="O315" t="s">
        <v>7316</v>
      </c>
      <c r="R315" t="s">
        <v>201</v>
      </c>
      <c r="S315" t="s">
        <v>8622</v>
      </c>
      <c r="T315" t="s">
        <v>8634</v>
      </c>
      <c r="U315" s="62">
        <v>7.6</v>
      </c>
      <c r="V315" s="62" t="s">
        <v>8602</v>
      </c>
      <c r="W315" s="46">
        <v>5000</v>
      </c>
    </row>
    <row r="316" spans="1:24">
      <c r="A316" s="83" t="s">
        <v>227</v>
      </c>
      <c r="B316" s="319">
        <v>360000</v>
      </c>
      <c r="C316" s="47" t="s">
        <v>250</v>
      </c>
      <c r="D316" s="102">
        <v>12.5</v>
      </c>
      <c r="E316" s="102">
        <v>32</v>
      </c>
      <c r="F316" s="94">
        <v>239.26</v>
      </c>
      <c r="G316" s="94">
        <v>239.26</v>
      </c>
      <c r="H316" s="94">
        <f t="shared" si="4"/>
        <v>400</v>
      </c>
      <c r="I316" s="95">
        <v>26</v>
      </c>
      <c r="J316" t="s">
        <v>260</v>
      </c>
      <c r="K316" t="s">
        <v>241</v>
      </c>
      <c r="L316" s="46" t="s">
        <v>1</v>
      </c>
      <c r="N316" t="s">
        <v>7316</v>
      </c>
      <c r="O316" t="s">
        <v>7316</v>
      </c>
      <c r="R316" t="s">
        <v>201</v>
      </c>
      <c r="S316" t="s">
        <v>8623</v>
      </c>
      <c r="T316" t="s">
        <v>8629</v>
      </c>
      <c r="U316" s="62">
        <v>7.3</v>
      </c>
      <c r="V316" s="62" t="s">
        <v>8601</v>
      </c>
      <c r="W316" s="46">
        <v>15000</v>
      </c>
    </row>
    <row r="317" spans="1:24">
      <c r="A317" s="83" t="s">
        <v>227</v>
      </c>
      <c r="B317" s="319">
        <v>360000</v>
      </c>
      <c r="C317" s="47" t="s">
        <v>250</v>
      </c>
      <c r="D317" s="102">
        <v>12.5</v>
      </c>
      <c r="E317" s="102">
        <v>32</v>
      </c>
      <c r="F317" s="94">
        <v>239.26</v>
      </c>
      <c r="G317" s="94">
        <v>239.26</v>
      </c>
      <c r="H317" s="94">
        <f t="shared" ref="H317:H352" si="5">(D317*E317)</f>
        <v>400</v>
      </c>
      <c r="I317" s="95">
        <v>26</v>
      </c>
      <c r="J317" t="s">
        <v>260</v>
      </c>
      <c r="K317" t="s">
        <v>10765</v>
      </c>
      <c r="L317" s="46">
        <v>2900</v>
      </c>
      <c r="N317" t="s">
        <v>7316</v>
      </c>
      <c r="O317" t="s">
        <v>7316</v>
      </c>
      <c r="R317" t="s">
        <v>201</v>
      </c>
      <c r="S317" t="s">
        <v>8623</v>
      </c>
      <c r="T317" t="s">
        <v>8630</v>
      </c>
      <c r="U317" s="62">
        <v>7.1</v>
      </c>
      <c r="V317" s="62" t="s">
        <v>8601</v>
      </c>
      <c r="W317" s="46">
        <v>15000</v>
      </c>
    </row>
    <row r="318" spans="1:24">
      <c r="A318" s="83" t="s">
        <v>227</v>
      </c>
      <c r="B318" s="319">
        <v>360000</v>
      </c>
      <c r="C318" s="47" t="s">
        <v>250</v>
      </c>
      <c r="D318" s="102">
        <v>12.5</v>
      </c>
      <c r="E318" s="102">
        <v>32</v>
      </c>
      <c r="F318" s="94">
        <v>239.26</v>
      </c>
      <c r="G318" s="94">
        <v>239.26</v>
      </c>
      <c r="H318" s="94">
        <f t="shared" si="5"/>
        <v>400</v>
      </c>
      <c r="I318" s="95">
        <v>26</v>
      </c>
      <c r="J318" t="s">
        <v>260</v>
      </c>
      <c r="K318" t="s">
        <v>242</v>
      </c>
      <c r="L318" s="46">
        <v>1000</v>
      </c>
      <c r="N318" t="s">
        <v>7316</v>
      </c>
      <c r="O318" t="s">
        <v>7316</v>
      </c>
      <c r="R318" t="s">
        <v>201</v>
      </c>
      <c r="S318" t="s">
        <v>8623</v>
      </c>
      <c r="T318" t="s">
        <v>8635</v>
      </c>
      <c r="U318" s="62">
        <v>7.1</v>
      </c>
      <c r="V318" s="62" t="s">
        <v>8601</v>
      </c>
      <c r="W318" s="46">
        <v>15000</v>
      </c>
    </row>
    <row r="319" spans="1:24">
      <c r="A319" s="83" t="s">
        <v>227</v>
      </c>
      <c r="B319" s="319">
        <v>360000</v>
      </c>
      <c r="C319" s="47" t="s">
        <v>250</v>
      </c>
      <c r="D319" s="102">
        <v>12.5</v>
      </c>
      <c r="E319" s="102">
        <v>32</v>
      </c>
      <c r="F319" s="94">
        <v>239.26</v>
      </c>
      <c r="G319" s="94">
        <v>239.26</v>
      </c>
      <c r="H319" s="94">
        <f t="shared" si="5"/>
        <v>400</v>
      </c>
      <c r="I319" s="95">
        <v>26</v>
      </c>
      <c r="J319" t="s">
        <v>260</v>
      </c>
      <c r="K319" t="s">
        <v>10767</v>
      </c>
      <c r="L319" s="46">
        <v>2500</v>
      </c>
      <c r="N319" t="s">
        <v>7316</v>
      </c>
      <c r="O319" t="s">
        <v>7316</v>
      </c>
      <c r="P319" t="s">
        <v>7318</v>
      </c>
      <c r="R319" t="s">
        <v>201</v>
      </c>
      <c r="S319" t="s">
        <v>8623</v>
      </c>
      <c r="T319" t="s">
        <v>8631</v>
      </c>
      <c r="U319" s="62">
        <v>7</v>
      </c>
      <c r="V319" s="62" t="s">
        <v>8601</v>
      </c>
      <c r="W319" s="46">
        <v>15000</v>
      </c>
    </row>
    <row r="320" spans="1:24">
      <c r="A320" s="83" t="s">
        <v>227</v>
      </c>
      <c r="B320" s="319">
        <v>360000</v>
      </c>
      <c r="C320" s="47" t="s">
        <v>250</v>
      </c>
      <c r="D320" s="102">
        <v>12.5</v>
      </c>
      <c r="E320" s="102">
        <v>32</v>
      </c>
      <c r="F320" s="94">
        <v>239.26</v>
      </c>
      <c r="G320" s="94">
        <v>239.26</v>
      </c>
      <c r="H320" s="94">
        <f t="shared" si="5"/>
        <v>400</v>
      </c>
      <c r="I320" s="95">
        <v>26</v>
      </c>
      <c r="J320" t="s">
        <v>260</v>
      </c>
      <c r="K320" t="s">
        <v>10766</v>
      </c>
      <c r="L320" s="309">
        <v>2900</v>
      </c>
      <c r="N320" t="s">
        <v>7316</v>
      </c>
      <c r="O320" t="s">
        <v>7316</v>
      </c>
      <c r="R320" t="s">
        <v>201</v>
      </c>
      <c r="S320" t="s">
        <v>8623</v>
      </c>
      <c r="T320" t="s">
        <v>8632</v>
      </c>
      <c r="U320" s="62">
        <v>7.3</v>
      </c>
      <c r="V320" s="62" t="s">
        <v>8601</v>
      </c>
      <c r="W320" s="46">
        <v>15000</v>
      </c>
    </row>
    <row r="321" spans="1:23">
      <c r="A321" s="83" t="s">
        <v>227</v>
      </c>
      <c r="B321" s="319">
        <v>360000</v>
      </c>
      <c r="C321" s="47" t="s">
        <v>250</v>
      </c>
      <c r="D321" s="102">
        <v>12.5</v>
      </c>
      <c r="E321" s="102">
        <v>32</v>
      </c>
      <c r="F321" s="94">
        <v>239.26</v>
      </c>
      <c r="G321" s="94">
        <v>239.26</v>
      </c>
      <c r="H321" s="94">
        <f t="shared" si="5"/>
        <v>400</v>
      </c>
      <c r="I321" s="95">
        <v>26</v>
      </c>
      <c r="J321" t="s">
        <v>260</v>
      </c>
      <c r="K321" t="s">
        <v>240</v>
      </c>
      <c r="L321" s="46" t="s">
        <v>1</v>
      </c>
      <c r="N321" t="s">
        <v>7316</v>
      </c>
      <c r="O321" t="s">
        <v>7316</v>
      </c>
      <c r="R321" t="s">
        <v>201</v>
      </c>
      <c r="S321" t="s">
        <v>8623</v>
      </c>
      <c r="T321" t="s">
        <v>8633</v>
      </c>
      <c r="U321" s="62">
        <v>7.8</v>
      </c>
      <c r="V321" s="62" t="s">
        <v>8602</v>
      </c>
      <c r="W321" s="46">
        <v>5000</v>
      </c>
    </row>
    <row r="322" spans="1:23">
      <c r="A322" s="83" t="s">
        <v>227</v>
      </c>
      <c r="B322" s="319">
        <v>360000</v>
      </c>
      <c r="C322" s="47" t="s">
        <v>250</v>
      </c>
      <c r="D322" s="102">
        <v>12.5</v>
      </c>
      <c r="E322" s="102">
        <v>32</v>
      </c>
      <c r="F322" s="94">
        <v>239.26</v>
      </c>
      <c r="G322" s="94">
        <v>239.26</v>
      </c>
      <c r="H322" s="94">
        <f t="shared" si="5"/>
        <v>400</v>
      </c>
      <c r="I322" s="95">
        <v>26</v>
      </c>
      <c r="J322" t="s">
        <v>260</v>
      </c>
      <c r="K322" t="s">
        <v>10768</v>
      </c>
      <c r="L322" s="46">
        <v>5000</v>
      </c>
      <c r="N322" t="s">
        <v>7316</v>
      </c>
      <c r="O322" t="s">
        <v>7316</v>
      </c>
      <c r="R322" t="s">
        <v>201</v>
      </c>
      <c r="S322" t="s">
        <v>8623</v>
      </c>
      <c r="T322" t="s">
        <v>8601</v>
      </c>
      <c r="U322" s="62">
        <v>8</v>
      </c>
      <c r="V322" s="62" t="s">
        <v>8602</v>
      </c>
      <c r="W322" s="46">
        <v>5000</v>
      </c>
    </row>
    <row r="323" spans="1:23">
      <c r="A323" s="83" t="s">
        <v>8775</v>
      </c>
      <c r="B323" s="319">
        <v>317400</v>
      </c>
      <c r="C323" s="47" t="s">
        <v>250</v>
      </c>
      <c r="D323" s="102">
        <v>12.5</v>
      </c>
      <c r="E323" s="102">
        <v>21</v>
      </c>
      <c r="F323" s="94">
        <v>155.61000000000001</v>
      </c>
      <c r="G323" s="94">
        <v>155.61000000000001</v>
      </c>
      <c r="H323" s="94">
        <f t="shared" si="5"/>
        <v>262.5</v>
      </c>
      <c r="I323" s="95">
        <v>17</v>
      </c>
      <c r="J323" t="s">
        <v>8776</v>
      </c>
      <c r="K323" t="s">
        <v>241</v>
      </c>
      <c r="L323" s="46" t="s">
        <v>1</v>
      </c>
      <c r="N323" t="s">
        <v>7316</v>
      </c>
      <c r="O323" t="s">
        <v>7316</v>
      </c>
      <c r="R323" t="s">
        <v>201</v>
      </c>
      <c r="S323" t="s">
        <v>8623</v>
      </c>
      <c r="T323" t="s">
        <v>8634</v>
      </c>
      <c r="U323" s="203">
        <v>7.7</v>
      </c>
      <c r="V323" s="203" t="s">
        <v>8602</v>
      </c>
      <c r="W323" s="51">
        <v>5000</v>
      </c>
    </row>
    <row r="324" spans="1:23">
      <c r="A324" s="83" t="s">
        <v>8775</v>
      </c>
      <c r="B324" s="319">
        <v>317400</v>
      </c>
      <c r="C324" s="47" t="s">
        <v>250</v>
      </c>
      <c r="D324" s="102">
        <v>12.5</v>
      </c>
      <c r="E324" s="102">
        <v>21</v>
      </c>
      <c r="F324" s="94">
        <v>155.61000000000001</v>
      </c>
      <c r="G324" s="94">
        <v>155.61000000000001</v>
      </c>
      <c r="H324" s="94">
        <f t="shared" si="5"/>
        <v>262.5</v>
      </c>
      <c r="I324" s="95">
        <v>17</v>
      </c>
      <c r="J324" t="s">
        <v>8776</v>
      </c>
      <c r="K324" t="s">
        <v>10765</v>
      </c>
      <c r="L324" s="46">
        <v>2900</v>
      </c>
      <c r="N324" t="s">
        <v>7316</v>
      </c>
      <c r="O324" t="s">
        <v>7316</v>
      </c>
      <c r="R324" t="s">
        <v>9180</v>
      </c>
      <c r="S324" t="s">
        <v>8622</v>
      </c>
      <c r="T324" t="s">
        <v>8629</v>
      </c>
      <c r="U324" s="62">
        <v>7.2</v>
      </c>
      <c r="V324" s="62" t="s">
        <v>8601</v>
      </c>
      <c r="W324" s="46">
        <v>15000</v>
      </c>
    </row>
    <row r="325" spans="1:23">
      <c r="A325" s="83" t="s">
        <v>8775</v>
      </c>
      <c r="B325" s="319">
        <v>317400</v>
      </c>
      <c r="C325" s="47" t="s">
        <v>250</v>
      </c>
      <c r="D325" s="102">
        <v>12.5</v>
      </c>
      <c r="E325" s="102">
        <v>21</v>
      </c>
      <c r="F325" s="94">
        <v>155.61000000000001</v>
      </c>
      <c r="G325" s="94">
        <v>155.61000000000001</v>
      </c>
      <c r="H325" s="94">
        <f t="shared" si="5"/>
        <v>262.5</v>
      </c>
      <c r="I325" s="95">
        <v>17</v>
      </c>
      <c r="J325" t="s">
        <v>8776</v>
      </c>
      <c r="K325" t="s">
        <v>242</v>
      </c>
      <c r="L325" s="46">
        <v>1000</v>
      </c>
      <c r="N325" t="s">
        <v>7316</v>
      </c>
      <c r="O325" t="s">
        <v>7316</v>
      </c>
      <c r="R325" t="s">
        <v>9180</v>
      </c>
      <c r="S325" t="s">
        <v>8622</v>
      </c>
      <c r="T325" t="s">
        <v>8630</v>
      </c>
      <c r="U325" s="62">
        <v>7.1</v>
      </c>
      <c r="V325" s="62" t="s">
        <v>8601</v>
      </c>
      <c r="W325" s="46">
        <v>15000</v>
      </c>
    </row>
    <row r="326" spans="1:23">
      <c r="A326" s="83" t="s">
        <v>8775</v>
      </c>
      <c r="B326" s="319">
        <v>317400</v>
      </c>
      <c r="C326" s="47" t="s">
        <v>250</v>
      </c>
      <c r="D326" s="102">
        <v>12.5</v>
      </c>
      <c r="E326" s="102">
        <v>21</v>
      </c>
      <c r="F326" s="94">
        <v>155.61000000000001</v>
      </c>
      <c r="G326" s="94">
        <v>155.61000000000001</v>
      </c>
      <c r="H326" s="94">
        <f t="shared" si="5"/>
        <v>262.5</v>
      </c>
      <c r="I326" s="95">
        <v>17</v>
      </c>
      <c r="J326" t="s">
        <v>8776</v>
      </c>
      <c r="K326" t="s">
        <v>10767</v>
      </c>
      <c r="L326" s="46">
        <v>2500</v>
      </c>
      <c r="N326" t="s">
        <v>7316</v>
      </c>
      <c r="O326" t="s">
        <v>7316</v>
      </c>
      <c r="P326" t="s">
        <v>7318</v>
      </c>
      <c r="R326" t="s">
        <v>9180</v>
      </c>
      <c r="S326" t="s">
        <v>8622</v>
      </c>
      <c r="T326" t="s">
        <v>8635</v>
      </c>
      <c r="U326" s="62">
        <v>7.1</v>
      </c>
      <c r="V326" s="62" t="s">
        <v>8601</v>
      </c>
      <c r="W326" s="46">
        <v>15000</v>
      </c>
    </row>
    <row r="327" spans="1:23">
      <c r="A327" s="83" t="s">
        <v>8775</v>
      </c>
      <c r="B327" s="319">
        <v>317400</v>
      </c>
      <c r="C327" s="47" t="s">
        <v>250</v>
      </c>
      <c r="D327" s="102">
        <v>12.5</v>
      </c>
      <c r="E327" s="102">
        <v>21</v>
      </c>
      <c r="F327" s="94">
        <v>155.61000000000001</v>
      </c>
      <c r="G327" s="94">
        <v>155.61000000000001</v>
      </c>
      <c r="H327" s="94">
        <f t="shared" si="5"/>
        <v>262.5</v>
      </c>
      <c r="I327" s="95">
        <v>17</v>
      </c>
      <c r="J327" t="s">
        <v>8776</v>
      </c>
      <c r="K327" t="s">
        <v>10766</v>
      </c>
      <c r="L327" s="309">
        <v>2900</v>
      </c>
      <c r="N327" t="s">
        <v>7316</v>
      </c>
      <c r="O327" t="s">
        <v>7316</v>
      </c>
      <c r="R327" t="s">
        <v>9180</v>
      </c>
      <c r="S327" t="s">
        <v>8622</v>
      </c>
      <c r="T327" t="s">
        <v>8631</v>
      </c>
      <c r="U327" s="62">
        <v>7.1</v>
      </c>
      <c r="V327" s="62" t="s">
        <v>8601</v>
      </c>
      <c r="W327" s="46">
        <v>15000</v>
      </c>
    </row>
    <row r="328" spans="1:23">
      <c r="A328" s="83" t="s">
        <v>8775</v>
      </c>
      <c r="B328" s="319">
        <v>317400</v>
      </c>
      <c r="C328" s="47" t="s">
        <v>250</v>
      </c>
      <c r="D328" s="102">
        <v>12.5</v>
      </c>
      <c r="E328" s="102">
        <v>21</v>
      </c>
      <c r="F328" s="94">
        <v>155.61000000000001</v>
      </c>
      <c r="G328" s="94">
        <v>155.61000000000001</v>
      </c>
      <c r="H328" s="94">
        <f t="shared" si="5"/>
        <v>262.5</v>
      </c>
      <c r="I328" s="95">
        <v>17</v>
      </c>
      <c r="J328" t="s">
        <v>8776</v>
      </c>
      <c r="K328" t="s">
        <v>240</v>
      </c>
      <c r="L328" s="46" t="s">
        <v>1</v>
      </c>
      <c r="N328" t="s">
        <v>7316</v>
      </c>
      <c r="O328" t="s">
        <v>7316</v>
      </c>
      <c r="R328" t="s">
        <v>9180</v>
      </c>
      <c r="S328" t="s">
        <v>8622</v>
      </c>
      <c r="T328" t="s">
        <v>8632</v>
      </c>
      <c r="U328" s="62">
        <v>7.4</v>
      </c>
      <c r="V328" s="62" t="s">
        <v>8601</v>
      </c>
      <c r="W328" s="46">
        <v>15000</v>
      </c>
    </row>
    <row r="329" spans="1:23">
      <c r="A329" s="83" t="s">
        <v>8775</v>
      </c>
      <c r="B329" s="319">
        <v>317400</v>
      </c>
      <c r="C329" s="47" t="s">
        <v>250</v>
      </c>
      <c r="D329" s="102">
        <v>12.5</v>
      </c>
      <c r="E329" s="102">
        <v>21</v>
      </c>
      <c r="F329" s="94">
        <v>155.61000000000001</v>
      </c>
      <c r="G329" s="94">
        <v>155.61000000000001</v>
      </c>
      <c r="H329" s="94">
        <f t="shared" si="5"/>
        <v>262.5</v>
      </c>
      <c r="I329" s="95">
        <v>17</v>
      </c>
      <c r="J329" t="s">
        <v>8776</v>
      </c>
      <c r="K329" t="s">
        <v>10768</v>
      </c>
      <c r="L329" s="46">
        <v>5000</v>
      </c>
      <c r="N329" t="s">
        <v>7316</v>
      </c>
      <c r="O329" t="s">
        <v>7316</v>
      </c>
      <c r="R329" t="s">
        <v>9180</v>
      </c>
      <c r="S329" t="s">
        <v>8622</v>
      </c>
      <c r="T329" t="s">
        <v>8633</v>
      </c>
      <c r="U329" s="62">
        <v>7.9</v>
      </c>
      <c r="V329" s="62" t="s">
        <v>8602</v>
      </c>
      <c r="W329" s="46">
        <v>5000</v>
      </c>
    </row>
    <row r="330" spans="1:23">
      <c r="A330" s="83" t="s">
        <v>229</v>
      </c>
      <c r="B330" s="319">
        <v>377800</v>
      </c>
      <c r="C330" s="47" t="s">
        <v>251</v>
      </c>
      <c r="D330" s="102">
        <v>10</v>
      </c>
      <c r="E330" s="102">
        <v>22</v>
      </c>
      <c r="F330" s="94">
        <v>114.88</v>
      </c>
      <c r="G330" s="94">
        <v>168.72</v>
      </c>
      <c r="H330" s="94">
        <f t="shared" si="5"/>
        <v>220</v>
      </c>
      <c r="I330" s="95">
        <v>17</v>
      </c>
      <c r="J330" t="s">
        <v>258</v>
      </c>
      <c r="K330" t="s">
        <v>243</v>
      </c>
      <c r="L330" s="46" t="s">
        <v>1</v>
      </c>
      <c r="N330" t="s">
        <v>7316</v>
      </c>
      <c r="O330" t="s">
        <v>7316</v>
      </c>
      <c r="R330" t="s">
        <v>9180</v>
      </c>
      <c r="S330" t="s">
        <v>8622</v>
      </c>
      <c r="T330" t="s">
        <v>8601</v>
      </c>
      <c r="U330" s="62">
        <v>8</v>
      </c>
      <c r="V330" s="62" t="s">
        <v>8602</v>
      </c>
      <c r="W330" s="46">
        <v>5000</v>
      </c>
    </row>
    <row r="331" spans="1:23">
      <c r="A331" s="83" t="s">
        <v>233</v>
      </c>
      <c r="B331" s="319">
        <v>409500</v>
      </c>
      <c r="C331" s="47" t="s">
        <v>251</v>
      </c>
      <c r="D331" s="102">
        <v>10</v>
      </c>
      <c r="E331" s="102">
        <v>30</v>
      </c>
      <c r="F331" s="94">
        <v>133.26</v>
      </c>
      <c r="G331" s="94">
        <v>220.73</v>
      </c>
      <c r="H331" s="94">
        <f t="shared" si="5"/>
        <v>300</v>
      </c>
      <c r="I331" s="95">
        <v>24</v>
      </c>
      <c r="J331" t="s">
        <v>255</v>
      </c>
      <c r="K331" t="s">
        <v>243</v>
      </c>
      <c r="L331" s="46" t="s">
        <v>1</v>
      </c>
      <c r="N331" t="s">
        <v>7316</v>
      </c>
      <c r="O331" t="s">
        <v>7316</v>
      </c>
      <c r="R331" t="s">
        <v>9180</v>
      </c>
      <c r="S331" t="s">
        <v>8622</v>
      </c>
      <c r="T331" t="s">
        <v>8634</v>
      </c>
      <c r="U331" s="62">
        <v>7.6</v>
      </c>
      <c r="V331" s="62" t="s">
        <v>8602</v>
      </c>
      <c r="W331" s="46">
        <v>5000</v>
      </c>
    </row>
    <row r="332" spans="1:23">
      <c r="A332" s="83" t="s">
        <v>212</v>
      </c>
      <c r="B332" s="319">
        <v>313000</v>
      </c>
      <c r="C332" s="47" t="s">
        <v>250</v>
      </c>
      <c r="D332" s="102">
        <v>12.5</v>
      </c>
      <c r="E332" s="102">
        <v>25</v>
      </c>
      <c r="F332" s="94">
        <v>179.97</v>
      </c>
      <c r="G332" s="94">
        <v>179.97</v>
      </c>
      <c r="H332" s="94">
        <f t="shared" si="5"/>
        <v>312.5</v>
      </c>
      <c r="I332" s="95">
        <v>20</v>
      </c>
      <c r="J332" t="s">
        <v>259</v>
      </c>
      <c r="K332" t="s">
        <v>241</v>
      </c>
      <c r="L332" s="46" t="s">
        <v>1</v>
      </c>
      <c r="N332" t="s">
        <v>7316</v>
      </c>
      <c r="O332" t="s">
        <v>7316</v>
      </c>
      <c r="R332" t="s">
        <v>9180</v>
      </c>
      <c r="S332" t="s">
        <v>8623</v>
      </c>
      <c r="T332" t="s">
        <v>8629</v>
      </c>
      <c r="U332" s="62">
        <v>7.3</v>
      </c>
      <c r="V332" s="62" t="s">
        <v>8601</v>
      </c>
      <c r="W332" s="46">
        <v>15000</v>
      </c>
    </row>
    <row r="333" spans="1:23">
      <c r="A333" s="83" t="s">
        <v>212</v>
      </c>
      <c r="B333" s="319">
        <v>313000</v>
      </c>
      <c r="C333" s="47" t="s">
        <v>250</v>
      </c>
      <c r="D333" s="102">
        <v>12.5</v>
      </c>
      <c r="E333" s="102">
        <v>25</v>
      </c>
      <c r="F333" s="94">
        <v>179.97</v>
      </c>
      <c r="G333" s="94">
        <v>179.97</v>
      </c>
      <c r="H333" s="94">
        <f t="shared" si="5"/>
        <v>312.5</v>
      </c>
      <c r="I333" s="95">
        <v>20</v>
      </c>
      <c r="J333" t="s">
        <v>259</v>
      </c>
      <c r="K333" t="s">
        <v>10765</v>
      </c>
      <c r="L333" s="46">
        <v>2900</v>
      </c>
      <c r="N333" t="s">
        <v>7316</v>
      </c>
      <c r="O333" t="s">
        <v>7316</v>
      </c>
      <c r="R333" t="s">
        <v>9180</v>
      </c>
      <c r="S333" t="s">
        <v>8623</v>
      </c>
      <c r="T333" t="s">
        <v>8630</v>
      </c>
      <c r="U333" s="62">
        <v>7.1</v>
      </c>
      <c r="V333" s="62" t="s">
        <v>8601</v>
      </c>
      <c r="W333" s="46">
        <v>15000</v>
      </c>
    </row>
    <row r="334" spans="1:23">
      <c r="A334" s="83" t="s">
        <v>212</v>
      </c>
      <c r="B334" s="319">
        <v>313000</v>
      </c>
      <c r="C334" s="47" t="s">
        <v>250</v>
      </c>
      <c r="D334" s="102">
        <v>12.5</v>
      </c>
      <c r="E334" s="102">
        <v>25</v>
      </c>
      <c r="F334" s="94">
        <v>179.97</v>
      </c>
      <c r="G334" s="94">
        <v>179.97</v>
      </c>
      <c r="H334" s="94">
        <f t="shared" si="5"/>
        <v>312.5</v>
      </c>
      <c r="I334" s="95">
        <v>20</v>
      </c>
      <c r="J334" t="s">
        <v>259</v>
      </c>
      <c r="K334" t="s">
        <v>242</v>
      </c>
      <c r="L334" s="46">
        <v>1000</v>
      </c>
      <c r="N334" t="s">
        <v>7316</v>
      </c>
      <c r="O334" t="s">
        <v>7316</v>
      </c>
      <c r="R334" t="s">
        <v>9180</v>
      </c>
      <c r="S334" t="s">
        <v>8623</v>
      </c>
      <c r="T334" t="s">
        <v>8635</v>
      </c>
      <c r="U334" s="62">
        <v>7.1</v>
      </c>
      <c r="V334" s="62" t="s">
        <v>8601</v>
      </c>
      <c r="W334" s="46">
        <v>15000</v>
      </c>
    </row>
    <row r="335" spans="1:23">
      <c r="A335" s="83" t="s">
        <v>212</v>
      </c>
      <c r="B335" s="319">
        <v>313000</v>
      </c>
      <c r="C335" s="47" t="s">
        <v>250</v>
      </c>
      <c r="D335" s="102">
        <v>12.5</v>
      </c>
      <c r="E335" s="102">
        <v>25</v>
      </c>
      <c r="F335" s="94">
        <v>179.97</v>
      </c>
      <c r="G335" s="94">
        <v>179.97</v>
      </c>
      <c r="H335" s="94">
        <f t="shared" si="5"/>
        <v>312.5</v>
      </c>
      <c r="I335" s="95">
        <v>20</v>
      </c>
      <c r="J335" t="s">
        <v>259</v>
      </c>
      <c r="K335" t="s">
        <v>10767</v>
      </c>
      <c r="L335" s="46">
        <v>2500</v>
      </c>
      <c r="N335" t="s">
        <v>7316</v>
      </c>
      <c r="O335" t="s">
        <v>7316</v>
      </c>
      <c r="P335" t="s">
        <v>7318</v>
      </c>
      <c r="R335" t="s">
        <v>9180</v>
      </c>
      <c r="S335" t="s">
        <v>8623</v>
      </c>
      <c r="T335" t="s">
        <v>8631</v>
      </c>
      <c r="U335" s="62">
        <v>7</v>
      </c>
      <c r="V335" s="62" t="s">
        <v>8601</v>
      </c>
      <c r="W335" s="46">
        <v>15000</v>
      </c>
    </row>
    <row r="336" spans="1:23">
      <c r="A336" s="83" t="s">
        <v>212</v>
      </c>
      <c r="B336" s="319">
        <v>313000</v>
      </c>
      <c r="C336" s="47" t="s">
        <v>250</v>
      </c>
      <c r="D336" s="102">
        <v>12.5</v>
      </c>
      <c r="E336" s="102">
        <v>25</v>
      </c>
      <c r="F336" s="94">
        <v>179.97</v>
      </c>
      <c r="G336" s="94">
        <v>179.97</v>
      </c>
      <c r="H336" s="94">
        <f t="shared" si="5"/>
        <v>312.5</v>
      </c>
      <c r="I336" s="95">
        <v>20</v>
      </c>
      <c r="J336" t="s">
        <v>259</v>
      </c>
      <c r="K336" t="s">
        <v>10766</v>
      </c>
      <c r="L336" s="309">
        <v>2900</v>
      </c>
      <c r="N336" t="s">
        <v>7316</v>
      </c>
      <c r="O336" t="s">
        <v>7316</v>
      </c>
      <c r="R336" t="s">
        <v>9180</v>
      </c>
      <c r="S336" t="s">
        <v>8623</v>
      </c>
      <c r="T336" t="s">
        <v>8632</v>
      </c>
      <c r="U336" s="62">
        <v>7.3</v>
      </c>
      <c r="V336" s="62" t="s">
        <v>8601</v>
      </c>
      <c r="W336" s="46">
        <v>15000</v>
      </c>
    </row>
    <row r="337" spans="1:24">
      <c r="A337" s="83" t="s">
        <v>212</v>
      </c>
      <c r="B337" s="319">
        <v>313000</v>
      </c>
      <c r="C337" s="47" t="s">
        <v>250</v>
      </c>
      <c r="D337" s="102">
        <v>12.5</v>
      </c>
      <c r="E337" s="102">
        <v>25</v>
      </c>
      <c r="F337" s="94">
        <v>179.97</v>
      </c>
      <c r="G337" s="94">
        <v>179.97</v>
      </c>
      <c r="H337" s="94">
        <f t="shared" si="5"/>
        <v>312.5</v>
      </c>
      <c r="I337" s="95">
        <v>20</v>
      </c>
      <c r="J337" t="s">
        <v>259</v>
      </c>
      <c r="K337" t="s">
        <v>240</v>
      </c>
      <c r="L337" s="46" t="s">
        <v>1</v>
      </c>
      <c r="N337" t="s">
        <v>7316</v>
      </c>
      <c r="O337" t="s">
        <v>7316</v>
      </c>
      <c r="R337" t="s">
        <v>9180</v>
      </c>
      <c r="S337" t="s">
        <v>8623</v>
      </c>
      <c r="T337" t="s">
        <v>8633</v>
      </c>
      <c r="U337" s="62">
        <v>7.8</v>
      </c>
      <c r="V337" s="62" t="s">
        <v>8602</v>
      </c>
      <c r="W337" s="46">
        <v>5000</v>
      </c>
    </row>
    <row r="338" spans="1:24">
      <c r="A338" s="83" t="s">
        <v>212</v>
      </c>
      <c r="B338" s="319">
        <v>313000</v>
      </c>
      <c r="C338" s="47" t="s">
        <v>250</v>
      </c>
      <c r="D338" s="102">
        <v>12.5</v>
      </c>
      <c r="E338" s="102">
        <v>25</v>
      </c>
      <c r="F338" s="94">
        <v>179.97</v>
      </c>
      <c r="G338" s="94">
        <v>179.97</v>
      </c>
      <c r="H338" s="94">
        <f t="shared" si="5"/>
        <v>312.5</v>
      </c>
      <c r="I338" s="95">
        <v>20</v>
      </c>
      <c r="J338" t="s">
        <v>259</v>
      </c>
      <c r="K338" t="s">
        <v>10768</v>
      </c>
      <c r="L338" s="46">
        <v>5000</v>
      </c>
      <c r="N338" t="s">
        <v>7316</v>
      </c>
      <c r="O338" t="s">
        <v>7316</v>
      </c>
      <c r="R338" t="s">
        <v>9180</v>
      </c>
      <c r="S338" t="s">
        <v>8623</v>
      </c>
      <c r="T338" t="s">
        <v>8601</v>
      </c>
      <c r="U338" s="62">
        <v>8</v>
      </c>
      <c r="V338" s="62" t="s">
        <v>8602</v>
      </c>
      <c r="W338" s="46">
        <v>5000</v>
      </c>
    </row>
    <row r="339" spans="1:24">
      <c r="A339" s="83" t="s">
        <v>220</v>
      </c>
      <c r="B339" s="319">
        <v>328300</v>
      </c>
      <c r="C339" s="47" t="s">
        <v>250</v>
      </c>
      <c r="D339" s="102">
        <v>12.5</v>
      </c>
      <c r="E339" s="102">
        <v>28</v>
      </c>
      <c r="F339" s="94">
        <v>206.32</v>
      </c>
      <c r="G339" s="94">
        <v>206.32</v>
      </c>
      <c r="H339" s="94">
        <f t="shared" si="5"/>
        <v>350</v>
      </c>
      <c r="I339" s="95">
        <v>22</v>
      </c>
      <c r="J339" t="s">
        <v>260</v>
      </c>
      <c r="K339" t="s">
        <v>241</v>
      </c>
      <c r="L339" s="46" t="s">
        <v>1</v>
      </c>
      <c r="N339" t="s">
        <v>7316</v>
      </c>
      <c r="O339" t="s">
        <v>7316</v>
      </c>
      <c r="Q339" s="48"/>
      <c r="R339" t="s">
        <v>9180</v>
      </c>
      <c r="S339" t="s">
        <v>8623</v>
      </c>
      <c r="T339" t="s">
        <v>8634</v>
      </c>
      <c r="U339" s="203">
        <v>7.7</v>
      </c>
      <c r="V339" s="203" t="s">
        <v>8602</v>
      </c>
      <c r="W339" s="51">
        <v>5000</v>
      </c>
      <c r="X339" s="48"/>
    </row>
    <row r="340" spans="1:24">
      <c r="A340" s="83" t="s">
        <v>220</v>
      </c>
      <c r="B340" s="319">
        <v>328300</v>
      </c>
      <c r="C340" s="47" t="s">
        <v>250</v>
      </c>
      <c r="D340" s="102">
        <v>12.5</v>
      </c>
      <c r="E340" s="102">
        <v>28</v>
      </c>
      <c r="F340" s="94">
        <v>206.32</v>
      </c>
      <c r="G340" s="94">
        <v>206.32</v>
      </c>
      <c r="H340" s="94">
        <f t="shared" si="5"/>
        <v>350</v>
      </c>
      <c r="I340" s="95">
        <v>22</v>
      </c>
      <c r="J340" t="s">
        <v>260</v>
      </c>
      <c r="K340" t="s">
        <v>10765</v>
      </c>
      <c r="L340" s="46">
        <v>2900</v>
      </c>
      <c r="N340" t="s">
        <v>7316</v>
      </c>
      <c r="O340" t="s">
        <v>7316</v>
      </c>
      <c r="R340" t="s">
        <v>235</v>
      </c>
      <c r="S340" t="s">
        <v>8622</v>
      </c>
      <c r="T340" t="s">
        <v>8629</v>
      </c>
      <c r="U340" s="62">
        <v>7</v>
      </c>
      <c r="V340" s="62" t="s">
        <v>8601</v>
      </c>
      <c r="W340" s="46">
        <v>15000</v>
      </c>
    </row>
    <row r="341" spans="1:24">
      <c r="A341" s="83" t="s">
        <v>220</v>
      </c>
      <c r="B341" s="319">
        <v>328300</v>
      </c>
      <c r="C341" s="47" t="s">
        <v>250</v>
      </c>
      <c r="D341" s="102">
        <v>12.5</v>
      </c>
      <c r="E341" s="102">
        <v>28</v>
      </c>
      <c r="F341" s="94">
        <v>206.32</v>
      </c>
      <c r="G341" s="94">
        <v>206.32</v>
      </c>
      <c r="H341" s="94">
        <f t="shared" si="5"/>
        <v>350</v>
      </c>
      <c r="I341" s="95">
        <v>22</v>
      </c>
      <c r="J341" t="s">
        <v>260</v>
      </c>
      <c r="K341" t="s">
        <v>242</v>
      </c>
      <c r="L341" s="46">
        <v>1000</v>
      </c>
      <c r="N341" t="s">
        <v>7316</v>
      </c>
      <c r="O341" t="s">
        <v>7316</v>
      </c>
      <c r="R341" t="s">
        <v>235</v>
      </c>
      <c r="S341" t="s">
        <v>8622</v>
      </c>
      <c r="T341" t="s">
        <v>8630</v>
      </c>
      <c r="U341" s="62">
        <v>7</v>
      </c>
      <c r="V341" s="62" t="s">
        <v>8601</v>
      </c>
      <c r="W341" s="46">
        <v>15000</v>
      </c>
    </row>
    <row r="342" spans="1:24">
      <c r="A342" s="83" t="s">
        <v>220</v>
      </c>
      <c r="B342" s="319">
        <v>328300</v>
      </c>
      <c r="C342" s="47" t="s">
        <v>250</v>
      </c>
      <c r="D342" s="102">
        <v>12.5</v>
      </c>
      <c r="E342" s="102">
        <v>28</v>
      </c>
      <c r="F342" s="94">
        <v>206.32</v>
      </c>
      <c r="G342" s="94">
        <v>206.32</v>
      </c>
      <c r="H342" s="94">
        <f t="shared" si="5"/>
        <v>350</v>
      </c>
      <c r="I342" s="95">
        <v>22</v>
      </c>
      <c r="J342" t="s">
        <v>260</v>
      </c>
      <c r="K342" t="s">
        <v>10767</v>
      </c>
      <c r="L342" s="46">
        <v>2500</v>
      </c>
      <c r="N342" t="s">
        <v>7316</v>
      </c>
      <c r="O342" t="s">
        <v>7316</v>
      </c>
      <c r="P342" t="s">
        <v>7318</v>
      </c>
      <c r="R342" t="s">
        <v>235</v>
      </c>
      <c r="S342" t="s">
        <v>8622</v>
      </c>
      <c r="T342" t="s">
        <v>8635</v>
      </c>
      <c r="U342" s="62">
        <v>7.1</v>
      </c>
      <c r="V342" s="62" t="s">
        <v>8601</v>
      </c>
      <c r="W342" s="46">
        <v>15000</v>
      </c>
    </row>
    <row r="343" spans="1:24">
      <c r="A343" s="83" t="s">
        <v>220</v>
      </c>
      <c r="B343" s="319">
        <v>328300</v>
      </c>
      <c r="C343" s="47" t="s">
        <v>250</v>
      </c>
      <c r="D343" s="102">
        <v>12.5</v>
      </c>
      <c r="E343" s="102">
        <v>28</v>
      </c>
      <c r="F343" s="94">
        <v>206.32</v>
      </c>
      <c r="G343" s="94">
        <v>206.32</v>
      </c>
      <c r="H343" s="94">
        <f t="shared" si="5"/>
        <v>350</v>
      </c>
      <c r="I343" s="95">
        <v>22</v>
      </c>
      <c r="J343" t="s">
        <v>260</v>
      </c>
      <c r="K343" t="s">
        <v>10766</v>
      </c>
      <c r="L343" s="309">
        <v>2900</v>
      </c>
      <c r="N343" t="s">
        <v>7316</v>
      </c>
      <c r="O343" t="s">
        <v>7316</v>
      </c>
      <c r="R343" t="s">
        <v>235</v>
      </c>
      <c r="S343" t="s">
        <v>8622</v>
      </c>
      <c r="T343" t="s">
        <v>8631</v>
      </c>
      <c r="U343" s="62">
        <v>7</v>
      </c>
      <c r="V343" s="62" t="s">
        <v>8601</v>
      </c>
      <c r="W343" s="46">
        <v>15000</v>
      </c>
    </row>
    <row r="344" spans="1:24">
      <c r="A344" s="83" t="s">
        <v>220</v>
      </c>
      <c r="B344" s="319">
        <v>328300</v>
      </c>
      <c r="C344" s="47" t="s">
        <v>250</v>
      </c>
      <c r="D344" s="102">
        <v>12.5</v>
      </c>
      <c r="E344" s="102">
        <v>28</v>
      </c>
      <c r="F344" s="94">
        <v>206.32</v>
      </c>
      <c r="G344" s="94">
        <v>206.32</v>
      </c>
      <c r="H344" s="94">
        <f t="shared" si="5"/>
        <v>350</v>
      </c>
      <c r="I344" s="95">
        <v>22</v>
      </c>
      <c r="J344" t="s">
        <v>260</v>
      </c>
      <c r="K344" t="s">
        <v>240</v>
      </c>
      <c r="L344" s="46" t="s">
        <v>1</v>
      </c>
      <c r="N344" t="s">
        <v>7316</v>
      </c>
      <c r="O344" t="s">
        <v>7316</v>
      </c>
      <c r="R344" t="s">
        <v>235</v>
      </c>
      <c r="S344" t="s">
        <v>8622</v>
      </c>
      <c r="T344" t="s">
        <v>8632</v>
      </c>
      <c r="U344" s="62">
        <v>7.1</v>
      </c>
      <c r="V344" s="62" t="s">
        <v>8601</v>
      </c>
      <c r="W344" s="46">
        <v>15000</v>
      </c>
    </row>
    <row r="345" spans="1:24">
      <c r="A345" s="83" t="s">
        <v>220</v>
      </c>
      <c r="B345" s="319">
        <v>328300</v>
      </c>
      <c r="C345" s="47" t="s">
        <v>250</v>
      </c>
      <c r="D345" s="102">
        <v>12.5</v>
      </c>
      <c r="E345" s="102">
        <v>28</v>
      </c>
      <c r="F345" s="94">
        <v>206.32</v>
      </c>
      <c r="G345" s="94">
        <v>206.32</v>
      </c>
      <c r="H345" s="94">
        <f t="shared" si="5"/>
        <v>350</v>
      </c>
      <c r="I345" s="95">
        <v>22</v>
      </c>
      <c r="J345" t="s">
        <v>260</v>
      </c>
      <c r="K345" t="s">
        <v>10768</v>
      </c>
      <c r="L345" s="46">
        <v>5000</v>
      </c>
      <c r="N345" t="s">
        <v>7316</v>
      </c>
      <c r="O345" t="s">
        <v>7316</v>
      </c>
      <c r="R345" t="s">
        <v>235</v>
      </c>
      <c r="S345" t="s">
        <v>8622</v>
      </c>
      <c r="T345" t="s">
        <v>8633</v>
      </c>
      <c r="U345" s="62">
        <v>7.2</v>
      </c>
      <c r="V345" s="62" t="s">
        <v>8602</v>
      </c>
      <c r="W345" s="46">
        <v>8000</v>
      </c>
    </row>
    <row r="346" spans="1:24">
      <c r="A346" s="83" t="s">
        <v>224</v>
      </c>
      <c r="B346" s="319">
        <v>338900</v>
      </c>
      <c r="C346" s="47" t="s">
        <v>250</v>
      </c>
      <c r="D346" s="102">
        <v>12.5</v>
      </c>
      <c r="E346" s="102">
        <v>30</v>
      </c>
      <c r="F346" s="94">
        <v>220.42</v>
      </c>
      <c r="G346" s="94">
        <v>220.42</v>
      </c>
      <c r="H346" s="94">
        <f t="shared" si="5"/>
        <v>375</v>
      </c>
      <c r="I346" s="95">
        <v>24</v>
      </c>
      <c r="J346" t="s">
        <v>260</v>
      </c>
      <c r="K346" t="s">
        <v>241</v>
      </c>
      <c r="L346" s="46" t="s">
        <v>1</v>
      </c>
      <c r="N346" t="s">
        <v>7316</v>
      </c>
      <c r="O346" t="s">
        <v>7316</v>
      </c>
      <c r="R346" t="s">
        <v>235</v>
      </c>
      <c r="S346" t="s">
        <v>8622</v>
      </c>
      <c r="T346" t="s">
        <v>8601</v>
      </c>
      <c r="U346" s="62">
        <v>7.3</v>
      </c>
      <c r="V346" s="62" t="s">
        <v>8602</v>
      </c>
      <c r="W346" s="46">
        <v>8000</v>
      </c>
    </row>
    <row r="347" spans="1:24">
      <c r="A347" s="83" t="s">
        <v>224</v>
      </c>
      <c r="B347" s="319">
        <v>338900</v>
      </c>
      <c r="C347" s="47" t="s">
        <v>250</v>
      </c>
      <c r="D347" s="102">
        <v>12.5</v>
      </c>
      <c r="E347" s="102">
        <v>30</v>
      </c>
      <c r="F347" s="94">
        <v>220.42</v>
      </c>
      <c r="G347" s="94">
        <v>220.42</v>
      </c>
      <c r="H347" s="94">
        <f t="shared" si="5"/>
        <v>375</v>
      </c>
      <c r="I347" s="95">
        <v>24</v>
      </c>
      <c r="J347" t="s">
        <v>260</v>
      </c>
      <c r="K347" t="s">
        <v>10765</v>
      </c>
      <c r="L347" s="46">
        <v>2900</v>
      </c>
      <c r="N347" t="s">
        <v>7316</v>
      </c>
      <c r="O347" t="s">
        <v>7316</v>
      </c>
      <c r="R347" t="s">
        <v>235</v>
      </c>
      <c r="S347" t="s">
        <v>8622</v>
      </c>
      <c r="T347" t="s">
        <v>8634</v>
      </c>
      <c r="U347" s="62">
        <v>7</v>
      </c>
      <c r="V347" s="62" t="s">
        <v>8601</v>
      </c>
      <c r="W347" s="46">
        <v>15000</v>
      </c>
    </row>
    <row r="348" spans="1:24">
      <c r="A348" s="83" t="s">
        <v>224</v>
      </c>
      <c r="B348" s="319">
        <v>338900</v>
      </c>
      <c r="C348" s="47" t="s">
        <v>250</v>
      </c>
      <c r="D348" s="102">
        <v>12.5</v>
      </c>
      <c r="E348" s="102">
        <v>30</v>
      </c>
      <c r="F348" s="94">
        <v>220.42</v>
      </c>
      <c r="G348" s="94">
        <v>220.42</v>
      </c>
      <c r="H348" s="94">
        <f t="shared" si="5"/>
        <v>375</v>
      </c>
      <c r="I348" s="95">
        <v>24</v>
      </c>
      <c r="J348" t="s">
        <v>260</v>
      </c>
      <c r="K348" t="s">
        <v>242</v>
      </c>
      <c r="L348" s="46">
        <v>1000</v>
      </c>
      <c r="N348" t="s">
        <v>7316</v>
      </c>
      <c r="O348" t="s">
        <v>7316</v>
      </c>
      <c r="R348" t="s">
        <v>235</v>
      </c>
      <c r="S348" t="s">
        <v>8623</v>
      </c>
      <c r="T348" t="s">
        <v>8629</v>
      </c>
      <c r="U348" s="62">
        <v>7</v>
      </c>
      <c r="V348" s="62" t="s">
        <v>8601</v>
      </c>
      <c r="W348" s="46">
        <v>15000</v>
      </c>
    </row>
    <row r="349" spans="1:24">
      <c r="A349" s="83" t="s">
        <v>224</v>
      </c>
      <c r="B349" s="319">
        <v>338900</v>
      </c>
      <c r="C349" s="47" t="s">
        <v>250</v>
      </c>
      <c r="D349" s="102">
        <v>12.5</v>
      </c>
      <c r="E349" s="102">
        <v>30</v>
      </c>
      <c r="F349" s="94">
        <v>220.42</v>
      </c>
      <c r="G349" s="94">
        <v>220.42</v>
      </c>
      <c r="H349" s="94">
        <f t="shared" si="5"/>
        <v>375</v>
      </c>
      <c r="I349" s="95">
        <v>24</v>
      </c>
      <c r="J349" t="s">
        <v>260</v>
      </c>
      <c r="K349" t="s">
        <v>10767</v>
      </c>
      <c r="L349" s="46">
        <v>2500</v>
      </c>
      <c r="N349" t="s">
        <v>7316</v>
      </c>
      <c r="O349" t="s">
        <v>7316</v>
      </c>
      <c r="P349" t="s">
        <v>7318</v>
      </c>
      <c r="R349" t="s">
        <v>235</v>
      </c>
      <c r="S349" t="s">
        <v>8623</v>
      </c>
      <c r="T349" t="s">
        <v>8630</v>
      </c>
      <c r="U349" s="62">
        <v>7</v>
      </c>
      <c r="V349" s="62" t="s">
        <v>8601</v>
      </c>
      <c r="W349" s="46">
        <v>15000</v>
      </c>
    </row>
    <row r="350" spans="1:24">
      <c r="A350" s="83" t="s">
        <v>224</v>
      </c>
      <c r="B350" s="319">
        <v>338900</v>
      </c>
      <c r="C350" s="47" t="s">
        <v>250</v>
      </c>
      <c r="D350" s="102">
        <v>12.5</v>
      </c>
      <c r="E350" s="102">
        <v>30</v>
      </c>
      <c r="F350" s="94">
        <v>220.42</v>
      </c>
      <c r="G350" s="94">
        <v>220.42</v>
      </c>
      <c r="H350" s="94">
        <f t="shared" si="5"/>
        <v>375</v>
      </c>
      <c r="I350" s="95">
        <v>24</v>
      </c>
      <c r="J350" t="s">
        <v>260</v>
      </c>
      <c r="K350" t="s">
        <v>10766</v>
      </c>
      <c r="L350" s="309">
        <v>2900</v>
      </c>
      <c r="N350" t="s">
        <v>7316</v>
      </c>
      <c r="O350" t="s">
        <v>7316</v>
      </c>
      <c r="R350" t="s">
        <v>235</v>
      </c>
      <c r="S350" t="s">
        <v>8623</v>
      </c>
      <c r="T350" t="s">
        <v>8635</v>
      </c>
      <c r="U350" s="62">
        <v>7.1</v>
      </c>
      <c r="V350" s="62" t="s">
        <v>8601</v>
      </c>
      <c r="W350" s="46">
        <v>15000</v>
      </c>
    </row>
    <row r="351" spans="1:24">
      <c r="A351" s="83" t="s">
        <v>224</v>
      </c>
      <c r="B351" s="319">
        <v>338900</v>
      </c>
      <c r="C351" s="47" t="s">
        <v>250</v>
      </c>
      <c r="D351" s="102">
        <v>12.5</v>
      </c>
      <c r="E351" s="102">
        <v>30</v>
      </c>
      <c r="F351" s="94">
        <v>220.42</v>
      </c>
      <c r="G351" s="94">
        <v>220.42</v>
      </c>
      <c r="H351" s="94">
        <f t="shared" si="5"/>
        <v>375</v>
      </c>
      <c r="I351" s="95">
        <v>24</v>
      </c>
      <c r="J351" t="s">
        <v>260</v>
      </c>
      <c r="K351" t="s">
        <v>240</v>
      </c>
      <c r="L351" s="46" t="s">
        <v>1</v>
      </c>
      <c r="N351" t="s">
        <v>7316</v>
      </c>
      <c r="O351" t="s">
        <v>7316</v>
      </c>
      <c r="R351" t="s">
        <v>235</v>
      </c>
      <c r="S351" t="s">
        <v>8623</v>
      </c>
      <c r="T351" t="s">
        <v>8631</v>
      </c>
      <c r="U351" s="62">
        <v>7.1</v>
      </c>
      <c r="V351" s="62" t="s">
        <v>8601</v>
      </c>
      <c r="W351" s="46">
        <v>15000</v>
      </c>
    </row>
    <row r="352" spans="1:24">
      <c r="A352" s="83" t="s">
        <v>224</v>
      </c>
      <c r="B352" s="319">
        <v>338900</v>
      </c>
      <c r="C352" s="47" t="s">
        <v>250</v>
      </c>
      <c r="D352" s="102">
        <v>12.5</v>
      </c>
      <c r="E352" s="102">
        <v>30</v>
      </c>
      <c r="F352" s="94">
        <v>220.42</v>
      </c>
      <c r="G352" s="94">
        <v>220.42</v>
      </c>
      <c r="H352" s="94">
        <f t="shared" si="5"/>
        <v>375</v>
      </c>
      <c r="I352" s="95">
        <v>24</v>
      </c>
      <c r="J352" t="s">
        <v>260</v>
      </c>
      <c r="K352" t="s">
        <v>10768</v>
      </c>
      <c r="L352" s="46">
        <v>5000</v>
      </c>
      <c r="N352" t="s">
        <v>7316</v>
      </c>
      <c r="O352" t="s">
        <v>7316</v>
      </c>
      <c r="Q352" s="48"/>
      <c r="R352" t="s">
        <v>235</v>
      </c>
      <c r="S352" t="s">
        <v>8623</v>
      </c>
      <c r="T352" t="s">
        <v>8632</v>
      </c>
      <c r="U352" s="62">
        <v>7.1</v>
      </c>
      <c r="V352" s="62" t="s">
        <v>8601</v>
      </c>
      <c r="W352" s="46">
        <v>15000</v>
      </c>
      <c r="X352" s="48"/>
    </row>
    <row r="353" spans="2:24">
      <c r="B353" s="47"/>
      <c r="C353" s="47"/>
      <c r="D353" s="102"/>
      <c r="E353" s="102"/>
      <c r="F353" s="94"/>
      <c r="G353" s="94"/>
      <c r="H353" s="94"/>
      <c r="I353" s="95"/>
      <c r="L353" s="46"/>
      <c r="O353" s="46"/>
      <c r="R353" t="s">
        <v>235</v>
      </c>
      <c r="S353" t="s">
        <v>8623</v>
      </c>
      <c r="T353" t="s">
        <v>8633</v>
      </c>
      <c r="U353" s="62">
        <v>7.1</v>
      </c>
      <c r="V353" s="62" t="s">
        <v>8601</v>
      </c>
      <c r="W353" s="46">
        <v>15000</v>
      </c>
    </row>
    <row r="354" spans="2:24">
      <c r="B354"/>
      <c r="R354" t="s">
        <v>235</v>
      </c>
      <c r="S354" t="s">
        <v>8623</v>
      </c>
      <c r="T354" t="s">
        <v>8601</v>
      </c>
      <c r="U354" s="62">
        <v>7.3</v>
      </c>
      <c r="V354" s="62" t="s">
        <v>8602</v>
      </c>
      <c r="W354" s="46">
        <v>8000</v>
      </c>
    </row>
    <row r="355" spans="2:24">
      <c r="B355"/>
      <c r="R355" t="s">
        <v>235</v>
      </c>
      <c r="S355" t="s">
        <v>8623</v>
      </c>
      <c r="T355" t="s">
        <v>8634</v>
      </c>
      <c r="U355" s="62">
        <v>7</v>
      </c>
      <c r="V355" s="62" t="s">
        <v>8601</v>
      </c>
      <c r="W355" s="46">
        <v>15000</v>
      </c>
    </row>
    <row r="356" spans="2:24">
      <c r="B356"/>
      <c r="R356" t="s">
        <v>236</v>
      </c>
      <c r="S356" t="s">
        <v>8622</v>
      </c>
      <c r="T356" t="s">
        <v>8629</v>
      </c>
      <c r="U356" s="62">
        <v>7.3</v>
      </c>
      <c r="V356" s="62" t="s">
        <v>8602</v>
      </c>
      <c r="W356" s="46">
        <v>8000</v>
      </c>
    </row>
    <row r="357" spans="2:24">
      <c r="B357"/>
      <c r="R357" t="s">
        <v>236</v>
      </c>
      <c r="S357" t="s">
        <v>8622</v>
      </c>
      <c r="T357" t="s">
        <v>8630</v>
      </c>
      <c r="U357" s="62">
        <v>7.2</v>
      </c>
      <c r="V357" s="62" t="s">
        <v>8602</v>
      </c>
      <c r="W357" s="46">
        <v>8000</v>
      </c>
    </row>
    <row r="358" spans="2:24">
      <c r="B358"/>
      <c r="R358" t="s">
        <v>236</v>
      </c>
      <c r="S358" t="s">
        <v>8622</v>
      </c>
      <c r="T358" t="s">
        <v>8635</v>
      </c>
      <c r="U358" s="62">
        <v>7.2</v>
      </c>
      <c r="V358" s="62" t="s">
        <v>8602</v>
      </c>
      <c r="W358" s="46">
        <v>8000</v>
      </c>
    </row>
    <row r="359" spans="2:24">
      <c r="B359"/>
      <c r="R359" t="s">
        <v>236</v>
      </c>
      <c r="S359" t="s">
        <v>8622</v>
      </c>
      <c r="T359" t="s">
        <v>8631</v>
      </c>
      <c r="U359" s="62">
        <v>7.2</v>
      </c>
      <c r="V359" s="62" t="s">
        <v>8601</v>
      </c>
      <c r="W359" s="46">
        <v>15000</v>
      </c>
    </row>
    <row r="360" spans="2:24">
      <c r="B360"/>
      <c r="R360" t="s">
        <v>236</v>
      </c>
      <c r="S360" t="s">
        <v>8622</v>
      </c>
      <c r="T360" t="s">
        <v>8632</v>
      </c>
      <c r="U360" s="62">
        <v>7.2</v>
      </c>
      <c r="V360" s="62" t="s">
        <v>8601</v>
      </c>
      <c r="W360" s="46">
        <v>15000</v>
      </c>
    </row>
    <row r="361" spans="2:24">
      <c r="B361"/>
      <c r="R361" t="s">
        <v>236</v>
      </c>
      <c r="S361" t="s">
        <v>8622</v>
      </c>
      <c r="T361" t="s">
        <v>8633</v>
      </c>
      <c r="U361" s="62">
        <v>7.1</v>
      </c>
      <c r="V361" s="62" t="s">
        <v>8601</v>
      </c>
      <c r="W361" s="46">
        <v>15000</v>
      </c>
    </row>
    <row r="362" spans="2:24">
      <c r="B362"/>
      <c r="R362" t="s">
        <v>236</v>
      </c>
      <c r="S362" t="s">
        <v>8622</v>
      </c>
      <c r="T362" t="s">
        <v>8601</v>
      </c>
      <c r="U362" s="62">
        <v>7.1</v>
      </c>
      <c r="V362" s="62" t="s">
        <v>8601</v>
      </c>
      <c r="W362" s="46">
        <v>15000</v>
      </c>
    </row>
    <row r="363" spans="2:24">
      <c r="B363"/>
      <c r="Q363" s="48"/>
      <c r="R363" t="s">
        <v>236</v>
      </c>
      <c r="S363" t="s">
        <v>8622</v>
      </c>
      <c r="T363" t="s">
        <v>8634</v>
      </c>
      <c r="U363" s="62">
        <v>7.1</v>
      </c>
      <c r="V363" s="62" t="s">
        <v>8601</v>
      </c>
      <c r="W363" s="46">
        <v>15000</v>
      </c>
      <c r="X363" s="48"/>
    </row>
    <row r="364" spans="2:24">
      <c r="B364"/>
      <c r="R364" t="s">
        <v>236</v>
      </c>
      <c r="S364" t="s">
        <v>8623</v>
      </c>
      <c r="T364" t="s">
        <v>8629</v>
      </c>
      <c r="U364" s="62">
        <v>7.2</v>
      </c>
      <c r="V364" s="62" t="s">
        <v>8601</v>
      </c>
      <c r="W364" s="46">
        <v>15000</v>
      </c>
    </row>
    <row r="365" spans="2:24">
      <c r="B365"/>
      <c r="R365" t="s">
        <v>236</v>
      </c>
      <c r="S365" t="s">
        <v>8623</v>
      </c>
      <c r="T365" t="s">
        <v>8630</v>
      </c>
      <c r="U365" s="62">
        <v>7.2</v>
      </c>
      <c r="V365" s="62" t="s">
        <v>8601</v>
      </c>
      <c r="W365" s="46">
        <v>15000</v>
      </c>
    </row>
    <row r="366" spans="2:24">
      <c r="B366"/>
      <c r="R366" t="s">
        <v>236</v>
      </c>
      <c r="S366" t="s">
        <v>8623</v>
      </c>
      <c r="T366" t="s">
        <v>8635</v>
      </c>
      <c r="U366" s="62">
        <v>7.3</v>
      </c>
      <c r="V366" s="62" t="s">
        <v>8602</v>
      </c>
      <c r="W366" s="46">
        <v>8000</v>
      </c>
    </row>
    <row r="367" spans="2:24">
      <c r="B367"/>
      <c r="R367" t="s">
        <v>236</v>
      </c>
      <c r="S367" t="s">
        <v>8623</v>
      </c>
      <c r="T367" t="s">
        <v>8631</v>
      </c>
      <c r="U367" s="62">
        <v>7.2</v>
      </c>
      <c r="V367" s="62" t="s">
        <v>8602</v>
      </c>
      <c r="W367" s="46">
        <v>8000</v>
      </c>
    </row>
    <row r="368" spans="2:24">
      <c r="B368"/>
      <c r="R368" t="s">
        <v>236</v>
      </c>
      <c r="S368" t="s">
        <v>8623</v>
      </c>
      <c r="T368" t="s">
        <v>8632</v>
      </c>
      <c r="U368" s="62">
        <v>7.3</v>
      </c>
      <c r="V368" s="62" t="s">
        <v>8602</v>
      </c>
      <c r="W368" s="46">
        <v>8000</v>
      </c>
    </row>
    <row r="369" spans="2:24">
      <c r="B369"/>
      <c r="R369" t="s">
        <v>236</v>
      </c>
      <c r="S369" t="s">
        <v>8623</v>
      </c>
      <c r="T369" t="s">
        <v>8633</v>
      </c>
      <c r="U369" s="62">
        <v>7</v>
      </c>
      <c r="V369" s="62" t="s">
        <v>8601</v>
      </c>
      <c r="W369" s="46">
        <v>15000</v>
      </c>
    </row>
    <row r="370" spans="2:24">
      <c r="B370"/>
      <c r="R370" t="s">
        <v>236</v>
      </c>
      <c r="S370" t="s">
        <v>8623</v>
      </c>
      <c r="T370" t="s">
        <v>8601</v>
      </c>
      <c r="U370" s="62">
        <v>7</v>
      </c>
      <c r="V370" s="62" t="s">
        <v>8601</v>
      </c>
      <c r="W370" s="46">
        <v>15000</v>
      </c>
    </row>
    <row r="371" spans="2:24">
      <c r="B371"/>
      <c r="R371" t="s">
        <v>236</v>
      </c>
      <c r="S371" t="s">
        <v>8623</v>
      </c>
      <c r="T371" t="s">
        <v>8634</v>
      </c>
      <c r="U371" s="62">
        <v>7</v>
      </c>
      <c r="V371" s="62" t="s">
        <v>8601</v>
      </c>
      <c r="W371" s="46">
        <v>15000</v>
      </c>
    </row>
    <row r="372" spans="2:24">
      <c r="B372"/>
      <c r="R372" t="s">
        <v>8777</v>
      </c>
      <c r="S372" t="s">
        <v>8622</v>
      </c>
      <c r="T372" t="s">
        <v>8629</v>
      </c>
      <c r="U372" s="62">
        <v>7.1</v>
      </c>
      <c r="V372" s="62" t="s">
        <v>8601</v>
      </c>
      <c r="W372" s="46">
        <v>15000</v>
      </c>
    </row>
    <row r="373" spans="2:24">
      <c r="B373"/>
      <c r="R373" t="s">
        <v>8777</v>
      </c>
      <c r="S373" t="s">
        <v>8622</v>
      </c>
      <c r="T373" t="s">
        <v>8630</v>
      </c>
      <c r="U373" s="203">
        <v>7</v>
      </c>
      <c r="V373" s="203" t="s">
        <v>8601</v>
      </c>
      <c r="W373" s="51">
        <v>15000</v>
      </c>
    </row>
    <row r="374" spans="2:24">
      <c r="B374"/>
      <c r="Q374" s="48"/>
      <c r="R374" t="s">
        <v>8777</v>
      </c>
      <c r="S374" t="s">
        <v>8622</v>
      </c>
      <c r="T374" t="s">
        <v>8635</v>
      </c>
      <c r="U374" s="62">
        <v>7.1</v>
      </c>
      <c r="V374" s="62" t="s">
        <v>8601</v>
      </c>
      <c r="W374" s="46">
        <v>15000</v>
      </c>
      <c r="X374" s="48"/>
    </row>
    <row r="375" spans="2:24">
      <c r="B375"/>
      <c r="R375" t="s">
        <v>8777</v>
      </c>
      <c r="S375" t="s">
        <v>8622</v>
      </c>
      <c r="T375" t="s">
        <v>8631</v>
      </c>
      <c r="U375" s="62">
        <v>7.1</v>
      </c>
      <c r="V375" s="62" t="s">
        <v>8601</v>
      </c>
      <c r="W375" s="46">
        <v>15000</v>
      </c>
    </row>
    <row r="376" spans="2:24">
      <c r="B376"/>
      <c r="R376" t="s">
        <v>8777</v>
      </c>
      <c r="S376" t="s">
        <v>8622</v>
      </c>
      <c r="T376" t="s">
        <v>8632</v>
      </c>
      <c r="U376" s="62">
        <v>7.2</v>
      </c>
      <c r="V376" s="62" t="s">
        <v>8601</v>
      </c>
      <c r="W376" s="46">
        <v>15000</v>
      </c>
    </row>
    <row r="377" spans="2:24">
      <c r="B377"/>
      <c r="R377" t="s">
        <v>8777</v>
      </c>
      <c r="S377" t="s">
        <v>8622</v>
      </c>
      <c r="T377" t="s">
        <v>8633</v>
      </c>
      <c r="U377" s="62">
        <v>7.7</v>
      </c>
      <c r="V377" s="62" t="s">
        <v>8602</v>
      </c>
      <c r="W377" s="46">
        <v>5000</v>
      </c>
    </row>
    <row r="378" spans="2:24">
      <c r="B378"/>
      <c r="R378" t="s">
        <v>8777</v>
      </c>
      <c r="S378" t="s">
        <v>8622</v>
      </c>
      <c r="T378" t="s">
        <v>8601</v>
      </c>
      <c r="U378" s="62">
        <v>7.8</v>
      </c>
      <c r="V378" s="62" t="s">
        <v>8602</v>
      </c>
      <c r="W378" s="46">
        <v>5000</v>
      </c>
    </row>
    <row r="379" spans="2:24">
      <c r="B379"/>
      <c r="R379" t="s">
        <v>8777</v>
      </c>
      <c r="S379" t="s">
        <v>8622</v>
      </c>
      <c r="T379" t="s">
        <v>8634</v>
      </c>
      <c r="U379" s="62">
        <v>7.5</v>
      </c>
      <c r="V379" s="62" t="s">
        <v>8602</v>
      </c>
      <c r="W379" s="46">
        <v>5000</v>
      </c>
    </row>
    <row r="380" spans="2:24">
      <c r="B380"/>
      <c r="R380" t="s">
        <v>8777</v>
      </c>
      <c r="S380" t="s">
        <v>8623</v>
      </c>
      <c r="T380" t="s">
        <v>8629</v>
      </c>
      <c r="U380" s="62">
        <v>7.1</v>
      </c>
      <c r="V380" s="62" t="s">
        <v>8601</v>
      </c>
      <c r="W380" s="46">
        <v>15000</v>
      </c>
    </row>
    <row r="381" spans="2:24">
      <c r="B381"/>
      <c r="R381" t="s">
        <v>8777</v>
      </c>
      <c r="S381" t="s">
        <v>8623</v>
      </c>
      <c r="T381" t="s">
        <v>8630</v>
      </c>
      <c r="U381" s="62">
        <v>7.2</v>
      </c>
      <c r="V381" s="62" t="s">
        <v>8601</v>
      </c>
      <c r="W381" s="46">
        <v>15000</v>
      </c>
    </row>
    <row r="382" spans="2:24">
      <c r="B382"/>
      <c r="R382" t="s">
        <v>8777</v>
      </c>
      <c r="S382" t="s">
        <v>8623</v>
      </c>
      <c r="T382" t="s">
        <v>8635</v>
      </c>
      <c r="U382" s="62">
        <v>7.1</v>
      </c>
      <c r="V382" s="62" t="s">
        <v>8601</v>
      </c>
      <c r="W382" s="46">
        <v>15000</v>
      </c>
    </row>
    <row r="383" spans="2:24">
      <c r="B383"/>
      <c r="R383" t="s">
        <v>8777</v>
      </c>
      <c r="S383" t="s">
        <v>8623</v>
      </c>
      <c r="T383" t="s">
        <v>8631</v>
      </c>
      <c r="U383" s="62">
        <v>7.1</v>
      </c>
      <c r="V383" s="62" t="s">
        <v>8601</v>
      </c>
      <c r="W383" s="46">
        <v>15000</v>
      </c>
    </row>
    <row r="384" spans="2:24">
      <c r="B384"/>
      <c r="R384" t="s">
        <v>8777</v>
      </c>
      <c r="S384" t="s">
        <v>8623</v>
      </c>
      <c r="T384" t="s">
        <v>8632</v>
      </c>
      <c r="U384" s="203">
        <v>7.1</v>
      </c>
      <c r="V384" s="203" t="s">
        <v>8601</v>
      </c>
      <c r="W384" s="51">
        <v>15000</v>
      </c>
    </row>
    <row r="385" spans="2:24">
      <c r="B385"/>
      <c r="R385" t="s">
        <v>8777</v>
      </c>
      <c r="S385" t="s">
        <v>8623</v>
      </c>
      <c r="T385" t="s">
        <v>8633</v>
      </c>
      <c r="U385" s="62">
        <v>7.6</v>
      </c>
      <c r="V385" s="62" t="s">
        <v>8602</v>
      </c>
      <c r="W385" s="46">
        <v>5000</v>
      </c>
    </row>
    <row r="386" spans="2:24">
      <c r="B386"/>
      <c r="R386" t="s">
        <v>8777</v>
      </c>
      <c r="S386" t="s">
        <v>8623</v>
      </c>
      <c r="T386" t="s">
        <v>8601</v>
      </c>
      <c r="U386" s="62">
        <v>7.8</v>
      </c>
      <c r="V386" s="62" t="s">
        <v>8602</v>
      </c>
      <c r="W386" s="46">
        <v>5000</v>
      </c>
    </row>
    <row r="387" spans="2:24">
      <c r="B387"/>
      <c r="R387" t="s">
        <v>8777</v>
      </c>
      <c r="S387" t="s">
        <v>8623</v>
      </c>
      <c r="T387" t="s">
        <v>8634</v>
      </c>
      <c r="U387" s="62">
        <v>7.6</v>
      </c>
      <c r="V387" s="62" t="s">
        <v>8602</v>
      </c>
      <c r="W387" s="46">
        <v>5000</v>
      </c>
    </row>
    <row r="388" spans="2:24">
      <c r="B388"/>
      <c r="R388" t="s">
        <v>231</v>
      </c>
      <c r="S388" t="s">
        <v>8622</v>
      </c>
      <c r="T388" t="s">
        <v>8629</v>
      </c>
      <c r="U388" s="62">
        <v>7.1</v>
      </c>
      <c r="V388" s="62" t="s">
        <v>8601</v>
      </c>
      <c r="W388" s="46">
        <v>15000</v>
      </c>
    </row>
    <row r="389" spans="2:24">
      <c r="B389"/>
      <c r="R389" t="s">
        <v>231</v>
      </c>
      <c r="S389" t="s">
        <v>8622</v>
      </c>
      <c r="T389" t="s">
        <v>8630</v>
      </c>
      <c r="U389" s="62">
        <v>7.3</v>
      </c>
      <c r="V389" s="62" t="s">
        <v>8602</v>
      </c>
      <c r="W389" s="46">
        <v>5000</v>
      </c>
    </row>
    <row r="390" spans="2:24">
      <c r="B390"/>
      <c r="Q390" s="48"/>
      <c r="R390" t="s">
        <v>231</v>
      </c>
      <c r="S390" t="s">
        <v>8622</v>
      </c>
      <c r="T390" t="s">
        <v>8635</v>
      </c>
      <c r="U390" s="62">
        <v>7.4</v>
      </c>
      <c r="V390" s="62" t="s">
        <v>8602</v>
      </c>
      <c r="W390" s="46">
        <v>5000</v>
      </c>
      <c r="X390" s="48"/>
    </row>
    <row r="391" spans="2:24">
      <c r="B391"/>
      <c r="R391" t="s">
        <v>231</v>
      </c>
      <c r="S391" t="s">
        <v>8622</v>
      </c>
      <c r="T391" t="s">
        <v>8631</v>
      </c>
      <c r="U391" s="62">
        <v>7.1</v>
      </c>
      <c r="V391" s="62" t="s">
        <v>8601</v>
      </c>
      <c r="W391" s="46">
        <v>15000</v>
      </c>
    </row>
    <row r="392" spans="2:24">
      <c r="B392"/>
      <c r="R392" t="s">
        <v>231</v>
      </c>
      <c r="S392" t="s">
        <v>8622</v>
      </c>
      <c r="T392" t="s">
        <v>8632</v>
      </c>
      <c r="U392" s="62">
        <v>7</v>
      </c>
      <c r="V392" s="62" t="s">
        <v>8601</v>
      </c>
      <c r="W392" s="46">
        <v>15000</v>
      </c>
    </row>
    <row r="393" spans="2:24">
      <c r="B393"/>
      <c r="R393" t="s">
        <v>231</v>
      </c>
      <c r="S393" t="s">
        <v>8622</v>
      </c>
      <c r="T393" t="s">
        <v>8633</v>
      </c>
      <c r="U393" s="62">
        <v>7.2</v>
      </c>
      <c r="V393" s="62" t="s">
        <v>8601</v>
      </c>
      <c r="W393" s="46">
        <v>15000</v>
      </c>
    </row>
    <row r="394" spans="2:24">
      <c r="B394"/>
      <c r="R394" t="s">
        <v>231</v>
      </c>
      <c r="S394" t="s">
        <v>8622</v>
      </c>
      <c r="T394" t="s">
        <v>8601</v>
      </c>
      <c r="U394" s="62">
        <v>7.4</v>
      </c>
      <c r="V394" s="62" t="s">
        <v>8602</v>
      </c>
      <c r="W394" s="46">
        <v>5000</v>
      </c>
    </row>
    <row r="395" spans="2:24">
      <c r="B395"/>
      <c r="R395" t="s">
        <v>231</v>
      </c>
      <c r="S395" t="s">
        <v>8622</v>
      </c>
      <c r="T395" t="s">
        <v>8634</v>
      </c>
      <c r="U395" s="62">
        <v>7.2</v>
      </c>
      <c r="V395" s="62" t="s">
        <v>8601</v>
      </c>
      <c r="W395" s="46">
        <v>15000</v>
      </c>
    </row>
    <row r="396" spans="2:24">
      <c r="B396"/>
      <c r="R396" t="s">
        <v>231</v>
      </c>
      <c r="S396" t="s">
        <v>8623</v>
      </c>
      <c r="T396" t="s">
        <v>8629</v>
      </c>
      <c r="U396" s="62">
        <v>7</v>
      </c>
      <c r="V396" s="62" t="s">
        <v>8601</v>
      </c>
      <c r="W396" s="46">
        <v>15000</v>
      </c>
    </row>
    <row r="397" spans="2:24">
      <c r="B397"/>
      <c r="R397" t="s">
        <v>231</v>
      </c>
      <c r="S397" t="s">
        <v>8623</v>
      </c>
      <c r="T397" t="s">
        <v>8630</v>
      </c>
      <c r="U397" s="62">
        <v>7.3</v>
      </c>
      <c r="V397" s="62" t="s">
        <v>8602</v>
      </c>
      <c r="W397" s="46">
        <v>5000</v>
      </c>
    </row>
    <row r="398" spans="2:24">
      <c r="B398"/>
      <c r="R398" t="s">
        <v>231</v>
      </c>
      <c r="S398" t="s">
        <v>8623</v>
      </c>
      <c r="T398" t="s">
        <v>8635</v>
      </c>
      <c r="U398" s="62">
        <v>7.4</v>
      </c>
      <c r="V398" s="62" t="s">
        <v>8602</v>
      </c>
      <c r="W398" s="46">
        <v>5000</v>
      </c>
    </row>
    <row r="399" spans="2:24">
      <c r="B399"/>
      <c r="R399" t="s">
        <v>231</v>
      </c>
      <c r="S399" t="s">
        <v>8623</v>
      </c>
      <c r="T399" t="s">
        <v>8631</v>
      </c>
      <c r="U399" s="62">
        <v>7.2</v>
      </c>
      <c r="V399" s="62" t="s">
        <v>8601</v>
      </c>
      <c r="W399" s="46">
        <v>15000</v>
      </c>
    </row>
    <row r="400" spans="2:24">
      <c r="B400"/>
      <c r="R400" t="s">
        <v>231</v>
      </c>
      <c r="S400" t="s">
        <v>8623</v>
      </c>
      <c r="T400" t="s">
        <v>8632</v>
      </c>
      <c r="U400" s="62">
        <v>7.1</v>
      </c>
      <c r="V400" s="62" t="s">
        <v>8601</v>
      </c>
      <c r="W400" s="46">
        <v>15000</v>
      </c>
    </row>
    <row r="401" spans="2:24">
      <c r="B401"/>
      <c r="Q401" s="48"/>
      <c r="R401" t="s">
        <v>231</v>
      </c>
      <c r="S401" t="s">
        <v>8623</v>
      </c>
      <c r="T401" t="s">
        <v>8633</v>
      </c>
      <c r="U401" s="62">
        <v>7.2</v>
      </c>
      <c r="V401" s="62" t="s">
        <v>8601</v>
      </c>
      <c r="W401" s="46">
        <v>15000</v>
      </c>
      <c r="X401" s="48"/>
    </row>
    <row r="402" spans="2:24">
      <c r="B402"/>
      <c r="R402" t="s">
        <v>231</v>
      </c>
      <c r="S402" t="s">
        <v>8623</v>
      </c>
      <c r="T402" t="s">
        <v>8601</v>
      </c>
      <c r="U402" s="62">
        <v>7.4</v>
      </c>
      <c r="V402" s="62" t="s">
        <v>8602</v>
      </c>
      <c r="W402" s="46">
        <v>5000</v>
      </c>
    </row>
    <row r="403" spans="2:24">
      <c r="B403"/>
      <c r="R403" t="s">
        <v>231</v>
      </c>
      <c r="S403" t="s">
        <v>8623</v>
      </c>
      <c r="T403" t="s">
        <v>8634</v>
      </c>
      <c r="U403" s="62">
        <v>7.1</v>
      </c>
      <c r="V403" s="62" t="s">
        <v>8601</v>
      </c>
      <c r="W403" s="46">
        <v>15000</v>
      </c>
    </row>
    <row r="404" spans="2:24">
      <c r="B404"/>
      <c r="R404" t="s">
        <v>232</v>
      </c>
      <c r="S404" t="s">
        <v>8622</v>
      </c>
      <c r="T404" t="s">
        <v>8629</v>
      </c>
      <c r="U404" s="62">
        <v>7.1</v>
      </c>
      <c r="V404" s="62" t="s">
        <v>8601</v>
      </c>
      <c r="W404" s="46">
        <v>15000</v>
      </c>
    </row>
    <row r="405" spans="2:24">
      <c r="B405"/>
      <c r="R405" t="s">
        <v>232</v>
      </c>
      <c r="S405" t="s">
        <v>8622</v>
      </c>
      <c r="T405" t="s">
        <v>8630</v>
      </c>
      <c r="U405" s="62">
        <v>7.3</v>
      </c>
      <c r="V405" s="62" t="s">
        <v>8602</v>
      </c>
      <c r="W405" s="46">
        <v>5000</v>
      </c>
    </row>
    <row r="406" spans="2:24">
      <c r="B406"/>
      <c r="R406" t="s">
        <v>232</v>
      </c>
      <c r="S406" t="s">
        <v>8622</v>
      </c>
      <c r="T406" t="s">
        <v>8635</v>
      </c>
      <c r="U406" s="62">
        <v>7.4</v>
      </c>
      <c r="V406" s="62" t="s">
        <v>8602</v>
      </c>
      <c r="W406" s="46">
        <v>5000</v>
      </c>
    </row>
    <row r="407" spans="2:24">
      <c r="B407"/>
      <c r="R407" t="s">
        <v>232</v>
      </c>
      <c r="S407" t="s">
        <v>8622</v>
      </c>
      <c r="T407" t="s">
        <v>8631</v>
      </c>
      <c r="U407" s="62">
        <v>7.1</v>
      </c>
      <c r="V407" s="62" t="s">
        <v>8601</v>
      </c>
      <c r="W407" s="46">
        <v>15000</v>
      </c>
    </row>
    <row r="408" spans="2:24">
      <c r="B408"/>
      <c r="R408" t="s">
        <v>232</v>
      </c>
      <c r="S408" t="s">
        <v>8622</v>
      </c>
      <c r="T408" t="s">
        <v>8632</v>
      </c>
      <c r="U408" s="62">
        <v>7</v>
      </c>
      <c r="V408" s="62" t="s">
        <v>8601</v>
      </c>
      <c r="W408" s="46">
        <v>15000</v>
      </c>
    </row>
    <row r="409" spans="2:24">
      <c r="B409"/>
      <c r="R409" t="s">
        <v>232</v>
      </c>
      <c r="S409" t="s">
        <v>8622</v>
      </c>
      <c r="T409" t="s">
        <v>8633</v>
      </c>
      <c r="U409" s="62">
        <v>7.2</v>
      </c>
      <c r="V409" s="62" t="s">
        <v>8601</v>
      </c>
      <c r="W409" s="46">
        <v>15000</v>
      </c>
    </row>
    <row r="410" spans="2:24">
      <c r="B410"/>
      <c r="R410" t="s">
        <v>232</v>
      </c>
      <c r="S410" t="s">
        <v>8622</v>
      </c>
      <c r="T410" t="s">
        <v>8601</v>
      </c>
      <c r="U410" s="62">
        <v>7.4</v>
      </c>
      <c r="V410" s="62" t="s">
        <v>8602</v>
      </c>
      <c r="W410" s="46">
        <v>5000</v>
      </c>
    </row>
    <row r="411" spans="2:24">
      <c r="B411"/>
      <c r="R411" t="s">
        <v>232</v>
      </c>
      <c r="S411" t="s">
        <v>8622</v>
      </c>
      <c r="T411" t="s">
        <v>8634</v>
      </c>
      <c r="U411" s="62">
        <v>7.2</v>
      </c>
      <c r="V411" s="62" t="s">
        <v>8601</v>
      </c>
      <c r="W411" s="46">
        <v>15000</v>
      </c>
    </row>
    <row r="412" spans="2:24">
      <c r="B412"/>
      <c r="Q412" s="48"/>
      <c r="R412" t="s">
        <v>232</v>
      </c>
      <c r="S412" t="s">
        <v>8623</v>
      </c>
      <c r="T412" t="s">
        <v>8629</v>
      </c>
      <c r="U412" s="62">
        <v>7</v>
      </c>
      <c r="V412" s="62" t="s">
        <v>8601</v>
      </c>
      <c r="W412" s="46">
        <v>15000</v>
      </c>
      <c r="X412" s="48"/>
    </row>
    <row r="413" spans="2:24">
      <c r="B413"/>
      <c r="R413" t="s">
        <v>232</v>
      </c>
      <c r="S413" t="s">
        <v>8623</v>
      </c>
      <c r="T413" t="s">
        <v>8630</v>
      </c>
      <c r="U413" s="62">
        <v>7.3</v>
      </c>
      <c r="V413" s="62" t="s">
        <v>8602</v>
      </c>
      <c r="W413" s="46">
        <v>5000</v>
      </c>
    </row>
    <row r="414" spans="2:24">
      <c r="B414"/>
      <c r="R414" t="s">
        <v>232</v>
      </c>
      <c r="S414" t="s">
        <v>8623</v>
      </c>
      <c r="T414" t="s">
        <v>8635</v>
      </c>
      <c r="U414" s="62">
        <v>7.4</v>
      </c>
      <c r="V414" s="62" t="s">
        <v>8602</v>
      </c>
      <c r="W414" s="46">
        <v>5000</v>
      </c>
    </row>
    <row r="415" spans="2:24">
      <c r="B415"/>
      <c r="R415" t="s">
        <v>232</v>
      </c>
      <c r="S415" t="s">
        <v>8623</v>
      </c>
      <c r="T415" t="s">
        <v>8631</v>
      </c>
      <c r="U415" s="62">
        <v>7.2</v>
      </c>
      <c r="V415" s="62" t="s">
        <v>8601</v>
      </c>
      <c r="W415" s="46">
        <v>15000</v>
      </c>
    </row>
    <row r="416" spans="2:24">
      <c r="B416"/>
      <c r="R416" t="s">
        <v>232</v>
      </c>
      <c r="S416" t="s">
        <v>8623</v>
      </c>
      <c r="T416" t="s">
        <v>8632</v>
      </c>
      <c r="U416" s="62">
        <v>7.1</v>
      </c>
      <c r="V416" s="62" t="s">
        <v>8601</v>
      </c>
      <c r="W416" s="46">
        <v>15000</v>
      </c>
    </row>
    <row r="417" spans="2:24">
      <c r="B417"/>
      <c r="R417" t="s">
        <v>232</v>
      </c>
      <c r="S417" t="s">
        <v>8623</v>
      </c>
      <c r="T417" t="s">
        <v>8633</v>
      </c>
      <c r="U417" s="62">
        <v>7.2</v>
      </c>
      <c r="V417" s="62" t="s">
        <v>8601</v>
      </c>
      <c r="W417" s="46">
        <v>15000</v>
      </c>
    </row>
    <row r="418" spans="2:24">
      <c r="B418"/>
      <c r="R418" t="s">
        <v>232</v>
      </c>
      <c r="S418" t="s">
        <v>8623</v>
      </c>
      <c r="T418" t="s">
        <v>8601</v>
      </c>
      <c r="U418" s="62">
        <v>7.4</v>
      </c>
      <c r="V418" s="62" t="s">
        <v>8602</v>
      </c>
      <c r="W418" s="46">
        <v>5000</v>
      </c>
    </row>
    <row r="419" spans="2:24">
      <c r="B419"/>
      <c r="R419" t="s">
        <v>232</v>
      </c>
      <c r="S419" t="s">
        <v>8623</v>
      </c>
      <c r="T419" t="s">
        <v>8634</v>
      </c>
      <c r="U419" s="62">
        <v>7.1</v>
      </c>
      <c r="V419" s="62" t="s">
        <v>8601</v>
      </c>
      <c r="W419" s="46">
        <v>15000</v>
      </c>
    </row>
    <row r="420" spans="2:24">
      <c r="B420"/>
      <c r="R420" t="s">
        <v>205</v>
      </c>
      <c r="S420" t="s">
        <v>8622</v>
      </c>
      <c r="T420" t="s">
        <v>8629</v>
      </c>
      <c r="U420" s="62">
        <v>7</v>
      </c>
      <c r="V420" s="62" t="s">
        <v>8601</v>
      </c>
      <c r="W420" s="46">
        <v>15000</v>
      </c>
    </row>
    <row r="421" spans="2:24">
      <c r="B421"/>
      <c r="R421" t="s">
        <v>205</v>
      </c>
      <c r="S421" t="s">
        <v>8622</v>
      </c>
      <c r="T421" t="s">
        <v>8630</v>
      </c>
      <c r="U421" s="62">
        <v>6.9</v>
      </c>
      <c r="V421" s="62" t="s">
        <v>8601</v>
      </c>
      <c r="W421" s="46">
        <v>15000</v>
      </c>
    </row>
    <row r="422" spans="2:24">
      <c r="B422"/>
      <c r="R422" t="s">
        <v>205</v>
      </c>
      <c r="S422" t="s">
        <v>8622</v>
      </c>
      <c r="T422" t="s">
        <v>8635</v>
      </c>
      <c r="U422" s="62">
        <v>7</v>
      </c>
      <c r="V422" s="62" t="s">
        <v>8601</v>
      </c>
      <c r="W422" s="46">
        <v>15000</v>
      </c>
    </row>
    <row r="423" spans="2:24">
      <c r="B423"/>
      <c r="R423" t="s">
        <v>205</v>
      </c>
      <c r="S423" t="s">
        <v>8622</v>
      </c>
      <c r="T423" t="s">
        <v>8631</v>
      </c>
      <c r="U423" s="203">
        <v>7.1</v>
      </c>
      <c r="V423" s="203" t="s">
        <v>8601</v>
      </c>
      <c r="W423" s="51">
        <v>15000</v>
      </c>
    </row>
    <row r="424" spans="2:24">
      <c r="B424"/>
      <c r="R424" t="s">
        <v>205</v>
      </c>
      <c r="S424" t="s">
        <v>8622</v>
      </c>
      <c r="T424" t="s">
        <v>8632</v>
      </c>
      <c r="U424" s="62">
        <v>7.4</v>
      </c>
      <c r="V424" s="62" t="s">
        <v>8602</v>
      </c>
      <c r="W424" s="46">
        <v>5000</v>
      </c>
    </row>
    <row r="425" spans="2:24">
      <c r="B425"/>
      <c r="R425" t="s">
        <v>205</v>
      </c>
      <c r="S425" t="s">
        <v>8622</v>
      </c>
      <c r="T425" t="s">
        <v>8633</v>
      </c>
      <c r="U425" s="62">
        <v>7.6</v>
      </c>
      <c r="V425" s="62" t="s">
        <v>8602</v>
      </c>
      <c r="W425" s="46">
        <v>5000</v>
      </c>
    </row>
    <row r="426" spans="2:24">
      <c r="B426"/>
      <c r="R426" t="s">
        <v>205</v>
      </c>
      <c r="S426" t="s">
        <v>8622</v>
      </c>
      <c r="T426" t="s">
        <v>8601</v>
      </c>
      <c r="U426" s="62">
        <v>7.7</v>
      </c>
      <c r="V426" s="62" t="s">
        <v>8602</v>
      </c>
      <c r="W426" s="46">
        <v>5000</v>
      </c>
    </row>
    <row r="427" spans="2:24">
      <c r="B427"/>
      <c r="R427" t="s">
        <v>205</v>
      </c>
      <c r="S427" t="s">
        <v>8622</v>
      </c>
      <c r="T427" t="s">
        <v>8634</v>
      </c>
      <c r="U427" s="62">
        <v>7.3</v>
      </c>
      <c r="V427" s="62" t="s">
        <v>8601</v>
      </c>
      <c r="W427" s="46">
        <v>15000</v>
      </c>
    </row>
    <row r="428" spans="2:24">
      <c r="B428"/>
      <c r="R428" t="s">
        <v>205</v>
      </c>
      <c r="S428" t="s">
        <v>8623</v>
      </c>
      <c r="T428" t="s">
        <v>8629</v>
      </c>
      <c r="U428" s="62">
        <v>7.4</v>
      </c>
      <c r="V428" s="62" t="s">
        <v>8602</v>
      </c>
      <c r="W428" s="46">
        <v>5000</v>
      </c>
    </row>
    <row r="429" spans="2:24">
      <c r="B429"/>
      <c r="Q429" s="48"/>
      <c r="R429" t="s">
        <v>205</v>
      </c>
      <c r="S429" t="s">
        <v>8623</v>
      </c>
      <c r="T429" t="s">
        <v>8630</v>
      </c>
      <c r="U429" s="62">
        <v>7.1</v>
      </c>
      <c r="V429" s="62" t="s">
        <v>8601</v>
      </c>
      <c r="W429" s="46">
        <v>15000</v>
      </c>
      <c r="X429" s="48"/>
    </row>
    <row r="430" spans="2:24">
      <c r="B430"/>
      <c r="R430" t="s">
        <v>205</v>
      </c>
      <c r="S430" t="s">
        <v>8623</v>
      </c>
      <c r="T430" t="s">
        <v>8635</v>
      </c>
      <c r="U430" s="62">
        <v>7</v>
      </c>
      <c r="V430" s="62" t="s">
        <v>8601</v>
      </c>
      <c r="W430" s="46">
        <v>15000</v>
      </c>
    </row>
    <row r="431" spans="2:24">
      <c r="B431"/>
      <c r="R431" t="s">
        <v>205</v>
      </c>
      <c r="S431" t="s">
        <v>8623</v>
      </c>
      <c r="T431" t="s">
        <v>8631</v>
      </c>
      <c r="U431" s="62">
        <v>6.9</v>
      </c>
      <c r="V431" s="62" t="s">
        <v>8601</v>
      </c>
      <c r="W431" s="46">
        <v>15000</v>
      </c>
    </row>
    <row r="432" spans="2:24">
      <c r="B432"/>
      <c r="R432" t="s">
        <v>205</v>
      </c>
      <c r="S432" t="s">
        <v>8623</v>
      </c>
      <c r="T432" t="s">
        <v>8632</v>
      </c>
      <c r="U432" s="62">
        <v>7.1</v>
      </c>
      <c r="V432" s="62" t="s">
        <v>8601</v>
      </c>
      <c r="W432" s="46">
        <v>15000</v>
      </c>
    </row>
    <row r="433" spans="2:23">
      <c r="B433"/>
      <c r="R433" t="s">
        <v>205</v>
      </c>
      <c r="S433" t="s">
        <v>8623</v>
      </c>
      <c r="T433" t="s">
        <v>8633</v>
      </c>
      <c r="U433" s="62">
        <v>7.4</v>
      </c>
      <c r="V433" s="62" t="s">
        <v>8602</v>
      </c>
      <c r="W433" s="46">
        <v>5000</v>
      </c>
    </row>
    <row r="434" spans="2:23">
      <c r="B434"/>
      <c r="R434" t="s">
        <v>205</v>
      </c>
      <c r="S434" t="s">
        <v>8623</v>
      </c>
      <c r="T434" t="s">
        <v>8601</v>
      </c>
      <c r="U434" s="203">
        <v>7.8</v>
      </c>
      <c r="V434" s="203" t="s">
        <v>8602</v>
      </c>
      <c r="W434" s="51">
        <v>5000</v>
      </c>
    </row>
    <row r="435" spans="2:23">
      <c r="B435"/>
      <c r="R435" t="s">
        <v>205</v>
      </c>
      <c r="S435" t="s">
        <v>8623</v>
      </c>
      <c r="T435" t="s">
        <v>8634</v>
      </c>
      <c r="U435" s="62">
        <v>7.5</v>
      </c>
      <c r="V435" s="62" t="s">
        <v>8602</v>
      </c>
      <c r="W435" s="46">
        <v>5000</v>
      </c>
    </row>
    <row r="436" spans="2:23">
      <c r="B436"/>
      <c r="R436" t="s">
        <v>9181</v>
      </c>
      <c r="S436" t="s">
        <v>8622</v>
      </c>
      <c r="T436" t="s">
        <v>8629</v>
      </c>
      <c r="U436" s="62">
        <v>7.4</v>
      </c>
      <c r="V436" s="62" t="s">
        <v>8602</v>
      </c>
      <c r="W436" s="46">
        <v>5000</v>
      </c>
    </row>
    <row r="437" spans="2:23">
      <c r="B437"/>
      <c r="R437" t="s">
        <v>9181</v>
      </c>
      <c r="S437" t="s">
        <v>8622</v>
      </c>
      <c r="T437" t="s">
        <v>8630</v>
      </c>
      <c r="U437" s="62">
        <v>7.1</v>
      </c>
      <c r="V437" s="62" t="s">
        <v>8601</v>
      </c>
      <c r="W437" s="46">
        <v>15000</v>
      </c>
    </row>
    <row r="438" spans="2:23">
      <c r="B438"/>
      <c r="R438" t="s">
        <v>9181</v>
      </c>
      <c r="S438" t="s">
        <v>8622</v>
      </c>
      <c r="T438" t="s">
        <v>8635</v>
      </c>
      <c r="U438" s="62">
        <v>7</v>
      </c>
      <c r="V438" s="62" t="s">
        <v>8601</v>
      </c>
      <c r="W438" s="46">
        <v>15000</v>
      </c>
    </row>
    <row r="439" spans="2:23">
      <c r="B439"/>
      <c r="R439" t="s">
        <v>9181</v>
      </c>
      <c r="S439" t="s">
        <v>8622</v>
      </c>
      <c r="T439" t="s">
        <v>8631</v>
      </c>
      <c r="U439" s="62">
        <v>6.9</v>
      </c>
      <c r="V439" s="62" t="s">
        <v>8601</v>
      </c>
      <c r="W439" s="46">
        <v>15000</v>
      </c>
    </row>
    <row r="440" spans="2:23">
      <c r="B440"/>
      <c r="R440" t="s">
        <v>9181</v>
      </c>
      <c r="S440" t="s">
        <v>8622</v>
      </c>
      <c r="T440" t="s">
        <v>8632</v>
      </c>
      <c r="U440" s="62">
        <v>7.1</v>
      </c>
      <c r="V440" s="62" t="s">
        <v>8601</v>
      </c>
      <c r="W440" s="46">
        <v>15000</v>
      </c>
    </row>
    <row r="441" spans="2:23">
      <c r="B441"/>
      <c r="R441" t="s">
        <v>9181</v>
      </c>
      <c r="S441" t="s">
        <v>8622</v>
      </c>
      <c r="T441" t="s">
        <v>8633</v>
      </c>
      <c r="U441" s="62">
        <v>7.4</v>
      </c>
      <c r="V441" s="62" t="s">
        <v>8602</v>
      </c>
      <c r="W441" s="46">
        <v>5000</v>
      </c>
    </row>
    <row r="442" spans="2:23">
      <c r="B442"/>
      <c r="R442" t="s">
        <v>9181</v>
      </c>
      <c r="S442" t="s">
        <v>8622</v>
      </c>
      <c r="T442" t="s">
        <v>8601</v>
      </c>
      <c r="U442" s="62">
        <v>7.8</v>
      </c>
      <c r="V442" s="62" t="s">
        <v>8602</v>
      </c>
      <c r="W442" s="46">
        <v>5000</v>
      </c>
    </row>
    <row r="443" spans="2:23">
      <c r="B443"/>
      <c r="R443" t="s">
        <v>9181</v>
      </c>
      <c r="S443" t="s">
        <v>8622</v>
      </c>
      <c r="T443" t="s">
        <v>8634</v>
      </c>
      <c r="U443" s="62">
        <v>7.5</v>
      </c>
      <c r="V443" s="62" t="s">
        <v>8602</v>
      </c>
      <c r="W443" s="46">
        <v>5000</v>
      </c>
    </row>
    <row r="444" spans="2:23">
      <c r="B444"/>
      <c r="R444" t="s">
        <v>9181</v>
      </c>
      <c r="S444" t="s">
        <v>8623</v>
      </c>
      <c r="T444" t="s">
        <v>8629</v>
      </c>
      <c r="U444" s="62">
        <v>6.9</v>
      </c>
      <c r="V444" s="62" t="s">
        <v>8601</v>
      </c>
      <c r="W444" s="46">
        <v>15000</v>
      </c>
    </row>
    <row r="445" spans="2:23">
      <c r="B445"/>
      <c r="R445" t="s">
        <v>9181</v>
      </c>
      <c r="S445" t="s">
        <v>8623</v>
      </c>
      <c r="T445" t="s">
        <v>8630</v>
      </c>
      <c r="U445" s="203">
        <v>6.9</v>
      </c>
      <c r="V445" s="203" t="s">
        <v>8601</v>
      </c>
      <c r="W445" s="51">
        <v>15000</v>
      </c>
    </row>
    <row r="446" spans="2:23">
      <c r="B446"/>
      <c r="R446" t="s">
        <v>9181</v>
      </c>
      <c r="S446" t="s">
        <v>8623</v>
      </c>
      <c r="T446" t="s">
        <v>8635</v>
      </c>
      <c r="U446" s="62">
        <v>7.1</v>
      </c>
      <c r="V446" s="62" t="s">
        <v>8601</v>
      </c>
      <c r="W446" s="46">
        <v>15000</v>
      </c>
    </row>
    <row r="447" spans="2:23">
      <c r="B447"/>
      <c r="R447" t="s">
        <v>9181</v>
      </c>
      <c r="S447" t="s">
        <v>8623</v>
      </c>
      <c r="T447" t="s">
        <v>8631</v>
      </c>
      <c r="U447" s="62">
        <v>7.1</v>
      </c>
      <c r="V447" s="62" t="s">
        <v>8601</v>
      </c>
      <c r="W447" s="46">
        <v>15000</v>
      </c>
    </row>
    <row r="448" spans="2:23">
      <c r="B448"/>
      <c r="R448" t="s">
        <v>9181</v>
      </c>
      <c r="S448" t="s">
        <v>8623</v>
      </c>
      <c r="T448" t="s">
        <v>8632</v>
      </c>
      <c r="U448" s="62">
        <v>7.4</v>
      </c>
      <c r="V448" s="62" t="s">
        <v>8602</v>
      </c>
      <c r="W448" s="46">
        <v>5000</v>
      </c>
    </row>
    <row r="449" spans="2:23">
      <c r="B449"/>
      <c r="R449" t="s">
        <v>9181</v>
      </c>
      <c r="S449" t="s">
        <v>8623</v>
      </c>
      <c r="T449" t="s">
        <v>8633</v>
      </c>
      <c r="U449" s="62">
        <v>7.6</v>
      </c>
      <c r="V449" s="62" t="s">
        <v>8602</v>
      </c>
      <c r="W449" s="46">
        <v>5000</v>
      </c>
    </row>
    <row r="450" spans="2:23">
      <c r="B450"/>
      <c r="R450" t="s">
        <v>9181</v>
      </c>
      <c r="S450" t="s">
        <v>8623</v>
      </c>
      <c r="T450" t="s">
        <v>8601</v>
      </c>
      <c r="U450" s="62">
        <v>7.7</v>
      </c>
      <c r="V450" s="62" t="s">
        <v>8602</v>
      </c>
      <c r="W450" s="46">
        <v>5000</v>
      </c>
    </row>
    <row r="451" spans="2:23">
      <c r="B451"/>
      <c r="R451" t="s">
        <v>9181</v>
      </c>
      <c r="S451" t="s">
        <v>8623</v>
      </c>
      <c r="T451" t="s">
        <v>8634</v>
      </c>
      <c r="U451" s="62">
        <v>7.2</v>
      </c>
      <c r="V451" s="62" t="s">
        <v>8601</v>
      </c>
      <c r="W451" s="46">
        <v>15000</v>
      </c>
    </row>
    <row r="452" spans="2:23">
      <c r="B452"/>
      <c r="R452" t="s">
        <v>214</v>
      </c>
      <c r="S452" t="s">
        <v>8622</v>
      </c>
      <c r="T452" t="s">
        <v>8629</v>
      </c>
      <c r="U452" s="62">
        <v>7.3</v>
      </c>
      <c r="V452" s="62" t="s">
        <v>8601</v>
      </c>
      <c r="W452" s="46">
        <v>15000</v>
      </c>
    </row>
    <row r="453" spans="2:23">
      <c r="B453"/>
      <c r="R453" t="s">
        <v>214</v>
      </c>
      <c r="S453" t="s">
        <v>8622</v>
      </c>
      <c r="T453" t="s">
        <v>8630</v>
      </c>
      <c r="U453" s="62">
        <v>7.1</v>
      </c>
      <c r="V453" s="62" t="s">
        <v>8601</v>
      </c>
      <c r="W453" s="46">
        <v>15000</v>
      </c>
    </row>
    <row r="454" spans="2:23">
      <c r="B454"/>
      <c r="R454" t="s">
        <v>214</v>
      </c>
      <c r="S454" t="s">
        <v>8622</v>
      </c>
      <c r="T454" t="s">
        <v>8635</v>
      </c>
      <c r="U454" s="62">
        <v>7.1</v>
      </c>
      <c r="V454" s="62" t="s">
        <v>8601</v>
      </c>
      <c r="W454" s="46">
        <v>15000</v>
      </c>
    </row>
    <row r="455" spans="2:23">
      <c r="B455"/>
      <c r="R455" t="s">
        <v>214</v>
      </c>
      <c r="S455" t="s">
        <v>8622</v>
      </c>
      <c r="T455" t="s">
        <v>8631</v>
      </c>
      <c r="U455" s="62">
        <v>7.1</v>
      </c>
      <c r="V455" s="62" t="s">
        <v>8601</v>
      </c>
      <c r="W455" s="46">
        <v>15000</v>
      </c>
    </row>
    <row r="456" spans="2:23">
      <c r="B456"/>
      <c r="R456" t="s">
        <v>214</v>
      </c>
      <c r="S456" t="s">
        <v>8622</v>
      </c>
      <c r="T456" t="s">
        <v>8632</v>
      </c>
      <c r="U456" s="203">
        <v>7.4</v>
      </c>
      <c r="V456" s="203" t="s">
        <v>8602</v>
      </c>
      <c r="W456" s="51">
        <v>5000</v>
      </c>
    </row>
    <row r="457" spans="2:23">
      <c r="B457"/>
      <c r="R457" t="s">
        <v>214</v>
      </c>
      <c r="S457" t="s">
        <v>8622</v>
      </c>
      <c r="T457" t="s">
        <v>8633</v>
      </c>
      <c r="U457" s="62">
        <v>7.4</v>
      </c>
      <c r="V457" s="62" t="s">
        <v>8602</v>
      </c>
      <c r="W457" s="46">
        <v>5000</v>
      </c>
    </row>
    <row r="458" spans="2:23">
      <c r="B458"/>
      <c r="R458" t="s">
        <v>214</v>
      </c>
      <c r="S458" t="s">
        <v>8622</v>
      </c>
      <c r="T458" t="s">
        <v>8601</v>
      </c>
      <c r="U458" s="62">
        <v>7.6</v>
      </c>
      <c r="V458" s="62" t="s">
        <v>8602</v>
      </c>
      <c r="W458" s="46">
        <v>5000</v>
      </c>
    </row>
    <row r="459" spans="2:23">
      <c r="B459"/>
      <c r="R459" t="s">
        <v>214</v>
      </c>
      <c r="S459" t="s">
        <v>8622</v>
      </c>
      <c r="T459" t="s">
        <v>8634</v>
      </c>
      <c r="U459" s="62">
        <v>7.3</v>
      </c>
      <c r="V459" s="62" t="s">
        <v>8601</v>
      </c>
      <c r="W459" s="46">
        <v>15000</v>
      </c>
    </row>
    <row r="460" spans="2:23">
      <c r="B460"/>
      <c r="R460" t="s">
        <v>214</v>
      </c>
      <c r="S460" t="s">
        <v>8623</v>
      </c>
      <c r="T460" t="s">
        <v>8629</v>
      </c>
      <c r="U460" s="62">
        <v>7.2</v>
      </c>
      <c r="V460" s="62" t="s">
        <v>8601</v>
      </c>
      <c r="W460" s="46">
        <v>15000</v>
      </c>
    </row>
    <row r="461" spans="2:23">
      <c r="B461"/>
      <c r="R461" t="s">
        <v>214</v>
      </c>
      <c r="S461" t="s">
        <v>8623</v>
      </c>
      <c r="T461" t="s">
        <v>8630</v>
      </c>
      <c r="U461" s="62">
        <v>7.1</v>
      </c>
      <c r="V461" s="62" t="s">
        <v>8601</v>
      </c>
      <c r="W461" s="46">
        <v>15000</v>
      </c>
    </row>
    <row r="462" spans="2:23">
      <c r="B462"/>
      <c r="R462" t="s">
        <v>214</v>
      </c>
      <c r="S462" t="s">
        <v>8623</v>
      </c>
      <c r="T462" t="s">
        <v>8635</v>
      </c>
      <c r="U462" s="62">
        <v>7.1</v>
      </c>
      <c r="V462" s="62" t="s">
        <v>8601</v>
      </c>
      <c r="W462" s="46">
        <v>15000</v>
      </c>
    </row>
    <row r="463" spans="2:23">
      <c r="B463"/>
      <c r="R463" t="s">
        <v>214</v>
      </c>
      <c r="S463" t="s">
        <v>8623</v>
      </c>
      <c r="T463" t="s">
        <v>8631</v>
      </c>
      <c r="U463" s="62">
        <v>7.2</v>
      </c>
      <c r="V463" s="62" t="s">
        <v>8601</v>
      </c>
      <c r="W463" s="46">
        <v>15000</v>
      </c>
    </row>
    <row r="464" spans="2:23">
      <c r="B464"/>
      <c r="R464" t="s">
        <v>214</v>
      </c>
      <c r="S464" t="s">
        <v>8623</v>
      </c>
      <c r="T464" t="s">
        <v>8632</v>
      </c>
      <c r="U464" s="62">
        <v>7.4</v>
      </c>
      <c r="V464" s="62" t="s">
        <v>8602</v>
      </c>
      <c r="W464" s="46">
        <v>5000</v>
      </c>
    </row>
    <row r="465" spans="2:24">
      <c r="B465"/>
      <c r="R465" t="s">
        <v>214</v>
      </c>
      <c r="S465" t="s">
        <v>8623</v>
      </c>
      <c r="T465" t="s">
        <v>8633</v>
      </c>
      <c r="U465" s="62">
        <v>7.4</v>
      </c>
      <c r="V465" s="62" t="s">
        <v>8602</v>
      </c>
      <c r="W465" s="46">
        <v>5000</v>
      </c>
    </row>
    <row r="466" spans="2:24">
      <c r="B466"/>
      <c r="R466" t="s">
        <v>214</v>
      </c>
      <c r="S466" t="s">
        <v>8623</v>
      </c>
      <c r="T466" t="s">
        <v>8601</v>
      </c>
      <c r="U466" s="62">
        <v>7.5</v>
      </c>
      <c r="V466" s="62" t="s">
        <v>8602</v>
      </c>
      <c r="W466" s="46">
        <v>5000</v>
      </c>
    </row>
    <row r="467" spans="2:24">
      <c r="B467"/>
      <c r="R467" t="s">
        <v>214</v>
      </c>
      <c r="S467" t="s">
        <v>8623</v>
      </c>
      <c r="T467" t="s">
        <v>8634</v>
      </c>
      <c r="U467" s="203">
        <v>7.3</v>
      </c>
      <c r="V467" s="203" t="s">
        <v>8601</v>
      </c>
      <c r="W467" s="51">
        <v>15000</v>
      </c>
    </row>
    <row r="468" spans="2:24">
      <c r="B468"/>
      <c r="Q468" s="48"/>
      <c r="R468" t="s">
        <v>222</v>
      </c>
      <c r="S468" t="s">
        <v>8622</v>
      </c>
      <c r="T468" t="s">
        <v>8629</v>
      </c>
      <c r="U468" s="62">
        <v>7.3</v>
      </c>
      <c r="V468" s="62" t="s">
        <v>8602</v>
      </c>
      <c r="W468" s="46">
        <v>5000</v>
      </c>
      <c r="X468" s="48"/>
    </row>
    <row r="469" spans="2:24">
      <c r="B469"/>
      <c r="R469" t="s">
        <v>222</v>
      </c>
      <c r="S469" t="s">
        <v>8622</v>
      </c>
      <c r="T469" t="s">
        <v>8630</v>
      </c>
      <c r="U469" s="62">
        <v>7.1</v>
      </c>
      <c r="V469" s="62" t="s">
        <v>8601</v>
      </c>
      <c r="W469" s="46">
        <v>15000</v>
      </c>
    </row>
    <row r="470" spans="2:24">
      <c r="B470"/>
      <c r="R470" t="s">
        <v>222</v>
      </c>
      <c r="S470" t="s">
        <v>8622</v>
      </c>
      <c r="T470" t="s">
        <v>8635</v>
      </c>
      <c r="U470" s="62">
        <v>7</v>
      </c>
      <c r="V470" s="62" t="s">
        <v>8601</v>
      </c>
      <c r="W470" s="46">
        <v>15000</v>
      </c>
    </row>
    <row r="471" spans="2:24">
      <c r="B471"/>
      <c r="R471" t="s">
        <v>222</v>
      </c>
      <c r="S471" t="s">
        <v>8622</v>
      </c>
      <c r="T471" t="s">
        <v>8631</v>
      </c>
      <c r="U471" s="62">
        <v>7.1</v>
      </c>
      <c r="V471" s="62" t="s">
        <v>8601</v>
      </c>
      <c r="W471" s="46">
        <v>15000</v>
      </c>
    </row>
    <row r="472" spans="2:24">
      <c r="B472"/>
      <c r="R472" t="s">
        <v>222</v>
      </c>
      <c r="S472" t="s">
        <v>8622</v>
      </c>
      <c r="T472" t="s">
        <v>8632</v>
      </c>
      <c r="U472" s="62">
        <v>7.2</v>
      </c>
      <c r="V472" s="62" t="s">
        <v>8602</v>
      </c>
      <c r="W472" s="46">
        <v>5000</v>
      </c>
    </row>
    <row r="473" spans="2:24">
      <c r="B473"/>
      <c r="R473" t="s">
        <v>222</v>
      </c>
      <c r="S473" t="s">
        <v>8622</v>
      </c>
      <c r="T473" t="s">
        <v>8633</v>
      </c>
      <c r="U473" s="62">
        <v>7.2</v>
      </c>
      <c r="V473" s="62" t="s">
        <v>8602</v>
      </c>
      <c r="W473" s="46">
        <v>5000</v>
      </c>
    </row>
    <row r="474" spans="2:24">
      <c r="B474"/>
      <c r="R474" t="s">
        <v>222</v>
      </c>
      <c r="S474" t="s">
        <v>8622</v>
      </c>
      <c r="T474" t="s">
        <v>8601</v>
      </c>
      <c r="U474" s="62">
        <v>7.1</v>
      </c>
      <c r="V474" s="62" t="s">
        <v>8601</v>
      </c>
      <c r="W474" s="46">
        <v>15000</v>
      </c>
    </row>
    <row r="475" spans="2:24">
      <c r="B475"/>
      <c r="R475" t="s">
        <v>222</v>
      </c>
      <c r="S475" t="s">
        <v>8622</v>
      </c>
      <c r="T475" t="s">
        <v>8634</v>
      </c>
      <c r="U475" s="62">
        <v>7.1</v>
      </c>
      <c r="V475" s="62" t="s">
        <v>8601</v>
      </c>
      <c r="W475" s="46">
        <v>15000</v>
      </c>
    </row>
    <row r="476" spans="2:24">
      <c r="B476"/>
      <c r="R476" t="s">
        <v>222</v>
      </c>
      <c r="S476" t="s">
        <v>8623</v>
      </c>
      <c r="T476" t="s">
        <v>8629</v>
      </c>
      <c r="U476" s="62">
        <v>7.2</v>
      </c>
      <c r="V476" s="62" t="s">
        <v>8602</v>
      </c>
      <c r="W476" s="46">
        <v>5000</v>
      </c>
    </row>
    <row r="477" spans="2:24">
      <c r="B477"/>
      <c r="R477" t="s">
        <v>222</v>
      </c>
      <c r="S477" t="s">
        <v>8623</v>
      </c>
      <c r="T477" t="s">
        <v>8630</v>
      </c>
      <c r="U477" s="62">
        <v>7.1</v>
      </c>
      <c r="V477" s="62" t="s">
        <v>8601</v>
      </c>
      <c r="W477" s="46">
        <v>15000</v>
      </c>
    </row>
    <row r="478" spans="2:24">
      <c r="B478"/>
      <c r="R478" t="s">
        <v>222</v>
      </c>
      <c r="S478" t="s">
        <v>8623</v>
      </c>
      <c r="T478" t="s">
        <v>8635</v>
      </c>
      <c r="U478" s="203">
        <v>7</v>
      </c>
      <c r="V478" s="203" t="s">
        <v>8601</v>
      </c>
      <c r="W478" s="51">
        <v>15000</v>
      </c>
    </row>
    <row r="479" spans="2:24">
      <c r="B479"/>
      <c r="Q479" s="48"/>
      <c r="R479" t="s">
        <v>222</v>
      </c>
      <c r="S479" t="s">
        <v>8623</v>
      </c>
      <c r="T479" t="s">
        <v>8631</v>
      </c>
      <c r="U479" s="62">
        <v>7.1</v>
      </c>
      <c r="V479" s="62" t="s">
        <v>8601</v>
      </c>
      <c r="W479" s="46">
        <v>15000</v>
      </c>
      <c r="X479" s="48"/>
    </row>
    <row r="480" spans="2:24">
      <c r="B480"/>
      <c r="R480" t="s">
        <v>222</v>
      </c>
      <c r="S480" t="s">
        <v>8623</v>
      </c>
      <c r="T480" t="s">
        <v>8632</v>
      </c>
      <c r="U480" s="62">
        <v>7.3</v>
      </c>
      <c r="V480" s="62" t="s">
        <v>8602</v>
      </c>
      <c r="W480" s="46">
        <v>5000</v>
      </c>
    </row>
    <row r="481" spans="2:24">
      <c r="B481"/>
      <c r="R481" t="s">
        <v>222</v>
      </c>
      <c r="S481" t="s">
        <v>8623</v>
      </c>
      <c r="T481" t="s">
        <v>8633</v>
      </c>
      <c r="U481" s="62">
        <v>7.1</v>
      </c>
      <c r="V481" s="62" t="s">
        <v>8601</v>
      </c>
      <c r="W481" s="46">
        <v>15000</v>
      </c>
    </row>
    <row r="482" spans="2:24">
      <c r="B482"/>
      <c r="R482" t="s">
        <v>222</v>
      </c>
      <c r="S482" t="s">
        <v>8623</v>
      </c>
      <c r="T482" t="s">
        <v>8601</v>
      </c>
      <c r="U482" s="62">
        <v>7.1</v>
      </c>
      <c r="V482" s="62" t="s">
        <v>8601</v>
      </c>
      <c r="W482" s="46">
        <v>15000</v>
      </c>
    </row>
    <row r="483" spans="2:24">
      <c r="B483"/>
      <c r="R483" t="s">
        <v>222</v>
      </c>
      <c r="S483" t="s">
        <v>8623</v>
      </c>
      <c r="T483" t="s">
        <v>8634</v>
      </c>
      <c r="U483" s="62">
        <v>7.2</v>
      </c>
      <c r="V483" s="62" t="s">
        <v>8602</v>
      </c>
      <c r="W483" s="46">
        <v>5000</v>
      </c>
    </row>
    <row r="484" spans="2:24">
      <c r="B484"/>
      <c r="R484" t="s">
        <v>209</v>
      </c>
      <c r="S484" t="s">
        <v>8622</v>
      </c>
      <c r="T484" t="s">
        <v>8629</v>
      </c>
      <c r="U484" s="62">
        <v>7.1</v>
      </c>
      <c r="V484" s="62" t="s">
        <v>8601</v>
      </c>
      <c r="W484" s="46">
        <v>15000</v>
      </c>
    </row>
    <row r="485" spans="2:24">
      <c r="B485"/>
      <c r="R485" t="s">
        <v>209</v>
      </c>
      <c r="S485" t="s">
        <v>8622</v>
      </c>
      <c r="T485" t="s">
        <v>8630</v>
      </c>
      <c r="U485" s="62">
        <v>7</v>
      </c>
      <c r="V485" s="62" t="s">
        <v>8601</v>
      </c>
      <c r="W485" s="46">
        <v>15000</v>
      </c>
    </row>
    <row r="486" spans="2:24">
      <c r="B486"/>
      <c r="R486" t="s">
        <v>209</v>
      </c>
      <c r="S486" t="s">
        <v>8622</v>
      </c>
      <c r="T486" t="s">
        <v>8635</v>
      </c>
      <c r="U486" s="62">
        <v>7.1</v>
      </c>
      <c r="V486" s="62" t="s">
        <v>8601</v>
      </c>
      <c r="W486" s="46">
        <v>15000</v>
      </c>
    </row>
    <row r="487" spans="2:24">
      <c r="B487"/>
      <c r="R487" t="s">
        <v>209</v>
      </c>
      <c r="S487" t="s">
        <v>8622</v>
      </c>
      <c r="T487" t="s">
        <v>8631</v>
      </c>
      <c r="U487" s="62">
        <v>7</v>
      </c>
      <c r="V487" s="62" t="s">
        <v>8601</v>
      </c>
      <c r="W487" s="46">
        <v>15000</v>
      </c>
    </row>
    <row r="488" spans="2:24">
      <c r="B488"/>
      <c r="R488" t="s">
        <v>209</v>
      </c>
      <c r="S488" t="s">
        <v>8622</v>
      </c>
      <c r="T488" t="s">
        <v>8632</v>
      </c>
      <c r="U488" s="62">
        <v>7.2</v>
      </c>
      <c r="V488" s="62" t="s">
        <v>8602</v>
      </c>
      <c r="W488" s="46">
        <v>5000</v>
      </c>
    </row>
    <row r="489" spans="2:24">
      <c r="B489"/>
      <c r="R489" t="s">
        <v>209</v>
      </c>
      <c r="S489" t="s">
        <v>8622</v>
      </c>
      <c r="T489" t="s">
        <v>8633</v>
      </c>
      <c r="U489" s="203">
        <v>7.2</v>
      </c>
      <c r="V489" s="203" t="s">
        <v>8602</v>
      </c>
      <c r="W489" s="51">
        <v>5000</v>
      </c>
    </row>
    <row r="490" spans="2:24">
      <c r="B490"/>
      <c r="Q490" s="48"/>
      <c r="R490" t="s">
        <v>209</v>
      </c>
      <c r="S490" t="s">
        <v>8622</v>
      </c>
      <c r="T490" t="s">
        <v>8601</v>
      </c>
      <c r="U490" s="62">
        <v>7.3</v>
      </c>
      <c r="V490" s="62" t="s">
        <v>8602</v>
      </c>
      <c r="W490" s="46">
        <v>5000</v>
      </c>
      <c r="X490" s="48"/>
    </row>
    <row r="491" spans="2:24">
      <c r="B491"/>
      <c r="R491" t="s">
        <v>209</v>
      </c>
      <c r="S491" t="s">
        <v>8622</v>
      </c>
      <c r="T491" t="s">
        <v>8634</v>
      </c>
      <c r="U491" s="62">
        <v>7.1</v>
      </c>
      <c r="V491" s="62" t="s">
        <v>8601</v>
      </c>
      <c r="W491" s="46">
        <v>15000</v>
      </c>
    </row>
    <row r="492" spans="2:24">
      <c r="B492"/>
      <c r="R492" t="s">
        <v>209</v>
      </c>
      <c r="S492" t="s">
        <v>8623</v>
      </c>
      <c r="T492" t="s">
        <v>8629</v>
      </c>
      <c r="U492" s="62">
        <v>7</v>
      </c>
      <c r="V492" s="62" t="s">
        <v>8601</v>
      </c>
      <c r="W492" s="46">
        <v>15000</v>
      </c>
    </row>
    <row r="493" spans="2:24">
      <c r="B493"/>
      <c r="R493" t="s">
        <v>209</v>
      </c>
      <c r="S493" t="s">
        <v>8623</v>
      </c>
      <c r="T493" t="s">
        <v>8630</v>
      </c>
      <c r="U493" s="62">
        <v>6.9</v>
      </c>
      <c r="V493" s="62" t="s">
        <v>8601</v>
      </c>
      <c r="W493" s="46">
        <v>15000</v>
      </c>
    </row>
    <row r="494" spans="2:24">
      <c r="B494"/>
      <c r="R494" t="s">
        <v>209</v>
      </c>
      <c r="S494" t="s">
        <v>8623</v>
      </c>
      <c r="T494" t="s">
        <v>8635</v>
      </c>
      <c r="U494" s="62">
        <v>7.1</v>
      </c>
      <c r="V494" s="62" t="s">
        <v>8601</v>
      </c>
      <c r="W494" s="46">
        <v>15000</v>
      </c>
    </row>
    <row r="495" spans="2:24">
      <c r="B495"/>
      <c r="R495" t="s">
        <v>209</v>
      </c>
      <c r="S495" t="s">
        <v>8623</v>
      </c>
      <c r="T495" t="s">
        <v>8631</v>
      </c>
      <c r="U495" s="62">
        <v>7.1</v>
      </c>
      <c r="V495" s="62" t="s">
        <v>8601</v>
      </c>
      <c r="W495" s="46">
        <v>15000</v>
      </c>
    </row>
    <row r="496" spans="2:24">
      <c r="B496"/>
      <c r="R496" t="s">
        <v>209</v>
      </c>
      <c r="S496" t="s">
        <v>8623</v>
      </c>
      <c r="T496" t="s">
        <v>8632</v>
      </c>
      <c r="U496" s="62">
        <v>7.3</v>
      </c>
      <c r="V496" s="62" t="s">
        <v>8602</v>
      </c>
      <c r="W496" s="46">
        <v>5000</v>
      </c>
    </row>
    <row r="497" spans="2:24">
      <c r="B497"/>
      <c r="R497" t="s">
        <v>209</v>
      </c>
      <c r="S497" t="s">
        <v>8623</v>
      </c>
      <c r="T497" t="s">
        <v>8633</v>
      </c>
      <c r="U497" s="62">
        <v>7.2</v>
      </c>
      <c r="V497" s="62" t="s">
        <v>8602</v>
      </c>
      <c r="W497" s="46">
        <v>5000</v>
      </c>
    </row>
    <row r="498" spans="2:24">
      <c r="B498"/>
      <c r="R498" t="s">
        <v>209</v>
      </c>
      <c r="S498" t="s">
        <v>8623</v>
      </c>
      <c r="T498" t="s">
        <v>8601</v>
      </c>
      <c r="U498" s="62">
        <v>7.3</v>
      </c>
      <c r="V498" s="62" t="s">
        <v>8602</v>
      </c>
      <c r="W498" s="46">
        <v>5000</v>
      </c>
    </row>
    <row r="499" spans="2:24">
      <c r="B499"/>
      <c r="R499" t="s">
        <v>209</v>
      </c>
      <c r="S499" t="s">
        <v>8623</v>
      </c>
      <c r="T499" t="s">
        <v>8634</v>
      </c>
      <c r="U499" s="62">
        <v>7</v>
      </c>
      <c r="V499" s="62" t="s">
        <v>8601</v>
      </c>
      <c r="W499" s="46">
        <v>15000</v>
      </c>
    </row>
    <row r="500" spans="2:24">
      <c r="B500"/>
      <c r="R500" t="s">
        <v>8227</v>
      </c>
      <c r="S500" t="s">
        <v>8622</v>
      </c>
      <c r="T500" t="s">
        <v>8629</v>
      </c>
      <c r="U500" s="62">
        <v>7.1</v>
      </c>
      <c r="V500" s="62" t="s">
        <v>8601</v>
      </c>
      <c r="W500" s="46">
        <v>15000</v>
      </c>
    </row>
    <row r="501" spans="2:24">
      <c r="B501"/>
      <c r="Q501" s="48"/>
      <c r="R501" t="s">
        <v>8227</v>
      </c>
      <c r="S501" t="s">
        <v>8622</v>
      </c>
      <c r="T501" t="s">
        <v>8630</v>
      </c>
      <c r="U501" s="62">
        <v>7</v>
      </c>
      <c r="V501" s="62" t="s">
        <v>8601</v>
      </c>
      <c r="W501" s="46">
        <v>15000</v>
      </c>
      <c r="X501" s="48"/>
    </row>
    <row r="502" spans="2:24">
      <c r="B502"/>
      <c r="R502" t="s">
        <v>8227</v>
      </c>
      <c r="S502" t="s">
        <v>8622</v>
      </c>
      <c r="T502" t="s">
        <v>8635</v>
      </c>
      <c r="U502" s="62">
        <v>7.1</v>
      </c>
      <c r="V502" s="62" t="s">
        <v>8601</v>
      </c>
      <c r="W502" s="46">
        <v>15000</v>
      </c>
    </row>
    <row r="503" spans="2:24">
      <c r="B503"/>
      <c r="R503" t="s">
        <v>8227</v>
      </c>
      <c r="S503" t="s">
        <v>8622</v>
      </c>
      <c r="T503" t="s">
        <v>8631</v>
      </c>
      <c r="U503" s="62">
        <v>7</v>
      </c>
      <c r="V503" s="62" t="s">
        <v>8601</v>
      </c>
      <c r="W503" s="46">
        <v>15000</v>
      </c>
    </row>
    <row r="504" spans="2:24">
      <c r="B504"/>
      <c r="R504" t="s">
        <v>8227</v>
      </c>
      <c r="S504" t="s">
        <v>8622</v>
      </c>
      <c r="T504" t="s">
        <v>8632</v>
      </c>
      <c r="U504" s="62">
        <v>7.2</v>
      </c>
      <c r="V504" s="62" t="s">
        <v>8602</v>
      </c>
      <c r="W504" s="46">
        <v>5000</v>
      </c>
    </row>
    <row r="505" spans="2:24">
      <c r="B505"/>
      <c r="R505" t="s">
        <v>8227</v>
      </c>
      <c r="S505" t="s">
        <v>8622</v>
      </c>
      <c r="T505" t="s">
        <v>8633</v>
      </c>
      <c r="U505" s="203">
        <v>7.2</v>
      </c>
      <c r="V505" s="203" t="s">
        <v>8602</v>
      </c>
      <c r="W505" s="51">
        <v>5000</v>
      </c>
    </row>
    <row r="506" spans="2:24">
      <c r="B506"/>
      <c r="R506" t="s">
        <v>8227</v>
      </c>
      <c r="S506" t="s">
        <v>8622</v>
      </c>
      <c r="T506" t="s">
        <v>8601</v>
      </c>
      <c r="U506" s="62">
        <v>7.3</v>
      </c>
      <c r="V506" s="62" t="s">
        <v>8602</v>
      </c>
      <c r="W506" s="46">
        <v>5000</v>
      </c>
    </row>
    <row r="507" spans="2:24">
      <c r="B507"/>
      <c r="R507" t="s">
        <v>8227</v>
      </c>
      <c r="S507" t="s">
        <v>8622</v>
      </c>
      <c r="T507" t="s">
        <v>8634</v>
      </c>
      <c r="U507" s="62">
        <v>7.1</v>
      </c>
      <c r="V507" s="62" t="s">
        <v>8601</v>
      </c>
      <c r="W507" s="46">
        <v>15000</v>
      </c>
    </row>
    <row r="508" spans="2:24">
      <c r="B508"/>
      <c r="R508" t="s">
        <v>8227</v>
      </c>
      <c r="S508" t="s">
        <v>8623</v>
      </c>
      <c r="T508" t="s">
        <v>8629</v>
      </c>
      <c r="U508" s="62">
        <v>7</v>
      </c>
      <c r="V508" s="62" t="s">
        <v>8601</v>
      </c>
      <c r="W508" s="46">
        <v>15000</v>
      </c>
    </row>
    <row r="509" spans="2:24">
      <c r="B509"/>
      <c r="R509" t="s">
        <v>8227</v>
      </c>
      <c r="S509" t="s">
        <v>8623</v>
      </c>
      <c r="T509" t="s">
        <v>8630</v>
      </c>
      <c r="U509" s="62">
        <v>6.9</v>
      </c>
      <c r="V509" s="62" t="s">
        <v>8601</v>
      </c>
      <c r="W509" s="46">
        <v>15000</v>
      </c>
    </row>
    <row r="510" spans="2:24">
      <c r="B510"/>
      <c r="R510" t="s">
        <v>8227</v>
      </c>
      <c r="S510" t="s">
        <v>8623</v>
      </c>
      <c r="T510" t="s">
        <v>8635</v>
      </c>
      <c r="U510" s="62">
        <v>7.1</v>
      </c>
      <c r="V510" s="62" t="s">
        <v>8601</v>
      </c>
      <c r="W510" s="46">
        <v>15000</v>
      </c>
    </row>
    <row r="511" spans="2:24">
      <c r="B511"/>
      <c r="R511" t="s">
        <v>8227</v>
      </c>
      <c r="S511" t="s">
        <v>8623</v>
      </c>
      <c r="T511" t="s">
        <v>8631</v>
      </c>
      <c r="U511" s="62">
        <v>7.1</v>
      </c>
      <c r="V511" s="62" t="s">
        <v>8601</v>
      </c>
      <c r="W511" s="46">
        <v>15000</v>
      </c>
    </row>
    <row r="512" spans="2:24">
      <c r="B512"/>
      <c r="Q512" s="48"/>
      <c r="R512" t="s">
        <v>8227</v>
      </c>
      <c r="S512" t="s">
        <v>8623</v>
      </c>
      <c r="T512" t="s">
        <v>8632</v>
      </c>
      <c r="U512" s="62">
        <v>7.3</v>
      </c>
      <c r="V512" s="62" t="s">
        <v>8602</v>
      </c>
      <c r="W512" s="46">
        <v>5000</v>
      </c>
      <c r="X512" s="48"/>
    </row>
    <row r="513" spans="2:23">
      <c r="B513"/>
      <c r="R513" t="s">
        <v>8227</v>
      </c>
      <c r="S513" t="s">
        <v>8623</v>
      </c>
      <c r="T513" t="s">
        <v>8633</v>
      </c>
      <c r="U513" s="62">
        <v>7.2</v>
      </c>
      <c r="V513" s="62" t="s">
        <v>8602</v>
      </c>
      <c r="W513" s="46">
        <v>5000</v>
      </c>
    </row>
    <row r="514" spans="2:23">
      <c r="B514"/>
      <c r="R514" t="s">
        <v>8227</v>
      </c>
      <c r="S514" t="s">
        <v>8623</v>
      </c>
      <c r="T514" t="s">
        <v>8601</v>
      </c>
      <c r="U514" s="62">
        <v>7.3</v>
      </c>
      <c r="V514" s="62" t="s">
        <v>8602</v>
      </c>
      <c r="W514" s="46">
        <v>5000</v>
      </c>
    </row>
    <row r="515" spans="2:23">
      <c r="B515"/>
      <c r="R515" t="s">
        <v>8227</v>
      </c>
      <c r="S515" t="s">
        <v>8623</v>
      </c>
      <c r="T515" t="s">
        <v>8634</v>
      </c>
      <c r="U515" s="62">
        <v>7</v>
      </c>
      <c r="V515" s="62" t="s">
        <v>8601</v>
      </c>
      <c r="W515" s="46">
        <v>15000</v>
      </c>
    </row>
    <row r="516" spans="2:23">
      <c r="B516"/>
      <c r="R516" t="s">
        <v>216</v>
      </c>
      <c r="S516" t="s">
        <v>8622</v>
      </c>
      <c r="T516" t="s">
        <v>8629</v>
      </c>
      <c r="U516" s="62">
        <v>7.4</v>
      </c>
      <c r="V516" s="62" t="s">
        <v>8602</v>
      </c>
      <c r="W516" s="46">
        <v>5000</v>
      </c>
    </row>
    <row r="517" spans="2:23">
      <c r="B517"/>
      <c r="R517" t="s">
        <v>216</v>
      </c>
      <c r="S517" t="s">
        <v>8622</v>
      </c>
      <c r="T517" t="s">
        <v>8630</v>
      </c>
      <c r="U517" s="62">
        <v>7.2</v>
      </c>
      <c r="V517" s="62" t="s">
        <v>8602</v>
      </c>
      <c r="W517" s="46">
        <v>5000</v>
      </c>
    </row>
    <row r="518" spans="2:23">
      <c r="B518"/>
      <c r="R518" t="s">
        <v>216</v>
      </c>
      <c r="S518" t="s">
        <v>8622</v>
      </c>
      <c r="T518" t="s">
        <v>8635</v>
      </c>
      <c r="U518" s="62">
        <v>7.1</v>
      </c>
      <c r="V518" s="62" t="s">
        <v>8601</v>
      </c>
      <c r="W518" s="46">
        <v>15000</v>
      </c>
    </row>
    <row r="519" spans="2:23">
      <c r="B519"/>
      <c r="R519" t="s">
        <v>216</v>
      </c>
      <c r="S519" t="s">
        <v>8622</v>
      </c>
      <c r="T519" t="s">
        <v>8631</v>
      </c>
      <c r="U519" s="62">
        <v>6.9</v>
      </c>
      <c r="V519" s="62" t="s">
        <v>8601</v>
      </c>
      <c r="W519" s="46">
        <v>15000</v>
      </c>
    </row>
    <row r="520" spans="2:23">
      <c r="B520"/>
      <c r="R520" t="s">
        <v>216</v>
      </c>
      <c r="S520" t="s">
        <v>8622</v>
      </c>
      <c r="T520" t="s">
        <v>8632</v>
      </c>
      <c r="U520" s="203">
        <v>7</v>
      </c>
      <c r="V520" s="203" t="s">
        <v>8601</v>
      </c>
      <c r="W520" s="51">
        <v>15000</v>
      </c>
    </row>
    <row r="521" spans="2:23">
      <c r="B521"/>
      <c r="R521" t="s">
        <v>216</v>
      </c>
      <c r="S521" t="s">
        <v>8622</v>
      </c>
      <c r="T521" t="s">
        <v>8633</v>
      </c>
      <c r="U521" s="62">
        <v>7</v>
      </c>
      <c r="V521" s="62" t="s">
        <v>8601</v>
      </c>
      <c r="W521" s="46">
        <v>15000</v>
      </c>
    </row>
    <row r="522" spans="2:23">
      <c r="B522"/>
      <c r="R522" t="s">
        <v>216</v>
      </c>
      <c r="S522" t="s">
        <v>8622</v>
      </c>
      <c r="T522" t="s">
        <v>8601</v>
      </c>
      <c r="U522" s="62">
        <v>7.1</v>
      </c>
      <c r="V522" s="62" t="s">
        <v>8601</v>
      </c>
      <c r="W522" s="46">
        <v>15000</v>
      </c>
    </row>
    <row r="523" spans="2:23">
      <c r="B523"/>
      <c r="R523" t="s">
        <v>216</v>
      </c>
      <c r="S523" t="s">
        <v>8622</v>
      </c>
      <c r="T523" t="s">
        <v>8634</v>
      </c>
      <c r="U523" s="62">
        <v>7.3</v>
      </c>
      <c r="V523" s="62" t="s">
        <v>8602</v>
      </c>
      <c r="W523" s="46">
        <v>5000</v>
      </c>
    </row>
    <row r="524" spans="2:23">
      <c r="B524"/>
      <c r="R524" t="s">
        <v>216</v>
      </c>
      <c r="S524" t="s">
        <v>8623</v>
      </c>
      <c r="T524" t="s">
        <v>8629</v>
      </c>
      <c r="U524" s="62">
        <v>7</v>
      </c>
      <c r="V524" s="62" t="s">
        <v>8601</v>
      </c>
      <c r="W524" s="46">
        <v>15000</v>
      </c>
    </row>
    <row r="525" spans="2:23">
      <c r="B525"/>
      <c r="R525" t="s">
        <v>216</v>
      </c>
      <c r="S525" t="s">
        <v>8623</v>
      </c>
      <c r="T525" t="s">
        <v>8630</v>
      </c>
      <c r="U525" s="62">
        <v>6.9</v>
      </c>
      <c r="V525" s="62" t="s">
        <v>8601</v>
      </c>
      <c r="W525" s="46">
        <v>15000</v>
      </c>
    </row>
    <row r="526" spans="2:23">
      <c r="B526"/>
      <c r="R526" t="s">
        <v>216</v>
      </c>
      <c r="S526" t="s">
        <v>8623</v>
      </c>
      <c r="T526" t="s">
        <v>8635</v>
      </c>
      <c r="U526" s="62">
        <v>7.1</v>
      </c>
      <c r="V526" s="62" t="s">
        <v>8601</v>
      </c>
      <c r="W526" s="46">
        <v>15000</v>
      </c>
    </row>
    <row r="527" spans="2:23">
      <c r="B527"/>
      <c r="R527" t="s">
        <v>216</v>
      </c>
      <c r="S527" t="s">
        <v>8623</v>
      </c>
      <c r="T527" t="s">
        <v>8631</v>
      </c>
      <c r="U527" s="62">
        <v>7.2</v>
      </c>
      <c r="V527" s="62" t="s">
        <v>8602</v>
      </c>
      <c r="W527" s="46">
        <v>5000</v>
      </c>
    </row>
    <row r="528" spans="2:23">
      <c r="B528"/>
      <c r="R528" t="s">
        <v>216</v>
      </c>
      <c r="S528" t="s">
        <v>8623</v>
      </c>
      <c r="T528" t="s">
        <v>8632</v>
      </c>
      <c r="U528" s="62">
        <v>7.4</v>
      </c>
      <c r="V528" s="62" t="s">
        <v>8602</v>
      </c>
      <c r="W528" s="46">
        <v>5000</v>
      </c>
    </row>
    <row r="529" spans="2:24">
      <c r="B529"/>
      <c r="R529" t="s">
        <v>216</v>
      </c>
      <c r="S529" t="s">
        <v>8623</v>
      </c>
      <c r="T529" t="s">
        <v>8633</v>
      </c>
      <c r="U529" s="62">
        <v>7.3</v>
      </c>
      <c r="V529" s="62" t="s">
        <v>8602</v>
      </c>
      <c r="W529" s="46">
        <v>5000</v>
      </c>
    </row>
    <row r="530" spans="2:24">
      <c r="B530"/>
      <c r="R530" t="s">
        <v>216</v>
      </c>
      <c r="S530" t="s">
        <v>8623</v>
      </c>
      <c r="T530" t="s">
        <v>8601</v>
      </c>
      <c r="U530" s="62">
        <v>7.1</v>
      </c>
      <c r="V530" s="62" t="s">
        <v>8601</v>
      </c>
      <c r="W530" s="46">
        <v>15000</v>
      </c>
    </row>
    <row r="531" spans="2:24">
      <c r="B531"/>
      <c r="R531" t="s">
        <v>216</v>
      </c>
      <c r="S531" t="s">
        <v>8623</v>
      </c>
      <c r="T531" t="s">
        <v>8634</v>
      </c>
      <c r="U531" s="203">
        <v>7</v>
      </c>
      <c r="V531" s="203" t="s">
        <v>8601</v>
      </c>
      <c r="W531" s="51">
        <v>15000</v>
      </c>
    </row>
    <row r="532" spans="2:24">
      <c r="B532"/>
      <c r="R532" t="s">
        <v>215</v>
      </c>
      <c r="S532" t="s">
        <v>8622</v>
      </c>
      <c r="T532" t="s">
        <v>8629</v>
      </c>
      <c r="U532" s="62">
        <v>7.4</v>
      </c>
      <c r="V532" s="62" t="s">
        <v>8602</v>
      </c>
      <c r="W532" s="46">
        <v>5000</v>
      </c>
    </row>
    <row r="533" spans="2:24">
      <c r="B533"/>
      <c r="R533" t="s">
        <v>215</v>
      </c>
      <c r="S533" t="s">
        <v>8622</v>
      </c>
      <c r="T533" t="s">
        <v>8630</v>
      </c>
      <c r="U533" s="62">
        <v>7.2</v>
      </c>
      <c r="V533" s="62" t="s">
        <v>8601</v>
      </c>
      <c r="W533" s="46">
        <v>15000</v>
      </c>
    </row>
    <row r="534" spans="2:24">
      <c r="B534"/>
      <c r="R534" t="s">
        <v>215</v>
      </c>
      <c r="S534" t="s">
        <v>8622</v>
      </c>
      <c r="T534" t="s">
        <v>8635</v>
      </c>
      <c r="U534" s="62">
        <v>7.1</v>
      </c>
      <c r="V534" s="62" t="s">
        <v>8601</v>
      </c>
      <c r="W534" s="46">
        <v>15000</v>
      </c>
    </row>
    <row r="535" spans="2:24">
      <c r="B535"/>
      <c r="R535" t="s">
        <v>215</v>
      </c>
      <c r="S535" t="s">
        <v>8622</v>
      </c>
      <c r="T535" t="s">
        <v>8631</v>
      </c>
      <c r="U535" s="62">
        <v>7</v>
      </c>
      <c r="V535" s="62" t="s">
        <v>8601</v>
      </c>
      <c r="W535" s="46">
        <v>15000</v>
      </c>
    </row>
    <row r="536" spans="2:24">
      <c r="B536"/>
      <c r="R536" t="s">
        <v>215</v>
      </c>
      <c r="S536" t="s">
        <v>8622</v>
      </c>
      <c r="T536" t="s">
        <v>8632</v>
      </c>
      <c r="U536" s="62">
        <v>7.1</v>
      </c>
      <c r="V536" s="62" t="s">
        <v>8601</v>
      </c>
      <c r="W536" s="46">
        <v>15000</v>
      </c>
    </row>
    <row r="537" spans="2:24">
      <c r="B537"/>
      <c r="R537" t="s">
        <v>215</v>
      </c>
      <c r="S537" t="s">
        <v>8622</v>
      </c>
      <c r="T537" t="s">
        <v>8633</v>
      </c>
      <c r="U537" s="62">
        <v>7.1</v>
      </c>
      <c r="V537" s="62" t="s">
        <v>8601</v>
      </c>
      <c r="W537" s="46">
        <v>15000</v>
      </c>
    </row>
    <row r="538" spans="2:24">
      <c r="B538"/>
      <c r="R538" t="s">
        <v>215</v>
      </c>
      <c r="S538" t="s">
        <v>8622</v>
      </c>
      <c r="T538" t="s">
        <v>8601</v>
      </c>
      <c r="U538" s="62">
        <v>7.2</v>
      </c>
      <c r="V538" s="62" t="s">
        <v>8601</v>
      </c>
      <c r="W538" s="46">
        <v>15000</v>
      </c>
    </row>
    <row r="539" spans="2:24">
      <c r="B539"/>
      <c r="R539" t="s">
        <v>215</v>
      </c>
      <c r="S539" t="s">
        <v>8622</v>
      </c>
      <c r="T539" t="s">
        <v>8634</v>
      </c>
      <c r="U539" s="62">
        <v>7.3</v>
      </c>
      <c r="V539" s="62" t="s">
        <v>8602</v>
      </c>
      <c r="W539" s="46">
        <v>5000</v>
      </c>
    </row>
    <row r="540" spans="2:24">
      <c r="B540"/>
      <c r="Q540" s="48"/>
      <c r="R540" t="s">
        <v>215</v>
      </c>
      <c r="S540" t="s">
        <v>8623</v>
      </c>
      <c r="T540" t="s">
        <v>8629</v>
      </c>
      <c r="U540" s="62">
        <v>7.4</v>
      </c>
      <c r="V540" s="62" t="s">
        <v>8602</v>
      </c>
      <c r="W540" s="46">
        <v>5000</v>
      </c>
      <c r="X540" s="48"/>
    </row>
    <row r="541" spans="2:24">
      <c r="B541"/>
      <c r="R541" t="s">
        <v>215</v>
      </c>
      <c r="S541" t="s">
        <v>8623</v>
      </c>
      <c r="T541" t="s">
        <v>8630</v>
      </c>
      <c r="U541" s="62">
        <v>7.2</v>
      </c>
      <c r="V541" s="62" t="s">
        <v>8601</v>
      </c>
      <c r="W541" s="46">
        <v>15000</v>
      </c>
    </row>
    <row r="542" spans="2:24">
      <c r="B542"/>
      <c r="R542" t="s">
        <v>215</v>
      </c>
      <c r="S542" t="s">
        <v>8623</v>
      </c>
      <c r="T542" t="s">
        <v>8635</v>
      </c>
      <c r="U542" s="203">
        <v>7.1</v>
      </c>
      <c r="V542" s="203" t="s">
        <v>8601</v>
      </c>
      <c r="W542" s="51">
        <v>15000</v>
      </c>
    </row>
    <row r="543" spans="2:24">
      <c r="B543"/>
      <c r="R543" t="s">
        <v>215</v>
      </c>
      <c r="S543" t="s">
        <v>8623</v>
      </c>
      <c r="T543" t="s">
        <v>8631</v>
      </c>
      <c r="U543" s="62">
        <v>7</v>
      </c>
      <c r="V543" s="62" t="s">
        <v>8601</v>
      </c>
      <c r="W543" s="46">
        <v>15000</v>
      </c>
    </row>
    <row r="544" spans="2:24">
      <c r="B544"/>
      <c r="R544" t="s">
        <v>215</v>
      </c>
      <c r="S544" t="s">
        <v>8623</v>
      </c>
      <c r="T544" t="s">
        <v>8632</v>
      </c>
      <c r="U544" s="62">
        <v>7.1</v>
      </c>
      <c r="V544" s="62" t="s">
        <v>8601</v>
      </c>
      <c r="W544" s="46">
        <v>15000</v>
      </c>
    </row>
    <row r="545" spans="2:24">
      <c r="B545"/>
      <c r="R545" t="s">
        <v>215</v>
      </c>
      <c r="S545" t="s">
        <v>8623</v>
      </c>
      <c r="T545" t="s">
        <v>8633</v>
      </c>
      <c r="U545" s="62">
        <v>7.1</v>
      </c>
      <c r="V545" s="62" t="s">
        <v>8601</v>
      </c>
      <c r="W545" s="46">
        <v>15000</v>
      </c>
    </row>
    <row r="546" spans="2:24">
      <c r="B546"/>
      <c r="R546" t="s">
        <v>215</v>
      </c>
      <c r="S546" t="s">
        <v>8623</v>
      </c>
      <c r="T546" t="s">
        <v>8601</v>
      </c>
      <c r="U546" s="62">
        <v>7.2</v>
      </c>
      <c r="V546" s="62" t="s">
        <v>8602</v>
      </c>
      <c r="W546" s="46">
        <v>5000</v>
      </c>
    </row>
    <row r="547" spans="2:24">
      <c r="B547"/>
      <c r="R547" t="s">
        <v>215</v>
      </c>
      <c r="S547" t="s">
        <v>8623</v>
      </c>
      <c r="T547" t="s">
        <v>8634</v>
      </c>
      <c r="U547" s="62">
        <v>7.3</v>
      </c>
      <c r="V547" s="62" t="s">
        <v>8602</v>
      </c>
      <c r="W547" s="46">
        <v>5000</v>
      </c>
    </row>
    <row r="548" spans="2:24">
      <c r="B548"/>
      <c r="R548" t="s">
        <v>9780</v>
      </c>
      <c r="S548" t="s">
        <v>8622</v>
      </c>
      <c r="T548" t="s">
        <v>8629</v>
      </c>
      <c r="U548" s="203"/>
      <c r="V548" s="203"/>
      <c r="W548" s="51">
        <v>0</v>
      </c>
    </row>
    <row r="549" spans="2:24">
      <c r="B549"/>
      <c r="R549" t="s">
        <v>9780</v>
      </c>
      <c r="S549" t="s">
        <v>8622</v>
      </c>
      <c r="T549" t="s">
        <v>8630</v>
      </c>
      <c r="U549" s="62"/>
      <c r="V549" s="62"/>
      <c r="W549" s="51">
        <v>0</v>
      </c>
    </row>
    <row r="550" spans="2:24">
      <c r="B550"/>
      <c r="R550" t="s">
        <v>9780</v>
      </c>
      <c r="S550" t="s">
        <v>8622</v>
      </c>
      <c r="T550" t="s">
        <v>8635</v>
      </c>
      <c r="U550" s="62"/>
      <c r="V550" s="62"/>
      <c r="W550" s="51">
        <v>0</v>
      </c>
    </row>
    <row r="551" spans="2:24">
      <c r="B551"/>
      <c r="Q551" s="48"/>
      <c r="R551" t="s">
        <v>9780</v>
      </c>
      <c r="S551" t="s">
        <v>8622</v>
      </c>
      <c r="T551" t="s">
        <v>8631</v>
      </c>
      <c r="U551" s="62"/>
      <c r="V551" s="62"/>
      <c r="W551" s="51">
        <v>0</v>
      </c>
      <c r="X551" s="48"/>
    </row>
    <row r="552" spans="2:24">
      <c r="B552"/>
      <c r="R552" t="s">
        <v>9780</v>
      </c>
      <c r="S552" t="s">
        <v>8622</v>
      </c>
      <c r="T552" t="s">
        <v>8632</v>
      </c>
      <c r="U552" s="62"/>
      <c r="V552" s="62"/>
      <c r="W552" s="51">
        <v>0</v>
      </c>
    </row>
    <row r="553" spans="2:24">
      <c r="B553"/>
      <c r="R553" t="s">
        <v>9780</v>
      </c>
      <c r="S553" t="s">
        <v>8622</v>
      </c>
      <c r="T553" t="s">
        <v>8633</v>
      </c>
      <c r="U553" s="62"/>
      <c r="V553" s="62"/>
      <c r="W553" s="51">
        <v>0</v>
      </c>
    </row>
    <row r="554" spans="2:24">
      <c r="B554"/>
      <c r="R554" t="s">
        <v>9780</v>
      </c>
      <c r="S554" t="s">
        <v>8622</v>
      </c>
      <c r="T554" t="s">
        <v>8601</v>
      </c>
      <c r="U554" s="62"/>
      <c r="V554" s="62"/>
      <c r="W554" s="51">
        <v>0</v>
      </c>
    </row>
    <row r="555" spans="2:24">
      <c r="B555"/>
      <c r="R555" t="s">
        <v>9780</v>
      </c>
      <c r="S555" t="s">
        <v>8622</v>
      </c>
      <c r="T555" t="s">
        <v>8634</v>
      </c>
      <c r="U555" s="62"/>
      <c r="V555" s="62"/>
      <c r="W555" s="51">
        <v>0</v>
      </c>
    </row>
    <row r="556" spans="2:24">
      <c r="B556"/>
      <c r="R556" t="s">
        <v>9780</v>
      </c>
      <c r="S556" t="s">
        <v>8623</v>
      </c>
      <c r="T556" t="s">
        <v>8629</v>
      </c>
      <c r="U556" s="62"/>
      <c r="V556" s="62"/>
      <c r="W556" s="51">
        <v>0</v>
      </c>
    </row>
    <row r="557" spans="2:24">
      <c r="B557"/>
      <c r="R557" t="s">
        <v>9780</v>
      </c>
      <c r="S557" t="s">
        <v>8623</v>
      </c>
      <c r="T557" t="s">
        <v>8630</v>
      </c>
      <c r="U557" s="62"/>
      <c r="V557" s="62"/>
      <c r="W557" s="51">
        <v>0</v>
      </c>
    </row>
    <row r="558" spans="2:24">
      <c r="B558"/>
      <c r="R558" t="s">
        <v>9780</v>
      </c>
      <c r="S558" t="s">
        <v>8623</v>
      </c>
      <c r="T558" t="s">
        <v>8635</v>
      </c>
      <c r="U558" s="62"/>
      <c r="V558" s="62"/>
      <c r="W558" s="51">
        <v>0</v>
      </c>
    </row>
    <row r="559" spans="2:24">
      <c r="B559"/>
      <c r="R559" t="s">
        <v>9780</v>
      </c>
      <c r="S559" t="s">
        <v>8623</v>
      </c>
      <c r="T559" t="s">
        <v>8631</v>
      </c>
      <c r="U559" s="203"/>
      <c r="V559" s="203"/>
      <c r="W559" s="51">
        <v>0</v>
      </c>
    </row>
    <row r="560" spans="2:24">
      <c r="B560"/>
      <c r="R560" t="s">
        <v>9780</v>
      </c>
      <c r="S560" t="s">
        <v>8623</v>
      </c>
      <c r="T560" t="s">
        <v>8632</v>
      </c>
      <c r="U560" s="62"/>
      <c r="V560" s="62"/>
      <c r="W560" s="51">
        <v>0</v>
      </c>
    </row>
    <row r="561" spans="2:24">
      <c r="B561"/>
      <c r="R561" t="s">
        <v>9780</v>
      </c>
      <c r="S561" t="s">
        <v>8623</v>
      </c>
      <c r="T561" t="s">
        <v>8633</v>
      </c>
      <c r="U561" s="62"/>
      <c r="V561" s="62"/>
      <c r="W561" s="51">
        <v>0</v>
      </c>
    </row>
    <row r="562" spans="2:24">
      <c r="B562"/>
      <c r="Q562" s="48"/>
      <c r="R562" t="s">
        <v>9780</v>
      </c>
      <c r="S562" t="s">
        <v>8623</v>
      </c>
      <c r="T562" t="s">
        <v>8601</v>
      </c>
      <c r="U562" s="62"/>
      <c r="V562" s="62"/>
      <c r="W562" s="51">
        <v>0</v>
      </c>
      <c r="X562" s="48"/>
    </row>
    <row r="563" spans="2:24">
      <c r="B563"/>
      <c r="R563" t="s">
        <v>9780</v>
      </c>
      <c r="S563" t="s">
        <v>8623</v>
      </c>
      <c r="T563" t="s">
        <v>8634</v>
      </c>
      <c r="U563" s="62"/>
      <c r="V563" s="62"/>
      <c r="W563" s="51">
        <v>0</v>
      </c>
    </row>
    <row r="564" spans="2:24">
      <c r="B564"/>
      <c r="R564" t="s">
        <v>211</v>
      </c>
      <c r="S564" t="s">
        <v>8622</v>
      </c>
      <c r="T564" t="s">
        <v>8629</v>
      </c>
      <c r="U564" s="203">
        <v>7.3</v>
      </c>
      <c r="V564" s="203" t="s">
        <v>8601</v>
      </c>
      <c r="W564" s="51">
        <v>15000</v>
      </c>
    </row>
    <row r="565" spans="2:24">
      <c r="B565"/>
      <c r="R565" t="s">
        <v>211</v>
      </c>
      <c r="S565" t="s">
        <v>8622</v>
      </c>
      <c r="T565" t="s">
        <v>8630</v>
      </c>
      <c r="U565" s="62">
        <v>7</v>
      </c>
      <c r="V565" s="62" t="s">
        <v>8601</v>
      </c>
      <c r="W565" s="46">
        <v>15000</v>
      </c>
    </row>
    <row r="566" spans="2:24">
      <c r="B566"/>
      <c r="R566" t="s">
        <v>211</v>
      </c>
      <c r="S566" t="s">
        <v>8622</v>
      </c>
      <c r="T566" t="s">
        <v>8635</v>
      </c>
      <c r="U566" s="62">
        <v>7</v>
      </c>
      <c r="V566" s="62" t="s">
        <v>8601</v>
      </c>
      <c r="W566" s="46">
        <v>15000</v>
      </c>
    </row>
    <row r="567" spans="2:24">
      <c r="B567"/>
      <c r="R567" t="s">
        <v>211</v>
      </c>
      <c r="S567" t="s">
        <v>8622</v>
      </c>
      <c r="T567" t="s">
        <v>8631</v>
      </c>
      <c r="U567" s="62">
        <v>7.2</v>
      </c>
      <c r="V567" s="62" t="s">
        <v>8601</v>
      </c>
      <c r="W567" s="46">
        <v>15000</v>
      </c>
    </row>
    <row r="568" spans="2:24">
      <c r="B568"/>
      <c r="R568" t="s">
        <v>211</v>
      </c>
      <c r="S568" t="s">
        <v>8622</v>
      </c>
      <c r="T568" t="s">
        <v>8632</v>
      </c>
      <c r="U568" s="62">
        <v>7.4</v>
      </c>
      <c r="V568" s="62" t="s">
        <v>8602</v>
      </c>
      <c r="W568" s="46">
        <v>5000</v>
      </c>
    </row>
    <row r="569" spans="2:24">
      <c r="B569"/>
      <c r="R569" t="s">
        <v>211</v>
      </c>
      <c r="S569" t="s">
        <v>8622</v>
      </c>
      <c r="T569" t="s">
        <v>8633</v>
      </c>
      <c r="U569" s="62">
        <v>7.3</v>
      </c>
      <c r="V569" s="62" t="s">
        <v>8602</v>
      </c>
      <c r="W569" s="46">
        <v>5000</v>
      </c>
    </row>
    <row r="570" spans="2:24">
      <c r="B570"/>
      <c r="R570" t="s">
        <v>211</v>
      </c>
      <c r="S570" t="s">
        <v>8622</v>
      </c>
      <c r="T570" t="s">
        <v>8601</v>
      </c>
      <c r="U570" s="62">
        <v>7.4</v>
      </c>
      <c r="V570" s="62" t="s">
        <v>8602</v>
      </c>
      <c r="W570" s="46">
        <v>5000</v>
      </c>
    </row>
    <row r="571" spans="2:24">
      <c r="B571"/>
      <c r="R571" t="s">
        <v>211</v>
      </c>
      <c r="S571" t="s">
        <v>8622</v>
      </c>
      <c r="T571" t="s">
        <v>8634</v>
      </c>
      <c r="U571" s="62">
        <v>7.3</v>
      </c>
      <c r="V571" s="62" t="s">
        <v>8602</v>
      </c>
      <c r="W571" s="46">
        <v>5000</v>
      </c>
    </row>
    <row r="572" spans="2:24">
      <c r="B572"/>
      <c r="R572" t="s">
        <v>211</v>
      </c>
      <c r="S572" t="s">
        <v>8623</v>
      </c>
      <c r="T572" t="s">
        <v>8629</v>
      </c>
      <c r="U572" s="62">
        <v>7.3</v>
      </c>
      <c r="V572" s="62" t="s">
        <v>8602</v>
      </c>
      <c r="W572" s="46">
        <v>5000</v>
      </c>
    </row>
    <row r="573" spans="2:24">
      <c r="B573"/>
      <c r="Q573" s="48"/>
      <c r="R573" t="s">
        <v>211</v>
      </c>
      <c r="S573" t="s">
        <v>8623</v>
      </c>
      <c r="T573" t="s">
        <v>8630</v>
      </c>
      <c r="U573" s="62">
        <v>7.1</v>
      </c>
      <c r="V573" s="62" t="s">
        <v>8601</v>
      </c>
      <c r="W573" s="46">
        <v>15000</v>
      </c>
      <c r="X573" s="48"/>
    </row>
    <row r="574" spans="2:24">
      <c r="B574"/>
      <c r="R574" t="s">
        <v>211</v>
      </c>
      <c r="S574" t="s">
        <v>8623</v>
      </c>
      <c r="T574" t="s">
        <v>8635</v>
      </c>
      <c r="U574" s="62">
        <v>6.9</v>
      </c>
      <c r="V574" s="62" t="s">
        <v>8601</v>
      </c>
      <c r="W574" s="46">
        <v>15000</v>
      </c>
    </row>
    <row r="575" spans="2:24">
      <c r="B575"/>
      <c r="R575" t="s">
        <v>211</v>
      </c>
      <c r="S575" t="s">
        <v>8623</v>
      </c>
      <c r="T575" t="s">
        <v>8631</v>
      </c>
      <c r="U575" s="203">
        <v>7</v>
      </c>
      <c r="V575" s="203" t="s">
        <v>8601</v>
      </c>
      <c r="W575" s="51">
        <v>15000</v>
      </c>
    </row>
    <row r="576" spans="2:24">
      <c r="B576"/>
      <c r="R576" t="s">
        <v>211</v>
      </c>
      <c r="S576" t="s">
        <v>8623</v>
      </c>
      <c r="T576" t="s">
        <v>8632</v>
      </c>
      <c r="U576" s="62">
        <v>7.3</v>
      </c>
      <c r="V576" s="62" t="s">
        <v>8601</v>
      </c>
      <c r="W576" s="46">
        <v>15000</v>
      </c>
    </row>
    <row r="577" spans="2:23">
      <c r="B577"/>
      <c r="R577" t="s">
        <v>211</v>
      </c>
      <c r="S577" t="s">
        <v>8623</v>
      </c>
      <c r="T577" t="s">
        <v>8633</v>
      </c>
      <c r="U577" s="62">
        <v>7.3</v>
      </c>
      <c r="V577" s="62" t="s">
        <v>8602</v>
      </c>
      <c r="W577" s="46">
        <v>5000</v>
      </c>
    </row>
    <row r="578" spans="2:23">
      <c r="B578"/>
      <c r="R578" t="s">
        <v>211</v>
      </c>
      <c r="S578" t="s">
        <v>8623</v>
      </c>
      <c r="T578" t="s">
        <v>8601</v>
      </c>
      <c r="U578" s="62">
        <v>7.4</v>
      </c>
      <c r="V578" s="62" t="s">
        <v>8602</v>
      </c>
      <c r="W578" s="46">
        <v>5000</v>
      </c>
    </row>
    <row r="579" spans="2:23">
      <c r="B579"/>
      <c r="R579" t="s">
        <v>211</v>
      </c>
      <c r="S579" t="s">
        <v>8623</v>
      </c>
      <c r="T579" t="s">
        <v>8634</v>
      </c>
      <c r="U579" s="62">
        <v>7.3</v>
      </c>
      <c r="V579" s="62" t="s">
        <v>8602</v>
      </c>
      <c r="W579" s="46">
        <v>5000</v>
      </c>
    </row>
    <row r="580" spans="2:23">
      <c r="B580"/>
      <c r="R580" t="s">
        <v>207</v>
      </c>
      <c r="S580" t="s">
        <v>8622</v>
      </c>
      <c r="T580" t="s">
        <v>8629</v>
      </c>
      <c r="U580" s="62">
        <v>7.4</v>
      </c>
      <c r="V580" s="62" t="s">
        <v>8602</v>
      </c>
      <c r="W580" s="46">
        <v>5000</v>
      </c>
    </row>
    <row r="581" spans="2:23">
      <c r="B581"/>
      <c r="R581" t="s">
        <v>207</v>
      </c>
      <c r="S581" t="s">
        <v>8622</v>
      </c>
      <c r="T581" t="s">
        <v>8630</v>
      </c>
      <c r="U581" s="62">
        <v>7.2</v>
      </c>
      <c r="V581" s="62" t="s">
        <v>8601</v>
      </c>
      <c r="W581" s="46">
        <v>15000</v>
      </c>
    </row>
    <row r="582" spans="2:23">
      <c r="B582"/>
      <c r="R582" t="s">
        <v>207</v>
      </c>
      <c r="S582" t="s">
        <v>8622</v>
      </c>
      <c r="T582" t="s">
        <v>8635</v>
      </c>
      <c r="U582" s="62">
        <v>7.1</v>
      </c>
      <c r="V582" s="62" t="s">
        <v>8601</v>
      </c>
      <c r="W582" s="46">
        <v>15000</v>
      </c>
    </row>
    <row r="583" spans="2:23">
      <c r="B583"/>
      <c r="R583" t="s">
        <v>207</v>
      </c>
      <c r="S583" t="s">
        <v>8622</v>
      </c>
      <c r="T583" t="s">
        <v>8631</v>
      </c>
      <c r="U583" s="62">
        <v>7</v>
      </c>
      <c r="V583" s="62" t="s">
        <v>8601</v>
      </c>
      <c r="W583" s="46">
        <v>15000</v>
      </c>
    </row>
    <row r="584" spans="2:23">
      <c r="B584"/>
      <c r="R584" t="s">
        <v>207</v>
      </c>
      <c r="S584" t="s">
        <v>8622</v>
      </c>
      <c r="T584" t="s">
        <v>8632</v>
      </c>
      <c r="U584" s="62">
        <v>7</v>
      </c>
      <c r="V584" s="62" t="s">
        <v>8601</v>
      </c>
      <c r="W584" s="46">
        <v>15000</v>
      </c>
    </row>
    <row r="585" spans="2:23">
      <c r="B585"/>
      <c r="R585" t="s">
        <v>207</v>
      </c>
      <c r="S585" t="s">
        <v>8622</v>
      </c>
      <c r="T585" t="s">
        <v>8633</v>
      </c>
      <c r="U585" s="62">
        <v>7.1</v>
      </c>
      <c r="V585" s="62" t="s">
        <v>8601</v>
      </c>
      <c r="W585" s="46">
        <v>15000</v>
      </c>
    </row>
    <row r="586" spans="2:23">
      <c r="B586"/>
      <c r="R586" t="s">
        <v>207</v>
      </c>
      <c r="S586" t="s">
        <v>8622</v>
      </c>
      <c r="T586" t="s">
        <v>8601</v>
      </c>
      <c r="U586" s="203">
        <v>7.3</v>
      </c>
      <c r="V586" s="203" t="s">
        <v>8602</v>
      </c>
      <c r="W586" s="51">
        <v>5000</v>
      </c>
    </row>
    <row r="587" spans="2:23">
      <c r="B587"/>
      <c r="R587" t="s">
        <v>207</v>
      </c>
      <c r="S587" t="s">
        <v>8622</v>
      </c>
      <c r="T587" t="s">
        <v>8634</v>
      </c>
      <c r="U587" s="62">
        <v>7.3</v>
      </c>
      <c r="V587" s="62" t="s">
        <v>8602</v>
      </c>
      <c r="W587" s="46">
        <v>5000</v>
      </c>
    </row>
    <row r="588" spans="2:23">
      <c r="B588"/>
      <c r="R588" t="s">
        <v>207</v>
      </c>
      <c r="S588" t="s">
        <v>8623</v>
      </c>
      <c r="T588" t="s">
        <v>8629</v>
      </c>
      <c r="U588" s="62">
        <v>7</v>
      </c>
      <c r="V588" s="62" t="s">
        <v>8601</v>
      </c>
      <c r="W588" s="46">
        <v>15000</v>
      </c>
    </row>
    <row r="589" spans="2:23">
      <c r="B589"/>
      <c r="R589" t="s">
        <v>207</v>
      </c>
      <c r="S589" t="s">
        <v>8623</v>
      </c>
      <c r="T589" t="s">
        <v>8630</v>
      </c>
      <c r="U589" s="62">
        <v>7.1</v>
      </c>
      <c r="V589" s="62" t="s">
        <v>8601</v>
      </c>
      <c r="W589" s="46">
        <v>15000</v>
      </c>
    </row>
    <row r="590" spans="2:23">
      <c r="B590"/>
      <c r="R590" t="s">
        <v>207</v>
      </c>
      <c r="S590" t="s">
        <v>8623</v>
      </c>
      <c r="T590" t="s">
        <v>8635</v>
      </c>
      <c r="U590" s="62">
        <v>7.2</v>
      </c>
      <c r="V590" s="62" t="s">
        <v>8601</v>
      </c>
      <c r="W590" s="46">
        <v>15000</v>
      </c>
    </row>
    <row r="591" spans="2:23">
      <c r="B591"/>
      <c r="R591" t="s">
        <v>207</v>
      </c>
      <c r="S591" t="s">
        <v>8623</v>
      </c>
      <c r="T591" t="s">
        <v>8631</v>
      </c>
      <c r="U591" s="62">
        <v>7.2</v>
      </c>
      <c r="V591" s="62" t="s">
        <v>8601</v>
      </c>
      <c r="W591" s="46">
        <v>15000</v>
      </c>
    </row>
    <row r="592" spans="2:23">
      <c r="B592"/>
      <c r="R592" t="s">
        <v>207</v>
      </c>
      <c r="S592" t="s">
        <v>8623</v>
      </c>
      <c r="T592" t="s">
        <v>8632</v>
      </c>
      <c r="U592" s="62">
        <v>7.3</v>
      </c>
      <c r="V592" s="62" t="s">
        <v>8602</v>
      </c>
      <c r="W592" s="46">
        <v>5000</v>
      </c>
    </row>
    <row r="593" spans="2:24">
      <c r="B593"/>
      <c r="R593" t="s">
        <v>207</v>
      </c>
      <c r="S593" t="s">
        <v>8623</v>
      </c>
      <c r="T593" t="s">
        <v>8633</v>
      </c>
      <c r="U593" s="62">
        <v>7.3</v>
      </c>
      <c r="V593" s="62" t="s">
        <v>8602</v>
      </c>
      <c r="W593" s="46">
        <v>5000</v>
      </c>
    </row>
    <row r="594" spans="2:24">
      <c r="B594"/>
      <c r="R594" t="s">
        <v>207</v>
      </c>
      <c r="S594" t="s">
        <v>8623</v>
      </c>
      <c r="T594" t="s">
        <v>8601</v>
      </c>
      <c r="U594" s="62">
        <v>7.3</v>
      </c>
      <c r="V594" s="62" t="s">
        <v>8602</v>
      </c>
      <c r="W594" s="46">
        <v>5000</v>
      </c>
    </row>
    <row r="595" spans="2:24">
      <c r="B595"/>
      <c r="R595" t="s">
        <v>207</v>
      </c>
      <c r="S595" t="s">
        <v>8623</v>
      </c>
      <c r="T595" t="s">
        <v>8634</v>
      </c>
      <c r="U595" s="62">
        <v>7.1</v>
      </c>
      <c r="V595" s="62" t="s">
        <v>8601</v>
      </c>
      <c r="W595" s="46">
        <v>15000</v>
      </c>
    </row>
    <row r="596" spans="2:24">
      <c r="B596"/>
      <c r="R596" t="s">
        <v>9776</v>
      </c>
      <c r="S596" t="s">
        <v>8622</v>
      </c>
      <c r="T596" t="s">
        <v>8629</v>
      </c>
      <c r="U596" s="62"/>
      <c r="V596" s="62"/>
      <c r="W596" s="46">
        <v>0</v>
      </c>
    </row>
    <row r="597" spans="2:24">
      <c r="B597"/>
      <c r="R597" t="s">
        <v>9776</v>
      </c>
      <c r="S597" t="s">
        <v>8622</v>
      </c>
      <c r="T597" t="s">
        <v>8630</v>
      </c>
      <c r="U597" s="62"/>
      <c r="V597" s="62"/>
      <c r="W597" s="46">
        <v>0</v>
      </c>
    </row>
    <row r="598" spans="2:24">
      <c r="B598"/>
      <c r="R598" t="s">
        <v>9776</v>
      </c>
      <c r="S598" t="s">
        <v>8622</v>
      </c>
      <c r="T598" t="s">
        <v>8635</v>
      </c>
      <c r="U598" s="62"/>
      <c r="V598" s="62"/>
      <c r="W598" s="46">
        <v>0</v>
      </c>
    </row>
    <row r="599" spans="2:24">
      <c r="B599"/>
      <c r="R599" t="s">
        <v>9776</v>
      </c>
      <c r="S599" t="s">
        <v>8622</v>
      </c>
      <c r="T599" t="s">
        <v>8631</v>
      </c>
      <c r="U599" s="62"/>
      <c r="V599" s="62"/>
      <c r="W599" s="46">
        <v>0</v>
      </c>
    </row>
    <row r="600" spans="2:24">
      <c r="B600"/>
      <c r="R600" t="s">
        <v>9776</v>
      </c>
      <c r="S600" t="s">
        <v>8622</v>
      </c>
      <c r="T600" t="s">
        <v>8632</v>
      </c>
      <c r="U600" s="62"/>
      <c r="V600" s="62"/>
      <c r="W600" s="46">
        <v>0</v>
      </c>
    </row>
    <row r="601" spans="2:24">
      <c r="B601"/>
      <c r="R601" t="s">
        <v>9776</v>
      </c>
      <c r="S601" t="s">
        <v>8622</v>
      </c>
      <c r="T601" t="s">
        <v>8633</v>
      </c>
      <c r="U601" s="62"/>
      <c r="V601" s="62"/>
      <c r="W601" s="46">
        <v>0</v>
      </c>
    </row>
    <row r="602" spans="2:24">
      <c r="B602"/>
      <c r="Q602" s="48"/>
      <c r="R602" t="s">
        <v>9776</v>
      </c>
      <c r="S602" t="s">
        <v>8622</v>
      </c>
      <c r="T602" t="s">
        <v>8601</v>
      </c>
      <c r="U602" s="62"/>
      <c r="V602" s="62"/>
      <c r="W602" s="46">
        <v>0</v>
      </c>
      <c r="X602" s="48"/>
    </row>
    <row r="603" spans="2:24">
      <c r="B603"/>
      <c r="R603" t="s">
        <v>9776</v>
      </c>
      <c r="S603" t="s">
        <v>8622</v>
      </c>
      <c r="T603" t="s">
        <v>8634</v>
      </c>
      <c r="U603" s="62"/>
      <c r="V603" s="62"/>
      <c r="W603" s="46">
        <v>0</v>
      </c>
    </row>
    <row r="604" spans="2:24">
      <c r="B604"/>
      <c r="R604" t="s">
        <v>9776</v>
      </c>
      <c r="S604" t="s">
        <v>8623</v>
      </c>
      <c r="T604" t="s">
        <v>8629</v>
      </c>
      <c r="U604" s="62"/>
      <c r="V604" s="62"/>
      <c r="W604" s="46">
        <v>0</v>
      </c>
    </row>
    <row r="605" spans="2:24">
      <c r="B605"/>
      <c r="R605" t="s">
        <v>9776</v>
      </c>
      <c r="S605" t="s">
        <v>8623</v>
      </c>
      <c r="T605" t="s">
        <v>8630</v>
      </c>
      <c r="U605" s="62"/>
      <c r="V605" s="62"/>
      <c r="W605" s="46">
        <v>0</v>
      </c>
    </row>
    <row r="606" spans="2:24">
      <c r="B606"/>
      <c r="R606" t="s">
        <v>9776</v>
      </c>
      <c r="S606" t="s">
        <v>8623</v>
      </c>
      <c r="T606" t="s">
        <v>8635</v>
      </c>
      <c r="U606" s="62"/>
      <c r="V606" s="62"/>
      <c r="W606" s="46">
        <v>0</v>
      </c>
    </row>
    <row r="607" spans="2:24">
      <c r="B607"/>
      <c r="R607" t="s">
        <v>9776</v>
      </c>
      <c r="S607" t="s">
        <v>8623</v>
      </c>
      <c r="T607" t="s">
        <v>8631</v>
      </c>
      <c r="U607" s="62"/>
      <c r="V607" s="62"/>
      <c r="W607" s="46">
        <v>0</v>
      </c>
    </row>
    <row r="608" spans="2:24">
      <c r="B608"/>
      <c r="R608" t="s">
        <v>9776</v>
      </c>
      <c r="S608" t="s">
        <v>8623</v>
      </c>
      <c r="T608" t="s">
        <v>8632</v>
      </c>
      <c r="U608" s="62"/>
      <c r="V608" s="62"/>
      <c r="W608" s="46">
        <v>0</v>
      </c>
    </row>
    <row r="609" spans="2:24">
      <c r="B609"/>
      <c r="R609" t="s">
        <v>9776</v>
      </c>
      <c r="S609" t="s">
        <v>8623</v>
      </c>
      <c r="T609" t="s">
        <v>8633</v>
      </c>
      <c r="U609" s="62"/>
      <c r="V609" s="62"/>
      <c r="W609" s="46">
        <v>0</v>
      </c>
    </row>
    <row r="610" spans="2:24">
      <c r="B610"/>
      <c r="R610" t="s">
        <v>9776</v>
      </c>
      <c r="S610" t="s">
        <v>8623</v>
      </c>
      <c r="T610" t="s">
        <v>8601</v>
      </c>
      <c r="U610" s="62"/>
      <c r="V610" s="62"/>
      <c r="W610" s="46">
        <v>0</v>
      </c>
    </row>
    <row r="611" spans="2:24">
      <c r="B611"/>
      <c r="R611" t="s">
        <v>9776</v>
      </c>
      <c r="S611" t="s">
        <v>8623</v>
      </c>
      <c r="T611" t="s">
        <v>8634</v>
      </c>
      <c r="U611" s="203"/>
      <c r="V611" s="203"/>
      <c r="W611" s="46">
        <v>0</v>
      </c>
    </row>
    <row r="612" spans="2:24">
      <c r="B612"/>
      <c r="R612" t="s">
        <v>217</v>
      </c>
      <c r="S612" t="s">
        <v>8622</v>
      </c>
      <c r="T612" t="s">
        <v>8629</v>
      </c>
      <c r="U612" s="62">
        <v>7.3</v>
      </c>
      <c r="V612" s="62" t="s">
        <v>8602</v>
      </c>
      <c r="W612" s="46">
        <v>5000</v>
      </c>
    </row>
    <row r="613" spans="2:24">
      <c r="B613"/>
      <c r="Q613" s="48"/>
      <c r="R613" t="s">
        <v>217</v>
      </c>
      <c r="S613" t="s">
        <v>8622</v>
      </c>
      <c r="T613" t="s">
        <v>8630</v>
      </c>
      <c r="U613" s="62">
        <v>7.2</v>
      </c>
      <c r="V613" s="62" t="s">
        <v>8601</v>
      </c>
      <c r="W613" s="46">
        <v>15000</v>
      </c>
      <c r="X613" s="48"/>
    </row>
    <row r="614" spans="2:24">
      <c r="B614"/>
      <c r="R614" t="s">
        <v>217</v>
      </c>
      <c r="S614" t="s">
        <v>8622</v>
      </c>
      <c r="T614" t="s">
        <v>8635</v>
      </c>
      <c r="U614" s="62">
        <v>7.1</v>
      </c>
      <c r="V614" s="62" t="s">
        <v>8601</v>
      </c>
      <c r="W614" s="46">
        <v>15000</v>
      </c>
    </row>
    <row r="615" spans="2:24">
      <c r="B615"/>
      <c r="R615" t="s">
        <v>217</v>
      </c>
      <c r="S615" t="s">
        <v>8622</v>
      </c>
      <c r="T615" t="s">
        <v>8631</v>
      </c>
      <c r="U615" s="62">
        <v>7</v>
      </c>
      <c r="V615" s="62" t="s">
        <v>8601</v>
      </c>
      <c r="W615" s="46">
        <v>15000</v>
      </c>
    </row>
    <row r="616" spans="2:24">
      <c r="B616"/>
      <c r="R616" t="s">
        <v>217</v>
      </c>
      <c r="S616" t="s">
        <v>8622</v>
      </c>
      <c r="T616" t="s">
        <v>8632</v>
      </c>
      <c r="U616" s="62">
        <v>7.1</v>
      </c>
      <c r="V616" s="62" t="s">
        <v>8601</v>
      </c>
      <c r="W616" s="46">
        <v>15000</v>
      </c>
    </row>
    <row r="617" spans="2:24">
      <c r="B617"/>
      <c r="R617" t="s">
        <v>217</v>
      </c>
      <c r="S617" t="s">
        <v>8622</v>
      </c>
      <c r="T617" t="s">
        <v>8633</v>
      </c>
      <c r="U617" s="62">
        <v>7.2</v>
      </c>
      <c r="V617" s="62" t="s">
        <v>8601</v>
      </c>
      <c r="W617" s="46">
        <v>15000</v>
      </c>
    </row>
    <row r="618" spans="2:24">
      <c r="B618"/>
      <c r="R618" t="s">
        <v>217</v>
      </c>
      <c r="S618" t="s">
        <v>8622</v>
      </c>
      <c r="T618" t="s">
        <v>8601</v>
      </c>
      <c r="U618" s="62">
        <v>7.2</v>
      </c>
      <c r="V618" s="62" t="s">
        <v>8601</v>
      </c>
      <c r="W618" s="46">
        <v>15000</v>
      </c>
    </row>
    <row r="619" spans="2:24">
      <c r="B619"/>
      <c r="R619" t="s">
        <v>217</v>
      </c>
      <c r="S619" t="s">
        <v>8622</v>
      </c>
      <c r="T619" t="s">
        <v>8634</v>
      </c>
      <c r="U619" s="62">
        <v>7.3</v>
      </c>
      <c r="V619" s="62" t="s">
        <v>8602</v>
      </c>
      <c r="W619" s="46">
        <v>5000</v>
      </c>
    </row>
    <row r="620" spans="2:24">
      <c r="B620"/>
      <c r="R620" t="s">
        <v>217</v>
      </c>
      <c r="S620" t="s">
        <v>8623</v>
      </c>
      <c r="T620" t="s">
        <v>8629</v>
      </c>
      <c r="U620" s="62">
        <v>7.1</v>
      </c>
      <c r="V620" s="62" t="s">
        <v>8601</v>
      </c>
      <c r="W620" s="46">
        <v>15000</v>
      </c>
    </row>
    <row r="621" spans="2:24">
      <c r="B621"/>
      <c r="R621" t="s">
        <v>217</v>
      </c>
      <c r="S621" t="s">
        <v>8623</v>
      </c>
      <c r="T621" t="s">
        <v>8630</v>
      </c>
      <c r="U621" s="62">
        <v>7</v>
      </c>
      <c r="V621" s="62" t="s">
        <v>8601</v>
      </c>
      <c r="W621" s="46">
        <v>15000</v>
      </c>
    </row>
    <row r="622" spans="2:24">
      <c r="B622"/>
      <c r="R622" t="s">
        <v>217</v>
      </c>
      <c r="S622" t="s">
        <v>8623</v>
      </c>
      <c r="T622" t="s">
        <v>8635</v>
      </c>
      <c r="U622" s="62">
        <v>7.1</v>
      </c>
      <c r="V622" s="62" t="s">
        <v>8601</v>
      </c>
      <c r="W622" s="46">
        <v>15000</v>
      </c>
    </row>
    <row r="623" spans="2:24">
      <c r="B623"/>
      <c r="R623" t="s">
        <v>217</v>
      </c>
      <c r="S623" t="s">
        <v>8623</v>
      </c>
      <c r="T623" t="s">
        <v>8631</v>
      </c>
      <c r="U623" s="62">
        <v>7.2</v>
      </c>
      <c r="V623" s="62" t="s">
        <v>8601</v>
      </c>
      <c r="W623" s="46">
        <v>15000</v>
      </c>
    </row>
    <row r="624" spans="2:24">
      <c r="B624"/>
      <c r="Q624" s="48"/>
      <c r="R624" t="s">
        <v>217</v>
      </c>
      <c r="S624" t="s">
        <v>8623</v>
      </c>
      <c r="T624" t="s">
        <v>8632</v>
      </c>
      <c r="U624" s="62">
        <v>7.3</v>
      </c>
      <c r="V624" s="62" t="s">
        <v>8602</v>
      </c>
      <c r="W624" s="46">
        <v>5000</v>
      </c>
      <c r="X624" s="48"/>
    </row>
    <row r="625" spans="2:23">
      <c r="B625"/>
      <c r="R625" t="s">
        <v>217</v>
      </c>
      <c r="S625" t="s">
        <v>8623</v>
      </c>
      <c r="T625" t="s">
        <v>8633</v>
      </c>
      <c r="U625" s="62">
        <v>7.3</v>
      </c>
      <c r="V625" s="62" t="s">
        <v>8602</v>
      </c>
      <c r="W625" s="46">
        <v>5000</v>
      </c>
    </row>
    <row r="626" spans="2:23">
      <c r="B626"/>
      <c r="R626" t="s">
        <v>217</v>
      </c>
      <c r="S626" t="s">
        <v>8623</v>
      </c>
      <c r="T626" t="s">
        <v>8601</v>
      </c>
      <c r="U626" s="62">
        <v>7.2</v>
      </c>
      <c r="V626" s="62" t="s">
        <v>8601</v>
      </c>
      <c r="W626" s="46">
        <v>15000</v>
      </c>
    </row>
    <row r="627" spans="2:23">
      <c r="B627"/>
      <c r="R627" t="s">
        <v>217</v>
      </c>
      <c r="S627" t="s">
        <v>8623</v>
      </c>
      <c r="T627" t="s">
        <v>8634</v>
      </c>
      <c r="U627" s="203">
        <v>7.1</v>
      </c>
      <c r="V627" s="203" t="s">
        <v>8601</v>
      </c>
      <c r="W627" s="51">
        <v>15000</v>
      </c>
    </row>
    <row r="628" spans="2:23">
      <c r="B628"/>
      <c r="R628" t="s">
        <v>8229</v>
      </c>
      <c r="S628" t="s">
        <v>8622</v>
      </c>
      <c r="T628" t="s">
        <v>8629</v>
      </c>
      <c r="U628" s="62">
        <v>7.3</v>
      </c>
      <c r="V628" s="62" t="s">
        <v>8602</v>
      </c>
      <c r="W628" s="46">
        <v>5000</v>
      </c>
    </row>
    <row r="629" spans="2:23">
      <c r="B629"/>
      <c r="R629" t="s">
        <v>8229</v>
      </c>
      <c r="S629" t="s">
        <v>8622</v>
      </c>
      <c r="T629" t="s">
        <v>8630</v>
      </c>
      <c r="U629" s="62">
        <v>7.2</v>
      </c>
      <c r="V629" s="62" t="s">
        <v>8601</v>
      </c>
      <c r="W629" s="46">
        <v>15000</v>
      </c>
    </row>
    <row r="630" spans="2:23">
      <c r="B630"/>
      <c r="R630" t="s">
        <v>8229</v>
      </c>
      <c r="S630" t="s">
        <v>8622</v>
      </c>
      <c r="T630" t="s">
        <v>8635</v>
      </c>
      <c r="U630" s="62">
        <v>7.1</v>
      </c>
      <c r="V630" s="62" t="s">
        <v>8601</v>
      </c>
      <c r="W630" s="46">
        <v>15000</v>
      </c>
    </row>
    <row r="631" spans="2:23">
      <c r="B631"/>
      <c r="R631" t="s">
        <v>8229</v>
      </c>
      <c r="S631" t="s">
        <v>8622</v>
      </c>
      <c r="T631" t="s">
        <v>8631</v>
      </c>
      <c r="U631" s="62">
        <v>7</v>
      </c>
      <c r="V631" s="62" t="s">
        <v>8601</v>
      </c>
      <c r="W631" s="46">
        <v>15000</v>
      </c>
    </row>
    <row r="632" spans="2:23">
      <c r="B632"/>
      <c r="R632" t="s">
        <v>8229</v>
      </c>
      <c r="S632" t="s">
        <v>8622</v>
      </c>
      <c r="T632" t="s">
        <v>8632</v>
      </c>
      <c r="U632" s="62">
        <v>7.1</v>
      </c>
      <c r="V632" s="62" t="s">
        <v>8601</v>
      </c>
      <c r="W632" s="46">
        <v>15000</v>
      </c>
    </row>
    <row r="633" spans="2:23">
      <c r="B633"/>
      <c r="R633" t="s">
        <v>8229</v>
      </c>
      <c r="S633" t="s">
        <v>8622</v>
      </c>
      <c r="T633" t="s">
        <v>8633</v>
      </c>
      <c r="U633" s="62">
        <v>7.2</v>
      </c>
      <c r="V633" s="62" t="s">
        <v>8601</v>
      </c>
      <c r="W633" s="46">
        <v>15000</v>
      </c>
    </row>
    <row r="634" spans="2:23">
      <c r="B634"/>
      <c r="R634" t="s">
        <v>8229</v>
      </c>
      <c r="S634" t="s">
        <v>8622</v>
      </c>
      <c r="T634" t="s">
        <v>8601</v>
      </c>
      <c r="U634" s="62">
        <v>7.2</v>
      </c>
      <c r="V634" s="62" t="s">
        <v>8601</v>
      </c>
      <c r="W634" s="46">
        <v>15000</v>
      </c>
    </row>
    <row r="635" spans="2:23">
      <c r="B635"/>
      <c r="R635" t="s">
        <v>8229</v>
      </c>
      <c r="S635" t="s">
        <v>8622</v>
      </c>
      <c r="T635" t="s">
        <v>8634</v>
      </c>
      <c r="U635" s="62">
        <v>7.3</v>
      </c>
      <c r="V635" s="62" t="s">
        <v>8602</v>
      </c>
      <c r="W635" s="46">
        <v>5000</v>
      </c>
    </row>
    <row r="636" spans="2:23">
      <c r="B636"/>
      <c r="R636" t="s">
        <v>8229</v>
      </c>
      <c r="S636" t="s">
        <v>8623</v>
      </c>
      <c r="T636" t="s">
        <v>8629</v>
      </c>
      <c r="U636" s="62">
        <v>7.1</v>
      </c>
      <c r="V636" s="62" t="s">
        <v>8601</v>
      </c>
      <c r="W636" s="46">
        <v>15000</v>
      </c>
    </row>
    <row r="637" spans="2:23">
      <c r="B637"/>
      <c r="R637" t="s">
        <v>8229</v>
      </c>
      <c r="S637" t="s">
        <v>8623</v>
      </c>
      <c r="T637" t="s">
        <v>8630</v>
      </c>
      <c r="U637" s="62">
        <v>7</v>
      </c>
      <c r="V637" s="62" t="s">
        <v>8601</v>
      </c>
      <c r="W637" s="46">
        <v>15000</v>
      </c>
    </row>
    <row r="638" spans="2:23">
      <c r="B638"/>
      <c r="R638" t="s">
        <v>8229</v>
      </c>
      <c r="S638" t="s">
        <v>8623</v>
      </c>
      <c r="T638" t="s">
        <v>8635</v>
      </c>
      <c r="U638" s="62">
        <v>7.1</v>
      </c>
      <c r="V638" s="62" t="s">
        <v>8601</v>
      </c>
      <c r="W638" s="46">
        <v>15000</v>
      </c>
    </row>
    <row r="639" spans="2:23">
      <c r="B639"/>
      <c r="R639" t="s">
        <v>8229</v>
      </c>
      <c r="S639" t="s">
        <v>8623</v>
      </c>
      <c r="T639" t="s">
        <v>8631</v>
      </c>
      <c r="U639" s="62">
        <v>7.2</v>
      </c>
      <c r="V639" s="62" t="s">
        <v>8601</v>
      </c>
      <c r="W639" s="46">
        <v>15000</v>
      </c>
    </row>
    <row r="640" spans="2:23">
      <c r="B640"/>
      <c r="R640" t="s">
        <v>8229</v>
      </c>
      <c r="S640" t="s">
        <v>8623</v>
      </c>
      <c r="T640" t="s">
        <v>8632</v>
      </c>
      <c r="U640" s="62">
        <v>7.3</v>
      </c>
      <c r="V640" s="62" t="s">
        <v>8602</v>
      </c>
      <c r="W640" s="46">
        <v>5000</v>
      </c>
    </row>
    <row r="641" spans="2:23">
      <c r="B641"/>
      <c r="R641" t="s">
        <v>8229</v>
      </c>
      <c r="S641" t="s">
        <v>8623</v>
      </c>
      <c r="T641" t="s">
        <v>8633</v>
      </c>
      <c r="U641" s="62">
        <v>7.3</v>
      </c>
      <c r="V641" s="62" t="s">
        <v>8602</v>
      </c>
      <c r="W641" s="46">
        <v>5000</v>
      </c>
    </row>
    <row r="642" spans="2:23">
      <c r="B642"/>
      <c r="R642" t="s">
        <v>8229</v>
      </c>
      <c r="S642" t="s">
        <v>8623</v>
      </c>
      <c r="T642" t="s">
        <v>8601</v>
      </c>
      <c r="U642" s="62">
        <v>7.2</v>
      </c>
      <c r="V642" s="62" t="s">
        <v>8601</v>
      </c>
      <c r="W642" s="46">
        <v>15000</v>
      </c>
    </row>
    <row r="643" spans="2:23">
      <c r="B643"/>
      <c r="R643" t="s">
        <v>8229</v>
      </c>
      <c r="S643" t="s">
        <v>8623</v>
      </c>
      <c r="T643" t="s">
        <v>8634</v>
      </c>
      <c r="U643" s="203">
        <v>7.1</v>
      </c>
      <c r="V643" s="203" t="s">
        <v>8601</v>
      </c>
      <c r="W643" s="51">
        <v>15000</v>
      </c>
    </row>
    <row r="644" spans="2:23">
      <c r="B644"/>
      <c r="R644" t="s">
        <v>228</v>
      </c>
      <c r="S644" t="s">
        <v>8622</v>
      </c>
      <c r="T644" t="s">
        <v>8629</v>
      </c>
      <c r="U644" s="62">
        <v>7.4</v>
      </c>
      <c r="V644" s="62" t="s">
        <v>8602</v>
      </c>
      <c r="W644" s="46">
        <v>5000</v>
      </c>
    </row>
    <row r="645" spans="2:23">
      <c r="B645"/>
      <c r="R645" t="s">
        <v>228</v>
      </c>
      <c r="S645" t="s">
        <v>8622</v>
      </c>
      <c r="T645" t="s">
        <v>8630</v>
      </c>
      <c r="U645" s="62">
        <v>7.2</v>
      </c>
      <c r="V645" s="62" t="s">
        <v>8601</v>
      </c>
      <c r="W645" s="46">
        <v>15000</v>
      </c>
    </row>
    <row r="646" spans="2:23">
      <c r="B646"/>
      <c r="R646" t="s">
        <v>228</v>
      </c>
      <c r="S646" t="s">
        <v>8622</v>
      </c>
      <c r="T646" t="s">
        <v>8635</v>
      </c>
      <c r="U646" s="62">
        <v>7.1</v>
      </c>
      <c r="V646" s="62" t="s">
        <v>8601</v>
      </c>
      <c r="W646" s="46">
        <v>15000</v>
      </c>
    </row>
    <row r="647" spans="2:23">
      <c r="B647"/>
      <c r="R647" t="s">
        <v>228</v>
      </c>
      <c r="S647" t="s">
        <v>8622</v>
      </c>
      <c r="T647" t="s">
        <v>8631</v>
      </c>
      <c r="U647" s="62">
        <v>7</v>
      </c>
      <c r="V647" s="62" t="s">
        <v>8601</v>
      </c>
      <c r="W647" s="46">
        <v>15000</v>
      </c>
    </row>
    <row r="648" spans="2:23">
      <c r="B648"/>
      <c r="R648" t="s">
        <v>228</v>
      </c>
      <c r="S648" t="s">
        <v>8622</v>
      </c>
      <c r="T648" t="s">
        <v>8632</v>
      </c>
      <c r="U648" s="62">
        <v>7.1</v>
      </c>
      <c r="V648" s="62" t="s">
        <v>8601</v>
      </c>
      <c r="W648" s="46">
        <v>15000</v>
      </c>
    </row>
    <row r="649" spans="2:23">
      <c r="B649"/>
      <c r="R649" t="s">
        <v>228</v>
      </c>
      <c r="S649" t="s">
        <v>8622</v>
      </c>
      <c r="T649" t="s">
        <v>8633</v>
      </c>
      <c r="U649" s="62">
        <v>7.1</v>
      </c>
      <c r="V649" s="62" t="s">
        <v>8601</v>
      </c>
      <c r="W649" s="46">
        <v>15000</v>
      </c>
    </row>
    <row r="650" spans="2:23">
      <c r="B650"/>
      <c r="R650" t="s">
        <v>228</v>
      </c>
      <c r="S650" t="s">
        <v>8622</v>
      </c>
      <c r="T650" t="s">
        <v>8601</v>
      </c>
      <c r="U650" s="62">
        <v>7.2</v>
      </c>
      <c r="V650" s="62" t="s">
        <v>8601</v>
      </c>
      <c r="W650" s="46">
        <v>15000</v>
      </c>
    </row>
    <row r="651" spans="2:23">
      <c r="B651"/>
      <c r="R651" t="s">
        <v>228</v>
      </c>
      <c r="S651" t="s">
        <v>8622</v>
      </c>
      <c r="T651" t="s">
        <v>8634</v>
      </c>
      <c r="U651" s="62">
        <v>7.3</v>
      </c>
      <c r="V651" s="62" t="s">
        <v>8602</v>
      </c>
      <c r="W651" s="46">
        <v>5000</v>
      </c>
    </row>
    <row r="652" spans="2:23">
      <c r="B652"/>
      <c r="R652" t="s">
        <v>228</v>
      </c>
      <c r="S652" t="s">
        <v>8623</v>
      </c>
      <c r="T652" t="s">
        <v>8629</v>
      </c>
      <c r="U652" s="62">
        <v>7</v>
      </c>
      <c r="V652" s="62" t="s">
        <v>8601</v>
      </c>
      <c r="W652" s="46">
        <v>15000</v>
      </c>
    </row>
    <row r="653" spans="2:23">
      <c r="B653"/>
      <c r="R653" t="s">
        <v>228</v>
      </c>
      <c r="S653" t="s">
        <v>8623</v>
      </c>
      <c r="T653" t="s">
        <v>8630</v>
      </c>
      <c r="U653" s="62">
        <v>7</v>
      </c>
      <c r="V653" s="62" t="s">
        <v>8601</v>
      </c>
      <c r="W653" s="46">
        <v>15000</v>
      </c>
    </row>
    <row r="654" spans="2:23">
      <c r="B654"/>
      <c r="R654" t="s">
        <v>228</v>
      </c>
      <c r="S654" t="s">
        <v>8623</v>
      </c>
      <c r="T654" t="s">
        <v>8635</v>
      </c>
      <c r="U654" s="62">
        <v>7.2</v>
      </c>
      <c r="V654" s="62" t="s">
        <v>8601</v>
      </c>
      <c r="W654" s="46">
        <v>15000</v>
      </c>
    </row>
    <row r="655" spans="2:23">
      <c r="B655"/>
      <c r="R655" t="s">
        <v>228</v>
      </c>
      <c r="S655" t="s">
        <v>8623</v>
      </c>
      <c r="T655" t="s">
        <v>8631</v>
      </c>
      <c r="U655" s="62">
        <v>7.3</v>
      </c>
      <c r="V655" s="62" t="s">
        <v>8602</v>
      </c>
      <c r="W655" s="46">
        <v>5000</v>
      </c>
    </row>
    <row r="656" spans="2:23">
      <c r="B656"/>
      <c r="R656" t="s">
        <v>228</v>
      </c>
      <c r="S656" t="s">
        <v>8623</v>
      </c>
      <c r="T656" t="s">
        <v>8632</v>
      </c>
      <c r="U656" s="203">
        <v>7.4</v>
      </c>
      <c r="V656" s="203" t="s">
        <v>8602</v>
      </c>
      <c r="W656" s="51">
        <v>5000</v>
      </c>
    </row>
    <row r="657" spans="2:23">
      <c r="B657"/>
      <c r="R657" t="s">
        <v>228</v>
      </c>
      <c r="S657" t="s">
        <v>8623</v>
      </c>
      <c r="T657" t="s">
        <v>8633</v>
      </c>
      <c r="U657" s="62">
        <v>7.3</v>
      </c>
      <c r="V657" s="62" t="s">
        <v>8602</v>
      </c>
      <c r="W657" s="46">
        <v>5000</v>
      </c>
    </row>
    <row r="658" spans="2:23">
      <c r="B658"/>
      <c r="R658" t="s">
        <v>228</v>
      </c>
      <c r="S658" t="s">
        <v>8623</v>
      </c>
      <c r="T658" t="s">
        <v>8601</v>
      </c>
      <c r="U658" s="62">
        <v>7.2</v>
      </c>
      <c r="V658" s="62" t="s">
        <v>8601</v>
      </c>
      <c r="W658" s="46">
        <v>15000</v>
      </c>
    </row>
    <row r="659" spans="2:23">
      <c r="B659"/>
      <c r="R659" t="s">
        <v>228</v>
      </c>
      <c r="S659" t="s">
        <v>8623</v>
      </c>
      <c r="T659" t="s">
        <v>8634</v>
      </c>
      <c r="U659" s="62">
        <v>7</v>
      </c>
      <c r="V659" s="62" t="s">
        <v>8601</v>
      </c>
      <c r="W659" s="46">
        <v>15000</v>
      </c>
    </row>
    <row r="660" spans="2:23">
      <c r="B660"/>
      <c r="R660" t="s">
        <v>9778</v>
      </c>
      <c r="S660" t="s">
        <v>8622</v>
      </c>
      <c r="T660" t="s">
        <v>8629</v>
      </c>
      <c r="U660" s="62"/>
      <c r="V660" s="62"/>
      <c r="W660" s="46">
        <v>0</v>
      </c>
    </row>
    <row r="661" spans="2:23">
      <c r="B661"/>
      <c r="R661" t="s">
        <v>9778</v>
      </c>
      <c r="S661" t="s">
        <v>8622</v>
      </c>
      <c r="T661" t="s">
        <v>8630</v>
      </c>
      <c r="U661" s="62"/>
      <c r="V661" s="62"/>
      <c r="W661" s="46">
        <v>0</v>
      </c>
    </row>
    <row r="662" spans="2:23">
      <c r="B662"/>
      <c r="R662" t="s">
        <v>9778</v>
      </c>
      <c r="S662" t="s">
        <v>8622</v>
      </c>
      <c r="T662" t="s">
        <v>8635</v>
      </c>
      <c r="U662" s="62"/>
      <c r="V662" s="62"/>
      <c r="W662" s="46">
        <v>0</v>
      </c>
    </row>
    <row r="663" spans="2:23">
      <c r="B663"/>
      <c r="R663" t="s">
        <v>9778</v>
      </c>
      <c r="S663" t="s">
        <v>8622</v>
      </c>
      <c r="T663" t="s">
        <v>8631</v>
      </c>
      <c r="U663" s="62"/>
      <c r="V663" s="62"/>
      <c r="W663" s="46">
        <v>0</v>
      </c>
    </row>
    <row r="664" spans="2:23">
      <c r="B664"/>
      <c r="R664" t="s">
        <v>9778</v>
      </c>
      <c r="S664" t="s">
        <v>8622</v>
      </c>
      <c r="T664" t="s">
        <v>8632</v>
      </c>
      <c r="U664" s="62"/>
      <c r="V664" s="62"/>
      <c r="W664" s="46">
        <v>0</v>
      </c>
    </row>
    <row r="665" spans="2:23">
      <c r="B665"/>
      <c r="R665" t="s">
        <v>9778</v>
      </c>
      <c r="S665" t="s">
        <v>8622</v>
      </c>
      <c r="T665" t="s">
        <v>8633</v>
      </c>
      <c r="U665" s="62"/>
      <c r="V665" s="62"/>
      <c r="W665" s="46">
        <v>0</v>
      </c>
    </row>
    <row r="666" spans="2:23">
      <c r="B666"/>
      <c r="R666" t="s">
        <v>9778</v>
      </c>
      <c r="S666" t="s">
        <v>8622</v>
      </c>
      <c r="T666" t="s">
        <v>8601</v>
      </c>
      <c r="U666" s="62"/>
      <c r="V666" s="62"/>
      <c r="W666" s="46">
        <v>0</v>
      </c>
    </row>
    <row r="667" spans="2:23">
      <c r="B667"/>
      <c r="R667" t="s">
        <v>9778</v>
      </c>
      <c r="S667" t="s">
        <v>8622</v>
      </c>
      <c r="T667" t="s">
        <v>8634</v>
      </c>
      <c r="U667" s="62"/>
      <c r="V667" s="62"/>
      <c r="W667" s="46">
        <v>0</v>
      </c>
    </row>
    <row r="668" spans="2:23">
      <c r="B668"/>
      <c r="R668" t="s">
        <v>9778</v>
      </c>
      <c r="S668" t="s">
        <v>8623</v>
      </c>
      <c r="T668" t="s">
        <v>8629</v>
      </c>
      <c r="U668" s="62"/>
      <c r="V668" s="62"/>
      <c r="W668" s="46">
        <v>0</v>
      </c>
    </row>
    <row r="669" spans="2:23">
      <c r="B669"/>
      <c r="R669" t="s">
        <v>9778</v>
      </c>
      <c r="S669" t="s">
        <v>8623</v>
      </c>
      <c r="T669" t="s">
        <v>8630</v>
      </c>
      <c r="U669" s="62"/>
      <c r="V669" s="62"/>
      <c r="W669" s="46">
        <v>0</v>
      </c>
    </row>
    <row r="670" spans="2:23">
      <c r="B670"/>
      <c r="R670" t="s">
        <v>9778</v>
      </c>
      <c r="S670" t="s">
        <v>8623</v>
      </c>
      <c r="T670" t="s">
        <v>8635</v>
      </c>
      <c r="U670" s="62"/>
      <c r="V670" s="62"/>
      <c r="W670" s="46">
        <v>0</v>
      </c>
    </row>
    <row r="671" spans="2:23">
      <c r="B671"/>
      <c r="R671" t="s">
        <v>9778</v>
      </c>
      <c r="S671" t="s">
        <v>8623</v>
      </c>
      <c r="T671" t="s">
        <v>8631</v>
      </c>
      <c r="U671" s="62"/>
      <c r="V671" s="62"/>
      <c r="W671" s="46">
        <v>0</v>
      </c>
    </row>
    <row r="672" spans="2:23">
      <c r="B672"/>
      <c r="R672" t="s">
        <v>9778</v>
      </c>
      <c r="S672" t="s">
        <v>8623</v>
      </c>
      <c r="T672" t="s">
        <v>8632</v>
      </c>
      <c r="U672" s="62"/>
      <c r="V672" s="62"/>
      <c r="W672" s="46">
        <v>0</v>
      </c>
    </row>
    <row r="673" spans="2:23">
      <c r="B673"/>
      <c r="R673" t="s">
        <v>9778</v>
      </c>
      <c r="S673" t="s">
        <v>8623</v>
      </c>
      <c r="T673" t="s">
        <v>8633</v>
      </c>
      <c r="U673" s="62"/>
      <c r="V673" s="62"/>
      <c r="W673" s="46">
        <v>0</v>
      </c>
    </row>
    <row r="674" spans="2:23">
      <c r="B674"/>
      <c r="R674" t="s">
        <v>9778</v>
      </c>
      <c r="S674" t="s">
        <v>8623</v>
      </c>
      <c r="T674" t="s">
        <v>8601</v>
      </c>
      <c r="U674" s="62"/>
      <c r="V674" s="62"/>
      <c r="W674" s="46">
        <v>0</v>
      </c>
    </row>
    <row r="675" spans="2:23">
      <c r="B675"/>
      <c r="R675" t="s">
        <v>9778</v>
      </c>
      <c r="S675" t="s">
        <v>8623</v>
      </c>
      <c r="T675" t="s">
        <v>8634</v>
      </c>
      <c r="U675" s="62"/>
      <c r="V675" s="62"/>
      <c r="W675" s="46">
        <v>0</v>
      </c>
    </row>
    <row r="676" spans="2:23">
      <c r="B676"/>
      <c r="R676" t="s">
        <v>208</v>
      </c>
      <c r="S676" t="s">
        <v>8622</v>
      </c>
      <c r="T676" t="s">
        <v>8629</v>
      </c>
      <c r="U676" s="62">
        <v>7.3</v>
      </c>
      <c r="V676" s="62" t="s">
        <v>8602</v>
      </c>
      <c r="W676" s="46">
        <v>5000</v>
      </c>
    </row>
    <row r="677" spans="2:23">
      <c r="B677"/>
      <c r="R677" t="s">
        <v>208</v>
      </c>
      <c r="S677" t="s">
        <v>8622</v>
      </c>
      <c r="T677" t="s">
        <v>8630</v>
      </c>
      <c r="U677" s="62">
        <v>7</v>
      </c>
      <c r="V677" s="62" t="s">
        <v>8601</v>
      </c>
      <c r="W677" s="46">
        <v>15000</v>
      </c>
    </row>
    <row r="678" spans="2:23">
      <c r="B678"/>
      <c r="R678" t="s">
        <v>208</v>
      </c>
      <c r="S678" t="s">
        <v>8622</v>
      </c>
      <c r="T678" t="s">
        <v>8635</v>
      </c>
      <c r="U678" s="62">
        <v>6.9</v>
      </c>
      <c r="V678" s="62" t="s">
        <v>8601</v>
      </c>
      <c r="W678" s="46">
        <v>15000</v>
      </c>
    </row>
    <row r="679" spans="2:23">
      <c r="B679"/>
      <c r="R679" t="s">
        <v>208</v>
      </c>
      <c r="S679" t="s">
        <v>8622</v>
      </c>
      <c r="T679" t="s">
        <v>8631</v>
      </c>
      <c r="U679" s="62">
        <v>6.9</v>
      </c>
      <c r="V679" s="62" t="s">
        <v>8601</v>
      </c>
      <c r="W679" s="46">
        <v>15000</v>
      </c>
    </row>
    <row r="680" spans="2:23">
      <c r="B680"/>
      <c r="R680" t="s">
        <v>208</v>
      </c>
      <c r="S680" t="s">
        <v>8622</v>
      </c>
      <c r="T680" t="s">
        <v>8632</v>
      </c>
      <c r="U680" s="62">
        <v>7.2</v>
      </c>
      <c r="V680" s="62" t="s">
        <v>8601</v>
      </c>
      <c r="W680" s="46">
        <v>15000</v>
      </c>
    </row>
    <row r="681" spans="2:23">
      <c r="B681"/>
      <c r="R681" t="s">
        <v>208</v>
      </c>
      <c r="S681" t="s">
        <v>8622</v>
      </c>
      <c r="T681" t="s">
        <v>8633</v>
      </c>
      <c r="U681" s="62">
        <v>7.3</v>
      </c>
      <c r="V681" s="62" t="s">
        <v>8602</v>
      </c>
      <c r="W681" s="46">
        <v>5000</v>
      </c>
    </row>
    <row r="682" spans="2:23">
      <c r="B682"/>
      <c r="R682" t="s">
        <v>208</v>
      </c>
      <c r="S682" t="s">
        <v>8622</v>
      </c>
      <c r="T682" t="s">
        <v>8601</v>
      </c>
      <c r="U682" s="62">
        <v>7.4</v>
      </c>
      <c r="V682" s="62" t="s">
        <v>8602</v>
      </c>
      <c r="W682" s="46">
        <v>5000</v>
      </c>
    </row>
    <row r="683" spans="2:23">
      <c r="B683"/>
      <c r="R683" t="s">
        <v>208</v>
      </c>
      <c r="S683" t="s">
        <v>8622</v>
      </c>
      <c r="T683" t="s">
        <v>8634</v>
      </c>
      <c r="U683" s="203">
        <v>7.3</v>
      </c>
      <c r="V683" s="203" t="s">
        <v>8602</v>
      </c>
      <c r="W683" s="51">
        <v>5000</v>
      </c>
    </row>
    <row r="684" spans="2:23">
      <c r="B684"/>
      <c r="R684" t="s">
        <v>208</v>
      </c>
      <c r="S684" t="s">
        <v>8623</v>
      </c>
      <c r="T684" t="s">
        <v>8629</v>
      </c>
      <c r="U684" s="62">
        <v>7.1</v>
      </c>
      <c r="V684" s="62" t="s">
        <v>8601</v>
      </c>
      <c r="W684" s="46">
        <v>15000</v>
      </c>
    </row>
    <row r="685" spans="2:23">
      <c r="B685"/>
      <c r="R685" t="s">
        <v>208</v>
      </c>
      <c r="S685" t="s">
        <v>8623</v>
      </c>
      <c r="T685" t="s">
        <v>8630</v>
      </c>
      <c r="U685" s="62">
        <v>6.9</v>
      </c>
      <c r="V685" s="62" t="s">
        <v>8601</v>
      </c>
      <c r="W685" s="46">
        <v>15000</v>
      </c>
    </row>
    <row r="686" spans="2:23">
      <c r="B686"/>
      <c r="R686" t="s">
        <v>208</v>
      </c>
      <c r="S686" t="s">
        <v>8623</v>
      </c>
      <c r="T686" t="s">
        <v>8635</v>
      </c>
      <c r="U686" s="62">
        <v>6.9</v>
      </c>
      <c r="V686" s="62" t="s">
        <v>8601</v>
      </c>
      <c r="W686" s="46">
        <v>15000</v>
      </c>
    </row>
    <row r="687" spans="2:23">
      <c r="B687"/>
      <c r="R687" t="s">
        <v>208</v>
      </c>
      <c r="S687" t="s">
        <v>8623</v>
      </c>
      <c r="T687" t="s">
        <v>8631</v>
      </c>
      <c r="U687" s="62">
        <v>7.1</v>
      </c>
      <c r="V687" s="62" t="s">
        <v>8601</v>
      </c>
      <c r="W687" s="46">
        <v>15000</v>
      </c>
    </row>
    <row r="688" spans="2:23">
      <c r="B688"/>
      <c r="R688" t="s">
        <v>208</v>
      </c>
      <c r="S688" t="s">
        <v>8623</v>
      </c>
      <c r="T688" t="s">
        <v>8632</v>
      </c>
      <c r="U688" s="62">
        <v>7.4</v>
      </c>
      <c r="V688" s="62" t="s">
        <v>8602</v>
      </c>
      <c r="W688" s="46">
        <v>5000</v>
      </c>
    </row>
    <row r="689" spans="2:23">
      <c r="B689"/>
      <c r="R689" t="s">
        <v>208</v>
      </c>
      <c r="S689" t="s">
        <v>8623</v>
      </c>
      <c r="T689" t="s">
        <v>8633</v>
      </c>
      <c r="U689" s="62">
        <v>7.4</v>
      </c>
      <c r="V689" s="62" t="s">
        <v>8602</v>
      </c>
      <c r="W689" s="46">
        <v>5000</v>
      </c>
    </row>
    <row r="690" spans="2:23">
      <c r="B690"/>
      <c r="R690" t="s">
        <v>208</v>
      </c>
      <c r="S690" t="s">
        <v>8623</v>
      </c>
      <c r="T690" t="s">
        <v>8601</v>
      </c>
      <c r="U690" s="62">
        <v>7.4</v>
      </c>
      <c r="V690" s="62" t="s">
        <v>8602</v>
      </c>
      <c r="W690" s="46">
        <v>5000</v>
      </c>
    </row>
    <row r="691" spans="2:23">
      <c r="B691"/>
      <c r="R691" t="s">
        <v>208</v>
      </c>
      <c r="S691" t="s">
        <v>8623</v>
      </c>
      <c r="T691" t="s">
        <v>8634</v>
      </c>
      <c r="U691" s="62">
        <v>7.2</v>
      </c>
      <c r="V691" s="62" t="s">
        <v>8601</v>
      </c>
      <c r="W691" s="46">
        <v>15000</v>
      </c>
    </row>
    <row r="692" spans="2:23">
      <c r="B692"/>
      <c r="R692" t="s">
        <v>7485</v>
      </c>
      <c r="S692" t="s">
        <v>8622</v>
      </c>
      <c r="T692" t="s">
        <v>8629</v>
      </c>
      <c r="U692" s="62">
        <v>7.2</v>
      </c>
      <c r="V692" s="62" t="s">
        <v>8602</v>
      </c>
      <c r="W692" s="46">
        <v>5000</v>
      </c>
    </row>
    <row r="693" spans="2:23">
      <c r="B693"/>
      <c r="R693" t="s">
        <v>7485</v>
      </c>
      <c r="S693" t="s">
        <v>8622</v>
      </c>
      <c r="T693" t="s">
        <v>8630</v>
      </c>
      <c r="U693" s="62">
        <v>6.9</v>
      </c>
      <c r="V693" s="62" t="s">
        <v>8601</v>
      </c>
      <c r="W693" s="46">
        <v>15000</v>
      </c>
    </row>
    <row r="694" spans="2:23">
      <c r="B694"/>
      <c r="R694" t="s">
        <v>7485</v>
      </c>
      <c r="S694" t="s">
        <v>8622</v>
      </c>
      <c r="T694" t="s">
        <v>8635</v>
      </c>
      <c r="U694" s="203">
        <v>6.9</v>
      </c>
      <c r="V694" s="203" t="s">
        <v>8601</v>
      </c>
      <c r="W694" s="51">
        <v>15000</v>
      </c>
    </row>
    <row r="695" spans="2:23">
      <c r="B695"/>
      <c r="R695" t="s">
        <v>7485</v>
      </c>
      <c r="S695" t="s">
        <v>8622</v>
      </c>
      <c r="T695" t="s">
        <v>8631</v>
      </c>
      <c r="U695" s="62">
        <v>6.9</v>
      </c>
      <c r="V695" s="62" t="s">
        <v>8601</v>
      </c>
      <c r="W695" s="46">
        <v>15000</v>
      </c>
    </row>
    <row r="696" spans="2:23">
      <c r="B696"/>
      <c r="R696" t="s">
        <v>7485</v>
      </c>
      <c r="S696" t="s">
        <v>8622</v>
      </c>
      <c r="T696" t="s">
        <v>8632</v>
      </c>
      <c r="U696" s="62">
        <v>7.1</v>
      </c>
      <c r="V696" s="62" t="s">
        <v>8601</v>
      </c>
      <c r="W696" s="46">
        <v>15000</v>
      </c>
    </row>
    <row r="697" spans="2:23">
      <c r="B697"/>
      <c r="R697" t="s">
        <v>7485</v>
      </c>
      <c r="S697" t="s">
        <v>8622</v>
      </c>
      <c r="T697" t="s">
        <v>8633</v>
      </c>
      <c r="U697" s="62">
        <v>7.2</v>
      </c>
      <c r="V697" s="62" t="s">
        <v>8601</v>
      </c>
      <c r="W697" s="46">
        <v>15000</v>
      </c>
    </row>
    <row r="698" spans="2:23">
      <c r="B698"/>
      <c r="R698" t="s">
        <v>7485</v>
      </c>
      <c r="S698" t="s">
        <v>8622</v>
      </c>
      <c r="T698" t="s">
        <v>8601</v>
      </c>
      <c r="U698" s="62">
        <v>7.4</v>
      </c>
      <c r="V698" s="62" t="s">
        <v>8602</v>
      </c>
      <c r="W698" s="46">
        <v>5000</v>
      </c>
    </row>
    <row r="699" spans="2:23">
      <c r="B699"/>
      <c r="R699" t="s">
        <v>7485</v>
      </c>
      <c r="S699" t="s">
        <v>8622</v>
      </c>
      <c r="T699" t="s">
        <v>8634</v>
      </c>
      <c r="U699" s="62">
        <v>7.2</v>
      </c>
      <c r="V699" s="62" t="s">
        <v>8602</v>
      </c>
      <c r="W699" s="46">
        <v>5000</v>
      </c>
    </row>
    <row r="700" spans="2:23">
      <c r="B700"/>
      <c r="R700" t="s">
        <v>7485</v>
      </c>
      <c r="S700" t="s">
        <v>8623</v>
      </c>
      <c r="T700" t="s">
        <v>8629</v>
      </c>
      <c r="U700" s="62">
        <v>6.9</v>
      </c>
      <c r="V700" s="62" t="s">
        <v>8601</v>
      </c>
      <c r="W700" s="46">
        <v>15000</v>
      </c>
    </row>
    <row r="701" spans="2:23">
      <c r="B701"/>
      <c r="R701" t="s">
        <v>7485</v>
      </c>
      <c r="S701" t="s">
        <v>8623</v>
      </c>
      <c r="T701" t="s">
        <v>8630</v>
      </c>
      <c r="U701" s="62">
        <v>6.8</v>
      </c>
      <c r="V701" s="62" t="s">
        <v>8601</v>
      </c>
      <c r="W701" s="46">
        <v>15000</v>
      </c>
    </row>
    <row r="702" spans="2:23">
      <c r="B702"/>
      <c r="R702" t="s">
        <v>7485</v>
      </c>
      <c r="S702" t="s">
        <v>8623</v>
      </c>
      <c r="T702" t="s">
        <v>8635</v>
      </c>
      <c r="U702" s="62">
        <v>6.9</v>
      </c>
      <c r="V702" s="62" t="s">
        <v>8601</v>
      </c>
      <c r="W702" s="46">
        <v>15000</v>
      </c>
    </row>
    <row r="703" spans="2:23">
      <c r="B703"/>
      <c r="R703" t="s">
        <v>7485</v>
      </c>
      <c r="S703" t="s">
        <v>8623</v>
      </c>
      <c r="T703" t="s">
        <v>8631</v>
      </c>
      <c r="U703" s="62">
        <v>7</v>
      </c>
      <c r="V703" s="62" t="s">
        <v>8601</v>
      </c>
      <c r="W703" s="46">
        <v>15000</v>
      </c>
    </row>
    <row r="704" spans="2:23">
      <c r="B704"/>
      <c r="R704" t="s">
        <v>7485</v>
      </c>
      <c r="S704" t="s">
        <v>8623</v>
      </c>
      <c r="T704" t="s">
        <v>8632</v>
      </c>
      <c r="U704" s="62">
        <v>7.3</v>
      </c>
      <c r="V704" s="62" t="s">
        <v>8602</v>
      </c>
      <c r="W704" s="46">
        <v>5000</v>
      </c>
    </row>
    <row r="705" spans="2:23">
      <c r="B705"/>
      <c r="R705" t="s">
        <v>7485</v>
      </c>
      <c r="S705" t="s">
        <v>8623</v>
      </c>
      <c r="T705" t="s">
        <v>8633</v>
      </c>
      <c r="U705" s="62">
        <v>7.3</v>
      </c>
      <c r="V705" s="62" t="s">
        <v>8602</v>
      </c>
      <c r="W705" s="46">
        <v>5000</v>
      </c>
    </row>
    <row r="706" spans="2:23">
      <c r="B706"/>
      <c r="R706" t="s">
        <v>7485</v>
      </c>
      <c r="S706" t="s">
        <v>8623</v>
      </c>
      <c r="T706" t="s">
        <v>8601</v>
      </c>
      <c r="U706" s="62">
        <v>7.3</v>
      </c>
      <c r="V706" s="62" t="s">
        <v>8602</v>
      </c>
      <c r="W706" s="46">
        <v>5000</v>
      </c>
    </row>
    <row r="707" spans="2:23">
      <c r="B707"/>
      <c r="R707" t="s">
        <v>7485</v>
      </c>
      <c r="S707" t="s">
        <v>8623</v>
      </c>
      <c r="T707" t="s">
        <v>8634</v>
      </c>
      <c r="U707" s="62">
        <v>7</v>
      </c>
      <c r="V707" s="62" t="s">
        <v>8601</v>
      </c>
      <c r="W707" s="46">
        <v>15000</v>
      </c>
    </row>
    <row r="708" spans="2:23">
      <c r="B708"/>
      <c r="R708" t="s">
        <v>9184</v>
      </c>
      <c r="S708" t="s">
        <v>8622</v>
      </c>
      <c r="T708" t="s">
        <v>8629</v>
      </c>
      <c r="U708" s="62">
        <v>7.3</v>
      </c>
      <c r="V708" s="62" t="s">
        <v>8602</v>
      </c>
      <c r="W708" s="46">
        <v>5000</v>
      </c>
    </row>
    <row r="709" spans="2:23">
      <c r="B709"/>
      <c r="R709" t="s">
        <v>9184</v>
      </c>
      <c r="S709" t="s">
        <v>8622</v>
      </c>
      <c r="T709" t="s">
        <v>8630</v>
      </c>
      <c r="U709" s="62">
        <v>7</v>
      </c>
      <c r="V709" s="62" t="s">
        <v>8601</v>
      </c>
      <c r="W709" s="46">
        <v>15000</v>
      </c>
    </row>
    <row r="710" spans="2:23">
      <c r="B710"/>
      <c r="R710" t="s">
        <v>9184</v>
      </c>
      <c r="S710" t="s">
        <v>8622</v>
      </c>
      <c r="T710" t="s">
        <v>8635</v>
      </c>
      <c r="U710" s="62">
        <v>6.9</v>
      </c>
      <c r="V710" s="62" t="s">
        <v>8601</v>
      </c>
      <c r="W710" s="46">
        <v>15000</v>
      </c>
    </row>
    <row r="711" spans="2:23">
      <c r="B711"/>
      <c r="R711" t="s">
        <v>9184</v>
      </c>
      <c r="S711" t="s">
        <v>8622</v>
      </c>
      <c r="T711" t="s">
        <v>8631</v>
      </c>
      <c r="U711" s="62">
        <v>6.9</v>
      </c>
      <c r="V711" s="62" t="s">
        <v>8601</v>
      </c>
      <c r="W711" s="46">
        <v>15000</v>
      </c>
    </row>
    <row r="712" spans="2:23">
      <c r="B712"/>
      <c r="R712" t="s">
        <v>9184</v>
      </c>
      <c r="S712" t="s">
        <v>8622</v>
      </c>
      <c r="T712" t="s">
        <v>8632</v>
      </c>
      <c r="U712" s="62">
        <v>7.2</v>
      </c>
      <c r="V712" s="62" t="s">
        <v>8601</v>
      </c>
      <c r="W712" s="46">
        <v>15000</v>
      </c>
    </row>
    <row r="713" spans="2:23">
      <c r="B713"/>
      <c r="R713" t="s">
        <v>9184</v>
      </c>
      <c r="S713" t="s">
        <v>8622</v>
      </c>
      <c r="T713" t="s">
        <v>8633</v>
      </c>
      <c r="U713" s="62">
        <v>7.3</v>
      </c>
      <c r="V713" s="62" t="s">
        <v>8602</v>
      </c>
      <c r="W713" s="46">
        <v>5000</v>
      </c>
    </row>
    <row r="714" spans="2:23">
      <c r="B714"/>
      <c r="R714" t="s">
        <v>9184</v>
      </c>
      <c r="S714" t="s">
        <v>8622</v>
      </c>
      <c r="T714" t="s">
        <v>8601</v>
      </c>
      <c r="U714" s="62">
        <v>7.4</v>
      </c>
      <c r="V714" s="62" t="s">
        <v>8602</v>
      </c>
      <c r="W714" s="46">
        <v>5000</v>
      </c>
    </row>
    <row r="715" spans="2:23">
      <c r="B715"/>
      <c r="R715" t="s">
        <v>9184</v>
      </c>
      <c r="S715" t="s">
        <v>8622</v>
      </c>
      <c r="T715" t="s">
        <v>8634</v>
      </c>
      <c r="U715" s="203">
        <v>7.3</v>
      </c>
      <c r="V715" s="203" t="s">
        <v>8602</v>
      </c>
      <c r="W715" s="51">
        <v>5000</v>
      </c>
    </row>
    <row r="716" spans="2:23">
      <c r="B716"/>
      <c r="R716" t="s">
        <v>9184</v>
      </c>
      <c r="S716" t="s">
        <v>8623</v>
      </c>
      <c r="T716" t="s">
        <v>8629</v>
      </c>
      <c r="U716" s="62">
        <v>7.1</v>
      </c>
      <c r="V716" s="62" t="s">
        <v>8601</v>
      </c>
      <c r="W716" s="46">
        <v>15000</v>
      </c>
    </row>
    <row r="717" spans="2:23">
      <c r="B717"/>
      <c r="R717" t="s">
        <v>9184</v>
      </c>
      <c r="S717" t="s">
        <v>8623</v>
      </c>
      <c r="T717" t="s">
        <v>8630</v>
      </c>
      <c r="U717" s="62">
        <v>6.9</v>
      </c>
      <c r="V717" s="62" t="s">
        <v>8601</v>
      </c>
      <c r="W717" s="46">
        <v>15000</v>
      </c>
    </row>
    <row r="718" spans="2:23">
      <c r="B718"/>
      <c r="R718" t="s">
        <v>9184</v>
      </c>
      <c r="S718" t="s">
        <v>8623</v>
      </c>
      <c r="T718" t="s">
        <v>8635</v>
      </c>
      <c r="U718" s="62">
        <v>6.9</v>
      </c>
      <c r="V718" s="62" t="s">
        <v>8601</v>
      </c>
      <c r="W718" s="46">
        <v>15000</v>
      </c>
    </row>
    <row r="719" spans="2:23">
      <c r="B719"/>
      <c r="R719" t="s">
        <v>9184</v>
      </c>
      <c r="S719" t="s">
        <v>8623</v>
      </c>
      <c r="T719" t="s">
        <v>8631</v>
      </c>
      <c r="U719" s="62">
        <v>7.1</v>
      </c>
      <c r="V719" s="62" t="s">
        <v>8601</v>
      </c>
      <c r="W719" s="46">
        <v>15000</v>
      </c>
    </row>
    <row r="720" spans="2:23">
      <c r="B720"/>
      <c r="R720" t="s">
        <v>9184</v>
      </c>
      <c r="S720" t="s">
        <v>8623</v>
      </c>
      <c r="T720" t="s">
        <v>8632</v>
      </c>
      <c r="U720" s="62">
        <v>7.4</v>
      </c>
      <c r="V720" s="62" t="s">
        <v>8602</v>
      </c>
      <c r="W720" s="46">
        <v>5000</v>
      </c>
    </row>
    <row r="721" spans="2:23">
      <c r="B721"/>
      <c r="R721" t="s">
        <v>9184</v>
      </c>
      <c r="S721" t="s">
        <v>8623</v>
      </c>
      <c r="T721" t="s">
        <v>8633</v>
      </c>
      <c r="U721" s="62">
        <v>7.4</v>
      </c>
      <c r="V721" s="62" t="s">
        <v>8602</v>
      </c>
      <c r="W721" s="46">
        <v>5000</v>
      </c>
    </row>
    <row r="722" spans="2:23">
      <c r="B722"/>
      <c r="R722" t="s">
        <v>9184</v>
      </c>
      <c r="S722" t="s">
        <v>8623</v>
      </c>
      <c r="T722" t="s">
        <v>8601</v>
      </c>
      <c r="U722" s="62">
        <v>7.4</v>
      </c>
      <c r="V722" s="62" t="s">
        <v>8602</v>
      </c>
      <c r="W722" s="46">
        <v>5000</v>
      </c>
    </row>
    <row r="723" spans="2:23">
      <c r="B723"/>
      <c r="R723" t="s">
        <v>9184</v>
      </c>
      <c r="S723" t="s">
        <v>8623</v>
      </c>
      <c r="T723" t="s">
        <v>8634</v>
      </c>
      <c r="U723" s="62">
        <v>7.2</v>
      </c>
      <c r="V723" s="62" t="s">
        <v>8601</v>
      </c>
      <c r="W723" s="46">
        <v>15000</v>
      </c>
    </row>
    <row r="724" spans="2:23">
      <c r="B724"/>
      <c r="R724" t="s">
        <v>9183</v>
      </c>
      <c r="S724" t="s">
        <v>8622</v>
      </c>
      <c r="T724" t="s">
        <v>8629</v>
      </c>
      <c r="U724" s="62">
        <v>7.2</v>
      </c>
      <c r="V724" s="62" t="s">
        <v>8602</v>
      </c>
      <c r="W724" s="46">
        <v>5000</v>
      </c>
    </row>
    <row r="725" spans="2:23">
      <c r="B725"/>
      <c r="R725" t="s">
        <v>9183</v>
      </c>
      <c r="S725" t="s">
        <v>8622</v>
      </c>
      <c r="T725" t="s">
        <v>8630</v>
      </c>
      <c r="U725" s="62">
        <v>6.9</v>
      </c>
      <c r="V725" s="62" t="s">
        <v>8601</v>
      </c>
      <c r="W725" s="46">
        <v>15000</v>
      </c>
    </row>
    <row r="726" spans="2:23">
      <c r="B726"/>
      <c r="R726" t="s">
        <v>9183</v>
      </c>
      <c r="S726" t="s">
        <v>8622</v>
      </c>
      <c r="T726" t="s">
        <v>8635</v>
      </c>
      <c r="U726" s="203">
        <v>6.9</v>
      </c>
      <c r="V726" s="203" t="s">
        <v>8601</v>
      </c>
      <c r="W726" s="51">
        <v>15000</v>
      </c>
    </row>
    <row r="727" spans="2:23">
      <c r="B727"/>
      <c r="R727" t="s">
        <v>9183</v>
      </c>
      <c r="S727" t="s">
        <v>8622</v>
      </c>
      <c r="T727" t="s">
        <v>8631</v>
      </c>
      <c r="U727" s="62">
        <v>6.9</v>
      </c>
      <c r="V727" s="62" t="s">
        <v>8601</v>
      </c>
      <c r="W727" s="46">
        <v>15000</v>
      </c>
    </row>
    <row r="728" spans="2:23">
      <c r="B728"/>
      <c r="R728" t="s">
        <v>9183</v>
      </c>
      <c r="S728" t="s">
        <v>8622</v>
      </c>
      <c r="T728" t="s">
        <v>8632</v>
      </c>
      <c r="U728" s="62">
        <v>7.1</v>
      </c>
      <c r="V728" s="62" t="s">
        <v>8601</v>
      </c>
      <c r="W728" s="46">
        <v>15000</v>
      </c>
    </row>
    <row r="729" spans="2:23">
      <c r="B729"/>
      <c r="R729" t="s">
        <v>9183</v>
      </c>
      <c r="S729" t="s">
        <v>8622</v>
      </c>
      <c r="T729" t="s">
        <v>8633</v>
      </c>
      <c r="U729" s="62">
        <v>7.2</v>
      </c>
      <c r="V729" s="62" t="s">
        <v>8601</v>
      </c>
      <c r="W729" s="46">
        <v>15000</v>
      </c>
    </row>
    <row r="730" spans="2:23">
      <c r="B730"/>
      <c r="R730" t="s">
        <v>9183</v>
      </c>
      <c r="S730" t="s">
        <v>8622</v>
      </c>
      <c r="T730" t="s">
        <v>8601</v>
      </c>
      <c r="U730" s="62">
        <v>7.4</v>
      </c>
      <c r="V730" s="62" t="s">
        <v>8602</v>
      </c>
      <c r="W730" s="46">
        <v>5000</v>
      </c>
    </row>
    <row r="731" spans="2:23">
      <c r="B731"/>
      <c r="R731" t="s">
        <v>9183</v>
      </c>
      <c r="S731" t="s">
        <v>8622</v>
      </c>
      <c r="T731" t="s">
        <v>8634</v>
      </c>
      <c r="U731" s="62">
        <v>7.2</v>
      </c>
      <c r="V731" s="62" t="s">
        <v>8602</v>
      </c>
      <c r="W731" s="46">
        <v>5000</v>
      </c>
    </row>
    <row r="732" spans="2:23">
      <c r="B732"/>
      <c r="R732" t="s">
        <v>9183</v>
      </c>
      <c r="S732" t="s">
        <v>8623</v>
      </c>
      <c r="T732" t="s">
        <v>8629</v>
      </c>
      <c r="U732" s="62">
        <v>6.9</v>
      </c>
      <c r="V732" s="62" t="s">
        <v>8601</v>
      </c>
      <c r="W732" s="46">
        <v>15000</v>
      </c>
    </row>
    <row r="733" spans="2:23">
      <c r="B733"/>
      <c r="R733" t="s">
        <v>9183</v>
      </c>
      <c r="S733" t="s">
        <v>8623</v>
      </c>
      <c r="T733" t="s">
        <v>8630</v>
      </c>
      <c r="U733" s="62">
        <v>6.8</v>
      </c>
      <c r="V733" s="62" t="s">
        <v>8601</v>
      </c>
      <c r="W733" s="46">
        <v>15000</v>
      </c>
    </row>
    <row r="734" spans="2:23">
      <c r="B734"/>
      <c r="R734" t="s">
        <v>9183</v>
      </c>
      <c r="S734" t="s">
        <v>8623</v>
      </c>
      <c r="T734" t="s">
        <v>8635</v>
      </c>
      <c r="U734" s="62">
        <v>6.9</v>
      </c>
      <c r="V734" s="62" t="s">
        <v>8601</v>
      </c>
      <c r="W734" s="46">
        <v>15000</v>
      </c>
    </row>
    <row r="735" spans="2:23">
      <c r="B735"/>
      <c r="R735" t="s">
        <v>9183</v>
      </c>
      <c r="S735" t="s">
        <v>8623</v>
      </c>
      <c r="T735" t="s">
        <v>8631</v>
      </c>
      <c r="U735" s="62">
        <v>7</v>
      </c>
      <c r="V735" s="62" t="s">
        <v>8601</v>
      </c>
      <c r="W735" s="46">
        <v>15000</v>
      </c>
    </row>
    <row r="736" spans="2:23">
      <c r="B736"/>
      <c r="R736" t="s">
        <v>9183</v>
      </c>
      <c r="S736" t="s">
        <v>8623</v>
      </c>
      <c r="T736" t="s">
        <v>8632</v>
      </c>
      <c r="U736" s="62">
        <v>7.3</v>
      </c>
      <c r="V736" s="62" t="s">
        <v>8602</v>
      </c>
      <c r="W736" s="46">
        <v>5000</v>
      </c>
    </row>
    <row r="737" spans="2:23">
      <c r="B737"/>
      <c r="R737" t="s">
        <v>9183</v>
      </c>
      <c r="S737" t="s">
        <v>8623</v>
      </c>
      <c r="T737" t="s">
        <v>8633</v>
      </c>
      <c r="U737" s="62">
        <v>7.3</v>
      </c>
      <c r="V737" s="62" t="s">
        <v>8602</v>
      </c>
      <c r="W737" s="46">
        <v>5000</v>
      </c>
    </row>
    <row r="738" spans="2:23">
      <c r="B738"/>
      <c r="R738" t="s">
        <v>9183</v>
      </c>
      <c r="S738" t="s">
        <v>8623</v>
      </c>
      <c r="T738" t="s">
        <v>8601</v>
      </c>
      <c r="U738" s="62">
        <v>7.3</v>
      </c>
      <c r="V738" s="62" t="s">
        <v>8602</v>
      </c>
      <c r="W738" s="46">
        <v>5000</v>
      </c>
    </row>
    <row r="739" spans="2:23">
      <c r="B739"/>
      <c r="R739" t="s">
        <v>9183</v>
      </c>
      <c r="S739" t="s">
        <v>8623</v>
      </c>
      <c r="T739" t="s">
        <v>8634</v>
      </c>
      <c r="U739" s="62">
        <v>7</v>
      </c>
      <c r="V739" s="62" t="s">
        <v>8601</v>
      </c>
      <c r="W739" s="46">
        <v>15000</v>
      </c>
    </row>
    <row r="740" spans="2:23">
      <c r="B740"/>
      <c r="R740" t="s">
        <v>213</v>
      </c>
      <c r="S740" t="s">
        <v>8622</v>
      </c>
      <c r="T740" t="s">
        <v>8629</v>
      </c>
      <c r="U740" s="62">
        <v>7.1</v>
      </c>
      <c r="V740" s="62" t="s">
        <v>8601</v>
      </c>
      <c r="W740" s="46">
        <v>15000</v>
      </c>
    </row>
    <row r="741" spans="2:23">
      <c r="B741"/>
      <c r="R741" t="s">
        <v>213</v>
      </c>
      <c r="S741" t="s">
        <v>8622</v>
      </c>
      <c r="T741" t="s">
        <v>8630</v>
      </c>
      <c r="U741" s="62">
        <v>7.1</v>
      </c>
      <c r="V741" s="62" t="s">
        <v>8601</v>
      </c>
      <c r="W741" s="46">
        <v>15000</v>
      </c>
    </row>
    <row r="742" spans="2:23">
      <c r="B742"/>
      <c r="R742" t="s">
        <v>213</v>
      </c>
      <c r="S742" t="s">
        <v>8622</v>
      </c>
      <c r="T742" t="s">
        <v>8635</v>
      </c>
      <c r="U742" s="203">
        <v>7.2</v>
      </c>
      <c r="V742" s="203" t="s">
        <v>8601</v>
      </c>
      <c r="W742" s="51">
        <v>15000</v>
      </c>
    </row>
    <row r="743" spans="2:23">
      <c r="B743"/>
      <c r="R743" t="s">
        <v>213</v>
      </c>
      <c r="S743" t="s">
        <v>8622</v>
      </c>
      <c r="T743" t="s">
        <v>8631</v>
      </c>
      <c r="U743" s="62">
        <v>7.2</v>
      </c>
      <c r="V743" s="62" t="s">
        <v>8601</v>
      </c>
      <c r="W743" s="46">
        <v>15000</v>
      </c>
    </row>
    <row r="744" spans="2:23">
      <c r="B744"/>
      <c r="R744" t="s">
        <v>213</v>
      </c>
      <c r="S744" t="s">
        <v>8622</v>
      </c>
      <c r="T744" t="s">
        <v>8632</v>
      </c>
      <c r="U744" s="62">
        <v>7.4</v>
      </c>
      <c r="V744" s="62" t="s">
        <v>8602</v>
      </c>
      <c r="W744" s="46">
        <v>5000</v>
      </c>
    </row>
    <row r="745" spans="2:23">
      <c r="B745"/>
      <c r="R745" t="s">
        <v>213</v>
      </c>
      <c r="S745" t="s">
        <v>8622</v>
      </c>
      <c r="T745" t="s">
        <v>8633</v>
      </c>
      <c r="U745" s="62">
        <v>7.3</v>
      </c>
      <c r="V745" s="62" t="s">
        <v>8602</v>
      </c>
      <c r="W745" s="46">
        <v>5000</v>
      </c>
    </row>
    <row r="746" spans="2:23">
      <c r="B746"/>
      <c r="R746" t="s">
        <v>213</v>
      </c>
      <c r="S746" t="s">
        <v>8622</v>
      </c>
      <c r="T746" t="s">
        <v>8601</v>
      </c>
      <c r="U746" s="62">
        <v>7.3</v>
      </c>
      <c r="V746" s="62" t="s">
        <v>8602</v>
      </c>
      <c r="W746" s="46">
        <v>5000</v>
      </c>
    </row>
    <row r="747" spans="2:23">
      <c r="B747"/>
      <c r="R747" t="s">
        <v>213</v>
      </c>
      <c r="S747" t="s">
        <v>8622</v>
      </c>
      <c r="T747" t="s">
        <v>8634</v>
      </c>
      <c r="U747" s="62">
        <v>7.2</v>
      </c>
      <c r="V747" s="62" t="s">
        <v>8601</v>
      </c>
      <c r="W747" s="46">
        <v>15000</v>
      </c>
    </row>
    <row r="748" spans="2:23">
      <c r="B748"/>
      <c r="R748" t="s">
        <v>213</v>
      </c>
      <c r="S748" t="s">
        <v>8623</v>
      </c>
      <c r="T748" t="s">
        <v>8629</v>
      </c>
      <c r="U748" s="62">
        <v>7.4</v>
      </c>
      <c r="V748" s="62" t="s">
        <v>8602</v>
      </c>
      <c r="W748" s="46">
        <v>5000</v>
      </c>
    </row>
    <row r="749" spans="2:23">
      <c r="B749"/>
      <c r="R749" t="s">
        <v>213</v>
      </c>
      <c r="S749" t="s">
        <v>8623</v>
      </c>
      <c r="T749" t="s">
        <v>8630</v>
      </c>
      <c r="U749" s="62">
        <v>7.2</v>
      </c>
      <c r="V749" s="62" t="s">
        <v>8601</v>
      </c>
      <c r="W749" s="46">
        <v>15000</v>
      </c>
    </row>
    <row r="750" spans="2:23">
      <c r="B750"/>
      <c r="R750" t="s">
        <v>213</v>
      </c>
      <c r="S750" t="s">
        <v>8623</v>
      </c>
      <c r="T750" t="s">
        <v>8635</v>
      </c>
      <c r="U750" s="62">
        <v>7.2</v>
      </c>
      <c r="V750" s="62" t="s">
        <v>8601</v>
      </c>
      <c r="W750" s="46">
        <v>15000</v>
      </c>
    </row>
    <row r="751" spans="2:23">
      <c r="B751"/>
      <c r="R751" t="s">
        <v>213</v>
      </c>
      <c r="S751" t="s">
        <v>8623</v>
      </c>
      <c r="T751" t="s">
        <v>8631</v>
      </c>
      <c r="U751" s="62">
        <v>7.1</v>
      </c>
      <c r="V751" s="62" t="s">
        <v>8601</v>
      </c>
      <c r="W751" s="46">
        <v>15000</v>
      </c>
    </row>
    <row r="752" spans="2:23">
      <c r="B752"/>
      <c r="R752" t="s">
        <v>213</v>
      </c>
      <c r="S752" t="s">
        <v>8623</v>
      </c>
      <c r="T752" t="s">
        <v>8632</v>
      </c>
      <c r="U752" s="62">
        <v>7.2</v>
      </c>
      <c r="V752" s="62" t="s">
        <v>8601</v>
      </c>
      <c r="W752" s="46">
        <v>15000</v>
      </c>
    </row>
    <row r="753" spans="2:23">
      <c r="B753"/>
      <c r="R753" t="s">
        <v>213</v>
      </c>
      <c r="S753" t="s">
        <v>8623</v>
      </c>
      <c r="T753" t="s">
        <v>8633</v>
      </c>
      <c r="U753" s="203">
        <v>7.2</v>
      </c>
      <c r="V753" s="203" t="s">
        <v>8601</v>
      </c>
      <c r="W753" s="51">
        <v>15000</v>
      </c>
    </row>
    <row r="754" spans="2:23">
      <c r="B754"/>
      <c r="R754" t="s">
        <v>213</v>
      </c>
      <c r="S754" t="s">
        <v>8623</v>
      </c>
      <c r="T754" t="s">
        <v>8601</v>
      </c>
      <c r="U754" s="62">
        <v>7.3</v>
      </c>
      <c r="V754" s="62" t="s">
        <v>8602</v>
      </c>
      <c r="W754" s="46">
        <v>5000</v>
      </c>
    </row>
    <row r="755" spans="2:23">
      <c r="B755"/>
      <c r="R755" t="s">
        <v>213</v>
      </c>
      <c r="S755" t="s">
        <v>8623</v>
      </c>
      <c r="T755" t="s">
        <v>8634</v>
      </c>
      <c r="U755" s="62">
        <v>7.3</v>
      </c>
      <c r="V755" s="62" t="s">
        <v>8602</v>
      </c>
      <c r="W755" s="46">
        <v>5000</v>
      </c>
    </row>
    <row r="756" spans="2:23">
      <c r="B756"/>
      <c r="R756" t="s">
        <v>221</v>
      </c>
      <c r="S756" t="s">
        <v>8622</v>
      </c>
      <c r="T756" t="s">
        <v>8629</v>
      </c>
      <c r="U756" s="62">
        <v>7.2</v>
      </c>
      <c r="V756" s="62" t="s">
        <v>8602</v>
      </c>
      <c r="W756" s="46">
        <v>5000</v>
      </c>
    </row>
    <row r="757" spans="2:23">
      <c r="B757"/>
      <c r="R757" t="s">
        <v>221</v>
      </c>
      <c r="S757" t="s">
        <v>8622</v>
      </c>
      <c r="T757" t="s">
        <v>8630</v>
      </c>
      <c r="U757" s="62">
        <v>7</v>
      </c>
      <c r="V757" s="62" t="s">
        <v>8601</v>
      </c>
      <c r="W757" s="46">
        <v>15000</v>
      </c>
    </row>
    <row r="758" spans="2:23">
      <c r="B758"/>
      <c r="R758" t="s">
        <v>221</v>
      </c>
      <c r="S758" t="s">
        <v>8622</v>
      </c>
      <c r="T758" t="s">
        <v>8635</v>
      </c>
      <c r="U758" s="62">
        <v>7.1</v>
      </c>
      <c r="V758" s="62" t="s">
        <v>8601</v>
      </c>
      <c r="W758" s="46">
        <v>15000</v>
      </c>
    </row>
    <row r="759" spans="2:23">
      <c r="B759"/>
      <c r="R759" t="s">
        <v>221</v>
      </c>
      <c r="S759" t="s">
        <v>8622</v>
      </c>
      <c r="T759" t="s">
        <v>8631</v>
      </c>
      <c r="U759" s="62">
        <v>7.1</v>
      </c>
      <c r="V759" s="62" t="s">
        <v>8601</v>
      </c>
      <c r="W759" s="46">
        <v>15000</v>
      </c>
    </row>
    <row r="760" spans="2:23">
      <c r="B760"/>
      <c r="R760" t="s">
        <v>221</v>
      </c>
      <c r="S760" t="s">
        <v>8622</v>
      </c>
      <c r="T760" t="s">
        <v>8632</v>
      </c>
      <c r="U760" s="62">
        <v>7.3</v>
      </c>
      <c r="V760" s="62" t="s">
        <v>8602</v>
      </c>
      <c r="W760" s="46">
        <v>5000</v>
      </c>
    </row>
    <row r="761" spans="2:23">
      <c r="B761"/>
      <c r="R761" t="s">
        <v>221</v>
      </c>
      <c r="S761" t="s">
        <v>8622</v>
      </c>
      <c r="T761" t="s">
        <v>8633</v>
      </c>
      <c r="U761" s="62">
        <v>7.2</v>
      </c>
      <c r="V761" s="62" t="s">
        <v>8602</v>
      </c>
      <c r="W761" s="46">
        <v>5000</v>
      </c>
    </row>
    <row r="762" spans="2:23">
      <c r="B762"/>
      <c r="R762" t="s">
        <v>221</v>
      </c>
      <c r="S762" t="s">
        <v>8622</v>
      </c>
      <c r="T762" t="s">
        <v>8601</v>
      </c>
      <c r="U762" s="62">
        <v>7.1</v>
      </c>
      <c r="V762" s="62" t="s">
        <v>8601</v>
      </c>
      <c r="W762" s="46">
        <v>15000</v>
      </c>
    </row>
    <row r="763" spans="2:23">
      <c r="B763"/>
      <c r="R763" t="s">
        <v>221</v>
      </c>
      <c r="S763" t="s">
        <v>8622</v>
      </c>
      <c r="T763" t="s">
        <v>8634</v>
      </c>
      <c r="U763" s="62">
        <v>7.1</v>
      </c>
      <c r="V763" s="62" t="s">
        <v>8601</v>
      </c>
      <c r="W763" s="46">
        <v>15000</v>
      </c>
    </row>
    <row r="764" spans="2:23">
      <c r="B764"/>
      <c r="R764" t="s">
        <v>221</v>
      </c>
      <c r="S764" t="s">
        <v>8623</v>
      </c>
      <c r="T764" t="s">
        <v>8629</v>
      </c>
      <c r="U764" s="62">
        <v>7.3</v>
      </c>
      <c r="V764" s="62" t="s">
        <v>8602</v>
      </c>
      <c r="W764" s="46">
        <v>5000</v>
      </c>
    </row>
    <row r="765" spans="2:23">
      <c r="B765"/>
      <c r="R765" t="s">
        <v>221</v>
      </c>
      <c r="S765" t="s">
        <v>8623</v>
      </c>
      <c r="T765" t="s">
        <v>8630</v>
      </c>
      <c r="U765" s="203">
        <v>7.1</v>
      </c>
      <c r="V765" s="203" t="s">
        <v>8601</v>
      </c>
      <c r="W765" s="51">
        <v>15000</v>
      </c>
    </row>
    <row r="766" spans="2:23">
      <c r="B766"/>
      <c r="R766" t="s">
        <v>221</v>
      </c>
      <c r="S766" t="s">
        <v>8623</v>
      </c>
      <c r="T766" t="s">
        <v>8635</v>
      </c>
      <c r="U766" s="62">
        <v>7</v>
      </c>
      <c r="V766" s="62" t="s">
        <v>8601</v>
      </c>
      <c r="W766" s="46">
        <v>15000</v>
      </c>
    </row>
    <row r="767" spans="2:23">
      <c r="B767"/>
      <c r="R767" t="s">
        <v>221</v>
      </c>
      <c r="S767" t="s">
        <v>8623</v>
      </c>
      <c r="T767" t="s">
        <v>8631</v>
      </c>
      <c r="U767" s="62">
        <v>7.1</v>
      </c>
      <c r="V767" s="62" t="s">
        <v>8601</v>
      </c>
      <c r="W767" s="46">
        <v>15000</v>
      </c>
    </row>
    <row r="768" spans="2:23">
      <c r="B768"/>
      <c r="R768" t="s">
        <v>221</v>
      </c>
      <c r="S768" t="s">
        <v>8623</v>
      </c>
      <c r="T768" t="s">
        <v>8632</v>
      </c>
      <c r="U768" s="62">
        <v>7.2</v>
      </c>
      <c r="V768" s="62" t="s">
        <v>8601</v>
      </c>
      <c r="W768" s="46">
        <v>15000</v>
      </c>
    </row>
    <row r="769" spans="2:23">
      <c r="B769"/>
      <c r="R769" t="s">
        <v>221</v>
      </c>
      <c r="S769" t="s">
        <v>8623</v>
      </c>
      <c r="T769" t="s">
        <v>8633</v>
      </c>
      <c r="U769" s="62">
        <v>7.2</v>
      </c>
      <c r="V769" s="62" t="s">
        <v>8601</v>
      </c>
      <c r="W769" s="46">
        <v>15000</v>
      </c>
    </row>
    <row r="770" spans="2:23">
      <c r="B770"/>
      <c r="R770" t="s">
        <v>221</v>
      </c>
      <c r="S770" t="s">
        <v>8623</v>
      </c>
      <c r="T770" t="s">
        <v>8601</v>
      </c>
      <c r="U770" s="62">
        <v>7.2</v>
      </c>
      <c r="V770" s="62" t="s">
        <v>8602</v>
      </c>
      <c r="W770" s="46">
        <v>5000</v>
      </c>
    </row>
    <row r="771" spans="2:23">
      <c r="B771"/>
      <c r="R771" t="s">
        <v>221</v>
      </c>
      <c r="S771" t="s">
        <v>8623</v>
      </c>
      <c r="T771" t="s">
        <v>8634</v>
      </c>
      <c r="U771" s="62">
        <v>7.2</v>
      </c>
      <c r="V771" s="62" t="s">
        <v>8602</v>
      </c>
      <c r="W771" s="46">
        <v>5000</v>
      </c>
    </row>
    <row r="772" spans="2:23">
      <c r="B772"/>
      <c r="R772" t="s">
        <v>219</v>
      </c>
      <c r="S772" t="s">
        <v>8622</v>
      </c>
      <c r="T772" t="s">
        <v>8629</v>
      </c>
      <c r="U772" s="62">
        <v>7.4</v>
      </c>
      <c r="V772" s="62" t="s">
        <v>8602</v>
      </c>
      <c r="W772" s="46">
        <v>5000</v>
      </c>
    </row>
    <row r="773" spans="2:23">
      <c r="B773"/>
      <c r="R773" t="s">
        <v>219</v>
      </c>
      <c r="S773" t="s">
        <v>8622</v>
      </c>
      <c r="T773" t="s">
        <v>8630</v>
      </c>
      <c r="U773" s="62">
        <v>7.1</v>
      </c>
      <c r="V773" s="62" t="s">
        <v>8601</v>
      </c>
      <c r="W773" s="46">
        <v>15000</v>
      </c>
    </row>
    <row r="774" spans="2:23">
      <c r="B774"/>
      <c r="R774" t="s">
        <v>219</v>
      </c>
      <c r="S774" t="s">
        <v>8622</v>
      </c>
      <c r="T774" t="s">
        <v>8635</v>
      </c>
      <c r="U774" s="62">
        <v>7.1</v>
      </c>
      <c r="V774" s="62" t="s">
        <v>8601</v>
      </c>
      <c r="W774" s="46">
        <v>15000</v>
      </c>
    </row>
    <row r="775" spans="2:23">
      <c r="B775"/>
      <c r="R775" t="s">
        <v>219</v>
      </c>
      <c r="S775" t="s">
        <v>8622</v>
      </c>
      <c r="T775" t="s">
        <v>8631</v>
      </c>
      <c r="U775" s="62">
        <v>7.2</v>
      </c>
      <c r="V775" s="62" t="s">
        <v>8601</v>
      </c>
      <c r="W775" s="46">
        <v>15000</v>
      </c>
    </row>
    <row r="776" spans="2:23">
      <c r="B776"/>
      <c r="R776" t="s">
        <v>219</v>
      </c>
      <c r="S776" t="s">
        <v>8622</v>
      </c>
      <c r="T776" t="s">
        <v>8632</v>
      </c>
      <c r="U776" s="62">
        <v>7.4</v>
      </c>
      <c r="V776" s="62" t="s">
        <v>8602</v>
      </c>
      <c r="W776" s="46">
        <v>5000</v>
      </c>
    </row>
    <row r="777" spans="2:23">
      <c r="B777"/>
      <c r="R777" t="s">
        <v>219</v>
      </c>
      <c r="S777" t="s">
        <v>8622</v>
      </c>
      <c r="T777" t="s">
        <v>8633</v>
      </c>
      <c r="U777" s="62">
        <v>7.3</v>
      </c>
      <c r="V777" s="62" t="s">
        <v>8601</v>
      </c>
      <c r="W777" s="46">
        <v>15000</v>
      </c>
    </row>
    <row r="778" spans="2:23">
      <c r="B778"/>
      <c r="R778" t="s">
        <v>219</v>
      </c>
      <c r="S778" t="s">
        <v>8622</v>
      </c>
      <c r="T778" t="s">
        <v>8601</v>
      </c>
      <c r="U778" s="62">
        <v>7.3</v>
      </c>
      <c r="V778" s="62" t="s">
        <v>8602</v>
      </c>
      <c r="W778" s="46">
        <v>5000</v>
      </c>
    </row>
    <row r="779" spans="2:23">
      <c r="B779"/>
      <c r="R779" t="s">
        <v>219</v>
      </c>
      <c r="S779" t="s">
        <v>8622</v>
      </c>
      <c r="T779" t="s">
        <v>8634</v>
      </c>
      <c r="U779" s="62">
        <v>7.3</v>
      </c>
      <c r="V779" s="62" t="s">
        <v>8601</v>
      </c>
      <c r="W779" s="46">
        <v>15000</v>
      </c>
    </row>
    <row r="780" spans="2:23">
      <c r="B780"/>
      <c r="R780" t="s">
        <v>219</v>
      </c>
      <c r="S780" t="s">
        <v>8623</v>
      </c>
      <c r="T780" t="s">
        <v>8629</v>
      </c>
      <c r="U780" s="203">
        <v>7.4</v>
      </c>
      <c r="V780" s="203" t="s">
        <v>8602</v>
      </c>
      <c r="W780" s="51">
        <v>5000</v>
      </c>
    </row>
    <row r="781" spans="2:23">
      <c r="B781"/>
      <c r="R781" t="s">
        <v>219</v>
      </c>
      <c r="S781" t="s">
        <v>8623</v>
      </c>
      <c r="T781" t="s">
        <v>8630</v>
      </c>
      <c r="U781" s="62">
        <v>7.1</v>
      </c>
      <c r="V781" s="62" t="s">
        <v>8601</v>
      </c>
      <c r="W781" s="46">
        <v>15000</v>
      </c>
    </row>
    <row r="782" spans="2:23">
      <c r="B782"/>
      <c r="R782" t="s">
        <v>219</v>
      </c>
      <c r="S782" t="s">
        <v>8623</v>
      </c>
      <c r="T782" t="s">
        <v>8635</v>
      </c>
      <c r="U782" s="62">
        <v>7.1</v>
      </c>
      <c r="V782" s="62" t="s">
        <v>8601</v>
      </c>
      <c r="W782" s="46">
        <v>15000</v>
      </c>
    </row>
    <row r="783" spans="2:23">
      <c r="B783"/>
      <c r="R783" t="s">
        <v>219</v>
      </c>
      <c r="S783" t="s">
        <v>8623</v>
      </c>
      <c r="T783" t="s">
        <v>8631</v>
      </c>
      <c r="U783" s="62">
        <v>7.1</v>
      </c>
      <c r="V783" s="62" t="s">
        <v>8601</v>
      </c>
      <c r="W783" s="46">
        <v>15000</v>
      </c>
    </row>
    <row r="784" spans="2:23">
      <c r="B784"/>
      <c r="R784" t="s">
        <v>219</v>
      </c>
      <c r="S784" t="s">
        <v>8623</v>
      </c>
      <c r="T784" t="s">
        <v>8632</v>
      </c>
      <c r="U784" s="62">
        <v>7.4</v>
      </c>
      <c r="V784" s="62" t="s">
        <v>8602</v>
      </c>
      <c r="W784" s="46">
        <v>5000</v>
      </c>
    </row>
    <row r="785" spans="2:23">
      <c r="B785"/>
      <c r="R785" t="s">
        <v>219</v>
      </c>
      <c r="S785" t="s">
        <v>8623</v>
      </c>
      <c r="T785" t="s">
        <v>8633</v>
      </c>
      <c r="U785" s="62">
        <v>7.3</v>
      </c>
      <c r="V785" s="62" t="s">
        <v>8601</v>
      </c>
      <c r="W785" s="46">
        <v>15000</v>
      </c>
    </row>
    <row r="786" spans="2:23">
      <c r="B786"/>
      <c r="R786" t="s">
        <v>219</v>
      </c>
      <c r="S786" t="s">
        <v>8623</v>
      </c>
      <c r="T786" t="s">
        <v>8601</v>
      </c>
      <c r="U786" s="62">
        <v>7.3</v>
      </c>
      <c r="V786" s="62" t="s">
        <v>8601</v>
      </c>
      <c r="W786" s="46">
        <v>15000</v>
      </c>
    </row>
    <row r="787" spans="2:23">
      <c r="B787"/>
      <c r="R787" t="s">
        <v>219</v>
      </c>
      <c r="S787" t="s">
        <v>8623</v>
      </c>
      <c r="T787" t="s">
        <v>8634</v>
      </c>
      <c r="U787" s="62">
        <v>7.3</v>
      </c>
      <c r="V787" s="62" t="s">
        <v>8601</v>
      </c>
      <c r="W787" s="46">
        <v>15000</v>
      </c>
    </row>
    <row r="788" spans="2:23">
      <c r="B788"/>
      <c r="R788" t="s">
        <v>218</v>
      </c>
      <c r="S788" t="s">
        <v>8622</v>
      </c>
      <c r="T788" t="s">
        <v>8629</v>
      </c>
      <c r="U788" s="62">
        <v>7.2</v>
      </c>
      <c r="V788" s="62" t="s">
        <v>8602</v>
      </c>
      <c r="W788" s="46">
        <v>5000</v>
      </c>
    </row>
    <row r="789" spans="2:23">
      <c r="B789"/>
      <c r="R789" t="s">
        <v>218</v>
      </c>
      <c r="S789" t="s">
        <v>8622</v>
      </c>
      <c r="T789" t="s">
        <v>8630</v>
      </c>
      <c r="U789" s="62">
        <v>7</v>
      </c>
      <c r="V789" s="62" t="s">
        <v>8601</v>
      </c>
      <c r="W789" s="46">
        <v>15000</v>
      </c>
    </row>
    <row r="790" spans="2:23">
      <c r="B790"/>
      <c r="R790" t="s">
        <v>218</v>
      </c>
      <c r="S790" t="s">
        <v>8622</v>
      </c>
      <c r="T790" t="s">
        <v>8635</v>
      </c>
      <c r="U790" s="62">
        <v>7.1</v>
      </c>
      <c r="V790" s="62" t="s">
        <v>8601</v>
      </c>
      <c r="W790" s="46">
        <v>15000</v>
      </c>
    </row>
    <row r="791" spans="2:23">
      <c r="B791"/>
      <c r="R791" t="s">
        <v>218</v>
      </c>
      <c r="S791" t="s">
        <v>8622</v>
      </c>
      <c r="T791" t="s">
        <v>8631</v>
      </c>
      <c r="U791" s="62">
        <v>7.1</v>
      </c>
      <c r="V791" s="62" t="s">
        <v>8601</v>
      </c>
      <c r="W791" s="46">
        <v>15000</v>
      </c>
    </row>
    <row r="792" spans="2:23">
      <c r="B792"/>
      <c r="R792" t="s">
        <v>218</v>
      </c>
      <c r="S792" t="s">
        <v>8622</v>
      </c>
      <c r="T792" t="s">
        <v>8632</v>
      </c>
      <c r="U792" s="62">
        <v>7.3</v>
      </c>
      <c r="V792" s="62" t="s">
        <v>8602</v>
      </c>
      <c r="W792" s="46">
        <v>5000</v>
      </c>
    </row>
    <row r="793" spans="2:23">
      <c r="B793"/>
      <c r="R793" t="s">
        <v>218</v>
      </c>
      <c r="S793" t="s">
        <v>8622</v>
      </c>
      <c r="T793" t="s">
        <v>8633</v>
      </c>
      <c r="U793" s="62">
        <v>7.2</v>
      </c>
      <c r="V793" s="62" t="s">
        <v>8602</v>
      </c>
      <c r="W793" s="46">
        <v>5000</v>
      </c>
    </row>
    <row r="794" spans="2:23">
      <c r="B794"/>
      <c r="R794" t="s">
        <v>218</v>
      </c>
      <c r="S794" t="s">
        <v>8622</v>
      </c>
      <c r="T794" t="s">
        <v>8601</v>
      </c>
      <c r="U794" s="62">
        <v>7.1</v>
      </c>
      <c r="V794" s="62" t="s">
        <v>8601</v>
      </c>
      <c r="W794" s="46">
        <v>15000</v>
      </c>
    </row>
    <row r="795" spans="2:23">
      <c r="B795"/>
      <c r="R795" t="s">
        <v>218</v>
      </c>
      <c r="S795" t="s">
        <v>8622</v>
      </c>
      <c r="T795" t="s">
        <v>8634</v>
      </c>
      <c r="U795" s="62">
        <v>7.1</v>
      </c>
      <c r="V795" s="62" t="s">
        <v>8601</v>
      </c>
      <c r="W795" s="46">
        <v>15000</v>
      </c>
    </row>
    <row r="796" spans="2:23">
      <c r="B796"/>
      <c r="R796" t="s">
        <v>218</v>
      </c>
      <c r="S796" t="s">
        <v>8623</v>
      </c>
      <c r="T796" t="s">
        <v>8629</v>
      </c>
      <c r="U796" s="62">
        <v>7.3</v>
      </c>
      <c r="V796" s="62" t="s">
        <v>8602</v>
      </c>
      <c r="W796" s="46">
        <v>5000</v>
      </c>
    </row>
    <row r="797" spans="2:23">
      <c r="B797"/>
      <c r="R797" t="s">
        <v>218</v>
      </c>
      <c r="S797" t="s">
        <v>8623</v>
      </c>
      <c r="T797" t="s">
        <v>8630</v>
      </c>
      <c r="U797" s="203">
        <v>7.1</v>
      </c>
      <c r="V797" s="203" t="s">
        <v>8601</v>
      </c>
      <c r="W797" s="51">
        <v>15000</v>
      </c>
    </row>
    <row r="798" spans="2:23">
      <c r="B798"/>
      <c r="R798" t="s">
        <v>218</v>
      </c>
      <c r="S798" t="s">
        <v>8623</v>
      </c>
      <c r="T798" t="s">
        <v>8635</v>
      </c>
      <c r="U798" s="62">
        <v>7</v>
      </c>
      <c r="V798" s="62" t="s">
        <v>8601</v>
      </c>
      <c r="W798" s="46">
        <v>15000</v>
      </c>
    </row>
    <row r="799" spans="2:23">
      <c r="B799"/>
      <c r="R799" t="s">
        <v>218</v>
      </c>
      <c r="S799" t="s">
        <v>8623</v>
      </c>
      <c r="T799" t="s">
        <v>8631</v>
      </c>
      <c r="U799" s="62">
        <v>7.1</v>
      </c>
      <c r="V799" s="62" t="s">
        <v>8601</v>
      </c>
      <c r="W799" s="46">
        <v>15000</v>
      </c>
    </row>
    <row r="800" spans="2:23">
      <c r="B800"/>
      <c r="R800" t="s">
        <v>218</v>
      </c>
      <c r="S800" t="s">
        <v>8623</v>
      </c>
      <c r="T800" t="s">
        <v>8632</v>
      </c>
      <c r="U800" s="62">
        <v>7.2</v>
      </c>
      <c r="V800" s="62" t="s">
        <v>8601</v>
      </c>
      <c r="W800" s="46">
        <v>15000</v>
      </c>
    </row>
    <row r="801" spans="2:23">
      <c r="B801"/>
      <c r="R801" t="s">
        <v>218</v>
      </c>
      <c r="S801" t="s">
        <v>8623</v>
      </c>
      <c r="T801" t="s">
        <v>8633</v>
      </c>
      <c r="U801" s="62">
        <v>7.2</v>
      </c>
      <c r="V801" s="62" t="s">
        <v>8601</v>
      </c>
      <c r="W801" s="46">
        <v>15000</v>
      </c>
    </row>
    <row r="802" spans="2:23">
      <c r="B802"/>
      <c r="R802" t="s">
        <v>218</v>
      </c>
      <c r="S802" t="s">
        <v>8623</v>
      </c>
      <c r="T802" t="s">
        <v>8601</v>
      </c>
      <c r="U802" s="62">
        <v>7.2</v>
      </c>
      <c r="V802" s="62" t="s">
        <v>8602</v>
      </c>
      <c r="W802" s="46">
        <v>5000</v>
      </c>
    </row>
    <row r="803" spans="2:23">
      <c r="B803"/>
      <c r="R803" t="s">
        <v>218</v>
      </c>
      <c r="S803" t="s">
        <v>8623</v>
      </c>
      <c r="T803" t="s">
        <v>8634</v>
      </c>
      <c r="U803" s="62">
        <v>7.2</v>
      </c>
      <c r="V803" s="62" t="s">
        <v>8602</v>
      </c>
      <c r="W803" s="46">
        <v>5000</v>
      </c>
    </row>
    <row r="804" spans="2:23">
      <c r="B804"/>
      <c r="R804" t="s">
        <v>9570</v>
      </c>
      <c r="S804" t="s">
        <v>8622</v>
      </c>
      <c r="T804" t="s">
        <v>8629</v>
      </c>
      <c r="U804" s="62">
        <v>7.2</v>
      </c>
      <c r="V804" s="62" t="s">
        <v>8602</v>
      </c>
      <c r="W804" s="46">
        <v>0</v>
      </c>
    </row>
    <row r="805" spans="2:23">
      <c r="B805"/>
      <c r="R805" t="s">
        <v>9570</v>
      </c>
      <c r="S805" t="s">
        <v>8622</v>
      </c>
      <c r="T805" t="s">
        <v>8630</v>
      </c>
      <c r="U805" s="62">
        <v>7</v>
      </c>
      <c r="V805" s="62" t="s">
        <v>8601</v>
      </c>
      <c r="W805" s="46">
        <v>0</v>
      </c>
    </row>
    <row r="806" spans="2:23">
      <c r="B806"/>
      <c r="R806" t="s">
        <v>9570</v>
      </c>
      <c r="S806" t="s">
        <v>8622</v>
      </c>
      <c r="T806" t="s">
        <v>8635</v>
      </c>
      <c r="U806" s="62">
        <v>7.1</v>
      </c>
      <c r="V806" s="62" t="s">
        <v>8601</v>
      </c>
      <c r="W806" s="46">
        <v>0</v>
      </c>
    </row>
    <row r="807" spans="2:23">
      <c r="B807"/>
      <c r="R807" t="s">
        <v>9570</v>
      </c>
      <c r="S807" t="s">
        <v>8622</v>
      </c>
      <c r="T807" t="s">
        <v>8631</v>
      </c>
      <c r="U807" s="62">
        <v>7.1</v>
      </c>
      <c r="V807" s="62" t="s">
        <v>8601</v>
      </c>
      <c r="W807" s="46">
        <v>0</v>
      </c>
    </row>
    <row r="808" spans="2:23">
      <c r="B808"/>
      <c r="R808" t="s">
        <v>9570</v>
      </c>
      <c r="S808" t="s">
        <v>8622</v>
      </c>
      <c r="T808" t="s">
        <v>8632</v>
      </c>
      <c r="U808" s="62">
        <v>7.3</v>
      </c>
      <c r="V808" s="62" t="s">
        <v>8602</v>
      </c>
      <c r="W808" s="46">
        <v>0</v>
      </c>
    </row>
    <row r="809" spans="2:23">
      <c r="B809"/>
      <c r="R809" t="s">
        <v>9570</v>
      </c>
      <c r="S809" t="s">
        <v>8622</v>
      </c>
      <c r="T809" t="s">
        <v>8633</v>
      </c>
      <c r="U809" s="62">
        <v>7.2</v>
      </c>
      <c r="V809" s="62" t="s">
        <v>8602</v>
      </c>
      <c r="W809" s="46">
        <v>0</v>
      </c>
    </row>
    <row r="810" spans="2:23">
      <c r="B810"/>
      <c r="R810" t="s">
        <v>9570</v>
      </c>
      <c r="S810" t="s">
        <v>8622</v>
      </c>
      <c r="T810" t="s">
        <v>8601</v>
      </c>
      <c r="U810" s="62">
        <v>7.1</v>
      </c>
      <c r="V810" s="62" t="s">
        <v>8601</v>
      </c>
      <c r="W810" s="46">
        <v>0</v>
      </c>
    </row>
    <row r="811" spans="2:23">
      <c r="B811"/>
      <c r="R811" t="s">
        <v>9570</v>
      </c>
      <c r="S811" t="s">
        <v>8622</v>
      </c>
      <c r="T811" t="s">
        <v>8634</v>
      </c>
      <c r="U811" s="62">
        <v>7.1</v>
      </c>
      <c r="V811" s="62" t="s">
        <v>8601</v>
      </c>
      <c r="W811" s="46">
        <v>0</v>
      </c>
    </row>
    <row r="812" spans="2:23">
      <c r="B812"/>
      <c r="R812" t="s">
        <v>9570</v>
      </c>
      <c r="S812" t="s">
        <v>8623</v>
      </c>
      <c r="T812" t="s">
        <v>8629</v>
      </c>
      <c r="U812" s="62">
        <v>7.3</v>
      </c>
      <c r="V812" s="62" t="s">
        <v>8602</v>
      </c>
      <c r="W812" s="46">
        <v>0</v>
      </c>
    </row>
    <row r="813" spans="2:23">
      <c r="B813"/>
      <c r="R813" t="s">
        <v>9570</v>
      </c>
      <c r="S813" t="s">
        <v>8623</v>
      </c>
      <c r="T813" t="s">
        <v>8630</v>
      </c>
      <c r="U813" s="203">
        <v>7.1</v>
      </c>
      <c r="V813" s="203" t="s">
        <v>8601</v>
      </c>
      <c r="W813" s="46">
        <v>0</v>
      </c>
    </row>
    <row r="814" spans="2:23">
      <c r="B814"/>
      <c r="R814" t="s">
        <v>9570</v>
      </c>
      <c r="S814" t="s">
        <v>8623</v>
      </c>
      <c r="T814" t="s">
        <v>8635</v>
      </c>
      <c r="U814" s="62">
        <v>7</v>
      </c>
      <c r="V814" s="62" t="s">
        <v>8601</v>
      </c>
      <c r="W814" s="46">
        <v>0</v>
      </c>
    </row>
    <row r="815" spans="2:23">
      <c r="B815"/>
      <c r="R815" t="s">
        <v>9570</v>
      </c>
      <c r="S815" t="s">
        <v>8623</v>
      </c>
      <c r="T815" t="s">
        <v>8631</v>
      </c>
      <c r="U815" s="62">
        <v>7.1</v>
      </c>
      <c r="V815" s="62" t="s">
        <v>8601</v>
      </c>
      <c r="W815" s="46">
        <v>0</v>
      </c>
    </row>
    <row r="816" spans="2:23">
      <c r="B816"/>
      <c r="R816" t="s">
        <v>9570</v>
      </c>
      <c r="S816" t="s">
        <v>8623</v>
      </c>
      <c r="T816" t="s">
        <v>8632</v>
      </c>
      <c r="U816" s="62">
        <v>7.2</v>
      </c>
      <c r="V816" s="62" t="s">
        <v>8601</v>
      </c>
      <c r="W816" s="46">
        <v>0</v>
      </c>
    </row>
    <row r="817" spans="2:23">
      <c r="B817"/>
      <c r="R817" t="s">
        <v>9570</v>
      </c>
      <c r="S817" t="s">
        <v>8623</v>
      </c>
      <c r="T817" t="s">
        <v>8633</v>
      </c>
      <c r="U817" s="62">
        <v>7.2</v>
      </c>
      <c r="V817" s="62" t="s">
        <v>8601</v>
      </c>
      <c r="W817" s="46">
        <v>0</v>
      </c>
    </row>
    <row r="818" spans="2:23">
      <c r="B818"/>
      <c r="R818" t="s">
        <v>9570</v>
      </c>
      <c r="S818" t="s">
        <v>8623</v>
      </c>
      <c r="T818" t="s">
        <v>8601</v>
      </c>
      <c r="U818" s="62">
        <v>7.2</v>
      </c>
      <c r="V818" s="62" t="s">
        <v>8602</v>
      </c>
      <c r="W818" s="46">
        <v>0</v>
      </c>
    </row>
    <row r="819" spans="2:23">
      <c r="B819"/>
      <c r="R819" t="s">
        <v>9570</v>
      </c>
      <c r="S819" t="s">
        <v>8623</v>
      </c>
      <c r="T819" t="s">
        <v>8634</v>
      </c>
      <c r="U819" s="62">
        <v>7.2</v>
      </c>
      <c r="V819" s="62" t="s">
        <v>8602</v>
      </c>
      <c r="W819" s="46">
        <v>0</v>
      </c>
    </row>
    <row r="820" spans="2:23">
      <c r="B820"/>
      <c r="R820" t="s">
        <v>9909</v>
      </c>
      <c r="S820" t="s">
        <v>8622</v>
      </c>
      <c r="T820" t="s">
        <v>8629</v>
      </c>
      <c r="U820" s="62">
        <v>7.2</v>
      </c>
      <c r="V820" s="62" t="s">
        <v>8602</v>
      </c>
      <c r="W820" s="46">
        <v>0</v>
      </c>
    </row>
    <row r="821" spans="2:23">
      <c r="B821"/>
      <c r="R821" t="s">
        <v>9909</v>
      </c>
      <c r="S821" t="s">
        <v>8622</v>
      </c>
      <c r="T821" t="s">
        <v>8630</v>
      </c>
      <c r="U821" s="62">
        <v>7</v>
      </c>
      <c r="V821" s="62" t="s">
        <v>8601</v>
      </c>
      <c r="W821" s="46">
        <v>0</v>
      </c>
    </row>
    <row r="822" spans="2:23">
      <c r="B822"/>
      <c r="R822" t="s">
        <v>9909</v>
      </c>
      <c r="S822" t="s">
        <v>8622</v>
      </c>
      <c r="T822" t="s">
        <v>8635</v>
      </c>
      <c r="U822" s="62">
        <v>7.1</v>
      </c>
      <c r="V822" s="62" t="s">
        <v>8601</v>
      </c>
      <c r="W822" s="46">
        <v>0</v>
      </c>
    </row>
    <row r="823" spans="2:23">
      <c r="B823"/>
      <c r="R823" t="s">
        <v>9909</v>
      </c>
      <c r="S823" t="s">
        <v>8622</v>
      </c>
      <c r="T823" t="s">
        <v>8631</v>
      </c>
      <c r="U823" s="62">
        <v>7.1</v>
      </c>
      <c r="V823" s="62" t="s">
        <v>8601</v>
      </c>
      <c r="W823" s="46">
        <v>0</v>
      </c>
    </row>
    <row r="824" spans="2:23">
      <c r="B824"/>
      <c r="R824" t="s">
        <v>9909</v>
      </c>
      <c r="S824" t="s">
        <v>8622</v>
      </c>
      <c r="T824" t="s">
        <v>8632</v>
      </c>
      <c r="U824" s="62">
        <v>7.3</v>
      </c>
      <c r="V824" s="62" t="s">
        <v>8602</v>
      </c>
      <c r="W824" s="46">
        <v>0</v>
      </c>
    </row>
    <row r="825" spans="2:23">
      <c r="B825"/>
      <c r="R825" t="s">
        <v>9909</v>
      </c>
      <c r="S825" t="s">
        <v>8622</v>
      </c>
      <c r="T825" t="s">
        <v>8633</v>
      </c>
      <c r="U825" s="62">
        <v>7.2</v>
      </c>
      <c r="V825" s="62" t="s">
        <v>8602</v>
      </c>
      <c r="W825" s="46">
        <v>0</v>
      </c>
    </row>
    <row r="826" spans="2:23">
      <c r="B826"/>
      <c r="R826" t="s">
        <v>9909</v>
      </c>
      <c r="S826" t="s">
        <v>8622</v>
      </c>
      <c r="T826" t="s">
        <v>8601</v>
      </c>
      <c r="U826" s="62">
        <v>7.1</v>
      </c>
      <c r="V826" s="62" t="s">
        <v>8601</v>
      </c>
      <c r="W826" s="46">
        <v>0</v>
      </c>
    </row>
    <row r="827" spans="2:23">
      <c r="B827"/>
      <c r="R827" t="s">
        <v>9909</v>
      </c>
      <c r="S827" t="s">
        <v>8622</v>
      </c>
      <c r="T827" t="s">
        <v>8634</v>
      </c>
      <c r="U827" s="62">
        <v>7.1</v>
      </c>
      <c r="V827" s="62" t="s">
        <v>8601</v>
      </c>
      <c r="W827" s="46">
        <v>0</v>
      </c>
    </row>
    <row r="828" spans="2:23">
      <c r="B828"/>
      <c r="R828" t="s">
        <v>9909</v>
      </c>
      <c r="S828" t="s">
        <v>8623</v>
      </c>
      <c r="T828" t="s">
        <v>8629</v>
      </c>
      <c r="U828" s="62">
        <v>7.3</v>
      </c>
      <c r="V828" s="62" t="s">
        <v>8602</v>
      </c>
      <c r="W828" s="46">
        <v>0</v>
      </c>
    </row>
    <row r="829" spans="2:23">
      <c r="B829"/>
      <c r="R829" t="s">
        <v>9909</v>
      </c>
      <c r="S829" t="s">
        <v>8623</v>
      </c>
      <c r="T829" t="s">
        <v>8630</v>
      </c>
      <c r="U829" s="62">
        <v>7.1</v>
      </c>
      <c r="V829" s="62" t="s">
        <v>8601</v>
      </c>
      <c r="W829" s="46">
        <v>0</v>
      </c>
    </row>
    <row r="830" spans="2:23">
      <c r="B830"/>
      <c r="R830" t="s">
        <v>9909</v>
      </c>
      <c r="S830" t="s">
        <v>8623</v>
      </c>
      <c r="T830" t="s">
        <v>8635</v>
      </c>
      <c r="U830" s="62">
        <v>7</v>
      </c>
      <c r="V830" s="62" t="s">
        <v>8601</v>
      </c>
      <c r="W830" s="46">
        <v>0</v>
      </c>
    </row>
    <row r="831" spans="2:23">
      <c r="B831"/>
      <c r="R831" t="s">
        <v>9909</v>
      </c>
      <c r="S831" t="s">
        <v>8623</v>
      </c>
      <c r="T831" t="s">
        <v>8631</v>
      </c>
      <c r="U831" s="62">
        <v>7.1</v>
      </c>
      <c r="V831" s="62" t="s">
        <v>8601</v>
      </c>
      <c r="W831" s="46">
        <v>0</v>
      </c>
    </row>
    <row r="832" spans="2:23">
      <c r="B832"/>
      <c r="R832" t="s">
        <v>9909</v>
      </c>
      <c r="S832" t="s">
        <v>8623</v>
      </c>
      <c r="T832" t="s">
        <v>8632</v>
      </c>
      <c r="U832" s="62">
        <v>7.2</v>
      </c>
      <c r="V832" s="62" t="s">
        <v>8601</v>
      </c>
      <c r="W832" s="46">
        <v>0</v>
      </c>
    </row>
    <row r="833" spans="2:23">
      <c r="B833"/>
      <c r="R833" t="s">
        <v>9909</v>
      </c>
      <c r="S833" t="s">
        <v>8623</v>
      </c>
      <c r="T833" t="s">
        <v>8633</v>
      </c>
      <c r="U833" s="62">
        <v>7.2</v>
      </c>
      <c r="V833" s="62" t="s">
        <v>8601</v>
      </c>
      <c r="W833" s="46">
        <v>0</v>
      </c>
    </row>
    <row r="834" spans="2:23">
      <c r="B834"/>
      <c r="R834" t="s">
        <v>9909</v>
      </c>
      <c r="S834" t="s">
        <v>8623</v>
      </c>
      <c r="T834" t="s">
        <v>8601</v>
      </c>
      <c r="U834" s="62">
        <v>7.2</v>
      </c>
      <c r="V834" s="62" t="s">
        <v>8602</v>
      </c>
      <c r="W834" s="46">
        <v>0</v>
      </c>
    </row>
    <row r="835" spans="2:23">
      <c r="B835"/>
      <c r="R835" t="s">
        <v>9909</v>
      </c>
      <c r="S835" t="s">
        <v>8623</v>
      </c>
      <c r="T835" t="s">
        <v>8634</v>
      </c>
      <c r="U835" s="62">
        <v>7.2</v>
      </c>
      <c r="V835" s="62" t="s">
        <v>8602</v>
      </c>
      <c r="W835" s="46">
        <v>0</v>
      </c>
    </row>
    <row r="836" spans="2:23">
      <c r="B836"/>
      <c r="R836" t="s">
        <v>202</v>
      </c>
      <c r="S836" t="s">
        <v>8622</v>
      </c>
      <c r="T836" t="s">
        <v>8629</v>
      </c>
      <c r="U836" s="203">
        <v>7.3</v>
      </c>
      <c r="V836" s="203" t="s">
        <v>8602</v>
      </c>
      <c r="W836" s="51">
        <v>5000</v>
      </c>
    </row>
    <row r="837" spans="2:23">
      <c r="B837"/>
      <c r="R837" t="s">
        <v>202</v>
      </c>
      <c r="S837" t="s">
        <v>8622</v>
      </c>
      <c r="T837" t="s">
        <v>8630</v>
      </c>
      <c r="U837" s="62">
        <v>7.1</v>
      </c>
      <c r="V837" s="62" t="s">
        <v>8601</v>
      </c>
      <c r="W837" s="46">
        <v>15000</v>
      </c>
    </row>
    <row r="838" spans="2:23">
      <c r="B838"/>
      <c r="R838" t="s">
        <v>202</v>
      </c>
      <c r="S838" t="s">
        <v>8622</v>
      </c>
      <c r="T838" t="s">
        <v>8635</v>
      </c>
      <c r="U838" s="62">
        <v>7.1</v>
      </c>
      <c r="V838" s="62" t="s">
        <v>8601</v>
      </c>
      <c r="W838" s="46">
        <v>15000</v>
      </c>
    </row>
    <row r="839" spans="2:23">
      <c r="B839"/>
      <c r="R839" t="s">
        <v>202</v>
      </c>
      <c r="S839" t="s">
        <v>8622</v>
      </c>
      <c r="T839" t="s">
        <v>8631</v>
      </c>
      <c r="U839" s="62">
        <v>7</v>
      </c>
      <c r="V839" s="62" t="s">
        <v>8601</v>
      </c>
      <c r="W839" s="46">
        <v>15000</v>
      </c>
    </row>
    <row r="840" spans="2:23">
      <c r="B840"/>
      <c r="R840" t="s">
        <v>202</v>
      </c>
      <c r="S840" t="s">
        <v>8622</v>
      </c>
      <c r="T840" t="s">
        <v>8632</v>
      </c>
      <c r="U840" s="62">
        <v>7.3</v>
      </c>
      <c r="V840" s="62" t="s">
        <v>8602</v>
      </c>
      <c r="W840" s="46">
        <v>5000</v>
      </c>
    </row>
    <row r="841" spans="2:23">
      <c r="B841"/>
      <c r="R841" t="s">
        <v>202</v>
      </c>
      <c r="S841" t="s">
        <v>8622</v>
      </c>
      <c r="T841" t="s">
        <v>8633</v>
      </c>
      <c r="U841" s="62">
        <v>7.8</v>
      </c>
      <c r="V841" s="62" t="s">
        <v>8602</v>
      </c>
      <c r="W841" s="46">
        <v>5000</v>
      </c>
    </row>
    <row r="842" spans="2:23">
      <c r="B842"/>
      <c r="R842" t="s">
        <v>202</v>
      </c>
      <c r="S842" t="s">
        <v>8622</v>
      </c>
      <c r="T842" t="s">
        <v>8601</v>
      </c>
      <c r="U842" s="62">
        <v>8.1</v>
      </c>
      <c r="V842" s="62" t="s">
        <v>8602</v>
      </c>
      <c r="W842" s="46">
        <v>5000</v>
      </c>
    </row>
    <row r="843" spans="2:23">
      <c r="B843"/>
      <c r="R843" t="s">
        <v>202</v>
      </c>
      <c r="S843" t="s">
        <v>8622</v>
      </c>
      <c r="T843" t="s">
        <v>8634</v>
      </c>
      <c r="U843" s="62">
        <v>7.6</v>
      </c>
      <c r="V843" s="62" t="s">
        <v>8602</v>
      </c>
      <c r="W843" s="46">
        <v>5000</v>
      </c>
    </row>
    <row r="844" spans="2:23">
      <c r="B844"/>
      <c r="R844" t="s">
        <v>202</v>
      </c>
      <c r="S844" t="s">
        <v>8623</v>
      </c>
      <c r="T844" t="s">
        <v>8629</v>
      </c>
      <c r="U844" s="62">
        <v>7.2</v>
      </c>
      <c r="V844" s="62" t="s">
        <v>8601</v>
      </c>
      <c r="W844" s="46">
        <v>15000</v>
      </c>
    </row>
    <row r="845" spans="2:23">
      <c r="B845"/>
      <c r="R845" t="s">
        <v>202</v>
      </c>
      <c r="S845" t="s">
        <v>8623</v>
      </c>
      <c r="T845" t="s">
        <v>8630</v>
      </c>
      <c r="U845" s="62">
        <v>7</v>
      </c>
      <c r="V845" s="62" t="s">
        <v>8601</v>
      </c>
      <c r="W845" s="46">
        <v>15000</v>
      </c>
    </row>
    <row r="846" spans="2:23">
      <c r="B846"/>
      <c r="R846" t="s">
        <v>202</v>
      </c>
      <c r="S846" t="s">
        <v>8623</v>
      </c>
      <c r="T846" t="s">
        <v>8635</v>
      </c>
      <c r="U846" s="62">
        <v>7.1</v>
      </c>
      <c r="V846" s="62" t="s">
        <v>8601</v>
      </c>
      <c r="W846" s="46">
        <v>15000</v>
      </c>
    </row>
    <row r="847" spans="2:23">
      <c r="B847"/>
      <c r="R847" t="s">
        <v>202</v>
      </c>
      <c r="S847" t="s">
        <v>8623</v>
      </c>
      <c r="T847" t="s">
        <v>8631</v>
      </c>
      <c r="U847" s="203">
        <v>7.1</v>
      </c>
      <c r="V847" s="203" t="s">
        <v>8601</v>
      </c>
      <c r="W847" s="51">
        <v>15000</v>
      </c>
    </row>
    <row r="848" spans="2:23">
      <c r="B848"/>
      <c r="R848" t="s">
        <v>202</v>
      </c>
      <c r="S848" t="s">
        <v>8623</v>
      </c>
      <c r="T848" t="s">
        <v>8632</v>
      </c>
      <c r="U848" s="62">
        <v>7.4</v>
      </c>
      <c r="V848" s="62" t="s">
        <v>8602</v>
      </c>
      <c r="W848" s="46">
        <v>5000</v>
      </c>
    </row>
    <row r="849" spans="2:23">
      <c r="B849"/>
      <c r="R849" t="s">
        <v>202</v>
      </c>
      <c r="S849" t="s">
        <v>8623</v>
      </c>
      <c r="T849" t="s">
        <v>8633</v>
      </c>
      <c r="U849" s="62">
        <v>7.8</v>
      </c>
      <c r="V849" s="62" t="s">
        <v>8602</v>
      </c>
      <c r="W849" s="46">
        <v>5000</v>
      </c>
    </row>
    <row r="850" spans="2:23">
      <c r="B850"/>
      <c r="R850" t="s">
        <v>202</v>
      </c>
      <c r="S850" t="s">
        <v>8623</v>
      </c>
      <c r="T850" t="s">
        <v>8601</v>
      </c>
      <c r="U850" s="62">
        <v>8.1</v>
      </c>
      <c r="V850" s="62" t="s">
        <v>8602</v>
      </c>
      <c r="W850" s="46">
        <v>5000</v>
      </c>
    </row>
    <row r="851" spans="2:23">
      <c r="B851"/>
      <c r="R851" t="s">
        <v>202</v>
      </c>
      <c r="S851" t="s">
        <v>8623</v>
      </c>
      <c r="T851" t="s">
        <v>8634</v>
      </c>
      <c r="U851" s="62">
        <v>7.6</v>
      </c>
      <c r="V851" s="62" t="s">
        <v>8602</v>
      </c>
      <c r="W851" s="46">
        <v>5000</v>
      </c>
    </row>
    <row r="852" spans="2:23">
      <c r="B852"/>
      <c r="R852" t="s">
        <v>9185</v>
      </c>
      <c r="S852" t="s">
        <v>8622</v>
      </c>
      <c r="T852" t="s">
        <v>8629</v>
      </c>
      <c r="U852" s="62">
        <v>7.3</v>
      </c>
      <c r="V852" s="62" t="s">
        <v>8601</v>
      </c>
      <c r="W852" s="46">
        <v>15000</v>
      </c>
    </row>
    <row r="853" spans="2:23">
      <c r="B853"/>
      <c r="R853" t="s">
        <v>9185</v>
      </c>
      <c r="S853" t="s">
        <v>8622</v>
      </c>
      <c r="T853" t="s">
        <v>8630</v>
      </c>
      <c r="U853" s="62">
        <v>7.1</v>
      </c>
      <c r="V853" s="62" t="s">
        <v>8601</v>
      </c>
      <c r="W853" s="46">
        <v>15000</v>
      </c>
    </row>
    <row r="854" spans="2:23">
      <c r="B854"/>
      <c r="R854" t="s">
        <v>9185</v>
      </c>
      <c r="S854" t="s">
        <v>8622</v>
      </c>
      <c r="T854" t="s">
        <v>8635</v>
      </c>
      <c r="U854" s="62">
        <v>7.2</v>
      </c>
      <c r="V854" s="62" t="s">
        <v>8601</v>
      </c>
      <c r="W854" s="46">
        <v>15000</v>
      </c>
    </row>
    <row r="855" spans="2:23">
      <c r="B855"/>
      <c r="R855" t="s">
        <v>9185</v>
      </c>
      <c r="S855" t="s">
        <v>8622</v>
      </c>
      <c r="T855" t="s">
        <v>8631</v>
      </c>
      <c r="U855" s="62">
        <v>7.1</v>
      </c>
      <c r="V855" s="62" t="s">
        <v>8601</v>
      </c>
      <c r="W855" s="46">
        <v>15000</v>
      </c>
    </row>
    <row r="856" spans="2:23">
      <c r="B856"/>
      <c r="R856" t="s">
        <v>9185</v>
      </c>
      <c r="S856" t="s">
        <v>8622</v>
      </c>
      <c r="T856" t="s">
        <v>8632</v>
      </c>
      <c r="U856" s="62">
        <v>7.4</v>
      </c>
      <c r="V856" s="62" t="s">
        <v>8602</v>
      </c>
      <c r="W856" s="46">
        <v>5000</v>
      </c>
    </row>
    <row r="857" spans="2:23">
      <c r="B857"/>
      <c r="R857" t="s">
        <v>9185</v>
      </c>
      <c r="S857" t="s">
        <v>8622</v>
      </c>
      <c r="T857" t="s">
        <v>8633</v>
      </c>
      <c r="U857" s="62">
        <v>7.8</v>
      </c>
      <c r="V857" s="62" t="s">
        <v>8602</v>
      </c>
      <c r="W857" s="46">
        <v>5000</v>
      </c>
    </row>
    <row r="858" spans="2:23">
      <c r="B858"/>
      <c r="R858" t="s">
        <v>9185</v>
      </c>
      <c r="S858" t="s">
        <v>8622</v>
      </c>
      <c r="T858" t="s">
        <v>8601</v>
      </c>
      <c r="U858" s="203">
        <v>7.9</v>
      </c>
      <c r="V858" s="203" t="s">
        <v>8602</v>
      </c>
      <c r="W858" s="51">
        <v>5000</v>
      </c>
    </row>
    <row r="859" spans="2:23">
      <c r="B859"/>
      <c r="R859" t="s">
        <v>9185</v>
      </c>
      <c r="S859" t="s">
        <v>8622</v>
      </c>
      <c r="T859" t="s">
        <v>8634</v>
      </c>
      <c r="U859" s="62">
        <v>7.6</v>
      </c>
      <c r="V859" s="62" t="s">
        <v>8602</v>
      </c>
      <c r="W859" s="46">
        <v>5000</v>
      </c>
    </row>
    <row r="860" spans="2:23">
      <c r="B860"/>
      <c r="R860" t="s">
        <v>9185</v>
      </c>
      <c r="S860" t="s">
        <v>8623</v>
      </c>
      <c r="T860" t="s">
        <v>8629</v>
      </c>
      <c r="U860" s="62">
        <v>7.4</v>
      </c>
      <c r="V860" s="62" t="s">
        <v>8602</v>
      </c>
      <c r="W860" s="46">
        <v>5000</v>
      </c>
    </row>
    <row r="861" spans="2:23">
      <c r="B861"/>
      <c r="R861" t="s">
        <v>9185</v>
      </c>
      <c r="S861" t="s">
        <v>8623</v>
      </c>
      <c r="T861" t="s">
        <v>8630</v>
      </c>
      <c r="U861" s="62">
        <v>7.1</v>
      </c>
      <c r="V861" s="62" t="s">
        <v>8601</v>
      </c>
      <c r="W861" s="46">
        <v>15000</v>
      </c>
    </row>
    <row r="862" spans="2:23">
      <c r="B862"/>
      <c r="R862" t="s">
        <v>9185</v>
      </c>
      <c r="S862" t="s">
        <v>8623</v>
      </c>
      <c r="T862" t="s">
        <v>8635</v>
      </c>
      <c r="U862" s="62">
        <v>7.1</v>
      </c>
      <c r="V862" s="62" t="s">
        <v>8601</v>
      </c>
      <c r="W862" s="46">
        <v>15000</v>
      </c>
    </row>
    <row r="863" spans="2:23">
      <c r="B863"/>
      <c r="R863" t="s">
        <v>9185</v>
      </c>
      <c r="S863" t="s">
        <v>8623</v>
      </c>
      <c r="T863" t="s">
        <v>8631</v>
      </c>
      <c r="U863" s="62">
        <v>7</v>
      </c>
      <c r="V863" s="62" t="s">
        <v>8601</v>
      </c>
      <c r="W863" s="46">
        <v>15000</v>
      </c>
    </row>
    <row r="864" spans="2:23">
      <c r="B864"/>
      <c r="R864" t="s">
        <v>9185</v>
      </c>
      <c r="S864" t="s">
        <v>8623</v>
      </c>
      <c r="T864" t="s">
        <v>8632</v>
      </c>
      <c r="U864" s="62">
        <v>7.3</v>
      </c>
      <c r="V864" s="62" t="s">
        <v>8601</v>
      </c>
      <c r="W864" s="46">
        <v>15000</v>
      </c>
    </row>
    <row r="865" spans="2:23">
      <c r="B865"/>
      <c r="R865" t="s">
        <v>9185</v>
      </c>
      <c r="S865" t="s">
        <v>8623</v>
      </c>
      <c r="T865" t="s">
        <v>8633</v>
      </c>
      <c r="U865" s="62">
        <v>7.8</v>
      </c>
      <c r="V865" s="62" t="s">
        <v>8602</v>
      </c>
      <c r="W865" s="46">
        <v>5000</v>
      </c>
    </row>
    <row r="866" spans="2:23">
      <c r="B866"/>
      <c r="R866" t="s">
        <v>9185</v>
      </c>
      <c r="S866" t="s">
        <v>8623</v>
      </c>
      <c r="T866" t="s">
        <v>8601</v>
      </c>
      <c r="U866" s="62">
        <v>8.1</v>
      </c>
      <c r="V866" s="62" t="s">
        <v>8602</v>
      </c>
      <c r="W866" s="46">
        <v>5000</v>
      </c>
    </row>
    <row r="867" spans="2:23">
      <c r="B867"/>
      <c r="R867" t="s">
        <v>9185</v>
      </c>
      <c r="S867" t="s">
        <v>8623</v>
      </c>
      <c r="T867" t="s">
        <v>8634</v>
      </c>
      <c r="U867" s="62">
        <v>7.7</v>
      </c>
      <c r="V867" s="62" t="s">
        <v>8602</v>
      </c>
      <c r="W867" s="46">
        <v>5000</v>
      </c>
    </row>
    <row r="868" spans="2:23">
      <c r="B868"/>
      <c r="R868" t="s">
        <v>204</v>
      </c>
      <c r="S868" t="s">
        <v>8622</v>
      </c>
      <c r="T868" t="s">
        <v>8629</v>
      </c>
      <c r="U868" s="62">
        <v>7.1</v>
      </c>
      <c r="V868" s="62" t="s">
        <v>8601</v>
      </c>
      <c r="W868" s="46">
        <v>15000</v>
      </c>
    </row>
    <row r="869" spans="2:23">
      <c r="B869"/>
      <c r="R869" t="s">
        <v>204</v>
      </c>
      <c r="S869" t="s">
        <v>8622</v>
      </c>
      <c r="T869" t="s">
        <v>8630</v>
      </c>
      <c r="U869" s="203">
        <v>7</v>
      </c>
      <c r="V869" s="203" t="s">
        <v>8601</v>
      </c>
      <c r="W869" s="51">
        <v>15000</v>
      </c>
    </row>
    <row r="870" spans="2:23">
      <c r="B870"/>
      <c r="R870" t="s">
        <v>204</v>
      </c>
      <c r="S870" t="s">
        <v>8622</v>
      </c>
      <c r="T870" t="s">
        <v>8635</v>
      </c>
      <c r="U870" s="62">
        <v>7.1</v>
      </c>
      <c r="V870" s="62" t="s">
        <v>8601</v>
      </c>
      <c r="W870" s="46">
        <v>15000</v>
      </c>
    </row>
    <row r="871" spans="2:23">
      <c r="B871"/>
      <c r="R871" t="s">
        <v>204</v>
      </c>
      <c r="S871" t="s">
        <v>8622</v>
      </c>
      <c r="T871" t="s">
        <v>8631</v>
      </c>
      <c r="U871" s="62">
        <v>7.1</v>
      </c>
      <c r="V871" s="62" t="s">
        <v>8601</v>
      </c>
      <c r="W871" s="46">
        <v>15000</v>
      </c>
    </row>
    <row r="872" spans="2:23">
      <c r="B872"/>
      <c r="R872" t="s">
        <v>204</v>
      </c>
      <c r="S872" t="s">
        <v>8622</v>
      </c>
      <c r="T872" t="s">
        <v>8632</v>
      </c>
      <c r="U872" s="62">
        <v>7.2</v>
      </c>
      <c r="V872" s="62" t="s">
        <v>8601</v>
      </c>
      <c r="W872" s="46">
        <v>15000</v>
      </c>
    </row>
    <row r="873" spans="2:23">
      <c r="B873"/>
      <c r="R873" t="s">
        <v>204</v>
      </c>
      <c r="S873" t="s">
        <v>8622</v>
      </c>
      <c r="T873" t="s">
        <v>8633</v>
      </c>
      <c r="U873" s="62">
        <v>7.7</v>
      </c>
      <c r="V873" s="62" t="s">
        <v>8602</v>
      </c>
      <c r="W873" s="46">
        <v>5000</v>
      </c>
    </row>
    <row r="874" spans="2:23">
      <c r="B874"/>
      <c r="R874" t="s">
        <v>204</v>
      </c>
      <c r="S874" t="s">
        <v>8622</v>
      </c>
      <c r="T874" t="s">
        <v>8601</v>
      </c>
      <c r="U874" s="62">
        <v>7.8</v>
      </c>
      <c r="V874" s="62" t="s">
        <v>8602</v>
      </c>
      <c r="W874" s="46">
        <v>5000</v>
      </c>
    </row>
    <row r="875" spans="2:23">
      <c r="B875"/>
      <c r="R875" t="s">
        <v>204</v>
      </c>
      <c r="S875" t="s">
        <v>8622</v>
      </c>
      <c r="T875" t="s">
        <v>8634</v>
      </c>
      <c r="U875" s="62">
        <v>7.5</v>
      </c>
      <c r="V875" s="62" t="s">
        <v>8602</v>
      </c>
      <c r="W875" s="46">
        <v>5000</v>
      </c>
    </row>
    <row r="876" spans="2:23">
      <c r="B876"/>
      <c r="R876" t="s">
        <v>204</v>
      </c>
      <c r="S876" t="s">
        <v>8623</v>
      </c>
      <c r="T876" t="s">
        <v>8629</v>
      </c>
      <c r="U876" s="62">
        <v>7.1</v>
      </c>
      <c r="V876" s="62" t="s">
        <v>8601</v>
      </c>
      <c r="W876" s="46">
        <v>15000</v>
      </c>
    </row>
    <row r="877" spans="2:23">
      <c r="B877"/>
      <c r="R877" t="s">
        <v>204</v>
      </c>
      <c r="S877" t="s">
        <v>8623</v>
      </c>
      <c r="T877" t="s">
        <v>8630</v>
      </c>
      <c r="U877" s="62">
        <v>7.2</v>
      </c>
      <c r="V877" s="62" t="s">
        <v>8601</v>
      </c>
      <c r="W877" s="46">
        <v>15000</v>
      </c>
    </row>
    <row r="878" spans="2:23">
      <c r="B878"/>
      <c r="R878" t="s">
        <v>204</v>
      </c>
      <c r="S878" t="s">
        <v>8623</v>
      </c>
      <c r="T878" t="s">
        <v>8635</v>
      </c>
      <c r="U878" s="62">
        <v>7.1</v>
      </c>
      <c r="V878" s="62" t="s">
        <v>8601</v>
      </c>
      <c r="W878" s="46">
        <v>15000</v>
      </c>
    </row>
    <row r="879" spans="2:23">
      <c r="B879"/>
      <c r="R879" t="s">
        <v>204</v>
      </c>
      <c r="S879" t="s">
        <v>8623</v>
      </c>
      <c r="T879" t="s">
        <v>8631</v>
      </c>
      <c r="U879" s="62">
        <v>7.1</v>
      </c>
      <c r="V879" s="62" t="s">
        <v>8601</v>
      </c>
      <c r="W879" s="46">
        <v>15000</v>
      </c>
    </row>
    <row r="880" spans="2:23">
      <c r="B880"/>
      <c r="R880" t="s">
        <v>204</v>
      </c>
      <c r="S880" t="s">
        <v>8623</v>
      </c>
      <c r="T880" t="s">
        <v>8632</v>
      </c>
      <c r="U880" s="203">
        <v>7.1</v>
      </c>
      <c r="V880" s="203" t="s">
        <v>8601</v>
      </c>
      <c r="W880" s="51">
        <v>15000</v>
      </c>
    </row>
    <row r="881" spans="2:23">
      <c r="B881"/>
      <c r="R881" t="s">
        <v>204</v>
      </c>
      <c r="S881" t="s">
        <v>8623</v>
      </c>
      <c r="T881" t="s">
        <v>8633</v>
      </c>
      <c r="U881" s="62">
        <v>7.6</v>
      </c>
      <c r="V881" s="62" t="s">
        <v>8602</v>
      </c>
      <c r="W881" s="46">
        <v>5000</v>
      </c>
    </row>
    <row r="882" spans="2:23">
      <c r="B882"/>
      <c r="R882" t="s">
        <v>204</v>
      </c>
      <c r="S882" t="s">
        <v>8623</v>
      </c>
      <c r="T882" t="s">
        <v>8601</v>
      </c>
      <c r="U882" s="62">
        <v>7.8</v>
      </c>
      <c r="V882" s="62" t="s">
        <v>8602</v>
      </c>
      <c r="W882" s="46">
        <v>5000</v>
      </c>
    </row>
    <row r="883" spans="2:23">
      <c r="B883"/>
      <c r="R883" t="s">
        <v>204</v>
      </c>
      <c r="S883" t="s">
        <v>8623</v>
      </c>
      <c r="T883" t="s">
        <v>8634</v>
      </c>
      <c r="U883" s="62">
        <v>7.6</v>
      </c>
      <c r="V883" s="62" t="s">
        <v>8602</v>
      </c>
      <c r="W883" s="46">
        <v>5000</v>
      </c>
    </row>
    <row r="884" spans="2:23">
      <c r="B884"/>
      <c r="R884" t="s">
        <v>225</v>
      </c>
      <c r="S884" t="s">
        <v>8622</v>
      </c>
      <c r="T884" t="s">
        <v>8629</v>
      </c>
      <c r="U884" s="62">
        <v>7.2</v>
      </c>
      <c r="V884" s="62" t="s">
        <v>8602</v>
      </c>
      <c r="W884" s="46">
        <v>5000</v>
      </c>
    </row>
    <row r="885" spans="2:23">
      <c r="B885"/>
      <c r="R885" t="s">
        <v>225</v>
      </c>
      <c r="S885" t="s">
        <v>8622</v>
      </c>
      <c r="T885" t="s">
        <v>8630</v>
      </c>
      <c r="U885" s="62">
        <v>7</v>
      </c>
      <c r="V885" s="62" t="s">
        <v>8601</v>
      </c>
      <c r="W885" s="46">
        <v>15000</v>
      </c>
    </row>
    <row r="886" spans="2:23">
      <c r="B886"/>
      <c r="R886" t="s">
        <v>225</v>
      </c>
      <c r="S886" t="s">
        <v>8622</v>
      </c>
      <c r="T886" t="s">
        <v>8635</v>
      </c>
      <c r="U886" s="62">
        <v>7</v>
      </c>
      <c r="V886" s="62" t="s">
        <v>8601</v>
      </c>
      <c r="W886" s="46">
        <v>15000</v>
      </c>
    </row>
    <row r="887" spans="2:23">
      <c r="B887"/>
      <c r="R887" t="s">
        <v>225</v>
      </c>
      <c r="S887" t="s">
        <v>8622</v>
      </c>
      <c r="T887" t="s">
        <v>8631</v>
      </c>
      <c r="U887" s="62">
        <v>7</v>
      </c>
      <c r="V887" s="62" t="s">
        <v>8601</v>
      </c>
      <c r="W887" s="46">
        <v>15000</v>
      </c>
    </row>
    <row r="888" spans="2:23">
      <c r="B888"/>
      <c r="R888" t="s">
        <v>225</v>
      </c>
      <c r="S888" t="s">
        <v>8622</v>
      </c>
      <c r="T888" t="s">
        <v>8632</v>
      </c>
      <c r="U888" s="62">
        <v>7.1</v>
      </c>
      <c r="V888" s="62" t="s">
        <v>8601</v>
      </c>
      <c r="W888" s="46">
        <v>15000</v>
      </c>
    </row>
    <row r="889" spans="2:23">
      <c r="B889"/>
      <c r="R889" t="s">
        <v>225</v>
      </c>
      <c r="S889" t="s">
        <v>8622</v>
      </c>
      <c r="T889" t="s">
        <v>8633</v>
      </c>
      <c r="U889" s="62">
        <v>7</v>
      </c>
      <c r="V889" s="62" t="s">
        <v>8601</v>
      </c>
      <c r="W889" s="46">
        <v>15000</v>
      </c>
    </row>
    <row r="890" spans="2:23">
      <c r="B890"/>
      <c r="R890" t="s">
        <v>225</v>
      </c>
      <c r="S890" t="s">
        <v>8622</v>
      </c>
      <c r="T890" t="s">
        <v>8601</v>
      </c>
      <c r="U890" s="62">
        <v>7</v>
      </c>
      <c r="V890" s="62" t="s">
        <v>8601</v>
      </c>
      <c r="W890" s="46">
        <v>15000</v>
      </c>
    </row>
    <row r="891" spans="2:23">
      <c r="B891"/>
      <c r="R891" t="s">
        <v>225</v>
      </c>
      <c r="S891" t="s">
        <v>8622</v>
      </c>
      <c r="T891" t="s">
        <v>8634</v>
      </c>
      <c r="U891" s="62">
        <v>7.1</v>
      </c>
      <c r="V891" s="62" t="s">
        <v>8601</v>
      </c>
      <c r="W891" s="46">
        <v>15000</v>
      </c>
    </row>
    <row r="892" spans="2:23">
      <c r="B892"/>
      <c r="R892" t="s">
        <v>225</v>
      </c>
      <c r="S892" t="s">
        <v>8623</v>
      </c>
      <c r="T892" t="s">
        <v>8629</v>
      </c>
      <c r="U892" s="62">
        <v>7.1</v>
      </c>
      <c r="V892" s="62" t="s">
        <v>8601</v>
      </c>
      <c r="W892" s="46">
        <v>15000</v>
      </c>
    </row>
    <row r="893" spans="2:23">
      <c r="B893"/>
      <c r="R893" t="s">
        <v>225</v>
      </c>
      <c r="S893" t="s">
        <v>8623</v>
      </c>
      <c r="T893" t="s">
        <v>8630</v>
      </c>
      <c r="U893" s="62">
        <v>7</v>
      </c>
      <c r="V893" s="62" t="s">
        <v>8601</v>
      </c>
      <c r="W893" s="46">
        <v>15000</v>
      </c>
    </row>
    <row r="894" spans="2:23">
      <c r="B894"/>
      <c r="R894" t="s">
        <v>225</v>
      </c>
      <c r="S894" t="s">
        <v>8623</v>
      </c>
      <c r="T894" t="s">
        <v>8635</v>
      </c>
      <c r="U894" s="62">
        <v>7</v>
      </c>
      <c r="V894" s="62" t="s">
        <v>8601</v>
      </c>
      <c r="W894" s="46">
        <v>15000</v>
      </c>
    </row>
    <row r="895" spans="2:23">
      <c r="B895"/>
      <c r="R895" t="s">
        <v>225</v>
      </c>
      <c r="S895" t="s">
        <v>8623</v>
      </c>
      <c r="T895" t="s">
        <v>8631</v>
      </c>
      <c r="U895" s="62">
        <v>7</v>
      </c>
      <c r="V895" s="62" t="s">
        <v>8601</v>
      </c>
      <c r="W895" s="46">
        <v>15000</v>
      </c>
    </row>
    <row r="896" spans="2:23">
      <c r="B896"/>
      <c r="R896" t="s">
        <v>225</v>
      </c>
      <c r="S896" t="s">
        <v>8623</v>
      </c>
      <c r="T896" t="s">
        <v>8632</v>
      </c>
      <c r="U896" s="62">
        <v>7.2</v>
      </c>
      <c r="V896" s="62" t="s">
        <v>8602</v>
      </c>
      <c r="W896" s="46">
        <v>5000</v>
      </c>
    </row>
    <row r="897" spans="2:23">
      <c r="B897"/>
      <c r="R897" t="s">
        <v>225</v>
      </c>
      <c r="S897" t="s">
        <v>8623</v>
      </c>
      <c r="T897" t="s">
        <v>8633</v>
      </c>
      <c r="U897" s="62">
        <v>7.1</v>
      </c>
      <c r="V897" s="62" t="s">
        <v>8601</v>
      </c>
      <c r="W897" s="46">
        <v>15000</v>
      </c>
    </row>
    <row r="898" spans="2:23">
      <c r="B898"/>
      <c r="R898" t="s">
        <v>225</v>
      </c>
      <c r="S898" t="s">
        <v>8623</v>
      </c>
      <c r="T898" t="s">
        <v>8601</v>
      </c>
      <c r="U898" s="62">
        <v>7.1</v>
      </c>
      <c r="V898" s="62" t="s">
        <v>8601</v>
      </c>
      <c r="W898" s="46">
        <v>15000</v>
      </c>
    </row>
    <row r="899" spans="2:23">
      <c r="B899"/>
      <c r="R899" t="s">
        <v>225</v>
      </c>
      <c r="S899" t="s">
        <v>8623</v>
      </c>
      <c r="T899" t="s">
        <v>8634</v>
      </c>
      <c r="U899" s="62">
        <v>7</v>
      </c>
      <c r="V899" s="62" t="s">
        <v>8601</v>
      </c>
      <c r="W899" s="46">
        <v>15000</v>
      </c>
    </row>
    <row r="900" spans="2:23">
      <c r="B900"/>
      <c r="R900" t="s">
        <v>9752</v>
      </c>
      <c r="S900" t="s">
        <v>8622</v>
      </c>
      <c r="T900" t="s">
        <v>8629</v>
      </c>
      <c r="U900" s="62">
        <v>7.4</v>
      </c>
      <c r="V900" s="62" t="s">
        <v>8602</v>
      </c>
      <c r="W900" s="46">
        <v>0</v>
      </c>
    </row>
    <row r="901" spans="2:23">
      <c r="B901"/>
      <c r="R901" t="s">
        <v>9752</v>
      </c>
      <c r="S901" t="s">
        <v>8622</v>
      </c>
      <c r="T901" t="s">
        <v>8630</v>
      </c>
      <c r="U901" s="62">
        <v>7.1</v>
      </c>
      <c r="V901" s="62" t="s">
        <v>8601</v>
      </c>
      <c r="W901" s="46">
        <v>0</v>
      </c>
    </row>
    <row r="902" spans="2:23">
      <c r="B902"/>
      <c r="R902" t="s">
        <v>9752</v>
      </c>
      <c r="S902" t="s">
        <v>8622</v>
      </c>
      <c r="T902" t="s">
        <v>8635</v>
      </c>
      <c r="U902" s="62">
        <v>7.1</v>
      </c>
      <c r="V902" s="62" t="s">
        <v>8601</v>
      </c>
      <c r="W902" s="46">
        <v>0</v>
      </c>
    </row>
    <row r="903" spans="2:23">
      <c r="B903"/>
      <c r="R903" t="s">
        <v>9752</v>
      </c>
      <c r="S903" t="s">
        <v>8622</v>
      </c>
      <c r="T903" t="s">
        <v>8631</v>
      </c>
      <c r="U903" s="62">
        <v>7</v>
      </c>
      <c r="V903" s="62" t="s">
        <v>8601</v>
      </c>
      <c r="W903" s="46">
        <v>0</v>
      </c>
    </row>
    <row r="904" spans="2:23">
      <c r="B904"/>
      <c r="R904" t="s">
        <v>9752</v>
      </c>
      <c r="S904" t="s">
        <v>8622</v>
      </c>
      <c r="T904" t="s">
        <v>8632</v>
      </c>
      <c r="U904" s="62">
        <v>7</v>
      </c>
      <c r="V904" s="62" t="s">
        <v>8601</v>
      </c>
      <c r="W904" s="46">
        <v>0</v>
      </c>
    </row>
    <row r="905" spans="2:23">
      <c r="B905"/>
      <c r="R905" t="s">
        <v>9752</v>
      </c>
      <c r="S905" t="s">
        <v>8622</v>
      </c>
      <c r="T905" t="s">
        <v>8633</v>
      </c>
      <c r="U905" s="62">
        <v>7</v>
      </c>
      <c r="V905" s="62" t="s">
        <v>8601</v>
      </c>
      <c r="W905" s="46">
        <v>0</v>
      </c>
    </row>
    <row r="906" spans="2:23">
      <c r="B906"/>
      <c r="R906" t="s">
        <v>9752</v>
      </c>
      <c r="S906" t="s">
        <v>8622</v>
      </c>
      <c r="T906" t="s">
        <v>8601</v>
      </c>
      <c r="U906" s="62">
        <v>7.1</v>
      </c>
      <c r="V906" s="62" t="s">
        <v>8601</v>
      </c>
      <c r="W906" s="46">
        <v>0</v>
      </c>
    </row>
    <row r="907" spans="2:23">
      <c r="B907"/>
      <c r="R907" t="s">
        <v>9752</v>
      </c>
      <c r="S907" t="s">
        <v>8622</v>
      </c>
      <c r="T907" t="s">
        <v>8634</v>
      </c>
      <c r="U907" s="62">
        <v>7.2</v>
      </c>
      <c r="V907" s="62" t="s">
        <v>8602</v>
      </c>
      <c r="W907" s="46">
        <v>0</v>
      </c>
    </row>
    <row r="908" spans="2:23">
      <c r="B908"/>
      <c r="R908" t="s">
        <v>9752</v>
      </c>
      <c r="S908" t="s">
        <v>8623</v>
      </c>
      <c r="T908" t="s">
        <v>8629</v>
      </c>
      <c r="U908" s="62">
        <v>7</v>
      </c>
      <c r="V908" s="62" t="s">
        <v>8601</v>
      </c>
      <c r="W908" s="46">
        <v>0</v>
      </c>
    </row>
    <row r="909" spans="2:23">
      <c r="B909"/>
      <c r="R909" t="s">
        <v>9752</v>
      </c>
      <c r="S909" t="s">
        <v>8623</v>
      </c>
      <c r="T909" t="s">
        <v>8630</v>
      </c>
      <c r="U909" s="62">
        <v>7</v>
      </c>
      <c r="V909" s="62" t="s">
        <v>8601</v>
      </c>
      <c r="W909" s="46">
        <v>0</v>
      </c>
    </row>
    <row r="910" spans="2:23">
      <c r="B910"/>
      <c r="R910" t="s">
        <v>9752</v>
      </c>
      <c r="S910" t="s">
        <v>8623</v>
      </c>
      <c r="T910" t="s">
        <v>8635</v>
      </c>
      <c r="U910" s="62">
        <v>7.1</v>
      </c>
      <c r="V910" s="62" t="s">
        <v>8601</v>
      </c>
      <c r="W910" s="46">
        <v>0</v>
      </c>
    </row>
    <row r="911" spans="2:23">
      <c r="B911"/>
      <c r="R911" t="s">
        <v>9752</v>
      </c>
      <c r="S911" t="s">
        <v>8623</v>
      </c>
      <c r="T911" t="s">
        <v>8631</v>
      </c>
      <c r="U911" s="62">
        <v>7.2</v>
      </c>
      <c r="V911" s="62" t="s">
        <v>8602</v>
      </c>
      <c r="W911" s="46">
        <v>0</v>
      </c>
    </row>
    <row r="912" spans="2:23">
      <c r="B912"/>
      <c r="R912" t="s">
        <v>9752</v>
      </c>
      <c r="S912" t="s">
        <v>8623</v>
      </c>
      <c r="T912" t="s">
        <v>8632</v>
      </c>
      <c r="U912" s="62">
        <v>7.3</v>
      </c>
      <c r="V912" s="62" t="s">
        <v>8602</v>
      </c>
      <c r="W912" s="46">
        <v>0</v>
      </c>
    </row>
    <row r="913" spans="2:23">
      <c r="B913"/>
      <c r="R913" t="s">
        <v>9752</v>
      </c>
      <c r="S913" t="s">
        <v>8623</v>
      </c>
      <c r="T913" t="s">
        <v>8633</v>
      </c>
      <c r="U913" s="62">
        <v>7.2</v>
      </c>
      <c r="V913" s="62" t="s">
        <v>8602</v>
      </c>
      <c r="W913" s="46">
        <v>0</v>
      </c>
    </row>
    <row r="914" spans="2:23">
      <c r="B914"/>
      <c r="R914" t="s">
        <v>9752</v>
      </c>
      <c r="S914" t="s">
        <v>8623</v>
      </c>
      <c r="T914" t="s">
        <v>8601</v>
      </c>
      <c r="U914" s="62">
        <v>7.1</v>
      </c>
      <c r="V914" s="62" t="s">
        <v>8601</v>
      </c>
      <c r="W914" s="46">
        <v>0</v>
      </c>
    </row>
    <row r="915" spans="2:23">
      <c r="B915"/>
      <c r="R915" t="s">
        <v>9752</v>
      </c>
      <c r="S915" t="s">
        <v>8623</v>
      </c>
      <c r="T915" t="s">
        <v>8634</v>
      </c>
      <c r="U915" s="62">
        <v>7</v>
      </c>
      <c r="V915" s="62" t="s">
        <v>8601</v>
      </c>
      <c r="W915" s="46">
        <v>0</v>
      </c>
    </row>
    <row r="916" spans="2:23">
      <c r="B916"/>
      <c r="R916" t="s">
        <v>203</v>
      </c>
      <c r="S916" t="s">
        <v>8622</v>
      </c>
      <c r="T916" t="s">
        <v>8629</v>
      </c>
      <c r="U916" s="62">
        <v>7.3</v>
      </c>
      <c r="V916" s="62" t="s">
        <v>8601</v>
      </c>
      <c r="W916" s="46">
        <v>15000</v>
      </c>
    </row>
    <row r="917" spans="2:23">
      <c r="B917"/>
      <c r="R917" t="s">
        <v>203</v>
      </c>
      <c r="S917" t="s">
        <v>8622</v>
      </c>
      <c r="T917" t="s">
        <v>8630</v>
      </c>
      <c r="U917" s="62">
        <v>7.2</v>
      </c>
      <c r="V917" s="62" t="s">
        <v>8601</v>
      </c>
      <c r="W917" s="46">
        <v>15000</v>
      </c>
    </row>
    <row r="918" spans="2:23">
      <c r="B918"/>
      <c r="R918" t="s">
        <v>203</v>
      </c>
      <c r="S918" t="s">
        <v>8622</v>
      </c>
      <c r="T918" t="s">
        <v>8635</v>
      </c>
      <c r="U918" s="62">
        <v>7.2</v>
      </c>
      <c r="V918" s="62" t="s">
        <v>8601</v>
      </c>
      <c r="W918" s="46">
        <v>15000</v>
      </c>
    </row>
    <row r="919" spans="2:23">
      <c r="B919"/>
      <c r="R919" t="s">
        <v>203</v>
      </c>
      <c r="S919" t="s">
        <v>8622</v>
      </c>
      <c r="T919" t="s">
        <v>8631</v>
      </c>
      <c r="U919" s="62">
        <v>7</v>
      </c>
      <c r="V919" s="62" t="s">
        <v>8601</v>
      </c>
      <c r="W919" s="46">
        <v>15000</v>
      </c>
    </row>
    <row r="920" spans="2:23">
      <c r="B920"/>
      <c r="R920" t="s">
        <v>203</v>
      </c>
      <c r="S920" t="s">
        <v>8622</v>
      </c>
      <c r="T920" t="s">
        <v>8632</v>
      </c>
      <c r="U920" s="62">
        <v>7.1</v>
      </c>
      <c r="V920" s="62" t="s">
        <v>8601</v>
      </c>
      <c r="W920" s="46">
        <v>15000</v>
      </c>
    </row>
    <row r="921" spans="2:23">
      <c r="B921"/>
      <c r="R921" t="s">
        <v>203</v>
      </c>
      <c r="S921" t="s">
        <v>8622</v>
      </c>
      <c r="T921" t="s">
        <v>8633</v>
      </c>
      <c r="U921" s="62">
        <v>7.4</v>
      </c>
      <c r="V921" s="62" t="s">
        <v>8602</v>
      </c>
      <c r="W921" s="46">
        <v>5000</v>
      </c>
    </row>
    <row r="922" spans="2:23">
      <c r="B922"/>
      <c r="R922" t="s">
        <v>203</v>
      </c>
      <c r="S922" t="s">
        <v>8622</v>
      </c>
      <c r="T922" t="s">
        <v>8601</v>
      </c>
      <c r="U922" s="62">
        <v>7.7</v>
      </c>
      <c r="V922" s="62" t="s">
        <v>8602</v>
      </c>
      <c r="W922" s="46">
        <v>5000</v>
      </c>
    </row>
    <row r="923" spans="2:23">
      <c r="B923"/>
      <c r="R923" t="s">
        <v>203</v>
      </c>
      <c r="S923" t="s">
        <v>8622</v>
      </c>
      <c r="T923" t="s">
        <v>8634</v>
      </c>
      <c r="U923" s="62">
        <v>7.4</v>
      </c>
      <c r="V923" s="62" t="s">
        <v>8602</v>
      </c>
      <c r="W923" s="46">
        <v>5000</v>
      </c>
    </row>
    <row r="924" spans="2:23">
      <c r="B924"/>
      <c r="R924" t="s">
        <v>203</v>
      </c>
      <c r="S924" t="s">
        <v>8623</v>
      </c>
      <c r="T924" t="s">
        <v>8629</v>
      </c>
      <c r="U924" s="203">
        <v>7.1</v>
      </c>
      <c r="V924" s="203" t="s">
        <v>8601</v>
      </c>
      <c r="W924" s="51">
        <v>15000</v>
      </c>
    </row>
    <row r="925" spans="2:23">
      <c r="B925"/>
      <c r="R925" t="s">
        <v>203</v>
      </c>
      <c r="S925" t="s">
        <v>8623</v>
      </c>
      <c r="T925" t="s">
        <v>8630</v>
      </c>
      <c r="U925" s="62">
        <v>7.1</v>
      </c>
      <c r="V925" s="62" t="s">
        <v>8601</v>
      </c>
      <c r="W925" s="46">
        <v>15000</v>
      </c>
    </row>
    <row r="926" spans="2:23">
      <c r="B926"/>
      <c r="R926" t="s">
        <v>203</v>
      </c>
      <c r="S926" t="s">
        <v>8623</v>
      </c>
      <c r="T926" t="s">
        <v>8635</v>
      </c>
      <c r="U926" s="62">
        <v>7.1</v>
      </c>
      <c r="V926" s="62" t="s">
        <v>8601</v>
      </c>
      <c r="W926" s="46">
        <v>15000</v>
      </c>
    </row>
    <row r="927" spans="2:23">
      <c r="B927"/>
      <c r="R927" t="s">
        <v>203</v>
      </c>
      <c r="S927" t="s">
        <v>8623</v>
      </c>
      <c r="T927" t="s">
        <v>8631</v>
      </c>
      <c r="U927" s="62">
        <v>7.1</v>
      </c>
      <c r="V927" s="62" t="s">
        <v>8601</v>
      </c>
      <c r="W927" s="46">
        <v>15000</v>
      </c>
    </row>
    <row r="928" spans="2:23">
      <c r="B928"/>
      <c r="R928" t="s">
        <v>203</v>
      </c>
      <c r="S928" t="s">
        <v>8623</v>
      </c>
      <c r="T928" t="s">
        <v>8632</v>
      </c>
      <c r="U928" s="62">
        <v>7.3</v>
      </c>
      <c r="V928" s="62" t="s">
        <v>8601</v>
      </c>
      <c r="W928" s="46">
        <v>15000</v>
      </c>
    </row>
    <row r="929" spans="2:23">
      <c r="B929"/>
      <c r="R929" t="s">
        <v>203</v>
      </c>
      <c r="S929" t="s">
        <v>8623</v>
      </c>
      <c r="T929" t="s">
        <v>8633</v>
      </c>
      <c r="U929" s="62">
        <v>7.5</v>
      </c>
      <c r="V929" s="62" t="s">
        <v>8602</v>
      </c>
      <c r="W929" s="46">
        <v>5000</v>
      </c>
    </row>
    <row r="930" spans="2:23">
      <c r="B930"/>
      <c r="R930" t="s">
        <v>203</v>
      </c>
      <c r="S930" t="s">
        <v>8623</v>
      </c>
      <c r="T930" t="s">
        <v>8601</v>
      </c>
      <c r="U930" s="62">
        <v>7.8</v>
      </c>
      <c r="V930" s="62" t="s">
        <v>8602</v>
      </c>
      <c r="W930" s="46">
        <v>5000</v>
      </c>
    </row>
    <row r="931" spans="2:23">
      <c r="B931"/>
      <c r="R931" t="s">
        <v>203</v>
      </c>
      <c r="S931" t="s">
        <v>8623</v>
      </c>
      <c r="T931" t="s">
        <v>8634</v>
      </c>
      <c r="U931" s="62">
        <v>7.4</v>
      </c>
      <c r="V931" s="62" t="s">
        <v>8602</v>
      </c>
      <c r="W931" s="46">
        <v>5000</v>
      </c>
    </row>
    <row r="932" spans="2:23">
      <c r="B932"/>
      <c r="R932" t="s">
        <v>206</v>
      </c>
      <c r="S932" t="s">
        <v>8622</v>
      </c>
      <c r="T932" t="s">
        <v>8629</v>
      </c>
      <c r="U932" s="62">
        <v>7.4</v>
      </c>
      <c r="V932" s="62" t="s">
        <v>8602</v>
      </c>
      <c r="W932" s="46">
        <v>5000</v>
      </c>
    </row>
    <row r="933" spans="2:23">
      <c r="B933"/>
      <c r="R933" t="s">
        <v>206</v>
      </c>
      <c r="S933" t="s">
        <v>8622</v>
      </c>
      <c r="T933" t="s">
        <v>8630</v>
      </c>
      <c r="U933" s="62">
        <v>7.2</v>
      </c>
      <c r="V933" s="62" t="s">
        <v>8601</v>
      </c>
      <c r="W933" s="46">
        <v>15000</v>
      </c>
    </row>
    <row r="934" spans="2:23">
      <c r="B934"/>
      <c r="R934" t="s">
        <v>206</v>
      </c>
      <c r="S934" t="s">
        <v>8622</v>
      </c>
      <c r="T934" t="s">
        <v>8635</v>
      </c>
      <c r="U934" s="62">
        <v>7.1</v>
      </c>
      <c r="V934" s="62" t="s">
        <v>8601</v>
      </c>
      <c r="W934" s="46">
        <v>15000</v>
      </c>
    </row>
    <row r="935" spans="2:23">
      <c r="B935"/>
      <c r="R935" t="s">
        <v>206</v>
      </c>
      <c r="S935" t="s">
        <v>8622</v>
      </c>
      <c r="T935" t="s">
        <v>8631</v>
      </c>
      <c r="U935" s="203">
        <v>7</v>
      </c>
      <c r="V935" s="203" t="s">
        <v>8601</v>
      </c>
      <c r="W935" s="51">
        <v>15000</v>
      </c>
    </row>
    <row r="936" spans="2:23">
      <c r="B936"/>
      <c r="R936" t="s">
        <v>206</v>
      </c>
      <c r="S936" t="s">
        <v>8622</v>
      </c>
      <c r="T936" t="s">
        <v>8632</v>
      </c>
      <c r="U936" s="62">
        <v>7.2</v>
      </c>
      <c r="V936" s="62" t="s">
        <v>8601</v>
      </c>
      <c r="W936" s="46">
        <v>15000</v>
      </c>
    </row>
    <row r="937" spans="2:23">
      <c r="B937"/>
      <c r="R937" t="s">
        <v>206</v>
      </c>
      <c r="S937" t="s">
        <v>8622</v>
      </c>
      <c r="T937" t="s">
        <v>8633</v>
      </c>
      <c r="U937" s="62">
        <v>7.6</v>
      </c>
      <c r="V937" s="62" t="s">
        <v>8602</v>
      </c>
      <c r="W937" s="46">
        <v>5000</v>
      </c>
    </row>
    <row r="938" spans="2:23">
      <c r="B938"/>
      <c r="R938" t="s">
        <v>206</v>
      </c>
      <c r="S938" t="s">
        <v>8622</v>
      </c>
      <c r="T938" t="s">
        <v>8601</v>
      </c>
      <c r="U938" s="62">
        <v>7.9</v>
      </c>
      <c r="V938" s="62" t="s">
        <v>8602</v>
      </c>
      <c r="W938" s="46">
        <v>5000</v>
      </c>
    </row>
    <row r="939" spans="2:23">
      <c r="B939"/>
      <c r="R939" t="s">
        <v>206</v>
      </c>
      <c r="S939" t="s">
        <v>8622</v>
      </c>
      <c r="T939" t="s">
        <v>8634</v>
      </c>
      <c r="U939" s="62">
        <v>7.6</v>
      </c>
      <c r="V939" s="62" t="s">
        <v>8602</v>
      </c>
      <c r="W939" s="46">
        <v>5000</v>
      </c>
    </row>
    <row r="940" spans="2:23">
      <c r="B940"/>
      <c r="R940" t="s">
        <v>206</v>
      </c>
      <c r="S940" t="s">
        <v>8623</v>
      </c>
      <c r="T940" t="s">
        <v>8629</v>
      </c>
      <c r="U940" s="62">
        <v>7.2</v>
      </c>
      <c r="V940" s="62" t="s">
        <v>8601</v>
      </c>
      <c r="W940" s="46">
        <v>15000</v>
      </c>
    </row>
    <row r="941" spans="2:23">
      <c r="B941"/>
      <c r="R941" t="s">
        <v>206</v>
      </c>
      <c r="S941" t="s">
        <v>8623</v>
      </c>
      <c r="T941" t="s">
        <v>8630</v>
      </c>
      <c r="U941" s="62">
        <v>7</v>
      </c>
      <c r="V941" s="62" t="s">
        <v>8601</v>
      </c>
      <c r="W941" s="46">
        <v>15000</v>
      </c>
    </row>
    <row r="942" spans="2:23">
      <c r="B942"/>
      <c r="R942" t="s">
        <v>206</v>
      </c>
      <c r="S942" t="s">
        <v>8623</v>
      </c>
      <c r="T942" t="s">
        <v>8635</v>
      </c>
      <c r="U942" s="62">
        <v>7.1</v>
      </c>
      <c r="V942" s="62" t="s">
        <v>8601</v>
      </c>
      <c r="W942" s="46">
        <v>15000</v>
      </c>
    </row>
    <row r="943" spans="2:23">
      <c r="B943"/>
      <c r="R943" t="s">
        <v>206</v>
      </c>
      <c r="S943" t="s">
        <v>8623</v>
      </c>
      <c r="T943" t="s">
        <v>8631</v>
      </c>
      <c r="U943" s="62">
        <v>7.2</v>
      </c>
      <c r="V943" s="62" t="s">
        <v>8601</v>
      </c>
      <c r="W943" s="46">
        <v>15000</v>
      </c>
    </row>
    <row r="944" spans="2:23">
      <c r="B944"/>
      <c r="R944" t="s">
        <v>206</v>
      </c>
      <c r="S944" t="s">
        <v>8623</v>
      </c>
      <c r="T944" t="s">
        <v>8632</v>
      </c>
      <c r="U944" s="62">
        <v>7.6</v>
      </c>
      <c r="V944" s="62" t="s">
        <v>8602</v>
      </c>
      <c r="W944" s="46">
        <v>5000</v>
      </c>
    </row>
    <row r="945" spans="2:23">
      <c r="B945"/>
      <c r="R945" t="s">
        <v>206</v>
      </c>
      <c r="S945" t="s">
        <v>8623</v>
      </c>
      <c r="T945" t="s">
        <v>8633</v>
      </c>
      <c r="U945" s="62">
        <v>7.8</v>
      </c>
      <c r="V945" s="62" t="s">
        <v>8602</v>
      </c>
      <c r="W945" s="46">
        <v>5000</v>
      </c>
    </row>
    <row r="946" spans="2:23">
      <c r="B946"/>
      <c r="R946" t="s">
        <v>206</v>
      </c>
      <c r="S946" t="s">
        <v>8623</v>
      </c>
      <c r="T946" t="s">
        <v>8601</v>
      </c>
      <c r="U946" s="203">
        <v>7.9</v>
      </c>
      <c r="V946" s="203" t="s">
        <v>8602</v>
      </c>
      <c r="W946" s="51">
        <v>5000</v>
      </c>
    </row>
    <row r="947" spans="2:23">
      <c r="B947"/>
      <c r="R947" t="s">
        <v>206</v>
      </c>
      <c r="S947" t="s">
        <v>8623</v>
      </c>
      <c r="T947" t="s">
        <v>8634</v>
      </c>
      <c r="U947" s="62">
        <v>7.4</v>
      </c>
      <c r="V947" s="62" t="s">
        <v>8602</v>
      </c>
      <c r="W947" s="46">
        <v>5000</v>
      </c>
    </row>
    <row r="948" spans="2:23">
      <c r="B948"/>
      <c r="R948" t="s">
        <v>234</v>
      </c>
      <c r="S948" t="s">
        <v>8622</v>
      </c>
      <c r="T948" t="s">
        <v>8629</v>
      </c>
      <c r="U948" s="62">
        <v>7.3</v>
      </c>
      <c r="V948" s="62" t="s">
        <v>8601</v>
      </c>
      <c r="W948" s="46">
        <v>15000</v>
      </c>
    </row>
    <row r="949" spans="2:23">
      <c r="B949"/>
      <c r="R949" t="s">
        <v>234</v>
      </c>
      <c r="S949" t="s">
        <v>8622</v>
      </c>
      <c r="T949" t="s">
        <v>8630</v>
      </c>
      <c r="U949" s="62">
        <v>7.3</v>
      </c>
      <c r="V949" s="62" t="s">
        <v>8601</v>
      </c>
      <c r="W949" s="46">
        <v>15000</v>
      </c>
    </row>
    <row r="950" spans="2:23">
      <c r="B950"/>
      <c r="R950" t="s">
        <v>234</v>
      </c>
      <c r="S950" t="s">
        <v>8622</v>
      </c>
      <c r="T950" t="s">
        <v>8635</v>
      </c>
      <c r="U950" s="62">
        <v>7.4</v>
      </c>
      <c r="V950" s="62" t="s">
        <v>8602</v>
      </c>
      <c r="W950" s="46">
        <v>8000</v>
      </c>
    </row>
    <row r="951" spans="2:23">
      <c r="B951"/>
      <c r="R951" t="s">
        <v>234</v>
      </c>
      <c r="S951" t="s">
        <v>8622</v>
      </c>
      <c r="T951" t="s">
        <v>8631</v>
      </c>
      <c r="U951" s="62">
        <v>7.1</v>
      </c>
      <c r="V951" s="62" t="s">
        <v>8601</v>
      </c>
      <c r="W951" s="46">
        <v>15000</v>
      </c>
    </row>
    <row r="952" spans="2:23">
      <c r="B952"/>
      <c r="R952" t="s">
        <v>234</v>
      </c>
      <c r="S952" t="s">
        <v>8622</v>
      </c>
      <c r="T952" t="s">
        <v>8632</v>
      </c>
      <c r="U952" s="62">
        <v>7.1</v>
      </c>
      <c r="V952" s="62" t="s">
        <v>8601</v>
      </c>
      <c r="W952" s="46">
        <v>15000</v>
      </c>
    </row>
    <row r="953" spans="2:23">
      <c r="B953"/>
      <c r="R953" t="s">
        <v>234</v>
      </c>
      <c r="S953" t="s">
        <v>8622</v>
      </c>
      <c r="T953" t="s">
        <v>8633</v>
      </c>
      <c r="U953" s="62">
        <v>7.4</v>
      </c>
      <c r="V953" s="62" t="s">
        <v>8602</v>
      </c>
      <c r="W953" s="46">
        <v>8000</v>
      </c>
    </row>
    <row r="954" spans="2:23">
      <c r="B954"/>
      <c r="R954" t="s">
        <v>234</v>
      </c>
      <c r="S954" t="s">
        <v>8622</v>
      </c>
      <c r="T954" t="s">
        <v>8601</v>
      </c>
      <c r="U954" s="62">
        <v>7.5</v>
      </c>
      <c r="V954" s="62" t="s">
        <v>8602</v>
      </c>
      <c r="W954" s="46">
        <v>8000</v>
      </c>
    </row>
    <row r="955" spans="2:23">
      <c r="B955"/>
      <c r="R955" t="s">
        <v>234</v>
      </c>
      <c r="S955" t="s">
        <v>8622</v>
      </c>
      <c r="T955" t="s">
        <v>8634</v>
      </c>
      <c r="U955" s="62">
        <v>7.3</v>
      </c>
      <c r="V955" s="62" t="s">
        <v>8601</v>
      </c>
      <c r="W955" s="46">
        <v>15000</v>
      </c>
    </row>
    <row r="956" spans="2:23">
      <c r="B956"/>
      <c r="R956" t="s">
        <v>234</v>
      </c>
      <c r="S956" t="s">
        <v>8623</v>
      </c>
      <c r="T956" t="s">
        <v>8629</v>
      </c>
      <c r="U956" s="62">
        <v>7.3</v>
      </c>
      <c r="V956" s="62" t="s">
        <v>8601</v>
      </c>
      <c r="W956" s="46">
        <v>15000</v>
      </c>
    </row>
    <row r="957" spans="2:23">
      <c r="B957"/>
      <c r="R957" t="s">
        <v>234</v>
      </c>
      <c r="S957" t="s">
        <v>8623</v>
      </c>
      <c r="T957" t="s">
        <v>8630</v>
      </c>
      <c r="U957" s="203">
        <v>7.2</v>
      </c>
      <c r="V957" s="203" t="s">
        <v>8601</v>
      </c>
      <c r="W957" s="51">
        <v>15000</v>
      </c>
    </row>
    <row r="958" spans="2:23">
      <c r="B958"/>
      <c r="R958" t="s">
        <v>234</v>
      </c>
      <c r="S958" t="s">
        <v>8623</v>
      </c>
      <c r="T958" t="s">
        <v>8635</v>
      </c>
      <c r="U958" s="62">
        <v>7.3</v>
      </c>
      <c r="V958" s="62" t="s">
        <v>8601</v>
      </c>
      <c r="W958" s="46">
        <v>15000</v>
      </c>
    </row>
    <row r="959" spans="2:23">
      <c r="B959"/>
      <c r="R959" t="s">
        <v>234</v>
      </c>
      <c r="S959" t="s">
        <v>8623</v>
      </c>
      <c r="T959" t="s">
        <v>8631</v>
      </c>
      <c r="U959" s="62">
        <v>7.1</v>
      </c>
      <c r="V959" s="62" t="s">
        <v>8601</v>
      </c>
      <c r="W959" s="46">
        <v>15000</v>
      </c>
    </row>
    <row r="960" spans="2:23">
      <c r="B960"/>
      <c r="R960" t="s">
        <v>234</v>
      </c>
      <c r="S960" t="s">
        <v>8623</v>
      </c>
      <c r="T960" t="s">
        <v>8632</v>
      </c>
      <c r="U960" s="62">
        <v>7.2</v>
      </c>
      <c r="V960" s="62" t="s">
        <v>8601</v>
      </c>
      <c r="W960" s="46">
        <v>15000</v>
      </c>
    </row>
    <row r="961" spans="2:23">
      <c r="B961"/>
      <c r="R961" t="s">
        <v>234</v>
      </c>
      <c r="S961" t="s">
        <v>8623</v>
      </c>
      <c r="T961" t="s">
        <v>8633</v>
      </c>
      <c r="U961" s="62">
        <v>7.4</v>
      </c>
      <c r="V961" s="62" t="s">
        <v>8602</v>
      </c>
      <c r="W961" s="46">
        <v>8000</v>
      </c>
    </row>
    <row r="962" spans="2:23">
      <c r="B962"/>
      <c r="R962" t="s">
        <v>234</v>
      </c>
      <c r="S962" t="s">
        <v>8623</v>
      </c>
      <c r="T962" t="s">
        <v>8601</v>
      </c>
      <c r="U962" s="62">
        <v>7.6</v>
      </c>
      <c r="V962" s="62" t="s">
        <v>8602</v>
      </c>
      <c r="W962" s="46">
        <v>8000</v>
      </c>
    </row>
    <row r="963" spans="2:23">
      <c r="B963"/>
      <c r="R963" t="s">
        <v>234</v>
      </c>
      <c r="S963" t="s">
        <v>8623</v>
      </c>
      <c r="T963" t="s">
        <v>8634</v>
      </c>
      <c r="U963" s="62">
        <v>7.4</v>
      </c>
      <c r="V963" s="62" t="s">
        <v>8602</v>
      </c>
      <c r="W963" s="46">
        <v>8000</v>
      </c>
    </row>
    <row r="964" spans="2:23">
      <c r="B964"/>
      <c r="R964" t="s">
        <v>210</v>
      </c>
      <c r="S964" t="s">
        <v>8622</v>
      </c>
      <c r="T964" t="s">
        <v>8629</v>
      </c>
      <c r="U964" s="62">
        <v>7.1</v>
      </c>
      <c r="V964" s="62" t="s">
        <v>8601</v>
      </c>
      <c r="W964" s="46">
        <v>15000</v>
      </c>
    </row>
    <row r="965" spans="2:23">
      <c r="B965"/>
      <c r="R965" t="s">
        <v>210</v>
      </c>
      <c r="S965" t="s">
        <v>8622</v>
      </c>
      <c r="T965" t="s">
        <v>8630</v>
      </c>
      <c r="U965" s="62">
        <v>7</v>
      </c>
      <c r="V965" s="62" t="s">
        <v>8601</v>
      </c>
      <c r="W965" s="46">
        <v>15000</v>
      </c>
    </row>
    <row r="966" spans="2:23">
      <c r="B966"/>
      <c r="R966" t="s">
        <v>210</v>
      </c>
      <c r="S966" t="s">
        <v>8622</v>
      </c>
      <c r="T966" t="s">
        <v>8635</v>
      </c>
      <c r="U966" s="62">
        <v>7</v>
      </c>
      <c r="V966" s="62" t="s">
        <v>8601</v>
      </c>
      <c r="W966" s="46">
        <v>15000</v>
      </c>
    </row>
    <row r="967" spans="2:23">
      <c r="B967"/>
      <c r="R967" t="s">
        <v>210</v>
      </c>
      <c r="S967" t="s">
        <v>8622</v>
      </c>
      <c r="T967" t="s">
        <v>8631</v>
      </c>
      <c r="U967" s="62">
        <v>7.1</v>
      </c>
      <c r="V967" s="62" t="s">
        <v>8601</v>
      </c>
      <c r="W967" s="46">
        <v>15000</v>
      </c>
    </row>
    <row r="968" spans="2:23">
      <c r="B968"/>
      <c r="R968" t="s">
        <v>210</v>
      </c>
      <c r="S968" t="s">
        <v>8622</v>
      </c>
      <c r="T968" t="s">
        <v>8632</v>
      </c>
      <c r="U968" s="62">
        <v>7.2</v>
      </c>
      <c r="V968" s="62" t="s">
        <v>8602</v>
      </c>
      <c r="W968" s="46">
        <v>5000</v>
      </c>
    </row>
    <row r="969" spans="2:23">
      <c r="B969"/>
      <c r="R969" t="s">
        <v>210</v>
      </c>
      <c r="S969" t="s">
        <v>8622</v>
      </c>
      <c r="T969" t="s">
        <v>8633</v>
      </c>
      <c r="U969" s="62">
        <v>7.2</v>
      </c>
      <c r="V969" s="62" t="s">
        <v>8602</v>
      </c>
      <c r="W969" s="46">
        <v>5000</v>
      </c>
    </row>
    <row r="970" spans="2:23">
      <c r="B970"/>
      <c r="R970" t="s">
        <v>210</v>
      </c>
      <c r="S970" t="s">
        <v>8622</v>
      </c>
      <c r="T970" t="s">
        <v>8601</v>
      </c>
      <c r="U970" s="203">
        <v>7.2</v>
      </c>
      <c r="V970" s="203" t="s">
        <v>8602</v>
      </c>
      <c r="W970" s="51">
        <v>5000</v>
      </c>
    </row>
    <row r="971" spans="2:23">
      <c r="B971"/>
      <c r="R971" t="s">
        <v>210</v>
      </c>
      <c r="S971" t="s">
        <v>8622</v>
      </c>
      <c r="T971" t="s">
        <v>8634</v>
      </c>
      <c r="U971" s="62">
        <v>7.1</v>
      </c>
      <c r="V971" s="62" t="s">
        <v>8601</v>
      </c>
      <c r="W971" s="46">
        <v>15000</v>
      </c>
    </row>
    <row r="972" spans="2:23">
      <c r="B972"/>
      <c r="R972" t="s">
        <v>210</v>
      </c>
      <c r="S972" t="s">
        <v>8623</v>
      </c>
      <c r="T972" t="s">
        <v>8629</v>
      </c>
      <c r="U972" s="62">
        <v>7.2</v>
      </c>
      <c r="V972" s="62" t="s">
        <v>8602</v>
      </c>
      <c r="W972" s="46">
        <v>5000</v>
      </c>
    </row>
    <row r="973" spans="2:23">
      <c r="B973"/>
      <c r="R973" t="s">
        <v>210</v>
      </c>
      <c r="S973" t="s">
        <v>8623</v>
      </c>
      <c r="T973" t="s">
        <v>8630</v>
      </c>
      <c r="U973" s="62">
        <v>7</v>
      </c>
      <c r="V973" s="62" t="s">
        <v>8601</v>
      </c>
      <c r="W973" s="46">
        <v>15000</v>
      </c>
    </row>
    <row r="974" spans="2:23">
      <c r="B974"/>
      <c r="R974" t="s">
        <v>210</v>
      </c>
      <c r="S974" t="s">
        <v>8623</v>
      </c>
      <c r="T974" t="s">
        <v>8635</v>
      </c>
      <c r="U974" s="62">
        <v>7</v>
      </c>
      <c r="V974" s="62" t="s">
        <v>8601</v>
      </c>
      <c r="W974" s="46">
        <v>15000</v>
      </c>
    </row>
    <row r="975" spans="2:23">
      <c r="B975"/>
      <c r="R975" t="s">
        <v>210</v>
      </c>
      <c r="S975" t="s">
        <v>8623</v>
      </c>
      <c r="T975" t="s">
        <v>8631</v>
      </c>
      <c r="U975" s="62">
        <v>7</v>
      </c>
      <c r="V975" s="62" t="s">
        <v>8601</v>
      </c>
      <c r="W975" s="46">
        <v>15000</v>
      </c>
    </row>
    <row r="976" spans="2:23">
      <c r="B976"/>
      <c r="R976" t="s">
        <v>210</v>
      </c>
      <c r="S976" t="s">
        <v>8623</v>
      </c>
      <c r="T976" t="s">
        <v>8632</v>
      </c>
      <c r="U976" s="62">
        <v>7.1</v>
      </c>
      <c r="V976" s="62" t="s">
        <v>8601</v>
      </c>
      <c r="W976" s="46">
        <v>15000</v>
      </c>
    </row>
    <row r="977" spans="2:23">
      <c r="B977"/>
      <c r="R977" t="s">
        <v>210</v>
      </c>
      <c r="S977" t="s">
        <v>8623</v>
      </c>
      <c r="T977" t="s">
        <v>8633</v>
      </c>
      <c r="U977" s="62">
        <v>7.1</v>
      </c>
      <c r="V977" s="62" t="s">
        <v>8601</v>
      </c>
      <c r="W977" s="46">
        <v>15000</v>
      </c>
    </row>
    <row r="978" spans="2:23">
      <c r="B978"/>
      <c r="R978" t="s">
        <v>210</v>
      </c>
      <c r="S978" t="s">
        <v>8623</v>
      </c>
      <c r="T978" t="s">
        <v>8601</v>
      </c>
      <c r="U978" s="62">
        <v>7.2</v>
      </c>
      <c r="V978" s="62" t="s">
        <v>8602</v>
      </c>
      <c r="W978" s="46">
        <v>5000</v>
      </c>
    </row>
    <row r="979" spans="2:23">
      <c r="B979"/>
      <c r="R979" t="s">
        <v>210</v>
      </c>
      <c r="S979" t="s">
        <v>8623</v>
      </c>
      <c r="T979" t="s">
        <v>8634</v>
      </c>
      <c r="U979" s="62">
        <v>7.2</v>
      </c>
      <c r="V979" s="62" t="s">
        <v>8602</v>
      </c>
      <c r="W979" s="46">
        <v>5000</v>
      </c>
    </row>
    <row r="980" spans="2:23">
      <c r="B980"/>
      <c r="R980" t="s">
        <v>226</v>
      </c>
      <c r="S980" t="s">
        <v>8622</v>
      </c>
      <c r="T980" t="s">
        <v>8629</v>
      </c>
      <c r="U980" s="62">
        <v>7.3</v>
      </c>
      <c r="V980" s="62" t="s">
        <v>8602</v>
      </c>
      <c r="W980" s="46">
        <v>5000</v>
      </c>
    </row>
    <row r="981" spans="2:23">
      <c r="B981"/>
      <c r="R981" t="s">
        <v>226</v>
      </c>
      <c r="S981" t="s">
        <v>8622</v>
      </c>
      <c r="T981" t="s">
        <v>8630</v>
      </c>
      <c r="U981" s="203">
        <v>7.1</v>
      </c>
      <c r="V981" s="203" t="s">
        <v>8601</v>
      </c>
      <c r="W981" s="51">
        <v>15000</v>
      </c>
    </row>
    <row r="982" spans="2:23">
      <c r="B982"/>
      <c r="R982" t="s">
        <v>226</v>
      </c>
      <c r="S982" t="s">
        <v>8622</v>
      </c>
      <c r="T982" t="s">
        <v>8635</v>
      </c>
      <c r="U982" s="62">
        <v>7</v>
      </c>
      <c r="V982" s="62" t="s">
        <v>8601</v>
      </c>
      <c r="W982" s="46">
        <v>15000</v>
      </c>
    </row>
    <row r="983" spans="2:23">
      <c r="B983"/>
      <c r="R983" t="s">
        <v>226</v>
      </c>
      <c r="S983" t="s">
        <v>8622</v>
      </c>
      <c r="T983" t="s">
        <v>8631</v>
      </c>
      <c r="U983" s="62">
        <v>7.1</v>
      </c>
      <c r="V983" s="62" t="s">
        <v>8601</v>
      </c>
      <c r="W983" s="46">
        <v>15000</v>
      </c>
    </row>
    <row r="984" spans="2:23">
      <c r="B984"/>
      <c r="R984" t="s">
        <v>226</v>
      </c>
      <c r="S984" t="s">
        <v>8622</v>
      </c>
      <c r="T984" t="s">
        <v>8632</v>
      </c>
      <c r="U984" s="62">
        <v>7.3</v>
      </c>
      <c r="V984" s="62" t="s">
        <v>8602</v>
      </c>
      <c r="W984" s="46">
        <v>5000</v>
      </c>
    </row>
    <row r="985" spans="2:23">
      <c r="B985"/>
      <c r="R985" t="s">
        <v>226</v>
      </c>
      <c r="S985" t="s">
        <v>8622</v>
      </c>
      <c r="T985" t="s">
        <v>8633</v>
      </c>
      <c r="U985" s="62">
        <v>7.2</v>
      </c>
      <c r="V985" s="62" t="s">
        <v>8601</v>
      </c>
      <c r="W985" s="46">
        <v>15000</v>
      </c>
    </row>
    <row r="986" spans="2:23">
      <c r="B986"/>
      <c r="R986" t="s">
        <v>226</v>
      </c>
      <c r="S986" t="s">
        <v>8622</v>
      </c>
      <c r="T986" t="s">
        <v>8601</v>
      </c>
      <c r="U986" s="62">
        <v>7.1</v>
      </c>
      <c r="V986" s="62" t="s">
        <v>8601</v>
      </c>
      <c r="W986" s="46">
        <v>15000</v>
      </c>
    </row>
    <row r="987" spans="2:23">
      <c r="B987"/>
      <c r="R987" t="s">
        <v>226</v>
      </c>
      <c r="S987" t="s">
        <v>8622</v>
      </c>
      <c r="T987" t="s">
        <v>8634</v>
      </c>
      <c r="U987" s="62">
        <v>7.2</v>
      </c>
      <c r="V987" s="62" t="s">
        <v>8601</v>
      </c>
      <c r="W987" s="46">
        <v>15000</v>
      </c>
    </row>
    <row r="988" spans="2:23">
      <c r="B988"/>
      <c r="R988" t="s">
        <v>226</v>
      </c>
      <c r="S988" t="s">
        <v>8623</v>
      </c>
      <c r="T988" t="s">
        <v>8629</v>
      </c>
      <c r="U988" s="62">
        <v>7.3</v>
      </c>
      <c r="V988" s="62" t="s">
        <v>8602</v>
      </c>
      <c r="W988" s="46">
        <v>5000</v>
      </c>
    </row>
    <row r="989" spans="2:23">
      <c r="B989"/>
      <c r="R989" t="s">
        <v>226</v>
      </c>
      <c r="S989" t="s">
        <v>8623</v>
      </c>
      <c r="T989" t="s">
        <v>8630</v>
      </c>
      <c r="U989" s="62">
        <v>7.1</v>
      </c>
      <c r="V989" s="62" t="s">
        <v>8601</v>
      </c>
      <c r="W989" s="46">
        <v>15000</v>
      </c>
    </row>
    <row r="990" spans="2:23">
      <c r="B990"/>
      <c r="R990" t="s">
        <v>226</v>
      </c>
      <c r="S990" t="s">
        <v>8623</v>
      </c>
      <c r="T990" t="s">
        <v>8635</v>
      </c>
      <c r="U990" s="62">
        <v>7</v>
      </c>
      <c r="V990" s="62" t="s">
        <v>8601</v>
      </c>
      <c r="W990" s="46">
        <v>15000</v>
      </c>
    </row>
    <row r="991" spans="2:23">
      <c r="B991"/>
      <c r="R991" t="s">
        <v>226</v>
      </c>
      <c r="S991" t="s">
        <v>8623</v>
      </c>
      <c r="T991" t="s">
        <v>8631</v>
      </c>
      <c r="U991" s="62">
        <v>7.1</v>
      </c>
      <c r="V991" s="62" t="s">
        <v>8601</v>
      </c>
      <c r="W991" s="46">
        <v>15000</v>
      </c>
    </row>
    <row r="992" spans="2:23">
      <c r="B992"/>
      <c r="R992" t="s">
        <v>226</v>
      </c>
      <c r="S992" t="s">
        <v>8623</v>
      </c>
      <c r="T992" t="s">
        <v>8632</v>
      </c>
      <c r="U992" s="203">
        <v>7.3</v>
      </c>
      <c r="V992" s="203" t="s">
        <v>8602</v>
      </c>
      <c r="W992" s="51">
        <v>5000</v>
      </c>
    </row>
    <row r="993" spans="2:23">
      <c r="B993"/>
      <c r="R993" t="s">
        <v>226</v>
      </c>
      <c r="S993" t="s">
        <v>8623</v>
      </c>
      <c r="T993" t="s">
        <v>8633</v>
      </c>
      <c r="U993" s="62">
        <v>7.2</v>
      </c>
      <c r="V993" s="62" t="s">
        <v>8601</v>
      </c>
      <c r="W993" s="46">
        <v>15000</v>
      </c>
    </row>
    <row r="994" spans="2:23">
      <c r="B994"/>
      <c r="R994" t="s">
        <v>226</v>
      </c>
      <c r="S994" t="s">
        <v>8623</v>
      </c>
      <c r="T994" t="s">
        <v>8601</v>
      </c>
      <c r="U994" s="62">
        <v>7.1</v>
      </c>
      <c r="V994" s="62" t="s">
        <v>8601</v>
      </c>
      <c r="W994" s="46">
        <v>15000</v>
      </c>
    </row>
    <row r="995" spans="2:23">
      <c r="B995"/>
      <c r="R995" t="s">
        <v>226</v>
      </c>
      <c r="S995" t="s">
        <v>8623</v>
      </c>
      <c r="T995" t="s">
        <v>8634</v>
      </c>
      <c r="U995" s="62">
        <v>7.2</v>
      </c>
      <c r="V995" s="62" t="s">
        <v>8602</v>
      </c>
      <c r="W995" s="46">
        <v>5000</v>
      </c>
    </row>
    <row r="996" spans="2:23">
      <c r="B996"/>
      <c r="R996" t="s">
        <v>227</v>
      </c>
      <c r="S996" t="s">
        <v>8622</v>
      </c>
      <c r="T996" t="s">
        <v>8629</v>
      </c>
      <c r="U996" s="62">
        <v>7.4</v>
      </c>
      <c r="V996" s="62" t="s">
        <v>8602</v>
      </c>
      <c r="W996" s="46">
        <v>5000</v>
      </c>
    </row>
    <row r="997" spans="2:23">
      <c r="B997"/>
      <c r="R997" t="s">
        <v>227</v>
      </c>
      <c r="S997" t="s">
        <v>8622</v>
      </c>
      <c r="T997" t="s">
        <v>8630</v>
      </c>
      <c r="U997" s="62">
        <v>7.1</v>
      </c>
      <c r="V997" s="62" t="s">
        <v>8601</v>
      </c>
      <c r="W997" s="46">
        <v>15000</v>
      </c>
    </row>
    <row r="998" spans="2:23">
      <c r="B998"/>
      <c r="R998" t="s">
        <v>227</v>
      </c>
      <c r="S998" t="s">
        <v>8622</v>
      </c>
      <c r="T998" t="s">
        <v>8635</v>
      </c>
      <c r="U998" s="62">
        <v>7</v>
      </c>
      <c r="V998" s="62" t="s">
        <v>8601</v>
      </c>
      <c r="W998" s="46">
        <v>15000</v>
      </c>
    </row>
    <row r="999" spans="2:23">
      <c r="B999"/>
      <c r="R999" t="s">
        <v>227</v>
      </c>
      <c r="S999" t="s">
        <v>8622</v>
      </c>
      <c r="T999" t="s">
        <v>8631</v>
      </c>
      <c r="U999" s="62">
        <v>7</v>
      </c>
      <c r="V999" s="62" t="s">
        <v>8601</v>
      </c>
      <c r="W999" s="46">
        <v>15000</v>
      </c>
    </row>
    <row r="1000" spans="2:23">
      <c r="B1000"/>
      <c r="R1000" t="s">
        <v>227</v>
      </c>
      <c r="S1000" t="s">
        <v>8622</v>
      </c>
      <c r="T1000" t="s">
        <v>8632</v>
      </c>
      <c r="U1000" s="62">
        <v>7.2</v>
      </c>
      <c r="V1000" s="62" t="s">
        <v>8601</v>
      </c>
      <c r="W1000" s="46">
        <v>15000</v>
      </c>
    </row>
    <row r="1001" spans="2:23">
      <c r="B1001"/>
      <c r="R1001" t="s">
        <v>227</v>
      </c>
      <c r="S1001" t="s">
        <v>8622</v>
      </c>
      <c r="T1001" t="s">
        <v>8633</v>
      </c>
      <c r="U1001" s="62">
        <v>7.2</v>
      </c>
      <c r="V1001" s="62" t="s">
        <v>8601</v>
      </c>
      <c r="W1001" s="46">
        <v>15000</v>
      </c>
    </row>
    <row r="1002" spans="2:23">
      <c r="B1002"/>
      <c r="R1002" t="s">
        <v>227</v>
      </c>
      <c r="S1002" t="s">
        <v>8622</v>
      </c>
      <c r="T1002" t="s">
        <v>8601</v>
      </c>
      <c r="U1002" s="62">
        <v>7.2</v>
      </c>
      <c r="V1002" s="62" t="s">
        <v>8602</v>
      </c>
      <c r="W1002" s="46">
        <v>5000</v>
      </c>
    </row>
    <row r="1003" spans="2:23">
      <c r="B1003"/>
      <c r="R1003" t="s">
        <v>227</v>
      </c>
      <c r="S1003" t="s">
        <v>8622</v>
      </c>
      <c r="T1003" t="s">
        <v>8634</v>
      </c>
      <c r="U1003" s="62">
        <v>7.3</v>
      </c>
      <c r="V1003" s="62" t="s">
        <v>8602</v>
      </c>
      <c r="W1003" s="46">
        <v>5000</v>
      </c>
    </row>
    <row r="1004" spans="2:23">
      <c r="B1004"/>
      <c r="R1004" t="s">
        <v>227</v>
      </c>
      <c r="S1004" t="s">
        <v>8623</v>
      </c>
      <c r="T1004" t="s">
        <v>8629</v>
      </c>
      <c r="U1004" s="62">
        <v>7.2</v>
      </c>
      <c r="V1004" s="62" t="s">
        <v>8601</v>
      </c>
      <c r="W1004" s="46">
        <v>15000</v>
      </c>
    </row>
    <row r="1005" spans="2:23">
      <c r="B1005"/>
      <c r="R1005" t="s">
        <v>227</v>
      </c>
      <c r="S1005" t="s">
        <v>8623</v>
      </c>
      <c r="T1005" t="s">
        <v>8630</v>
      </c>
      <c r="U1005" s="62">
        <v>7</v>
      </c>
      <c r="V1005" s="62" t="s">
        <v>8601</v>
      </c>
      <c r="W1005" s="46">
        <v>15000</v>
      </c>
    </row>
    <row r="1006" spans="2:23">
      <c r="B1006"/>
      <c r="R1006" t="s">
        <v>227</v>
      </c>
      <c r="S1006" t="s">
        <v>8623</v>
      </c>
      <c r="T1006" t="s">
        <v>8635</v>
      </c>
      <c r="U1006" s="62">
        <v>7.1</v>
      </c>
      <c r="V1006" s="62" t="s">
        <v>8601</v>
      </c>
      <c r="W1006" s="46">
        <v>15000</v>
      </c>
    </row>
    <row r="1007" spans="2:23">
      <c r="B1007"/>
      <c r="R1007" t="s">
        <v>227</v>
      </c>
      <c r="S1007" t="s">
        <v>8623</v>
      </c>
      <c r="T1007" t="s">
        <v>8631</v>
      </c>
      <c r="U1007" s="62">
        <v>7.2</v>
      </c>
      <c r="V1007" s="62" t="s">
        <v>8601</v>
      </c>
      <c r="W1007" s="46">
        <v>15000</v>
      </c>
    </row>
    <row r="1008" spans="2:23">
      <c r="B1008"/>
      <c r="R1008" t="s">
        <v>227</v>
      </c>
      <c r="S1008" t="s">
        <v>8623</v>
      </c>
      <c r="T1008" t="s">
        <v>8632</v>
      </c>
      <c r="U1008" s="62">
        <v>7.4</v>
      </c>
      <c r="V1008" s="62" t="s">
        <v>8602</v>
      </c>
      <c r="W1008" s="46">
        <v>5000</v>
      </c>
    </row>
    <row r="1009" spans="2:23">
      <c r="B1009"/>
      <c r="R1009" t="s">
        <v>227</v>
      </c>
      <c r="S1009" t="s">
        <v>8623</v>
      </c>
      <c r="T1009" t="s">
        <v>8633</v>
      </c>
      <c r="U1009" s="62">
        <v>7.3</v>
      </c>
      <c r="V1009" s="62" t="s">
        <v>8602</v>
      </c>
      <c r="W1009" s="46">
        <v>5000</v>
      </c>
    </row>
    <row r="1010" spans="2:23">
      <c r="B1010"/>
      <c r="R1010" t="s">
        <v>227</v>
      </c>
      <c r="S1010" t="s">
        <v>8623</v>
      </c>
      <c r="T1010" t="s">
        <v>8601</v>
      </c>
      <c r="U1010" s="62">
        <v>7.2</v>
      </c>
      <c r="V1010" s="62" t="s">
        <v>8601</v>
      </c>
      <c r="W1010" s="46">
        <v>15000</v>
      </c>
    </row>
    <row r="1011" spans="2:23">
      <c r="B1011"/>
      <c r="R1011" t="s">
        <v>227</v>
      </c>
      <c r="S1011" t="s">
        <v>8623</v>
      </c>
      <c r="T1011" t="s">
        <v>8634</v>
      </c>
      <c r="U1011" s="62">
        <v>7.2</v>
      </c>
      <c r="V1011" s="62" t="s">
        <v>8601</v>
      </c>
      <c r="W1011" s="46">
        <v>15000</v>
      </c>
    </row>
    <row r="1012" spans="2:23">
      <c r="B1012"/>
      <c r="R1012" t="s">
        <v>8775</v>
      </c>
      <c r="S1012" t="s">
        <v>8622</v>
      </c>
      <c r="T1012" t="s">
        <v>8629</v>
      </c>
      <c r="U1012" s="62">
        <v>7.4</v>
      </c>
      <c r="V1012" s="62" t="s">
        <v>8602</v>
      </c>
      <c r="W1012" s="46">
        <v>5000</v>
      </c>
    </row>
    <row r="1013" spans="2:23">
      <c r="B1013"/>
      <c r="R1013" t="s">
        <v>8775</v>
      </c>
      <c r="S1013" t="s">
        <v>8622</v>
      </c>
      <c r="T1013" t="s">
        <v>8630</v>
      </c>
      <c r="U1013" s="62">
        <v>7.2</v>
      </c>
      <c r="V1013" s="62" t="s">
        <v>8601</v>
      </c>
      <c r="W1013" s="46">
        <v>15000</v>
      </c>
    </row>
    <row r="1014" spans="2:23">
      <c r="B1014"/>
      <c r="R1014" t="s">
        <v>8775</v>
      </c>
      <c r="S1014" t="s">
        <v>8622</v>
      </c>
      <c r="T1014" t="s">
        <v>8635</v>
      </c>
      <c r="U1014" s="62">
        <v>7.1</v>
      </c>
      <c r="V1014" s="62" t="s">
        <v>8601</v>
      </c>
      <c r="W1014" s="46">
        <v>15000</v>
      </c>
    </row>
    <row r="1015" spans="2:23">
      <c r="B1015"/>
      <c r="R1015" t="s">
        <v>8775</v>
      </c>
      <c r="S1015" t="s">
        <v>8622</v>
      </c>
      <c r="T1015" t="s">
        <v>8631</v>
      </c>
      <c r="U1015" s="62">
        <v>7</v>
      </c>
      <c r="V1015" s="62" t="s">
        <v>8601</v>
      </c>
      <c r="W1015" s="46">
        <v>15000</v>
      </c>
    </row>
    <row r="1016" spans="2:23">
      <c r="B1016"/>
      <c r="R1016" t="s">
        <v>8775</v>
      </c>
      <c r="S1016" t="s">
        <v>8622</v>
      </c>
      <c r="T1016" t="s">
        <v>8632</v>
      </c>
      <c r="U1016" s="62">
        <v>7</v>
      </c>
      <c r="V1016" s="62" t="s">
        <v>8601</v>
      </c>
      <c r="W1016" s="46">
        <v>15000</v>
      </c>
    </row>
    <row r="1017" spans="2:23">
      <c r="B1017"/>
      <c r="R1017" t="s">
        <v>8775</v>
      </c>
      <c r="S1017" t="s">
        <v>8622</v>
      </c>
      <c r="T1017" t="s">
        <v>8633</v>
      </c>
      <c r="U1017" s="62">
        <v>7.1</v>
      </c>
      <c r="V1017" s="62" t="s">
        <v>8601</v>
      </c>
      <c r="W1017" s="46">
        <v>15000</v>
      </c>
    </row>
    <row r="1018" spans="2:23">
      <c r="B1018"/>
      <c r="R1018" t="s">
        <v>8775</v>
      </c>
      <c r="S1018" t="s">
        <v>8622</v>
      </c>
      <c r="T1018" t="s">
        <v>8601</v>
      </c>
      <c r="U1018" s="203">
        <v>7.3</v>
      </c>
      <c r="V1018" s="203" t="s">
        <v>8602</v>
      </c>
      <c r="W1018" s="51">
        <v>5000</v>
      </c>
    </row>
    <row r="1019" spans="2:23">
      <c r="B1019"/>
      <c r="R1019" t="s">
        <v>8775</v>
      </c>
      <c r="S1019" t="s">
        <v>8622</v>
      </c>
      <c r="T1019" t="s">
        <v>8634</v>
      </c>
      <c r="U1019" s="62">
        <v>7.3</v>
      </c>
      <c r="V1019" s="62" t="s">
        <v>8602</v>
      </c>
      <c r="W1019" s="46">
        <v>5000</v>
      </c>
    </row>
    <row r="1020" spans="2:23">
      <c r="B1020"/>
      <c r="R1020" t="s">
        <v>8775</v>
      </c>
      <c r="S1020" t="s">
        <v>8623</v>
      </c>
      <c r="T1020" t="s">
        <v>8629</v>
      </c>
      <c r="U1020" s="62">
        <v>7</v>
      </c>
      <c r="V1020" s="62" t="s">
        <v>8601</v>
      </c>
      <c r="W1020" s="46">
        <v>15000</v>
      </c>
    </row>
    <row r="1021" spans="2:23">
      <c r="B1021"/>
      <c r="R1021" t="s">
        <v>8775</v>
      </c>
      <c r="S1021" t="s">
        <v>8623</v>
      </c>
      <c r="T1021" t="s">
        <v>8630</v>
      </c>
      <c r="U1021" s="62">
        <v>7.1</v>
      </c>
      <c r="V1021" s="62" t="s">
        <v>8601</v>
      </c>
      <c r="W1021" s="46">
        <v>15000</v>
      </c>
    </row>
    <row r="1022" spans="2:23">
      <c r="B1022"/>
      <c r="R1022" t="s">
        <v>8775</v>
      </c>
      <c r="S1022" t="s">
        <v>8623</v>
      </c>
      <c r="T1022" t="s">
        <v>8635</v>
      </c>
      <c r="U1022" s="62">
        <v>7.2</v>
      </c>
      <c r="V1022" s="62" t="s">
        <v>8601</v>
      </c>
      <c r="W1022" s="46">
        <v>15000</v>
      </c>
    </row>
    <row r="1023" spans="2:23">
      <c r="B1023"/>
      <c r="R1023" t="s">
        <v>8775</v>
      </c>
      <c r="S1023" t="s">
        <v>8623</v>
      </c>
      <c r="T1023" t="s">
        <v>8631</v>
      </c>
      <c r="U1023" s="62">
        <v>7.2</v>
      </c>
      <c r="V1023" s="62" t="s">
        <v>8601</v>
      </c>
      <c r="W1023" s="46">
        <v>15000</v>
      </c>
    </row>
    <row r="1024" spans="2:23">
      <c r="B1024"/>
      <c r="R1024" t="s">
        <v>8775</v>
      </c>
      <c r="S1024" t="s">
        <v>8623</v>
      </c>
      <c r="T1024" t="s">
        <v>8632</v>
      </c>
      <c r="U1024" s="62">
        <v>7.3</v>
      </c>
      <c r="V1024" s="62" t="s">
        <v>8602</v>
      </c>
      <c r="W1024" s="46">
        <v>5000</v>
      </c>
    </row>
    <row r="1025" spans="2:23">
      <c r="B1025"/>
      <c r="R1025" t="s">
        <v>8775</v>
      </c>
      <c r="S1025" t="s">
        <v>8623</v>
      </c>
      <c r="T1025" t="s">
        <v>8633</v>
      </c>
      <c r="U1025" s="62">
        <v>7.3</v>
      </c>
      <c r="V1025" s="62" t="s">
        <v>8602</v>
      </c>
      <c r="W1025" s="46">
        <v>5000</v>
      </c>
    </row>
    <row r="1026" spans="2:23">
      <c r="B1026"/>
      <c r="R1026" t="s">
        <v>8775</v>
      </c>
      <c r="S1026" t="s">
        <v>8623</v>
      </c>
      <c r="T1026" t="s">
        <v>8601</v>
      </c>
      <c r="U1026" s="62">
        <v>7.3</v>
      </c>
      <c r="V1026" s="62" t="s">
        <v>8602</v>
      </c>
      <c r="W1026" s="46">
        <v>5000</v>
      </c>
    </row>
    <row r="1027" spans="2:23">
      <c r="B1027"/>
      <c r="R1027" t="s">
        <v>8775</v>
      </c>
      <c r="S1027" t="s">
        <v>8623</v>
      </c>
      <c r="T1027" t="s">
        <v>8634</v>
      </c>
      <c r="U1027" s="62">
        <v>7.1</v>
      </c>
      <c r="V1027" s="62" t="s">
        <v>8601</v>
      </c>
      <c r="W1027" s="46">
        <v>15000</v>
      </c>
    </row>
    <row r="1028" spans="2:23">
      <c r="B1028"/>
      <c r="R1028" t="s">
        <v>229</v>
      </c>
      <c r="S1028" t="s">
        <v>8622</v>
      </c>
      <c r="T1028" t="s">
        <v>8629</v>
      </c>
      <c r="U1028" s="62">
        <v>7.1</v>
      </c>
      <c r="V1028" s="62" t="s">
        <v>8601</v>
      </c>
      <c r="W1028" s="46">
        <v>15000</v>
      </c>
    </row>
    <row r="1029" spans="2:23">
      <c r="B1029"/>
      <c r="R1029" t="s">
        <v>229</v>
      </c>
      <c r="S1029" t="s">
        <v>8622</v>
      </c>
      <c r="T1029" t="s">
        <v>8630</v>
      </c>
      <c r="U1029" s="62">
        <v>7.1</v>
      </c>
      <c r="V1029" s="62" t="s">
        <v>8601</v>
      </c>
      <c r="W1029" s="46">
        <v>15000</v>
      </c>
    </row>
    <row r="1030" spans="2:23">
      <c r="B1030"/>
      <c r="R1030" t="s">
        <v>229</v>
      </c>
      <c r="S1030" t="s">
        <v>8622</v>
      </c>
      <c r="T1030" t="s">
        <v>8635</v>
      </c>
      <c r="U1030" s="62">
        <v>7.1</v>
      </c>
      <c r="V1030" s="62" t="s">
        <v>8601</v>
      </c>
      <c r="W1030" s="46">
        <v>15000</v>
      </c>
    </row>
    <row r="1031" spans="2:23">
      <c r="B1031"/>
      <c r="R1031" t="s">
        <v>229</v>
      </c>
      <c r="S1031" t="s">
        <v>8622</v>
      </c>
      <c r="T1031" t="s">
        <v>8631</v>
      </c>
      <c r="U1031" s="62">
        <v>7</v>
      </c>
      <c r="V1031" s="62" t="s">
        <v>8601</v>
      </c>
      <c r="W1031" s="46">
        <v>15000</v>
      </c>
    </row>
    <row r="1032" spans="2:23">
      <c r="B1032"/>
      <c r="R1032" t="s">
        <v>229</v>
      </c>
      <c r="S1032" t="s">
        <v>8622</v>
      </c>
      <c r="T1032" t="s">
        <v>8632</v>
      </c>
      <c r="U1032" s="62">
        <v>7</v>
      </c>
      <c r="V1032" s="62" t="s">
        <v>8601</v>
      </c>
      <c r="W1032" s="46">
        <v>15000</v>
      </c>
    </row>
    <row r="1033" spans="2:23">
      <c r="B1033"/>
      <c r="R1033" t="s">
        <v>229</v>
      </c>
      <c r="S1033" t="s">
        <v>8622</v>
      </c>
      <c r="T1033" t="s">
        <v>8633</v>
      </c>
      <c r="U1033" s="62">
        <v>7.1</v>
      </c>
      <c r="V1033" s="62" t="s">
        <v>8601</v>
      </c>
      <c r="W1033" s="46">
        <v>15000</v>
      </c>
    </row>
    <row r="1034" spans="2:23">
      <c r="B1034"/>
      <c r="R1034" t="s">
        <v>229</v>
      </c>
      <c r="S1034" t="s">
        <v>8622</v>
      </c>
      <c r="T1034" t="s">
        <v>8601</v>
      </c>
      <c r="U1034" s="62">
        <v>7.2</v>
      </c>
      <c r="V1034" s="62" t="s">
        <v>8602</v>
      </c>
      <c r="W1034" s="46">
        <v>8000</v>
      </c>
    </row>
    <row r="1035" spans="2:23">
      <c r="B1035"/>
      <c r="R1035" t="s">
        <v>229</v>
      </c>
      <c r="S1035" t="s">
        <v>8622</v>
      </c>
      <c r="T1035" t="s">
        <v>8634</v>
      </c>
      <c r="U1035" s="62">
        <v>7</v>
      </c>
      <c r="V1035" s="62" t="s">
        <v>8601</v>
      </c>
      <c r="W1035" s="46">
        <v>15000</v>
      </c>
    </row>
    <row r="1036" spans="2:23">
      <c r="B1036"/>
      <c r="R1036" t="s">
        <v>229</v>
      </c>
      <c r="S1036" t="s">
        <v>8623</v>
      </c>
      <c r="T1036" t="s">
        <v>8629</v>
      </c>
      <c r="U1036" s="62">
        <v>7.2</v>
      </c>
      <c r="V1036" s="62" t="s">
        <v>8602</v>
      </c>
      <c r="W1036" s="46">
        <v>8000</v>
      </c>
    </row>
    <row r="1037" spans="2:23">
      <c r="B1037"/>
      <c r="R1037" t="s">
        <v>229</v>
      </c>
      <c r="S1037" t="s">
        <v>8623</v>
      </c>
      <c r="T1037" t="s">
        <v>8630</v>
      </c>
      <c r="U1037" s="62">
        <v>7.1</v>
      </c>
      <c r="V1037" s="62" t="s">
        <v>8601</v>
      </c>
      <c r="W1037" s="46">
        <v>15000</v>
      </c>
    </row>
    <row r="1038" spans="2:23">
      <c r="B1038"/>
      <c r="R1038" t="s">
        <v>229</v>
      </c>
      <c r="S1038" t="s">
        <v>8623</v>
      </c>
      <c r="T1038" t="s">
        <v>8635</v>
      </c>
      <c r="U1038" s="62">
        <v>7.1</v>
      </c>
      <c r="V1038" s="62" t="s">
        <v>8601</v>
      </c>
      <c r="W1038" s="46">
        <v>15000</v>
      </c>
    </row>
    <row r="1039" spans="2:23">
      <c r="B1039"/>
      <c r="R1039" t="s">
        <v>229</v>
      </c>
      <c r="S1039" t="s">
        <v>8623</v>
      </c>
      <c r="T1039" t="s">
        <v>8631</v>
      </c>
      <c r="U1039" s="62">
        <v>7</v>
      </c>
      <c r="V1039" s="62" t="s">
        <v>8601</v>
      </c>
      <c r="W1039" s="46">
        <v>15000</v>
      </c>
    </row>
    <row r="1040" spans="2:23">
      <c r="B1040"/>
      <c r="R1040" t="s">
        <v>229</v>
      </c>
      <c r="S1040" t="s">
        <v>8623</v>
      </c>
      <c r="T1040" t="s">
        <v>8632</v>
      </c>
      <c r="U1040" s="62">
        <v>7.1</v>
      </c>
      <c r="V1040" s="62" t="s">
        <v>8601</v>
      </c>
      <c r="W1040" s="46">
        <v>15000</v>
      </c>
    </row>
    <row r="1041" spans="2:23">
      <c r="B1041"/>
      <c r="R1041" t="s">
        <v>229</v>
      </c>
      <c r="S1041" t="s">
        <v>8623</v>
      </c>
      <c r="T1041" t="s">
        <v>8633</v>
      </c>
      <c r="U1041" s="62">
        <v>7</v>
      </c>
      <c r="V1041" s="62" t="s">
        <v>8601</v>
      </c>
      <c r="W1041" s="46">
        <v>15000</v>
      </c>
    </row>
    <row r="1042" spans="2:23">
      <c r="B1042"/>
      <c r="R1042" t="s">
        <v>229</v>
      </c>
      <c r="S1042" t="s">
        <v>8623</v>
      </c>
      <c r="T1042" t="s">
        <v>8601</v>
      </c>
      <c r="U1042" s="62">
        <v>7.2</v>
      </c>
      <c r="V1042" s="62" t="s">
        <v>8602</v>
      </c>
      <c r="W1042" s="46">
        <v>8000</v>
      </c>
    </row>
    <row r="1043" spans="2:23">
      <c r="B1043"/>
      <c r="R1043" t="s">
        <v>229</v>
      </c>
      <c r="S1043" t="s">
        <v>8623</v>
      </c>
      <c r="T1043" t="s">
        <v>8634</v>
      </c>
      <c r="U1043" s="62">
        <v>7.1</v>
      </c>
      <c r="V1043" s="62" t="s">
        <v>8601</v>
      </c>
      <c r="W1043" s="46">
        <v>15000</v>
      </c>
    </row>
    <row r="1044" spans="2:23">
      <c r="B1044"/>
      <c r="R1044" t="s">
        <v>230</v>
      </c>
      <c r="S1044" t="s">
        <v>8622</v>
      </c>
      <c r="T1044" t="s">
        <v>8629</v>
      </c>
      <c r="U1044" s="62">
        <v>7.1</v>
      </c>
      <c r="V1044" s="62" t="s">
        <v>8601</v>
      </c>
      <c r="W1044" s="46">
        <v>15000</v>
      </c>
    </row>
    <row r="1045" spans="2:23">
      <c r="B1045"/>
      <c r="R1045" t="s">
        <v>230</v>
      </c>
      <c r="S1045" t="s">
        <v>8622</v>
      </c>
      <c r="T1045" t="s">
        <v>8630</v>
      </c>
      <c r="U1045" s="62">
        <v>7.1</v>
      </c>
      <c r="V1045" s="62" t="s">
        <v>8601</v>
      </c>
      <c r="W1045" s="46">
        <v>15000</v>
      </c>
    </row>
    <row r="1046" spans="2:23">
      <c r="B1046"/>
      <c r="R1046" t="s">
        <v>230</v>
      </c>
      <c r="S1046" t="s">
        <v>8622</v>
      </c>
      <c r="T1046" t="s">
        <v>8635</v>
      </c>
      <c r="U1046" s="62">
        <v>7.1</v>
      </c>
      <c r="V1046" s="62" t="s">
        <v>8601</v>
      </c>
      <c r="W1046" s="46">
        <v>15000</v>
      </c>
    </row>
    <row r="1047" spans="2:23">
      <c r="B1047"/>
      <c r="R1047" t="s">
        <v>230</v>
      </c>
      <c r="S1047" t="s">
        <v>8622</v>
      </c>
      <c r="T1047" t="s">
        <v>8631</v>
      </c>
      <c r="U1047" s="62">
        <v>7.1</v>
      </c>
      <c r="V1047" s="62" t="s">
        <v>8601</v>
      </c>
      <c r="W1047" s="46">
        <v>15000</v>
      </c>
    </row>
    <row r="1048" spans="2:23">
      <c r="B1048"/>
      <c r="R1048" t="s">
        <v>230</v>
      </c>
      <c r="S1048" t="s">
        <v>8622</v>
      </c>
      <c r="T1048" t="s">
        <v>8632</v>
      </c>
      <c r="U1048" s="62">
        <v>7.2</v>
      </c>
      <c r="V1048" s="62" t="s">
        <v>8602</v>
      </c>
      <c r="W1048" s="46">
        <v>8000</v>
      </c>
    </row>
    <row r="1049" spans="2:23">
      <c r="B1049"/>
      <c r="R1049" t="s">
        <v>230</v>
      </c>
      <c r="S1049" t="s">
        <v>8622</v>
      </c>
      <c r="T1049" t="s">
        <v>8633</v>
      </c>
      <c r="U1049" s="62">
        <v>7</v>
      </c>
      <c r="V1049" s="62" t="s">
        <v>8601</v>
      </c>
      <c r="W1049" s="46">
        <v>15000</v>
      </c>
    </row>
    <row r="1050" spans="2:23">
      <c r="B1050"/>
      <c r="R1050" t="s">
        <v>230</v>
      </c>
      <c r="S1050" t="s">
        <v>8622</v>
      </c>
      <c r="T1050" t="s">
        <v>8601</v>
      </c>
      <c r="U1050" s="62">
        <v>7.1</v>
      </c>
      <c r="V1050" s="62" t="s">
        <v>8601</v>
      </c>
      <c r="W1050" s="46">
        <v>15000</v>
      </c>
    </row>
    <row r="1051" spans="2:23">
      <c r="B1051"/>
      <c r="R1051" t="s">
        <v>230</v>
      </c>
      <c r="S1051" t="s">
        <v>8622</v>
      </c>
      <c r="T1051" t="s">
        <v>8634</v>
      </c>
      <c r="U1051" s="62">
        <v>7</v>
      </c>
      <c r="V1051" s="62" t="s">
        <v>8601</v>
      </c>
      <c r="W1051" s="46">
        <v>15000</v>
      </c>
    </row>
    <row r="1052" spans="2:23">
      <c r="B1052"/>
      <c r="R1052" t="s">
        <v>230</v>
      </c>
      <c r="S1052" t="s">
        <v>8623</v>
      </c>
      <c r="T1052" t="s">
        <v>8629</v>
      </c>
      <c r="U1052" s="62">
        <v>7.3</v>
      </c>
      <c r="V1052" s="62" t="s">
        <v>8602</v>
      </c>
      <c r="W1052" s="46">
        <v>8000</v>
      </c>
    </row>
    <row r="1053" spans="2:23">
      <c r="B1053"/>
      <c r="R1053" t="s">
        <v>230</v>
      </c>
      <c r="S1053" t="s">
        <v>8623</v>
      </c>
      <c r="T1053" t="s">
        <v>8630</v>
      </c>
      <c r="U1053" s="62">
        <v>7.1</v>
      </c>
      <c r="V1053" s="62" t="s">
        <v>8601</v>
      </c>
      <c r="W1053" s="46">
        <v>15000</v>
      </c>
    </row>
    <row r="1054" spans="2:23">
      <c r="B1054"/>
      <c r="R1054" t="s">
        <v>230</v>
      </c>
      <c r="S1054" t="s">
        <v>8623</v>
      </c>
      <c r="T1054" t="s">
        <v>8635</v>
      </c>
      <c r="U1054" s="62">
        <v>7.1</v>
      </c>
      <c r="V1054" s="62" t="s">
        <v>8601</v>
      </c>
      <c r="W1054" s="46">
        <v>15000</v>
      </c>
    </row>
    <row r="1055" spans="2:23">
      <c r="B1055"/>
      <c r="R1055" t="s">
        <v>230</v>
      </c>
      <c r="S1055" t="s">
        <v>8623</v>
      </c>
      <c r="T1055" t="s">
        <v>8631</v>
      </c>
      <c r="U1055" s="62">
        <v>7</v>
      </c>
      <c r="V1055" s="62" t="s">
        <v>8601</v>
      </c>
      <c r="W1055" s="46">
        <v>15000</v>
      </c>
    </row>
    <row r="1056" spans="2:23">
      <c r="B1056"/>
      <c r="R1056" t="s">
        <v>230</v>
      </c>
      <c r="S1056" t="s">
        <v>8623</v>
      </c>
      <c r="T1056" t="s">
        <v>8632</v>
      </c>
      <c r="U1056" s="62">
        <v>7</v>
      </c>
      <c r="V1056" s="62" t="s">
        <v>8601</v>
      </c>
      <c r="W1056" s="46">
        <v>15000</v>
      </c>
    </row>
    <row r="1057" spans="2:23">
      <c r="B1057"/>
      <c r="R1057" t="s">
        <v>230</v>
      </c>
      <c r="S1057" t="s">
        <v>8623</v>
      </c>
      <c r="T1057" t="s">
        <v>8633</v>
      </c>
      <c r="U1057" s="62">
        <v>7</v>
      </c>
      <c r="V1057" s="62" t="s">
        <v>8601</v>
      </c>
      <c r="W1057" s="46">
        <v>15000</v>
      </c>
    </row>
    <row r="1058" spans="2:23">
      <c r="B1058"/>
      <c r="R1058" t="s">
        <v>230</v>
      </c>
      <c r="S1058" t="s">
        <v>8623</v>
      </c>
      <c r="T1058" t="s">
        <v>8601</v>
      </c>
      <c r="U1058" s="62">
        <v>7.1</v>
      </c>
      <c r="V1058" s="62" t="s">
        <v>8601</v>
      </c>
      <c r="W1058" s="46">
        <v>15000</v>
      </c>
    </row>
    <row r="1059" spans="2:23">
      <c r="B1059"/>
      <c r="R1059" t="s">
        <v>230</v>
      </c>
      <c r="S1059" t="s">
        <v>8623</v>
      </c>
      <c r="T1059" t="s">
        <v>8634</v>
      </c>
      <c r="U1059" s="62">
        <v>7.1</v>
      </c>
      <c r="V1059" s="62" t="s">
        <v>8601</v>
      </c>
      <c r="W1059" s="46">
        <v>15000</v>
      </c>
    </row>
    <row r="1060" spans="2:23">
      <c r="B1060"/>
      <c r="R1060" t="s">
        <v>233</v>
      </c>
      <c r="S1060" t="s">
        <v>8622</v>
      </c>
      <c r="T1060" t="s">
        <v>8629</v>
      </c>
      <c r="U1060" s="62">
        <v>7.1</v>
      </c>
      <c r="V1060" s="62" t="s">
        <v>8601</v>
      </c>
      <c r="W1060" s="46">
        <v>15000</v>
      </c>
    </row>
    <row r="1061" spans="2:23">
      <c r="B1061"/>
      <c r="R1061" t="s">
        <v>233</v>
      </c>
      <c r="S1061" t="s">
        <v>8622</v>
      </c>
      <c r="T1061" t="s">
        <v>8630</v>
      </c>
      <c r="U1061" s="62">
        <v>7</v>
      </c>
      <c r="V1061" s="62" t="s">
        <v>8601</v>
      </c>
      <c r="W1061" s="46">
        <v>15000</v>
      </c>
    </row>
    <row r="1062" spans="2:23">
      <c r="B1062"/>
      <c r="R1062" t="s">
        <v>233</v>
      </c>
      <c r="S1062" t="s">
        <v>8622</v>
      </c>
      <c r="T1062" t="s">
        <v>8635</v>
      </c>
      <c r="U1062" s="62">
        <v>6.9</v>
      </c>
      <c r="V1062" s="62" t="s">
        <v>8601</v>
      </c>
      <c r="W1062" s="46">
        <v>15000</v>
      </c>
    </row>
    <row r="1063" spans="2:23">
      <c r="B1063"/>
      <c r="R1063" t="s">
        <v>233</v>
      </c>
      <c r="S1063" t="s">
        <v>8622</v>
      </c>
      <c r="T1063" t="s">
        <v>8631</v>
      </c>
      <c r="U1063" s="62">
        <v>6.9</v>
      </c>
      <c r="V1063" s="62" t="s">
        <v>8601</v>
      </c>
      <c r="W1063" s="46">
        <v>15000</v>
      </c>
    </row>
    <row r="1064" spans="2:23">
      <c r="B1064"/>
      <c r="R1064" t="s">
        <v>233</v>
      </c>
      <c r="S1064" t="s">
        <v>8622</v>
      </c>
      <c r="T1064" t="s">
        <v>8632</v>
      </c>
      <c r="U1064" s="62">
        <v>6.9</v>
      </c>
      <c r="V1064" s="62" t="s">
        <v>8601</v>
      </c>
      <c r="W1064" s="46">
        <v>15000</v>
      </c>
    </row>
    <row r="1065" spans="2:23">
      <c r="B1065"/>
      <c r="R1065" t="s">
        <v>233</v>
      </c>
      <c r="S1065" t="s">
        <v>8622</v>
      </c>
      <c r="T1065" t="s">
        <v>8633</v>
      </c>
      <c r="U1065" s="62">
        <v>7.1</v>
      </c>
      <c r="V1065" s="62" t="s">
        <v>8601</v>
      </c>
      <c r="W1065" s="46">
        <v>15000</v>
      </c>
    </row>
    <row r="1066" spans="2:23">
      <c r="B1066"/>
      <c r="R1066" t="s">
        <v>233</v>
      </c>
      <c r="S1066" t="s">
        <v>8622</v>
      </c>
      <c r="T1066" t="s">
        <v>8601</v>
      </c>
      <c r="U1066" s="62">
        <v>7.2</v>
      </c>
      <c r="V1066" s="62" t="s">
        <v>8602</v>
      </c>
      <c r="W1066" s="46">
        <v>8000</v>
      </c>
    </row>
    <row r="1067" spans="2:23">
      <c r="B1067"/>
      <c r="R1067" t="s">
        <v>233</v>
      </c>
      <c r="S1067" t="s">
        <v>8622</v>
      </c>
      <c r="T1067" t="s">
        <v>8634</v>
      </c>
      <c r="U1067" s="62">
        <v>7.1</v>
      </c>
      <c r="V1067" s="62" t="s">
        <v>8601</v>
      </c>
      <c r="W1067" s="46">
        <v>15000</v>
      </c>
    </row>
    <row r="1068" spans="2:23">
      <c r="B1068"/>
      <c r="R1068" t="s">
        <v>233</v>
      </c>
      <c r="S1068" t="s">
        <v>8623</v>
      </c>
      <c r="T1068" t="s">
        <v>8629</v>
      </c>
      <c r="U1068" s="62">
        <v>7.1</v>
      </c>
      <c r="V1068" s="62" t="s">
        <v>8601</v>
      </c>
      <c r="W1068" s="46">
        <v>15000</v>
      </c>
    </row>
    <row r="1069" spans="2:23">
      <c r="B1069"/>
      <c r="R1069" t="s">
        <v>233</v>
      </c>
      <c r="S1069" t="s">
        <v>8623</v>
      </c>
      <c r="T1069" t="s">
        <v>8630</v>
      </c>
      <c r="U1069" s="62">
        <v>6.9</v>
      </c>
      <c r="V1069" s="62" t="s">
        <v>8601</v>
      </c>
      <c r="W1069" s="46">
        <v>15000</v>
      </c>
    </row>
    <row r="1070" spans="2:23">
      <c r="B1070"/>
      <c r="R1070" t="s">
        <v>233</v>
      </c>
      <c r="S1070" t="s">
        <v>8623</v>
      </c>
      <c r="T1070" t="s">
        <v>8635</v>
      </c>
      <c r="U1070" s="62">
        <v>6.9</v>
      </c>
      <c r="V1070" s="62" t="s">
        <v>8601</v>
      </c>
      <c r="W1070" s="46">
        <v>15000</v>
      </c>
    </row>
    <row r="1071" spans="2:23">
      <c r="B1071"/>
      <c r="R1071" t="s">
        <v>233</v>
      </c>
      <c r="S1071" t="s">
        <v>8623</v>
      </c>
      <c r="T1071" t="s">
        <v>8631</v>
      </c>
      <c r="U1071" s="62">
        <v>6.9</v>
      </c>
      <c r="V1071" s="62" t="s">
        <v>8601</v>
      </c>
      <c r="W1071" s="46">
        <v>15000</v>
      </c>
    </row>
    <row r="1072" spans="2:23">
      <c r="B1072"/>
      <c r="R1072" t="s">
        <v>233</v>
      </c>
      <c r="S1072" t="s">
        <v>8623</v>
      </c>
      <c r="T1072" t="s">
        <v>8632</v>
      </c>
      <c r="U1072" s="62">
        <v>7.1</v>
      </c>
      <c r="V1072" s="62" t="s">
        <v>8601</v>
      </c>
      <c r="W1072" s="46">
        <v>15000</v>
      </c>
    </row>
    <row r="1073" spans="2:23">
      <c r="B1073"/>
      <c r="R1073" t="s">
        <v>233</v>
      </c>
      <c r="S1073" t="s">
        <v>8623</v>
      </c>
      <c r="T1073" t="s">
        <v>8633</v>
      </c>
      <c r="U1073" s="62">
        <v>7.1</v>
      </c>
      <c r="V1073" s="62" t="s">
        <v>8601</v>
      </c>
      <c r="W1073" s="46">
        <v>15000</v>
      </c>
    </row>
    <row r="1074" spans="2:23">
      <c r="B1074"/>
      <c r="R1074" t="s">
        <v>233</v>
      </c>
      <c r="S1074" t="s">
        <v>8623</v>
      </c>
      <c r="T1074" t="s">
        <v>8601</v>
      </c>
      <c r="U1074" s="62">
        <v>7.3</v>
      </c>
      <c r="V1074" s="62" t="s">
        <v>8602</v>
      </c>
      <c r="W1074" s="46">
        <v>8000</v>
      </c>
    </row>
    <row r="1075" spans="2:23">
      <c r="B1075"/>
      <c r="R1075" t="s">
        <v>233</v>
      </c>
      <c r="S1075" t="s">
        <v>8623</v>
      </c>
      <c r="T1075" t="s">
        <v>8634</v>
      </c>
      <c r="U1075" s="62">
        <v>7.1</v>
      </c>
      <c r="V1075" s="62" t="s">
        <v>8601</v>
      </c>
      <c r="W1075" s="46">
        <v>15000</v>
      </c>
    </row>
    <row r="1076" spans="2:23">
      <c r="B1076"/>
      <c r="R1076" t="s">
        <v>212</v>
      </c>
      <c r="S1076" t="s">
        <v>8622</v>
      </c>
      <c r="T1076" t="s">
        <v>8629</v>
      </c>
      <c r="U1076" s="62">
        <v>7.4</v>
      </c>
      <c r="V1076" s="62" t="s">
        <v>8602</v>
      </c>
      <c r="W1076" s="46">
        <v>8000</v>
      </c>
    </row>
    <row r="1077" spans="2:23">
      <c r="B1077"/>
      <c r="R1077" t="s">
        <v>212</v>
      </c>
      <c r="S1077" t="s">
        <v>8622</v>
      </c>
      <c r="T1077" t="s">
        <v>8630</v>
      </c>
      <c r="U1077" s="62">
        <v>7</v>
      </c>
      <c r="V1077" s="62" t="s">
        <v>8601</v>
      </c>
      <c r="W1077" s="46">
        <v>15000</v>
      </c>
    </row>
    <row r="1078" spans="2:23">
      <c r="B1078"/>
      <c r="R1078" t="s">
        <v>212</v>
      </c>
      <c r="S1078" t="s">
        <v>8622</v>
      </c>
      <c r="T1078" t="s">
        <v>8635</v>
      </c>
      <c r="U1078" s="62">
        <v>7</v>
      </c>
      <c r="V1078" s="62" t="s">
        <v>8601</v>
      </c>
      <c r="W1078" s="46">
        <v>15000</v>
      </c>
    </row>
    <row r="1079" spans="2:23">
      <c r="B1079"/>
      <c r="R1079" t="s">
        <v>212</v>
      </c>
      <c r="S1079" t="s">
        <v>8622</v>
      </c>
      <c r="T1079" t="s">
        <v>8631</v>
      </c>
      <c r="U1079" s="62">
        <v>7</v>
      </c>
      <c r="V1079" s="62" t="s">
        <v>8601</v>
      </c>
      <c r="W1079" s="46">
        <v>15000</v>
      </c>
    </row>
    <row r="1080" spans="2:23">
      <c r="B1080"/>
      <c r="R1080" t="s">
        <v>212</v>
      </c>
      <c r="S1080" t="s">
        <v>8622</v>
      </c>
      <c r="T1080" t="s">
        <v>8632</v>
      </c>
      <c r="U1080" s="62">
        <v>7.2</v>
      </c>
      <c r="V1080" s="62" t="s">
        <v>8601</v>
      </c>
      <c r="W1080" s="46">
        <v>15000</v>
      </c>
    </row>
    <row r="1081" spans="2:23">
      <c r="B1081"/>
      <c r="R1081" t="s">
        <v>212</v>
      </c>
      <c r="S1081" t="s">
        <v>8622</v>
      </c>
      <c r="T1081" t="s">
        <v>8633</v>
      </c>
      <c r="U1081" s="62">
        <v>7.4</v>
      </c>
      <c r="V1081" s="62" t="s">
        <v>8602</v>
      </c>
      <c r="W1081" s="46">
        <v>5000</v>
      </c>
    </row>
    <row r="1082" spans="2:23">
      <c r="B1082"/>
      <c r="R1082" t="s">
        <v>212</v>
      </c>
      <c r="S1082" t="s">
        <v>8622</v>
      </c>
      <c r="T1082" t="s">
        <v>8601</v>
      </c>
      <c r="U1082" s="62">
        <v>7.6</v>
      </c>
      <c r="V1082" s="62" t="s">
        <v>8602</v>
      </c>
      <c r="W1082" s="46">
        <v>5000</v>
      </c>
    </row>
    <row r="1083" spans="2:23">
      <c r="B1083"/>
      <c r="R1083" t="s">
        <v>212</v>
      </c>
      <c r="S1083" t="s">
        <v>8622</v>
      </c>
      <c r="T1083" t="s">
        <v>8634</v>
      </c>
      <c r="U1083" s="62">
        <v>7.4</v>
      </c>
      <c r="V1083" s="62" t="s">
        <v>8602</v>
      </c>
      <c r="W1083" s="46">
        <v>5000</v>
      </c>
    </row>
    <row r="1084" spans="2:23">
      <c r="B1084"/>
      <c r="R1084" t="s">
        <v>212</v>
      </c>
      <c r="S1084" t="s">
        <v>8623</v>
      </c>
      <c r="T1084" t="s">
        <v>8629</v>
      </c>
      <c r="U1084" s="62">
        <v>7.1</v>
      </c>
      <c r="V1084" s="62" t="s">
        <v>8601</v>
      </c>
      <c r="W1084" s="46">
        <v>15000</v>
      </c>
    </row>
    <row r="1085" spans="2:23">
      <c r="B1085"/>
      <c r="R1085" t="s">
        <v>212</v>
      </c>
      <c r="S1085" t="s">
        <v>8623</v>
      </c>
      <c r="T1085" t="s">
        <v>8630</v>
      </c>
      <c r="U1085" s="62">
        <v>7</v>
      </c>
      <c r="V1085" s="62" t="s">
        <v>8601</v>
      </c>
      <c r="W1085" s="46">
        <v>15000</v>
      </c>
    </row>
    <row r="1086" spans="2:23">
      <c r="B1086"/>
      <c r="R1086" t="s">
        <v>212</v>
      </c>
      <c r="S1086" t="s">
        <v>8623</v>
      </c>
      <c r="T1086" t="s">
        <v>8635</v>
      </c>
      <c r="U1086" s="62">
        <v>7</v>
      </c>
      <c r="V1086" s="62" t="s">
        <v>8601</v>
      </c>
      <c r="W1086" s="46">
        <v>15000</v>
      </c>
    </row>
    <row r="1087" spans="2:23">
      <c r="B1087"/>
      <c r="R1087" t="s">
        <v>212</v>
      </c>
      <c r="S1087" t="s">
        <v>8623</v>
      </c>
      <c r="T1087" t="s">
        <v>8631</v>
      </c>
      <c r="U1087" s="62">
        <v>7.1</v>
      </c>
      <c r="V1087" s="62" t="s">
        <v>8601</v>
      </c>
      <c r="W1087" s="46">
        <v>15000</v>
      </c>
    </row>
    <row r="1088" spans="2:23">
      <c r="B1088"/>
      <c r="R1088" t="s">
        <v>212</v>
      </c>
      <c r="S1088" t="s">
        <v>8623</v>
      </c>
      <c r="T1088" t="s">
        <v>8632</v>
      </c>
      <c r="U1088" s="62">
        <v>7.4</v>
      </c>
      <c r="V1088" s="62" t="s">
        <v>8602</v>
      </c>
      <c r="W1088" s="46">
        <v>5000</v>
      </c>
    </row>
    <row r="1089" spans="2:23">
      <c r="B1089"/>
      <c r="R1089" t="s">
        <v>212</v>
      </c>
      <c r="S1089" t="s">
        <v>8623</v>
      </c>
      <c r="T1089" t="s">
        <v>8633</v>
      </c>
      <c r="U1089" s="62">
        <v>7.5</v>
      </c>
      <c r="V1089" s="62" t="s">
        <v>8602</v>
      </c>
      <c r="W1089" s="46">
        <v>5000</v>
      </c>
    </row>
    <row r="1090" spans="2:23">
      <c r="B1090"/>
      <c r="R1090" t="s">
        <v>212</v>
      </c>
      <c r="S1090" t="s">
        <v>8623</v>
      </c>
      <c r="T1090" t="s">
        <v>8601</v>
      </c>
      <c r="U1090" s="62">
        <v>7.6</v>
      </c>
      <c r="V1090" s="62" t="s">
        <v>8602</v>
      </c>
      <c r="W1090" s="46">
        <v>5000</v>
      </c>
    </row>
    <row r="1091" spans="2:23">
      <c r="B1091"/>
      <c r="R1091" t="s">
        <v>212</v>
      </c>
      <c r="S1091" t="s">
        <v>8623</v>
      </c>
      <c r="T1091" t="s">
        <v>8634</v>
      </c>
      <c r="U1091" s="62">
        <v>7.3</v>
      </c>
      <c r="V1091" s="62" t="s">
        <v>8602</v>
      </c>
      <c r="W1091" s="46">
        <v>5000</v>
      </c>
    </row>
    <row r="1092" spans="2:23">
      <c r="B1092"/>
      <c r="R1092" t="s">
        <v>220</v>
      </c>
      <c r="S1092" t="s">
        <v>8622</v>
      </c>
      <c r="T1092" t="s">
        <v>8629</v>
      </c>
      <c r="U1092" s="62">
        <v>7.2</v>
      </c>
      <c r="V1092" s="62" t="s">
        <v>8601</v>
      </c>
      <c r="W1092" s="46">
        <v>15000</v>
      </c>
    </row>
    <row r="1093" spans="2:23">
      <c r="B1093"/>
      <c r="R1093" t="s">
        <v>220</v>
      </c>
      <c r="S1093" t="s">
        <v>8622</v>
      </c>
      <c r="T1093" t="s">
        <v>8630</v>
      </c>
      <c r="U1093" s="62">
        <v>7</v>
      </c>
      <c r="V1093" s="62" t="s">
        <v>8601</v>
      </c>
      <c r="W1093" s="46">
        <v>15000</v>
      </c>
    </row>
    <row r="1094" spans="2:23">
      <c r="B1094"/>
      <c r="R1094" t="s">
        <v>220</v>
      </c>
      <c r="S1094" t="s">
        <v>8622</v>
      </c>
      <c r="T1094" t="s">
        <v>8635</v>
      </c>
      <c r="U1094" s="62">
        <v>7</v>
      </c>
      <c r="V1094" s="62" t="s">
        <v>8601</v>
      </c>
      <c r="W1094" s="46">
        <v>15000</v>
      </c>
    </row>
    <row r="1095" spans="2:23">
      <c r="B1095"/>
      <c r="R1095" t="s">
        <v>220</v>
      </c>
      <c r="S1095" t="s">
        <v>8622</v>
      </c>
      <c r="T1095" t="s">
        <v>8631</v>
      </c>
      <c r="U1095" s="62">
        <v>7.1</v>
      </c>
      <c r="V1095" s="62" t="s">
        <v>8601</v>
      </c>
      <c r="W1095" s="46">
        <v>15000</v>
      </c>
    </row>
    <row r="1096" spans="2:23">
      <c r="B1096"/>
      <c r="R1096" t="s">
        <v>220</v>
      </c>
      <c r="S1096" t="s">
        <v>8622</v>
      </c>
      <c r="T1096" t="s">
        <v>8632</v>
      </c>
      <c r="U1096" s="62">
        <v>7.3</v>
      </c>
      <c r="V1096" s="62" t="s">
        <v>8602</v>
      </c>
      <c r="W1096" s="46">
        <v>5000</v>
      </c>
    </row>
    <row r="1097" spans="2:23">
      <c r="B1097"/>
      <c r="R1097" t="s">
        <v>220</v>
      </c>
      <c r="S1097" t="s">
        <v>8622</v>
      </c>
      <c r="T1097" t="s">
        <v>8633</v>
      </c>
      <c r="U1097" s="62">
        <v>7.2</v>
      </c>
      <c r="V1097" s="62" t="s">
        <v>8602</v>
      </c>
      <c r="W1097" s="46">
        <v>5000</v>
      </c>
    </row>
    <row r="1098" spans="2:23">
      <c r="B1098"/>
      <c r="R1098" t="s">
        <v>220</v>
      </c>
      <c r="S1098" t="s">
        <v>8622</v>
      </c>
      <c r="T1098" t="s">
        <v>8601</v>
      </c>
      <c r="U1098" s="62">
        <v>7.2</v>
      </c>
      <c r="V1098" s="62" t="s">
        <v>8602</v>
      </c>
      <c r="W1098" s="46">
        <v>5000</v>
      </c>
    </row>
    <row r="1099" spans="2:23">
      <c r="B1099"/>
      <c r="R1099" t="s">
        <v>220</v>
      </c>
      <c r="S1099" t="s">
        <v>8622</v>
      </c>
      <c r="T1099" t="s">
        <v>8634</v>
      </c>
      <c r="U1099" s="62">
        <v>7.2</v>
      </c>
      <c r="V1099" s="62" t="s">
        <v>8601</v>
      </c>
      <c r="W1099" s="46">
        <v>15000</v>
      </c>
    </row>
    <row r="1100" spans="2:23">
      <c r="B1100"/>
      <c r="R1100" t="s">
        <v>220</v>
      </c>
      <c r="S1100" t="s">
        <v>8623</v>
      </c>
      <c r="T1100" t="s">
        <v>8629</v>
      </c>
      <c r="U1100" s="62">
        <v>7.3</v>
      </c>
      <c r="V1100" s="62" t="s">
        <v>8602</v>
      </c>
      <c r="W1100" s="46">
        <v>5000</v>
      </c>
    </row>
    <row r="1101" spans="2:23">
      <c r="B1101"/>
      <c r="R1101" t="s">
        <v>220</v>
      </c>
      <c r="S1101" t="s">
        <v>8623</v>
      </c>
      <c r="T1101" t="s">
        <v>8630</v>
      </c>
      <c r="U1101" s="62">
        <v>7.1</v>
      </c>
      <c r="V1101" s="62" t="s">
        <v>8601</v>
      </c>
      <c r="W1101" s="46">
        <v>15000</v>
      </c>
    </row>
    <row r="1102" spans="2:23">
      <c r="B1102"/>
      <c r="R1102" t="s">
        <v>220</v>
      </c>
      <c r="S1102" t="s">
        <v>8623</v>
      </c>
      <c r="T1102" t="s">
        <v>8635</v>
      </c>
      <c r="U1102" s="62">
        <v>7</v>
      </c>
      <c r="V1102" s="62" t="s">
        <v>8601</v>
      </c>
      <c r="W1102" s="46">
        <v>15000</v>
      </c>
    </row>
    <row r="1103" spans="2:23">
      <c r="B1103"/>
      <c r="R1103" t="s">
        <v>220</v>
      </c>
      <c r="S1103" t="s">
        <v>8623</v>
      </c>
      <c r="T1103" t="s">
        <v>8631</v>
      </c>
      <c r="U1103" s="62">
        <v>7.1</v>
      </c>
      <c r="V1103" s="62" t="s">
        <v>8601</v>
      </c>
      <c r="W1103" s="46">
        <v>15000</v>
      </c>
    </row>
    <row r="1104" spans="2:23">
      <c r="B1104"/>
      <c r="R1104" t="s">
        <v>220</v>
      </c>
      <c r="S1104" t="s">
        <v>8623</v>
      </c>
      <c r="T1104" t="s">
        <v>8632</v>
      </c>
      <c r="U1104" s="62">
        <v>7.3</v>
      </c>
      <c r="V1104" s="62" t="s">
        <v>8602</v>
      </c>
      <c r="W1104" s="46">
        <v>5000</v>
      </c>
    </row>
    <row r="1105" spans="2:23">
      <c r="B1105"/>
      <c r="R1105" t="s">
        <v>220</v>
      </c>
      <c r="S1105" t="s">
        <v>8623</v>
      </c>
      <c r="T1105" t="s">
        <v>8633</v>
      </c>
      <c r="U1105" s="62">
        <v>7.2</v>
      </c>
      <c r="V1105" s="62" t="s">
        <v>8601</v>
      </c>
      <c r="W1105" s="46">
        <v>15000</v>
      </c>
    </row>
    <row r="1106" spans="2:23">
      <c r="B1106"/>
      <c r="R1106" t="s">
        <v>220</v>
      </c>
      <c r="S1106" t="s">
        <v>8623</v>
      </c>
      <c r="T1106" t="s">
        <v>8601</v>
      </c>
      <c r="U1106" s="62">
        <v>7.2</v>
      </c>
      <c r="V1106" s="62" t="s">
        <v>8601</v>
      </c>
      <c r="W1106" s="46">
        <v>15000</v>
      </c>
    </row>
    <row r="1107" spans="2:23">
      <c r="B1107"/>
      <c r="R1107" t="s">
        <v>220</v>
      </c>
      <c r="S1107" t="s">
        <v>8623</v>
      </c>
      <c r="T1107" t="s">
        <v>8634</v>
      </c>
      <c r="U1107" s="62">
        <v>7.2</v>
      </c>
      <c r="V1107" s="62" t="s">
        <v>8601</v>
      </c>
      <c r="W1107" s="46">
        <v>15000</v>
      </c>
    </row>
    <row r="1108" spans="2:23">
      <c r="B1108"/>
      <c r="R1108" t="s">
        <v>224</v>
      </c>
      <c r="S1108" t="s">
        <v>8622</v>
      </c>
      <c r="T1108" t="s">
        <v>8629</v>
      </c>
      <c r="U1108" s="62">
        <v>7.2</v>
      </c>
      <c r="V1108" s="62" t="s">
        <v>8601</v>
      </c>
      <c r="W1108" s="46">
        <v>15000</v>
      </c>
    </row>
    <row r="1109" spans="2:23">
      <c r="B1109"/>
      <c r="R1109" t="s">
        <v>224</v>
      </c>
      <c r="S1109" t="s">
        <v>8622</v>
      </c>
      <c r="T1109" t="s">
        <v>8630</v>
      </c>
      <c r="U1109" s="62">
        <v>7</v>
      </c>
      <c r="V1109" s="62" t="s">
        <v>8601</v>
      </c>
      <c r="W1109" s="46">
        <v>15000</v>
      </c>
    </row>
    <row r="1110" spans="2:23">
      <c r="B1110"/>
      <c r="R1110" t="s">
        <v>224</v>
      </c>
      <c r="S1110" t="s">
        <v>8622</v>
      </c>
      <c r="T1110" t="s">
        <v>8635</v>
      </c>
      <c r="U1110" s="62">
        <v>7.1</v>
      </c>
      <c r="V1110" s="62" t="s">
        <v>8601</v>
      </c>
      <c r="W1110" s="46">
        <v>15000</v>
      </c>
    </row>
    <row r="1111" spans="2:23">
      <c r="B1111"/>
      <c r="R1111" t="s">
        <v>224</v>
      </c>
      <c r="S1111" t="s">
        <v>8622</v>
      </c>
      <c r="T1111" t="s">
        <v>8631</v>
      </c>
      <c r="U1111" s="62">
        <v>7.2</v>
      </c>
      <c r="V1111" s="62" t="s">
        <v>8601</v>
      </c>
      <c r="W1111" s="46">
        <v>15000</v>
      </c>
    </row>
    <row r="1112" spans="2:23">
      <c r="B1112"/>
      <c r="R1112" t="s">
        <v>224</v>
      </c>
      <c r="S1112" t="s">
        <v>8622</v>
      </c>
      <c r="T1112" t="s">
        <v>8632</v>
      </c>
      <c r="U1112" s="62">
        <v>7.4</v>
      </c>
      <c r="V1112" s="62" t="s">
        <v>8602</v>
      </c>
      <c r="W1112" s="46">
        <v>5000</v>
      </c>
    </row>
    <row r="1113" spans="2:23">
      <c r="B1113"/>
      <c r="R1113" t="s">
        <v>224</v>
      </c>
      <c r="S1113" t="s">
        <v>8622</v>
      </c>
      <c r="T1113" t="s">
        <v>8633</v>
      </c>
      <c r="U1113" s="62">
        <v>7.3</v>
      </c>
      <c r="V1113" s="62" t="s">
        <v>8602</v>
      </c>
      <c r="W1113" s="46">
        <v>5000</v>
      </c>
    </row>
    <row r="1114" spans="2:23">
      <c r="B1114"/>
      <c r="R1114" t="s">
        <v>224</v>
      </c>
      <c r="S1114" t="s">
        <v>8622</v>
      </c>
      <c r="T1114" t="s">
        <v>8601</v>
      </c>
      <c r="U1114" s="62">
        <v>7.2</v>
      </c>
      <c r="V1114" s="62" t="s">
        <v>8601</v>
      </c>
      <c r="W1114" s="46">
        <v>15000</v>
      </c>
    </row>
    <row r="1115" spans="2:23">
      <c r="B1115"/>
      <c r="R1115" t="s">
        <v>224</v>
      </c>
      <c r="S1115" t="s">
        <v>8622</v>
      </c>
      <c r="T1115" t="s">
        <v>8634</v>
      </c>
      <c r="U1115" s="62">
        <v>7.2</v>
      </c>
      <c r="V1115" s="62" t="s">
        <v>8601</v>
      </c>
      <c r="W1115" s="46">
        <v>15000</v>
      </c>
    </row>
    <row r="1116" spans="2:23">
      <c r="B1116"/>
      <c r="R1116" t="s">
        <v>224</v>
      </c>
      <c r="S1116" t="s">
        <v>8623</v>
      </c>
      <c r="T1116" t="s">
        <v>8629</v>
      </c>
      <c r="U1116" s="62">
        <v>7.4</v>
      </c>
      <c r="V1116" s="62" t="s">
        <v>8602</v>
      </c>
      <c r="W1116" s="46">
        <v>5000</v>
      </c>
    </row>
    <row r="1117" spans="2:23">
      <c r="B1117"/>
      <c r="R1117" t="s">
        <v>224</v>
      </c>
      <c r="S1117" t="s">
        <v>8623</v>
      </c>
      <c r="T1117" t="s">
        <v>8630</v>
      </c>
      <c r="U1117" s="62">
        <v>7.1</v>
      </c>
      <c r="V1117" s="62" t="s">
        <v>8601</v>
      </c>
      <c r="W1117" s="46">
        <v>15000</v>
      </c>
    </row>
    <row r="1118" spans="2:23">
      <c r="B1118"/>
      <c r="R1118" t="s">
        <v>224</v>
      </c>
      <c r="S1118" t="s">
        <v>8623</v>
      </c>
      <c r="T1118" t="s">
        <v>8635</v>
      </c>
      <c r="U1118" s="62">
        <v>7</v>
      </c>
      <c r="V1118" s="62" t="s">
        <v>8601</v>
      </c>
      <c r="W1118" s="46">
        <v>15000</v>
      </c>
    </row>
    <row r="1119" spans="2:23">
      <c r="B1119"/>
      <c r="R1119" t="s">
        <v>224</v>
      </c>
      <c r="S1119" t="s">
        <v>8623</v>
      </c>
      <c r="T1119" t="s">
        <v>8631</v>
      </c>
      <c r="U1119" s="62">
        <v>7</v>
      </c>
      <c r="V1119" s="62" t="s">
        <v>8601</v>
      </c>
      <c r="W1119" s="46">
        <v>15000</v>
      </c>
    </row>
    <row r="1120" spans="2:23">
      <c r="B1120"/>
      <c r="R1120" t="s">
        <v>224</v>
      </c>
      <c r="S1120" t="s">
        <v>8623</v>
      </c>
      <c r="T1120" t="s">
        <v>8632</v>
      </c>
      <c r="U1120" s="62">
        <v>7.3</v>
      </c>
      <c r="V1120" s="62" t="s">
        <v>8602</v>
      </c>
      <c r="W1120" s="46">
        <v>5000</v>
      </c>
    </row>
    <row r="1121" spans="2:23">
      <c r="B1121"/>
      <c r="R1121" t="s">
        <v>224</v>
      </c>
      <c r="S1121" t="s">
        <v>8623</v>
      </c>
      <c r="T1121" t="s">
        <v>8633</v>
      </c>
      <c r="U1121" s="62">
        <v>7.2</v>
      </c>
      <c r="V1121" s="62" t="s">
        <v>8601</v>
      </c>
      <c r="W1121" s="46">
        <v>15000</v>
      </c>
    </row>
    <row r="1122" spans="2:23">
      <c r="B1122"/>
      <c r="R1122" t="s">
        <v>224</v>
      </c>
      <c r="S1122" t="s">
        <v>8623</v>
      </c>
      <c r="T1122" t="s">
        <v>8601</v>
      </c>
      <c r="U1122" s="62">
        <v>7.2</v>
      </c>
      <c r="V1122" s="62" t="s">
        <v>8601</v>
      </c>
      <c r="W1122" s="46">
        <v>15000</v>
      </c>
    </row>
    <row r="1123" spans="2:23">
      <c r="B1123"/>
      <c r="R1123" t="s">
        <v>224</v>
      </c>
      <c r="S1123" t="s">
        <v>8623</v>
      </c>
      <c r="T1123" t="s">
        <v>8634</v>
      </c>
      <c r="U1123" s="62">
        <v>7.3</v>
      </c>
      <c r="V1123" s="62" t="s">
        <v>8602</v>
      </c>
      <c r="W1123" s="46">
        <v>5000</v>
      </c>
    </row>
    <row r="1124" spans="2:23">
      <c r="B1124"/>
    </row>
    <row r="1125" spans="2:23">
      <c r="B1125"/>
    </row>
    <row r="1126" spans="2:23">
      <c r="B1126"/>
    </row>
    <row r="1127" spans="2:23">
      <c r="B1127"/>
    </row>
    <row r="1128" spans="2:23">
      <c r="B1128"/>
    </row>
    <row r="1129" spans="2:23">
      <c r="B1129"/>
    </row>
    <row r="1130" spans="2:23">
      <c r="B1130"/>
    </row>
    <row r="1131" spans="2:23">
      <c r="B1131"/>
    </row>
    <row r="1132" spans="2:23">
      <c r="B1132"/>
    </row>
    <row r="1133" spans="2:23">
      <c r="B1133"/>
    </row>
    <row r="1134" spans="2:23">
      <c r="B1134"/>
    </row>
    <row r="1135" spans="2:23">
      <c r="B1135"/>
    </row>
    <row r="1136" spans="2:23">
      <c r="B1136"/>
    </row>
    <row r="1137" spans="2:2">
      <c r="B1137"/>
    </row>
    <row r="1138" spans="2:2">
      <c r="B1138"/>
    </row>
    <row r="1139" spans="2:2">
      <c r="B1139"/>
    </row>
    <row r="1140" spans="2:2">
      <c r="B1140"/>
    </row>
    <row r="1141" spans="2:2">
      <c r="B1141"/>
    </row>
    <row r="1142" spans="2:2">
      <c r="B1142"/>
    </row>
    <row r="1143" spans="2:2">
      <c r="B1143"/>
    </row>
    <row r="1144" spans="2:2">
      <c r="B1144"/>
    </row>
    <row r="1145" spans="2:2">
      <c r="B1145"/>
    </row>
    <row r="1146" spans="2:2">
      <c r="B1146"/>
    </row>
    <row r="1147" spans="2:2">
      <c r="B1147"/>
    </row>
    <row r="1148" spans="2:2">
      <c r="B1148"/>
    </row>
    <row r="1149" spans="2:2">
      <c r="B1149"/>
    </row>
    <row r="1150" spans="2:2">
      <c r="B1150"/>
    </row>
    <row r="1151" spans="2:2">
      <c r="B1151"/>
    </row>
    <row r="1152" spans="2:2">
      <c r="B1152"/>
    </row>
    <row r="1153" spans="2:2">
      <c r="B1153"/>
    </row>
    <row r="1154" spans="2:2">
      <c r="B1154"/>
    </row>
    <row r="1155" spans="2:2">
      <c r="B1155"/>
    </row>
    <row r="1156" spans="2:2">
      <c r="B1156"/>
    </row>
    <row r="1157" spans="2:2">
      <c r="B1157"/>
    </row>
    <row r="1158" spans="2:2">
      <c r="B1158"/>
    </row>
    <row r="1159" spans="2:2">
      <c r="B1159"/>
    </row>
    <row r="1160" spans="2:2">
      <c r="B1160"/>
    </row>
    <row r="1161" spans="2:2">
      <c r="B1161"/>
    </row>
    <row r="1162" spans="2:2">
      <c r="B1162"/>
    </row>
    <row r="1163" spans="2:2">
      <c r="B1163"/>
    </row>
    <row r="1164" spans="2:2">
      <c r="B1164"/>
    </row>
    <row r="1165" spans="2:2">
      <c r="B1165"/>
    </row>
    <row r="1166" spans="2:2">
      <c r="B1166"/>
    </row>
    <row r="1167" spans="2:2">
      <c r="B1167"/>
    </row>
    <row r="1168" spans="2:2">
      <c r="B1168"/>
    </row>
    <row r="1169" spans="2:2">
      <c r="B1169"/>
    </row>
    <row r="1170" spans="2:2">
      <c r="B1170"/>
    </row>
    <row r="1171" spans="2:2">
      <c r="B1171"/>
    </row>
    <row r="1172" spans="2:2">
      <c r="B1172"/>
    </row>
    <row r="1173" spans="2:2">
      <c r="B1173"/>
    </row>
    <row r="1174" spans="2:2">
      <c r="B1174"/>
    </row>
    <row r="1175" spans="2:2">
      <c r="B1175"/>
    </row>
    <row r="1176" spans="2:2">
      <c r="B1176"/>
    </row>
    <row r="1177" spans="2:2">
      <c r="B1177"/>
    </row>
    <row r="1178" spans="2:2">
      <c r="B1178"/>
    </row>
    <row r="1179" spans="2:2">
      <c r="B1179"/>
    </row>
    <row r="1180" spans="2:2">
      <c r="B1180"/>
    </row>
    <row r="1181" spans="2:2">
      <c r="B1181"/>
    </row>
    <row r="1182" spans="2:2">
      <c r="B1182"/>
    </row>
    <row r="1183" spans="2:2">
      <c r="B1183"/>
    </row>
    <row r="1184" spans="2:2">
      <c r="B1184"/>
    </row>
    <row r="1185" spans="2:2">
      <c r="B1185"/>
    </row>
    <row r="1186" spans="2:2">
      <c r="B1186"/>
    </row>
    <row r="1187" spans="2:2">
      <c r="B1187"/>
    </row>
    <row r="1188" spans="2:2">
      <c r="B1188"/>
    </row>
    <row r="1189" spans="2:2">
      <c r="B1189"/>
    </row>
    <row r="1190" spans="2:2">
      <c r="B1190"/>
    </row>
    <row r="1191" spans="2:2">
      <c r="B1191"/>
    </row>
    <row r="1192" spans="2:2">
      <c r="B1192"/>
    </row>
    <row r="1193" spans="2:2">
      <c r="B1193"/>
    </row>
    <row r="1194" spans="2:2">
      <c r="B1194"/>
    </row>
    <row r="1195" spans="2:2">
      <c r="B1195"/>
    </row>
    <row r="1196" spans="2:2">
      <c r="B1196"/>
    </row>
    <row r="1197" spans="2:2">
      <c r="B1197"/>
    </row>
    <row r="1198" spans="2:2">
      <c r="B1198"/>
    </row>
    <row r="1199" spans="2:2">
      <c r="B1199"/>
    </row>
    <row r="1200" spans="2:2">
      <c r="B1200"/>
    </row>
    <row r="1201" spans="2:2">
      <c r="B1201"/>
    </row>
    <row r="1202" spans="2:2">
      <c r="B1202"/>
    </row>
    <row r="1203" spans="2:2">
      <c r="B1203"/>
    </row>
    <row r="1204" spans="2:2">
      <c r="B1204"/>
    </row>
    <row r="1205" spans="2:2">
      <c r="B1205"/>
    </row>
    <row r="1206" spans="2:2">
      <c r="B1206"/>
    </row>
    <row r="1207" spans="2:2">
      <c r="B1207"/>
    </row>
    <row r="1208" spans="2:2">
      <c r="B1208"/>
    </row>
  </sheetData>
  <sheetProtection algorithmName="SHA-512" hashValue="3Ty62aSAK9qEY0F6D1q9M6hFxxPSEOWCYIlOwZBPgN9wGiqTFk4SDKXUXlX+W9mxl1i6F9zVcEzFQE0J/1R/Ng==" saltValue="HMQmGsX59q1goHj/SaIvcw==" spinCount="100000" sheet="1" objects="1" scenarios="1" formatRows="0" insertRows="0" deleteRows="0"/>
  <phoneticPr fontId="2" type="noConversion"/>
  <pageMargins left="0.7" right="0.7" top="0.75" bottom="0.75" header="0.3" footer="0.3"/>
  <pageSetup paperSize="9" orientation="portrait" r:id="rId1"/>
  <legacy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76295-F157-4EA4-AA82-B38FB68A192D}">
  <sheetPr codeName="Sheet4"/>
  <dimension ref="A1:S194"/>
  <sheetViews>
    <sheetView topLeftCell="A184" zoomScaleNormal="100" workbookViewId="0">
      <selection activeCell="C188" sqref="C188"/>
    </sheetView>
  </sheetViews>
  <sheetFormatPr defaultColWidth="9.42578125" defaultRowHeight="15"/>
  <cols>
    <col min="1" max="1" width="15.5703125" style="69" bestFit="1" customWidth="1"/>
    <col min="2" max="2" width="140.5703125" customWidth="1"/>
    <col min="3" max="3" width="15.5703125" style="1" customWidth="1"/>
    <col min="4" max="4" width="40.5703125" style="1" customWidth="1"/>
    <col min="5" max="5" width="4" customWidth="1"/>
    <col min="6" max="6" width="5.42578125" customWidth="1"/>
    <col min="7" max="7" width="10.42578125" customWidth="1"/>
    <col min="10" max="10" width="15.5703125" style="187" bestFit="1" customWidth="1"/>
    <col min="11" max="11" width="170.42578125" style="83" bestFit="1" customWidth="1"/>
    <col min="12" max="12" width="7.5703125" style="83" bestFit="1" customWidth="1"/>
    <col min="13" max="13" width="10.5703125" style="83" bestFit="1" customWidth="1"/>
    <col min="16" max="16" width="13.42578125" bestFit="1" customWidth="1"/>
    <col min="17" max="17" width="180.42578125" customWidth="1"/>
    <col min="18" max="18" width="10.42578125" style="46" customWidth="1"/>
    <col min="19" max="19" width="42.42578125" bestFit="1" customWidth="1"/>
    <col min="20" max="20" width="10.42578125" customWidth="1"/>
  </cols>
  <sheetData>
    <row r="1" spans="1:19">
      <c r="A1" s="179" t="s">
        <v>7204</v>
      </c>
      <c r="B1" s="179" t="s">
        <v>8470</v>
      </c>
      <c r="C1" s="285" t="s">
        <v>307</v>
      </c>
      <c r="D1" s="278" t="s">
        <v>7345</v>
      </c>
      <c r="J1" s="188" t="s">
        <v>7204</v>
      </c>
      <c r="K1" s="188" t="s">
        <v>8471</v>
      </c>
      <c r="L1" s="188" t="s">
        <v>307</v>
      </c>
      <c r="M1" s="188" t="s">
        <v>7345</v>
      </c>
      <c r="P1" s="344" t="s">
        <v>7204</v>
      </c>
      <c r="Q1" s="346" t="s">
        <v>10585</v>
      </c>
      <c r="R1" s="345" t="s">
        <v>10489</v>
      </c>
      <c r="S1" s="344" t="s">
        <v>7345</v>
      </c>
    </row>
    <row r="2" spans="1:19" ht="25.5">
      <c r="B2" s="103" t="s">
        <v>7205</v>
      </c>
      <c r="C2" s="280"/>
      <c r="J2" s="185">
        <v>45390</v>
      </c>
      <c r="K2" s="110" t="s">
        <v>7696</v>
      </c>
      <c r="L2" s="186">
        <v>220.00000000000003</v>
      </c>
      <c r="M2" s="185"/>
      <c r="P2" s="339"/>
      <c r="Q2" s="342" t="s">
        <v>7205</v>
      </c>
      <c r="R2" s="341"/>
      <c r="S2" s="340"/>
    </row>
    <row r="3" spans="1:19" ht="128.25">
      <c r="A3" s="104">
        <v>45203</v>
      </c>
      <c r="B3" s="105" t="s">
        <v>9666</v>
      </c>
      <c r="C3" s="281">
        <v>8500</v>
      </c>
      <c r="D3" s="1" t="s">
        <v>8691</v>
      </c>
      <c r="J3" s="185">
        <v>45950</v>
      </c>
      <c r="K3" s="110" t="s">
        <v>10437</v>
      </c>
      <c r="L3" s="186">
        <v>2999</v>
      </c>
      <c r="M3" s="185"/>
      <c r="P3" s="339">
        <v>45203</v>
      </c>
      <c r="Q3" s="342" t="s">
        <v>10587</v>
      </c>
      <c r="R3" s="341">
        <v>4985</v>
      </c>
      <c r="S3" s="340"/>
    </row>
    <row r="4" spans="1:19" ht="127.5">
      <c r="A4" s="104">
        <v>45203</v>
      </c>
      <c r="B4" s="105" t="s">
        <v>9047</v>
      </c>
      <c r="C4" s="281">
        <v>5999</v>
      </c>
      <c r="D4" s="1" t="s">
        <v>8691</v>
      </c>
      <c r="J4" s="185"/>
      <c r="K4" s="110"/>
      <c r="L4" s="186"/>
      <c r="M4" s="185"/>
      <c r="P4" s="339">
        <v>45203</v>
      </c>
      <c r="Q4" s="342" t="s">
        <v>10586</v>
      </c>
      <c r="R4" s="341">
        <v>4299</v>
      </c>
      <c r="S4" s="340" t="s">
        <v>10490</v>
      </c>
    </row>
    <row r="5" spans="1:19" ht="140.25">
      <c r="A5" s="104">
        <v>45203</v>
      </c>
      <c r="B5" s="105" t="s">
        <v>9313</v>
      </c>
      <c r="C5" s="281">
        <v>4999</v>
      </c>
      <c r="J5" s="185"/>
      <c r="K5" s="110"/>
      <c r="L5" s="186"/>
      <c r="M5" s="185"/>
      <c r="P5" s="339">
        <v>45971</v>
      </c>
      <c r="Q5" s="342" t="s">
        <v>10599</v>
      </c>
      <c r="R5" s="341">
        <v>7599</v>
      </c>
      <c r="S5" s="340" t="s">
        <v>10491</v>
      </c>
    </row>
    <row r="6" spans="1:19" ht="89.25">
      <c r="A6" s="104">
        <v>45203</v>
      </c>
      <c r="B6" s="105" t="s">
        <v>9762</v>
      </c>
      <c r="C6" s="281">
        <v>6999</v>
      </c>
      <c r="D6" s="3" t="s">
        <v>9765</v>
      </c>
      <c r="J6" s="185"/>
      <c r="K6" s="185"/>
      <c r="L6" s="185"/>
      <c r="M6" s="185"/>
      <c r="P6" s="339"/>
      <c r="Q6" s="342" t="s">
        <v>7220</v>
      </c>
      <c r="R6" s="341"/>
      <c r="S6" s="340"/>
    </row>
    <row r="7" spans="1:19" ht="89.25">
      <c r="A7" s="104">
        <v>45730</v>
      </c>
      <c r="B7" s="307" t="s">
        <v>9763</v>
      </c>
      <c r="C7" s="297">
        <v>10599</v>
      </c>
      <c r="D7" s="308" t="s">
        <v>9764</v>
      </c>
      <c r="J7" s="185"/>
      <c r="K7" s="185"/>
      <c r="L7" s="185"/>
      <c r="M7" s="185"/>
      <c r="P7" s="339">
        <v>45971</v>
      </c>
      <c r="Q7" s="342" t="s">
        <v>10492</v>
      </c>
      <c r="R7" s="341">
        <v>380</v>
      </c>
      <c r="S7" s="340" t="s">
        <v>10493</v>
      </c>
    </row>
    <row r="8" spans="1:19" ht="90">
      <c r="A8" s="104">
        <v>45730</v>
      </c>
      <c r="B8" s="307" t="s">
        <v>9766</v>
      </c>
      <c r="C8" s="297">
        <v>14999</v>
      </c>
      <c r="D8" s="308" t="s">
        <v>9767</v>
      </c>
      <c r="J8" s="185"/>
      <c r="K8" s="185"/>
      <c r="L8" s="185"/>
      <c r="M8" s="185"/>
      <c r="P8" s="339">
        <v>45971</v>
      </c>
      <c r="Q8" s="342" t="s">
        <v>10594</v>
      </c>
      <c r="R8" s="341">
        <v>750</v>
      </c>
      <c r="S8" s="340" t="s">
        <v>10494</v>
      </c>
    </row>
    <row r="9" spans="1:19" ht="127.5">
      <c r="A9" s="104"/>
      <c r="B9" s="105" t="s">
        <v>9286</v>
      </c>
      <c r="C9" s="281">
        <v>9500</v>
      </c>
      <c r="J9" s="185"/>
      <c r="K9" s="185"/>
      <c r="L9" s="185"/>
      <c r="M9" s="185"/>
      <c r="P9" s="339">
        <v>45971</v>
      </c>
      <c r="Q9" s="342" t="s">
        <v>10495</v>
      </c>
      <c r="R9" s="341">
        <v>1750</v>
      </c>
      <c r="S9" s="340" t="s">
        <v>10496</v>
      </c>
    </row>
    <row r="10" spans="1:19" ht="166.5">
      <c r="A10" s="104"/>
      <c r="B10" s="105" t="s">
        <v>9046</v>
      </c>
      <c r="C10" s="281">
        <v>-3000</v>
      </c>
      <c r="J10" s="185"/>
      <c r="K10" s="185"/>
      <c r="L10" s="185"/>
      <c r="M10" s="185"/>
      <c r="P10" s="339">
        <v>45971</v>
      </c>
      <c r="Q10" s="342" t="s">
        <v>10588</v>
      </c>
      <c r="R10" s="341">
        <v>3099</v>
      </c>
      <c r="S10" s="340"/>
    </row>
    <row r="11" spans="1:19" ht="63.75">
      <c r="A11" s="104"/>
      <c r="B11" s="105" t="s">
        <v>9060</v>
      </c>
      <c r="C11" s="281">
        <v>-5000</v>
      </c>
      <c r="J11" s="185"/>
      <c r="K11" s="185"/>
      <c r="L11" s="185"/>
      <c r="M11" s="185"/>
      <c r="P11" s="339"/>
      <c r="Q11" s="342" t="s">
        <v>7229</v>
      </c>
      <c r="R11" s="341"/>
      <c r="S11" s="340"/>
    </row>
    <row r="12" spans="1:19" ht="26.25">
      <c r="A12" s="104"/>
      <c r="B12" s="106" t="s">
        <v>7206</v>
      </c>
      <c r="C12" s="280"/>
      <c r="J12" s="185"/>
      <c r="K12" s="185"/>
      <c r="L12" s="185"/>
      <c r="M12" s="185"/>
      <c r="P12" s="339">
        <v>45971</v>
      </c>
      <c r="Q12" s="342" t="s">
        <v>10335</v>
      </c>
      <c r="R12" s="341">
        <v>2300</v>
      </c>
      <c r="S12" s="340"/>
    </row>
    <row r="13" spans="1:19" ht="27" thickBot="1">
      <c r="A13" s="104"/>
      <c r="B13" s="301" t="s">
        <v>9632</v>
      </c>
      <c r="C13" s="281">
        <v>5000</v>
      </c>
      <c r="D13" s="1" t="s">
        <v>8691</v>
      </c>
      <c r="J13" s="185"/>
      <c r="K13" s="185"/>
      <c r="L13" s="185"/>
      <c r="M13" s="185"/>
      <c r="P13" s="339">
        <v>45971</v>
      </c>
      <c r="Q13" s="342" t="s">
        <v>10589</v>
      </c>
      <c r="R13" s="341">
        <v>115</v>
      </c>
      <c r="S13" s="340" t="s">
        <v>10493</v>
      </c>
    </row>
    <row r="14" spans="1:19" ht="27" thickBot="1">
      <c r="A14" s="104"/>
      <c r="B14" s="301" t="s">
        <v>9629</v>
      </c>
      <c r="C14" s="281">
        <v>4000</v>
      </c>
      <c r="J14" s="185"/>
      <c r="K14" s="185"/>
      <c r="L14" s="185"/>
      <c r="M14" s="185"/>
      <c r="P14" s="339">
        <v>45971</v>
      </c>
      <c r="Q14" s="342" t="s">
        <v>10590</v>
      </c>
      <c r="R14" s="341">
        <v>120</v>
      </c>
      <c r="S14" s="340" t="s">
        <v>10493</v>
      </c>
    </row>
    <row r="15" spans="1:19" ht="26.25">
      <c r="A15" s="104"/>
      <c r="B15" s="302" t="s">
        <v>9633</v>
      </c>
      <c r="C15" s="281">
        <v>5000</v>
      </c>
      <c r="D15" s="1" t="s">
        <v>8691</v>
      </c>
      <c r="J15" s="185"/>
      <c r="K15" s="185"/>
      <c r="L15" s="185"/>
      <c r="M15" s="185"/>
      <c r="P15" s="339">
        <v>45971</v>
      </c>
      <c r="Q15" s="342" t="s">
        <v>10591</v>
      </c>
      <c r="R15" s="341">
        <v>210</v>
      </c>
      <c r="S15" s="340" t="s">
        <v>10493</v>
      </c>
    </row>
    <row r="16" spans="1:19" ht="26.25">
      <c r="A16" s="104"/>
      <c r="B16" s="106" t="s">
        <v>7207</v>
      </c>
      <c r="C16" s="280"/>
      <c r="J16" s="185"/>
      <c r="K16" s="185"/>
      <c r="L16" s="185"/>
      <c r="M16" s="185"/>
      <c r="P16" s="339">
        <v>45971</v>
      </c>
      <c r="Q16" s="342" t="s">
        <v>10600</v>
      </c>
      <c r="R16" s="341">
        <v>465</v>
      </c>
      <c r="S16" s="340" t="s">
        <v>10493</v>
      </c>
    </row>
    <row r="17" spans="1:19" ht="26.25">
      <c r="A17" s="104"/>
      <c r="B17" s="105" t="s">
        <v>7696</v>
      </c>
      <c r="C17" s="281">
        <v>220.00000000000003</v>
      </c>
      <c r="J17" s="185"/>
      <c r="K17" s="185"/>
      <c r="L17" s="185"/>
      <c r="M17" s="185"/>
      <c r="P17" s="339"/>
      <c r="Q17" s="342" t="s">
        <v>10592</v>
      </c>
      <c r="R17" s="341">
        <v>650</v>
      </c>
      <c r="S17" s="340" t="s">
        <v>10497</v>
      </c>
    </row>
    <row r="18" spans="1:19" ht="26.25">
      <c r="A18" s="104"/>
      <c r="B18" s="105" t="s">
        <v>7208</v>
      </c>
      <c r="C18" s="281">
        <v>1000</v>
      </c>
      <c r="J18" s="185"/>
      <c r="K18" s="185"/>
      <c r="L18" s="185"/>
      <c r="M18" s="185"/>
      <c r="P18" s="339">
        <v>45971</v>
      </c>
      <c r="Q18" s="342" t="s">
        <v>10593</v>
      </c>
      <c r="R18" s="341">
        <v>132</v>
      </c>
      <c r="S18" s="340" t="s">
        <v>10493</v>
      </c>
    </row>
    <row r="19" spans="1:19">
      <c r="A19" s="104"/>
      <c r="B19" s="105" t="s">
        <v>7209</v>
      </c>
      <c r="C19" s="281">
        <v>105</v>
      </c>
      <c r="J19" s="185"/>
      <c r="K19" s="185"/>
      <c r="L19" s="185"/>
      <c r="M19" s="185"/>
      <c r="P19" s="339"/>
      <c r="Q19" s="342" t="s">
        <v>7233</v>
      </c>
      <c r="R19" s="341"/>
      <c r="S19" s="340"/>
    </row>
    <row r="20" spans="1:19">
      <c r="A20" s="104"/>
      <c r="B20" s="105" t="s">
        <v>7210</v>
      </c>
      <c r="C20" s="281">
        <v>385</v>
      </c>
      <c r="J20" s="185"/>
      <c r="K20" s="185"/>
      <c r="L20" s="185"/>
      <c r="M20" s="185"/>
      <c r="P20" s="339">
        <v>45971</v>
      </c>
      <c r="Q20" s="342" t="s">
        <v>10498</v>
      </c>
      <c r="R20" s="341">
        <v>3125</v>
      </c>
      <c r="S20" s="340" t="s">
        <v>10493</v>
      </c>
    </row>
    <row r="21" spans="1:19">
      <c r="A21" s="104"/>
      <c r="B21" s="107" t="s">
        <v>7211</v>
      </c>
      <c r="C21" s="281">
        <v>217</v>
      </c>
      <c r="J21" s="185"/>
      <c r="K21" s="185"/>
      <c r="L21" s="185"/>
      <c r="M21" s="185"/>
      <c r="P21" s="339">
        <v>45971</v>
      </c>
      <c r="Q21" s="342" t="s">
        <v>10499</v>
      </c>
      <c r="R21" s="341" t="s">
        <v>10500</v>
      </c>
      <c r="S21" s="340" t="s">
        <v>10602</v>
      </c>
    </row>
    <row r="22" spans="1:19">
      <c r="A22" s="104"/>
      <c r="B22" s="107" t="s">
        <v>7212</v>
      </c>
      <c r="C22" s="281">
        <v>375</v>
      </c>
      <c r="J22" s="185"/>
      <c r="K22" s="185"/>
      <c r="L22" s="185"/>
      <c r="M22" s="185"/>
      <c r="P22" s="339">
        <v>45971</v>
      </c>
      <c r="Q22" s="342" t="s">
        <v>7245</v>
      </c>
      <c r="R22" s="341"/>
      <c r="S22" s="340"/>
    </row>
    <row r="23" spans="1:19" ht="25.5">
      <c r="A23" s="104"/>
      <c r="B23" s="105" t="s">
        <v>7691</v>
      </c>
      <c r="C23" s="281">
        <v>440.00000000000006</v>
      </c>
      <c r="J23" s="185"/>
      <c r="K23" s="185"/>
      <c r="L23" s="185"/>
      <c r="M23" s="185"/>
      <c r="P23" s="339">
        <v>45971</v>
      </c>
      <c r="Q23" s="342" t="s">
        <v>10595</v>
      </c>
      <c r="R23" s="341">
        <v>550</v>
      </c>
      <c r="S23" s="340"/>
    </row>
    <row r="24" spans="1:19">
      <c r="A24" s="104">
        <v>46010</v>
      </c>
      <c r="B24" s="107" t="s">
        <v>7213</v>
      </c>
      <c r="C24" s="281">
        <v>4400</v>
      </c>
      <c r="J24" s="185"/>
      <c r="K24" s="185"/>
      <c r="L24" s="185"/>
      <c r="M24" s="185"/>
      <c r="P24" s="339"/>
      <c r="Q24" s="342" t="s">
        <v>7247</v>
      </c>
      <c r="R24" s="341"/>
      <c r="S24" s="340"/>
    </row>
    <row r="25" spans="1:19">
      <c r="A25" s="104">
        <v>46010</v>
      </c>
      <c r="B25" s="107" t="s">
        <v>7214</v>
      </c>
      <c r="C25" s="281">
        <v>6600.0000000000009</v>
      </c>
      <c r="J25" s="185"/>
      <c r="K25" s="185"/>
      <c r="L25" s="185"/>
      <c r="M25" s="185"/>
      <c r="P25" s="339">
        <v>45971</v>
      </c>
      <c r="Q25" s="342" t="s">
        <v>10601</v>
      </c>
      <c r="R25" s="341">
        <v>380</v>
      </c>
      <c r="S25" s="340" t="s">
        <v>10493</v>
      </c>
    </row>
    <row r="26" spans="1:19">
      <c r="A26" s="104"/>
      <c r="B26" s="107" t="s">
        <v>7215</v>
      </c>
      <c r="C26" s="281">
        <v>1100</v>
      </c>
      <c r="J26" s="185"/>
      <c r="K26" s="185"/>
      <c r="L26" s="185"/>
      <c r="M26" s="185"/>
      <c r="P26" s="339"/>
      <c r="Q26" s="342" t="s">
        <v>7248</v>
      </c>
      <c r="R26" s="341"/>
      <c r="S26" s="340"/>
    </row>
    <row r="27" spans="1:19" ht="26.25">
      <c r="A27" s="104"/>
      <c r="B27" s="107" t="s">
        <v>7216</v>
      </c>
      <c r="C27" s="281">
        <v>1320</v>
      </c>
      <c r="J27" s="185"/>
      <c r="K27" s="185"/>
      <c r="L27" s="185"/>
      <c r="M27" s="185"/>
      <c r="P27" s="339">
        <v>45971</v>
      </c>
      <c r="Q27" s="342" t="s">
        <v>10596</v>
      </c>
      <c r="R27" s="341">
        <v>650</v>
      </c>
      <c r="S27" s="340" t="s">
        <v>10501</v>
      </c>
    </row>
    <row r="28" spans="1:19" ht="51.75">
      <c r="A28" s="104"/>
      <c r="B28" s="107" t="s">
        <v>339</v>
      </c>
      <c r="C28" s="281" t="s">
        <v>9366</v>
      </c>
      <c r="J28" s="185"/>
      <c r="K28" s="185"/>
      <c r="L28" s="185"/>
      <c r="M28" s="185"/>
      <c r="P28" s="339">
        <v>45971</v>
      </c>
      <c r="Q28" s="342" t="s">
        <v>10598</v>
      </c>
      <c r="R28" s="341">
        <v>2440</v>
      </c>
      <c r="S28" s="340"/>
    </row>
    <row r="29" spans="1:19">
      <c r="A29" s="104"/>
      <c r="B29" s="107" t="s">
        <v>7697</v>
      </c>
      <c r="C29" s="281">
        <v>1650</v>
      </c>
      <c r="J29" s="185"/>
      <c r="K29" s="185"/>
      <c r="L29" s="185"/>
      <c r="M29" s="185"/>
      <c r="P29" s="339">
        <v>45971</v>
      </c>
      <c r="Q29" s="342" t="s">
        <v>10597</v>
      </c>
      <c r="R29" s="341">
        <v>805</v>
      </c>
      <c r="S29" s="340"/>
    </row>
    <row r="30" spans="1:19" ht="51.75">
      <c r="A30" s="104"/>
      <c r="B30" s="107" t="s">
        <v>7698</v>
      </c>
      <c r="C30" s="281">
        <v>3300</v>
      </c>
      <c r="J30" s="185"/>
      <c r="K30" s="185"/>
      <c r="L30" s="185"/>
      <c r="M30" s="185"/>
      <c r="P30" s="339">
        <v>45971</v>
      </c>
      <c r="Q30" s="342" t="s">
        <v>10502</v>
      </c>
      <c r="R30" s="341">
        <v>1595</v>
      </c>
      <c r="S30" s="340"/>
    </row>
    <row r="31" spans="1:19" ht="25.5">
      <c r="A31" s="104"/>
      <c r="B31" s="105" t="s">
        <v>7699</v>
      </c>
      <c r="C31" s="281">
        <v>2420</v>
      </c>
      <c r="J31" s="185"/>
      <c r="K31" s="185"/>
      <c r="L31" s="185"/>
      <c r="M31" s="185"/>
      <c r="P31" s="339"/>
      <c r="Q31" s="342"/>
      <c r="R31" s="341"/>
      <c r="S31" s="340"/>
    </row>
    <row r="32" spans="1:19">
      <c r="A32" s="104"/>
      <c r="B32" s="107" t="s">
        <v>7692</v>
      </c>
      <c r="C32" s="281">
        <v>1210</v>
      </c>
      <c r="J32" s="185"/>
      <c r="K32" s="185"/>
      <c r="L32" s="185"/>
      <c r="M32" s="185"/>
      <c r="P32" s="339"/>
      <c r="Q32" s="342"/>
      <c r="R32" s="341"/>
      <c r="S32" s="340"/>
    </row>
    <row r="33" spans="1:19">
      <c r="A33" s="104"/>
      <c r="B33" s="107" t="s">
        <v>7693</v>
      </c>
      <c r="C33" s="281">
        <v>3000</v>
      </c>
      <c r="J33" s="185"/>
      <c r="K33" s="185"/>
      <c r="L33" s="185"/>
      <c r="M33" s="185"/>
      <c r="P33" s="339"/>
      <c r="Q33" s="342"/>
      <c r="R33" s="341"/>
      <c r="S33" s="340"/>
    </row>
    <row r="34" spans="1:19">
      <c r="A34" s="104"/>
      <c r="B34" s="107" t="s">
        <v>7694</v>
      </c>
      <c r="C34" s="281">
        <v>5990</v>
      </c>
      <c r="J34" s="185"/>
      <c r="K34" s="185"/>
      <c r="L34" s="185"/>
      <c r="M34" s="185"/>
      <c r="P34" s="339"/>
      <c r="Q34" s="342"/>
      <c r="R34" s="341"/>
      <c r="S34" s="340"/>
    </row>
    <row r="35" spans="1:19">
      <c r="A35" s="104"/>
      <c r="B35" s="107" t="s">
        <v>7217</v>
      </c>
      <c r="C35" s="281">
        <v>550</v>
      </c>
      <c r="J35" s="185"/>
      <c r="K35" s="185"/>
      <c r="L35" s="185"/>
      <c r="M35" s="185"/>
      <c r="P35" s="339"/>
      <c r="Q35" s="342"/>
      <c r="R35" s="341"/>
      <c r="S35" s="340"/>
    </row>
    <row r="36" spans="1:19">
      <c r="A36" s="104"/>
      <c r="B36" s="107" t="s">
        <v>9206</v>
      </c>
      <c r="C36" s="281">
        <v>5560</v>
      </c>
      <c r="J36" s="185"/>
      <c r="K36" s="185"/>
      <c r="L36" s="185"/>
      <c r="M36" s="185"/>
      <c r="P36" s="339"/>
      <c r="Q36" s="342"/>
      <c r="R36" s="341"/>
      <c r="S36" s="340"/>
    </row>
    <row r="37" spans="1:19">
      <c r="A37" s="104"/>
      <c r="B37" s="107" t="s">
        <v>7218</v>
      </c>
      <c r="C37" s="281">
        <v>1200</v>
      </c>
      <c r="J37" s="185"/>
      <c r="K37" s="185"/>
      <c r="L37" s="185"/>
      <c r="M37" s="185"/>
      <c r="P37" s="339"/>
      <c r="Q37" s="342"/>
      <c r="R37" s="341"/>
      <c r="S37" s="340"/>
    </row>
    <row r="38" spans="1:19" ht="25.5">
      <c r="A38" s="104"/>
      <c r="B38" s="105" t="s">
        <v>7700</v>
      </c>
      <c r="C38" s="281">
        <v>1480</v>
      </c>
      <c r="J38" s="185"/>
      <c r="K38" s="185"/>
      <c r="L38" s="185"/>
      <c r="M38" s="185"/>
    </row>
    <row r="39" spans="1:19" ht="25.5">
      <c r="A39" s="104"/>
      <c r="B39" s="105" t="s">
        <v>7701</v>
      </c>
      <c r="C39" s="281">
        <v>1664</v>
      </c>
      <c r="J39" s="185"/>
      <c r="K39" s="185"/>
      <c r="L39" s="185"/>
      <c r="M39" s="185"/>
    </row>
    <row r="40" spans="1:19">
      <c r="A40" s="104"/>
      <c r="B40" s="107" t="s">
        <v>7702</v>
      </c>
      <c r="C40" s="281">
        <v>231</v>
      </c>
      <c r="J40" s="185"/>
      <c r="K40" s="185"/>
      <c r="L40" s="185"/>
      <c r="M40" s="185"/>
    </row>
    <row r="41" spans="1:19" ht="51">
      <c r="A41" s="104"/>
      <c r="B41" s="105" t="s">
        <v>7703</v>
      </c>
      <c r="C41" s="281">
        <v>787</v>
      </c>
      <c r="J41" s="185"/>
      <c r="K41" s="185"/>
      <c r="L41" s="185"/>
      <c r="M41" s="185"/>
    </row>
    <row r="42" spans="1:19" ht="25.5">
      <c r="A42" s="104"/>
      <c r="B42" s="105" t="s">
        <v>7704</v>
      </c>
      <c r="C42" s="281">
        <v>8000</v>
      </c>
      <c r="J42" s="185"/>
      <c r="K42" s="185"/>
      <c r="L42" s="185"/>
      <c r="M42" s="185"/>
    </row>
    <row r="43" spans="1:19" ht="25.5">
      <c r="A43" s="104"/>
      <c r="B43" s="105" t="s">
        <v>7705</v>
      </c>
      <c r="C43" s="281">
        <v>13000</v>
      </c>
      <c r="J43" s="185"/>
      <c r="K43" s="185"/>
      <c r="L43" s="185"/>
      <c r="M43" s="185"/>
    </row>
    <row r="44" spans="1:19">
      <c r="A44" s="104"/>
      <c r="B44" s="107" t="s">
        <v>7219</v>
      </c>
      <c r="C44" s="281">
        <v>233</v>
      </c>
      <c r="J44" s="185"/>
      <c r="K44" s="185"/>
      <c r="L44" s="185"/>
      <c r="M44" s="185"/>
    </row>
    <row r="45" spans="1:19">
      <c r="A45" s="104"/>
      <c r="B45" s="107" t="s">
        <v>7689</v>
      </c>
      <c r="C45" s="281">
        <v>324</v>
      </c>
      <c r="J45" s="185"/>
      <c r="K45" s="185"/>
      <c r="L45" s="185"/>
      <c r="M45" s="185"/>
    </row>
    <row r="46" spans="1:19">
      <c r="A46" s="104"/>
      <c r="B46" s="107" t="s">
        <v>7707</v>
      </c>
      <c r="C46" s="281">
        <v>200</v>
      </c>
      <c r="J46" s="185"/>
      <c r="K46" s="185"/>
      <c r="L46" s="185"/>
      <c r="M46" s="185"/>
    </row>
    <row r="47" spans="1:19">
      <c r="A47" s="104"/>
      <c r="B47" s="107" t="s">
        <v>7706</v>
      </c>
      <c r="C47" s="281">
        <v>180</v>
      </c>
      <c r="J47" s="185"/>
      <c r="K47" s="185"/>
      <c r="L47" s="185"/>
      <c r="M47" s="185"/>
    </row>
    <row r="48" spans="1:19" ht="25.5">
      <c r="A48" s="104"/>
      <c r="B48" s="307" t="s">
        <v>10472</v>
      </c>
      <c r="C48" s="297">
        <v>6700</v>
      </c>
      <c r="D48" s="294"/>
      <c r="J48" s="185"/>
      <c r="K48" s="185"/>
      <c r="L48" s="185"/>
      <c r="M48" s="185"/>
    </row>
    <row r="49" spans="1:13">
      <c r="A49" s="104"/>
      <c r="B49" s="307" t="s">
        <v>10484</v>
      </c>
      <c r="C49" s="297" t="s">
        <v>10485</v>
      </c>
      <c r="D49" s="294"/>
      <c r="J49" s="185"/>
      <c r="K49" s="185"/>
      <c r="L49" s="185"/>
      <c r="M49" s="185"/>
    </row>
    <row r="50" spans="1:13">
      <c r="A50" s="104"/>
      <c r="B50" s="106" t="s">
        <v>7220</v>
      </c>
      <c r="C50" s="280"/>
      <c r="J50" s="185"/>
      <c r="K50" s="185"/>
      <c r="L50" s="185"/>
      <c r="M50" s="185"/>
    </row>
    <row r="51" spans="1:13">
      <c r="A51" s="104"/>
      <c r="B51" s="107" t="s">
        <v>7221</v>
      </c>
      <c r="C51" s="281" t="s">
        <v>9371</v>
      </c>
      <c r="J51" s="185"/>
      <c r="K51" s="185"/>
      <c r="L51" s="185"/>
      <c r="M51" s="185"/>
    </row>
    <row r="52" spans="1:13">
      <c r="A52" s="104"/>
      <c r="B52" s="107" t="s">
        <v>7222</v>
      </c>
      <c r="C52" s="281" t="s">
        <v>9367</v>
      </c>
      <c r="J52" s="185"/>
      <c r="K52" s="185"/>
      <c r="L52" s="185"/>
      <c r="M52" s="185"/>
    </row>
    <row r="53" spans="1:13">
      <c r="A53" s="104"/>
      <c r="B53" s="107" t="s">
        <v>7223</v>
      </c>
      <c r="C53" s="281" t="s">
        <v>9368</v>
      </c>
      <c r="J53" s="185"/>
      <c r="K53" s="185"/>
      <c r="L53" s="185"/>
      <c r="M53" s="185"/>
    </row>
    <row r="54" spans="1:13" ht="25.5">
      <c r="A54" s="104"/>
      <c r="B54" s="105" t="s">
        <v>7708</v>
      </c>
      <c r="C54" s="281" t="s">
        <v>9369</v>
      </c>
      <c r="J54" s="185"/>
      <c r="K54" s="185"/>
      <c r="L54" s="185"/>
      <c r="M54" s="185"/>
    </row>
    <row r="55" spans="1:13">
      <c r="A55" s="104"/>
      <c r="B55" s="107" t="s">
        <v>7713</v>
      </c>
      <c r="C55" s="281" t="s">
        <v>9370</v>
      </c>
      <c r="J55" s="185"/>
      <c r="K55" s="185"/>
      <c r="L55" s="185"/>
      <c r="M55" s="185"/>
    </row>
    <row r="56" spans="1:13">
      <c r="A56" s="104"/>
      <c r="B56" s="107" t="s">
        <v>7714</v>
      </c>
      <c r="C56" s="281" t="s">
        <v>9365</v>
      </c>
      <c r="J56" s="185"/>
      <c r="K56" s="185"/>
      <c r="L56" s="185"/>
      <c r="M56" s="185"/>
    </row>
    <row r="57" spans="1:13">
      <c r="A57" s="104"/>
      <c r="B57" s="107" t="s">
        <v>7715</v>
      </c>
      <c r="C57" s="281" t="s">
        <v>9372</v>
      </c>
      <c r="J57" s="185"/>
      <c r="K57" s="185"/>
      <c r="L57" s="185"/>
      <c r="M57" s="185"/>
    </row>
    <row r="58" spans="1:13" ht="51">
      <c r="A58" s="104"/>
      <c r="B58" s="105" t="s">
        <v>7709</v>
      </c>
      <c r="C58" s="281">
        <v>7000</v>
      </c>
      <c r="J58" s="185"/>
      <c r="K58" s="185"/>
      <c r="L58" s="185"/>
      <c r="M58" s="185"/>
    </row>
    <row r="59" spans="1:13">
      <c r="A59" s="104"/>
      <c r="B59" s="107" t="s">
        <v>7224</v>
      </c>
      <c r="C59" s="281">
        <v>392</v>
      </c>
      <c r="J59" s="185"/>
      <c r="K59" s="185"/>
      <c r="L59" s="185"/>
      <c r="M59" s="185"/>
    </row>
    <row r="60" spans="1:13">
      <c r="A60" s="104"/>
      <c r="B60" s="107" t="s">
        <v>7225</v>
      </c>
      <c r="C60" s="281">
        <v>392</v>
      </c>
      <c r="J60" s="185"/>
      <c r="K60" s="185"/>
      <c r="L60" s="185"/>
      <c r="M60" s="185"/>
    </row>
    <row r="61" spans="1:13">
      <c r="A61" s="104"/>
      <c r="B61" s="107" t="s">
        <v>7226</v>
      </c>
      <c r="C61" s="281">
        <v>1500</v>
      </c>
      <c r="J61" s="185"/>
      <c r="K61" s="185"/>
      <c r="L61" s="185"/>
      <c r="M61" s="185"/>
    </row>
    <row r="62" spans="1:13">
      <c r="A62" s="104">
        <v>46010</v>
      </c>
      <c r="B62" s="107" t="s">
        <v>7227</v>
      </c>
      <c r="C62" s="281">
        <v>413</v>
      </c>
      <c r="J62" s="185"/>
      <c r="K62" s="185"/>
      <c r="L62" s="185"/>
      <c r="M62" s="185"/>
    </row>
    <row r="63" spans="1:13">
      <c r="A63" s="104"/>
      <c r="B63" s="107" t="s">
        <v>7690</v>
      </c>
      <c r="C63" s="281">
        <v>563</v>
      </c>
      <c r="J63" s="185"/>
      <c r="K63" s="185"/>
      <c r="L63" s="185"/>
      <c r="M63" s="185"/>
    </row>
    <row r="64" spans="1:13">
      <c r="A64" s="104"/>
      <c r="B64" s="107" t="s">
        <v>7710</v>
      </c>
      <c r="C64" s="281">
        <v>976</v>
      </c>
      <c r="J64" s="185"/>
      <c r="K64" s="185"/>
      <c r="L64" s="185"/>
      <c r="M64" s="185"/>
    </row>
    <row r="65" spans="1:13">
      <c r="A65" s="104"/>
      <c r="B65" s="107" t="s">
        <v>7228</v>
      </c>
      <c r="C65" s="281">
        <v>1100</v>
      </c>
      <c r="J65" s="185"/>
      <c r="K65" s="185"/>
      <c r="L65" s="185"/>
      <c r="M65" s="185"/>
    </row>
    <row r="66" spans="1:13" ht="165.75">
      <c r="A66" s="104">
        <v>45203</v>
      </c>
      <c r="B66" s="105" t="s">
        <v>8253</v>
      </c>
      <c r="C66" s="281">
        <v>3600</v>
      </c>
      <c r="J66" s="185"/>
      <c r="K66" s="185"/>
      <c r="L66" s="185"/>
      <c r="M66" s="185"/>
    </row>
    <row r="67" spans="1:13">
      <c r="A67" s="104"/>
      <c r="B67" s="106" t="s">
        <v>7229</v>
      </c>
      <c r="C67" s="280"/>
      <c r="J67" s="185"/>
      <c r="K67" s="185"/>
      <c r="L67" s="185"/>
      <c r="M67" s="185"/>
    </row>
    <row r="68" spans="1:13">
      <c r="A68" s="104"/>
      <c r="B68" s="107" t="s">
        <v>7711</v>
      </c>
      <c r="C68" s="281">
        <v>150</v>
      </c>
      <c r="J68" s="185"/>
      <c r="K68" s="185"/>
      <c r="L68" s="185"/>
      <c r="M68" s="185"/>
    </row>
    <row r="69" spans="1:13">
      <c r="A69" s="104"/>
      <c r="B69" s="107" t="s">
        <v>7712</v>
      </c>
      <c r="C69" s="281">
        <v>175</v>
      </c>
      <c r="J69" s="185"/>
      <c r="K69" s="185"/>
      <c r="L69" s="185"/>
      <c r="M69" s="185"/>
    </row>
    <row r="70" spans="1:13">
      <c r="A70" s="104"/>
      <c r="B70" s="107" t="s">
        <v>7716</v>
      </c>
      <c r="C70" s="281">
        <v>115</v>
      </c>
      <c r="J70" s="185"/>
      <c r="K70" s="185"/>
      <c r="L70" s="185"/>
      <c r="M70" s="185"/>
    </row>
    <row r="71" spans="1:13">
      <c r="A71" s="104"/>
      <c r="B71" s="107" t="s">
        <v>7230</v>
      </c>
      <c r="C71" s="281">
        <v>98</v>
      </c>
      <c r="J71" s="185"/>
      <c r="K71" s="185"/>
      <c r="L71" s="185"/>
      <c r="M71" s="185"/>
    </row>
    <row r="72" spans="1:13">
      <c r="A72" s="104"/>
      <c r="B72" s="107" t="s">
        <v>7718</v>
      </c>
      <c r="C72" s="281">
        <v>350</v>
      </c>
      <c r="J72" s="185"/>
      <c r="K72" s="185"/>
      <c r="L72" s="185"/>
      <c r="M72" s="185"/>
    </row>
    <row r="73" spans="1:13">
      <c r="A73" s="104"/>
      <c r="B73" s="107" t="s">
        <v>7717</v>
      </c>
      <c r="C73" s="281">
        <v>172</v>
      </c>
      <c r="J73" s="185"/>
      <c r="K73" s="185"/>
      <c r="L73" s="185"/>
      <c r="M73" s="185"/>
    </row>
    <row r="74" spans="1:13">
      <c r="A74" s="104"/>
      <c r="B74" s="105" t="s">
        <v>9373</v>
      </c>
      <c r="C74" s="281">
        <v>105</v>
      </c>
      <c r="J74" s="185"/>
      <c r="K74" s="185"/>
      <c r="L74" s="185"/>
      <c r="M74" s="185"/>
    </row>
    <row r="75" spans="1:13">
      <c r="A75" s="104"/>
      <c r="B75" s="105" t="s">
        <v>9374</v>
      </c>
      <c r="C75" s="281">
        <v>1260</v>
      </c>
      <c r="J75" s="185"/>
      <c r="K75" s="185"/>
      <c r="L75" s="185"/>
      <c r="M75" s="185"/>
    </row>
    <row r="76" spans="1:13">
      <c r="A76" s="104"/>
      <c r="B76" s="105" t="s">
        <v>9375</v>
      </c>
      <c r="C76" s="281">
        <v>1785</v>
      </c>
      <c r="J76" s="185"/>
      <c r="K76" s="185"/>
      <c r="L76" s="185"/>
      <c r="M76" s="185"/>
    </row>
    <row r="77" spans="1:13">
      <c r="A77" s="104">
        <v>46010</v>
      </c>
      <c r="B77" s="107" t="s">
        <v>7720</v>
      </c>
      <c r="C77" s="281">
        <v>570</v>
      </c>
      <c r="J77" s="185"/>
      <c r="K77" s="185"/>
      <c r="L77" s="185"/>
      <c r="M77" s="185"/>
    </row>
    <row r="78" spans="1:13">
      <c r="A78" s="104">
        <v>46010</v>
      </c>
      <c r="B78" s="107" t="s">
        <v>7719</v>
      </c>
      <c r="C78" s="281" t="s">
        <v>10759</v>
      </c>
      <c r="J78" s="185"/>
      <c r="K78" s="185"/>
      <c r="L78" s="185"/>
      <c r="M78" s="185"/>
    </row>
    <row r="79" spans="1:13">
      <c r="A79" s="104">
        <v>46058</v>
      </c>
      <c r="B79" s="307" t="s">
        <v>10823</v>
      </c>
      <c r="C79" s="297">
        <v>650</v>
      </c>
      <c r="D79" s="294"/>
      <c r="J79" s="185"/>
      <c r="K79" s="185"/>
      <c r="L79" s="185"/>
      <c r="M79" s="185"/>
    </row>
    <row r="80" spans="1:13">
      <c r="A80" s="104"/>
      <c r="B80" s="105" t="s">
        <v>8359</v>
      </c>
      <c r="C80" s="281">
        <v>528</v>
      </c>
      <c r="J80" s="185"/>
      <c r="K80" s="185"/>
      <c r="L80" s="185"/>
      <c r="M80" s="185"/>
    </row>
    <row r="81" spans="1:13">
      <c r="A81" s="104">
        <v>46010</v>
      </c>
      <c r="B81" s="107" t="s">
        <v>7721</v>
      </c>
      <c r="C81" s="281" t="s">
        <v>9376</v>
      </c>
      <c r="J81" s="185"/>
      <c r="K81" s="185"/>
      <c r="L81" s="185"/>
      <c r="M81" s="185"/>
    </row>
    <row r="82" spans="1:13" ht="89.25">
      <c r="A82" s="104"/>
      <c r="B82" s="105" t="s">
        <v>7722</v>
      </c>
      <c r="C82" s="281">
        <v>12500</v>
      </c>
      <c r="J82" s="185"/>
      <c r="K82" s="185"/>
      <c r="L82" s="185"/>
      <c r="M82" s="185"/>
    </row>
    <row r="83" spans="1:13" ht="76.5">
      <c r="A83" s="104">
        <v>46010</v>
      </c>
      <c r="B83" s="105" t="s">
        <v>10760</v>
      </c>
      <c r="C83" s="281">
        <v>2200</v>
      </c>
      <c r="J83" s="185"/>
      <c r="K83" s="185"/>
      <c r="L83" s="185"/>
      <c r="M83" s="185"/>
    </row>
    <row r="84" spans="1:13">
      <c r="A84" s="104">
        <v>46010</v>
      </c>
      <c r="B84" s="107" t="s">
        <v>7723</v>
      </c>
      <c r="C84" s="281" t="s">
        <v>10761</v>
      </c>
      <c r="J84" s="185"/>
      <c r="K84" s="185"/>
      <c r="L84" s="185"/>
      <c r="M84" s="185"/>
    </row>
    <row r="85" spans="1:13">
      <c r="A85" s="104">
        <v>46010</v>
      </c>
      <c r="B85" s="107" t="s">
        <v>7724</v>
      </c>
      <c r="C85" s="281">
        <v>540</v>
      </c>
      <c r="J85" s="185"/>
      <c r="K85" s="185"/>
      <c r="L85" s="185"/>
      <c r="M85" s="185"/>
    </row>
    <row r="86" spans="1:13">
      <c r="A86" s="104">
        <v>46010</v>
      </c>
      <c r="B86" s="107" t="s">
        <v>7725</v>
      </c>
      <c r="C86" s="281">
        <v>115</v>
      </c>
      <c r="J86" s="185"/>
      <c r="K86" s="185"/>
      <c r="L86" s="185"/>
      <c r="M86" s="185"/>
    </row>
    <row r="87" spans="1:13">
      <c r="A87" s="104">
        <v>46010</v>
      </c>
      <c r="B87" s="107" t="s">
        <v>7231</v>
      </c>
      <c r="C87" s="281">
        <v>89</v>
      </c>
      <c r="J87" s="185"/>
      <c r="K87" s="185"/>
      <c r="L87" s="185"/>
      <c r="M87" s="185"/>
    </row>
    <row r="88" spans="1:13">
      <c r="A88" s="104">
        <v>45518</v>
      </c>
      <c r="B88" s="107" t="s">
        <v>9216</v>
      </c>
      <c r="C88" s="281">
        <v>5162</v>
      </c>
      <c r="J88" s="185"/>
      <c r="K88" s="185"/>
      <c r="L88" s="185"/>
      <c r="M88" s="185"/>
    </row>
    <row r="89" spans="1:13">
      <c r="A89" s="104">
        <v>45518</v>
      </c>
      <c r="B89" s="105" t="s">
        <v>9217</v>
      </c>
      <c r="C89" s="281">
        <v>9150</v>
      </c>
      <c r="J89" s="185"/>
      <c r="K89" s="185"/>
      <c r="L89" s="185"/>
      <c r="M89" s="185"/>
    </row>
    <row r="90" spans="1:13" ht="51">
      <c r="A90" s="104">
        <v>46010</v>
      </c>
      <c r="B90" s="105" t="s">
        <v>7232</v>
      </c>
      <c r="C90" s="281">
        <v>1595.0000000000002</v>
      </c>
      <c r="J90" s="185"/>
      <c r="K90" s="185"/>
      <c r="L90" s="185"/>
      <c r="M90" s="185"/>
    </row>
    <row r="91" spans="1:13" ht="25.5">
      <c r="A91" s="104">
        <v>45919</v>
      </c>
      <c r="B91" s="307" t="s">
        <v>10335</v>
      </c>
      <c r="C91" s="297">
        <v>2300</v>
      </c>
      <c r="D91" s="294"/>
      <c r="J91" s="185"/>
      <c r="K91" s="185"/>
      <c r="L91" s="185"/>
      <c r="M91" s="185"/>
    </row>
    <row r="92" spans="1:13">
      <c r="A92" s="104"/>
      <c r="B92" s="106" t="s">
        <v>7233</v>
      </c>
      <c r="C92" s="280"/>
      <c r="J92" s="185"/>
      <c r="K92" s="185"/>
      <c r="L92" s="185"/>
      <c r="M92" s="185"/>
    </row>
    <row r="93" spans="1:13">
      <c r="A93" s="104">
        <v>46010</v>
      </c>
      <c r="B93" s="107" t="s">
        <v>7234</v>
      </c>
      <c r="C93" s="281">
        <v>2540</v>
      </c>
      <c r="J93" s="185"/>
      <c r="K93" s="185"/>
      <c r="L93" s="185"/>
      <c r="M93" s="185"/>
    </row>
    <row r="94" spans="1:13">
      <c r="A94" s="104">
        <v>46010</v>
      </c>
      <c r="B94" s="107" t="s">
        <v>9667</v>
      </c>
      <c r="C94" s="281">
        <v>4060</v>
      </c>
      <c r="J94" s="185"/>
      <c r="K94" s="185"/>
      <c r="L94" s="185"/>
      <c r="M94" s="185"/>
    </row>
    <row r="95" spans="1:13">
      <c r="A95" s="104">
        <v>46010</v>
      </c>
      <c r="B95" s="107" t="s">
        <v>7235</v>
      </c>
      <c r="C95" s="281">
        <v>6230</v>
      </c>
      <c r="J95" s="185"/>
      <c r="K95" s="185"/>
      <c r="L95" s="185"/>
      <c r="M95" s="185"/>
    </row>
    <row r="96" spans="1:13">
      <c r="A96" s="104"/>
      <c r="B96" s="107" t="s">
        <v>7236</v>
      </c>
      <c r="C96" s="281">
        <v>4730</v>
      </c>
      <c r="J96" s="185"/>
      <c r="K96" s="185"/>
      <c r="L96" s="185"/>
      <c r="M96" s="185"/>
    </row>
    <row r="97" spans="1:13">
      <c r="A97" s="104"/>
      <c r="B97" s="107" t="s">
        <v>9668</v>
      </c>
      <c r="C97" s="281">
        <v>3430</v>
      </c>
      <c r="J97" s="185"/>
      <c r="K97" s="185"/>
      <c r="L97" s="185"/>
      <c r="M97" s="185"/>
    </row>
    <row r="98" spans="1:13" ht="127.5">
      <c r="A98" s="104">
        <v>45832</v>
      </c>
      <c r="B98" s="105" t="s">
        <v>10010</v>
      </c>
      <c r="C98" s="281">
        <v>10000</v>
      </c>
      <c r="D98" s="1" t="s">
        <v>10009</v>
      </c>
      <c r="J98" s="185"/>
      <c r="K98" s="185"/>
      <c r="L98" s="185"/>
      <c r="M98" s="185"/>
    </row>
    <row r="99" spans="1:13" ht="127.5">
      <c r="A99" s="104">
        <v>45882</v>
      </c>
      <c r="B99" s="307" t="s">
        <v>10219</v>
      </c>
      <c r="C99" s="297">
        <v>7500</v>
      </c>
      <c r="D99" s="1" t="s">
        <v>10009</v>
      </c>
      <c r="J99" s="185"/>
      <c r="K99" s="185"/>
      <c r="L99" s="185"/>
      <c r="M99" s="185"/>
    </row>
    <row r="100" spans="1:13" ht="140.25">
      <c r="A100" s="104">
        <v>45888</v>
      </c>
      <c r="B100" s="307" t="s">
        <v>10233</v>
      </c>
      <c r="C100" s="297">
        <v>14500</v>
      </c>
      <c r="D100" s="294" t="s">
        <v>10009</v>
      </c>
      <c r="J100" s="185"/>
      <c r="K100" s="185"/>
      <c r="L100" s="185"/>
      <c r="M100" s="185"/>
    </row>
    <row r="101" spans="1:13">
      <c r="A101" s="104">
        <v>45320</v>
      </c>
      <c r="B101" s="107" t="s">
        <v>8388</v>
      </c>
      <c r="C101" s="281">
        <v>14628</v>
      </c>
      <c r="J101" s="185"/>
      <c r="K101" s="185"/>
      <c r="L101" s="185"/>
      <c r="M101" s="185"/>
    </row>
    <row r="102" spans="1:13" ht="89.25">
      <c r="A102" s="104">
        <v>45320</v>
      </c>
      <c r="B102" s="105" t="s">
        <v>8543</v>
      </c>
      <c r="C102" s="281">
        <v>16384.599999999999</v>
      </c>
      <c r="J102" s="185"/>
      <c r="K102" s="185"/>
      <c r="L102" s="185"/>
      <c r="M102" s="185"/>
    </row>
    <row r="103" spans="1:13">
      <c r="A103" s="104">
        <v>45320</v>
      </c>
      <c r="B103" s="107" t="s">
        <v>8544</v>
      </c>
      <c r="C103" s="281">
        <v>16604.2</v>
      </c>
      <c r="J103" s="185"/>
      <c r="K103" s="185"/>
      <c r="L103" s="185"/>
      <c r="M103" s="185"/>
    </row>
    <row r="104" spans="1:13">
      <c r="A104" s="104"/>
      <c r="B104" s="103" t="s">
        <v>7237</v>
      </c>
      <c r="C104" s="280"/>
      <c r="J104" s="185"/>
      <c r="K104" s="185"/>
      <c r="L104" s="185"/>
      <c r="M104" s="185"/>
    </row>
    <row r="105" spans="1:13" ht="25.5">
      <c r="A105" s="104"/>
      <c r="B105" s="108" t="s">
        <v>9048</v>
      </c>
      <c r="C105" s="281">
        <v>550</v>
      </c>
      <c r="J105" s="185"/>
      <c r="K105" s="185"/>
      <c r="L105" s="185"/>
      <c r="M105" s="185"/>
    </row>
    <row r="106" spans="1:13">
      <c r="A106" s="104">
        <v>45203</v>
      </c>
      <c r="B106" s="107" t="s">
        <v>8355</v>
      </c>
      <c r="C106" s="281">
        <v>645</v>
      </c>
      <c r="J106" s="185"/>
      <c r="K106" s="185"/>
      <c r="L106" s="185"/>
      <c r="M106" s="185"/>
    </row>
    <row r="107" spans="1:13">
      <c r="A107" s="104"/>
      <c r="B107" s="107" t="s">
        <v>7238</v>
      </c>
      <c r="C107" s="281">
        <v>180</v>
      </c>
      <c r="J107" s="185"/>
      <c r="K107" s="185"/>
      <c r="L107" s="185"/>
      <c r="M107" s="185"/>
    </row>
    <row r="108" spans="1:13" ht="25.5">
      <c r="A108" s="104"/>
      <c r="B108" s="105" t="s">
        <v>7726</v>
      </c>
      <c r="C108" s="281">
        <v>1870.0000000000002</v>
      </c>
      <c r="J108" s="185"/>
      <c r="K108" s="185"/>
      <c r="L108" s="185"/>
      <c r="M108" s="185"/>
    </row>
    <row r="109" spans="1:13" ht="25.5">
      <c r="A109" s="104"/>
      <c r="B109" s="105" t="s">
        <v>7727</v>
      </c>
      <c r="C109" s="281">
        <v>2830</v>
      </c>
      <c r="J109" s="185"/>
      <c r="K109" s="185"/>
      <c r="L109" s="185"/>
      <c r="M109" s="185"/>
    </row>
    <row r="110" spans="1:13">
      <c r="A110" s="104"/>
      <c r="B110" s="107" t="s">
        <v>9049</v>
      </c>
      <c r="C110" s="281">
        <v>792</v>
      </c>
      <c r="J110" s="185"/>
      <c r="K110" s="185"/>
      <c r="L110" s="185"/>
      <c r="M110" s="185"/>
    </row>
    <row r="111" spans="1:13">
      <c r="A111" s="104"/>
      <c r="B111" s="107" t="s">
        <v>9050</v>
      </c>
      <c r="C111" s="281">
        <v>1522</v>
      </c>
      <c r="J111" s="185"/>
      <c r="K111" s="185"/>
      <c r="L111" s="185"/>
      <c r="M111" s="185"/>
    </row>
    <row r="112" spans="1:13">
      <c r="A112" s="104"/>
      <c r="B112" s="107" t="s">
        <v>9051</v>
      </c>
      <c r="C112" s="281">
        <v>761</v>
      </c>
      <c r="J112" s="185"/>
      <c r="K112" s="185"/>
      <c r="L112" s="185"/>
      <c r="M112" s="185"/>
    </row>
    <row r="113" spans="1:13">
      <c r="A113" s="104"/>
      <c r="B113" s="107" t="s">
        <v>9052</v>
      </c>
      <c r="C113" s="281">
        <v>1584</v>
      </c>
      <c r="J113" s="185"/>
      <c r="K113" s="185"/>
      <c r="L113" s="185"/>
      <c r="M113" s="185"/>
    </row>
    <row r="114" spans="1:13">
      <c r="A114" s="104">
        <v>45203</v>
      </c>
      <c r="B114" s="107" t="s">
        <v>9706</v>
      </c>
      <c r="C114" s="281">
        <v>200</v>
      </c>
      <c r="J114" s="185"/>
      <c r="K114" s="185"/>
      <c r="L114" s="185"/>
      <c r="M114" s="185"/>
    </row>
    <row r="115" spans="1:13" ht="51">
      <c r="A115" s="104"/>
      <c r="B115" s="105" t="s">
        <v>7239</v>
      </c>
      <c r="C115" s="281">
        <v>1160</v>
      </c>
      <c r="J115" s="185"/>
      <c r="K115" s="185"/>
      <c r="L115" s="185"/>
      <c r="M115" s="185"/>
    </row>
    <row r="116" spans="1:13" ht="38.25">
      <c r="A116" s="104"/>
      <c r="B116" s="105" t="s">
        <v>9327</v>
      </c>
      <c r="C116" s="281">
        <v>1559</v>
      </c>
      <c r="J116" s="185"/>
      <c r="K116" s="185"/>
      <c r="L116" s="185"/>
      <c r="M116" s="185"/>
    </row>
    <row r="117" spans="1:13">
      <c r="A117" s="104"/>
      <c r="B117" s="107" t="s">
        <v>7728</v>
      </c>
      <c r="C117" s="281">
        <v>600</v>
      </c>
      <c r="J117" s="185"/>
      <c r="K117" s="185"/>
      <c r="L117" s="185"/>
      <c r="M117" s="185"/>
    </row>
    <row r="118" spans="1:13">
      <c r="A118" s="104"/>
      <c r="B118" s="107" t="s">
        <v>7729</v>
      </c>
      <c r="C118" s="281">
        <v>800</v>
      </c>
      <c r="J118" s="185"/>
      <c r="K118" s="185"/>
      <c r="L118" s="185"/>
      <c r="M118" s="185"/>
    </row>
    <row r="119" spans="1:13" ht="38.25">
      <c r="A119" s="104"/>
      <c r="B119" s="105" t="s">
        <v>7240</v>
      </c>
      <c r="C119" s="281">
        <v>665</v>
      </c>
      <c r="J119" s="185"/>
      <c r="K119" s="185"/>
      <c r="L119" s="185"/>
      <c r="M119" s="185"/>
    </row>
    <row r="120" spans="1:13">
      <c r="A120" s="104"/>
      <c r="B120" s="107" t="s">
        <v>7730</v>
      </c>
      <c r="C120" s="281">
        <v>181</v>
      </c>
      <c r="J120" s="185"/>
      <c r="K120" s="185"/>
      <c r="L120" s="185"/>
      <c r="M120" s="185"/>
    </row>
    <row r="121" spans="1:13">
      <c r="A121" s="104">
        <v>45810</v>
      </c>
      <c r="B121" s="107" t="s">
        <v>9945</v>
      </c>
      <c r="C121" s="281">
        <v>420</v>
      </c>
      <c r="J121" s="185"/>
      <c r="K121" s="185"/>
      <c r="L121" s="185"/>
      <c r="M121" s="185"/>
    </row>
    <row r="122" spans="1:13">
      <c r="A122" s="104"/>
      <c r="B122" s="107" t="s">
        <v>7241</v>
      </c>
      <c r="C122" s="281" t="s">
        <v>9377</v>
      </c>
      <c r="J122" s="185"/>
      <c r="K122" s="185"/>
      <c r="L122" s="185"/>
      <c r="M122" s="185"/>
    </row>
    <row r="123" spans="1:13">
      <c r="A123" s="104"/>
      <c r="B123" s="107" t="s">
        <v>7242</v>
      </c>
      <c r="C123" s="281">
        <v>770</v>
      </c>
      <c r="J123" s="185"/>
      <c r="K123" s="185"/>
      <c r="L123" s="185"/>
      <c r="M123" s="185"/>
    </row>
    <row r="124" spans="1:13">
      <c r="A124" s="104"/>
      <c r="B124" s="107" t="s">
        <v>7243</v>
      </c>
      <c r="C124" s="281" t="s">
        <v>7244</v>
      </c>
      <c r="J124" s="185"/>
      <c r="K124" s="185"/>
      <c r="L124" s="185"/>
      <c r="M124" s="185"/>
    </row>
    <row r="125" spans="1:13">
      <c r="A125" s="104"/>
      <c r="B125" s="107" t="s">
        <v>7731</v>
      </c>
      <c r="C125" s="281">
        <v>520</v>
      </c>
      <c r="J125" s="185"/>
      <c r="K125" s="185"/>
      <c r="L125" s="185"/>
      <c r="M125" s="185"/>
    </row>
    <row r="126" spans="1:13">
      <c r="A126" s="104"/>
      <c r="B126" s="106" t="s">
        <v>7245</v>
      </c>
      <c r="C126" s="280"/>
      <c r="J126" s="185"/>
      <c r="K126" s="185"/>
      <c r="L126" s="185"/>
      <c r="M126" s="185"/>
    </row>
    <row r="127" spans="1:13">
      <c r="A127" s="104"/>
      <c r="B127" s="107" t="s">
        <v>7246</v>
      </c>
      <c r="C127" s="281">
        <v>458</v>
      </c>
      <c r="J127" s="185"/>
      <c r="K127" s="185"/>
      <c r="L127" s="185"/>
      <c r="M127" s="185"/>
    </row>
    <row r="128" spans="1:13" ht="63.75">
      <c r="A128" s="104"/>
      <c r="B128" s="105" t="s">
        <v>9202</v>
      </c>
      <c r="C128" s="281">
        <v>1020</v>
      </c>
      <c r="J128" s="185"/>
      <c r="K128" s="185"/>
      <c r="L128" s="185"/>
      <c r="M128" s="185"/>
    </row>
    <row r="129" spans="1:13">
      <c r="A129" s="104"/>
      <c r="B129" s="106" t="s">
        <v>7247</v>
      </c>
      <c r="C129" s="280"/>
      <c r="J129" s="185"/>
      <c r="K129" s="185"/>
      <c r="L129" s="185"/>
      <c r="M129" s="185"/>
    </row>
    <row r="130" spans="1:13">
      <c r="A130" s="104"/>
      <c r="B130" s="105" t="s">
        <v>7732</v>
      </c>
      <c r="C130" s="281">
        <v>1500</v>
      </c>
      <c r="J130" s="185"/>
      <c r="K130" s="185"/>
      <c r="L130" s="185"/>
      <c r="M130" s="185"/>
    </row>
    <row r="131" spans="1:13">
      <c r="A131" s="104">
        <v>45203</v>
      </c>
      <c r="B131" s="107" t="s">
        <v>8234</v>
      </c>
      <c r="C131" s="281">
        <v>107</v>
      </c>
      <c r="J131" s="185"/>
      <c r="K131" s="185"/>
      <c r="L131" s="185"/>
      <c r="M131" s="185"/>
    </row>
    <row r="132" spans="1:13" ht="25.5">
      <c r="A132" s="104"/>
      <c r="B132" s="105" t="s">
        <v>7733</v>
      </c>
      <c r="C132" s="281">
        <v>7500</v>
      </c>
      <c r="J132" s="185"/>
      <c r="K132" s="185"/>
      <c r="L132" s="185"/>
      <c r="M132" s="185"/>
    </row>
    <row r="133" spans="1:13">
      <c r="A133" s="104"/>
      <c r="B133" s="107" t="s">
        <v>7734</v>
      </c>
      <c r="C133" s="281">
        <v>358</v>
      </c>
      <c r="J133" s="185"/>
      <c r="K133" s="185"/>
      <c r="L133" s="185"/>
      <c r="M133" s="185"/>
    </row>
    <row r="134" spans="1:13" ht="63.75">
      <c r="A134" s="104">
        <v>45203</v>
      </c>
      <c r="B134" s="105" t="s">
        <v>8235</v>
      </c>
      <c r="C134" s="281">
        <v>1528</v>
      </c>
      <c r="J134" s="185"/>
      <c r="K134" s="185"/>
      <c r="L134" s="185"/>
      <c r="M134" s="185"/>
    </row>
    <row r="135" spans="1:13" ht="63.75">
      <c r="A135" s="104">
        <v>45203</v>
      </c>
      <c r="B135" s="105" t="s">
        <v>8236</v>
      </c>
      <c r="C135" s="281">
        <v>1628</v>
      </c>
      <c r="J135" s="185"/>
      <c r="K135" s="185"/>
      <c r="L135" s="185"/>
      <c r="M135" s="185"/>
    </row>
    <row r="136" spans="1:13">
      <c r="A136" s="104">
        <v>45203</v>
      </c>
      <c r="B136" s="107" t="s">
        <v>8252</v>
      </c>
      <c r="C136" s="281">
        <v>110</v>
      </c>
      <c r="J136" s="185"/>
      <c r="K136" s="185"/>
      <c r="L136" s="185"/>
      <c r="M136" s="185"/>
    </row>
    <row r="137" spans="1:13">
      <c r="A137" s="104">
        <v>45203</v>
      </c>
      <c r="B137" s="107" t="s">
        <v>8250</v>
      </c>
      <c r="C137" s="281">
        <v>80</v>
      </c>
      <c r="J137" s="185"/>
      <c r="K137" s="185"/>
      <c r="L137" s="185"/>
      <c r="M137" s="185"/>
    </row>
    <row r="138" spans="1:13">
      <c r="A138" s="104">
        <v>45203</v>
      </c>
      <c r="B138" s="107" t="s">
        <v>8249</v>
      </c>
      <c r="C138" s="281">
        <v>990</v>
      </c>
      <c r="J138" s="185"/>
      <c r="K138" s="185"/>
      <c r="L138" s="185"/>
      <c r="M138" s="185"/>
    </row>
    <row r="139" spans="1:13">
      <c r="A139" s="104">
        <v>45203</v>
      </c>
      <c r="B139" s="107" t="s">
        <v>8248</v>
      </c>
      <c r="C139" s="281">
        <v>100</v>
      </c>
      <c r="J139" s="185"/>
      <c r="K139" s="185"/>
      <c r="L139" s="185"/>
      <c r="M139" s="185"/>
    </row>
    <row r="140" spans="1:13">
      <c r="A140" s="104">
        <v>45203</v>
      </c>
      <c r="B140" s="107" t="s">
        <v>8247</v>
      </c>
      <c r="C140" s="281">
        <v>80</v>
      </c>
      <c r="G140" s="48"/>
      <c r="J140" s="185"/>
      <c r="K140" s="185"/>
      <c r="L140" s="185"/>
      <c r="M140" s="185"/>
    </row>
    <row r="141" spans="1:13">
      <c r="A141" s="104">
        <v>45203</v>
      </c>
      <c r="B141" s="107" t="s">
        <v>8251</v>
      </c>
      <c r="C141" s="281">
        <v>60</v>
      </c>
      <c r="J141" s="185"/>
      <c r="K141" s="185"/>
      <c r="L141" s="185"/>
      <c r="M141" s="185"/>
    </row>
    <row r="142" spans="1:13">
      <c r="A142" s="104">
        <v>45203</v>
      </c>
      <c r="B142" s="107" t="s">
        <v>8246</v>
      </c>
      <c r="C142" s="281">
        <v>180</v>
      </c>
      <c r="J142" s="185"/>
      <c r="K142" s="185"/>
      <c r="L142" s="185"/>
      <c r="M142" s="185"/>
    </row>
    <row r="143" spans="1:13">
      <c r="A143" s="104">
        <v>45203</v>
      </c>
      <c r="B143" s="107" t="s">
        <v>8245</v>
      </c>
      <c r="C143" s="281">
        <v>150</v>
      </c>
      <c r="J143" s="185"/>
      <c r="K143" s="185"/>
      <c r="L143" s="185"/>
      <c r="M143" s="185"/>
    </row>
    <row r="144" spans="1:13" ht="76.5">
      <c r="A144" s="104"/>
      <c r="B144" s="105" t="s">
        <v>9053</v>
      </c>
      <c r="C144" s="281">
        <v>1450</v>
      </c>
      <c r="J144" s="185"/>
      <c r="K144" s="185"/>
      <c r="L144" s="185"/>
      <c r="M144" s="185"/>
    </row>
    <row r="145" spans="1:13" ht="38.25">
      <c r="A145" s="104">
        <v>45203</v>
      </c>
      <c r="B145" s="105" t="s">
        <v>8244</v>
      </c>
      <c r="C145" s="282">
        <v>388</v>
      </c>
      <c r="J145" s="185"/>
      <c r="K145" s="185"/>
      <c r="L145" s="185"/>
      <c r="M145" s="185"/>
    </row>
    <row r="146" spans="1:13">
      <c r="A146" s="104">
        <v>45203</v>
      </c>
      <c r="B146" s="107" t="s">
        <v>8232</v>
      </c>
      <c r="C146" s="281">
        <v>320</v>
      </c>
      <c r="J146" s="185"/>
      <c r="K146" s="185"/>
      <c r="L146" s="185"/>
      <c r="M146" s="185"/>
    </row>
    <row r="147" spans="1:13">
      <c r="A147" s="104">
        <v>45203</v>
      </c>
      <c r="B147" s="107" t="s">
        <v>8233</v>
      </c>
      <c r="C147" s="281">
        <v>365</v>
      </c>
      <c r="J147" s="185"/>
      <c r="K147" s="185"/>
      <c r="L147" s="185"/>
      <c r="M147" s="185"/>
    </row>
    <row r="148" spans="1:13">
      <c r="A148" s="104">
        <v>45203</v>
      </c>
      <c r="B148" s="107" t="s">
        <v>8240</v>
      </c>
      <c r="C148" s="281">
        <v>100</v>
      </c>
      <c r="J148" s="185"/>
      <c r="K148" s="185"/>
      <c r="L148" s="185"/>
      <c r="M148" s="185"/>
    </row>
    <row r="149" spans="1:13">
      <c r="A149" s="104">
        <v>45203</v>
      </c>
      <c r="B149" s="107" t="s">
        <v>8241</v>
      </c>
      <c r="C149" s="281">
        <v>312</v>
      </c>
      <c r="J149" s="185"/>
      <c r="K149" s="185"/>
      <c r="L149" s="185"/>
      <c r="M149" s="185"/>
    </row>
    <row r="150" spans="1:13">
      <c r="A150" s="104">
        <v>45203</v>
      </c>
      <c r="B150" s="107" t="s">
        <v>8239</v>
      </c>
      <c r="C150" s="281">
        <v>450</v>
      </c>
      <c r="J150" s="185"/>
      <c r="K150" s="185"/>
      <c r="L150" s="185"/>
      <c r="M150" s="185"/>
    </row>
    <row r="151" spans="1:13">
      <c r="A151" s="104">
        <v>45203</v>
      </c>
      <c r="B151" s="107" t="s">
        <v>8237</v>
      </c>
      <c r="C151" s="281">
        <v>361</v>
      </c>
      <c r="J151" s="185"/>
      <c r="K151" s="185"/>
      <c r="L151" s="185"/>
      <c r="M151" s="185"/>
    </row>
    <row r="152" spans="1:13">
      <c r="A152" s="104">
        <v>45203</v>
      </c>
      <c r="B152" s="107" t="s">
        <v>8238</v>
      </c>
      <c r="C152" s="281">
        <v>434</v>
      </c>
      <c r="J152" s="185"/>
      <c r="K152" s="185"/>
      <c r="L152" s="185"/>
      <c r="M152" s="185"/>
    </row>
    <row r="153" spans="1:13">
      <c r="A153" s="104">
        <v>45203</v>
      </c>
      <c r="B153" s="107" t="s">
        <v>8242</v>
      </c>
      <c r="C153" s="281">
        <v>65</v>
      </c>
      <c r="J153" s="185"/>
      <c r="K153" s="185"/>
      <c r="L153" s="185"/>
      <c r="M153" s="185"/>
    </row>
    <row r="154" spans="1:13">
      <c r="A154" s="104">
        <v>45203</v>
      </c>
      <c r="B154" s="107" t="s">
        <v>8243</v>
      </c>
      <c r="C154" s="281">
        <v>55</v>
      </c>
      <c r="J154" s="185"/>
      <c r="K154" s="185"/>
      <c r="L154" s="185"/>
      <c r="M154" s="185"/>
    </row>
    <row r="155" spans="1:13">
      <c r="A155" s="104"/>
      <c r="B155" s="103" t="s">
        <v>7248</v>
      </c>
      <c r="C155" s="280"/>
      <c r="J155" s="185"/>
      <c r="K155" s="185"/>
      <c r="L155" s="185"/>
      <c r="M155" s="185"/>
    </row>
    <row r="156" spans="1:13">
      <c r="A156" s="104"/>
      <c r="B156" s="107" t="s">
        <v>7249</v>
      </c>
      <c r="C156" s="281" t="s">
        <v>9355</v>
      </c>
      <c r="J156" s="185"/>
      <c r="K156" s="185"/>
      <c r="L156" s="185"/>
      <c r="M156" s="185"/>
    </row>
    <row r="157" spans="1:13">
      <c r="A157" s="104"/>
      <c r="B157" s="107" t="s">
        <v>7250</v>
      </c>
      <c r="C157" s="281" t="s">
        <v>9357</v>
      </c>
      <c r="J157" s="185"/>
      <c r="K157" s="185"/>
      <c r="L157" s="185"/>
      <c r="M157" s="185"/>
    </row>
    <row r="158" spans="1:13">
      <c r="A158" s="104"/>
      <c r="B158" s="107" t="s">
        <v>9362</v>
      </c>
      <c r="C158" s="281" t="s">
        <v>9358</v>
      </c>
      <c r="J158" s="185"/>
      <c r="K158" s="185"/>
      <c r="L158" s="185"/>
      <c r="M158" s="185"/>
    </row>
    <row r="159" spans="1:13">
      <c r="A159" s="104"/>
      <c r="B159" s="107" t="s">
        <v>9361</v>
      </c>
      <c r="C159" s="281" t="s">
        <v>9359</v>
      </c>
      <c r="J159" s="185"/>
      <c r="K159" s="185"/>
      <c r="L159" s="185"/>
      <c r="M159" s="185"/>
    </row>
    <row r="160" spans="1:13">
      <c r="A160" s="104">
        <v>44813</v>
      </c>
      <c r="B160" s="107" t="s">
        <v>9363</v>
      </c>
      <c r="C160" s="283" t="s">
        <v>9356</v>
      </c>
      <c r="J160" s="185"/>
      <c r="K160" s="185"/>
      <c r="L160" s="185"/>
      <c r="M160" s="185"/>
    </row>
    <row r="161" spans="1:13" ht="25.5">
      <c r="A161" s="104">
        <v>44813</v>
      </c>
      <c r="B161" s="105" t="s">
        <v>8124</v>
      </c>
      <c r="C161" s="283" t="s">
        <v>9360</v>
      </c>
      <c r="J161" s="185"/>
      <c r="K161" s="185"/>
      <c r="L161" s="185"/>
      <c r="M161" s="185"/>
    </row>
    <row r="162" spans="1:13">
      <c r="A162" s="104"/>
      <c r="B162" s="103" t="s">
        <v>7251</v>
      </c>
      <c r="C162" s="280"/>
      <c r="J162" s="185"/>
      <c r="K162" s="185"/>
      <c r="L162" s="185"/>
      <c r="M162" s="185"/>
    </row>
    <row r="163" spans="1:13">
      <c r="A163" s="104"/>
      <c r="B163" s="105" t="s">
        <v>7735</v>
      </c>
      <c r="C163" s="281">
        <v>500</v>
      </c>
      <c r="D163" s="279"/>
      <c r="J163" s="185"/>
      <c r="K163" s="185"/>
      <c r="L163" s="185"/>
      <c r="M163" s="185"/>
    </row>
    <row r="164" spans="1:13" ht="369.75">
      <c r="A164" s="104">
        <v>45523</v>
      </c>
      <c r="B164" s="105" t="s">
        <v>9244</v>
      </c>
      <c r="C164" s="281">
        <v>11475</v>
      </c>
      <c r="D164" s="1" t="s">
        <v>9243</v>
      </c>
      <c r="J164" s="185"/>
      <c r="K164" s="185"/>
      <c r="L164" s="185"/>
      <c r="M164" s="185"/>
    </row>
    <row r="165" spans="1:13" ht="153">
      <c r="A165" s="104"/>
      <c r="B165" s="105" t="s">
        <v>9378</v>
      </c>
      <c r="C165" s="281">
        <v>13000</v>
      </c>
      <c r="D165" s="1" t="s">
        <v>7164</v>
      </c>
      <c r="J165" s="185"/>
      <c r="K165" s="185"/>
      <c r="L165" s="185"/>
      <c r="M165" s="185"/>
    </row>
    <row r="166" spans="1:13" ht="51">
      <c r="A166" s="104"/>
      <c r="B166" s="105" t="s">
        <v>7695</v>
      </c>
      <c r="C166" s="281" t="s">
        <v>1</v>
      </c>
      <c r="D166" s="1" t="s">
        <v>7164</v>
      </c>
      <c r="J166" s="185"/>
      <c r="K166" s="185"/>
      <c r="L166" s="185"/>
      <c r="M166" s="185"/>
    </row>
    <row r="167" spans="1:13">
      <c r="A167" s="104">
        <v>44910</v>
      </c>
      <c r="B167" s="105" t="s">
        <v>7684</v>
      </c>
      <c r="C167" s="281">
        <v>2100</v>
      </c>
      <c r="J167" s="185"/>
      <c r="K167" s="185"/>
      <c r="L167" s="185"/>
      <c r="M167" s="185"/>
    </row>
    <row r="168" spans="1:13">
      <c r="A168" s="104">
        <v>44910</v>
      </c>
      <c r="B168" s="105" t="s">
        <v>7685</v>
      </c>
      <c r="C168" s="281">
        <v>2500</v>
      </c>
      <c r="J168" s="185"/>
      <c r="K168" s="185"/>
      <c r="L168" s="185"/>
      <c r="M168" s="185"/>
    </row>
    <row r="169" spans="1:13" ht="25.5">
      <c r="A169" s="104">
        <v>45078</v>
      </c>
      <c r="B169" s="105" t="s">
        <v>8058</v>
      </c>
      <c r="C169" s="281">
        <v>7900</v>
      </c>
      <c r="J169" s="185"/>
      <c r="K169" s="185"/>
      <c r="L169" s="185"/>
      <c r="M169" s="185"/>
    </row>
    <row r="170" spans="1:13" ht="25.5">
      <c r="A170" s="104">
        <v>45084</v>
      </c>
      <c r="B170" s="174" t="s">
        <v>8059</v>
      </c>
      <c r="C170" s="284">
        <v>7900</v>
      </c>
      <c r="J170" s="185"/>
      <c r="K170" s="185"/>
      <c r="L170" s="185"/>
      <c r="M170" s="185"/>
    </row>
    <row r="171" spans="1:13">
      <c r="A171" s="104">
        <v>45175</v>
      </c>
      <c r="B171" s="105" t="s">
        <v>8218</v>
      </c>
      <c r="C171" s="281">
        <v>7430</v>
      </c>
      <c r="J171" s="185"/>
      <c r="K171" s="185"/>
      <c r="L171" s="185"/>
      <c r="M171" s="185"/>
    </row>
    <row r="172" spans="1:13" ht="25.5">
      <c r="A172" s="104">
        <v>45142</v>
      </c>
      <c r="B172" s="174" t="s">
        <v>8143</v>
      </c>
      <c r="C172" s="284">
        <v>7900</v>
      </c>
      <c r="J172" s="185"/>
      <c r="K172" s="185"/>
      <c r="L172" s="185"/>
      <c r="M172" s="185"/>
    </row>
    <row r="173" spans="1:13" ht="25.5">
      <c r="A173" s="104">
        <v>45181</v>
      </c>
      <c r="B173" s="105" t="s">
        <v>8223</v>
      </c>
      <c r="C173" s="281">
        <v>7900</v>
      </c>
    </row>
    <row r="174" spans="1:13">
      <c r="A174" s="104">
        <v>45630</v>
      </c>
      <c r="B174" s="174" t="s">
        <v>9577</v>
      </c>
      <c r="C174" s="297">
        <v>2000</v>
      </c>
      <c r="D174" s="294"/>
    </row>
    <row r="175" spans="1:13">
      <c r="A175" s="104">
        <v>45463</v>
      </c>
      <c r="B175" s="174" t="s">
        <v>9011</v>
      </c>
      <c r="C175" s="284">
        <v>5000</v>
      </c>
    </row>
    <row r="176" spans="1:13" ht="63.75">
      <c r="A176" s="104">
        <v>45191</v>
      </c>
      <c r="B176" s="174" t="s">
        <v>9699</v>
      </c>
      <c r="C176" s="284" t="s">
        <v>8230</v>
      </c>
      <c r="D176" s="3" t="s">
        <v>9698</v>
      </c>
    </row>
    <row r="177" spans="1:4" ht="102">
      <c r="A177" s="104">
        <v>45392</v>
      </c>
      <c r="B177" s="174" t="s">
        <v>8542</v>
      </c>
      <c r="C177" s="284">
        <v>51500</v>
      </c>
      <c r="D177" s="1" t="s">
        <v>9900</v>
      </c>
    </row>
    <row r="178" spans="1:4" ht="25.5">
      <c r="A178" s="104">
        <v>45447</v>
      </c>
      <c r="B178" s="174" t="s">
        <v>8974</v>
      </c>
      <c r="C178" s="284">
        <v>7900</v>
      </c>
    </row>
    <row r="179" spans="1:4" ht="25.5">
      <c r="A179" s="104">
        <v>45449</v>
      </c>
      <c r="B179" s="174" t="s">
        <v>8973</v>
      </c>
      <c r="C179" s="284">
        <v>7900</v>
      </c>
    </row>
    <row r="180" spans="1:4" ht="51">
      <c r="A180" s="104">
        <v>45538</v>
      </c>
      <c r="B180" s="174" t="s">
        <v>9307</v>
      </c>
      <c r="C180" s="284">
        <v>430</v>
      </c>
    </row>
    <row r="181" spans="1:4">
      <c r="A181" s="104">
        <v>45629</v>
      </c>
      <c r="B181" s="295" t="s">
        <v>10021</v>
      </c>
      <c r="C181" s="296">
        <v>1000</v>
      </c>
      <c r="D181" s="294"/>
    </row>
    <row r="182" spans="1:4">
      <c r="A182" s="104">
        <v>45856</v>
      </c>
      <c r="B182" s="307" t="s">
        <v>10119</v>
      </c>
      <c r="C182" s="297">
        <v>850</v>
      </c>
      <c r="D182" s="294" t="s">
        <v>10120</v>
      </c>
    </row>
    <row r="183" spans="1:4">
      <c r="A183" s="104">
        <v>45894</v>
      </c>
      <c r="B183" s="307" t="s">
        <v>10249</v>
      </c>
      <c r="C183" s="297">
        <v>1700</v>
      </c>
      <c r="D183" s="294" t="s">
        <v>10120</v>
      </c>
    </row>
    <row r="184" spans="1:4" ht="229.5">
      <c r="A184" s="104">
        <v>45860</v>
      </c>
      <c r="B184" s="307" t="s">
        <v>10132</v>
      </c>
      <c r="C184" s="297">
        <v>20069</v>
      </c>
      <c r="D184" s="294" t="s">
        <v>10133</v>
      </c>
    </row>
    <row r="185" spans="1:4" ht="38.25">
      <c r="A185" s="104">
        <v>45875</v>
      </c>
      <c r="B185" s="307" t="s">
        <v>10222</v>
      </c>
      <c r="C185" s="297">
        <v>2150</v>
      </c>
      <c r="D185" s="294"/>
    </row>
    <row r="186" spans="1:4">
      <c r="A186" s="104">
        <v>45911</v>
      </c>
      <c r="B186" s="307" t="s">
        <v>10294</v>
      </c>
      <c r="C186" s="297">
        <v>5000</v>
      </c>
      <c r="D186" s="294"/>
    </row>
    <row r="187" spans="1:4">
      <c r="A187" s="104">
        <v>45911</v>
      </c>
      <c r="B187" s="307" t="s">
        <v>10842</v>
      </c>
      <c r="C187" s="297">
        <v>8000</v>
      </c>
      <c r="D187" s="294"/>
    </row>
    <row r="188" spans="1:4" ht="89.25">
      <c r="A188" s="104">
        <v>45924</v>
      </c>
      <c r="B188" s="307" t="s">
        <v>10344</v>
      </c>
      <c r="C188" s="297">
        <v>16999</v>
      </c>
      <c r="D188" s="294" t="s">
        <v>10345</v>
      </c>
    </row>
    <row r="189" spans="1:4">
      <c r="A189" s="104">
        <v>46036</v>
      </c>
      <c r="B189" s="307" t="s">
        <v>10783</v>
      </c>
      <c r="C189" s="297">
        <v>3990</v>
      </c>
      <c r="D189" s="294" t="s">
        <v>10784</v>
      </c>
    </row>
    <row r="190" spans="1:4">
      <c r="A190" s="104">
        <v>45950</v>
      </c>
      <c r="B190" s="307" t="s">
        <v>10435</v>
      </c>
      <c r="C190" s="297">
        <v>5000</v>
      </c>
      <c r="D190" s="294"/>
    </row>
    <row r="191" spans="1:4">
      <c r="A191" s="104"/>
      <c r="B191" s="103" t="s">
        <v>9899</v>
      </c>
      <c r="C191" s="297"/>
      <c r="D191" s="294"/>
    </row>
    <row r="192" spans="1:4">
      <c r="A192" s="104">
        <v>45786</v>
      </c>
      <c r="B192" s="295" t="s">
        <v>10718</v>
      </c>
      <c r="C192" s="296">
        <v>2000</v>
      </c>
      <c r="D192" s="318"/>
    </row>
    <row r="193" spans="1:4">
      <c r="A193" s="104"/>
      <c r="B193" s="103" t="s">
        <v>10436</v>
      </c>
      <c r="C193" s="296"/>
      <c r="D193" s="294"/>
    </row>
    <row r="194" spans="1:4" ht="51">
      <c r="A194" s="104">
        <v>45950</v>
      </c>
      <c r="B194" s="295" t="s">
        <v>10437</v>
      </c>
      <c r="C194" s="296">
        <v>2999</v>
      </c>
      <c r="D194" s="318"/>
    </row>
  </sheetData>
  <sheetProtection algorithmName="SHA-512" hashValue="jF5yOxQFjX+grZ79XNDLoIBY8pZinLYaMlpU3cPiaIvtKlH6ks2H+eL3Qs7MRdPnq9UYXNE++VjACJqYeVa5Og==" saltValue="P0oQCWYPD4tgygvCYPt+Rw==" spinCount="100000" sheet="1" objects="1" scenarios="1" formatRows="0" insertRows="0" deleteRows="0"/>
  <phoneticPr fontId="2" type="noConversion"/>
  <dataValidations count="1">
    <dataValidation type="list" allowBlank="1" showInputMessage="1" sqref="B108:B109 B26:B32 K104:K105 K25:K31" xr:uid="{32DD08E1-20A9-438D-909D-FE5D4BF828C1}">
      <formula1>Upgrades</formula1>
    </dataValidation>
  </dataValidations>
  <pageMargins left="0.7" right="0.7" top="0.75" bottom="0.75" header="0.3" footer="0.3"/>
  <pageSetup paperSize="9" orientation="portrait" r:id="rId1"/>
  <tableParts count="3">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8FD6C-2386-483A-9CD4-69A01649A789}">
  <sheetPr codeName="Sheet6">
    <pageSetUpPr fitToPage="1"/>
  </sheetPr>
  <dimension ref="A1:AY222"/>
  <sheetViews>
    <sheetView topLeftCell="A20" zoomScaleNormal="100" workbookViewId="0">
      <pane xSplit="1" topLeftCell="T1" activePane="topRight" state="frozen"/>
      <selection pane="topRight" activeCell="AB34" sqref="AB34"/>
    </sheetView>
  </sheetViews>
  <sheetFormatPr defaultColWidth="9.42578125" defaultRowHeight="15"/>
  <cols>
    <col min="1" max="1" width="9.5703125" bestFit="1" customWidth="1"/>
    <col min="2" max="2" width="4.42578125" customWidth="1"/>
    <col min="3" max="3" width="30.42578125" bestFit="1" customWidth="1"/>
    <col min="4" max="4" width="16.5703125" bestFit="1" customWidth="1"/>
    <col min="5" max="5" width="11.5703125" bestFit="1" customWidth="1"/>
    <col min="6" max="6" width="15.5703125" bestFit="1" customWidth="1"/>
    <col min="7" max="7" width="4.42578125" customWidth="1"/>
    <col min="8" max="8" width="27.42578125" bestFit="1" customWidth="1"/>
    <col min="9" max="9" width="16.5703125" bestFit="1" customWidth="1"/>
    <col min="10" max="10" width="11.5703125" bestFit="1" customWidth="1"/>
    <col min="11" max="11" width="15.5703125" bestFit="1" customWidth="1"/>
    <col min="12" max="12" width="4.42578125" customWidth="1"/>
    <col min="13" max="13" width="28.5703125" bestFit="1" customWidth="1"/>
    <col min="14" max="14" width="16.5703125" bestFit="1" customWidth="1"/>
    <col min="15" max="15" width="11.5703125" bestFit="1" customWidth="1"/>
    <col min="16" max="16" width="15.5703125" bestFit="1" customWidth="1"/>
    <col min="17" max="17" width="4.42578125" customWidth="1"/>
    <col min="18" max="18" width="38.5703125" bestFit="1" customWidth="1"/>
    <col min="19" max="19" width="16.5703125" bestFit="1" customWidth="1"/>
    <col min="20" max="20" width="11.5703125" bestFit="1" customWidth="1"/>
    <col min="21" max="21" width="15.5703125" bestFit="1" customWidth="1"/>
    <col min="22" max="22" width="4.42578125" customWidth="1"/>
    <col min="23" max="23" width="32.42578125" bestFit="1" customWidth="1"/>
    <col min="24" max="24" width="16.5703125" bestFit="1" customWidth="1"/>
    <col min="25" max="25" width="11.5703125" bestFit="1" customWidth="1"/>
    <col min="26" max="26" width="15.5703125" bestFit="1" customWidth="1"/>
    <col min="27" max="27" width="4.42578125" customWidth="1"/>
    <col min="28" max="28" width="28.5703125" bestFit="1" customWidth="1"/>
    <col min="29" max="29" width="16.5703125" bestFit="1" customWidth="1"/>
    <col min="30" max="30" width="11.5703125" bestFit="1" customWidth="1"/>
    <col min="31" max="31" width="15.5703125" bestFit="1" customWidth="1"/>
    <col min="32" max="32" width="4.42578125" customWidth="1"/>
    <col min="33" max="33" width="29.5703125" bestFit="1" customWidth="1"/>
    <col min="34" max="34" width="16.5703125" bestFit="1" customWidth="1"/>
    <col min="35" max="35" width="11.5703125" bestFit="1" customWidth="1"/>
    <col min="36" max="36" width="15.5703125" bestFit="1" customWidth="1"/>
    <col min="37" max="37" width="3.5703125" customWidth="1"/>
    <col min="38" max="38" width="48.5703125" bestFit="1" customWidth="1"/>
    <col min="39" max="39" width="16.42578125" customWidth="1"/>
    <col min="40" max="40" width="11.42578125" customWidth="1"/>
    <col min="41" max="41" width="15.5703125" customWidth="1"/>
    <col min="42" max="42" width="4.42578125" customWidth="1"/>
    <col min="43" max="43" width="48.5703125" bestFit="1" customWidth="1"/>
    <col min="44" max="44" width="16.42578125" customWidth="1"/>
    <col min="45" max="45" width="11.42578125" customWidth="1"/>
    <col min="46" max="46" width="15.5703125" customWidth="1"/>
    <col min="47" max="47" width="5.42578125" customWidth="1"/>
    <col min="48" max="48" width="48.5703125" bestFit="1" customWidth="1"/>
    <col min="49" max="49" width="16.42578125" customWidth="1"/>
    <col min="50" max="50" width="11.42578125" customWidth="1"/>
    <col min="51" max="51" width="15.5703125" customWidth="1"/>
    <col min="52" max="73" width="10.5703125" bestFit="1" customWidth="1"/>
  </cols>
  <sheetData>
    <row r="1" spans="1:51">
      <c r="AL1" s="81"/>
      <c r="AN1" s="82"/>
      <c r="AO1" s="57"/>
      <c r="AQ1" s="81"/>
      <c r="AS1" s="82"/>
      <c r="AT1" s="57"/>
      <c r="AV1" s="81"/>
      <c r="AX1" s="82"/>
      <c r="AY1" s="57"/>
    </row>
    <row r="2" spans="1:51" s="83" customFormat="1">
      <c r="A2" s="83" t="s">
        <v>7090</v>
      </c>
      <c r="C2" s="84" t="s">
        <v>7091</v>
      </c>
      <c r="D2" s="84" t="s">
        <v>7092</v>
      </c>
      <c r="E2" s="84" t="s">
        <v>7093</v>
      </c>
      <c r="F2" s="84" t="s">
        <v>7094</v>
      </c>
      <c r="H2" s="84" t="s">
        <v>7095</v>
      </c>
      <c r="I2" s="84" t="s">
        <v>7092</v>
      </c>
      <c r="J2" s="84" t="s">
        <v>7093</v>
      </c>
      <c r="K2" s="84" t="s">
        <v>7094</v>
      </c>
      <c r="M2" s="84" t="s">
        <v>7096</v>
      </c>
      <c r="N2" s="84" t="s">
        <v>7092</v>
      </c>
      <c r="O2" s="84" t="s">
        <v>7093</v>
      </c>
      <c r="P2" s="84" t="s">
        <v>7094</v>
      </c>
      <c r="R2" s="84" t="s">
        <v>8269</v>
      </c>
      <c r="S2" s="84" t="s">
        <v>7092</v>
      </c>
      <c r="T2" s="84" t="s">
        <v>7093</v>
      </c>
      <c r="U2" s="84" t="s">
        <v>7094</v>
      </c>
      <c r="W2" s="84" t="s">
        <v>7097</v>
      </c>
      <c r="X2" s="84" t="s">
        <v>7092</v>
      </c>
      <c r="Y2" s="84" t="s">
        <v>7093</v>
      </c>
      <c r="Z2" s="84" t="s">
        <v>7094</v>
      </c>
      <c r="AB2" s="84" t="s">
        <v>7098</v>
      </c>
      <c r="AC2" s="84" t="s">
        <v>7092</v>
      </c>
      <c r="AD2" s="84" t="s">
        <v>7093</v>
      </c>
      <c r="AE2" s="84" t="s">
        <v>7094</v>
      </c>
      <c r="AG2" s="84" t="s">
        <v>7099</v>
      </c>
      <c r="AH2" s="84" t="s">
        <v>7092</v>
      </c>
      <c r="AI2" s="84" t="s">
        <v>7093</v>
      </c>
      <c r="AJ2" s="84" t="s">
        <v>7094</v>
      </c>
      <c r="AK2"/>
      <c r="AL2" s="330" t="s">
        <v>10221</v>
      </c>
      <c r="AM2" s="330" t="s">
        <v>7092</v>
      </c>
      <c r="AN2" s="330" t="s">
        <v>7093</v>
      </c>
      <c r="AO2" s="330" t="s">
        <v>7094</v>
      </c>
      <c r="AQ2" s="330" t="s">
        <v>10371</v>
      </c>
      <c r="AR2" s="330" t="s">
        <v>7092</v>
      </c>
      <c r="AS2" s="330" t="s">
        <v>7093</v>
      </c>
      <c r="AT2" s="330" t="s">
        <v>7094</v>
      </c>
      <c r="AV2" s="330" t="s">
        <v>10891</v>
      </c>
      <c r="AW2" s="330" t="s">
        <v>7092</v>
      </c>
      <c r="AX2" s="330" t="s">
        <v>7093</v>
      </c>
      <c r="AY2" s="330" t="s">
        <v>7094</v>
      </c>
    </row>
    <row r="3" spans="1:51">
      <c r="A3" s="85" t="s">
        <v>7091</v>
      </c>
      <c r="C3" t="s">
        <v>8994</v>
      </c>
      <c r="D3" s="46">
        <v>33000</v>
      </c>
      <c r="E3" s="86"/>
      <c r="H3" t="s">
        <v>7101</v>
      </c>
      <c r="I3" s="46">
        <v>44000</v>
      </c>
      <c r="M3" s="87" t="s">
        <v>7101</v>
      </c>
      <c r="N3" s="88">
        <v>44000</v>
      </c>
      <c r="O3" s="86"/>
      <c r="R3" t="s">
        <v>8994</v>
      </c>
      <c r="S3" s="46">
        <v>33000</v>
      </c>
      <c r="W3" t="s">
        <v>8994</v>
      </c>
      <c r="X3" s="46">
        <v>33000</v>
      </c>
      <c r="AB3" t="s">
        <v>8994</v>
      </c>
      <c r="AC3" s="46">
        <v>33000</v>
      </c>
      <c r="AG3" t="s">
        <v>8994</v>
      </c>
      <c r="AH3" s="88">
        <v>33000</v>
      </c>
      <c r="AL3" s="326" t="s">
        <v>8994</v>
      </c>
      <c r="AM3" s="329">
        <v>33000</v>
      </c>
      <c r="AN3" s="327"/>
      <c r="AO3" s="328"/>
      <c r="AQ3" s="398" t="s">
        <v>10870</v>
      </c>
      <c r="AR3" s="400">
        <v>44000</v>
      </c>
      <c r="AS3" s="402"/>
      <c r="AT3" s="403"/>
      <c r="AV3" s="399" t="s">
        <v>8994</v>
      </c>
      <c r="AW3" s="401">
        <v>33000</v>
      </c>
      <c r="AX3" s="399"/>
      <c r="AY3" s="399"/>
    </row>
    <row r="4" spans="1:51">
      <c r="A4" s="85" t="s">
        <v>7095</v>
      </c>
      <c r="C4" t="s">
        <v>7191</v>
      </c>
      <c r="D4" s="46">
        <v>33000</v>
      </c>
      <c r="H4" t="s">
        <v>8176</v>
      </c>
      <c r="I4" s="46">
        <v>33000</v>
      </c>
      <c r="M4" s="87" t="s">
        <v>7105</v>
      </c>
      <c r="N4" s="88">
        <v>55000</v>
      </c>
      <c r="O4" s="86"/>
      <c r="R4" s="87" t="s">
        <v>7101</v>
      </c>
      <c r="S4" s="88">
        <v>44000</v>
      </c>
      <c r="T4" s="86"/>
      <c r="W4" t="s">
        <v>7102</v>
      </c>
      <c r="X4" s="46">
        <v>33000</v>
      </c>
      <c r="AB4" t="s">
        <v>7104</v>
      </c>
      <c r="AC4" s="46">
        <v>33000</v>
      </c>
      <c r="AG4" s="87" t="s">
        <v>7105</v>
      </c>
      <c r="AH4" s="88">
        <v>55000</v>
      </c>
      <c r="AL4" s="87" t="s">
        <v>7105</v>
      </c>
      <c r="AM4" s="88">
        <v>55000</v>
      </c>
      <c r="AQ4" t="s">
        <v>10660</v>
      </c>
      <c r="AR4" s="88">
        <v>33000</v>
      </c>
      <c r="AV4" s="87" t="s">
        <v>7105</v>
      </c>
      <c r="AW4" s="88">
        <v>55000</v>
      </c>
    </row>
    <row r="5" spans="1:51">
      <c r="A5" s="85" t="s">
        <v>7096</v>
      </c>
      <c r="C5" t="s">
        <v>7180</v>
      </c>
      <c r="D5" s="46">
        <v>33000</v>
      </c>
      <c r="H5" s="87" t="s">
        <v>7662</v>
      </c>
      <c r="I5" s="169">
        <v>41000</v>
      </c>
      <c r="M5" s="87" t="s">
        <v>7121</v>
      </c>
      <c r="N5" s="88">
        <v>44000</v>
      </c>
      <c r="O5" s="86"/>
      <c r="R5" s="87" t="s">
        <v>10192</v>
      </c>
      <c r="S5" s="88">
        <v>33000</v>
      </c>
      <c r="T5" s="86"/>
      <c r="W5" t="s">
        <v>7107</v>
      </c>
      <c r="X5" s="46">
        <v>33000</v>
      </c>
      <c r="AB5" t="s">
        <v>7102</v>
      </c>
      <c r="AC5" s="46">
        <v>33000</v>
      </c>
      <c r="AG5" s="87" t="s">
        <v>7111</v>
      </c>
      <c r="AH5" s="88">
        <v>38500</v>
      </c>
      <c r="AL5" t="s">
        <v>7111</v>
      </c>
      <c r="AM5" s="57">
        <v>38500</v>
      </c>
      <c r="AQ5" t="s">
        <v>10646</v>
      </c>
      <c r="AR5" s="88">
        <v>40000</v>
      </c>
      <c r="AV5" t="s">
        <v>7111</v>
      </c>
      <c r="AW5" s="88">
        <v>38500</v>
      </c>
    </row>
    <row r="6" spans="1:51">
      <c r="A6" s="85" t="s">
        <v>8269</v>
      </c>
      <c r="C6" t="s">
        <v>7187</v>
      </c>
      <c r="D6" s="46">
        <v>33000</v>
      </c>
      <c r="H6" t="s">
        <v>9352</v>
      </c>
      <c r="I6" s="46">
        <v>44000</v>
      </c>
      <c r="M6" s="87" t="s">
        <v>9812</v>
      </c>
      <c r="N6" s="88">
        <v>55000</v>
      </c>
      <c r="O6" s="86"/>
      <c r="R6" t="s">
        <v>9031</v>
      </c>
      <c r="S6" s="46">
        <v>44000</v>
      </c>
      <c r="W6" t="s">
        <v>9243</v>
      </c>
      <c r="X6" s="46">
        <v>0</v>
      </c>
      <c r="AB6" t="s">
        <v>8108</v>
      </c>
      <c r="AC6" s="46">
        <v>44000</v>
      </c>
      <c r="AG6" s="87" t="s">
        <v>7121</v>
      </c>
      <c r="AH6" s="88">
        <v>44000</v>
      </c>
      <c r="AL6" t="s">
        <v>7121</v>
      </c>
      <c r="AM6" s="57">
        <v>44000</v>
      </c>
      <c r="AQ6" s="399" t="s">
        <v>8994</v>
      </c>
      <c r="AR6" s="401">
        <v>33000</v>
      </c>
      <c r="AS6" s="399"/>
      <c r="AT6" s="399"/>
      <c r="AV6" t="s">
        <v>7121</v>
      </c>
      <c r="AW6" s="88">
        <v>44000</v>
      </c>
    </row>
    <row r="7" spans="1:51">
      <c r="A7" s="85" t="s">
        <v>7097</v>
      </c>
      <c r="C7" t="s">
        <v>7100</v>
      </c>
      <c r="D7" s="46">
        <v>38500</v>
      </c>
      <c r="E7" s="86"/>
      <c r="H7" t="s">
        <v>10099</v>
      </c>
      <c r="I7" s="46">
        <v>33000</v>
      </c>
      <c r="M7" t="s">
        <v>10819</v>
      </c>
      <c r="N7" s="57">
        <v>33000</v>
      </c>
      <c r="O7" s="86"/>
      <c r="R7" s="87" t="s">
        <v>7182</v>
      </c>
      <c r="S7" s="88">
        <v>33000</v>
      </c>
      <c r="T7" s="86"/>
      <c r="W7" t="s">
        <v>7109</v>
      </c>
      <c r="X7" s="46">
        <v>33000</v>
      </c>
      <c r="AB7" t="s">
        <v>7107</v>
      </c>
      <c r="AC7" s="46">
        <v>33000</v>
      </c>
      <c r="AG7" s="87" t="s">
        <v>7124</v>
      </c>
      <c r="AH7" s="88">
        <v>33000</v>
      </c>
      <c r="AL7" s="87" t="s">
        <v>7124</v>
      </c>
      <c r="AM7" s="88">
        <v>33000</v>
      </c>
      <c r="AQ7" t="s">
        <v>10635</v>
      </c>
      <c r="AR7" s="88">
        <v>44000</v>
      </c>
      <c r="AV7" s="87" t="s">
        <v>7124</v>
      </c>
      <c r="AW7" s="88">
        <v>33000</v>
      </c>
    </row>
    <row r="8" spans="1:51">
      <c r="A8" s="85" t="s">
        <v>7098</v>
      </c>
      <c r="C8" t="s">
        <v>7103</v>
      </c>
      <c r="D8" s="46">
        <v>44000</v>
      </c>
      <c r="H8" t="s">
        <v>7113</v>
      </c>
      <c r="I8" s="46">
        <v>33000</v>
      </c>
      <c r="M8" t="s">
        <v>7130</v>
      </c>
      <c r="N8" s="88">
        <v>33000</v>
      </c>
      <c r="O8" s="86"/>
      <c r="R8" s="87" t="s">
        <v>9978</v>
      </c>
      <c r="S8" s="88">
        <v>38500</v>
      </c>
      <c r="T8" s="86"/>
      <c r="W8" t="s">
        <v>7114</v>
      </c>
      <c r="X8" s="46">
        <v>33000</v>
      </c>
      <c r="AB8" t="s">
        <v>7115</v>
      </c>
      <c r="AC8" s="46"/>
      <c r="AD8" s="86">
        <v>6.6000000000000003E-2</v>
      </c>
      <c r="AG8" s="87" t="s">
        <v>10475</v>
      </c>
      <c r="AH8" s="88">
        <v>44000</v>
      </c>
      <c r="AI8" s="89"/>
      <c r="AJ8" s="89"/>
      <c r="AL8" t="s">
        <v>7128</v>
      </c>
      <c r="AM8" s="88">
        <v>33000</v>
      </c>
      <c r="AQ8" t="s">
        <v>10636</v>
      </c>
      <c r="AR8" s="88">
        <v>55000</v>
      </c>
      <c r="AV8" t="s">
        <v>7128</v>
      </c>
      <c r="AW8" s="88">
        <v>33000</v>
      </c>
    </row>
    <row r="9" spans="1:51">
      <c r="A9" s="85" t="s">
        <v>7099</v>
      </c>
      <c r="C9" t="s">
        <v>7106</v>
      </c>
      <c r="D9" s="46">
        <v>63800</v>
      </c>
      <c r="E9" s="86"/>
      <c r="H9" s="87" t="s">
        <v>7126</v>
      </c>
      <c r="I9" s="169">
        <v>33000</v>
      </c>
      <c r="M9" t="s">
        <v>7140</v>
      </c>
      <c r="N9" s="88">
        <v>44000</v>
      </c>
      <c r="O9" s="86"/>
      <c r="R9" s="87" t="s">
        <v>9981</v>
      </c>
      <c r="S9" s="88">
        <v>33000</v>
      </c>
      <c r="T9" s="86"/>
      <c r="W9" t="s">
        <v>7123</v>
      </c>
      <c r="X9" s="46">
        <v>33000</v>
      </c>
      <c r="AB9" t="s">
        <v>8700</v>
      </c>
      <c r="AC9" s="46">
        <v>33000</v>
      </c>
      <c r="AG9" s="87" t="s">
        <v>7128</v>
      </c>
      <c r="AH9" s="88">
        <v>33000</v>
      </c>
      <c r="AK9" s="89"/>
      <c r="AL9" t="s">
        <v>7144</v>
      </c>
      <c r="AM9" s="88">
        <v>44000</v>
      </c>
      <c r="AQ9" t="s">
        <v>10658</v>
      </c>
      <c r="AR9" s="88">
        <v>33000</v>
      </c>
      <c r="AV9" t="s">
        <v>7144</v>
      </c>
      <c r="AW9" s="88">
        <v>44000</v>
      </c>
    </row>
    <row r="10" spans="1:51">
      <c r="A10" s="85" t="s">
        <v>10221</v>
      </c>
      <c r="C10" t="s">
        <v>8424</v>
      </c>
      <c r="D10" s="46">
        <v>33000</v>
      </c>
      <c r="H10" t="s">
        <v>7188</v>
      </c>
      <c r="I10" s="46">
        <v>33000</v>
      </c>
      <c r="M10" t="s">
        <v>7144</v>
      </c>
      <c r="N10" s="88">
        <v>44000</v>
      </c>
      <c r="O10" s="86"/>
      <c r="R10" s="87" t="s">
        <v>7320</v>
      </c>
      <c r="S10" s="88">
        <v>38500</v>
      </c>
      <c r="T10" s="86"/>
      <c r="W10" t="s">
        <v>7127</v>
      </c>
      <c r="X10" s="46">
        <v>44000</v>
      </c>
      <c r="AB10" t="s">
        <v>8701</v>
      </c>
      <c r="AC10" s="46">
        <v>33000</v>
      </c>
      <c r="AG10" s="87" t="s">
        <v>10357</v>
      </c>
      <c r="AH10" s="88">
        <v>33000</v>
      </c>
      <c r="AI10" s="89"/>
      <c r="AJ10" s="89"/>
      <c r="AK10" s="89"/>
      <c r="AL10" t="s">
        <v>8755</v>
      </c>
      <c r="AM10" s="88">
        <v>66000</v>
      </c>
      <c r="AQ10" t="s">
        <v>10659</v>
      </c>
      <c r="AR10" s="88">
        <v>44000</v>
      </c>
      <c r="AV10" t="s">
        <v>8755</v>
      </c>
      <c r="AW10" s="88">
        <v>66000</v>
      </c>
    </row>
    <row r="11" spans="1:51">
      <c r="A11" s="85" t="s">
        <v>10371</v>
      </c>
      <c r="C11" t="s">
        <v>7110</v>
      </c>
      <c r="D11" s="46">
        <v>44000</v>
      </c>
      <c r="H11" t="s">
        <v>7117</v>
      </c>
      <c r="I11" s="46">
        <v>33000</v>
      </c>
      <c r="M11" t="s">
        <v>10774</v>
      </c>
      <c r="N11" s="57">
        <v>33000</v>
      </c>
      <c r="O11" s="86"/>
      <c r="R11" s="87" t="s">
        <v>7176</v>
      </c>
      <c r="S11" s="88">
        <v>44000</v>
      </c>
      <c r="T11" s="86"/>
      <c r="W11" t="s">
        <v>7119</v>
      </c>
      <c r="X11" s="46">
        <v>44000</v>
      </c>
      <c r="AB11" t="s">
        <v>7120</v>
      </c>
      <c r="AC11" s="46">
        <v>44000</v>
      </c>
      <c r="AG11" s="87" t="s">
        <v>7144</v>
      </c>
      <c r="AH11" s="88">
        <v>44000</v>
      </c>
      <c r="AI11" s="89"/>
      <c r="AJ11" s="89"/>
      <c r="AK11" s="89"/>
      <c r="AL11" t="s">
        <v>7146</v>
      </c>
      <c r="AM11" s="88">
        <v>33000</v>
      </c>
      <c r="AN11" s="68"/>
      <c r="AQ11" t="s">
        <v>7163</v>
      </c>
      <c r="AR11" s="88">
        <v>55000</v>
      </c>
      <c r="AV11" t="s">
        <v>7146</v>
      </c>
      <c r="AW11" s="88">
        <v>33000</v>
      </c>
      <c r="AX11" s="68"/>
    </row>
    <row r="12" spans="1:51">
      <c r="A12" s="85" t="s">
        <v>10891</v>
      </c>
      <c r="C12" t="s">
        <v>7108</v>
      </c>
      <c r="D12" s="46">
        <v>44000</v>
      </c>
      <c r="H12" t="s">
        <v>7135</v>
      </c>
      <c r="I12" s="169">
        <v>33000</v>
      </c>
      <c r="M12" t="s">
        <v>7147</v>
      </c>
      <c r="N12" s="88">
        <v>33000</v>
      </c>
      <c r="O12" s="86"/>
      <c r="R12" s="87" t="s">
        <v>9980</v>
      </c>
      <c r="S12" s="88">
        <v>44000</v>
      </c>
      <c r="T12" s="86"/>
      <c r="W12" t="s">
        <v>7131</v>
      </c>
      <c r="X12" s="46">
        <v>33000</v>
      </c>
      <c r="AB12" t="s">
        <v>8702</v>
      </c>
      <c r="AC12" s="46">
        <v>33000</v>
      </c>
      <c r="AG12" s="87" t="s">
        <v>8755</v>
      </c>
      <c r="AH12" s="88">
        <v>66000</v>
      </c>
      <c r="AI12" s="89"/>
      <c r="AJ12" s="89"/>
      <c r="AK12" s="89"/>
      <c r="AL12" t="s">
        <v>8182</v>
      </c>
      <c r="AM12" s="88">
        <v>33000</v>
      </c>
      <c r="AN12" s="68"/>
      <c r="AQ12" t="s">
        <v>10776</v>
      </c>
      <c r="AR12" s="88">
        <v>60000</v>
      </c>
      <c r="AV12" t="s">
        <v>8182</v>
      </c>
      <c r="AW12" s="88">
        <v>33000</v>
      </c>
      <c r="AX12" s="68"/>
    </row>
    <row r="13" spans="1:51">
      <c r="C13" t="s">
        <v>7185</v>
      </c>
      <c r="D13" s="46">
        <v>33000</v>
      </c>
      <c r="H13" t="s">
        <v>7122</v>
      </c>
      <c r="I13" s="88">
        <v>33000</v>
      </c>
      <c r="M13" t="s">
        <v>7154</v>
      </c>
      <c r="N13" s="57">
        <v>38500</v>
      </c>
      <c r="O13" s="86"/>
      <c r="R13" s="87" t="s">
        <v>7150</v>
      </c>
      <c r="S13" s="88">
        <v>44000</v>
      </c>
      <c r="W13" t="s">
        <v>7136</v>
      </c>
      <c r="X13" s="46">
        <v>44000</v>
      </c>
      <c r="AB13" t="s">
        <v>7109</v>
      </c>
      <c r="AC13" s="46">
        <v>33000</v>
      </c>
      <c r="AG13" s="87" t="s">
        <v>7146</v>
      </c>
      <c r="AH13" s="88">
        <v>33000</v>
      </c>
      <c r="AI13" s="89"/>
      <c r="AJ13" s="89"/>
      <c r="AK13" s="89"/>
      <c r="AL13" s="87" t="s">
        <v>7948</v>
      </c>
      <c r="AM13" s="88">
        <v>55000</v>
      </c>
      <c r="AN13" s="89"/>
      <c r="AQ13" t="s">
        <v>10648</v>
      </c>
      <c r="AR13" s="88">
        <v>33000</v>
      </c>
      <c r="AV13" s="87" t="s">
        <v>7948</v>
      </c>
      <c r="AW13" s="88">
        <v>55000</v>
      </c>
      <c r="AX13" s="89"/>
    </row>
    <row r="14" spans="1:51">
      <c r="C14" t="s">
        <v>10001</v>
      </c>
      <c r="D14" s="46">
        <v>44000</v>
      </c>
      <c r="E14" s="86"/>
      <c r="H14" s="87" t="s">
        <v>7140</v>
      </c>
      <c r="I14" s="169">
        <v>44000</v>
      </c>
      <c r="M14" t="s">
        <v>8994</v>
      </c>
      <c r="N14" s="88">
        <v>33000</v>
      </c>
      <c r="O14" s="86"/>
      <c r="R14" s="87" t="s">
        <v>10193</v>
      </c>
      <c r="S14" s="88">
        <v>55000</v>
      </c>
      <c r="W14" t="s">
        <v>7141</v>
      </c>
      <c r="X14" s="46">
        <v>33000</v>
      </c>
      <c r="AB14" t="s">
        <v>7114</v>
      </c>
      <c r="AC14" s="46">
        <v>33000</v>
      </c>
      <c r="AG14" s="87" t="s">
        <v>8182</v>
      </c>
      <c r="AH14" s="88">
        <v>33000</v>
      </c>
      <c r="AI14" s="89"/>
      <c r="AJ14" s="89"/>
      <c r="AK14" s="89"/>
      <c r="AL14" s="87" t="s">
        <v>7163</v>
      </c>
      <c r="AM14" s="88">
        <v>55000</v>
      </c>
      <c r="AQ14" s="87" t="s">
        <v>10434</v>
      </c>
      <c r="AR14" s="88">
        <v>48000</v>
      </c>
      <c r="AV14" s="87" t="s">
        <v>7163</v>
      </c>
      <c r="AW14" s="88">
        <v>55000</v>
      </c>
    </row>
    <row r="15" spans="1:51">
      <c r="C15" t="s">
        <v>10002</v>
      </c>
      <c r="D15" s="46">
        <v>44000</v>
      </c>
      <c r="H15" t="s">
        <v>8299</v>
      </c>
      <c r="I15" s="46">
        <v>38500</v>
      </c>
      <c r="M15" t="s">
        <v>9911</v>
      </c>
      <c r="N15" s="57">
        <v>33000</v>
      </c>
      <c r="O15" s="86"/>
      <c r="R15" s="87" t="s">
        <v>10194</v>
      </c>
      <c r="S15" s="88">
        <v>44000</v>
      </c>
      <c r="AB15" t="s">
        <v>7961</v>
      </c>
      <c r="AC15" s="46">
        <v>44000</v>
      </c>
      <c r="AG15" s="87" t="s">
        <v>7948</v>
      </c>
      <c r="AH15" s="88">
        <v>55000</v>
      </c>
      <c r="AI15" s="89"/>
      <c r="AJ15" s="89"/>
      <c r="AK15" s="89"/>
      <c r="AL15" t="s">
        <v>7166</v>
      </c>
      <c r="AM15" s="46">
        <v>49500</v>
      </c>
      <c r="AQ15" t="s">
        <v>10871</v>
      </c>
      <c r="AR15" s="88">
        <v>33000</v>
      </c>
      <c r="AV15" t="s">
        <v>7166</v>
      </c>
      <c r="AW15" s="88">
        <v>49500</v>
      </c>
    </row>
    <row r="16" spans="1:51">
      <c r="C16" t="s">
        <v>7112</v>
      </c>
      <c r="D16" s="46">
        <v>44000</v>
      </c>
      <c r="H16" t="s">
        <v>9304</v>
      </c>
      <c r="I16" s="46">
        <v>66000</v>
      </c>
      <c r="M16" t="s">
        <v>10178</v>
      </c>
      <c r="N16" s="57">
        <v>38500</v>
      </c>
      <c r="O16" s="86"/>
      <c r="R16" s="87" t="s">
        <v>7175</v>
      </c>
      <c r="S16" s="88">
        <v>33000</v>
      </c>
      <c r="T16" s="86"/>
      <c r="AB16" t="s">
        <v>8703</v>
      </c>
      <c r="AC16" s="46">
        <v>33000</v>
      </c>
      <c r="AG16" s="87" t="s">
        <v>7163</v>
      </c>
      <c r="AH16" s="88">
        <v>55000</v>
      </c>
      <c r="AI16" s="89"/>
      <c r="AJ16" s="89"/>
      <c r="AK16" s="89"/>
      <c r="AL16" s="87" t="s">
        <v>7170</v>
      </c>
      <c r="AM16" s="88">
        <v>44000</v>
      </c>
      <c r="AV16" s="87" t="s">
        <v>7170</v>
      </c>
      <c r="AW16" s="88">
        <v>44000</v>
      </c>
    </row>
    <row r="17" spans="3:50">
      <c r="C17" t="s">
        <v>7193</v>
      </c>
      <c r="D17" s="46">
        <v>33000</v>
      </c>
      <c r="H17" t="s">
        <v>8694</v>
      </c>
      <c r="I17" s="46">
        <v>35000</v>
      </c>
      <c r="M17" t="s">
        <v>863</v>
      </c>
      <c r="N17" s="57">
        <v>33000</v>
      </c>
      <c r="O17" s="86"/>
      <c r="R17" s="87" t="s">
        <v>10195</v>
      </c>
      <c r="S17" s="88">
        <v>44000</v>
      </c>
      <c r="T17" s="86"/>
      <c r="AB17" t="s">
        <v>8704</v>
      </c>
      <c r="AC17" s="46">
        <v>44000</v>
      </c>
      <c r="AG17" s="91" t="s">
        <v>7163</v>
      </c>
      <c r="AH17" s="88">
        <v>55000</v>
      </c>
      <c r="AI17" s="89"/>
      <c r="AJ17" s="89"/>
      <c r="AK17" s="89"/>
      <c r="AL17" s="87" t="s">
        <v>8184</v>
      </c>
      <c r="AM17" s="88">
        <v>33000</v>
      </c>
      <c r="AV17" s="87" t="s">
        <v>8184</v>
      </c>
      <c r="AW17" s="88">
        <v>33000</v>
      </c>
    </row>
    <row r="18" spans="3:50">
      <c r="C18" t="s">
        <v>8423</v>
      </c>
      <c r="D18" s="46">
        <v>33000</v>
      </c>
      <c r="H18" t="s">
        <v>7125</v>
      </c>
      <c r="I18" s="46">
        <v>55000</v>
      </c>
      <c r="M18" t="s">
        <v>9930</v>
      </c>
      <c r="N18" s="57">
        <v>44000</v>
      </c>
      <c r="O18" s="86"/>
      <c r="R18" s="87" t="s">
        <v>7184</v>
      </c>
      <c r="S18" s="88">
        <v>44000</v>
      </c>
      <c r="T18" s="86"/>
      <c r="AB18" t="s">
        <v>8705</v>
      </c>
      <c r="AC18" s="46">
        <v>33000</v>
      </c>
      <c r="AG18" s="87" t="s">
        <v>7166</v>
      </c>
      <c r="AH18" s="88">
        <v>49500</v>
      </c>
      <c r="AI18" s="89"/>
      <c r="AJ18" s="89"/>
      <c r="AK18" s="89"/>
      <c r="AL18" s="87" t="s">
        <v>7172</v>
      </c>
      <c r="AM18" s="88">
        <v>33000</v>
      </c>
      <c r="AV18" s="87" t="s">
        <v>7172</v>
      </c>
      <c r="AW18" s="88">
        <v>33000</v>
      </c>
    </row>
    <row r="19" spans="3:50">
      <c r="C19" t="s">
        <v>8422</v>
      </c>
      <c r="D19" s="46">
        <v>33000</v>
      </c>
      <c r="H19" t="s">
        <v>8191</v>
      </c>
      <c r="I19" s="46">
        <v>38500</v>
      </c>
      <c r="M19" t="s">
        <v>9813</v>
      </c>
      <c r="N19" s="57">
        <v>55000</v>
      </c>
      <c r="O19" s="86"/>
      <c r="R19" s="87" t="s">
        <v>10196</v>
      </c>
      <c r="S19" s="88">
        <v>44000</v>
      </c>
      <c r="T19" s="86"/>
      <c r="AB19" t="s">
        <v>7132</v>
      </c>
      <c r="AC19" s="46">
        <v>38500</v>
      </c>
      <c r="AG19" s="87" t="s">
        <v>7170</v>
      </c>
      <c r="AH19" s="88">
        <v>44000</v>
      </c>
      <c r="AI19" s="89"/>
      <c r="AJ19" s="89"/>
      <c r="AK19" s="89"/>
      <c r="AL19" s="87" t="s">
        <v>7179</v>
      </c>
      <c r="AM19" s="88">
        <v>44000</v>
      </c>
      <c r="AN19" s="89"/>
      <c r="AV19" s="87" t="s">
        <v>7179</v>
      </c>
      <c r="AW19" s="88">
        <v>44000</v>
      </c>
      <c r="AX19" s="89"/>
    </row>
    <row r="20" spans="3:50">
      <c r="C20" t="s">
        <v>7160</v>
      </c>
      <c r="D20" s="46">
        <v>33000</v>
      </c>
      <c r="E20" s="86"/>
      <c r="H20" t="s">
        <v>7129</v>
      </c>
      <c r="I20" s="46">
        <v>33000</v>
      </c>
      <c r="M20" t="s">
        <v>7158</v>
      </c>
      <c r="N20" s="57">
        <v>38500</v>
      </c>
      <c r="O20" s="86"/>
      <c r="R20" s="87" t="s">
        <v>9530</v>
      </c>
      <c r="S20" s="88">
        <v>44000</v>
      </c>
      <c r="AB20" t="s">
        <v>7137</v>
      </c>
      <c r="AC20" s="46">
        <v>44000</v>
      </c>
      <c r="AG20" s="87" t="s">
        <v>8184</v>
      </c>
      <c r="AH20" s="88">
        <v>33000</v>
      </c>
      <c r="AI20" s="89"/>
      <c r="AJ20" s="89"/>
      <c r="AK20" s="89"/>
      <c r="AL20" s="87" t="s">
        <v>7198</v>
      </c>
      <c r="AM20" s="88">
        <v>33000</v>
      </c>
      <c r="AV20" s="87" t="s">
        <v>7198</v>
      </c>
      <c r="AW20" s="88">
        <v>33000</v>
      </c>
    </row>
    <row r="21" spans="3:50">
      <c r="C21" t="s">
        <v>7177</v>
      </c>
      <c r="D21" s="46">
        <v>33000</v>
      </c>
      <c r="H21" t="s">
        <v>7134</v>
      </c>
      <c r="I21" s="46">
        <v>33000</v>
      </c>
      <c r="M21" t="s">
        <v>9814</v>
      </c>
      <c r="N21" s="57">
        <v>33000</v>
      </c>
      <c r="O21" s="86"/>
      <c r="R21" s="87" t="s">
        <v>9979</v>
      </c>
      <c r="S21" s="88">
        <v>44000</v>
      </c>
      <c r="AB21" t="s">
        <v>8706</v>
      </c>
      <c r="AC21" s="46">
        <v>33000</v>
      </c>
      <c r="AG21" s="87" t="s">
        <v>7172</v>
      </c>
      <c r="AH21" s="88">
        <v>33000</v>
      </c>
      <c r="AI21" s="89"/>
      <c r="AJ21" s="89"/>
      <c r="AK21" s="89"/>
      <c r="AL21" t="s">
        <v>7127</v>
      </c>
      <c r="AM21" s="57">
        <v>49500</v>
      </c>
      <c r="AN21" s="68"/>
      <c r="AV21" t="s">
        <v>7127</v>
      </c>
      <c r="AW21" s="88">
        <v>49500</v>
      </c>
      <c r="AX21" s="68"/>
    </row>
    <row r="22" spans="3:50">
      <c r="C22" t="s">
        <v>10003</v>
      </c>
      <c r="D22" s="46">
        <v>33000</v>
      </c>
      <c r="H22" t="s">
        <v>7139</v>
      </c>
      <c r="I22" s="46">
        <v>44000</v>
      </c>
      <c r="M22" t="s">
        <v>7168</v>
      </c>
      <c r="N22" s="57">
        <v>38500</v>
      </c>
      <c r="O22" s="86"/>
      <c r="R22" s="87" t="s">
        <v>9609</v>
      </c>
      <c r="S22" s="88">
        <v>44000</v>
      </c>
      <c r="AB22" t="s">
        <v>8707</v>
      </c>
      <c r="AC22" s="46">
        <v>38500</v>
      </c>
      <c r="AG22" s="87" t="s">
        <v>7179</v>
      </c>
      <c r="AH22" s="88">
        <v>44000</v>
      </c>
      <c r="AI22" s="89"/>
      <c r="AJ22" s="89"/>
      <c r="AK22" s="89"/>
      <c r="AL22" s="87" t="s">
        <v>2664</v>
      </c>
      <c r="AM22" s="88">
        <v>44000</v>
      </c>
      <c r="AV22" s="87" t="s">
        <v>2664</v>
      </c>
      <c r="AW22" s="88">
        <v>44000</v>
      </c>
    </row>
    <row r="23" spans="3:50">
      <c r="C23" t="s">
        <v>10004</v>
      </c>
      <c r="D23" s="46">
        <v>44000</v>
      </c>
      <c r="H23" t="s">
        <v>7143</v>
      </c>
      <c r="I23" s="46">
        <v>33000</v>
      </c>
      <c r="M23" t="s">
        <v>7170</v>
      </c>
      <c r="N23" s="57">
        <v>44000</v>
      </c>
      <c r="O23" s="86"/>
      <c r="R23" s="87" t="s">
        <v>10197</v>
      </c>
      <c r="S23" s="88">
        <v>44000</v>
      </c>
      <c r="AB23" t="s">
        <v>8708</v>
      </c>
      <c r="AC23" s="46">
        <v>38500</v>
      </c>
      <c r="AG23" s="87" t="s">
        <v>7198</v>
      </c>
      <c r="AH23" s="88">
        <v>33000</v>
      </c>
      <c r="AI23" s="89"/>
      <c r="AJ23" s="89"/>
      <c r="AK23" s="89"/>
      <c r="AL23" s="87" t="s">
        <v>8754</v>
      </c>
      <c r="AM23" s="88">
        <v>33000</v>
      </c>
      <c r="AV23" s="87" t="s">
        <v>8754</v>
      </c>
      <c r="AW23" s="88">
        <v>33000</v>
      </c>
    </row>
    <row r="24" spans="3:50">
      <c r="C24" t="s">
        <v>8425</v>
      </c>
      <c r="D24" s="46">
        <v>33000</v>
      </c>
      <c r="E24" s="86"/>
      <c r="H24" t="s">
        <v>7506</v>
      </c>
      <c r="I24" s="46">
        <v>38500</v>
      </c>
      <c r="M24" t="s">
        <v>10773</v>
      </c>
      <c r="N24" s="57">
        <v>55000</v>
      </c>
      <c r="O24" s="86"/>
      <c r="R24" s="87" t="s">
        <v>10647</v>
      </c>
      <c r="S24" s="88">
        <v>40000</v>
      </c>
      <c r="AB24" t="s">
        <v>8709</v>
      </c>
      <c r="AC24" s="46">
        <v>33000</v>
      </c>
      <c r="AG24" s="87" t="s">
        <v>7127</v>
      </c>
      <c r="AH24" s="88">
        <v>49500</v>
      </c>
      <c r="AI24" s="89"/>
      <c r="AJ24" s="89"/>
      <c r="AK24" s="89"/>
      <c r="AL24" s="87" t="s">
        <v>7186</v>
      </c>
      <c r="AM24" s="88">
        <v>44000</v>
      </c>
      <c r="AV24" s="87" t="s">
        <v>7186</v>
      </c>
      <c r="AW24" s="88">
        <v>44000</v>
      </c>
    </row>
    <row r="25" spans="3:50">
      <c r="C25" t="s">
        <v>7202</v>
      </c>
      <c r="D25" s="46">
        <v>44000</v>
      </c>
      <c r="E25" s="86"/>
      <c r="H25" t="s">
        <v>7154</v>
      </c>
      <c r="I25" s="88">
        <v>38500</v>
      </c>
      <c r="J25" s="86"/>
      <c r="M25" t="s">
        <v>9815</v>
      </c>
      <c r="N25" s="57">
        <v>44000</v>
      </c>
      <c r="O25" s="86"/>
      <c r="AB25" t="s">
        <v>7142</v>
      </c>
      <c r="AC25" s="46">
        <v>38500</v>
      </c>
      <c r="AG25" s="87" t="s">
        <v>2664</v>
      </c>
      <c r="AH25" s="88">
        <v>44000</v>
      </c>
      <c r="AI25" s="89"/>
      <c r="AJ25" s="89"/>
      <c r="AK25" s="89"/>
      <c r="AL25" t="s">
        <v>10136</v>
      </c>
      <c r="AM25" s="46">
        <v>0</v>
      </c>
      <c r="AV25" t="s">
        <v>10136</v>
      </c>
      <c r="AW25" s="88">
        <v>0</v>
      </c>
    </row>
    <row r="26" spans="3:50">
      <c r="C26" t="s">
        <v>7201</v>
      </c>
      <c r="D26" s="46">
        <v>44000</v>
      </c>
      <c r="H26" t="s">
        <v>9576</v>
      </c>
      <c r="I26" s="46">
        <v>38500</v>
      </c>
      <c r="M26" t="s">
        <v>10864</v>
      </c>
      <c r="N26" s="57">
        <v>44000</v>
      </c>
      <c r="O26" s="86"/>
      <c r="AB26" t="s">
        <v>7924</v>
      </c>
      <c r="AC26" s="46">
        <v>33000</v>
      </c>
      <c r="AG26" s="87" t="s">
        <v>8754</v>
      </c>
      <c r="AH26" s="88">
        <v>33000</v>
      </c>
      <c r="AI26" s="89"/>
      <c r="AJ26" s="89"/>
      <c r="AK26" s="89"/>
      <c r="AL26" t="s">
        <v>8638</v>
      </c>
      <c r="AM26" s="88">
        <v>33000</v>
      </c>
      <c r="AV26" t="s">
        <v>8638</v>
      </c>
      <c r="AW26" s="88">
        <v>33000</v>
      </c>
    </row>
    <row r="27" spans="3:50">
      <c r="C27" t="s">
        <v>7116</v>
      </c>
      <c r="D27" s="46">
        <v>44000</v>
      </c>
      <c r="E27" s="86"/>
      <c r="H27" t="s">
        <v>8994</v>
      </c>
      <c r="I27" s="46">
        <v>33000</v>
      </c>
      <c r="M27" t="s">
        <v>9921</v>
      </c>
      <c r="N27" s="57">
        <v>44000</v>
      </c>
      <c r="O27" s="86"/>
      <c r="AB27" t="s">
        <v>7148</v>
      </c>
      <c r="AC27" s="46">
        <v>38500</v>
      </c>
      <c r="AG27" s="87" t="s">
        <v>7186</v>
      </c>
      <c r="AH27" s="88">
        <v>44000</v>
      </c>
      <c r="AI27" s="89"/>
      <c r="AJ27" s="89"/>
      <c r="AK27" s="89"/>
      <c r="AL27" s="87" t="s">
        <v>8637</v>
      </c>
      <c r="AM27" s="88">
        <v>33000</v>
      </c>
      <c r="AV27" s="87" t="s">
        <v>8637</v>
      </c>
      <c r="AW27" s="88">
        <v>33000</v>
      </c>
    </row>
    <row r="28" spans="3:50">
      <c r="C28" t="s">
        <v>10005</v>
      </c>
      <c r="D28" s="46">
        <v>44000</v>
      </c>
      <c r="H28" t="s">
        <v>8076</v>
      </c>
      <c r="I28" s="46">
        <v>44000</v>
      </c>
      <c r="M28" t="s">
        <v>10678</v>
      </c>
      <c r="N28" s="57">
        <v>60500</v>
      </c>
      <c r="O28" s="86"/>
      <c r="AB28" t="s">
        <v>7145</v>
      </c>
      <c r="AC28" s="46">
        <v>38500</v>
      </c>
      <c r="AG28" s="87" t="s">
        <v>10136</v>
      </c>
      <c r="AH28" s="88">
        <v>0</v>
      </c>
      <c r="AI28" s="89"/>
      <c r="AJ28" s="89"/>
      <c r="AK28" s="89"/>
      <c r="AL28" s="87" t="s">
        <v>8183</v>
      </c>
      <c r="AM28" s="88">
        <v>45000</v>
      </c>
      <c r="AN28" s="89"/>
      <c r="AV28" s="87" t="s">
        <v>8183</v>
      </c>
      <c r="AW28" s="88">
        <v>45000</v>
      </c>
      <c r="AX28" s="89"/>
    </row>
    <row r="29" spans="3:50">
      <c r="C29" t="s">
        <v>8427</v>
      </c>
      <c r="D29" s="46">
        <v>33000</v>
      </c>
      <c r="H29" t="s">
        <v>8271</v>
      </c>
      <c r="I29" s="46">
        <v>55000</v>
      </c>
      <c r="M29" t="s">
        <v>7184</v>
      </c>
      <c r="N29" s="57">
        <v>44000</v>
      </c>
      <c r="O29" s="86"/>
      <c r="AB29" t="s">
        <v>8710</v>
      </c>
      <c r="AC29" s="46">
        <v>33000</v>
      </c>
      <c r="AG29" s="87" t="s">
        <v>8638</v>
      </c>
      <c r="AH29" s="88">
        <v>33000</v>
      </c>
      <c r="AI29" s="89"/>
      <c r="AJ29" s="89"/>
      <c r="AK29" s="89"/>
      <c r="AL29" t="s">
        <v>9312</v>
      </c>
      <c r="AM29" s="88">
        <v>33000</v>
      </c>
      <c r="AN29" s="68"/>
      <c r="AV29" t="s">
        <v>9312</v>
      </c>
      <c r="AW29" s="88">
        <v>33000</v>
      </c>
      <c r="AX29" s="68"/>
    </row>
    <row r="30" spans="3:50">
      <c r="C30" t="s">
        <v>7133</v>
      </c>
      <c r="D30" s="46">
        <v>55000</v>
      </c>
      <c r="H30" s="87" t="s">
        <v>7189</v>
      </c>
      <c r="I30" s="169">
        <v>42350</v>
      </c>
      <c r="M30" t="s">
        <v>9912</v>
      </c>
      <c r="N30" s="57">
        <v>38500</v>
      </c>
      <c r="O30" s="86"/>
      <c r="AB30" t="s">
        <v>7151</v>
      </c>
      <c r="AC30" s="46">
        <v>38500</v>
      </c>
      <c r="AG30" s="87" t="s">
        <v>8637</v>
      </c>
      <c r="AH30" s="88">
        <v>33000</v>
      </c>
      <c r="AI30" s="89"/>
      <c r="AJ30" s="89"/>
      <c r="AK30" s="89"/>
      <c r="AL30" s="87" t="s">
        <v>9732</v>
      </c>
      <c r="AM30" s="88">
        <v>44000</v>
      </c>
      <c r="AN30" s="89"/>
      <c r="AV30" s="87" t="s">
        <v>9732</v>
      </c>
      <c r="AW30" s="88">
        <v>44000</v>
      </c>
      <c r="AX30" s="89"/>
    </row>
    <row r="31" spans="3:50">
      <c r="C31" t="s">
        <v>7195</v>
      </c>
      <c r="D31" s="46">
        <v>33000</v>
      </c>
      <c r="H31" t="s">
        <v>7149</v>
      </c>
      <c r="I31" s="46">
        <v>49500</v>
      </c>
      <c r="M31" t="s">
        <v>8123</v>
      </c>
      <c r="N31" s="57">
        <v>45000</v>
      </c>
      <c r="O31" s="86"/>
      <c r="AB31" t="s">
        <v>8711</v>
      </c>
      <c r="AC31" s="46">
        <v>33000</v>
      </c>
      <c r="AG31" s="87" t="s">
        <v>8183</v>
      </c>
      <c r="AH31" s="88">
        <v>45000</v>
      </c>
      <c r="AI31" s="89"/>
      <c r="AJ31" s="89"/>
      <c r="AK31" s="89"/>
      <c r="AL31" t="s">
        <v>7104</v>
      </c>
      <c r="AM31" s="88">
        <v>33000</v>
      </c>
      <c r="AV31" t="s">
        <v>7104</v>
      </c>
      <c r="AW31" s="88">
        <v>33000</v>
      </c>
    </row>
    <row r="32" spans="3:50">
      <c r="C32" t="s">
        <v>7200</v>
      </c>
      <c r="D32" s="46">
        <v>33000</v>
      </c>
      <c r="H32" t="s">
        <v>8692</v>
      </c>
      <c r="I32" s="46">
        <v>38500</v>
      </c>
      <c r="M32" t="s">
        <v>10989</v>
      </c>
      <c r="N32" s="57">
        <v>36300</v>
      </c>
      <c r="O32" s="86"/>
      <c r="AB32" s="87" t="s">
        <v>7948</v>
      </c>
      <c r="AC32" s="169">
        <v>55000</v>
      </c>
      <c r="AG32" s="87" t="s">
        <v>9312</v>
      </c>
      <c r="AH32" s="88">
        <v>33000</v>
      </c>
      <c r="AI32" s="89"/>
      <c r="AJ32" s="89"/>
      <c r="AK32" s="89"/>
      <c r="AL32" t="s">
        <v>7102</v>
      </c>
      <c r="AM32" s="88">
        <v>33000</v>
      </c>
      <c r="AV32" t="s">
        <v>7102</v>
      </c>
      <c r="AW32" s="88">
        <v>33000</v>
      </c>
    </row>
    <row r="33" spans="3:50">
      <c r="C33" t="s">
        <v>7196</v>
      </c>
      <c r="D33" s="46">
        <v>33000</v>
      </c>
      <c r="H33" t="s">
        <v>8695</v>
      </c>
      <c r="I33" s="46">
        <v>38500</v>
      </c>
      <c r="AB33" t="s">
        <v>8087</v>
      </c>
      <c r="AC33" s="46">
        <v>38500</v>
      </c>
      <c r="AG33" s="87" t="s">
        <v>9732</v>
      </c>
      <c r="AH33" s="88">
        <v>44000</v>
      </c>
      <c r="AI33" s="89"/>
      <c r="AJ33" s="89"/>
      <c r="AL33" t="s">
        <v>8108</v>
      </c>
      <c r="AM33" s="88">
        <v>44000</v>
      </c>
      <c r="AN33" s="68"/>
      <c r="AV33" t="s">
        <v>8108</v>
      </c>
      <c r="AW33" s="88">
        <v>44000</v>
      </c>
      <c r="AX33" s="68"/>
    </row>
    <row r="34" spans="3:50">
      <c r="C34" t="s">
        <v>7152</v>
      </c>
      <c r="D34" s="46">
        <v>44000</v>
      </c>
      <c r="E34" s="86"/>
      <c r="H34" t="s">
        <v>7964</v>
      </c>
      <c r="I34" s="46">
        <v>38500</v>
      </c>
      <c r="AB34" t="s">
        <v>8712</v>
      </c>
      <c r="AC34" s="46">
        <v>38500</v>
      </c>
      <c r="AG34" s="87" t="s">
        <v>10627</v>
      </c>
      <c r="AH34" s="88">
        <v>44000</v>
      </c>
      <c r="AI34" s="89"/>
      <c r="AJ34" s="89"/>
      <c r="AL34" t="s">
        <v>7107</v>
      </c>
      <c r="AM34" s="88">
        <v>33000</v>
      </c>
      <c r="AN34" s="68"/>
      <c r="AV34" t="s">
        <v>7107</v>
      </c>
      <c r="AW34" s="88">
        <v>33000</v>
      </c>
      <c r="AX34" s="68"/>
    </row>
    <row r="35" spans="3:50">
      <c r="C35" t="s">
        <v>7203</v>
      </c>
      <c r="D35" s="46">
        <v>44000</v>
      </c>
      <c r="H35" t="s">
        <v>7153</v>
      </c>
      <c r="I35" s="46">
        <v>33000</v>
      </c>
      <c r="AB35" t="s">
        <v>8270</v>
      </c>
      <c r="AC35" s="46">
        <v>38500</v>
      </c>
      <c r="AL35" t="s">
        <v>7115</v>
      </c>
      <c r="AM35" s="88"/>
      <c r="AN35" s="86">
        <v>6.6E-4</v>
      </c>
      <c r="AV35" t="s">
        <v>7115</v>
      </c>
      <c r="AW35" s="88"/>
      <c r="AX35" s="86">
        <v>6.6E-4</v>
      </c>
    </row>
    <row r="36" spans="3:50">
      <c r="C36" t="s">
        <v>8579</v>
      </c>
      <c r="D36" s="46">
        <v>44000</v>
      </c>
      <c r="H36" t="s">
        <v>7190</v>
      </c>
      <c r="I36" s="46">
        <v>33000</v>
      </c>
      <c r="AB36" t="s">
        <v>7155</v>
      </c>
      <c r="AC36" s="46">
        <v>38500</v>
      </c>
      <c r="AL36" t="s">
        <v>8700</v>
      </c>
      <c r="AM36" s="88">
        <v>33000</v>
      </c>
      <c r="AN36" s="68"/>
      <c r="AV36" t="s">
        <v>8700</v>
      </c>
      <c r="AW36" s="88">
        <v>33000</v>
      </c>
      <c r="AX36" s="68"/>
    </row>
    <row r="37" spans="3:50">
      <c r="C37" t="s">
        <v>7167</v>
      </c>
      <c r="D37" s="46">
        <v>33000</v>
      </c>
      <c r="H37" t="s">
        <v>7156</v>
      </c>
      <c r="I37" s="46">
        <v>33000</v>
      </c>
      <c r="AB37" t="s">
        <v>7157</v>
      </c>
      <c r="AC37" s="46">
        <v>44000</v>
      </c>
      <c r="AL37" t="s">
        <v>8701</v>
      </c>
      <c r="AM37" s="88">
        <v>33000</v>
      </c>
      <c r="AN37" s="89"/>
      <c r="AV37" t="s">
        <v>8701</v>
      </c>
      <c r="AW37" s="88">
        <v>33000</v>
      </c>
      <c r="AX37" s="89"/>
    </row>
    <row r="38" spans="3:50">
      <c r="C38" t="s">
        <v>8580</v>
      </c>
      <c r="D38" s="46">
        <v>44000</v>
      </c>
      <c r="H38" t="s">
        <v>10852</v>
      </c>
      <c r="I38" s="46">
        <v>33000</v>
      </c>
      <c r="AB38" t="s">
        <v>8713</v>
      </c>
      <c r="AC38" s="46">
        <v>33000</v>
      </c>
      <c r="AL38" t="s">
        <v>7120</v>
      </c>
      <c r="AM38" s="88">
        <v>44000</v>
      </c>
      <c r="AN38" s="89"/>
      <c r="AV38" t="s">
        <v>7120</v>
      </c>
      <c r="AW38" s="88">
        <v>44000</v>
      </c>
      <c r="AX38" s="89"/>
    </row>
    <row r="39" spans="3:50">
      <c r="C39" t="s">
        <v>7138</v>
      </c>
      <c r="D39" s="46">
        <v>44000</v>
      </c>
      <c r="H39" t="s">
        <v>9322</v>
      </c>
      <c r="I39" s="46">
        <v>55000</v>
      </c>
      <c r="AB39" t="s">
        <v>7159</v>
      </c>
      <c r="AC39" s="46">
        <v>44000</v>
      </c>
      <c r="AL39" t="s">
        <v>8702</v>
      </c>
      <c r="AM39" s="88">
        <v>33000</v>
      </c>
      <c r="AN39" s="68"/>
      <c r="AV39" t="s">
        <v>8702</v>
      </c>
      <c r="AW39" s="88">
        <v>33000</v>
      </c>
      <c r="AX39" s="68"/>
    </row>
    <row r="40" spans="3:50">
      <c r="C40" s="207" t="s">
        <v>8426</v>
      </c>
      <c r="D40" s="46">
        <v>33000</v>
      </c>
      <c r="H40" t="s">
        <v>7183</v>
      </c>
      <c r="I40" s="46">
        <v>38500</v>
      </c>
      <c r="AB40" t="s">
        <v>8714</v>
      </c>
      <c r="AC40" s="46">
        <v>33000</v>
      </c>
      <c r="AL40" s="87" t="s">
        <v>7109</v>
      </c>
      <c r="AM40" s="88">
        <v>33000</v>
      </c>
      <c r="AN40" s="89"/>
      <c r="AV40" s="87" t="s">
        <v>7109</v>
      </c>
      <c r="AW40" s="88">
        <v>33000</v>
      </c>
      <c r="AX40" s="89"/>
    </row>
    <row r="41" spans="3:50">
      <c r="C41" s="207" t="s">
        <v>8428</v>
      </c>
      <c r="D41" s="46">
        <v>38500</v>
      </c>
      <c r="H41" t="s">
        <v>8157</v>
      </c>
      <c r="I41" s="46">
        <v>38500</v>
      </c>
      <c r="AB41" t="s">
        <v>7162</v>
      </c>
      <c r="AC41" s="46">
        <v>40000</v>
      </c>
      <c r="AL41" s="87" t="s">
        <v>7114</v>
      </c>
      <c r="AM41" s="92">
        <v>33000</v>
      </c>
      <c r="AN41" s="89"/>
      <c r="AV41" s="87" t="s">
        <v>7114</v>
      </c>
      <c r="AW41" s="88">
        <v>33000</v>
      </c>
      <c r="AX41" s="89"/>
    </row>
    <row r="42" spans="3:50">
      <c r="C42" t="s">
        <v>7173</v>
      </c>
      <c r="D42" s="46">
        <v>33000</v>
      </c>
      <c r="H42" t="s">
        <v>8175</v>
      </c>
      <c r="I42" s="46">
        <v>33000</v>
      </c>
      <c r="AB42" t="s">
        <v>7165</v>
      </c>
      <c r="AC42" s="46">
        <v>38500</v>
      </c>
      <c r="AL42" s="87" t="s">
        <v>7961</v>
      </c>
      <c r="AM42" s="88">
        <v>44000</v>
      </c>
      <c r="AV42" s="87" t="s">
        <v>7961</v>
      </c>
      <c r="AW42" s="88">
        <v>44000</v>
      </c>
    </row>
    <row r="43" spans="3:50">
      <c r="C43" t="s">
        <v>8421</v>
      </c>
      <c r="D43" s="46">
        <v>44000</v>
      </c>
      <c r="H43" t="s">
        <v>930</v>
      </c>
      <c r="I43" s="46">
        <v>44000</v>
      </c>
      <c r="J43" s="86"/>
      <c r="AB43" t="s">
        <v>7169</v>
      </c>
      <c r="AC43" s="46">
        <v>38500</v>
      </c>
      <c r="AL43" s="87" t="s">
        <v>8703</v>
      </c>
      <c r="AM43" s="88">
        <v>33000</v>
      </c>
      <c r="AV43" s="87" t="s">
        <v>8703</v>
      </c>
      <c r="AW43" s="88">
        <v>33000</v>
      </c>
    </row>
    <row r="44" spans="3:50">
      <c r="C44" t="s">
        <v>10006</v>
      </c>
      <c r="D44" s="46">
        <v>66000</v>
      </c>
      <c r="H44" t="s">
        <v>2308</v>
      </c>
      <c r="I44" s="46">
        <v>44000</v>
      </c>
      <c r="AB44" t="s">
        <v>8715</v>
      </c>
      <c r="AC44" s="46">
        <v>33000</v>
      </c>
      <c r="AL44" s="87" t="s">
        <v>8704</v>
      </c>
      <c r="AM44" s="88">
        <v>44000</v>
      </c>
      <c r="AV44" s="87" t="s">
        <v>8704</v>
      </c>
      <c r="AW44" s="88">
        <v>44000</v>
      </c>
    </row>
    <row r="45" spans="3:50">
      <c r="C45" t="s">
        <v>10007</v>
      </c>
      <c r="D45" s="46">
        <v>44000</v>
      </c>
      <c r="H45" t="s">
        <v>7192</v>
      </c>
      <c r="I45" s="46">
        <v>38500</v>
      </c>
      <c r="J45" s="86"/>
      <c r="AB45" t="s">
        <v>8716</v>
      </c>
      <c r="AC45" s="46">
        <v>38500</v>
      </c>
      <c r="AL45" t="s">
        <v>8705</v>
      </c>
      <c r="AM45" s="88">
        <v>33000</v>
      </c>
      <c r="AV45" t="s">
        <v>8705</v>
      </c>
      <c r="AW45" s="88">
        <v>33000</v>
      </c>
    </row>
    <row r="46" spans="3:50">
      <c r="C46" t="s">
        <v>7197</v>
      </c>
      <c r="D46" s="46">
        <v>38500</v>
      </c>
      <c r="H46" t="s">
        <v>7161</v>
      </c>
      <c r="I46" s="46">
        <v>33000</v>
      </c>
      <c r="AB46" t="s">
        <v>7123</v>
      </c>
      <c r="AC46" s="46">
        <v>33000</v>
      </c>
      <c r="AL46" t="s">
        <v>7132</v>
      </c>
      <c r="AM46" s="88">
        <v>38500</v>
      </c>
      <c r="AV46" t="s">
        <v>7132</v>
      </c>
      <c r="AW46" s="88">
        <v>38500</v>
      </c>
    </row>
    <row r="47" spans="3:50">
      <c r="C47" t="s">
        <v>8779</v>
      </c>
      <c r="D47" s="46">
        <v>38500</v>
      </c>
      <c r="H47" t="s">
        <v>9012</v>
      </c>
      <c r="I47" s="169">
        <v>38500</v>
      </c>
      <c r="AB47" t="s">
        <v>8717</v>
      </c>
      <c r="AC47" s="46">
        <v>33000</v>
      </c>
      <c r="AL47" t="s">
        <v>7137</v>
      </c>
      <c r="AM47" s="88">
        <v>44000</v>
      </c>
      <c r="AN47" s="68"/>
      <c r="AV47" t="s">
        <v>7137</v>
      </c>
      <c r="AW47" s="88">
        <v>44000</v>
      </c>
      <c r="AX47" s="68"/>
    </row>
    <row r="48" spans="3:50">
      <c r="C48" t="s">
        <v>8778</v>
      </c>
      <c r="D48" s="46">
        <v>66000</v>
      </c>
      <c r="H48" t="s">
        <v>8693</v>
      </c>
      <c r="I48" s="46">
        <v>38500</v>
      </c>
      <c r="AB48" t="s">
        <v>8718</v>
      </c>
      <c r="AC48" s="46">
        <v>33000</v>
      </c>
      <c r="AL48" t="s">
        <v>8706</v>
      </c>
      <c r="AM48" s="88">
        <v>33000</v>
      </c>
      <c r="AN48" s="68"/>
      <c r="AV48" t="s">
        <v>8706</v>
      </c>
      <c r="AW48" s="88">
        <v>33000</v>
      </c>
      <c r="AX48" s="68"/>
    </row>
    <row r="49" spans="3:50">
      <c r="C49" t="s">
        <v>7199</v>
      </c>
      <c r="D49" s="46">
        <v>33000</v>
      </c>
      <c r="H49" t="s">
        <v>7194</v>
      </c>
      <c r="I49" s="46">
        <v>33000</v>
      </c>
      <c r="AB49" t="s">
        <v>8719</v>
      </c>
      <c r="AC49" s="46">
        <v>38500</v>
      </c>
      <c r="AL49" t="s">
        <v>8707</v>
      </c>
      <c r="AM49" s="88">
        <v>38500</v>
      </c>
      <c r="AV49" t="s">
        <v>8707</v>
      </c>
      <c r="AW49" s="88">
        <v>38500</v>
      </c>
    </row>
    <row r="50" spans="3:50">
      <c r="C50" t="s">
        <v>8761</v>
      </c>
      <c r="D50" s="46">
        <v>38500</v>
      </c>
      <c r="H50" t="s">
        <v>7174</v>
      </c>
      <c r="I50" s="46">
        <v>38500</v>
      </c>
      <c r="AB50" t="s">
        <v>8149</v>
      </c>
      <c r="AC50" s="46">
        <v>38500</v>
      </c>
      <c r="AL50" t="s">
        <v>8708</v>
      </c>
      <c r="AM50" s="88">
        <v>38500</v>
      </c>
      <c r="AV50" t="s">
        <v>8708</v>
      </c>
      <c r="AW50" s="88">
        <v>38500</v>
      </c>
    </row>
    <row r="51" spans="3:50">
      <c r="C51" t="s">
        <v>8420</v>
      </c>
      <c r="D51" s="46">
        <v>44000</v>
      </c>
      <c r="H51" t="s">
        <v>9551</v>
      </c>
      <c r="I51" s="46">
        <v>44000</v>
      </c>
      <c r="AB51" t="s">
        <v>8720</v>
      </c>
      <c r="AC51" s="46">
        <v>33000</v>
      </c>
      <c r="AL51" t="s">
        <v>8709</v>
      </c>
      <c r="AM51" s="88">
        <v>33000</v>
      </c>
      <c r="AV51" t="s">
        <v>8709</v>
      </c>
      <c r="AW51" s="88">
        <v>33000</v>
      </c>
    </row>
    <row r="52" spans="3:50">
      <c r="C52" t="s">
        <v>7171</v>
      </c>
      <c r="D52" s="46">
        <v>33000</v>
      </c>
      <c r="H52" t="s">
        <v>7178</v>
      </c>
      <c r="I52" s="46">
        <v>44000</v>
      </c>
      <c r="AB52" t="s">
        <v>7131</v>
      </c>
      <c r="AC52" s="46">
        <v>33000</v>
      </c>
      <c r="AL52" t="s">
        <v>7142</v>
      </c>
      <c r="AM52" s="88">
        <v>38500</v>
      </c>
      <c r="AV52" t="s">
        <v>7142</v>
      </c>
      <c r="AW52" s="88">
        <v>38500</v>
      </c>
    </row>
    <row r="53" spans="3:50">
      <c r="C53" t="s">
        <v>7118</v>
      </c>
      <c r="D53" s="46">
        <v>38500</v>
      </c>
      <c r="H53" t="s">
        <v>8758</v>
      </c>
      <c r="I53" s="46">
        <v>55000</v>
      </c>
      <c r="AB53" t="s">
        <v>7136</v>
      </c>
      <c r="AC53" s="46">
        <v>44000</v>
      </c>
      <c r="AL53" t="s">
        <v>7924</v>
      </c>
      <c r="AM53" s="88">
        <v>33000</v>
      </c>
      <c r="AV53" t="s">
        <v>7924</v>
      </c>
      <c r="AW53" s="88">
        <v>33000</v>
      </c>
    </row>
    <row r="54" spans="3:50">
      <c r="C54" t="s">
        <v>9087</v>
      </c>
      <c r="D54" s="46">
        <v>47300</v>
      </c>
      <c r="H54" s="87" t="s">
        <v>7745</v>
      </c>
      <c r="I54" s="169">
        <v>33000</v>
      </c>
      <c r="AB54" t="s">
        <v>7141</v>
      </c>
      <c r="AC54" s="46">
        <v>33000</v>
      </c>
      <c r="AL54" t="s">
        <v>7148</v>
      </c>
      <c r="AM54" s="88">
        <v>38500</v>
      </c>
      <c r="AV54" t="s">
        <v>7148</v>
      </c>
      <c r="AW54" s="88">
        <v>38500</v>
      </c>
    </row>
    <row r="55" spans="3:50">
      <c r="H55" t="s">
        <v>7181</v>
      </c>
      <c r="I55" s="46">
        <v>44000</v>
      </c>
      <c r="AB55" t="s">
        <v>9020</v>
      </c>
      <c r="AC55" s="46">
        <v>33000</v>
      </c>
      <c r="AL55" s="87" t="s">
        <v>7145</v>
      </c>
      <c r="AM55" s="88">
        <v>38500</v>
      </c>
      <c r="AV55" s="87" t="s">
        <v>7145</v>
      </c>
      <c r="AW55" s="88">
        <v>38500</v>
      </c>
    </row>
    <row r="56" spans="3:50">
      <c r="AB56" t="s">
        <v>9021</v>
      </c>
      <c r="AC56" s="46">
        <v>33000</v>
      </c>
      <c r="AL56" s="87" t="s">
        <v>8710</v>
      </c>
      <c r="AM56" s="88">
        <v>33000</v>
      </c>
      <c r="AN56" s="68"/>
      <c r="AV56" s="87" t="s">
        <v>8710</v>
      </c>
      <c r="AW56" s="88">
        <v>33000</v>
      </c>
      <c r="AX56" s="68"/>
    </row>
    <row r="57" spans="3:50">
      <c r="AB57" t="s">
        <v>9022</v>
      </c>
      <c r="AC57" s="46">
        <v>33000</v>
      </c>
      <c r="AL57" t="s">
        <v>7151</v>
      </c>
      <c r="AM57" s="88">
        <v>38500</v>
      </c>
      <c r="AN57" s="68"/>
      <c r="AV57" t="s">
        <v>7151</v>
      </c>
      <c r="AW57" s="88">
        <v>38500</v>
      </c>
      <c r="AX57" s="68"/>
    </row>
    <row r="58" spans="3:50">
      <c r="AL58" s="87" t="s">
        <v>8711</v>
      </c>
      <c r="AM58" s="88">
        <v>33000</v>
      </c>
      <c r="AV58" s="87" t="s">
        <v>8711</v>
      </c>
      <c r="AW58" s="88">
        <v>33000</v>
      </c>
    </row>
    <row r="59" spans="3:50">
      <c r="AL59" t="s">
        <v>8087</v>
      </c>
      <c r="AM59" s="57">
        <v>38500</v>
      </c>
      <c r="AV59" t="s">
        <v>8087</v>
      </c>
      <c r="AW59" s="88">
        <v>38500</v>
      </c>
    </row>
    <row r="60" spans="3:50">
      <c r="AL60" s="87" t="s">
        <v>8712</v>
      </c>
      <c r="AM60" s="88">
        <v>38500</v>
      </c>
      <c r="AN60" s="89"/>
      <c r="AV60" s="87" t="s">
        <v>8712</v>
      </c>
      <c r="AW60" s="88">
        <v>33000</v>
      </c>
      <c r="AX60" s="89"/>
    </row>
    <row r="61" spans="3:50">
      <c r="AL61" s="87" t="s">
        <v>8270</v>
      </c>
      <c r="AM61" s="88">
        <v>38500</v>
      </c>
      <c r="AN61" s="89"/>
      <c r="AV61" s="87" t="s">
        <v>8270</v>
      </c>
      <c r="AW61" s="88">
        <v>38500</v>
      </c>
      <c r="AX61" s="89"/>
    </row>
    <row r="62" spans="3:50">
      <c r="AL62" s="87" t="s">
        <v>7155</v>
      </c>
      <c r="AM62" s="88">
        <v>38500</v>
      </c>
      <c r="AV62" s="87" t="s">
        <v>7155</v>
      </c>
      <c r="AW62" s="88">
        <v>38500</v>
      </c>
    </row>
    <row r="63" spans="3:50">
      <c r="AL63" s="87" t="s">
        <v>7157</v>
      </c>
      <c r="AM63" s="88">
        <v>44000</v>
      </c>
      <c r="AN63" s="89"/>
      <c r="AV63" s="87" t="s">
        <v>7157</v>
      </c>
      <c r="AW63" s="88">
        <v>44000</v>
      </c>
      <c r="AX63" s="89"/>
    </row>
    <row r="64" spans="3:50">
      <c r="AL64" t="s">
        <v>8713</v>
      </c>
      <c r="AM64" s="88">
        <v>33000</v>
      </c>
      <c r="AN64" s="89"/>
      <c r="AV64" t="s">
        <v>8713</v>
      </c>
      <c r="AW64" s="88">
        <v>33000</v>
      </c>
      <c r="AX64" s="89"/>
    </row>
    <row r="65" spans="38:50">
      <c r="AL65" t="s">
        <v>7159</v>
      </c>
      <c r="AM65" s="88">
        <v>44000</v>
      </c>
      <c r="AN65" s="90"/>
      <c r="AV65" t="s">
        <v>7159</v>
      </c>
      <c r="AW65" s="88">
        <v>44000</v>
      </c>
      <c r="AX65" s="90"/>
    </row>
    <row r="66" spans="38:50">
      <c r="AL66" t="s">
        <v>8714</v>
      </c>
      <c r="AM66" s="88">
        <v>33000</v>
      </c>
      <c r="AN66" s="68"/>
      <c r="AV66" t="s">
        <v>8714</v>
      </c>
      <c r="AW66" s="88">
        <v>33000</v>
      </c>
      <c r="AX66" s="68"/>
    </row>
    <row r="67" spans="38:50">
      <c r="AL67" t="s">
        <v>7162</v>
      </c>
      <c r="AM67" s="88">
        <v>40000</v>
      </c>
      <c r="AV67" t="s">
        <v>7162</v>
      </c>
      <c r="AW67" s="88">
        <v>40000</v>
      </c>
    </row>
    <row r="68" spans="38:50">
      <c r="AL68" t="s">
        <v>7165</v>
      </c>
      <c r="AM68" s="88">
        <v>38500</v>
      </c>
      <c r="AV68" t="s">
        <v>7165</v>
      </c>
      <c r="AW68" s="88">
        <v>38500</v>
      </c>
    </row>
    <row r="69" spans="38:50">
      <c r="AL69" t="s">
        <v>7169</v>
      </c>
      <c r="AM69" s="88">
        <v>38500</v>
      </c>
      <c r="AV69" t="s">
        <v>7169</v>
      </c>
      <c r="AW69" s="88">
        <v>38500</v>
      </c>
    </row>
    <row r="70" spans="38:50">
      <c r="AL70" t="s">
        <v>8715</v>
      </c>
      <c r="AM70" s="88">
        <v>33000</v>
      </c>
      <c r="AV70" t="s">
        <v>8715</v>
      </c>
      <c r="AW70" s="88">
        <v>33000</v>
      </c>
    </row>
    <row r="71" spans="38:50">
      <c r="AL71" t="s">
        <v>8716</v>
      </c>
      <c r="AM71" s="88">
        <v>38500</v>
      </c>
      <c r="AV71" t="s">
        <v>8716</v>
      </c>
      <c r="AW71" s="88">
        <v>38500</v>
      </c>
    </row>
    <row r="72" spans="38:50">
      <c r="AL72" t="s">
        <v>7123</v>
      </c>
      <c r="AM72" s="88">
        <v>33000</v>
      </c>
      <c r="AV72" t="s">
        <v>7123</v>
      </c>
      <c r="AW72" s="88">
        <v>33000</v>
      </c>
    </row>
    <row r="73" spans="38:50">
      <c r="AL73" s="87" t="s">
        <v>8717</v>
      </c>
      <c r="AM73" s="88">
        <v>33000</v>
      </c>
      <c r="AV73" s="87" t="s">
        <v>8717</v>
      </c>
      <c r="AW73" s="88">
        <v>33000</v>
      </c>
    </row>
    <row r="74" spans="38:50">
      <c r="AL74" s="87" t="s">
        <v>8718</v>
      </c>
      <c r="AM74" s="88">
        <v>33000</v>
      </c>
      <c r="AN74" s="68"/>
      <c r="AV74" s="87" t="s">
        <v>8718</v>
      </c>
      <c r="AW74" s="88">
        <v>33000</v>
      </c>
      <c r="AX74" s="68"/>
    </row>
    <row r="75" spans="38:50">
      <c r="AL75" t="s">
        <v>8719</v>
      </c>
      <c r="AM75" s="88">
        <v>38500</v>
      </c>
      <c r="AN75" s="68"/>
      <c r="AV75" t="s">
        <v>8719</v>
      </c>
      <c r="AW75" s="88">
        <v>38500</v>
      </c>
      <c r="AX75" s="68"/>
    </row>
    <row r="76" spans="38:50">
      <c r="AL76" s="87" t="s">
        <v>8149</v>
      </c>
      <c r="AM76" s="88">
        <v>38500</v>
      </c>
      <c r="AV76" s="87" t="s">
        <v>8149</v>
      </c>
      <c r="AW76" s="88">
        <v>38500</v>
      </c>
    </row>
    <row r="77" spans="38:50">
      <c r="AL77" t="s">
        <v>8720</v>
      </c>
      <c r="AM77" s="88">
        <v>33000</v>
      </c>
      <c r="AV77" t="s">
        <v>8720</v>
      </c>
      <c r="AW77" s="88">
        <v>33000</v>
      </c>
    </row>
    <row r="78" spans="38:50">
      <c r="AL78" t="s">
        <v>7131</v>
      </c>
      <c r="AM78" s="57">
        <v>33000</v>
      </c>
      <c r="AV78" t="s">
        <v>7131</v>
      </c>
      <c r="AW78" s="88">
        <v>33000</v>
      </c>
    </row>
    <row r="79" spans="38:50">
      <c r="AL79" s="87" t="s">
        <v>7136</v>
      </c>
      <c r="AM79" s="88">
        <v>44000</v>
      </c>
      <c r="AN79" s="89"/>
      <c r="AV79" s="87" t="s">
        <v>7136</v>
      </c>
      <c r="AW79" s="88">
        <v>44000</v>
      </c>
      <c r="AX79" s="89"/>
    </row>
    <row r="80" spans="38:50">
      <c r="AL80" s="87" t="s">
        <v>7141</v>
      </c>
      <c r="AM80" s="88">
        <v>33000</v>
      </c>
      <c r="AN80" s="89"/>
      <c r="AV80" s="87" t="s">
        <v>7141</v>
      </c>
      <c r="AW80" s="88">
        <v>33000</v>
      </c>
      <c r="AX80" s="89"/>
    </row>
    <row r="81" spans="38:50">
      <c r="AL81" s="87" t="s">
        <v>9020</v>
      </c>
      <c r="AM81" s="88">
        <v>33000</v>
      </c>
      <c r="AV81" s="87" t="s">
        <v>9020</v>
      </c>
      <c r="AW81" s="88">
        <v>33000</v>
      </c>
    </row>
    <row r="82" spans="38:50">
      <c r="AL82" s="87" t="s">
        <v>9021</v>
      </c>
      <c r="AM82" s="88">
        <v>33000</v>
      </c>
      <c r="AN82" s="89"/>
      <c r="AV82" s="87" t="s">
        <v>9021</v>
      </c>
      <c r="AW82" s="88">
        <v>33000</v>
      </c>
      <c r="AX82" s="89"/>
    </row>
    <row r="83" spans="38:50">
      <c r="AL83" t="s">
        <v>9022</v>
      </c>
      <c r="AM83" s="88">
        <v>33000</v>
      </c>
      <c r="AN83" s="89"/>
      <c r="AV83" t="s">
        <v>9022</v>
      </c>
      <c r="AW83" s="88">
        <v>33000</v>
      </c>
      <c r="AX83" s="89"/>
    </row>
    <row r="84" spans="38:50">
      <c r="AL84" t="s">
        <v>9243</v>
      </c>
      <c r="AM84" s="88">
        <v>0</v>
      </c>
      <c r="AV84" t="s">
        <v>9243</v>
      </c>
      <c r="AW84" s="88">
        <v>0</v>
      </c>
    </row>
    <row r="85" spans="38:50">
      <c r="AL85" t="s">
        <v>7127</v>
      </c>
      <c r="AM85" s="88">
        <v>44000</v>
      </c>
      <c r="AN85" s="90"/>
      <c r="AV85" t="s">
        <v>7127</v>
      </c>
      <c r="AW85" s="88">
        <v>44000</v>
      </c>
      <c r="AX85" s="90"/>
    </row>
    <row r="86" spans="38:50">
      <c r="AL86" t="s">
        <v>7119</v>
      </c>
      <c r="AM86" s="88">
        <v>44000</v>
      </c>
      <c r="AV86" t="s">
        <v>7119</v>
      </c>
      <c r="AW86" s="88">
        <v>44000</v>
      </c>
    </row>
    <row r="87" spans="38:50">
      <c r="AL87" t="s">
        <v>7101</v>
      </c>
      <c r="AM87" s="88">
        <v>44000</v>
      </c>
      <c r="AV87" t="s">
        <v>7101</v>
      </c>
      <c r="AW87" s="88">
        <v>44000</v>
      </c>
    </row>
    <row r="88" spans="38:50">
      <c r="AL88" t="s">
        <v>10192</v>
      </c>
      <c r="AM88" s="88">
        <v>33000</v>
      </c>
      <c r="AV88" t="s">
        <v>10192</v>
      </c>
      <c r="AW88" s="88">
        <v>33000</v>
      </c>
    </row>
    <row r="89" spans="38:50">
      <c r="AL89" t="s">
        <v>9031</v>
      </c>
      <c r="AM89" s="88">
        <v>44000</v>
      </c>
      <c r="AV89" t="s">
        <v>9031</v>
      </c>
      <c r="AW89" s="88">
        <v>44000</v>
      </c>
    </row>
    <row r="90" spans="38:50">
      <c r="AL90" t="s">
        <v>7182</v>
      </c>
      <c r="AM90" s="88">
        <v>33000</v>
      </c>
      <c r="AV90" t="s">
        <v>7182</v>
      </c>
      <c r="AW90" s="88">
        <v>33000</v>
      </c>
    </row>
    <row r="91" spans="38:50">
      <c r="AL91" t="s">
        <v>9978</v>
      </c>
      <c r="AM91" s="88">
        <v>38500</v>
      </c>
      <c r="AV91" t="s">
        <v>9978</v>
      </c>
      <c r="AW91" s="88">
        <v>38500</v>
      </c>
    </row>
    <row r="92" spans="38:50">
      <c r="AL92" t="s">
        <v>9981</v>
      </c>
      <c r="AM92" s="88">
        <v>33000</v>
      </c>
      <c r="AV92" t="s">
        <v>9981</v>
      </c>
      <c r="AW92" s="88">
        <v>33000</v>
      </c>
    </row>
    <row r="93" spans="38:50">
      <c r="AL93" t="s">
        <v>7320</v>
      </c>
      <c r="AM93" s="88">
        <v>38500</v>
      </c>
      <c r="AV93" t="s">
        <v>7320</v>
      </c>
      <c r="AW93" s="88">
        <v>38500</v>
      </c>
    </row>
    <row r="94" spans="38:50">
      <c r="AL94" t="s">
        <v>7176</v>
      </c>
      <c r="AM94" s="88">
        <v>44000</v>
      </c>
      <c r="AV94" t="s">
        <v>7176</v>
      </c>
      <c r="AW94" s="88">
        <v>44000</v>
      </c>
    </row>
    <row r="95" spans="38:50">
      <c r="AL95" t="s">
        <v>9980</v>
      </c>
      <c r="AM95" s="88">
        <v>44000</v>
      </c>
      <c r="AV95" t="s">
        <v>9980</v>
      </c>
      <c r="AW95" s="88">
        <v>44000</v>
      </c>
    </row>
    <row r="96" spans="38:50">
      <c r="AL96" t="s">
        <v>7150</v>
      </c>
      <c r="AM96" s="88">
        <v>44000</v>
      </c>
      <c r="AV96" t="s">
        <v>7150</v>
      </c>
      <c r="AW96" s="88">
        <v>44000</v>
      </c>
    </row>
    <row r="97" spans="38:50">
      <c r="AL97" t="s">
        <v>10193</v>
      </c>
      <c r="AM97" s="88">
        <v>55000</v>
      </c>
      <c r="AV97" t="s">
        <v>10193</v>
      </c>
      <c r="AW97" s="88">
        <v>55000</v>
      </c>
    </row>
    <row r="98" spans="38:50">
      <c r="AL98" t="s">
        <v>10194</v>
      </c>
      <c r="AM98" s="88">
        <v>44000</v>
      </c>
      <c r="AV98" t="s">
        <v>10194</v>
      </c>
      <c r="AW98" s="88">
        <v>44000</v>
      </c>
    </row>
    <row r="99" spans="38:50">
      <c r="AL99" t="s">
        <v>7175</v>
      </c>
      <c r="AM99" s="88">
        <v>33000</v>
      </c>
      <c r="AV99" t="s">
        <v>7175</v>
      </c>
      <c r="AW99" s="88">
        <v>33000</v>
      </c>
    </row>
    <row r="100" spans="38:50">
      <c r="AL100" t="s">
        <v>10195</v>
      </c>
      <c r="AM100" s="88">
        <v>44000</v>
      </c>
      <c r="AV100" t="s">
        <v>10195</v>
      </c>
      <c r="AW100" s="88">
        <v>44000</v>
      </c>
    </row>
    <row r="101" spans="38:50">
      <c r="AL101" t="s">
        <v>7184</v>
      </c>
      <c r="AM101" s="88">
        <v>44000</v>
      </c>
      <c r="AV101" t="s">
        <v>7184</v>
      </c>
      <c r="AW101" s="88">
        <v>44000</v>
      </c>
    </row>
    <row r="102" spans="38:50">
      <c r="AL102" t="s">
        <v>10196</v>
      </c>
      <c r="AM102" s="88">
        <v>44000</v>
      </c>
      <c r="AV102" t="s">
        <v>10196</v>
      </c>
      <c r="AW102" s="88">
        <v>44000</v>
      </c>
    </row>
    <row r="103" spans="38:50">
      <c r="AL103" t="s">
        <v>9530</v>
      </c>
      <c r="AM103" s="88">
        <v>44000</v>
      </c>
      <c r="AV103" t="s">
        <v>9530</v>
      </c>
      <c r="AW103" s="88">
        <v>44000</v>
      </c>
    </row>
    <row r="104" spans="38:50">
      <c r="AL104" t="s">
        <v>9979</v>
      </c>
      <c r="AM104" s="88">
        <v>44000</v>
      </c>
      <c r="AV104" t="s">
        <v>9979</v>
      </c>
      <c r="AW104" s="88">
        <v>44000</v>
      </c>
    </row>
    <row r="105" spans="38:50">
      <c r="AL105" t="s">
        <v>9609</v>
      </c>
      <c r="AM105" s="88">
        <v>44000</v>
      </c>
      <c r="AV105" t="s">
        <v>9609</v>
      </c>
      <c r="AW105" s="88">
        <v>44000</v>
      </c>
    </row>
    <row r="106" spans="38:50">
      <c r="AL106" t="s">
        <v>10197</v>
      </c>
      <c r="AM106" s="88">
        <v>44000</v>
      </c>
      <c r="AV106" t="s">
        <v>10197</v>
      </c>
      <c r="AW106" s="88">
        <v>44000</v>
      </c>
    </row>
    <row r="107" spans="38:50">
      <c r="AL107" t="s">
        <v>9812</v>
      </c>
      <c r="AM107" s="88">
        <v>55000</v>
      </c>
      <c r="AV107" t="s">
        <v>9812</v>
      </c>
      <c r="AW107" s="88">
        <v>55000</v>
      </c>
    </row>
    <row r="108" spans="38:50">
      <c r="AL108" t="s">
        <v>7130</v>
      </c>
      <c r="AM108" s="88">
        <v>33000</v>
      </c>
      <c r="AN108" s="86"/>
      <c r="AV108" t="s">
        <v>7130</v>
      </c>
      <c r="AW108" s="88">
        <v>33000</v>
      </c>
      <c r="AX108" s="86"/>
    </row>
    <row r="109" spans="38:50">
      <c r="AL109" t="s">
        <v>7140</v>
      </c>
      <c r="AM109" s="88">
        <v>44000</v>
      </c>
      <c r="AN109" s="86"/>
      <c r="AV109" t="s">
        <v>7140</v>
      </c>
      <c r="AW109" s="88">
        <v>44000</v>
      </c>
      <c r="AX109" s="86"/>
    </row>
    <row r="110" spans="38:50">
      <c r="AL110" t="s">
        <v>7144</v>
      </c>
      <c r="AM110" s="88">
        <v>33000</v>
      </c>
      <c r="AN110" s="86"/>
      <c r="AV110" t="s">
        <v>7144</v>
      </c>
      <c r="AW110" s="88">
        <v>33000</v>
      </c>
      <c r="AX110" s="86"/>
    </row>
    <row r="111" spans="38:50">
      <c r="AL111" t="s">
        <v>7147</v>
      </c>
      <c r="AM111" s="88">
        <v>33000</v>
      </c>
      <c r="AN111" s="86"/>
      <c r="AV111" t="s">
        <v>7147</v>
      </c>
      <c r="AW111" s="88">
        <v>33000</v>
      </c>
      <c r="AX111" s="86"/>
    </row>
    <row r="112" spans="38:50">
      <c r="AL112" t="s">
        <v>7154</v>
      </c>
      <c r="AM112" s="88">
        <v>38500</v>
      </c>
      <c r="AV112" t="s">
        <v>7154</v>
      </c>
      <c r="AW112" s="88">
        <v>38500</v>
      </c>
    </row>
    <row r="113" spans="38:49">
      <c r="AL113" t="s">
        <v>9911</v>
      </c>
      <c r="AM113" s="88">
        <v>33000</v>
      </c>
      <c r="AV113" t="s">
        <v>9911</v>
      </c>
      <c r="AW113" s="88">
        <v>33000</v>
      </c>
    </row>
    <row r="114" spans="38:49">
      <c r="AL114" t="s">
        <v>10178</v>
      </c>
      <c r="AM114" s="88">
        <v>38500</v>
      </c>
      <c r="AV114" t="s">
        <v>10178</v>
      </c>
      <c r="AW114" s="88">
        <v>38500</v>
      </c>
    </row>
    <row r="115" spans="38:49">
      <c r="AL115" t="s">
        <v>863</v>
      </c>
      <c r="AM115" s="88">
        <v>33000</v>
      </c>
      <c r="AV115" t="s">
        <v>863</v>
      </c>
      <c r="AW115" s="88">
        <v>33000</v>
      </c>
    </row>
    <row r="116" spans="38:49">
      <c r="AL116" t="s">
        <v>9930</v>
      </c>
      <c r="AM116" s="88">
        <v>44000</v>
      </c>
      <c r="AV116" t="s">
        <v>9930</v>
      </c>
      <c r="AW116" s="88">
        <v>44000</v>
      </c>
    </row>
    <row r="117" spans="38:49">
      <c r="AL117" t="s">
        <v>9813</v>
      </c>
      <c r="AM117" s="88">
        <v>55000</v>
      </c>
      <c r="AV117" t="s">
        <v>9813</v>
      </c>
      <c r="AW117" s="88">
        <v>55000</v>
      </c>
    </row>
    <row r="118" spans="38:49">
      <c r="AL118" t="s">
        <v>7158</v>
      </c>
      <c r="AM118" s="88">
        <v>38500</v>
      </c>
      <c r="AV118" t="s">
        <v>7158</v>
      </c>
      <c r="AW118" s="88">
        <v>38500</v>
      </c>
    </row>
    <row r="119" spans="38:49">
      <c r="AL119" t="s">
        <v>9814</v>
      </c>
      <c r="AM119" s="88">
        <v>33000</v>
      </c>
      <c r="AV119" t="s">
        <v>9814</v>
      </c>
      <c r="AW119" s="88">
        <v>33000</v>
      </c>
    </row>
    <row r="120" spans="38:49">
      <c r="AL120" t="s">
        <v>7168</v>
      </c>
      <c r="AM120" s="88">
        <v>38500</v>
      </c>
      <c r="AV120" t="s">
        <v>7168</v>
      </c>
      <c r="AW120" s="88">
        <v>38500</v>
      </c>
    </row>
    <row r="121" spans="38:49">
      <c r="AL121" t="s">
        <v>9815</v>
      </c>
      <c r="AM121" s="88">
        <v>44000</v>
      </c>
      <c r="AV121" t="s">
        <v>9815</v>
      </c>
      <c r="AW121" s="88">
        <v>44000</v>
      </c>
    </row>
    <row r="122" spans="38:49">
      <c r="AL122" t="s">
        <v>9921</v>
      </c>
      <c r="AM122" s="88">
        <v>44000</v>
      </c>
      <c r="AV122" t="s">
        <v>9921</v>
      </c>
      <c r="AW122" s="88">
        <v>44000</v>
      </c>
    </row>
    <row r="123" spans="38:49">
      <c r="AL123" t="s">
        <v>9912</v>
      </c>
      <c r="AM123" s="88">
        <v>38500</v>
      </c>
      <c r="AV123" t="s">
        <v>9912</v>
      </c>
      <c r="AW123" s="88">
        <v>38500</v>
      </c>
    </row>
    <row r="124" spans="38:49">
      <c r="AL124" t="s">
        <v>8176</v>
      </c>
      <c r="AM124" s="88">
        <v>33000</v>
      </c>
      <c r="AV124" t="s">
        <v>8176</v>
      </c>
      <c r="AW124" s="88">
        <v>33000</v>
      </c>
    </row>
    <row r="125" spans="38:49">
      <c r="AL125" t="s">
        <v>7662</v>
      </c>
      <c r="AM125" s="88">
        <v>41000</v>
      </c>
      <c r="AV125" t="s">
        <v>7662</v>
      </c>
      <c r="AW125" s="88">
        <v>41000</v>
      </c>
    </row>
    <row r="126" spans="38:49">
      <c r="AL126" t="s">
        <v>9352</v>
      </c>
      <c r="AM126" s="88">
        <v>44000</v>
      </c>
      <c r="AV126" t="s">
        <v>9352</v>
      </c>
      <c r="AW126" s="88">
        <v>44000</v>
      </c>
    </row>
    <row r="127" spans="38:49">
      <c r="AL127" t="s">
        <v>10099</v>
      </c>
      <c r="AM127" s="88">
        <v>33000</v>
      </c>
      <c r="AV127" t="s">
        <v>10099</v>
      </c>
      <c r="AW127" s="88">
        <v>33000</v>
      </c>
    </row>
    <row r="128" spans="38:49">
      <c r="AL128" t="s">
        <v>7113</v>
      </c>
      <c r="AM128" s="88">
        <v>33000</v>
      </c>
      <c r="AV128" t="s">
        <v>7113</v>
      </c>
      <c r="AW128" s="88">
        <v>33000</v>
      </c>
    </row>
    <row r="129" spans="38:49">
      <c r="AL129" t="s">
        <v>7126</v>
      </c>
      <c r="AM129" s="88">
        <v>33000</v>
      </c>
      <c r="AV129" t="s">
        <v>7126</v>
      </c>
      <c r="AW129" s="88">
        <v>33000</v>
      </c>
    </row>
    <row r="130" spans="38:49">
      <c r="AL130" t="s">
        <v>7188</v>
      </c>
      <c r="AM130" s="88">
        <v>33000</v>
      </c>
      <c r="AV130" t="s">
        <v>7188</v>
      </c>
      <c r="AW130" s="88">
        <v>33000</v>
      </c>
    </row>
    <row r="131" spans="38:49">
      <c r="AL131" t="s">
        <v>7117</v>
      </c>
      <c r="AM131" s="88">
        <v>33000</v>
      </c>
      <c r="AV131" t="s">
        <v>7117</v>
      </c>
      <c r="AW131" s="88">
        <v>33000</v>
      </c>
    </row>
    <row r="132" spans="38:49">
      <c r="AL132" t="s">
        <v>7135</v>
      </c>
      <c r="AM132" s="88">
        <v>33000</v>
      </c>
      <c r="AV132" t="s">
        <v>7135</v>
      </c>
      <c r="AW132" s="88">
        <v>33000</v>
      </c>
    </row>
    <row r="133" spans="38:49">
      <c r="AL133" t="s">
        <v>7122</v>
      </c>
      <c r="AM133" s="88">
        <v>33000</v>
      </c>
      <c r="AV133" t="s">
        <v>7122</v>
      </c>
      <c r="AW133" s="88">
        <v>33000</v>
      </c>
    </row>
    <row r="134" spans="38:49">
      <c r="AL134" t="s">
        <v>8299</v>
      </c>
      <c r="AM134" s="88">
        <v>38500</v>
      </c>
      <c r="AV134" t="s">
        <v>8299</v>
      </c>
      <c r="AW134" s="88">
        <v>38500</v>
      </c>
    </row>
    <row r="135" spans="38:49">
      <c r="AL135" t="s">
        <v>9304</v>
      </c>
      <c r="AM135" s="88">
        <v>66000</v>
      </c>
      <c r="AV135" t="s">
        <v>9304</v>
      </c>
      <c r="AW135" s="88">
        <v>66000</v>
      </c>
    </row>
    <row r="136" spans="38:49">
      <c r="AL136" t="s">
        <v>8694</v>
      </c>
      <c r="AM136" s="88">
        <v>35000</v>
      </c>
      <c r="AV136" t="s">
        <v>8694</v>
      </c>
      <c r="AW136" s="88">
        <v>35000</v>
      </c>
    </row>
    <row r="137" spans="38:49">
      <c r="AL137" t="s">
        <v>7125</v>
      </c>
      <c r="AM137" s="88">
        <v>55000</v>
      </c>
      <c r="AV137" t="s">
        <v>7125</v>
      </c>
      <c r="AW137" s="88">
        <v>55000</v>
      </c>
    </row>
    <row r="138" spans="38:49">
      <c r="AL138" t="s">
        <v>8191</v>
      </c>
      <c r="AM138" s="88">
        <v>38500</v>
      </c>
      <c r="AV138" t="s">
        <v>8191</v>
      </c>
      <c r="AW138" s="88">
        <v>38500</v>
      </c>
    </row>
    <row r="139" spans="38:49">
      <c r="AL139" t="s">
        <v>7129</v>
      </c>
      <c r="AM139" s="88">
        <v>33000</v>
      </c>
      <c r="AV139" t="s">
        <v>7129</v>
      </c>
      <c r="AW139" s="88">
        <v>33000</v>
      </c>
    </row>
    <row r="140" spans="38:49">
      <c r="AL140" t="s">
        <v>7134</v>
      </c>
      <c r="AM140" s="88">
        <v>33000</v>
      </c>
      <c r="AV140" t="s">
        <v>7134</v>
      </c>
      <c r="AW140" s="88">
        <v>33000</v>
      </c>
    </row>
    <row r="141" spans="38:49">
      <c r="AL141" t="s">
        <v>7139</v>
      </c>
      <c r="AM141" s="88">
        <v>44000</v>
      </c>
      <c r="AV141" t="s">
        <v>7139</v>
      </c>
      <c r="AW141" s="88">
        <v>44000</v>
      </c>
    </row>
    <row r="142" spans="38:49">
      <c r="AL142" t="s">
        <v>7143</v>
      </c>
      <c r="AM142" s="88">
        <v>33000</v>
      </c>
      <c r="AV142" t="s">
        <v>7143</v>
      </c>
      <c r="AW142" s="88">
        <v>33000</v>
      </c>
    </row>
    <row r="143" spans="38:49">
      <c r="AL143" t="s">
        <v>7506</v>
      </c>
      <c r="AM143" s="88">
        <v>38500</v>
      </c>
      <c r="AV143" t="s">
        <v>7506</v>
      </c>
      <c r="AW143" s="88">
        <v>38500</v>
      </c>
    </row>
    <row r="144" spans="38:49">
      <c r="AL144" t="s">
        <v>9576</v>
      </c>
      <c r="AM144" s="88">
        <v>38500</v>
      </c>
      <c r="AV144" t="s">
        <v>9576</v>
      </c>
      <c r="AW144" s="88">
        <v>38500</v>
      </c>
    </row>
    <row r="145" spans="38:49">
      <c r="AL145" t="s">
        <v>8076</v>
      </c>
      <c r="AM145" s="88">
        <v>44000</v>
      </c>
      <c r="AV145" t="s">
        <v>8076</v>
      </c>
      <c r="AW145" s="88">
        <v>44000</v>
      </c>
    </row>
    <row r="146" spans="38:49">
      <c r="AL146" t="s">
        <v>8271</v>
      </c>
      <c r="AM146" s="88">
        <v>44000</v>
      </c>
      <c r="AV146" t="s">
        <v>8271</v>
      </c>
      <c r="AW146" s="88">
        <v>44000</v>
      </c>
    </row>
    <row r="147" spans="38:49">
      <c r="AL147" t="s">
        <v>7189</v>
      </c>
      <c r="AM147" s="88">
        <v>42350</v>
      </c>
      <c r="AV147" t="s">
        <v>7189</v>
      </c>
      <c r="AW147" s="88">
        <v>42350</v>
      </c>
    </row>
    <row r="148" spans="38:49">
      <c r="AL148" t="s">
        <v>7149</v>
      </c>
      <c r="AM148" s="88">
        <v>49500</v>
      </c>
      <c r="AV148" t="s">
        <v>7149</v>
      </c>
      <c r="AW148" s="88">
        <v>49500</v>
      </c>
    </row>
    <row r="149" spans="38:49">
      <c r="AL149" t="s">
        <v>8692</v>
      </c>
      <c r="AM149" s="88">
        <v>38500</v>
      </c>
      <c r="AV149" t="s">
        <v>8692</v>
      </c>
      <c r="AW149" s="88">
        <v>38500</v>
      </c>
    </row>
    <row r="150" spans="38:49">
      <c r="AL150" t="s">
        <v>8695</v>
      </c>
      <c r="AM150" s="88">
        <v>38500</v>
      </c>
      <c r="AV150" t="s">
        <v>8695</v>
      </c>
      <c r="AW150" s="88">
        <v>38500</v>
      </c>
    </row>
    <row r="151" spans="38:49">
      <c r="AL151" t="s">
        <v>7964</v>
      </c>
      <c r="AM151" s="88">
        <v>38500</v>
      </c>
      <c r="AV151" t="s">
        <v>7964</v>
      </c>
      <c r="AW151" s="88">
        <v>38500</v>
      </c>
    </row>
    <row r="152" spans="38:49">
      <c r="AL152" t="s">
        <v>7153</v>
      </c>
      <c r="AM152" s="88">
        <v>33000</v>
      </c>
      <c r="AV152" t="s">
        <v>7153</v>
      </c>
      <c r="AW152" s="88">
        <v>33000</v>
      </c>
    </row>
    <row r="153" spans="38:49">
      <c r="AL153" t="s">
        <v>7190</v>
      </c>
      <c r="AM153" s="88">
        <v>33000</v>
      </c>
      <c r="AV153" t="s">
        <v>7190</v>
      </c>
      <c r="AW153" s="88">
        <v>33000</v>
      </c>
    </row>
    <row r="154" spans="38:49">
      <c r="AL154" t="s">
        <v>7156</v>
      </c>
      <c r="AM154" s="88">
        <v>33000</v>
      </c>
      <c r="AV154" t="s">
        <v>7156</v>
      </c>
      <c r="AW154" s="88">
        <v>33000</v>
      </c>
    </row>
    <row r="155" spans="38:49">
      <c r="AL155" t="s">
        <v>9322</v>
      </c>
      <c r="AM155" s="88">
        <v>55000</v>
      </c>
      <c r="AV155" t="s">
        <v>9322</v>
      </c>
      <c r="AW155" s="88">
        <v>55000</v>
      </c>
    </row>
    <row r="156" spans="38:49">
      <c r="AL156" t="s">
        <v>7183</v>
      </c>
      <c r="AM156" s="88">
        <v>38500</v>
      </c>
      <c r="AV156" t="s">
        <v>7183</v>
      </c>
      <c r="AW156" s="88">
        <v>38500</v>
      </c>
    </row>
    <row r="157" spans="38:49">
      <c r="AL157" t="s">
        <v>8157</v>
      </c>
      <c r="AM157" s="88">
        <v>38500</v>
      </c>
      <c r="AV157" t="s">
        <v>8157</v>
      </c>
      <c r="AW157" s="88">
        <v>38500</v>
      </c>
    </row>
    <row r="158" spans="38:49">
      <c r="AL158" t="s">
        <v>8175</v>
      </c>
      <c r="AM158" s="88">
        <v>33000</v>
      </c>
      <c r="AV158" t="s">
        <v>8175</v>
      </c>
      <c r="AW158" s="88">
        <v>33000</v>
      </c>
    </row>
    <row r="159" spans="38:49">
      <c r="AL159" t="s">
        <v>930</v>
      </c>
      <c r="AM159" s="88">
        <v>44000</v>
      </c>
      <c r="AV159" t="s">
        <v>930</v>
      </c>
      <c r="AW159" s="88">
        <v>44000</v>
      </c>
    </row>
    <row r="160" spans="38:49">
      <c r="AL160" t="s">
        <v>2308</v>
      </c>
      <c r="AM160" s="88">
        <v>44000</v>
      </c>
      <c r="AV160" t="s">
        <v>2308</v>
      </c>
      <c r="AW160" s="88">
        <v>44000</v>
      </c>
    </row>
    <row r="161" spans="38:49">
      <c r="AL161" t="s">
        <v>7192</v>
      </c>
      <c r="AM161" s="88">
        <v>38500</v>
      </c>
      <c r="AV161" t="s">
        <v>7192</v>
      </c>
      <c r="AW161" s="88">
        <v>38500</v>
      </c>
    </row>
    <row r="162" spans="38:49">
      <c r="AL162" t="s">
        <v>7161</v>
      </c>
      <c r="AM162" s="88">
        <v>33000</v>
      </c>
      <c r="AV162" t="s">
        <v>7161</v>
      </c>
      <c r="AW162" s="88">
        <v>33000</v>
      </c>
    </row>
    <row r="163" spans="38:49">
      <c r="AL163" t="s">
        <v>9012</v>
      </c>
      <c r="AM163" s="88">
        <v>38500</v>
      </c>
      <c r="AV163" t="s">
        <v>9012</v>
      </c>
      <c r="AW163" s="88">
        <v>38500</v>
      </c>
    </row>
    <row r="164" spans="38:49">
      <c r="AL164" t="s">
        <v>8693</v>
      </c>
      <c r="AM164" s="88">
        <v>38500</v>
      </c>
      <c r="AV164" t="s">
        <v>8693</v>
      </c>
      <c r="AW164" s="88">
        <v>38500</v>
      </c>
    </row>
    <row r="165" spans="38:49">
      <c r="AL165" t="s">
        <v>7194</v>
      </c>
      <c r="AM165" s="88">
        <v>33000</v>
      </c>
      <c r="AV165" t="s">
        <v>7194</v>
      </c>
      <c r="AW165" s="88">
        <v>33000</v>
      </c>
    </row>
    <row r="166" spans="38:49">
      <c r="AL166" t="s">
        <v>7174</v>
      </c>
      <c r="AM166" s="88">
        <v>38500</v>
      </c>
      <c r="AV166" t="s">
        <v>7174</v>
      </c>
      <c r="AW166" s="88">
        <v>38500</v>
      </c>
    </row>
    <row r="167" spans="38:49">
      <c r="AL167" t="s">
        <v>9551</v>
      </c>
      <c r="AM167" s="88">
        <v>44000</v>
      </c>
      <c r="AV167" t="s">
        <v>9551</v>
      </c>
      <c r="AW167" s="88">
        <v>44000</v>
      </c>
    </row>
    <row r="168" spans="38:49">
      <c r="AL168" t="s">
        <v>7178</v>
      </c>
      <c r="AM168" s="88">
        <v>44000</v>
      </c>
      <c r="AV168" t="s">
        <v>7178</v>
      </c>
      <c r="AW168" s="88">
        <v>44000</v>
      </c>
    </row>
    <row r="169" spans="38:49">
      <c r="AL169" t="s">
        <v>8758</v>
      </c>
      <c r="AM169" s="88">
        <v>55000</v>
      </c>
      <c r="AV169" t="s">
        <v>8758</v>
      </c>
      <c r="AW169" s="88">
        <v>55000</v>
      </c>
    </row>
    <row r="170" spans="38:49">
      <c r="AL170" t="s">
        <v>7745</v>
      </c>
      <c r="AM170" s="88">
        <v>33000</v>
      </c>
      <c r="AV170" t="s">
        <v>7745</v>
      </c>
      <c r="AW170" s="88">
        <v>33000</v>
      </c>
    </row>
    <row r="171" spans="38:49">
      <c r="AL171" t="s">
        <v>7181</v>
      </c>
      <c r="AM171" s="88">
        <v>44000</v>
      </c>
      <c r="AV171" t="s">
        <v>7181</v>
      </c>
      <c r="AW171" s="88">
        <v>44000</v>
      </c>
    </row>
    <row r="172" spans="38:49">
      <c r="AL172" t="s">
        <v>7191</v>
      </c>
      <c r="AM172" s="88">
        <v>33000</v>
      </c>
      <c r="AV172" t="s">
        <v>7191</v>
      </c>
      <c r="AW172" s="88">
        <v>33000</v>
      </c>
    </row>
    <row r="173" spans="38:49">
      <c r="AL173" t="s">
        <v>7180</v>
      </c>
      <c r="AM173" s="88">
        <v>33000</v>
      </c>
      <c r="AV173" t="s">
        <v>7180</v>
      </c>
      <c r="AW173" s="88">
        <v>33000</v>
      </c>
    </row>
    <row r="174" spans="38:49">
      <c r="AL174" t="s">
        <v>7187</v>
      </c>
      <c r="AM174" s="88">
        <v>33000</v>
      </c>
      <c r="AV174" t="s">
        <v>7187</v>
      </c>
      <c r="AW174" s="88">
        <v>33000</v>
      </c>
    </row>
    <row r="175" spans="38:49">
      <c r="AL175" t="s">
        <v>7100</v>
      </c>
      <c r="AM175" s="88">
        <v>38500</v>
      </c>
      <c r="AV175" t="s">
        <v>7100</v>
      </c>
      <c r="AW175" s="88">
        <v>38500</v>
      </c>
    </row>
    <row r="176" spans="38:49">
      <c r="AL176" t="s">
        <v>7103</v>
      </c>
      <c r="AM176" s="88">
        <v>44000</v>
      </c>
      <c r="AV176" t="s">
        <v>7103</v>
      </c>
      <c r="AW176" s="88">
        <v>44000</v>
      </c>
    </row>
    <row r="177" spans="38:49">
      <c r="AL177" t="s">
        <v>7106</v>
      </c>
      <c r="AM177" s="88">
        <v>63800</v>
      </c>
      <c r="AV177" t="s">
        <v>7106</v>
      </c>
      <c r="AW177" s="88">
        <v>63800</v>
      </c>
    </row>
    <row r="178" spans="38:49">
      <c r="AL178" t="s">
        <v>8424</v>
      </c>
      <c r="AM178" s="88">
        <v>33000</v>
      </c>
      <c r="AV178" t="s">
        <v>8424</v>
      </c>
      <c r="AW178" s="88">
        <v>33000</v>
      </c>
    </row>
    <row r="179" spans="38:49">
      <c r="AL179" t="s">
        <v>7110</v>
      </c>
      <c r="AM179" s="88">
        <v>44000</v>
      </c>
      <c r="AV179" t="s">
        <v>7110</v>
      </c>
      <c r="AW179" s="88">
        <v>44000</v>
      </c>
    </row>
    <row r="180" spans="38:49">
      <c r="AL180" t="s">
        <v>7108</v>
      </c>
      <c r="AM180" s="88">
        <v>44000</v>
      </c>
      <c r="AV180" t="s">
        <v>7108</v>
      </c>
      <c r="AW180" s="88">
        <v>44000</v>
      </c>
    </row>
    <row r="181" spans="38:49">
      <c r="AL181" t="s">
        <v>7185</v>
      </c>
      <c r="AM181" s="88">
        <v>33000</v>
      </c>
      <c r="AV181" t="s">
        <v>7185</v>
      </c>
      <c r="AW181" s="88">
        <v>33000</v>
      </c>
    </row>
    <row r="182" spans="38:49">
      <c r="AL182" t="s">
        <v>10001</v>
      </c>
      <c r="AM182" s="88">
        <v>44000</v>
      </c>
      <c r="AV182" t="s">
        <v>10001</v>
      </c>
      <c r="AW182" s="88">
        <v>44000</v>
      </c>
    </row>
    <row r="183" spans="38:49">
      <c r="AL183" t="s">
        <v>10002</v>
      </c>
      <c r="AM183" s="88">
        <v>44000</v>
      </c>
      <c r="AV183" t="s">
        <v>10002</v>
      </c>
      <c r="AW183" s="88">
        <v>44000</v>
      </c>
    </row>
    <row r="184" spans="38:49">
      <c r="AL184" t="s">
        <v>7112</v>
      </c>
      <c r="AM184" s="88">
        <v>44000</v>
      </c>
      <c r="AV184" t="s">
        <v>7112</v>
      </c>
      <c r="AW184" s="88">
        <v>44000</v>
      </c>
    </row>
    <row r="185" spans="38:49">
      <c r="AL185" t="s">
        <v>7193</v>
      </c>
      <c r="AM185" s="88">
        <v>33000</v>
      </c>
      <c r="AV185" t="s">
        <v>7193</v>
      </c>
      <c r="AW185" s="88">
        <v>33000</v>
      </c>
    </row>
    <row r="186" spans="38:49">
      <c r="AL186" t="s">
        <v>8423</v>
      </c>
      <c r="AM186" s="88">
        <v>33000</v>
      </c>
      <c r="AV186" t="s">
        <v>8423</v>
      </c>
      <c r="AW186" s="88">
        <v>33000</v>
      </c>
    </row>
    <row r="187" spans="38:49">
      <c r="AL187" t="s">
        <v>8422</v>
      </c>
      <c r="AM187" s="88">
        <v>33000</v>
      </c>
      <c r="AV187" t="s">
        <v>8422</v>
      </c>
      <c r="AW187" s="88">
        <v>33000</v>
      </c>
    </row>
    <row r="188" spans="38:49">
      <c r="AL188" t="s">
        <v>7160</v>
      </c>
      <c r="AM188" s="88">
        <v>33000</v>
      </c>
      <c r="AV188" t="s">
        <v>7160</v>
      </c>
      <c r="AW188" s="88">
        <v>33000</v>
      </c>
    </row>
    <row r="189" spans="38:49">
      <c r="AL189" t="s">
        <v>7177</v>
      </c>
      <c r="AM189" s="88">
        <v>33000</v>
      </c>
      <c r="AV189" t="s">
        <v>7177</v>
      </c>
      <c r="AW189" s="88">
        <v>33000</v>
      </c>
    </row>
    <row r="190" spans="38:49">
      <c r="AL190" t="s">
        <v>10003</v>
      </c>
      <c r="AM190" s="88">
        <v>33000</v>
      </c>
      <c r="AV190" t="s">
        <v>10003</v>
      </c>
      <c r="AW190" s="88">
        <v>33000</v>
      </c>
    </row>
    <row r="191" spans="38:49">
      <c r="AL191" t="s">
        <v>10004</v>
      </c>
      <c r="AM191" s="88">
        <v>44000</v>
      </c>
      <c r="AV191" t="s">
        <v>10004</v>
      </c>
      <c r="AW191" s="88">
        <v>44000</v>
      </c>
    </row>
    <row r="192" spans="38:49">
      <c r="AL192" t="s">
        <v>8425</v>
      </c>
      <c r="AM192" s="88">
        <v>33000</v>
      </c>
      <c r="AV192" t="s">
        <v>8425</v>
      </c>
      <c r="AW192" s="88">
        <v>33000</v>
      </c>
    </row>
    <row r="193" spans="38:49">
      <c r="AL193" t="s">
        <v>7202</v>
      </c>
      <c r="AM193" s="88">
        <v>44000</v>
      </c>
      <c r="AV193" t="s">
        <v>7202</v>
      </c>
      <c r="AW193" s="88">
        <v>44000</v>
      </c>
    </row>
    <row r="194" spans="38:49">
      <c r="AL194" t="s">
        <v>7201</v>
      </c>
      <c r="AM194" s="88">
        <v>44000</v>
      </c>
      <c r="AV194" t="s">
        <v>7201</v>
      </c>
      <c r="AW194" s="88">
        <v>44000</v>
      </c>
    </row>
    <row r="195" spans="38:49">
      <c r="AL195" t="s">
        <v>7116</v>
      </c>
      <c r="AM195" s="88">
        <v>44000</v>
      </c>
      <c r="AV195" t="s">
        <v>7116</v>
      </c>
      <c r="AW195" s="88">
        <v>44000</v>
      </c>
    </row>
    <row r="196" spans="38:49">
      <c r="AL196" t="s">
        <v>10005</v>
      </c>
      <c r="AM196" s="88">
        <v>44000</v>
      </c>
      <c r="AV196" t="s">
        <v>10005</v>
      </c>
      <c r="AW196" s="88">
        <v>44000</v>
      </c>
    </row>
    <row r="197" spans="38:49">
      <c r="AL197" t="s">
        <v>8427</v>
      </c>
      <c r="AM197" s="88">
        <v>33000</v>
      </c>
      <c r="AV197" t="s">
        <v>8427</v>
      </c>
      <c r="AW197" s="88">
        <v>33000</v>
      </c>
    </row>
    <row r="198" spans="38:49">
      <c r="AL198" t="s">
        <v>7133</v>
      </c>
      <c r="AM198" s="88">
        <v>55000</v>
      </c>
      <c r="AV198" t="s">
        <v>7133</v>
      </c>
      <c r="AW198" s="88">
        <v>55000</v>
      </c>
    </row>
    <row r="199" spans="38:49">
      <c r="AL199" t="s">
        <v>7195</v>
      </c>
      <c r="AM199" s="88">
        <v>33000</v>
      </c>
      <c r="AV199" t="s">
        <v>7195</v>
      </c>
      <c r="AW199" s="88">
        <v>33000</v>
      </c>
    </row>
    <row r="200" spans="38:49">
      <c r="AL200" t="s">
        <v>7200</v>
      </c>
      <c r="AM200" s="88">
        <v>33000</v>
      </c>
      <c r="AV200" t="s">
        <v>7200</v>
      </c>
      <c r="AW200" s="88">
        <v>33000</v>
      </c>
    </row>
    <row r="201" spans="38:49">
      <c r="AL201" t="s">
        <v>7196</v>
      </c>
      <c r="AM201" s="88">
        <v>33000</v>
      </c>
      <c r="AV201" t="s">
        <v>7196</v>
      </c>
      <c r="AW201" s="88">
        <v>33000</v>
      </c>
    </row>
    <row r="202" spans="38:49">
      <c r="AL202" t="s">
        <v>7152</v>
      </c>
      <c r="AM202" s="88">
        <v>44000</v>
      </c>
      <c r="AV202" t="s">
        <v>7152</v>
      </c>
      <c r="AW202" s="88">
        <v>44000</v>
      </c>
    </row>
    <row r="203" spans="38:49">
      <c r="AL203" t="s">
        <v>7203</v>
      </c>
      <c r="AM203" s="88">
        <v>44000</v>
      </c>
      <c r="AV203" t="s">
        <v>7203</v>
      </c>
      <c r="AW203" s="88">
        <v>44000</v>
      </c>
    </row>
    <row r="204" spans="38:49">
      <c r="AL204" t="s">
        <v>8579</v>
      </c>
      <c r="AM204" s="88">
        <v>44000</v>
      </c>
      <c r="AV204" t="s">
        <v>8579</v>
      </c>
      <c r="AW204" s="88">
        <v>44000</v>
      </c>
    </row>
    <row r="205" spans="38:49">
      <c r="AL205" t="s">
        <v>7167</v>
      </c>
      <c r="AM205" s="88">
        <v>33000</v>
      </c>
      <c r="AV205" t="s">
        <v>7167</v>
      </c>
      <c r="AW205" s="88">
        <v>33000</v>
      </c>
    </row>
    <row r="206" spans="38:49">
      <c r="AL206" t="s">
        <v>8580</v>
      </c>
      <c r="AM206" s="88">
        <v>44000</v>
      </c>
      <c r="AV206" t="s">
        <v>8580</v>
      </c>
      <c r="AW206" s="88">
        <v>44000</v>
      </c>
    </row>
    <row r="207" spans="38:49">
      <c r="AL207" t="s">
        <v>7138</v>
      </c>
      <c r="AM207" s="88">
        <v>44000</v>
      </c>
      <c r="AV207" t="s">
        <v>7138</v>
      </c>
      <c r="AW207" s="88">
        <v>44000</v>
      </c>
    </row>
    <row r="208" spans="38:49">
      <c r="AL208" t="s">
        <v>8426</v>
      </c>
      <c r="AM208" s="88">
        <v>33000</v>
      </c>
      <c r="AV208" t="s">
        <v>8426</v>
      </c>
      <c r="AW208" s="88">
        <v>33000</v>
      </c>
    </row>
    <row r="209" spans="38:49">
      <c r="AL209" t="s">
        <v>8428</v>
      </c>
      <c r="AM209" s="88">
        <v>38500</v>
      </c>
      <c r="AV209" t="s">
        <v>8428</v>
      </c>
      <c r="AW209" s="88">
        <v>38500</v>
      </c>
    </row>
    <row r="210" spans="38:49">
      <c r="AL210" t="s">
        <v>7173</v>
      </c>
      <c r="AM210" s="88">
        <v>33000</v>
      </c>
      <c r="AV210" t="s">
        <v>7173</v>
      </c>
      <c r="AW210" s="88">
        <v>33000</v>
      </c>
    </row>
    <row r="211" spans="38:49">
      <c r="AL211" t="s">
        <v>8421</v>
      </c>
      <c r="AM211" s="88">
        <v>44000</v>
      </c>
      <c r="AV211" t="s">
        <v>8421</v>
      </c>
      <c r="AW211" s="88">
        <v>44000</v>
      </c>
    </row>
    <row r="212" spans="38:49">
      <c r="AL212" t="s">
        <v>10006</v>
      </c>
      <c r="AM212" s="88">
        <v>66000</v>
      </c>
      <c r="AV212" t="s">
        <v>10006</v>
      </c>
      <c r="AW212" s="88">
        <v>66000</v>
      </c>
    </row>
    <row r="213" spans="38:49">
      <c r="AL213" t="s">
        <v>10007</v>
      </c>
      <c r="AM213" s="88">
        <v>44000</v>
      </c>
      <c r="AV213" t="s">
        <v>10007</v>
      </c>
      <c r="AW213" s="88">
        <v>44000</v>
      </c>
    </row>
    <row r="214" spans="38:49">
      <c r="AL214" t="s">
        <v>7197</v>
      </c>
      <c r="AM214" s="88">
        <v>38500</v>
      </c>
      <c r="AV214" t="s">
        <v>7197</v>
      </c>
      <c r="AW214" s="88">
        <v>38500</v>
      </c>
    </row>
    <row r="215" spans="38:49">
      <c r="AL215" t="s">
        <v>8779</v>
      </c>
      <c r="AM215" s="88">
        <v>38500</v>
      </c>
      <c r="AV215" t="s">
        <v>8779</v>
      </c>
      <c r="AW215" s="88">
        <v>38500</v>
      </c>
    </row>
    <row r="216" spans="38:49">
      <c r="AL216" t="s">
        <v>8778</v>
      </c>
      <c r="AM216" s="88">
        <v>66000</v>
      </c>
      <c r="AV216" t="s">
        <v>8778</v>
      </c>
      <c r="AW216" s="88">
        <v>66000</v>
      </c>
    </row>
    <row r="217" spans="38:49">
      <c r="AL217" t="s">
        <v>7199</v>
      </c>
      <c r="AM217" s="88">
        <v>33000</v>
      </c>
      <c r="AV217" t="s">
        <v>7199</v>
      </c>
      <c r="AW217" s="88">
        <v>33000</v>
      </c>
    </row>
    <row r="218" spans="38:49">
      <c r="AL218" t="s">
        <v>8761</v>
      </c>
      <c r="AM218" s="88">
        <v>38500</v>
      </c>
      <c r="AV218" t="s">
        <v>8761</v>
      </c>
      <c r="AW218" s="88">
        <v>38500</v>
      </c>
    </row>
    <row r="219" spans="38:49">
      <c r="AL219" t="s">
        <v>8420</v>
      </c>
      <c r="AM219" s="88">
        <v>44000</v>
      </c>
      <c r="AV219" t="s">
        <v>8420</v>
      </c>
      <c r="AW219" s="88">
        <v>44000</v>
      </c>
    </row>
    <row r="220" spans="38:49">
      <c r="AL220" t="s">
        <v>7171</v>
      </c>
      <c r="AM220" s="88">
        <v>33000</v>
      </c>
      <c r="AV220" t="s">
        <v>7171</v>
      </c>
      <c r="AW220" s="88">
        <v>33000</v>
      </c>
    </row>
    <row r="221" spans="38:49">
      <c r="AL221" t="s">
        <v>7118</v>
      </c>
      <c r="AM221" s="88">
        <v>38500</v>
      </c>
      <c r="AV221" t="s">
        <v>7118</v>
      </c>
      <c r="AW221" s="88">
        <v>38500</v>
      </c>
    </row>
    <row r="222" spans="38:49">
      <c r="AL222" t="s">
        <v>9087</v>
      </c>
      <c r="AM222" s="88">
        <v>47300</v>
      </c>
      <c r="AV222" t="s">
        <v>9087</v>
      </c>
      <c r="AW222" s="88">
        <v>47300</v>
      </c>
    </row>
  </sheetData>
  <sheetProtection algorithmName="SHA-512" hashValue="Shu4YBUtepmxmr0wfT6Li7K1QDqw7KDlLCYGVVoCYpCSmE2HGDdijtAUDlpJf5m+0Xi5K7xY3Y9GbUv4D2BtwA==" saltValue="isNq8Qi7fbqcj7XX0ETMjQ==" spinCount="100000" sheet="1" objects="1" scenarios="1" formatRows="0" insertRows="0" deleteRows="0"/>
  <phoneticPr fontId="2" type="noConversion"/>
  <hyperlinks>
    <hyperlink ref="A3" location="GROUPS!C2" display="Bec" xr:uid="{1174610C-F9B0-430F-B8B4-7B9BBB757147}"/>
    <hyperlink ref="A4" location="GROUPS!H2" display="Layal" xr:uid="{D6748B3F-A9E6-4AF0-9193-66829AD4DF18}"/>
    <hyperlink ref="A5" location="GROUPS!M2" display="Simone" xr:uid="{F807A23A-64F9-4E3A-A358-25AD7ED75C63}"/>
    <hyperlink ref="A6" location="GROUPS!R2" display="Sunishma" xr:uid="{95CD0921-A18B-4F8D-B477-E2C897607CD8}"/>
    <hyperlink ref="A7" location="GROUPS!W2" display="Josh" xr:uid="{8C0A2C17-683B-4F9A-AE84-CAC892D5C76A}"/>
    <hyperlink ref="A8" location="GROUPS!AB2" display="Peter" xr:uid="{657E040C-DB31-48F8-AFC1-26EDF8B23A00}"/>
    <hyperlink ref="A9" location="GROUPS!AG2" display="William" xr:uid="{1C1E9EE9-E933-4661-A892-E1C8905AE22A}"/>
    <hyperlink ref="A10" location="GROUPS!AL2" display="Vattey" xr:uid="{9C0A58D3-8837-443C-B754-6B9110849B71}"/>
  </hyperlinks>
  <pageMargins left="0.25" right="0.25" top="0.75" bottom="0.75" header="0.3" footer="0.3"/>
  <pageSetup paperSize="9" scale="17" orientation="landscape" horizontalDpi="300" verticalDpi="300"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490D5-7949-4E14-987C-01FDD3D2F4BB}">
  <sheetPr codeName="Sheet5"/>
  <dimension ref="A1:AQ4903"/>
  <sheetViews>
    <sheetView zoomScale="85" zoomScaleNormal="85" workbookViewId="0">
      <pane xSplit="3" ySplit="10" topLeftCell="D3759" activePane="bottomRight" state="frozen"/>
      <selection pane="topRight" activeCell="D1" sqref="D1"/>
      <selection pane="bottomLeft" activeCell="A11" sqref="A11"/>
      <selection pane="bottomRight" activeCell="E3760" sqref="E3760"/>
    </sheetView>
  </sheetViews>
  <sheetFormatPr defaultRowHeight="15"/>
  <cols>
    <col min="1" max="1" width="37" bestFit="1" customWidth="1"/>
    <col min="2" max="2" width="11.5703125" bestFit="1" customWidth="1"/>
    <col min="3" max="3" width="23.42578125" bestFit="1" customWidth="1"/>
    <col min="4" max="4" width="38.42578125" customWidth="1"/>
    <col min="5" max="5" width="14.5703125" customWidth="1"/>
    <col min="6" max="6" width="27.5703125" customWidth="1"/>
    <col min="7" max="7" width="28" customWidth="1"/>
    <col min="8" max="8" width="17.42578125" customWidth="1"/>
    <col min="9" max="9" width="46.5703125" customWidth="1"/>
    <col min="10" max="36" width="17.42578125" customWidth="1"/>
    <col min="38" max="38" width="37" bestFit="1" customWidth="1"/>
    <col min="39" max="39" width="10.42578125" style="62" bestFit="1" customWidth="1"/>
    <col min="41" max="41" width="22.42578125" customWidth="1"/>
    <col min="42" max="42" width="8.5703125" bestFit="1" customWidth="1"/>
  </cols>
  <sheetData>
    <row r="1" spans="1:43" ht="87" customHeight="1">
      <c r="A1" s="48"/>
      <c r="B1" s="49"/>
      <c r="C1" s="48"/>
      <c r="D1" s="50"/>
      <c r="E1" s="50" t="s">
        <v>7498</v>
      </c>
      <c r="F1" s="48"/>
      <c r="G1" s="48" t="s">
        <v>7497</v>
      </c>
      <c r="H1" s="48"/>
      <c r="I1" s="48"/>
      <c r="J1" s="51" t="s">
        <v>7938</v>
      </c>
      <c r="K1" s="52">
        <v>880</v>
      </c>
      <c r="L1" s="53"/>
      <c r="M1" s="53"/>
      <c r="N1" s="53"/>
      <c r="O1" s="54" t="s">
        <v>308</v>
      </c>
      <c r="P1" s="55" t="s">
        <v>309</v>
      </c>
      <c r="Q1" s="56"/>
      <c r="R1" s="56"/>
      <c r="S1" s="56"/>
      <c r="T1" s="56"/>
      <c r="U1" s="56"/>
      <c r="V1" s="600" t="s">
        <v>310</v>
      </c>
      <c r="W1" s="600"/>
      <c r="X1" s="600" t="s">
        <v>311</v>
      </c>
      <c r="Y1" s="600"/>
      <c r="Z1" s="600" t="s">
        <v>312</v>
      </c>
      <c r="AA1" s="600"/>
      <c r="AB1" s="53"/>
      <c r="AC1" s="48"/>
      <c r="AD1" s="48"/>
      <c r="AE1" s="48"/>
      <c r="AF1" s="48"/>
      <c r="AG1" s="48"/>
      <c r="AH1" s="48"/>
      <c r="AI1" s="48"/>
      <c r="AJ1" s="48"/>
    </row>
    <row r="2" spans="1:43" ht="22.35" customHeight="1">
      <c r="B2" s="57"/>
      <c r="D2" s="58"/>
      <c r="E2" s="58"/>
      <c r="I2" s="48"/>
      <c r="J2" s="51" t="s">
        <v>10735</v>
      </c>
      <c r="K2" s="47">
        <v>880</v>
      </c>
      <c r="P2" s="59" t="s">
        <v>313</v>
      </c>
      <c r="Q2" s="59">
        <f>ROUNDUP(IF(((Q1-57-16)&gt;0),(SUM((Q8*57)+((Q1-57-11)*Q7))),(Q8*57)),-1)</f>
        <v>0</v>
      </c>
      <c r="R2" s="59">
        <f>ROUNDUP(IF(((R1-57-16)&gt;0),(SUM((R8*57)+((R1-57-11)*R7))),(R8*57)),-1)</f>
        <v>540</v>
      </c>
      <c r="S2" s="59">
        <f>ROUNDUP(IF(((S1-57-16)&gt;0),(SUM((S8*57)+((S1-57-11)*S7))),(S8*57)),-1)</f>
        <v>590</v>
      </c>
      <c r="T2" s="59">
        <v>780</v>
      </c>
      <c r="U2" s="59">
        <v>430</v>
      </c>
      <c r="V2" s="59">
        <v>114.88499999999999</v>
      </c>
      <c r="W2" s="60"/>
      <c r="X2" s="59">
        <v>150</v>
      </c>
      <c r="Y2" s="60"/>
      <c r="Z2" s="59">
        <v>150</v>
      </c>
      <c r="AA2" s="60"/>
    </row>
    <row r="3" spans="1:43" ht="31.35" customHeight="1">
      <c r="B3" s="57"/>
      <c r="D3" s="58"/>
      <c r="E3" s="58"/>
      <c r="I3" s="48"/>
      <c r="J3" s="46" t="s">
        <v>314</v>
      </c>
      <c r="K3" s="47">
        <v>2750</v>
      </c>
      <c r="P3" s="59"/>
      <c r="Q3" s="60"/>
      <c r="R3" s="60"/>
      <c r="S3" s="60"/>
      <c r="T3" s="60"/>
      <c r="U3" s="60"/>
      <c r="V3" s="59">
        <f>V2-$Q2</f>
        <v>114.88499999999999</v>
      </c>
      <c r="W3" s="60"/>
      <c r="X3" s="59">
        <f>X2*2.07</f>
        <v>310.5</v>
      </c>
      <c r="Y3" s="60"/>
      <c r="Z3" s="59">
        <f>Z2*2.07</f>
        <v>310.5</v>
      </c>
      <c r="AA3" s="60"/>
    </row>
    <row r="4" spans="1:43">
      <c r="B4" s="57"/>
      <c r="D4" s="58"/>
      <c r="E4" s="58"/>
      <c r="I4" s="48"/>
      <c r="J4" s="46" t="s">
        <v>315</v>
      </c>
      <c r="K4" s="47">
        <v>880</v>
      </c>
      <c r="P4" s="391" t="s">
        <v>10755</v>
      </c>
      <c r="Q4" s="392">
        <v>55</v>
      </c>
      <c r="R4" s="392">
        <v>61</v>
      </c>
      <c r="S4" s="392">
        <v>61</v>
      </c>
      <c r="T4" s="392">
        <v>63</v>
      </c>
      <c r="U4" s="392">
        <v>70</v>
      </c>
      <c r="X4" s="60">
        <f>$X$3-$Q7</f>
        <v>246.32999999999998</v>
      </c>
      <c r="Z4" s="60">
        <f>Z3-Q7</f>
        <v>246.32999999999998</v>
      </c>
    </row>
    <row r="5" spans="1:43">
      <c r="B5" s="57"/>
      <c r="D5" s="58"/>
      <c r="E5" s="58"/>
      <c r="I5" s="51"/>
      <c r="J5" t="s">
        <v>316</v>
      </c>
      <c r="K5" s="47">
        <v>2640</v>
      </c>
      <c r="P5" s="59"/>
      <c r="Q5" s="60"/>
      <c r="R5" s="60"/>
      <c r="S5" s="60"/>
      <c r="T5" s="60"/>
      <c r="U5" s="60"/>
      <c r="X5" s="177">
        <f>ROUNDUP(IF((($R$1-57-16)&gt;0),(SUM(($X$3*57)+(($R$1-57-11)*$R$7))),($X$4*57)),-1)</f>
        <v>14050</v>
      </c>
      <c r="Y5" t="s">
        <v>8216</v>
      </c>
      <c r="Z5" s="177">
        <f>ROUNDUP(IF((($R$1-57-16)&gt;0),(SUM(($X$3*57)+(($R$1-57-11)*$R$7))),($X$4*57)),-1)</f>
        <v>14050</v>
      </c>
      <c r="AA5" t="s">
        <v>8216</v>
      </c>
    </row>
    <row r="6" spans="1:43">
      <c r="I6" s="48"/>
      <c r="J6" t="s">
        <v>317</v>
      </c>
      <c r="K6" s="47">
        <v>1650</v>
      </c>
      <c r="L6" s="47"/>
      <c r="M6" s="47"/>
      <c r="N6" s="47"/>
      <c r="O6" s="47"/>
      <c r="P6" s="47"/>
      <c r="Q6" s="47"/>
      <c r="R6" s="59"/>
      <c r="S6" s="59"/>
      <c r="T6" s="59"/>
      <c r="U6" s="59"/>
      <c r="V6" s="47"/>
      <c r="W6" s="47"/>
      <c r="Y6" s="47"/>
      <c r="Z6" s="47"/>
      <c r="AA6" s="47"/>
      <c r="AB6" s="47"/>
      <c r="AC6" s="47"/>
      <c r="AD6" s="47"/>
      <c r="AE6" s="47"/>
      <c r="AF6" s="47"/>
      <c r="AG6" s="47"/>
      <c r="AH6" s="47"/>
      <c r="AI6" s="47"/>
      <c r="AJ6" s="47"/>
    </row>
    <row r="7" spans="1:43">
      <c r="A7" s="61"/>
      <c r="J7" s="47">
        <v>3740</v>
      </c>
      <c r="K7" s="47"/>
      <c r="L7" s="47">
        <v>1210</v>
      </c>
      <c r="M7" s="47">
        <v>1430.0000000000002</v>
      </c>
      <c r="N7" s="47">
        <v>2640</v>
      </c>
      <c r="O7" s="47">
        <v>4950</v>
      </c>
      <c r="P7" s="47">
        <v>8500</v>
      </c>
      <c r="Q7" s="59">
        <f>31*2.07</f>
        <v>64.17</v>
      </c>
      <c r="R7" s="59">
        <f>35.5*2.07</f>
        <v>73.484999999999999</v>
      </c>
      <c r="S7" s="59">
        <f>36*2.07</f>
        <v>74.52</v>
      </c>
      <c r="T7" s="59">
        <f>43*2.07</f>
        <v>89.009999999999991</v>
      </c>
      <c r="U7" s="59">
        <f>35.5*2.07</f>
        <v>73.484999999999999</v>
      </c>
      <c r="V7" s="47" t="s">
        <v>9631</v>
      </c>
      <c r="W7" s="47">
        <v>5990</v>
      </c>
      <c r="X7" s="47">
        <v>3000</v>
      </c>
      <c r="Y7" s="47">
        <v>660</v>
      </c>
      <c r="Z7" s="47">
        <v>4620</v>
      </c>
      <c r="AA7" s="47">
        <v>1400</v>
      </c>
      <c r="AB7" s="47">
        <v>2800</v>
      </c>
      <c r="AC7" s="47">
        <v>5200</v>
      </c>
      <c r="AD7" s="47" t="s">
        <v>9630</v>
      </c>
      <c r="AE7" s="47">
        <v>5000</v>
      </c>
      <c r="AF7" s="47">
        <v>1485</v>
      </c>
      <c r="AG7" s="47">
        <v>3300.0000000000005</v>
      </c>
      <c r="AH7" t="s">
        <v>7311</v>
      </c>
      <c r="AI7" s="47">
        <v>1650.0000000000002</v>
      </c>
      <c r="AJ7" s="47">
        <v>4400</v>
      </c>
    </row>
    <row r="8" spans="1:43">
      <c r="J8" s="62"/>
      <c r="K8" s="62"/>
      <c r="L8" s="62"/>
      <c r="M8" s="62"/>
      <c r="N8" s="62"/>
      <c r="O8" s="62"/>
      <c r="P8" s="62"/>
      <c r="Q8" s="59"/>
      <c r="R8" s="59">
        <f>R7-$Q7</f>
        <v>9.3149999999999977</v>
      </c>
      <c r="S8" s="59">
        <f>S7-$Q7</f>
        <v>10.349999999999994</v>
      </c>
      <c r="T8" s="59">
        <f>T7-$Q7</f>
        <v>24.839999999999989</v>
      </c>
      <c r="U8" s="59">
        <f>U7-$Q7</f>
        <v>9.3149999999999977</v>
      </c>
      <c r="V8" s="47"/>
      <c r="W8" s="47"/>
      <c r="X8" s="47"/>
      <c r="Y8" s="47"/>
      <c r="Z8" s="47"/>
      <c r="AA8" s="47"/>
      <c r="AB8" s="47"/>
      <c r="AC8" s="62"/>
      <c r="AD8" s="62"/>
      <c r="AE8" s="62"/>
      <c r="AF8" s="62"/>
      <c r="AG8" s="62"/>
    </row>
    <row r="9" spans="1:43">
      <c r="K9" s="59"/>
      <c r="L9" s="62" t="s">
        <v>318</v>
      </c>
      <c r="M9" s="62" t="s">
        <v>319</v>
      </c>
      <c r="Q9" s="601" t="s">
        <v>320</v>
      </c>
      <c r="R9" s="601"/>
      <c r="S9" s="601"/>
      <c r="T9" s="601"/>
      <c r="U9" s="601"/>
    </row>
    <row r="10" spans="1:43" ht="76.349999999999994" customHeight="1">
      <c r="A10" s="64" t="s">
        <v>321</v>
      </c>
      <c r="B10" s="64" t="s">
        <v>322</v>
      </c>
      <c r="C10" s="64" t="s">
        <v>323</v>
      </c>
      <c r="D10" s="65" t="s">
        <v>7303</v>
      </c>
      <c r="E10" s="65" t="s">
        <v>324</v>
      </c>
      <c r="F10" s="65" t="s">
        <v>7299</v>
      </c>
      <c r="G10" s="65" t="s">
        <v>7300</v>
      </c>
      <c r="H10" s="65" t="s">
        <v>7301</v>
      </c>
      <c r="I10" s="65" t="s">
        <v>7302</v>
      </c>
      <c r="J10" s="66" t="s">
        <v>8056</v>
      </c>
      <c r="K10" s="66" t="s">
        <v>329</v>
      </c>
      <c r="L10" s="66" t="s">
        <v>330</v>
      </c>
      <c r="M10" s="66" t="s">
        <v>331</v>
      </c>
      <c r="N10" s="66" t="s">
        <v>8086</v>
      </c>
      <c r="O10" s="66" t="s">
        <v>332</v>
      </c>
      <c r="P10" s="66" t="s">
        <v>333</v>
      </c>
      <c r="Q10" s="66" t="s">
        <v>334</v>
      </c>
      <c r="R10" s="66" t="s">
        <v>335</v>
      </c>
      <c r="S10" s="66" t="s">
        <v>336</v>
      </c>
      <c r="T10" s="66" t="s">
        <v>337</v>
      </c>
      <c r="U10" s="66" t="s">
        <v>338</v>
      </c>
      <c r="V10" s="66" t="s">
        <v>339</v>
      </c>
      <c r="W10" s="66" t="s">
        <v>340</v>
      </c>
      <c r="X10" s="66" t="s">
        <v>8217</v>
      </c>
      <c r="Y10" s="66" t="s">
        <v>341</v>
      </c>
      <c r="Z10" s="66" t="s">
        <v>342</v>
      </c>
      <c r="AA10" s="66" t="s">
        <v>343</v>
      </c>
      <c r="AB10" s="66" t="s">
        <v>344</v>
      </c>
      <c r="AC10" s="66" t="s">
        <v>8001</v>
      </c>
      <c r="AD10" s="66" t="s">
        <v>345</v>
      </c>
      <c r="AE10" s="66" t="s">
        <v>346</v>
      </c>
      <c r="AF10" s="66" t="s">
        <v>347</v>
      </c>
      <c r="AG10" s="66" t="s">
        <v>348</v>
      </c>
      <c r="AH10" s="66" t="s">
        <v>349</v>
      </c>
      <c r="AI10" s="66" t="s">
        <v>350</v>
      </c>
      <c r="AJ10" s="66" t="s">
        <v>351</v>
      </c>
      <c r="AL10" s="67" t="s">
        <v>7089</v>
      </c>
      <c r="AM10" s="79" t="s">
        <v>7308</v>
      </c>
      <c r="AO10" s="69" t="s">
        <v>306</v>
      </c>
      <c r="AP10" s="69" t="s">
        <v>307</v>
      </c>
      <c r="AQ10" s="69" t="s">
        <v>7626</v>
      </c>
    </row>
    <row r="11" spans="1:43" s="290" customFormat="1" ht="27" customHeight="1">
      <c r="A11" s="374" t="s">
        <v>427</v>
      </c>
      <c r="B11" s="374">
        <v>1</v>
      </c>
      <c r="C11" s="374" t="s">
        <v>428</v>
      </c>
      <c r="D11" s="375" t="str">
        <f t="shared" ref="D11:D98" si="0">CONCATENATE(A11,B11)</f>
        <v>105-111 Grices Road1</v>
      </c>
      <c r="E11" s="375" t="s">
        <v>429</v>
      </c>
      <c r="F11" s="375"/>
      <c r="G11" s="375" t="s">
        <v>430</v>
      </c>
      <c r="H11" s="375" t="s">
        <v>431</v>
      </c>
      <c r="I11" s="63" t="s">
        <v>432</v>
      </c>
      <c r="J11" s="47">
        <f>J$7</f>
        <v>3740</v>
      </c>
      <c r="K11" s="46" t="s">
        <v>10735</v>
      </c>
      <c r="L11" s="47"/>
      <c r="M11" s="47"/>
      <c r="N11" s="47"/>
      <c r="O11" s="47" t="s">
        <v>433</v>
      </c>
      <c r="P11" s="47" t="s">
        <v>434</v>
      </c>
      <c r="Q11" s="47">
        <f>Q$2</f>
        <v>0</v>
      </c>
      <c r="R11" s="47"/>
      <c r="S11" s="47"/>
      <c r="T11" s="47"/>
      <c r="U11" s="47"/>
      <c r="V11" s="47"/>
      <c r="W11" s="47"/>
      <c r="X11" s="47"/>
      <c r="Y11" s="47"/>
      <c r="Z11" s="47">
        <f t="shared" ref="Z11:Z30" si="1">Z$7</f>
        <v>4620</v>
      </c>
      <c r="AA11" s="47"/>
      <c r="AB11" s="47"/>
      <c r="AC11" s="47"/>
      <c r="AD11" s="47"/>
      <c r="AE11" s="47"/>
      <c r="AF11" s="47"/>
      <c r="AG11" s="47"/>
      <c r="AH11" s="47" t="str">
        <f>IFERROR(_xlfn.XLOOKUP(Table6[[#This Row],[Suburb]],Table5[Travel Surcharge],Table5[$$]),"")</f>
        <v/>
      </c>
      <c r="AI11" s="47"/>
      <c r="AJ11" s="47"/>
      <c r="AL11" t="str" cm="1">
        <f t="array" ref="AL11:AL888">_xlfn._xlws.SORT(_xlfn.UNIQUE(Table6[Estate]))</f>
        <v>105-111 Grices Road</v>
      </c>
      <c r="AM11" s="62" cm="1">
        <f t="array" ref="AM11">_xlfn._xlws.SORT(_xlfn.UNIQUE(_xlfn._xlws.FILTER(Table6[Stage],Table6[Estate]=IF('Pricing Sheet'!C3&lt;&gt;"",'Pricing Sheet'!C3,IF('KBC - Pricing Sheet'!C3&lt;&gt;"",'KBC - Pricing Sheet'!C3,"")))))</f>
        <v>0</v>
      </c>
      <c r="AO11" t="s">
        <v>281</v>
      </c>
      <c r="AP11" s="46">
        <v>1500</v>
      </c>
      <c r="AQ11"/>
    </row>
    <row r="12" spans="1:43" ht="21" customHeight="1">
      <c r="A12" s="374" t="s">
        <v>10962</v>
      </c>
      <c r="B12" s="374" t="s">
        <v>10398</v>
      </c>
      <c r="C12" s="374" t="s">
        <v>294</v>
      </c>
      <c r="D12" s="375" t="str">
        <f>CONCATENATE(A12,B12)</f>
        <v>Lot 237 Woodcutters Way No Stage</v>
      </c>
      <c r="E12" s="375" t="s">
        <v>10963</v>
      </c>
      <c r="F12" s="375"/>
      <c r="G12" s="375"/>
      <c r="H12" s="375"/>
      <c r="I12" s="63"/>
      <c r="J12" s="47"/>
      <c r="K12" s="46" t="s">
        <v>10735</v>
      </c>
      <c r="L12" s="47"/>
      <c r="M12" s="47"/>
      <c r="N12" s="47"/>
      <c r="O12" s="47">
        <f>O$7</f>
        <v>4950</v>
      </c>
      <c r="P12" s="47"/>
      <c r="Q12" s="47"/>
      <c r="R12" s="47"/>
      <c r="S12" s="47">
        <f>S$2</f>
        <v>590</v>
      </c>
      <c r="T12" s="47"/>
      <c r="U12" s="47"/>
      <c r="V12" s="47"/>
      <c r="W12" s="47"/>
      <c r="X12" s="47"/>
      <c r="Y12" s="47"/>
      <c r="Z12" s="47">
        <f>Z$7</f>
        <v>4620</v>
      </c>
      <c r="AA12" s="47"/>
      <c r="AB12" s="47"/>
      <c r="AC12" s="47"/>
      <c r="AD12" s="47"/>
      <c r="AE12" s="47"/>
      <c r="AF12" s="47"/>
      <c r="AG12" s="47"/>
      <c r="AH12" s="47">
        <v>8000</v>
      </c>
      <c r="AI12" s="47"/>
      <c r="AJ12" s="47"/>
      <c r="AL12" t="str">
        <v>1070-1090 Leakes Rd</v>
      </c>
      <c r="AO12" t="s">
        <v>281</v>
      </c>
      <c r="AP12" s="46">
        <v>1500</v>
      </c>
    </row>
    <row r="13" spans="1:43" ht="14.85" customHeight="1">
      <c r="A13" s="374" t="s">
        <v>10413</v>
      </c>
      <c r="B13" s="374" t="s">
        <v>10398</v>
      </c>
      <c r="C13" s="374" t="s">
        <v>10415</v>
      </c>
      <c r="D13" s="375" t="str">
        <f t="shared" ref="D13:D18" si="2">CONCATENATE(A13,B13)</f>
        <v>13 BLUESTONE WAYNo Stage</v>
      </c>
      <c r="E13" s="375" t="s">
        <v>10414</v>
      </c>
      <c r="F13" s="375"/>
      <c r="G13" s="375"/>
      <c r="H13" s="375"/>
      <c r="I13" s="63"/>
      <c r="J13" s="47" t="s">
        <v>10416</v>
      </c>
      <c r="K13" s="46" t="s">
        <v>10735</v>
      </c>
      <c r="L13" s="47" t="s">
        <v>10023</v>
      </c>
      <c r="M13" s="47"/>
      <c r="N13" s="47"/>
      <c r="O13" s="47">
        <f>O$7</f>
        <v>4950</v>
      </c>
      <c r="P13" s="47"/>
      <c r="Q13" s="47">
        <v>0</v>
      </c>
      <c r="R13" s="47"/>
      <c r="S13" s="47"/>
      <c r="T13" s="47"/>
      <c r="U13" s="47"/>
      <c r="V13" s="47"/>
      <c r="W13" s="47"/>
      <c r="X13" s="47"/>
      <c r="Y13" s="47"/>
      <c r="Z13" s="47">
        <f>Z$7</f>
        <v>4620</v>
      </c>
      <c r="AA13" s="47"/>
      <c r="AB13" s="47"/>
      <c r="AC13" s="47"/>
      <c r="AD13" s="47"/>
      <c r="AE13" s="47"/>
      <c r="AF13" s="47"/>
      <c r="AG13" s="47"/>
      <c r="AH13" s="47">
        <v>8000</v>
      </c>
      <c r="AI13" s="47"/>
      <c r="AJ13" s="47">
        <v>4400</v>
      </c>
      <c r="AL13" t="str">
        <v>12 Melzak Way</v>
      </c>
      <c r="AO13" t="s">
        <v>7513</v>
      </c>
      <c r="AP13" s="46">
        <v>8000</v>
      </c>
      <c r="AQ13" t="s">
        <v>7512</v>
      </c>
    </row>
    <row r="14" spans="1:43" ht="14.1" customHeight="1">
      <c r="A14" s="374" t="s">
        <v>10397</v>
      </c>
      <c r="B14" s="374" t="s">
        <v>10398</v>
      </c>
      <c r="C14" s="374" t="s">
        <v>10399</v>
      </c>
      <c r="D14" s="375" t="str">
        <f t="shared" si="2"/>
        <v>13 Linnet St AltonaNo Stage</v>
      </c>
      <c r="E14" s="375"/>
      <c r="F14" s="375"/>
      <c r="G14" s="375"/>
      <c r="H14" s="375"/>
      <c r="I14" s="63"/>
      <c r="J14" s="47"/>
      <c r="K14" s="46"/>
      <c r="L14" s="47"/>
      <c r="M14" s="47"/>
      <c r="N14" s="47"/>
      <c r="O14" s="47">
        <f>O$7</f>
        <v>4950</v>
      </c>
      <c r="P14" s="47"/>
      <c r="Q14" s="47"/>
      <c r="R14" s="47"/>
      <c r="S14" s="47">
        <f>S$2</f>
        <v>590</v>
      </c>
      <c r="T14" s="47"/>
      <c r="U14" s="47"/>
      <c r="V14" s="47"/>
      <c r="W14" s="47"/>
      <c r="X14" s="47"/>
      <c r="Y14" s="47"/>
      <c r="Z14" s="47">
        <f>Z$7</f>
        <v>4620</v>
      </c>
      <c r="AA14" s="47"/>
      <c r="AB14" s="47"/>
      <c r="AC14" s="47"/>
      <c r="AD14" s="47"/>
      <c r="AE14" s="47"/>
      <c r="AF14" s="47"/>
      <c r="AG14" s="47"/>
      <c r="AH14" s="47" t="e">
        <f>IF((COUNTIF(#REF!,C14)&gt;0),(IF('Pricing Sheet'!$C$3&lt;&gt;"",(VLOOKUP(C14,AQ:AQ,2,FALSE)),(VLOOKUP(C14,AQ:AQ,3,FALSE)))),"")</f>
        <v>#REF!</v>
      </c>
      <c r="AI14" s="47"/>
      <c r="AJ14" s="47"/>
      <c r="AL14" t="str">
        <v>13 BLUESTONE WAY</v>
      </c>
      <c r="AO14" t="s">
        <v>7617</v>
      </c>
      <c r="AP14" s="46">
        <v>8000</v>
      </c>
      <c r="AQ14" t="s">
        <v>7512</v>
      </c>
    </row>
    <row r="15" spans="1:43">
      <c r="A15" s="374" t="s">
        <v>10828</v>
      </c>
      <c r="B15" s="374" t="s">
        <v>10398</v>
      </c>
      <c r="C15" s="374" t="s">
        <v>10825</v>
      </c>
      <c r="D15" s="375" t="str">
        <f t="shared" si="2"/>
        <v>35 Elizabeth RdNo Stage</v>
      </c>
      <c r="E15" s="375" t="s">
        <v>10829</v>
      </c>
      <c r="F15" s="375" t="s">
        <v>10826</v>
      </c>
      <c r="G15" s="375"/>
      <c r="H15" s="375"/>
      <c r="I15" s="63"/>
      <c r="J15" s="47"/>
      <c r="K15" s="46" t="s">
        <v>10735</v>
      </c>
      <c r="L15" s="47" t="s">
        <v>10831</v>
      </c>
      <c r="M15" s="47"/>
      <c r="N15" s="47" t="s">
        <v>10830</v>
      </c>
      <c r="O15" s="47"/>
      <c r="P15" s="47"/>
      <c r="Q15" s="47">
        <v>0</v>
      </c>
      <c r="R15" s="47"/>
      <c r="S15" s="47"/>
      <c r="T15" s="47"/>
      <c r="U15" s="47"/>
      <c r="V15" s="47"/>
      <c r="W15" s="47"/>
      <c r="X15" s="47"/>
      <c r="Y15" s="47"/>
      <c r="Z15" s="47">
        <v>4620</v>
      </c>
      <c r="AA15" s="47"/>
      <c r="AB15" s="47"/>
      <c r="AC15" s="47"/>
      <c r="AD15" s="47"/>
      <c r="AE15" s="47"/>
      <c r="AF15" s="47"/>
      <c r="AG15" s="47"/>
      <c r="AH15" s="47">
        <v>12000</v>
      </c>
      <c r="AI15" s="47"/>
      <c r="AJ15" s="47">
        <v>4400</v>
      </c>
      <c r="AL15" t="str">
        <v>13 Linnet St Altona</v>
      </c>
      <c r="AO15" t="s">
        <v>293</v>
      </c>
      <c r="AP15" s="46">
        <v>8000</v>
      </c>
      <c r="AQ15" t="s">
        <v>7512</v>
      </c>
    </row>
    <row r="16" spans="1:43">
      <c r="A16" s="374" t="s">
        <v>10832</v>
      </c>
      <c r="B16" s="374" t="s">
        <v>10398</v>
      </c>
      <c r="C16" s="374" t="s">
        <v>10825</v>
      </c>
      <c r="D16" s="375" t="str">
        <f t="shared" si="2"/>
        <v>37 Elizabeth RdNo Stage</v>
      </c>
      <c r="E16" s="375" t="s">
        <v>10829</v>
      </c>
      <c r="F16" s="375" t="s">
        <v>10826</v>
      </c>
      <c r="G16" s="375"/>
      <c r="H16" s="375"/>
      <c r="I16" s="63"/>
      <c r="J16" s="47"/>
      <c r="K16" s="46" t="s">
        <v>10735</v>
      </c>
      <c r="L16" s="47" t="s">
        <v>10831</v>
      </c>
      <c r="M16" s="47"/>
      <c r="N16" s="47" t="s">
        <v>10830</v>
      </c>
      <c r="O16" s="47"/>
      <c r="P16" s="47"/>
      <c r="Q16" s="47">
        <v>0</v>
      </c>
      <c r="R16" s="47"/>
      <c r="S16" s="47"/>
      <c r="T16" s="47"/>
      <c r="U16" s="47"/>
      <c r="V16" s="47"/>
      <c r="W16" s="47"/>
      <c r="X16" s="47"/>
      <c r="Y16" s="47"/>
      <c r="Z16" s="47">
        <v>4620</v>
      </c>
      <c r="AA16" s="47"/>
      <c r="AB16" s="47"/>
      <c r="AC16" s="47"/>
      <c r="AD16" s="47"/>
      <c r="AE16" s="47"/>
      <c r="AF16" s="47"/>
      <c r="AG16" s="47"/>
      <c r="AH16" s="47">
        <v>12000</v>
      </c>
      <c r="AI16" s="47"/>
      <c r="AJ16" s="47">
        <v>4400</v>
      </c>
      <c r="AL16" t="str">
        <v>152 Stanley Road</v>
      </c>
      <c r="AO16" t="s">
        <v>293</v>
      </c>
      <c r="AP16" s="46">
        <v>8000</v>
      </c>
      <c r="AQ16" t="s">
        <v>7512</v>
      </c>
    </row>
    <row r="17" spans="1:43">
      <c r="A17" s="374" t="s">
        <v>10358</v>
      </c>
      <c r="B17" s="374">
        <v>18</v>
      </c>
      <c r="C17" s="374" t="s">
        <v>6881</v>
      </c>
      <c r="D17" s="375" t="str">
        <f t="shared" si="2"/>
        <v>No. 8 Lot 1843 Biota Way Mambourin18</v>
      </c>
      <c r="E17" s="375" t="s">
        <v>4027</v>
      </c>
      <c r="F17" s="375" t="s">
        <v>10293</v>
      </c>
      <c r="G17" s="375"/>
      <c r="H17" s="375"/>
      <c r="I17" s="63"/>
      <c r="J17" s="47"/>
      <c r="K17" s="46"/>
      <c r="L17" s="47"/>
      <c r="M17" s="47"/>
      <c r="N17" s="47"/>
      <c r="O17" s="47">
        <f>O$7</f>
        <v>4950</v>
      </c>
      <c r="P17" s="47"/>
      <c r="Q17" s="47"/>
      <c r="R17" s="47"/>
      <c r="S17" s="47">
        <f>S$2</f>
        <v>590</v>
      </c>
      <c r="T17" s="47"/>
      <c r="U17" s="47"/>
      <c r="V17" s="47"/>
      <c r="W17" s="47"/>
      <c r="X17" s="47"/>
      <c r="Y17" s="47"/>
      <c r="Z17" s="47">
        <f>Z$7</f>
        <v>4620</v>
      </c>
      <c r="AA17" s="47"/>
      <c r="AB17" s="47"/>
      <c r="AC17" s="47"/>
      <c r="AD17" s="47"/>
      <c r="AE17" s="47"/>
      <c r="AF17" s="47"/>
      <c r="AG17" s="47"/>
      <c r="AH17" s="47" t="e">
        <f>IF((COUNTIF(#REF!,C17)&gt;0),(IF('Pricing Sheet'!$C$3&lt;&gt;"",(VLOOKUP(C17,AQ:AQ,2,FALSE)),(VLOOKUP(C17,AQ:AQ,3,FALSE)))),"")</f>
        <v>#REF!</v>
      </c>
      <c r="AI17" s="47"/>
      <c r="AJ17" s="47"/>
      <c r="AL17" t="str">
        <v xml:space="preserve">16-22 Bend Road </v>
      </c>
      <c r="AO17" t="s">
        <v>7616</v>
      </c>
      <c r="AP17" s="46">
        <v>8000</v>
      </c>
      <c r="AQ17" t="s">
        <v>7512</v>
      </c>
    </row>
    <row r="18" spans="1:43">
      <c r="A18" s="374" t="s">
        <v>10292</v>
      </c>
      <c r="B18" s="374">
        <v>1</v>
      </c>
      <c r="C18" s="374" t="s">
        <v>295</v>
      </c>
      <c r="D18" s="375" t="str">
        <f t="shared" si="2"/>
        <v>Lot 2 No. 60 Longley St1</v>
      </c>
      <c r="E18" s="333">
        <v>909765</v>
      </c>
      <c r="F18" s="375" t="s">
        <v>10293</v>
      </c>
      <c r="G18" s="375"/>
      <c r="H18" s="375"/>
      <c r="I18" s="63"/>
      <c r="J18" s="47"/>
      <c r="K18" s="46" t="s">
        <v>10735</v>
      </c>
      <c r="L18" s="47"/>
      <c r="M18" s="47"/>
      <c r="N18" s="47"/>
      <c r="O18" s="47"/>
      <c r="P18" s="47"/>
      <c r="Q18" s="47"/>
      <c r="R18" s="47"/>
      <c r="S18" s="47">
        <f>S$2</f>
        <v>590</v>
      </c>
      <c r="T18" s="47"/>
      <c r="U18" s="47"/>
      <c r="V18" s="47"/>
      <c r="W18" s="47"/>
      <c r="X18" s="47"/>
      <c r="Y18" s="47"/>
      <c r="Z18" s="47"/>
      <c r="AA18" s="47"/>
      <c r="AB18" s="47"/>
      <c r="AC18" s="47"/>
      <c r="AD18" s="47"/>
      <c r="AE18" s="47"/>
      <c r="AF18" s="47"/>
      <c r="AG18" s="47"/>
      <c r="AH18" s="47">
        <v>8000</v>
      </c>
      <c r="AI18" s="47"/>
      <c r="AJ18" s="47"/>
      <c r="AL18" t="str">
        <v>17 Ayesha Street</v>
      </c>
      <c r="AO18" t="s">
        <v>7514</v>
      </c>
      <c r="AP18" s="46">
        <v>8000</v>
      </c>
      <c r="AQ18" t="s">
        <v>7512</v>
      </c>
    </row>
    <row r="19" spans="1:43">
      <c r="A19" s="374" t="s">
        <v>435</v>
      </c>
      <c r="B19" s="374">
        <v>3</v>
      </c>
      <c r="C19" s="374" t="s">
        <v>436</v>
      </c>
      <c r="D19" s="375" t="str">
        <f t="shared" si="0"/>
        <v>1070-1090 Leakes Rd3</v>
      </c>
      <c r="E19" s="375" t="s">
        <v>437</v>
      </c>
      <c r="F19" s="375"/>
      <c r="G19" s="375"/>
      <c r="H19" s="375"/>
      <c r="I19" s="63"/>
      <c r="J19" s="47">
        <f>J$7</f>
        <v>3740</v>
      </c>
      <c r="K19" s="46" t="s">
        <v>10735</v>
      </c>
      <c r="L19" s="47"/>
      <c r="M19" s="47"/>
      <c r="N19" s="47"/>
      <c r="O19" s="47"/>
      <c r="P19" s="47"/>
      <c r="Q19" s="47">
        <f>Q$2</f>
        <v>0</v>
      </c>
      <c r="R19" s="47"/>
      <c r="S19" s="47"/>
      <c r="T19" s="47"/>
      <c r="U19" s="47"/>
      <c r="V19" s="47"/>
      <c r="W19" s="47"/>
      <c r="X19" s="47"/>
      <c r="Y19" s="47"/>
      <c r="Z19" s="47">
        <f t="shared" si="1"/>
        <v>4620</v>
      </c>
      <c r="AA19" s="47"/>
      <c r="AB19" s="47"/>
      <c r="AC19" s="47"/>
      <c r="AD19" s="47"/>
      <c r="AE19" s="47"/>
      <c r="AF19" s="47"/>
      <c r="AG19" s="47"/>
      <c r="AH19" s="47" t="str">
        <f>IFERROR(_xlfn.XLOOKUP(Table6[[#This Row],[Suburb]],Table5[Travel Surcharge],Table5[$$]),"")</f>
        <v/>
      </c>
      <c r="AI19" s="47"/>
      <c r="AJ19" s="47"/>
      <c r="AL19" t="str">
        <v>20 Martin Close</v>
      </c>
      <c r="AO19" t="s">
        <v>7515</v>
      </c>
      <c r="AP19" s="46">
        <v>8000</v>
      </c>
      <c r="AQ19" t="s">
        <v>7512</v>
      </c>
    </row>
    <row r="20" spans="1:43">
      <c r="A20" s="374" t="s">
        <v>10200</v>
      </c>
      <c r="B20" s="374">
        <v>1</v>
      </c>
      <c r="C20" s="374" t="s">
        <v>10201</v>
      </c>
      <c r="D20" s="375" t="str">
        <f>CONCATENATE(A20,B20)</f>
        <v>Waverly Woods1</v>
      </c>
      <c r="E20" s="375"/>
      <c r="F20" s="375"/>
      <c r="G20" s="375"/>
      <c r="H20" s="375"/>
      <c r="I20" s="63"/>
      <c r="J20" s="47"/>
      <c r="K20" s="46" t="s">
        <v>10735</v>
      </c>
      <c r="L20" s="47"/>
      <c r="M20" s="47"/>
      <c r="N20" s="47"/>
      <c r="O20" s="47">
        <f>O$7</f>
        <v>4950</v>
      </c>
      <c r="P20" s="47"/>
      <c r="Q20" s="47"/>
      <c r="R20" s="47"/>
      <c r="S20" s="47">
        <f>S$2</f>
        <v>590</v>
      </c>
      <c r="T20" s="47"/>
      <c r="U20" s="47"/>
      <c r="V20" s="47"/>
      <c r="W20" s="47"/>
      <c r="X20" s="47"/>
      <c r="Y20" s="47"/>
      <c r="Z20" s="47">
        <f>Z$7</f>
        <v>4620</v>
      </c>
      <c r="AA20" s="47"/>
      <c r="AB20" s="47"/>
      <c r="AC20" s="47"/>
      <c r="AD20" s="47"/>
      <c r="AE20" s="47"/>
      <c r="AF20" s="47"/>
      <c r="AG20" s="47"/>
      <c r="AH20" s="47" t="e">
        <f>IF((COUNTIF(#REF!,C20)&gt;0),(IF('Pricing Sheet'!$C$3&lt;&gt;"",(VLOOKUP(C20,AQ:AQ,2,FALSE)),(VLOOKUP(C20,AQ:AQ,3,FALSE)))),"")</f>
        <v>#REF!</v>
      </c>
      <c r="AI20" s="47"/>
      <c r="AJ20" s="47"/>
      <c r="AL20" t="str">
        <v>21 Heany St</v>
      </c>
      <c r="AO20" t="s">
        <v>7618</v>
      </c>
      <c r="AP20" s="46">
        <v>8000</v>
      </c>
      <c r="AQ20" t="s">
        <v>7512</v>
      </c>
    </row>
    <row r="21" spans="1:43">
      <c r="A21" s="374" t="s">
        <v>9971</v>
      </c>
      <c r="B21" s="374">
        <v>1</v>
      </c>
      <c r="C21" s="374" t="s">
        <v>9969</v>
      </c>
      <c r="D21" s="375" t="str">
        <f>CONCATENATE(A21,B21)</f>
        <v>Lot 27 No. 12 Indra Street 1</v>
      </c>
      <c r="E21" s="375" t="s">
        <v>9970</v>
      </c>
      <c r="F21" s="375" t="s">
        <v>355</v>
      </c>
      <c r="G21" s="375"/>
      <c r="H21" s="375"/>
      <c r="I21" s="63"/>
      <c r="J21" s="47"/>
      <c r="K21" s="46" t="s">
        <v>10735</v>
      </c>
      <c r="L21" s="47"/>
      <c r="M21" s="47"/>
      <c r="N21" s="47"/>
      <c r="O21" s="47"/>
      <c r="P21" s="47"/>
      <c r="Q21" s="47">
        <v>0</v>
      </c>
      <c r="R21" s="47"/>
      <c r="S21" s="47">
        <f>S$2</f>
        <v>590</v>
      </c>
      <c r="T21" s="47"/>
      <c r="U21" s="47"/>
      <c r="V21" s="47"/>
      <c r="W21" s="47"/>
      <c r="X21" s="47"/>
      <c r="Y21" s="47"/>
      <c r="Z21" s="47">
        <f>Z$7</f>
        <v>4620</v>
      </c>
      <c r="AA21" s="47"/>
      <c r="AB21" s="47"/>
      <c r="AC21" s="47"/>
      <c r="AD21" s="47"/>
      <c r="AE21" s="47"/>
      <c r="AF21" s="47"/>
      <c r="AG21" s="47"/>
      <c r="AH21" s="47" t="str">
        <f>IFERROR(_xlfn.XLOOKUP(Table6[[#This Row],[Suburb]],Table5[Travel Surcharge],Table5[$$]),"")</f>
        <v/>
      </c>
      <c r="AI21" s="47"/>
      <c r="AJ21" s="47"/>
      <c r="AL21" t="str">
        <v>21Hertford</v>
      </c>
      <c r="AO21" t="s">
        <v>7516</v>
      </c>
      <c r="AP21" s="46">
        <v>8000</v>
      </c>
      <c r="AQ21" t="s">
        <v>7512</v>
      </c>
    </row>
    <row r="22" spans="1:43">
      <c r="A22" s="374" t="s">
        <v>9972</v>
      </c>
      <c r="B22" s="374">
        <v>1</v>
      </c>
      <c r="C22" s="374" t="s">
        <v>9973</v>
      </c>
      <c r="D22" s="375" t="str">
        <f>CONCATENATE(A22,B22)</f>
        <v>63 Eliza Street Keilor Park1</v>
      </c>
      <c r="E22" s="375"/>
      <c r="F22" s="375" t="s">
        <v>9974</v>
      </c>
      <c r="G22" s="375"/>
      <c r="H22" s="375"/>
      <c r="I22" s="63"/>
      <c r="J22" s="47"/>
      <c r="K22" s="46"/>
      <c r="L22" s="47"/>
      <c r="M22" s="47"/>
      <c r="N22" s="47"/>
      <c r="O22" s="47"/>
      <c r="P22" s="47"/>
      <c r="Q22" s="47"/>
      <c r="R22" s="47"/>
      <c r="S22" s="47"/>
      <c r="T22" s="47"/>
      <c r="U22" s="47"/>
      <c r="V22" s="47"/>
      <c r="W22" s="47"/>
      <c r="X22" s="47"/>
      <c r="Y22" s="47"/>
      <c r="Z22" s="47"/>
      <c r="AA22" s="47"/>
      <c r="AB22" s="47"/>
      <c r="AC22" s="47"/>
      <c r="AD22" s="47"/>
      <c r="AE22" s="47"/>
      <c r="AF22" s="47"/>
      <c r="AG22" s="47"/>
      <c r="AH22" s="47" t="str">
        <f>IFERROR(_xlfn.XLOOKUP(Table6[[#This Row],[Suburb]],Table5[Travel Surcharge],Table5[$$]),"")</f>
        <v/>
      </c>
      <c r="AI22" s="47"/>
      <c r="AJ22" s="47"/>
      <c r="AL22" t="str">
        <v>23 A Bennet Street</v>
      </c>
      <c r="AO22" t="s">
        <v>7558</v>
      </c>
      <c r="AP22" s="46">
        <v>8000</v>
      </c>
      <c r="AQ22" t="s">
        <v>7512</v>
      </c>
    </row>
    <row r="23" spans="1:43">
      <c r="A23" s="374" t="s">
        <v>10022</v>
      </c>
      <c r="B23" s="374">
        <v>1</v>
      </c>
      <c r="C23" s="374" t="s">
        <v>301</v>
      </c>
      <c r="D23" s="375" t="str">
        <f>CONCATENATE(A23,B23)</f>
        <v>Desmond St Moe1</v>
      </c>
      <c r="E23" s="375" t="s">
        <v>9198</v>
      </c>
      <c r="F23" s="375"/>
      <c r="G23" s="375"/>
      <c r="H23" s="375"/>
      <c r="I23" s="63"/>
      <c r="J23" s="47" t="s">
        <v>10023</v>
      </c>
      <c r="K23" s="46" t="s">
        <v>10735</v>
      </c>
      <c r="L23" s="47"/>
      <c r="M23" s="47"/>
      <c r="N23" s="47"/>
      <c r="O23" s="47">
        <v>4950</v>
      </c>
      <c r="P23" s="47"/>
      <c r="Q23" s="47"/>
      <c r="R23" s="47"/>
      <c r="S23" s="47" t="s">
        <v>10024</v>
      </c>
      <c r="T23" s="47"/>
      <c r="U23" s="47"/>
      <c r="V23" s="47"/>
      <c r="W23" s="47"/>
      <c r="X23" s="47"/>
      <c r="Y23" s="47"/>
      <c r="Z23" s="47">
        <f>Z$7</f>
        <v>4620</v>
      </c>
      <c r="AA23" s="47"/>
      <c r="AB23" s="47"/>
      <c r="AC23" s="47"/>
      <c r="AD23" s="47"/>
      <c r="AE23" s="47"/>
      <c r="AF23" s="47"/>
      <c r="AG23" s="47"/>
      <c r="AH23" s="47">
        <v>7000</v>
      </c>
      <c r="AI23" s="47"/>
      <c r="AJ23" s="47"/>
      <c r="AL23" t="str">
        <v>241 Dyson Drive</v>
      </c>
      <c r="AO23" t="s">
        <v>7517</v>
      </c>
      <c r="AP23" s="46">
        <v>8000</v>
      </c>
      <c r="AQ23" t="s">
        <v>7512</v>
      </c>
    </row>
    <row r="24" spans="1:43">
      <c r="A24" s="374" t="s">
        <v>9968</v>
      </c>
      <c r="B24" s="374">
        <v>1</v>
      </c>
      <c r="C24" s="374" t="s">
        <v>302</v>
      </c>
      <c r="D24" s="375" t="str">
        <f>CONCATENATE(A24,B24)</f>
        <v>7 Illawarra Rd 1</v>
      </c>
      <c r="E24" s="375" t="s">
        <v>9566</v>
      </c>
      <c r="F24" s="375"/>
      <c r="G24" s="375"/>
      <c r="H24" s="375"/>
      <c r="I24" s="63"/>
      <c r="J24" s="47" t="s">
        <v>9944</v>
      </c>
      <c r="K24" s="46" t="s">
        <v>10735</v>
      </c>
      <c r="L24" s="47"/>
      <c r="M24" s="47"/>
      <c r="N24" s="47"/>
      <c r="O24" s="47">
        <v>4950</v>
      </c>
      <c r="P24" s="47"/>
      <c r="Q24" s="47">
        <v>0</v>
      </c>
      <c r="R24" s="47"/>
      <c r="S24" s="47"/>
      <c r="T24" s="47"/>
      <c r="U24" s="47"/>
      <c r="V24" s="47"/>
      <c r="W24" s="47"/>
      <c r="X24" s="47"/>
      <c r="Y24" s="47"/>
      <c r="Z24" s="47">
        <v>4620</v>
      </c>
      <c r="AA24" s="47"/>
      <c r="AB24" s="47"/>
      <c r="AC24" s="47"/>
      <c r="AD24" s="47"/>
      <c r="AE24" s="47"/>
      <c r="AF24" s="47"/>
      <c r="AG24" s="47"/>
      <c r="AH24" s="47">
        <f>IFERROR(_xlfn.XLOOKUP(Table6[[#This Row],[Suburb]],Table5[Travel Surcharge],Table5[$$]),"")</f>
        <v>7000</v>
      </c>
      <c r="AI24" s="47"/>
      <c r="AJ24" s="47"/>
      <c r="AL24" t="str">
        <v>250 Princess Hwy (DO NOT PACKAGE)</v>
      </c>
      <c r="AO24" t="s">
        <v>7559</v>
      </c>
      <c r="AP24" s="46">
        <v>8000</v>
      </c>
      <c r="AQ24" t="s">
        <v>7512</v>
      </c>
    </row>
    <row r="25" spans="1:43">
      <c r="A25" s="374" t="s">
        <v>416</v>
      </c>
      <c r="B25" s="374">
        <v>1</v>
      </c>
      <c r="C25" s="374" t="s">
        <v>287</v>
      </c>
      <c r="D25" s="375" t="str">
        <f t="shared" si="0"/>
        <v>12 Melzak Way1</v>
      </c>
      <c r="E25" s="375" t="s">
        <v>417</v>
      </c>
      <c r="F25" s="375"/>
      <c r="G25" s="375"/>
      <c r="H25" s="375"/>
      <c r="I25" s="63"/>
      <c r="J25" s="47"/>
      <c r="K25" s="46" t="s">
        <v>10735</v>
      </c>
      <c r="L25" s="47" t="s">
        <v>418</v>
      </c>
      <c r="M25" s="47"/>
      <c r="N25" s="47"/>
      <c r="O25" s="47"/>
      <c r="P25" s="47"/>
      <c r="Q25" s="47"/>
      <c r="R25" s="47"/>
      <c r="S25" s="47"/>
      <c r="T25" s="47"/>
      <c r="U25" s="47">
        <f>U$2</f>
        <v>430</v>
      </c>
      <c r="V25" s="47"/>
      <c r="W25" s="47"/>
      <c r="X25" s="47"/>
      <c r="Y25" s="47"/>
      <c r="Z25" s="47">
        <f t="shared" si="1"/>
        <v>4620</v>
      </c>
      <c r="AA25" s="47"/>
      <c r="AB25" s="47"/>
      <c r="AC25" s="47"/>
      <c r="AD25" s="47"/>
      <c r="AE25" s="47"/>
      <c r="AF25" s="47">
        <f>AF$7</f>
        <v>1485</v>
      </c>
      <c r="AG25" s="47"/>
      <c r="AH25" s="47">
        <f>IFERROR(_xlfn.XLOOKUP(Table6[[#This Row],[Suburb]],Table5[Travel Surcharge],Table5[$$]),"")</f>
        <v>7000</v>
      </c>
      <c r="AI25" s="47"/>
      <c r="AJ25" s="47"/>
      <c r="AL25" t="str">
        <v>2501 Thamballina Road</v>
      </c>
      <c r="AO25" t="s">
        <v>7530</v>
      </c>
      <c r="AP25" s="46">
        <v>8000</v>
      </c>
      <c r="AQ25" t="s">
        <v>7512</v>
      </c>
    </row>
    <row r="26" spans="1:43">
      <c r="A26" s="374" t="s">
        <v>369</v>
      </c>
      <c r="B26" s="374">
        <v>1</v>
      </c>
      <c r="C26" s="374" t="s">
        <v>353</v>
      </c>
      <c r="D26" s="375" t="str">
        <f t="shared" si="0"/>
        <v>152 Stanley Road1</v>
      </c>
      <c r="E26" s="375" t="s">
        <v>370</v>
      </c>
      <c r="F26" s="375"/>
      <c r="G26" s="375" t="s">
        <v>371</v>
      </c>
      <c r="H26" s="375" t="s">
        <v>372</v>
      </c>
      <c r="I26" s="63" t="s">
        <v>373</v>
      </c>
      <c r="J26" s="47">
        <f>J$7</f>
        <v>3740</v>
      </c>
      <c r="K26" s="46" t="s">
        <v>10735</v>
      </c>
      <c r="L26" s="47"/>
      <c r="M26" s="47"/>
      <c r="N26" s="47"/>
      <c r="O26" s="47"/>
      <c r="P26" s="47"/>
      <c r="Q26" s="47">
        <f>Q$2</f>
        <v>0</v>
      </c>
      <c r="R26" s="47"/>
      <c r="S26" s="47"/>
      <c r="T26" s="47"/>
      <c r="U26" s="47"/>
      <c r="V26" s="47"/>
      <c r="W26" s="47"/>
      <c r="X26" s="47"/>
      <c r="Y26" s="47"/>
      <c r="Z26" s="47">
        <f t="shared" si="1"/>
        <v>4620</v>
      </c>
      <c r="AA26" s="47"/>
      <c r="AB26" s="47"/>
      <c r="AC26" s="47"/>
      <c r="AD26" s="47"/>
      <c r="AE26" s="47"/>
      <c r="AF26" s="47"/>
      <c r="AG26" s="47"/>
      <c r="AH26" s="47" t="str">
        <f>IFERROR(_xlfn.XLOOKUP(Table6[[#This Row],[Suburb]],Table5[Travel Surcharge],Table5[$$]),"")</f>
        <v/>
      </c>
      <c r="AI26" s="47"/>
      <c r="AJ26" s="47"/>
      <c r="AL26" t="str">
        <v>26 Herberts Lane</v>
      </c>
      <c r="AO26" t="s">
        <v>7518</v>
      </c>
      <c r="AP26" s="46">
        <v>8000</v>
      </c>
      <c r="AQ26" t="s">
        <v>7512</v>
      </c>
    </row>
    <row r="27" spans="1:43">
      <c r="A27" s="374" t="s">
        <v>352</v>
      </c>
      <c r="B27" s="374">
        <v>1</v>
      </c>
      <c r="C27" s="374" t="s">
        <v>353</v>
      </c>
      <c r="D27" s="375" t="str">
        <f t="shared" si="0"/>
        <v>16-22 Bend Road 1</v>
      </c>
      <c r="E27" s="375" t="s">
        <v>354</v>
      </c>
      <c r="F27" t="s">
        <v>9211</v>
      </c>
      <c r="G27" t="s">
        <v>9210</v>
      </c>
      <c r="H27" t="s">
        <v>9212</v>
      </c>
      <c r="I27" s="273" t="s">
        <v>9213</v>
      </c>
      <c r="J27" s="47">
        <f>J$7</f>
        <v>3740</v>
      </c>
      <c r="K27" s="46" t="s">
        <v>10735</v>
      </c>
      <c r="L27" s="47"/>
      <c r="M27" s="47"/>
      <c r="N27" s="47"/>
      <c r="O27" s="47"/>
      <c r="P27" s="47"/>
      <c r="Q27" s="47">
        <f>Q$2</f>
        <v>0</v>
      </c>
      <c r="R27" s="47"/>
      <c r="S27" s="47"/>
      <c r="T27" s="47"/>
      <c r="U27" s="47"/>
      <c r="V27" s="47"/>
      <c r="W27" s="47"/>
      <c r="X27" s="47"/>
      <c r="Y27" s="47"/>
      <c r="Z27" s="47">
        <f t="shared" si="1"/>
        <v>4620</v>
      </c>
      <c r="AA27" s="47"/>
      <c r="AB27" s="47"/>
      <c r="AC27" s="47"/>
      <c r="AD27" s="47"/>
      <c r="AE27" s="47"/>
      <c r="AF27" s="47"/>
      <c r="AG27" s="47"/>
      <c r="AH27" s="47" t="str">
        <f>IFERROR(_xlfn.XLOOKUP(Table6[[#This Row],[Suburb]],Table5[Travel Surcharge],Table5[$$]),"")</f>
        <v/>
      </c>
      <c r="AI27" s="47"/>
      <c r="AJ27" s="47"/>
      <c r="AL27" t="str">
        <v>28 Huxtable Avenue</v>
      </c>
      <c r="AO27" t="s">
        <v>7560</v>
      </c>
      <c r="AP27" s="46">
        <v>8000</v>
      </c>
      <c r="AQ27" t="s">
        <v>7512</v>
      </c>
    </row>
    <row r="28" spans="1:43">
      <c r="A28" s="374" t="s">
        <v>403</v>
      </c>
      <c r="B28" s="374">
        <v>1</v>
      </c>
      <c r="C28" s="374" t="s">
        <v>404</v>
      </c>
      <c r="D28" s="375" t="str">
        <f t="shared" si="0"/>
        <v>17 Ayesha Street1</v>
      </c>
      <c r="E28" s="375" t="s">
        <v>405</v>
      </c>
      <c r="F28" s="375"/>
      <c r="G28" s="375"/>
      <c r="H28" s="375"/>
      <c r="I28" s="63"/>
      <c r="J28" s="47">
        <f>J$7</f>
        <v>3740</v>
      </c>
      <c r="K28" s="46" t="s">
        <v>10735</v>
      </c>
      <c r="L28" s="47"/>
      <c r="M28" s="47"/>
      <c r="N28" s="47"/>
      <c r="O28" s="47"/>
      <c r="P28" s="47"/>
      <c r="Q28" s="47">
        <f>Q$2</f>
        <v>0</v>
      </c>
      <c r="R28" s="47"/>
      <c r="S28" s="47"/>
      <c r="T28" s="47"/>
      <c r="U28" s="47"/>
      <c r="V28" s="47"/>
      <c r="W28" s="47"/>
      <c r="X28" s="47"/>
      <c r="Y28" s="47"/>
      <c r="Z28" s="47">
        <f t="shared" si="1"/>
        <v>4620</v>
      </c>
      <c r="AA28" s="47"/>
      <c r="AB28" s="47"/>
      <c r="AC28" s="47"/>
      <c r="AD28" s="47"/>
      <c r="AE28" s="47"/>
      <c r="AF28" s="47"/>
      <c r="AG28" s="47"/>
      <c r="AH28" s="47" t="str">
        <f>IFERROR(_xlfn.XLOOKUP(Table6[[#This Row],[Suburb]],Table5[Travel Surcharge],Table5[$$]),"")</f>
        <v/>
      </c>
      <c r="AI28" s="47"/>
      <c r="AJ28" s="47"/>
      <c r="AL28" t="str">
        <v>28a Regent Street</v>
      </c>
      <c r="AO28" t="s">
        <v>7531</v>
      </c>
      <c r="AP28" s="46">
        <v>8000</v>
      </c>
      <c r="AQ28" t="s">
        <v>7512</v>
      </c>
    </row>
    <row r="29" spans="1:43">
      <c r="A29" s="374" t="s">
        <v>419</v>
      </c>
      <c r="B29" s="374">
        <v>3</v>
      </c>
      <c r="C29" s="374" t="s">
        <v>420</v>
      </c>
      <c r="D29" s="375" t="str">
        <f t="shared" si="0"/>
        <v>20 Martin Close3</v>
      </c>
      <c r="E29" s="375" t="s">
        <v>421</v>
      </c>
      <c r="F29" s="375" t="s">
        <v>422</v>
      </c>
      <c r="G29" s="375" t="s">
        <v>423</v>
      </c>
      <c r="H29" s="375"/>
      <c r="I29" s="63" t="s">
        <v>424</v>
      </c>
      <c r="J29" s="47">
        <f>J$7</f>
        <v>3740</v>
      </c>
      <c r="K29" s="46" t="s">
        <v>10735</v>
      </c>
      <c r="L29" s="47"/>
      <c r="M29" s="47"/>
      <c r="N29" s="47">
        <f>N$7</f>
        <v>2640</v>
      </c>
      <c r="O29" s="47"/>
      <c r="P29" s="47"/>
      <c r="Q29" s="47">
        <f>Q$2</f>
        <v>0</v>
      </c>
      <c r="R29" s="47" t="s">
        <v>425</v>
      </c>
      <c r="S29" s="47" t="s">
        <v>426</v>
      </c>
      <c r="T29" s="47"/>
      <c r="U29" s="47"/>
      <c r="V29" s="47"/>
      <c r="W29" s="47"/>
      <c r="X29" s="47"/>
      <c r="Y29" s="47"/>
      <c r="Z29" s="47">
        <f t="shared" si="1"/>
        <v>4620</v>
      </c>
      <c r="AA29" s="47"/>
      <c r="AB29" s="47"/>
      <c r="AC29" s="47"/>
      <c r="AD29" s="47"/>
      <c r="AE29" s="47"/>
      <c r="AF29" s="47"/>
      <c r="AG29" s="47"/>
      <c r="AH29" s="47" t="str">
        <f>IFERROR(_xlfn.XLOOKUP(Table6[[#This Row],[Suburb]],Table5[Travel Surcharge],Table5[$$]),"")</f>
        <v/>
      </c>
      <c r="AI29" s="47"/>
      <c r="AJ29" s="47"/>
      <c r="AL29" t="str">
        <v>30 Carroll Lane</v>
      </c>
      <c r="AO29" t="s">
        <v>7561</v>
      </c>
      <c r="AP29" s="46">
        <v>8000</v>
      </c>
      <c r="AQ29" t="s">
        <v>7512</v>
      </c>
    </row>
    <row r="30" spans="1:43">
      <c r="A30" s="374" t="s">
        <v>7668</v>
      </c>
      <c r="B30" s="374">
        <v>1</v>
      </c>
      <c r="C30" s="374" t="s">
        <v>1312</v>
      </c>
      <c r="D30" s="375" t="str">
        <f t="shared" si="0"/>
        <v>21 Heany St1</v>
      </c>
      <c r="E30" s="375" t="s">
        <v>7669</v>
      </c>
      <c r="F30" s="375"/>
      <c r="G30" s="375"/>
      <c r="H30" s="375"/>
      <c r="I30" s="63"/>
      <c r="J30" s="47">
        <f>J$7</f>
        <v>3740</v>
      </c>
      <c r="K30" s="46" t="s">
        <v>10735</v>
      </c>
      <c r="L30" s="47"/>
      <c r="M30" s="47"/>
      <c r="N30" s="47"/>
      <c r="O30" s="47"/>
      <c r="P30" s="47"/>
      <c r="Q30" s="47">
        <f>Q$2</f>
        <v>0</v>
      </c>
      <c r="R30" s="47"/>
      <c r="S30" s="47"/>
      <c r="T30" s="47"/>
      <c r="U30" s="47"/>
      <c r="V30" s="47"/>
      <c r="W30" s="47"/>
      <c r="X30" s="47"/>
      <c r="Y30" s="47"/>
      <c r="Z30" s="47">
        <f t="shared" si="1"/>
        <v>4620</v>
      </c>
      <c r="AA30" s="47"/>
      <c r="AB30" s="47"/>
      <c r="AC30" s="47"/>
      <c r="AD30" s="47"/>
      <c r="AE30" s="47"/>
      <c r="AF30" s="47"/>
      <c r="AG30" s="47"/>
      <c r="AH30" s="47" t="str">
        <f>IFERROR(_xlfn.XLOOKUP(Table6[[#This Row],[Suburb]],Table5[Travel Surcharge],Table5[$$]),"")</f>
        <v/>
      </c>
      <c r="AI30" s="47"/>
      <c r="AJ30" s="47">
        <f>AJ$7</f>
        <v>4400</v>
      </c>
      <c r="AL30" t="str">
        <v>35 Elizabeth Rd</v>
      </c>
      <c r="AO30" t="s">
        <v>294</v>
      </c>
      <c r="AP30" s="46">
        <v>8000</v>
      </c>
      <c r="AQ30" t="s">
        <v>7512</v>
      </c>
    </row>
    <row r="31" spans="1:43">
      <c r="A31" t="s">
        <v>9660</v>
      </c>
      <c r="B31">
        <v>1</v>
      </c>
      <c r="C31" t="s">
        <v>9658</v>
      </c>
      <c r="D31" t="str">
        <f t="shared" si="0"/>
        <v>21Hertford1</v>
      </c>
      <c r="E31" t="s">
        <v>9657</v>
      </c>
      <c r="F31" t="s">
        <v>9659</v>
      </c>
      <c r="H31">
        <v>458068234</v>
      </c>
      <c r="J31">
        <v>3740</v>
      </c>
      <c r="K31" s="46" t="s">
        <v>10735</v>
      </c>
      <c r="M31">
        <v>1430.0000000000002</v>
      </c>
      <c r="N31" t="s">
        <v>6985</v>
      </c>
      <c r="O31" t="s">
        <v>6986</v>
      </c>
      <c r="U31">
        <v>540</v>
      </c>
      <c r="Z31">
        <v>4620</v>
      </c>
      <c r="AD31" t="s">
        <v>1</v>
      </c>
      <c r="AF31">
        <v>1650</v>
      </c>
      <c r="AH31" s="47" t="str">
        <f>IFERROR(_xlfn.XLOOKUP(Table6[[#This Row],[Suburb]],Table5[Travel Surcharge],Table5[$$]),"")</f>
        <v/>
      </c>
      <c r="AL31" t="str">
        <v>361-363 Centre Road</v>
      </c>
      <c r="AO31" t="s">
        <v>7622</v>
      </c>
      <c r="AP31" s="46">
        <v>8000</v>
      </c>
      <c r="AQ31" t="s">
        <v>7512</v>
      </c>
    </row>
    <row r="32" spans="1:43">
      <c r="A32" s="374" t="s">
        <v>9796</v>
      </c>
      <c r="B32" s="374">
        <v>1</v>
      </c>
      <c r="C32" s="374" t="s">
        <v>1412</v>
      </c>
      <c r="D32" s="375" t="str">
        <f t="shared" si="0"/>
        <v>23 A Bennet Street1</v>
      </c>
      <c r="E32" s="375" t="s">
        <v>9797</v>
      </c>
      <c r="F32" s="375"/>
      <c r="G32" s="375"/>
      <c r="H32" s="375"/>
      <c r="I32" s="63"/>
      <c r="J32" s="47"/>
      <c r="K32" s="46"/>
      <c r="L32" s="47"/>
      <c r="M32" s="47"/>
      <c r="N32" s="47"/>
      <c r="O32" s="47">
        <f>O$7</f>
        <v>4950</v>
      </c>
      <c r="P32" s="47"/>
      <c r="Q32" s="47"/>
      <c r="R32" s="47"/>
      <c r="S32" s="47">
        <f>S$2</f>
        <v>590</v>
      </c>
      <c r="T32" s="47"/>
      <c r="U32" s="47"/>
      <c r="V32" s="47"/>
      <c r="W32" s="47"/>
      <c r="X32" s="47"/>
      <c r="Y32" s="47"/>
      <c r="Z32" s="47">
        <f t="shared" ref="Z32:Z37" si="3">Z$7</f>
        <v>4620</v>
      </c>
      <c r="AA32" s="47"/>
      <c r="AB32" s="47"/>
      <c r="AC32" s="47"/>
      <c r="AD32" s="47"/>
      <c r="AE32" s="47"/>
      <c r="AF32" s="47"/>
      <c r="AG32" s="47"/>
      <c r="AH32" s="47" t="str">
        <f>IFERROR(_xlfn.XLOOKUP(Table6[[#This Row],[Suburb]],Table5[Travel Surcharge],Table5[$$]),"")</f>
        <v/>
      </c>
      <c r="AI32" s="47"/>
      <c r="AJ32" s="47"/>
      <c r="AL32" t="str">
        <v>37 Elizabeth Rd</v>
      </c>
      <c r="AO32" t="s">
        <v>7562</v>
      </c>
      <c r="AP32" s="46">
        <v>8000</v>
      </c>
      <c r="AQ32" t="s">
        <v>7512</v>
      </c>
    </row>
    <row r="33" spans="1:43">
      <c r="A33" s="374" t="s">
        <v>376</v>
      </c>
      <c r="B33" s="374">
        <v>1</v>
      </c>
      <c r="C33" s="374" t="s">
        <v>295</v>
      </c>
      <c r="D33" s="375" t="str">
        <f t="shared" si="0"/>
        <v>241 Dyson Drive1</v>
      </c>
      <c r="E33" s="375" t="s">
        <v>377</v>
      </c>
      <c r="F33" s="375"/>
      <c r="G33" s="375" t="s">
        <v>378</v>
      </c>
      <c r="H33" s="375" t="s">
        <v>379</v>
      </c>
      <c r="I33" s="63" t="s">
        <v>380</v>
      </c>
      <c r="J33" s="47"/>
      <c r="K33" s="46" t="s">
        <v>10735</v>
      </c>
      <c r="L33" s="47"/>
      <c r="M33" s="47"/>
      <c r="N33" s="47"/>
      <c r="O33" s="47">
        <f>O$7</f>
        <v>4950</v>
      </c>
      <c r="P33" s="47" t="s">
        <v>8788</v>
      </c>
      <c r="Q33" s="47"/>
      <c r="R33" s="47"/>
      <c r="S33" s="47" t="s">
        <v>381</v>
      </c>
      <c r="T33" s="47"/>
      <c r="U33" s="47"/>
      <c r="V33" s="47"/>
      <c r="W33" s="47"/>
      <c r="X33" s="47"/>
      <c r="Y33" s="47"/>
      <c r="Z33" s="47">
        <f t="shared" si="3"/>
        <v>4620</v>
      </c>
      <c r="AA33" s="47"/>
      <c r="AB33" s="47"/>
      <c r="AC33" s="47"/>
      <c r="AD33" s="47"/>
      <c r="AE33" s="47"/>
      <c r="AF33" s="47"/>
      <c r="AG33" s="47"/>
      <c r="AH33" s="47" t="str">
        <f>IFERROR(_xlfn.XLOOKUP(Table6[[#This Row],[Suburb]],Table5[Travel Surcharge],Table5[$$]),"")</f>
        <v/>
      </c>
      <c r="AI33" s="47"/>
      <c r="AJ33" s="47">
        <f>AJ$7</f>
        <v>4400</v>
      </c>
      <c r="AL33" t="str">
        <v xml:space="preserve">37 Mary Street </v>
      </c>
      <c r="AO33" t="s">
        <v>3036</v>
      </c>
      <c r="AP33" s="46">
        <v>7000</v>
      </c>
      <c r="AQ33" t="s">
        <v>7998</v>
      </c>
    </row>
    <row r="34" spans="1:43">
      <c r="A34" s="374" t="s">
        <v>376</v>
      </c>
      <c r="B34" s="374">
        <v>2</v>
      </c>
      <c r="C34" s="374" t="s">
        <v>295</v>
      </c>
      <c r="D34" s="375" t="str">
        <f t="shared" si="0"/>
        <v>241 Dyson Drive2</v>
      </c>
      <c r="E34" s="375" t="s">
        <v>382</v>
      </c>
      <c r="F34" s="375"/>
      <c r="G34" s="375" t="s">
        <v>378</v>
      </c>
      <c r="H34" s="375" t="s">
        <v>383</v>
      </c>
      <c r="I34" s="63" t="s">
        <v>380</v>
      </c>
      <c r="J34" s="47"/>
      <c r="K34" s="46" t="s">
        <v>10735</v>
      </c>
      <c r="L34" s="47"/>
      <c r="M34" s="47"/>
      <c r="N34" s="47"/>
      <c r="O34" s="47">
        <f>O$7</f>
        <v>4950</v>
      </c>
      <c r="P34" s="47" t="s">
        <v>8788</v>
      </c>
      <c r="Q34" s="47"/>
      <c r="R34" s="47"/>
      <c r="S34" s="47" t="s">
        <v>381</v>
      </c>
      <c r="T34" s="47"/>
      <c r="U34" s="47"/>
      <c r="V34" s="47"/>
      <c r="W34" s="47"/>
      <c r="X34" s="47"/>
      <c r="Y34" s="47"/>
      <c r="Z34" s="47">
        <f t="shared" si="3"/>
        <v>4620</v>
      </c>
      <c r="AA34" s="47"/>
      <c r="AB34" s="47"/>
      <c r="AC34" s="47"/>
      <c r="AD34" s="47"/>
      <c r="AE34" s="47"/>
      <c r="AF34" s="47"/>
      <c r="AG34" s="47"/>
      <c r="AH34" s="47" t="str">
        <f>IFERROR(_xlfn.XLOOKUP(Table6[[#This Row],[Suburb]],Table5[Travel Surcharge],Table5[$$]),"")</f>
        <v/>
      </c>
      <c r="AI34" s="47"/>
      <c r="AJ34" s="47">
        <f>AJ$7</f>
        <v>4400</v>
      </c>
      <c r="AL34" t="str">
        <v>378 Ballan Road</v>
      </c>
      <c r="AO34" t="s">
        <v>3457</v>
      </c>
      <c r="AP34" s="46">
        <v>8000</v>
      </c>
      <c r="AQ34" t="s">
        <v>7512</v>
      </c>
    </row>
    <row r="35" spans="1:43">
      <c r="A35" s="374" t="s">
        <v>10468</v>
      </c>
      <c r="B35" s="374">
        <v>1</v>
      </c>
      <c r="C35" s="374" t="s">
        <v>802</v>
      </c>
      <c r="D35" s="375" t="str">
        <f t="shared" si="0"/>
        <v>250 Princess Hwy (DO NOT PACKAGE)1</v>
      </c>
      <c r="E35" s="375" t="s">
        <v>9527</v>
      </c>
      <c r="F35" s="375"/>
      <c r="G35" s="375"/>
      <c r="H35" s="375"/>
      <c r="I35" s="63"/>
      <c r="J35" s="47">
        <f>J$7</f>
        <v>3740</v>
      </c>
      <c r="K35" s="46" t="s">
        <v>10735</v>
      </c>
      <c r="L35" s="47" t="s">
        <v>9528</v>
      </c>
      <c r="M35" s="47">
        <f>M$7</f>
        <v>1430.0000000000002</v>
      </c>
      <c r="N35" s="47" t="s">
        <v>9532</v>
      </c>
      <c r="O35" s="47"/>
      <c r="P35" s="47"/>
      <c r="Q35" s="47"/>
      <c r="R35" s="47" t="s">
        <v>10469</v>
      </c>
      <c r="S35" s="47">
        <f>S$2</f>
        <v>590</v>
      </c>
      <c r="T35" s="47"/>
      <c r="U35" s="47"/>
      <c r="V35" s="47"/>
      <c r="W35" s="47"/>
      <c r="X35" s="47"/>
      <c r="Y35" s="47"/>
      <c r="Z35" s="47">
        <f t="shared" si="3"/>
        <v>4620</v>
      </c>
      <c r="AA35" s="47"/>
      <c r="AB35" s="47"/>
      <c r="AC35" s="47"/>
      <c r="AD35" s="47"/>
      <c r="AE35" s="47"/>
      <c r="AF35" s="47"/>
      <c r="AG35" s="47"/>
      <c r="AH35" s="47" t="str">
        <f>IFERROR(_xlfn.XLOOKUP(Table6[[#This Row],[Suburb]],Table5[Travel Surcharge],Table5[$$]),"")</f>
        <v/>
      </c>
      <c r="AI35" s="47"/>
      <c r="AJ35" s="47"/>
      <c r="AL35" t="str">
        <v>46 Annabella Street</v>
      </c>
      <c r="AO35" t="s">
        <v>7563</v>
      </c>
      <c r="AP35" s="46">
        <v>8000</v>
      </c>
      <c r="AQ35" t="s">
        <v>7512</v>
      </c>
    </row>
    <row r="36" spans="1:43">
      <c r="A36" s="374" t="s">
        <v>374</v>
      </c>
      <c r="B36" s="374">
        <v>1</v>
      </c>
      <c r="C36" s="374" t="s">
        <v>375</v>
      </c>
      <c r="D36" s="375" t="str">
        <f t="shared" si="0"/>
        <v>2501 Thamballina Road1</v>
      </c>
      <c r="E36" s="375"/>
      <c r="F36" s="375"/>
      <c r="G36" s="375"/>
      <c r="H36" s="375"/>
      <c r="I36" s="63"/>
      <c r="J36" s="47">
        <f>J$7</f>
        <v>3740</v>
      </c>
      <c r="K36" s="46" t="s">
        <v>10735</v>
      </c>
      <c r="L36" s="47"/>
      <c r="M36" s="47"/>
      <c r="N36" s="47"/>
      <c r="O36" s="47"/>
      <c r="P36" s="47"/>
      <c r="Q36" s="47">
        <f>Q$2</f>
        <v>0</v>
      </c>
      <c r="R36" s="47"/>
      <c r="S36" s="47"/>
      <c r="T36" s="47"/>
      <c r="U36" s="47"/>
      <c r="V36" s="47"/>
      <c r="W36" s="47"/>
      <c r="X36" s="47"/>
      <c r="Y36" s="47"/>
      <c r="Z36" s="47">
        <f t="shared" si="3"/>
        <v>4620</v>
      </c>
      <c r="AA36" s="47"/>
      <c r="AB36" s="47"/>
      <c r="AC36" s="47"/>
      <c r="AD36" s="47"/>
      <c r="AE36" s="47"/>
      <c r="AF36" s="47"/>
      <c r="AG36" s="47"/>
      <c r="AH36" s="47" t="str">
        <f>IFERROR(_xlfn.XLOOKUP(Table6[[#This Row],[Suburb]],Table5[Travel Surcharge],Table5[$$]),"")</f>
        <v/>
      </c>
      <c r="AI36" s="47"/>
      <c r="AJ36" s="47"/>
      <c r="AL36" t="str">
        <v>47S Strathlea Drive</v>
      </c>
      <c r="AO36" t="s">
        <v>7564</v>
      </c>
      <c r="AP36" s="46">
        <v>8000</v>
      </c>
      <c r="AQ36" t="s">
        <v>7512</v>
      </c>
    </row>
    <row r="37" spans="1:43">
      <c r="A37" s="374" t="s">
        <v>438</v>
      </c>
      <c r="B37" s="374">
        <v>1</v>
      </c>
      <c r="C37" s="374" t="s">
        <v>439</v>
      </c>
      <c r="D37" s="375" t="str">
        <f t="shared" si="0"/>
        <v>26 Herberts Lane1</v>
      </c>
      <c r="E37" s="375" t="s">
        <v>440</v>
      </c>
      <c r="F37" s="375"/>
      <c r="G37" s="375"/>
      <c r="H37" s="375"/>
      <c r="I37" s="63"/>
      <c r="J37" s="47"/>
      <c r="K37" s="46" t="s">
        <v>10735</v>
      </c>
      <c r="L37" s="47"/>
      <c r="M37" s="47"/>
      <c r="N37" s="47"/>
      <c r="O37" s="47"/>
      <c r="P37" s="47"/>
      <c r="Q37" s="47">
        <f>Q$2</f>
        <v>0</v>
      </c>
      <c r="R37" s="47"/>
      <c r="S37" s="47"/>
      <c r="T37" s="47"/>
      <c r="U37" s="47"/>
      <c r="V37" s="47"/>
      <c r="W37" s="47"/>
      <c r="X37" s="47"/>
      <c r="Y37" s="47"/>
      <c r="Z37" s="47">
        <f t="shared" si="3"/>
        <v>4620</v>
      </c>
      <c r="AA37" s="47"/>
      <c r="AB37" s="47"/>
      <c r="AC37" s="47"/>
      <c r="AD37" s="47"/>
      <c r="AE37" s="47"/>
      <c r="AF37" s="47"/>
      <c r="AG37" s="47"/>
      <c r="AH37" s="47" t="str">
        <f>IFERROR(_xlfn.XLOOKUP(Table6[[#This Row],[Suburb]],Table5[Travel Surcharge],Table5[$$]),"")</f>
        <v/>
      </c>
      <c r="AI37" s="47"/>
      <c r="AJ37" s="47"/>
      <c r="AL37" t="str">
        <v>53 Westernport Road</v>
      </c>
      <c r="AO37" t="s">
        <v>7623</v>
      </c>
      <c r="AP37" s="46">
        <v>8000</v>
      </c>
      <c r="AQ37" t="s">
        <v>7512</v>
      </c>
    </row>
    <row r="38" spans="1:43">
      <c r="A38" s="374" t="s">
        <v>8498</v>
      </c>
      <c r="B38" s="374">
        <v>26</v>
      </c>
      <c r="C38" s="374" t="s">
        <v>8501</v>
      </c>
      <c r="D38" s="375" t="str">
        <f t="shared" si="0"/>
        <v>28 Huxtable Avenue26</v>
      </c>
      <c r="E38" s="375"/>
      <c r="F38" s="375"/>
      <c r="G38" s="375"/>
      <c r="H38" s="375"/>
      <c r="I38" s="63"/>
      <c r="J38" s="47"/>
      <c r="K38" s="46" t="s">
        <v>10735</v>
      </c>
      <c r="L38" s="47"/>
      <c r="M38" s="47"/>
      <c r="N38" s="47"/>
      <c r="O38" s="47"/>
      <c r="P38" s="47"/>
      <c r="Q38" s="47"/>
      <c r="R38" s="47"/>
      <c r="S38" s="47"/>
      <c r="T38" s="47"/>
      <c r="U38" s="47"/>
      <c r="V38" s="47"/>
      <c r="W38" s="47"/>
      <c r="X38" s="47"/>
      <c r="Y38" s="47"/>
      <c r="Z38" s="47"/>
      <c r="AA38" s="47"/>
      <c r="AB38" s="47"/>
      <c r="AC38" s="47"/>
      <c r="AD38" s="47"/>
      <c r="AE38" s="47"/>
      <c r="AF38" s="47"/>
      <c r="AG38" s="47"/>
      <c r="AH38" s="47" t="str">
        <f>IFERROR(_xlfn.XLOOKUP(Table6[[#This Row],[Suburb]],Table5[Travel Surcharge],Table5[$$]),"")</f>
        <v/>
      </c>
      <c r="AI38" s="47"/>
      <c r="AJ38" s="47"/>
      <c r="AL38" t="str">
        <v>6 Bushy Rd Clyde North</v>
      </c>
      <c r="AO38" t="s">
        <v>7565</v>
      </c>
      <c r="AP38" s="46">
        <v>8000</v>
      </c>
      <c r="AQ38" t="s">
        <v>7512</v>
      </c>
    </row>
    <row r="39" spans="1:43">
      <c r="A39" s="374" t="s">
        <v>408</v>
      </c>
      <c r="B39" s="374">
        <v>1</v>
      </c>
      <c r="C39" s="374" t="s">
        <v>409</v>
      </c>
      <c r="D39" s="375" t="str">
        <f t="shared" si="0"/>
        <v>28a Regent Street1</v>
      </c>
      <c r="E39" s="375" t="s">
        <v>410</v>
      </c>
      <c r="F39" s="375" t="s">
        <v>411</v>
      </c>
      <c r="G39" s="375" t="s">
        <v>412</v>
      </c>
      <c r="H39" s="375" t="s">
        <v>413</v>
      </c>
      <c r="I39" s="63" t="s">
        <v>414</v>
      </c>
      <c r="J39" s="47">
        <f t="shared" ref="J39:J47" si="4">J$7</f>
        <v>3740</v>
      </c>
      <c r="K39" s="46" t="s">
        <v>10735</v>
      </c>
      <c r="L39" s="47"/>
      <c r="M39" s="47"/>
      <c r="N39" s="47" t="s">
        <v>415</v>
      </c>
      <c r="O39" s="47"/>
      <c r="P39" s="47"/>
      <c r="Q39" s="47">
        <f>Q$2</f>
        <v>0</v>
      </c>
      <c r="R39" s="47"/>
      <c r="S39" s="47"/>
      <c r="T39" s="47"/>
      <c r="U39" s="47"/>
      <c r="V39" s="47"/>
      <c r="W39" s="47"/>
      <c r="X39" s="47"/>
      <c r="Y39" s="47"/>
      <c r="Z39" s="47">
        <f t="shared" ref="Z39:Z54" si="5">Z$7</f>
        <v>4620</v>
      </c>
      <c r="AA39" s="47"/>
      <c r="AB39" s="47"/>
      <c r="AC39" s="47"/>
      <c r="AD39" s="47"/>
      <c r="AE39" s="47"/>
      <c r="AF39" s="47"/>
      <c r="AG39" s="47"/>
      <c r="AH39" s="47" t="str">
        <f>IFERROR(_xlfn.XLOOKUP(Table6[[#This Row],[Suburb]],Table5[Travel Surcharge],Table5[$$]),"")</f>
        <v/>
      </c>
      <c r="AI39" s="47"/>
      <c r="AJ39" s="47"/>
      <c r="AL39" t="str">
        <v>63 Eliza Street Keilor Park</v>
      </c>
      <c r="AO39" t="s">
        <v>7566</v>
      </c>
      <c r="AP39" s="46">
        <v>8000</v>
      </c>
      <c r="AQ39" t="s">
        <v>7512</v>
      </c>
    </row>
    <row r="40" spans="1:43">
      <c r="A40" s="374" t="s">
        <v>9512</v>
      </c>
      <c r="B40" s="374">
        <v>1</v>
      </c>
      <c r="C40" s="374" t="s">
        <v>1024</v>
      </c>
      <c r="D40" s="375" t="str">
        <f t="shared" si="0"/>
        <v>30 Carroll Lane1</v>
      </c>
      <c r="E40" s="375" t="s">
        <v>9513</v>
      </c>
      <c r="F40" s="375"/>
      <c r="G40" s="375"/>
      <c r="H40" s="375"/>
      <c r="I40" s="63"/>
      <c r="J40" s="47">
        <f t="shared" si="4"/>
        <v>3740</v>
      </c>
      <c r="K40" s="46" t="s">
        <v>10735</v>
      </c>
      <c r="L40" s="47"/>
      <c r="M40" s="47"/>
      <c r="N40" s="47"/>
      <c r="O40" s="47"/>
      <c r="P40" s="47"/>
      <c r="Q40" s="47">
        <f>Q$2</f>
        <v>0</v>
      </c>
      <c r="R40" s="47"/>
      <c r="S40" s="47"/>
      <c r="T40" s="47"/>
      <c r="U40" s="47"/>
      <c r="V40" s="47"/>
      <c r="W40" s="47"/>
      <c r="X40" s="47"/>
      <c r="Y40" s="47"/>
      <c r="Z40" s="47">
        <f t="shared" si="5"/>
        <v>4620</v>
      </c>
      <c r="AA40" s="47"/>
      <c r="AB40" s="47"/>
      <c r="AC40" s="47"/>
      <c r="AD40" s="47"/>
      <c r="AE40" s="47"/>
      <c r="AF40" s="47"/>
      <c r="AG40" s="47"/>
      <c r="AH40" s="47" t="str">
        <f>IFERROR(_xlfn.XLOOKUP(Table6[[#This Row],[Suburb]],Table5[Travel Surcharge],Table5[$$]),"")</f>
        <v/>
      </c>
      <c r="AI40" s="47"/>
      <c r="AJ40" s="47"/>
      <c r="AL40" t="str">
        <v xml:space="preserve">7 Illawarra Rd </v>
      </c>
      <c r="AO40" t="s">
        <v>7567</v>
      </c>
      <c r="AP40" s="46">
        <v>8000</v>
      </c>
      <c r="AQ40" t="s">
        <v>7512</v>
      </c>
    </row>
    <row r="41" spans="1:43">
      <c r="A41" s="374" t="s">
        <v>10159</v>
      </c>
      <c r="B41" s="374">
        <v>1</v>
      </c>
      <c r="C41" s="374" t="s">
        <v>10158</v>
      </c>
      <c r="D41" s="375" t="str">
        <f>CONCATENATE(A41,B41)</f>
        <v>Lot 54 No. 11 Castle Court 1</v>
      </c>
      <c r="E41" s="375" t="s">
        <v>10160</v>
      </c>
      <c r="F41" s="375"/>
      <c r="G41" s="375"/>
      <c r="H41" s="375"/>
      <c r="I41" s="63"/>
      <c r="J41" s="47"/>
      <c r="K41" s="46" t="s">
        <v>10735</v>
      </c>
      <c r="L41" s="47" t="s">
        <v>10161</v>
      </c>
      <c r="M41" s="47"/>
      <c r="N41" s="47"/>
      <c r="O41" s="47"/>
      <c r="P41" s="47"/>
      <c r="Q41" s="47"/>
      <c r="R41" s="47"/>
      <c r="S41" s="47">
        <v>590</v>
      </c>
      <c r="T41" s="47"/>
      <c r="U41" s="47"/>
      <c r="V41" s="47"/>
      <c r="W41" s="47"/>
      <c r="X41" s="47"/>
      <c r="Y41" s="47"/>
      <c r="Z41" s="47"/>
      <c r="AA41" s="47"/>
      <c r="AB41" s="47"/>
      <c r="AC41" s="47"/>
      <c r="AD41" s="47"/>
      <c r="AE41" s="47"/>
      <c r="AF41" s="47"/>
      <c r="AG41" s="47"/>
      <c r="AH41" s="47">
        <v>8000</v>
      </c>
      <c r="AI41" s="47"/>
      <c r="AJ41" s="47"/>
      <c r="AL41" t="str">
        <v>9 Chestnut Way</v>
      </c>
      <c r="AO41" t="s">
        <v>3016</v>
      </c>
      <c r="AP41" s="46">
        <v>8000</v>
      </c>
      <c r="AQ41" t="s">
        <v>7512</v>
      </c>
    </row>
    <row r="42" spans="1:43">
      <c r="A42" s="374" t="s">
        <v>7472</v>
      </c>
      <c r="B42" s="374">
        <v>1</v>
      </c>
      <c r="C42" s="374" t="s">
        <v>593</v>
      </c>
      <c r="D42" s="375" t="str">
        <f t="shared" si="0"/>
        <v>361-363 Centre Road1</v>
      </c>
      <c r="E42" s="375" t="s">
        <v>7473</v>
      </c>
      <c r="F42" s="375"/>
      <c r="G42" s="375"/>
      <c r="H42" s="375"/>
      <c r="I42" s="63"/>
      <c r="J42" s="47">
        <f t="shared" si="4"/>
        <v>3740</v>
      </c>
      <c r="K42" s="46" t="s">
        <v>10735</v>
      </c>
      <c r="L42" s="47"/>
      <c r="M42" s="47"/>
      <c r="N42" s="47" t="s">
        <v>7474</v>
      </c>
      <c r="O42" s="47"/>
      <c r="P42" s="47"/>
      <c r="Q42" s="47">
        <f>Q$2</f>
        <v>0</v>
      </c>
      <c r="R42" s="47"/>
      <c r="S42" s="47"/>
      <c r="T42" s="47"/>
      <c r="U42" s="47"/>
      <c r="V42" s="47"/>
      <c r="W42" s="47"/>
      <c r="X42" s="47"/>
      <c r="Y42" s="47"/>
      <c r="Z42" s="47">
        <f t="shared" si="5"/>
        <v>4620</v>
      </c>
      <c r="AA42" s="47"/>
      <c r="AB42" s="47"/>
      <c r="AC42" s="47"/>
      <c r="AD42" s="47"/>
      <c r="AE42" s="47"/>
      <c r="AF42" s="47"/>
      <c r="AG42" s="47"/>
      <c r="AH42" s="47" t="str">
        <f>IFERROR(_xlfn.XLOOKUP(Table6[[#This Row],[Suburb]],Table5[Travel Surcharge],Table5[$$]),"")</f>
        <v/>
      </c>
      <c r="AI42" s="47"/>
      <c r="AJ42" s="47"/>
      <c r="AL42" t="str">
        <v>910 Bridge In</v>
      </c>
      <c r="AO42" t="s">
        <v>7532</v>
      </c>
      <c r="AP42" s="46">
        <v>8000</v>
      </c>
      <c r="AQ42" t="s">
        <v>7512</v>
      </c>
    </row>
    <row r="43" spans="1:43">
      <c r="A43" s="374" t="s">
        <v>7472</v>
      </c>
      <c r="B43" s="374">
        <v>2</v>
      </c>
      <c r="C43" s="374" t="s">
        <v>593</v>
      </c>
      <c r="D43" s="375" t="str">
        <f t="shared" si="0"/>
        <v>361-363 Centre Road2</v>
      </c>
      <c r="E43" s="375" t="s">
        <v>7475</v>
      </c>
      <c r="F43" s="375"/>
      <c r="G43" s="375"/>
      <c r="H43" s="375"/>
      <c r="I43" s="63"/>
      <c r="J43" s="47">
        <f t="shared" si="4"/>
        <v>3740</v>
      </c>
      <c r="K43" s="46" t="s">
        <v>10735</v>
      </c>
      <c r="L43" s="47"/>
      <c r="M43" s="47"/>
      <c r="N43" s="47" t="s">
        <v>7474</v>
      </c>
      <c r="O43" s="47"/>
      <c r="P43" s="47"/>
      <c r="Q43" s="47">
        <f>Q$2</f>
        <v>0</v>
      </c>
      <c r="R43" s="47"/>
      <c r="S43" s="47"/>
      <c r="T43" s="47"/>
      <c r="U43" s="47"/>
      <c r="V43" s="47"/>
      <c r="W43" s="47"/>
      <c r="X43" s="47"/>
      <c r="Y43" s="47"/>
      <c r="Z43" s="47">
        <f t="shared" si="5"/>
        <v>4620</v>
      </c>
      <c r="AA43" s="47"/>
      <c r="AB43" s="47"/>
      <c r="AC43" s="47"/>
      <c r="AD43" s="47"/>
      <c r="AE43" s="47"/>
      <c r="AF43" s="47"/>
      <c r="AG43" s="47"/>
      <c r="AH43" s="47" t="str">
        <f>IFERROR(_xlfn.XLOOKUP(Table6[[#This Row],[Suburb]],Table5[Travel Surcharge],Table5[$$]),"")</f>
        <v/>
      </c>
      <c r="AI43" s="47"/>
      <c r="AJ43" s="47"/>
      <c r="AL43" t="str">
        <v>Aberdeen</v>
      </c>
      <c r="AO43" t="s">
        <v>7568</v>
      </c>
      <c r="AP43" s="46">
        <v>8000</v>
      </c>
      <c r="AQ43" t="s">
        <v>7512</v>
      </c>
    </row>
    <row r="44" spans="1:43">
      <c r="A44" s="374" t="s">
        <v>9825</v>
      </c>
      <c r="B44" s="374">
        <v>1</v>
      </c>
      <c r="C44" s="374" t="s">
        <v>802</v>
      </c>
      <c r="D44" s="375" t="str">
        <f t="shared" si="0"/>
        <v>37 Mary Street 1</v>
      </c>
      <c r="E44" s="375" t="s">
        <v>9826</v>
      </c>
      <c r="F44" s="375"/>
      <c r="G44" s="375"/>
      <c r="H44" s="375"/>
      <c r="I44" s="63"/>
      <c r="J44" s="47">
        <f t="shared" si="4"/>
        <v>3740</v>
      </c>
      <c r="K44" s="46" t="s">
        <v>10735</v>
      </c>
      <c r="L44" s="47">
        <f>L7</f>
        <v>1210</v>
      </c>
      <c r="M44" s="47"/>
      <c r="N44" s="47"/>
      <c r="O44" s="47"/>
      <c r="P44" s="47"/>
      <c r="Q44" s="47"/>
      <c r="R44" s="47"/>
      <c r="S44" s="47">
        <f>S$2</f>
        <v>590</v>
      </c>
      <c r="T44" s="47"/>
      <c r="U44" s="47"/>
      <c r="V44" s="47"/>
      <c r="W44" s="47"/>
      <c r="X44" s="47"/>
      <c r="Y44" s="47"/>
      <c r="Z44" s="47">
        <f t="shared" si="5"/>
        <v>4620</v>
      </c>
      <c r="AA44" s="47"/>
      <c r="AB44" s="47"/>
      <c r="AC44" s="47"/>
      <c r="AD44" s="47"/>
      <c r="AE44" s="47"/>
      <c r="AF44" s="47"/>
      <c r="AG44" s="47"/>
      <c r="AH44" s="47" t="str">
        <f>IFERROR(_xlfn.XLOOKUP(Table6[[#This Row],[Suburb]],Table5[Travel Surcharge],Table5[$$]),"")</f>
        <v/>
      </c>
      <c r="AI44" s="47"/>
      <c r="AJ44" s="47"/>
      <c r="AL44" t="str">
        <v>Acacia Estate</v>
      </c>
      <c r="AO44" t="s">
        <v>7569</v>
      </c>
      <c r="AP44" s="46">
        <v>8000</v>
      </c>
      <c r="AQ44" t="s">
        <v>7512</v>
      </c>
    </row>
    <row r="45" spans="1:43">
      <c r="A45" s="374" t="s">
        <v>9214</v>
      </c>
      <c r="B45" s="374">
        <v>1</v>
      </c>
      <c r="C45" s="374" t="s">
        <v>2060</v>
      </c>
      <c r="D45" t="str">
        <f t="shared" si="0"/>
        <v>378 Ballan Road1</v>
      </c>
      <c r="E45" t="s">
        <v>8784</v>
      </c>
      <c r="F45" t="s">
        <v>9211</v>
      </c>
      <c r="G45" t="s">
        <v>9210</v>
      </c>
      <c r="H45" t="s">
        <v>9212</v>
      </c>
      <c r="I45" s="273" t="s">
        <v>9213</v>
      </c>
      <c r="J45" s="47">
        <f t="shared" si="4"/>
        <v>3740</v>
      </c>
      <c r="K45" s="46" t="s">
        <v>10735</v>
      </c>
      <c r="L45" s="47"/>
      <c r="M45" s="47"/>
      <c r="N45" s="47"/>
      <c r="O45" s="47"/>
      <c r="P45" s="47"/>
      <c r="Q45" s="47">
        <f t="shared" ref="Q45:Q51" si="6">Q$2</f>
        <v>0</v>
      </c>
      <c r="R45" s="47" t="s">
        <v>9215</v>
      </c>
      <c r="S45" s="47"/>
      <c r="T45" s="47"/>
      <c r="U45" s="47"/>
      <c r="V45" s="47"/>
      <c r="W45" s="47"/>
      <c r="X45" s="47"/>
      <c r="Y45" s="47"/>
      <c r="Z45" s="47">
        <f t="shared" si="5"/>
        <v>4620</v>
      </c>
      <c r="AA45" s="47"/>
      <c r="AB45" s="47"/>
      <c r="AC45" s="47"/>
      <c r="AD45" s="47"/>
      <c r="AE45" s="47"/>
      <c r="AF45" s="47"/>
      <c r="AG45" s="47"/>
      <c r="AH45" s="47" t="str">
        <f>IFERROR(_xlfn.XLOOKUP(Table6[[#This Row],[Suburb]],Table5[Travel Surcharge],Table5[$$]),"")</f>
        <v/>
      </c>
      <c r="AI45" s="47"/>
      <c r="AJ45" s="47"/>
      <c r="AL45" t="str">
        <v>Acacia Village</v>
      </c>
      <c r="AO45" t="s">
        <v>7533</v>
      </c>
      <c r="AP45" s="46">
        <v>8000</v>
      </c>
      <c r="AQ45" t="s">
        <v>7512</v>
      </c>
    </row>
    <row r="46" spans="1:43">
      <c r="A46" s="374" t="s">
        <v>9214</v>
      </c>
      <c r="B46" s="374">
        <v>2</v>
      </c>
      <c r="C46" s="374" t="s">
        <v>2060</v>
      </c>
      <c r="D46" t="str">
        <f t="shared" si="0"/>
        <v>378 Ballan Road2</v>
      </c>
      <c r="E46" t="s">
        <v>8784</v>
      </c>
      <c r="F46" t="s">
        <v>9211</v>
      </c>
      <c r="G46" t="s">
        <v>9210</v>
      </c>
      <c r="H46" t="s">
        <v>9212</v>
      </c>
      <c r="I46" s="273" t="s">
        <v>9213</v>
      </c>
      <c r="J46" s="47">
        <f t="shared" si="4"/>
        <v>3740</v>
      </c>
      <c r="K46" s="46" t="s">
        <v>10735</v>
      </c>
      <c r="L46" s="47"/>
      <c r="M46" s="47"/>
      <c r="N46" s="47"/>
      <c r="O46" s="47"/>
      <c r="P46" s="47"/>
      <c r="Q46" s="47">
        <f t="shared" si="6"/>
        <v>0</v>
      </c>
      <c r="R46" s="47" t="s">
        <v>9215</v>
      </c>
      <c r="S46" s="47"/>
      <c r="T46" s="47"/>
      <c r="U46" s="47"/>
      <c r="V46" s="47"/>
      <c r="W46" s="47"/>
      <c r="X46" s="47"/>
      <c r="Y46" s="47"/>
      <c r="Z46" s="47">
        <f t="shared" si="5"/>
        <v>4620</v>
      </c>
      <c r="AA46" s="47"/>
      <c r="AB46" s="47"/>
      <c r="AC46" s="47"/>
      <c r="AD46" s="47"/>
      <c r="AE46" s="47"/>
      <c r="AF46" s="47"/>
      <c r="AG46" s="47"/>
      <c r="AH46" s="47" t="str">
        <f>IFERROR(_xlfn.XLOOKUP(Table6[[#This Row],[Suburb]],Table5[Travel Surcharge],Table5[$$]),"")</f>
        <v/>
      </c>
      <c r="AI46" s="47"/>
      <c r="AJ46" s="47"/>
      <c r="AL46" t="str">
        <v>Acclaim</v>
      </c>
      <c r="AO46" t="s">
        <v>7570</v>
      </c>
      <c r="AP46" s="46">
        <v>8000</v>
      </c>
      <c r="AQ46" t="s">
        <v>7512</v>
      </c>
    </row>
    <row r="47" spans="1:43">
      <c r="A47" s="374" t="s">
        <v>384</v>
      </c>
      <c r="B47" s="374">
        <v>1</v>
      </c>
      <c r="C47" s="374" t="s">
        <v>385</v>
      </c>
      <c r="D47" s="375" t="str">
        <f t="shared" si="0"/>
        <v>46 Annabella Street1</v>
      </c>
      <c r="E47" s="375" t="s">
        <v>386</v>
      </c>
      <c r="F47" s="375"/>
      <c r="G47" s="375"/>
      <c r="H47" s="375"/>
      <c r="I47" s="63"/>
      <c r="J47" s="47">
        <f t="shared" si="4"/>
        <v>3740</v>
      </c>
      <c r="K47" s="46" t="s">
        <v>10735</v>
      </c>
      <c r="L47" s="47"/>
      <c r="M47" s="47"/>
      <c r="N47" s="47"/>
      <c r="O47" s="47"/>
      <c r="P47" s="47"/>
      <c r="Q47" s="47">
        <f t="shared" si="6"/>
        <v>0</v>
      </c>
      <c r="R47" s="47"/>
      <c r="S47" s="47"/>
      <c r="T47" s="47"/>
      <c r="U47" s="47"/>
      <c r="V47" s="47"/>
      <c r="W47" s="47"/>
      <c r="X47" s="47"/>
      <c r="Y47" s="47"/>
      <c r="Z47" s="47">
        <f t="shared" si="5"/>
        <v>4620</v>
      </c>
      <c r="AA47" s="47"/>
      <c r="AB47" s="47"/>
      <c r="AC47" s="47"/>
      <c r="AD47" s="47"/>
      <c r="AE47" s="47"/>
      <c r="AF47" s="47"/>
      <c r="AG47" s="47"/>
      <c r="AH47" s="47" t="str">
        <f>IFERROR(_xlfn.XLOOKUP(Table6[[#This Row],[Suburb]],Table5[Travel Surcharge],Table5[$$]),"")</f>
        <v/>
      </c>
      <c r="AI47" s="47"/>
      <c r="AJ47" s="47"/>
      <c r="AL47" t="str">
        <v>Accolade Estate</v>
      </c>
      <c r="AO47" t="s">
        <v>284</v>
      </c>
      <c r="AP47" s="46">
        <v>1500</v>
      </c>
    </row>
    <row r="48" spans="1:43">
      <c r="A48" s="374" t="s">
        <v>387</v>
      </c>
      <c r="B48" s="374">
        <v>1</v>
      </c>
      <c r="C48" s="374" t="s">
        <v>388</v>
      </c>
      <c r="D48" s="375" t="str">
        <f t="shared" si="0"/>
        <v>47S Strathlea Drive1</v>
      </c>
      <c r="E48" s="375" t="s">
        <v>389</v>
      </c>
      <c r="F48" s="375"/>
      <c r="G48" s="375" t="s">
        <v>390</v>
      </c>
      <c r="H48" s="375" t="s">
        <v>391</v>
      </c>
      <c r="I48" s="63" t="s">
        <v>392</v>
      </c>
      <c r="J48" s="47"/>
      <c r="K48" s="46" t="s">
        <v>10735</v>
      </c>
      <c r="L48" s="47"/>
      <c r="M48" s="47"/>
      <c r="N48" s="47"/>
      <c r="O48" s="47"/>
      <c r="P48" s="47"/>
      <c r="Q48" s="47">
        <f t="shared" si="6"/>
        <v>0</v>
      </c>
      <c r="R48" s="47"/>
      <c r="S48" s="47"/>
      <c r="T48" s="47"/>
      <c r="U48" s="47"/>
      <c r="V48" s="47"/>
      <c r="W48" s="47"/>
      <c r="X48" s="47"/>
      <c r="Y48" s="47"/>
      <c r="Z48" s="47">
        <f t="shared" si="5"/>
        <v>4620</v>
      </c>
      <c r="AA48" s="47"/>
      <c r="AB48" s="47"/>
      <c r="AC48" s="47"/>
      <c r="AD48" s="47"/>
      <c r="AE48" s="47"/>
      <c r="AF48" s="47"/>
      <c r="AG48" s="47"/>
      <c r="AH48" s="47" t="str">
        <f>IFERROR(_xlfn.XLOOKUP(Table6[[#This Row],[Suburb]],Table5[Travel Surcharge],Table5[$$]),"")</f>
        <v/>
      </c>
      <c r="AI48" s="47"/>
      <c r="AJ48" s="47"/>
      <c r="AL48" t="str">
        <v>Acre Ridge</v>
      </c>
      <c r="AO48" t="s">
        <v>7534</v>
      </c>
      <c r="AP48" s="46">
        <v>8000</v>
      </c>
      <c r="AQ48" t="s">
        <v>7512</v>
      </c>
    </row>
    <row r="49" spans="1:43">
      <c r="A49" s="374" t="s">
        <v>406</v>
      </c>
      <c r="B49" s="374">
        <v>1</v>
      </c>
      <c r="C49" s="374" t="s">
        <v>290</v>
      </c>
      <c r="D49" s="375" t="str">
        <f t="shared" si="0"/>
        <v>53 Westernport Road1</v>
      </c>
      <c r="E49" s="375" t="s">
        <v>407</v>
      </c>
      <c r="F49" s="375"/>
      <c r="G49" s="375"/>
      <c r="H49" s="375"/>
      <c r="I49" s="63"/>
      <c r="J49" s="47"/>
      <c r="K49" s="46" t="s">
        <v>10735</v>
      </c>
      <c r="L49" s="47"/>
      <c r="M49" s="47"/>
      <c r="N49" s="47"/>
      <c r="O49" s="47"/>
      <c r="P49" s="47">
        <v>8500</v>
      </c>
      <c r="Q49" s="47">
        <f t="shared" si="6"/>
        <v>0</v>
      </c>
      <c r="R49" s="47"/>
      <c r="S49" s="47"/>
      <c r="T49" s="47"/>
      <c r="U49" s="47"/>
      <c r="V49" s="47"/>
      <c r="W49" s="47"/>
      <c r="X49" s="47"/>
      <c r="Y49" s="47"/>
      <c r="Z49" s="47">
        <f t="shared" si="5"/>
        <v>4620</v>
      </c>
      <c r="AA49" s="47"/>
      <c r="AB49" s="47"/>
      <c r="AC49" s="47"/>
      <c r="AD49" s="47"/>
      <c r="AE49" s="47"/>
      <c r="AF49" s="47"/>
      <c r="AG49" s="47"/>
      <c r="AH49" s="47">
        <f>IFERROR(_xlfn.XLOOKUP(Table6[[#This Row],[Suburb]],Table5[Travel Surcharge],Table5[$$]),"")</f>
        <v>7000</v>
      </c>
      <c r="AI49" s="47"/>
      <c r="AJ49" s="47"/>
      <c r="AL49" t="str">
        <v>Adara Estate</v>
      </c>
      <c r="AO49" t="s">
        <v>299</v>
      </c>
      <c r="AP49" s="46">
        <v>7000</v>
      </c>
    </row>
    <row r="50" spans="1:43">
      <c r="A50" s="157" t="s">
        <v>7770</v>
      </c>
      <c r="B50" s="157">
        <v>1</v>
      </c>
      <c r="C50" s="157" t="s">
        <v>1532</v>
      </c>
      <c r="D50" s="157" t="str">
        <f t="shared" si="0"/>
        <v>9 Chestnut Way1</v>
      </c>
      <c r="E50" s="157" t="s">
        <v>9329</v>
      </c>
      <c r="F50" s="157"/>
      <c r="G50" s="157"/>
      <c r="H50" s="157"/>
      <c r="I50" s="158"/>
      <c r="J50" s="47">
        <f>J$7</f>
        <v>3740</v>
      </c>
      <c r="K50" s="46" t="s">
        <v>10735</v>
      </c>
      <c r="L50" s="47"/>
      <c r="M50" s="47"/>
      <c r="N50" s="47"/>
      <c r="O50" s="47"/>
      <c r="P50" s="47"/>
      <c r="Q50" s="47">
        <f t="shared" si="6"/>
        <v>0</v>
      </c>
      <c r="R50" s="47"/>
      <c r="S50" s="47"/>
      <c r="T50" s="47"/>
      <c r="U50" s="47"/>
      <c r="V50" s="47"/>
      <c r="W50" s="47"/>
      <c r="X50" s="47"/>
      <c r="Y50" s="47"/>
      <c r="Z50" s="47">
        <f t="shared" si="5"/>
        <v>4620</v>
      </c>
      <c r="AA50" s="47"/>
      <c r="AB50" s="47"/>
      <c r="AC50" s="47"/>
      <c r="AD50" s="47"/>
      <c r="AE50" s="47"/>
      <c r="AF50" s="47"/>
      <c r="AG50" s="47"/>
      <c r="AH50" s="47">
        <f>IFERROR(_xlfn.XLOOKUP(Table6[[#This Row],[Suburb]],Table5[Travel Surcharge],Table5[$$]),"")</f>
        <v>1500</v>
      </c>
      <c r="AI50" s="47"/>
      <c r="AJ50" s="47"/>
      <c r="AL50" t="str">
        <v>Affinity</v>
      </c>
      <c r="AO50" t="s">
        <v>7571</v>
      </c>
      <c r="AP50" s="46">
        <v>8000</v>
      </c>
      <c r="AQ50" t="s">
        <v>7512</v>
      </c>
    </row>
    <row r="51" spans="1:43">
      <c r="A51" s="374" t="s">
        <v>393</v>
      </c>
      <c r="B51" s="374">
        <v>1</v>
      </c>
      <c r="C51" s="374" t="s">
        <v>394</v>
      </c>
      <c r="D51" s="375" t="str">
        <f t="shared" si="0"/>
        <v>910 Bridge In1</v>
      </c>
      <c r="E51" s="375" t="s">
        <v>395</v>
      </c>
      <c r="F51" s="375" t="s">
        <v>396</v>
      </c>
      <c r="G51" s="375" t="s">
        <v>397</v>
      </c>
      <c r="H51" s="375" t="s">
        <v>398</v>
      </c>
      <c r="I51" s="63" t="s">
        <v>399</v>
      </c>
      <c r="J51" s="47"/>
      <c r="K51" s="46" t="s">
        <v>10735</v>
      </c>
      <c r="L51" s="47"/>
      <c r="M51" s="47"/>
      <c r="N51" s="47"/>
      <c r="O51" s="47"/>
      <c r="P51" s="47"/>
      <c r="Q51" s="47">
        <f t="shared" si="6"/>
        <v>0</v>
      </c>
      <c r="R51" s="47"/>
      <c r="S51" s="47"/>
      <c r="T51" s="47"/>
      <c r="U51" s="47"/>
      <c r="V51" s="47"/>
      <c r="W51" s="47"/>
      <c r="X51" s="47"/>
      <c r="Y51" s="47"/>
      <c r="Z51" s="47">
        <f t="shared" si="5"/>
        <v>4620</v>
      </c>
      <c r="AA51" s="47"/>
      <c r="AB51" s="47"/>
      <c r="AC51" s="47"/>
      <c r="AD51" s="47"/>
      <c r="AE51" s="47"/>
      <c r="AF51" s="47"/>
      <c r="AG51" s="47"/>
      <c r="AH51" s="47" t="str">
        <f>IFERROR(_xlfn.XLOOKUP(Table6[[#This Row],[Suburb]],Table5[Travel Surcharge],Table5[$$]),"")</f>
        <v/>
      </c>
      <c r="AI51" s="47"/>
      <c r="AJ51" s="47"/>
      <c r="AL51" t="str">
        <v>Alamora</v>
      </c>
      <c r="AO51" t="s">
        <v>7572</v>
      </c>
      <c r="AP51" s="46">
        <v>8000</v>
      </c>
      <c r="AQ51" t="s">
        <v>7512</v>
      </c>
    </row>
    <row r="52" spans="1:43">
      <c r="A52" s="374" t="s">
        <v>9961</v>
      </c>
      <c r="B52" s="374">
        <v>1</v>
      </c>
      <c r="C52" s="374" t="s">
        <v>428</v>
      </c>
      <c r="D52" s="375" t="str">
        <f>CONCATENATE(A52,B52)</f>
        <v>6 Bushy Rd Clyde North1</v>
      </c>
      <c r="E52" s="375" t="s">
        <v>5707</v>
      </c>
      <c r="F52" s="375"/>
      <c r="G52" s="375"/>
      <c r="H52" s="375"/>
      <c r="I52" s="63"/>
      <c r="J52" s="47"/>
      <c r="K52" s="46" t="s">
        <v>10735</v>
      </c>
      <c r="L52" s="47"/>
      <c r="M52" s="47"/>
      <c r="N52" s="47"/>
      <c r="O52" s="47"/>
      <c r="P52" s="47"/>
      <c r="Q52" s="47">
        <v>0</v>
      </c>
      <c r="R52" s="47" t="s">
        <v>10781</v>
      </c>
      <c r="S52" s="47" t="s">
        <v>9962</v>
      </c>
      <c r="T52" s="47"/>
      <c r="U52" s="47"/>
      <c r="V52" s="47"/>
      <c r="W52" s="47"/>
      <c r="X52" s="47"/>
      <c r="Y52" s="47"/>
      <c r="Z52" s="47">
        <f>Z$7</f>
        <v>4620</v>
      </c>
      <c r="AA52" s="47"/>
      <c r="AB52" s="47"/>
      <c r="AC52" s="47"/>
      <c r="AD52" s="47"/>
      <c r="AE52" s="47"/>
      <c r="AF52" s="47"/>
      <c r="AG52" s="47"/>
      <c r="AH52" s="47" t="str">
        <f>IFERROR(_xlfn.XLOOKUP(Table6[[#This Row],[Suburb]],Table5[Travel Surcharge],Table5[$$]),"")</f>
        <v/>
      </c>
      <c r="AI52" s="47"/>
      <c r="AJ52" s="47"/>
      <c r="AL52" t="str">
        <v>Alarah East Estate</v>
      </c>
      <c r="AO52" t="s">
        <v>7573</v>
      </c>
      <c r="AP52" s="46">
        <v>8000</v>
      </c>
      <c r="AQ52" t="s">
        <v>7512</v>
      </c>
    </row>
    <row r="53" spans="1:43">
      <c r="A53" s="374" t="s">
        <v>10827</v>
      </c>
      <c r="B53" s="374">
        <v>1</v>
      </c>
      <c r="C53" s="374" t="s">
        <v>802</v>
      </c>
      <c r="D53" s="375" t="str">
        <f>CONCATENATE(A53,B53)</f>
        <v>Bayview Estate Officer1</v>
      </c>
      <c r="E53" s="375"/>
      <c r="F53" s="375"/>
      <c r="G53" s="375" t="s">
        <v>5858</v>
      </c>
      <c r="H53" s="375" t="s">
        <v>5859</v>
      </c>
      <c r="I53" s="63" t="s">
        <v>9070</v>
      </c>
      <c r="J53" s="47">
        <v>3740</v>
      </c>
      <c r="K53" s="46" t="str">
        <f>J2</f>
        <v>Provide NBN Co basic fibre pack including:
- Internal conduit with draw string
- 1No. GPO
- 1No. Phone point (run to plates on wall in Garage for patching to NBNCo supplied product) (terminated at WSC)
- 2No. Data points (run to plates on wall in Garage for patching to NBNCo supplied product)
- CAT6 cable CAT6 mech
Note: Excludes connection &amp; Enclosure.</v>
      </c>
      <c r="L53" s="47" t="s">
        <v>10777</v>
      </c>
      <c r="M53" s="47">
        <v>1430</v>
      </c>
      <c r="N53" s="47" t="s">
        <v>10778</v>
      </c>
      <c r="O53" s="47" t="s">
        <v>10779</v>
      </c>
      <c r="P53" s="47" t="s">
        <v>9935</v>
      </c>
      <c r="Q53" s="47">
        <v>0</v>
      </c>
      <c r="R53" s="47"/>
      <c r="S53" s="47">
        <f>S$2</f>
        <v>590</v>
      </c>
      <c r="T53" s="47"/>
      <c r="U53" s="47" t="s">
        <v>10780</v>
      </c>
      <c r="V53" s="47"/>
      <c r="W53" s="47"/>
      <c r="X53" s="47"/>
      <c r="Y53" s="47"/>
      <c r="Z53" s="47">
        <f>Z$7</f>
        <v>4620</v>
      </c>
      <c r="AA53" s="47"/>
      <c r="AB53" s="47"/>
      <c r="AC53" s="47"/>
      <c r="AD53" s="47"/>
      <c r="AE53" s="47"/>
      <c r="AF53" s="47"/>
      <c r="AG53" s="47"/>
      <c r="AH53" s="47" t="e">
        <f>IF((COUNTIF(#REF!,C53)&gt;0),(IF('Pricing Sheet'!$C$3&lt;&gt;"",(VLOOKUP(C53,AQ:AQ,2,FALSE)),(VLOOKUP(C53,AQ:AQ,3,FALSE)))),"")</f>
        <v>#REF!</v>
      </c>
      <c r="AI53" s="47"/>
      <c r="AJ53" s="47"/>
      <c r="AL53" t="str">
        <v>Albright Estate</v>
      </c>
      <c r="AO53" t="s">
        <v>9558</v>
      </c>
      <c r="AP53" s="46">
        <v>18000</v>
      </c>
      <c r="AQ53" t="s">
        <v>10242</v>
      </c>
    </row>
    <row r="54" spans="1:43">
      <c r="A54" s="374" t="s">
        <v>9676</v>
      </c>
      <c r="B54" s="374">
        <v>2</v>
      </c>
      <c r="C54" s="374" t="s">
        <v>7512</v>
      </c>
      <c r="D54" s="375" t="str">
        <f t="shared" si="0"/>
        <v>Aberdeen2</v>
      </c>
      <c r="E54" s="375" t="s">
        <v>9677</v>
      </c>
      <c r="F54" s="375" t="s">
        <v>9678</v>
      </c>
      <c r="G54" s="375"/>
      <c r="H54" s="375">
        <v>418857264</v>
      </c>
      <c r="I54" s="63" t="s">
        <v>9679</v>
      </c>
      <c r="J54" s="47"/>
      <c r="K54" s="46" t="s">
        <v>10735</v>
      </c>
      <c r="L54" s="47"/>
      <c r="M54" s="47"/>
      <c r="N54" s="47"/>
      <c r="O54" s="47">
        <f>O$7</f>
        <v>4950</v>
      </c>
      <c r="P54" s="47"/>
      <c r="Q54" s="47"/>
      <c r="R54" s="47"/>
      <c r="S54" s="47">
        <f>S$2</f>
        <v>590</v>
      </c>
      <c r="T54" s="47"/>
      <c r="U54" s="47"/>
      <c r="V54" s="47"/>
      <c r="W54" s="47"/>
      <c r="X54" s="47"/>
      <c r="Y54" s="47"/>
      <c r="Z54" s="47">
        <f t="shared" si="5"/>
        <v>4620</v>
      </c>
      <c r="AA54" s="47"/>
      <c r="AB54" s="47"/>
      <c r="AC54" s="47"/>
      <c r="AD54" s="47"/>
      <c r="AE54" s="47"/>
      <c r="AF54" s="47">
        <v>1650</v>
      </c>
      <c r="AG54" s="47"/>
      <c r="AH54" s="47">
        <v>8000</v>
      </c>
      <c r="AI54" s="47"/>
      <c r="AJ54" s="47"/>
      <c r="AL54" t="str">
        <v>Aldo</v>
      </c>
      <c r="AO54" t="s">
        <v>7574</v>
      </c>
      <c r="AP54" s="46">
        <v>8000</v>
      </c>
      <c r="AQ54" t="s">
        <v>7512</v>
      </c>
    </row>
    <row r="55" spans="1:43">
      <c r="A55" s="374" t="s">
        <v>9676</v>
      </c>
      <c r="B55" s="374">
        <v>4</v>
      </c>
      <c r="C55" s="374" t="s">
        <v>7512</v>
      </c>
      <c r="D55" s="375" t="str">
        <f t="shared" si="0"/>
        <v>Aberdeen4</v>
      </c>
      <c r="E55" s="375" t="s">
        <v>10176</v>
      </c>
      <c r="F55" s="375" t="s">
        <v>9678</v>
      </c>
      <c r="G55" s="375"/>
      <c r="H55" s="375">
        <v>418857264</v>
      </c>
      <c r="I55" s="63" t="s">
        <v>9679</v>
      </c>
      <c r="J55" s="47"/>
      <c r="K55" s="46" t="s">
        <v>10735</v>
      </c>
      <c r="L55" s="47"/>
      <c r="M55" s="47"/>
      <c r="N55" s="47"/>
      <c r="O55" s="47">
        <v>4950</v>
      </c>
      <c r="P55" s="47"/>
      <c r="Q55" s="47"/>
      <c r="R55" s="47"/>
      <c r="S55" s="47">
        <v>590</v>
      </c>
      <c r="T55" s="47"/>
      <c r="U55" s="47"/>
      <c r="V55" s="47"/>
      <c r="W55" s="47"/>
      <c r="X55" s="47"/>
      <c r="Y55" s="47"/>
      <c r="Z55" s="47">
        <v>4620</v>
      </c>
      <c r="AA55" s="47"/>
      <c r="AB55" s="47"/>
      <c r="AC55" s="47"/>
      <c r="AD55" s="47"/>
      <c r="AE55" s="47"/>
      <c r="AF55" s="47">
        <v>1650</v>
      </c>
      <c r="AG55" s="47"/>
      <c r="AH55" s="47">
        <v>8000</v>
      </c>
      <c r="AI55" s="47"/>
      <c r="AJ55" s="47"/>
      <c r="AL55" t="str">
        <v>Alexander Estate</v>
      </c>
      <c r="AO55" t="s">
        <v>279</v>
      </c>
      <c r="AP55" s="46">
        <v>1500</v>
      </c>
    </row>
    <row r="56" spans="1:43">
      <c r="A56" s="374" t="s">
        <v>9676</v>
      </c>
      <c r="B56" s="374">
        <v>6</v>
      </c>
      <c r="C56" s="374" t="s">
        <v>7512</v>
      </c>
      <c r="D56" s="375" t="str">
        <f t="shared" si="0"/>
        <v>Aberdeen6</v>
      </c>
      <c r="E56" s="375" t="s">
        <v>10976</v>
      </c>
      <c r="F56" s="375" t="s">
        <v>9678</v>
      </c>
      <c r="G56" s="375"/>
      <c r="H56" s="375">
        <v>418857264</v>
      </c>
      <c r="I56" s="63" t="s">
        <v>9679</v>
      </c>
      <c r="J56" s="47"/>
      <c r="K56" s="46" t="s">
        <v>10735</v>
      </c>
      <c r="L56" s="47"/>
      <c r="M56" s="47"/>
      <c r="N56" s="47"/>
      <c r="O56" s="47">
        <v>4950</v>
      </c>
      <c r="P56" s="47"/>
      <c r="Q56" s="47"/>
      <c r="R56" s="47"/>
      <c r="S56" s="47">
        <v>590</v>
      </c>
      <c r="T56" s="47"/>
      <c r="U56" s="47"/>
      <c r="V56" s="47"/>
      <c r="W56" s="47"/>
      <c r="X56" s="47"/>
      <c r="Y56" s="47"/>
      <c r="Z56" s="47">
        <v>4620</v>
      </c>
      <c r="AA56" s="47"/>
      <c r="AB56" s="47"/>
      <c r="AC56" s="47"/>
      <c r="AD56" s="47"/>
      <c r="AE56" s="47"/>
      <c r="AF56" s="47">
        <v>1650</v>
      </c>
      <c r="AG56" s="47"/>
      <c r="AH56" s="47">
        <v>8000</v>
      </c>
      <c r="AI56" s="47"/>
      <c r="AJ56" s="47"/>
      <c r="AL56" t="str">
        <v>Alexander Park</v>
      </c>
      <c r="AO56" t="s">
        <v>10241</v>
      </c>
      <c r="AP56" s="46">
        <v>8000</v>
      </c>
      <c r="AQ56" t="s">
        <v>7512</v>
      </c>
    </row>
    <row r="57" spans="1:43">
      <c r="A57" s="374" t="s">
        <v>9676</v>
      </c>
      <c r="B57" s="276" t="s">
        <v>5101</v>
      </c>
      <c r="C57" s="374" t="s">
        <v>7512</v>
      </c>
      <c r="D57" s="375" t="str">
        <f t="shared" si="0"/>
        <v>AberdeenA</v>
      </c>
      <c r="E57" s="375" t="s">
        <v>10289</v>
      </c>
      <c r="F57" s="375" t="s">
        <v>9678</v>
      </c>
      <c r="G57" s="375"/>
      <c r="H57" s="375">
        <v>418857264</v>
      </c>
      <c r="I57" s="63" t="s">
        <v>9679</v>
      </c>
      <c r="J57" s="47"/>
      <c r="K57" s="46" t="s">
        <v>10735</v>
      </c>
      <c r="L57" s="47"/>
      <c r="M57" s="47"/>
      <c r="N57" s="47"/>
      <c r="O57" s="47">
        <v>4950</v>
      </c>
      <c r="P57" s="47"/>
      <c r="Q57" s="47"/>
      <c r="R57" s="47"/>
      <c r="S57" s="47">
        <v>590</v>
      </c>
      <c r="T57" s="47"/>
      <c r="U57" s="47"/>
      <c r="V57" s="47"/>
      <c r="W57" s="47"/>
      <c r="X57" s="47"/>
      <c r="Y57" s="47"/>
      <c r="Z57" s="47">
        <v>4620</v>
      </c>
      <c r="AA57" s="47"/>
      <c r="AB57" s="47"/>
      <c r="AC57" s="47"/>
      <c r="AD57" s="47"/>
      <c r="AE57" s="47"/>
      <c r="AF57" s="47">
        <v>1650</v>
      </c>
      <c r="AG57" s="47"/>
      <c r="AH57" s="47">
        <v>8000</v>
      </c>
      <c r="AI57" s="47"/>
      <c r="AJ57" s="47"/>
      <c r="AL57" t="str">
        <v>Alfredton Central Estate</v>
      </c>
      <c r="AO57" t="s">
        <v>282</v>
      </c>
      <c r="AP57" s="46">
        <v>8000</v>
      </c>
      <c r="AQ57" t="s">
        <v>7512</v>
      </c>
    </row>
    <row r="58" spans="1:43" ht="18" customHeight="1">
      <c r="A58" s="374" t="s">
        <v>9676</v>
      </c>
      <c r="B58" s="276" t="s">
        <v>8602</v>
      </c>
      <c r="C58" s="374" t="s">
        <v>7512</v>
      </c>
      <c r="D58" s="375" t="str">
        <f t="shared" si="0"/>
        <v>AberdeenB</v>
      </c>
      <c r="E58" s="375" t="s">
        <v>9677</v>
      </c>
      <c r="F58" s="375" t="s">
        <v>9678</v>
      </c>
      <c r="G58" s="375"/>
      <c r="H58" s="375">
        <v>418857264</v>
      </c>
      <c r="I58" s="63" t="s">
        <v>9679</v>
      </c>
      <c r="J58" s="47"/>
      <c r="K58" s="46" t="s">
        <v>10735</v>
      </c>
      <c r="L58" s="47"/>
      <c r="M58" s="47"/>
      <c r="N58" s="47"/>
      <c r="O58" s="47">
        <v>4950</v>
      </c>
      <c r="P58" s="47"/>
      <c r="Q58" s="47"/>
      <c r="R58" s="47"/>
      <c r="S58" s="47">
        <v>590</v>
      </c>
      <c r="T58" s="47"/>
      <c r="U58" s="47"/>
      <c r="V58" s="47"/>
      <c r="W58" s="47"/>
      <c r="X58" s="47"/>
      <c r="Y58" s="47"/>
      <c r="Z58" s="47">
        <v>4620</v>
      </c>
      <c r="AA58" s="47"/>
      <c r="AB58" s="47"/>
      <c r="AC58" s="47"/>
      <c r="AD58" s="47"/>
      <c r="AE58" s="47"/>
      <c r="AF58" s="47">
        <v>1650</v>
      </c>
      <c r="AG58" s="47"/>
      <c r="AH58" s="47">
        <v>8000</v>
      </c>
      <c r="AI58" s="47"/>
      <c r="AJ58" s="47"/>
      <c r="AL58" t="str">
        <v>Alfredton Grove Estate</v>
      </c>
      <c r="AO58" t="s">
        <v>282</v>
      </c>
      <c r="AP58" s="46">
        <v>8000</v>
      </c>
      <c r="AQ58" t="s">
        <v>7512</v>
      </c>
    </row>
    <row r="59" spans="1:43">
      <c r="A59" s="374" t="s">
        <v>9676</v>
      </c>
      <c r="B59" s="276" t="s">
        <v>10287</v>
      </c>
      <c r="C59" s="374" t="s">
        <v>7512</v>
      </c>
      <c r="D59" s="375" t="str">
        <f t="shared" si="0"/>
        <v>AberdeenC</v>
      </c>
      <c r="E59" s="375" t="s">
        <v>10290</v>
      </c>
      <c r="F59" s="375" t="s">
        <v>9678</v>
      </c>
      <c r="G59" s="375"/>
      <c r="H59" s="375">
        <v>418857264</v>
      </c>
      <c r="I59" s="63" t="s">
        <v>9679</v>
      </c>
      <c r="J59" s="47"/>
      <c r="K59" s="46" t="s">
        <v>10735</v>
      </c>
      <c r="L59" s="47"/>
      <c r="M59" s="47"/>
      <c r="N59" s="47"/>
      <c r="O59" s="47">
        <v>4950</v>
      </c>
      <c r="P59" s="47"/>
      <c r="Q59" s="47"/>
      <c r="R59" s="47"/>
      <c r="S59" s="47">
        <v>590</v>
      </c>
      <c r="T59" s="47"/>
      <c r="U59" s="47"/>
      <c r="V59" s="47"/>
      <c r="W59" s="47"/>
      <c r="X59" s="47"/>
      <c r="Y59" s="47"/>
      <c r="Z59" s="47">
        <v>4620</v>
      </c>
      <c r="AA59" s="47"/>
      <c r="AB59" s="47"/>
      <c r="AC59" s="47"/>
      <c r="AD59" s="47"/>
      <c r="AE59" s="47"/>
      <c r="AF59" s="47">
        <v>1650</v>
      </c>
      <c r="AG59" s="47"/>
      <c r="AH59" s="47">
        <v>8000</v>
      </c>
      <c r="AI59" s="47"/>
      <c r="AJ59" s="47"/>
      <c r="AL59" t="str">
        <v>Alira Estate</v>
      </c>
      <c r="AO59" t="s">
        <v>7575</v>
      </c>
      <c r="AP59" s="46">
        <v>8000</v>
      </c>
      <c r="AQ59" t="s">
        <v>7512</v>
      </c>
    </row>
    <row r="60" spans="1:43">
      <c r="A60" s="374" t="s">
        <v>9676</v>
      </c>
      <c r="B60" s="276" t="s">
        <v>10288</v>
      </c>
      <c r="C60" s="374" t="s">
        <v>7512</v>
      </c>
      <c r="D60" s="375" t="str">
        <f t="shared" si="0"/>
        <v>AberdeenD</v>
      </c>
      <c r="E60" s="375" t="s">
        <v>10176</v>
      </c>
      <c r="F60" s="375" t="s">
        <v>9678</v>
      </c>
      <c r="G60" s="375"/>
      <c r="H60" s="375">
        <v>418857264</v>
      </c>
      <c r="I60" s="63" t="s">
        <v>9679</v>
      </c>
      <c r="J60" s="47"/>
      <c r="K60" s="46" t="s">
        <v>10735</v>
      </c>
      <c r="L60" s="47"/>
      <c r="M60" s="47"/>
      <c r="N60" s="47"/>
      <c r="O60" s="47">
        <v>4950</v>
      </c>
      <c r="P60" s="47"/>
      <c r="Q60" s="47"/>
      <c r="R60" s="47"/>
      <c r="S60" s="47">
        <v>590</v>
      </c>
      <c r="T60" s="47"/>
      <c r="U60" s="47"/>
      <c r="V60" s="47"/>
      <c r="W60" s="47"/>
      <c r="X60" s="47"/>
      <c r="Y60" s="47"/>
      <c r="Z60" s="47">
        <v>4620</v>
      </c>
      <c r="AA60" s="47"/>
      <c r="AB60" s="47"/>
      <c r="AC60" s="47"/>
      <c r="AD60" s="47"/>
      <c r="AE60" s="47"/>
      <c r="AF60" s="47">
        <v>1650</v>
      </c>
      <c r="AG60" s="47"/>
      <c r="AH60" s="47">
        <v>8000</v>
      </c>
      <c r="AI60" s="47"/>
      <c r="AJ60" s="47"/>
      <c r="AL60" t="str">
        <v>Alkyra Estate</v>
      </c>
      <c r="AO60" t="s">
        <v>289</v>
      </c>
      <c r="AP60" s="46">
        <v>7000</v>
      </c>
    </row>
    <row r="61" spans="1:43">
      <c r="A61" s="374" t="s">
        <v>441</v>
      </c>
      <c r="B61" s="374">
        <v>6</v>
      </c>
      <c r="C61" s="374" t="s">
        <v>442</v>
      </c>
      <c r="D61" s="375" t="str">
        <f t="shared" si="0"/>
        <v>Acacia Estate6</v>
      </c>
      <c r="E61" s="375" t="s">
        <v>443</v>
      </c>
      <c r="F61" s="375" t="s">
        <v>444</v>
      </c>
      <c r="G61" s="375" t="s">
        <v>445</v>
      </c>
      <c r="H61" s="375" t="s">
        <v>446</v>
      </c>
      <c r="I61" s="63" t="s">
        <v>447</v>
      </c>
      <c r="J61" s="47">
        <f t="shared" ref="J61:J87" si="7">J$7</f>
        <v>3740</v>
      </c>
      <c r="K61" s="46" t="s">
        <v>10735</v>
      </c>
      <c r="L61" s="47"/>
      <c r="M61" s="47">
        <f>M$7</f>
        <v>1430.0000000000002</v>
      </c>
      <c r="N61" s="47"/>
      <c r="O61" s="47"/>
      <c r="P61" s="47"/>
      <c r="Q61" s="47" t="s">
        <v>448</v>
      </c>
      <c r="R61" s="47"/>
      <c r="S61" s="47"/>
      <c r="T61" s="47" t="s">
        <v>449</v>
      </c>
      <c r="U61" s="47"/>
      <c r="V61" s="47"/>
      <c r="W61" s="47"/>
      <c r="X61" s="47"/>
      <c r="Y61" s="47"/>
      <c r="Z61" s="47"/>
      <c r="AA61" s="47"/>
      <c r="AB61" s="47"/>
      <c r="AC61" s="47"/>
      <c r="AD61" s="47"/>
      <c r="AE61" s="47"/>
      <c r="AF61" s="47">
        <f t="shared" ref="AF61:AF87" si="8">AF$7</f>
        <v>1485</v>
      </c>
      <c r="AG61" s="47"/>
      <c r="AH61" s="47" t="str">
        <f>IFERROR(_xlfn.XLOOKUP(Table6[[#This Row],[Suburb]],Table5[Travel Surcharge],Table5[$$]),"")</f>
        <v/>
      </c>
      <c r="AI61" s="47"/>
      <c r="AJ61" s="47"/>
      <c r="AL61" t="str">
        <v>Allanvale Estate</v>
      </c>
      <c r="AO61" t="s">
        <v>7576</v>
      </c>
      <c r="AP61" s="46">
        <v>8000</v>
      </c>
      <c r="AQ61" t="s">
        <v>7512</v>
      </c>
    </row>
    <row r="62" spans="1:43">
      <c r="A62" s="374" t="s">
        <v>441</v>
      </c>
      <c r="B62" s="374">
        <v>8</v>
      </c>
      <c r="C62" s="374" t="s">
        <v>442</v>
      </c>
      <c r="D62" s="375" t="str">
        <f t="shared" si="0"/>
        <v>Acacia Estate8</v>
      </c>
      <c r="E62" s="375" t="s">
        <v>450</v>
      </c>
      <c r="F62" s="375" t="s">
        <v>444</v>
      </c>
      <c r="G62" s="375" t="s">
        <v>445</v>
      </c>
      <c r="H62" s="375" t="s">
        <v>446</v>
      </c>
      <c r="I62" s="63" t="s">
        <v>447</v>
      </c>
      <c r="J62" s="47">
        <f t="shared" si="7"/>
        <v>3740</v>
      </c>
      <c r="K62" s="46" t="s">
        <v>10735</v>
      </c>
      <c r="L62" s="47"/>
      <c r="M62" s="47">
        <f>M$7</f>
        <v>1430.0000000000002</v>
      </c>
      <c r="N62" s="47"/>
      <c r="O62" s="47"/>
      <c r="P62" s="47"/>
      <c r="Q62" s="47" t="s">
        <v>448</v>
      </c>
      <c r="R62" s="47"/>
      <c r="S62" s="47"/>
      <c r="T62" s="47" t="s">
        <v>449</v>
      </c>
      <c r="U62" s="47"/>
      <c r="V62" s="47"/>
      <c r="W62" s="47"/>
      <c r="X62" s="47"/>
      <c r="Y62" s="47"/>
      <c r="Z62" s="47"/>
      <c r="AA62" s="47"/>
      <c r="AB62" s="47"/>
      <c r="AC62" s="47"/>
      <c r="AD62" s="47"/>
      <c r="AE62" s="47"/>
      <c r="AF62" s="47">
        <f t="shared" si="8"/>
        <v>1485</v>
      </c>
      <c r="AG62" s="47"/>
      <c r="AH62" s="47" t="str">
        <f>IFERROR(_xlfn.XLOOKUP(Table6[[#This Row],[Suburb]],Table5[Travel Surcharge],Table5[$$]),"")</f>
        <v/>
      </c>
      <c r="AI62" s="47"/>
      <c r="AJ62" s="47"/>
      <c r="AL62" t="str">
        <v>Allara Estate</v>
      </c>
      <c r="AO62" t="s">
        <v>7577</v>
      </c>
      <c r="AP62" s="46">
        <v>8000</v>
      </c>
      <c r="AQ62" t="s">
        <v>7512</v>
      </c>
    </row>
    <row r="63" spans="1:43">
      <c r="A63" s="374" t="s">
        <v>441</v>
      </c>
      <c r="B63" s="374">
        <v>9</v>
      </c>
      <c r="C63" s="374" t="s">
        <v>442</v>
      </c>
      <c r="D63" s="375" t="str">
        <f t="shared" si="0"/>
        <v>Acacia Estate9</v>
      </c>
      <c r="E63" s="375" t="s">
        <v>451</v>
      </c>
      <c r="F63" s="375" t="s">
        <v>444</v>
      </c>
      <c r="G63" s="375" t="s">
        <v>445</v>
      </c>
      <c r="H63" s="375" t="s">
        <v>446</v>
      </c>
      <c r="I63" s="63" t="s">
        <v>447</v>
      </c>
      <c r="J63" s="47">
        <f t="shared" si="7"/>
        <v>3740</v>
      </c>
      <c r="K63" s="46" t="s">
        <v>10735</v>
      </c>
      <c r="L63" s="47"/>
      <c r="M63" s="47">
        <f>M$7</f>
        <v>1430.0000000000002</v>
      </c>
      <c r="N63" s="47"/>
      <c r="O63" s="47"/>
      <c r="P63" s="47"/>
      <c r="Q63" s="47" t="s">
        <v>448</v>
      </c>
      <c r="R63" s="47"/>
      <c r="S63" s="47"/>
      <c r="T63" s="47" t="s">
        <v>449</v>
      </c>
      <c r="U63" s="47"/>
      <c r="V63" s="47"/>
      <c r="W63" s="47"/>
      <c r="X63" s="47"/>
      <c r="Y63" s="47"/>
      <c r="Z63" s="47"/>
      <c r="AA63" s="47"/>
      <c r="AB63" s="47"/>
      <c r="AC63" s="47"/>
      <c r="AD63" s="47"/>
      <c r="AE63" s="47"/>
      <c r="AF63" s="47">
        <f t="shared" si="8"/>
        <v>1485</v>
      </c>
      <c r="AG63" s="47"/>
      <c r="AH63" s="47" t="str">
        <f>IFERROR(_xlfn.XLOOKUP(Table6[[#This Row],[Suburb]],Table5[Travel Surcharge],Table5[$$]),"")</f>
        <v/>
      </c>
      <c r="AI63" s="47"/>
      <c r="AJ63" s="47"/>
      <c r="AL63" t="str">
        <v>Allara Winchelsea</v>
      </c>
      <c r="AO63" t="s">
        <v>7578</v>
      </c>
      <c r="AP63" s="46">
        <v>8000</v>
      </c>
      <c r="AQ63" t="s">
        <v>7512</v>
      </c>
    </row>
    <row r="64" spans="1:43">
      <c r="A64" s="374" t="s">
        <v>441</v>
      </c>
      <c r="B64" s="374">
        <v>10</v>
      </c>
      <c r="C64" s="374" t="s">
        <v>442</v>
      </c>
      <c r="D64" s="375" t="str">
        <f t="shared" si="0"/>
        <v>Acacia Estate10</v>
      </c>
      <c r="E64" s="375" t="s">
        <v>452</v>
      </c>
      <c r="F64" s="375" t="s">
        <v>444</v>
      </c>
      <c r="G64" s="375" t="s">
        <v>445</v>
      </c>
      <c r="H64" s="375" t="s">
        <v>446</v>
      </c>
      <c r="I64" s="63" t="s">
        <v>447</v>
      </c>
      <c r="J64" s="47">
        <f t="shared" si="7"/>
        <v>3740</v>
      </c>
      <c r="K64" s="46" t="s">
        <v>10735</v>
      </c>
      <c r="L64" s="47"/>
      <c r="M64" s="47">
        <f>M$7</f>
        <v>1430.0000000000002</v>
      </c>
      <c r="N64" s="47"/>
      <c r="O64" s="47"/>
      <c r="P64" s="47"/>
      <c r="Q64" s="47" t="s">
        <v>448</v>
      </c>
      <c r="R64" s="47"/>
      <c r="S64" s="47"/>
      <c r="T64" s="47" t="s">
        <v>449</v>
      </c>
      <c r="U64" s="47"/>
      <c r="V64" s="47"/>
      <c r="W64" s="47"/>
      <c r="X64" s="47"/>
      <c r="Y64" s="47"/>
      <c r="Z64" s="47"/>
      <c r="AA64" s="47"/>
      <c r="AB64" s="47"/>
      <c r="AC64" s="47"/>
      <c r="AD64" s="47"/>
      <c r="AE64" s="47"/>
      <c r="AF64" s="47">
        <f t="shared" si="8"/>
        <v>1485</v>
      </c>
      <c r="AG64" s="47"/>
      <c r="AH64" s="47" t="str">
        <f>IFERROR(_xlfn.XLOOKUP(Table6[[#This Row],[Suburb]],Table5[Travel Surcharge],Table5[$$]),"")</f>
        <v/>
      </c>
      <c r="AI64" s="47"/>
      <c r="AJ64" s="47"/>
      <c r="AL64" t="str">
        <v>Allegra</v>
      </c>
      <c r="AO64" t="s">
        <v>7579</v>
      </c>
      <c r="AP64" s="46">
        <v>8000</v>
      </c>
      <c r="AQ64" t="s">
        <v>7512</v>
      </c>
    </row>
    <row r="65" spans="1:43">
      <c r="A65" s="374" t="s">
        <v>441</v>
      </c>
      <c r="B65" s="374">
        <v>11</v>
      </c>
      <c r="C65" s="374" t="s">
        <v>442</v>
      </c>
      <c r="D65" s="375" t="str">
        <f t="shared" si="0"/>
        <v>Acacia Estate11</v>
      </c>
      <c r="E65" s="375" t="s">
        <v>453</v>
      </c>
      <c r="F65" s="375" t="s">
        <v>444</v>
      </c>
      <c r="G65" s="375" t="s">
        <v>445</v>
      </c>
      <c r="H65" s="375" t="s">
        <v>446</v>
      </c>
      <c r="I65" s="63" t="s">
        <v>447</v>
      </c>
      <c r="J65" s="47">
        <f t="shared" si="7"/>
        <v>3740</v>
      </c>
      <c r="K65" s="46" t="s">
        <v>10735</v>
      </c>
      <c r="L65" s="47"/>
      <c r="M65" s="47">
        <f>M$7</f>
        <v>1430.0000000000002</v>
      </c>
      <c r="N65" s="47"/>
      <c r="O65" s="47"/>
      <c r="P65" s="47"/>
      <c r="Q65" s="47" t="s">
        <v>448</v>
      </c>
      <c r="R65" s="47"/>
      <c r="S65" s="47"/>
      <c r="T65" s="47" t="s">
        <v>449</v>
      </c>
      <c r="U65" s="47"/>
      <c r="V65" s="47"/>
      <c r="W65" s="47"/>
      <c r="X65" s="47"/>
      <c r="Y65" s="47"/>
      <c r="Z65" s="47"/>
      <c r="AA65" s="47"/>
      <c r="AB65" s="47"/>
      <c r="AC65" s="47"/>
      <c r="AD65" s="47"/>
      <c r="AE65" s="47"/>
      <c r="AF65" s="47">
        <f t="shared" si="8"/>
        <v>1485</v>
      </c>
      <c r="AG65" s="47"/>
      <c r="AH65" s="47" t="str">
        <f>IFERROR(_xlfn.XLOOKUP(Table6[[#This Row],[Suburb]],Table5[Travel Surcharge],Table5[$$]),"")</f>
        <v/>
      </c>
      <c r="AI65" s="47"/>
      <c r="AJ65" s="47"/>
      <c r="AL65" t="str">
        <v>Allemore</v>
      </c>
      <c r="AO65" t="s">
        <v>7519</v>
      </c>
      <c r="AP65" s="46">
        <v>8000</v>
      </c>
      <c r="AQ65" t="s">
        <v>7512</v>
      </c>
    </row>
    <row r="66" spans="1:43">
      <c r="A66" s="374" t="s">
        <v>454</v>
      </c>
      <c r="B66" s="374">
        <v>1</v>
      </c>
      <c r="C66" s="374" t="s">
        <v>455</v>
      </c>
      <c r="D66" s="375" t="str">
        <f t="shared" si="0"/>
        <v>Acacia Village1</v>
      </c>
      <c r="E66" s="375" t="s">
        <v>456</v>
      </c>
      <c r="F66" s="375" t="s">
        <v>457</v>
      </c>
      <c r="G66" s="375" t="s">
        <v>458</v>
      </c>
      <c r="H66" s="375" t="s">
        <v>459</v>
      </c>
      <c r="I66" s="63" t="s">
        <v>460</v>
      </c>
      <c r="J66" s="47">
        <f t="shared" si="7"/>
        <v>3740</v>
      </c>
      <c r="K66" s="46" t="s">
        <v>316</v>
      </c>
      <c r="L66" s="47"/>
      <c r="M66" s="47"/>
      <c r="N66" s="47" t="s">
        <v>461</v>
      </c>
      <c r="O66" s="47" t="s">
        <v>462</v>
      </c>
      <c r="P66" s="47"/>
      <c r="Q66" s="47"/>
      <c r="R66" s="47"/>
      <c r="S66" s="47" t="s">
        <v>463</v>
      </c>
      <c r="T66" s="47"/>
      <c r="U66" s="47"/>
      <c r="V66" s="47"/>
      <c r="W66" s="47"/>
      <c r="X66" s="47"/>
      <c r="Y66" s="47"/>
      <c r="Z66" s="47">
        <f t="shared" ref="Z66:Z87" si="9">Z$7</f>
        <v>4620</v>
      </c>
      <c r="AA66" s="47"/>
      <c r="AB66" s="47"/>
      <c r="AC66" s="47"/>
      <c r="AD66" s="47" t="s">
        <v>1</v>
      </c>
      <c r="AE66" s="47"/>
      <c r="AF66" s="47">
        <f t="shared" si="8"/>
        <v>1485</v>
      </c>
      <c r="AG66" s="47" t="s">
        <v>464</v>
      </c>
      <c r="AH66" s="47" t="str">
        <f>IFERROR(_xlfn.XLOOKUP(Table6[[#This Row],[Suburb]],Table5[Travel Surcharge],Table5[$$]),"")</f>
        <v/>
      </c>
      <c r="AI66" s="47"/>
      <c r="AJ66" s="47"/>
      <c r="AL66" t="str">
        <v>Allora Avenue</v>
      </c>
      <c r="AO66" t="s">
        <v>7580</v>
      </c>
      <c r="AP66" s="46">
        <v>8000</v>
      </c>
      <c r="AQ66" t="s">
        <v>7512</v>
      </c>
    </row>
    <row r="67" spans="1:43">
      <c r="A67" s="374" t="s">
        <v>454</v>
      </c>
      <c r="B67" s="374">
        <v>2</v>
      </c>
      <c r="C67" s="374" t="s">
        <v>455</v>
      </c>
      <c r="D67" s="375" t="str">
        <f t="shared" si="0"/>
        <v>Acacia Village2</v>
      </c>
      <c r="E67" s="375" t="s">
        <v>465</v>
      </c>
      <c r="F67" s="375" t="s">
        <v>457</v>
      </c>
      <c r="G67" s="375" t="s">
        <v>458</v>
      </c>
      <c r="H67" s="375" t="s">
        <v>459</v>
      </c>
      <c r="I67" s="63" t="s">
        <v>460</v>
      </c>
      <c r="J67" s="47">
        <f t="shared" si="7"/>
        <v>3740</v>
      </c>
      <c r="K67" s="46" t="s">
        <v>316</v>
      </c>
      <c r="L67" s="47"/>
      <c r="M67" s="47"/>
      <c r="N67" s="47" t="s">
        <v>461</v>
      </c>
      <c r="O67" s="47" t="s">
        <v>462</v>
      </c>
      <c r="P67" s="47"/>
      <c r="Q67" s="47"/>
      <c r="R67" s="47"/>
      <c r="S67" s="47" t="s">
        <v>463</v>
      </c>
      <c r="T67" s="47"/>
      <c r="U67" s="47"/>
      <c r="V67" s="47"/>
      <c r="W67" s="47"/>
      <c r="X67" s="47"/>
      <c r="Y67" s="47"/>
      <c r="Z67" s="47">
        <f t="shared" si="9"/>
        <v>4620</v>
      </c>
      <c r="AA67" s="47"/>
      <c r="AB67" s="47"/>
      <c r="AC67" s="47"/>
      <c r="AD67" s="47" t="s">
        <v>1</v>
      </c>
      <c r="AE67" s="47"/>
      <c r="AF67" s="47">
        <f t="shared" si="8"/>
        <v>1485</v>
      </c>
      <c r="AG67" s="47" t="s">
        <v>464</v>
      </c>
      <c r="AH67" s="47" t="str">
        <f>IFERROR(_xlfn.XLOOKUP(Table6[[#This Row],[Suburb]],Table5[Travel Surcharge],Table5[$$]),"")</f>
        <v/>
      </c>
      <c r="AI67" s="47"/>
      <c r="AJ67" s="47"/>
      <c r="AL67" t="str">
        <v>Allura Estate</v>
      </c>
      <c r="AO67" t="s">
        <v>7581</v>
      </c>
      <c r="AP67" s="46">
        <v>8000</v>
      </c>
      <c r="AQ67" t="s">
        <v>7512</v>
      </c>
    </row>
    <row r="68" spans="1:43">
      <c r="A68" s="374" t="s">
        <v>454</v>
      </c>
      <c r="B68" s="374">
        <v>3</v>
      </c>
      <c r="C68" s="374" t="s">
        <v>455</v>
      </c>
      <c r="D68" s="375" t="str">
        <f t="shared" si="0"/>
        <v>Acacia Village3</v>
      </c>
      <c r="E68" s="375" t="s">
        <v>466</v>
      </c>
      <c r="F68" s="375" t="s">
        <v>457</v>
      </c>
      <c r="G68" s="375" t="s">
        <v>458</v>
      </c>
      <c r="H68" s="375" t="s">
        <v>459</v>
      </c>
      <c r="I68" s="63" t="s">
        <v>460</v>
      </c>
      <c r="J68" s="47">
        <f t="shared" si="7"/>
        <v>3740</v>
      </c>
      <c r="K68" s="46" t="s">
        <v>316</v>
      </c>
      <c r="L68" s="47"/>
      <c r="M68" s="47"/>
      <c r="N68" s="47" t="s">
        <v>461</v>
      </c>
      <c r="O68" s="47" t="s">
        <v>462</v>
      </c>
      <c r="P68" s="47"/>
      <c r="Q68" s="47"/>
      <c r="R68" s="47"/>
      <c r="S68" s="47" t="s">
        <v>463</v>
      </c>
      <c r="T68" s="47"/>
      <c r="U68" s="47"/>
      <c r="V68" s="47"/>
      <c r="W68" s="47"/>
      <c r="X68" s="47"/>
      <c r="Y68" s="47"/>
      <c r="Z68" s="47">
        <f t="shared" si="9"/>
        <v>4620</v>
      </c>
      <c r="AA68" s="47"/>
      <c r="AB68" s="47"/>
      <c r="AC68" s="47"/>
      <c r="AD68" s="47" t="s">
        <v>1</v>
      </c>
      <c r="AE68" s="47"/>
      <c r="AF68" s="47">
        <f t="shared" si="8"/>
        <v>1485</v>
      </c>
      <c r="AG68" s="47" t="s">
        <v>464</v>
      </c>
      <c r="AH68" s="47" t="str">
        <f>IFERROR(_xlfn.XLOOKUP(Table6[[#This Row],[Suburb]],Table5[Travel Surcharge],Table5[$$]),"")</f>
        <v/>
      </c>
      <c r="AI68" s="47"/>
      <c r="AJ68" s="47"/>
      <c r="AL68" t="str">
        <v>Allure Estate</v>
      </c>
      <c r="AO68" t="s">
        <v>7582</v>
      </c>
      <c r="AP68" s="46">
        <v>8000</v>
      </c>
      <c r="AQ68" t="s">
        <v>7512</v>
      </c>
    </row>
    <row r="69" spans="1:43">
      <c r="A69" s="374" t="s">
        <v>10420</v>
      </c>
      <c r="B69" s="374">
        <v>2</v>
      </c>
      <c r="C69" s="374" t="s">
        <v>1264</v>
      </c>
      <c r="D69" s="375" t="str">
        <f>CONCATENATE(A69,B69)</f>
        <v>Acclaim2</v>
      </c>
      <c r="E69" s="375" t="s">
        <v>10421</v>
      </c>
      <c r="F69" s="375"/>
      <c r="G69" s="375"/>
      <c r="H69" s="375" t="s">
        <v>10423</v>
      </c>
      <c r="I69" s="63" t="s">
        <v>10422</v>
      </c>
      <c r="J69" s="47">
        <v>3740</v>
      </c>
      <c r="K69" s="46" t="s">
        <v>10735</v>
      </c>
      <c r="L69" s="47" t="s">
        <v>10431</v>
      </c>
      <c r="M69" s="47" t="s">
        <v>10425</v>
      </c>
      <c r="N69" s="47" t="s">
        <v>10426</v>
      </c>
      <c r="O69" s="47">
        <f>O$7</f>
        <v>4950</v>
      </c>
      <c r="P69" s="47" t="s">
        <v>10427</v>
      </c>
      <c r="Q69" s="47"/>
      <c r="R69" s="47">
        <v>540</v>
      </c>
      <c r="S69" s="47" t="s">
        <v>10429</v>
      </c>
      <c r="T69" s="47" t="s">
        <v>10430</v>
      </c>
      <c r="U69" s="47" t="s">
        <v>10424</v>
      </c>
      <c r="V69" s="47" t="s">
        <v>10428</v>
      </c>
      <c r="W69" s="47" t="s">
        <v>10432</v>
      </c>
      <c r="X69" s="47"/>
      <c r="Y69" s="47"/>
      <c r="Z69" s="47">
        <f>Z$7</f>
        <v>4620</v>
      </c>
      <c r="AA69" s="47"/>
      <c r="AB69" s="47"/>
      <c r="AC69" s="47"/>
      <c r="AD69" s="47"/>
      <c r="AE69" s="47"/>
      <c r="AF69" s="47">
        <v>1485</v>
      </c>
      <c r="AG69" s="47"/>
      <c r="AH69" s="47"/>
      <c r="AI69" s="47"/>
      <c r="AJ69" s="47"/>
      <c r="AL69" t="str">
        <v>Alluvium Estate</v>
      </c>
      <c r="AO69" t="s">
        <v>7520</v>
      </c>
      <c r="AP69" s="46">
        <v>8000</v>
      </c>
      <c r="AQ69" t="s">
        <v>7512</v>
      </c>
    </row>
    <row r="70" spans="1:43">
      <c r="A70" s="374" t="s">
        <v>10420</v>
      </c>
      <c r="B70" s="374">
        <v>3</v>
      </c>
      <c r="C70" s="374" t="s">
        <v>1264</v>
      </c>
      <c r="D70" s="375" t="str">
        <f>CONCATENATE(A70,B70)</f>
        <v>Acclaim3</v>
      </c>
      <c r="E70" s="375" t="s">
        <v>10844</v>
      </c>
      <c r="F70" s="375"/>
      <c r="G70" s="375"/>
      <c r="H70" s="375" t="s">
        <v>10423</v>
      </c>
      <c r="I70" s="63" t="s">
        <v>10422</v>
      </c>
      <c r="J70" s="47">
        <v>3740</v>
      </c>
      <c r="K70" s="46" t="s">
        <v>10735</v>
      </c>
      <c r="L70" s="47" t="s">
        <v>10431</v>
      </c>
      <c r="M70" s="47" t="s">
        <v>10425</v>
      </c>
      <c r="N70" s="47" t="s">
        <v>10426</v>
      </c>
      <c r="O70" s="47">
        <v>4950</v>
      </c>
      <c r="P70" s="47" t="s">
        <v>10427</v>
      </c>
      <c r="Q70" s="47"/>
      <c r="R70" s="47">
        <v>540</v>
      </c>
      <c r="S70" s="47" t="s">
        <v>10429</v>
      </c>
      <c r="T70" s="47" t="s">
        <v>10430</v>
      </c>
      <c r="U70" s="47" t="s">
        <v>10424</v>
      </c>
      <c r="V70" s="47" t="s">
        <v>10428</v>
      </c>
      <c r="W70" s="47" t="s">
        <v>10432</v>
      </c>
      <c r="X70" s="47"/>
      <c r="Y70" s="47"/>
      <c r="Z70" s="47">
        <v>4620</v>
      </c>
      <c r="AA70" s="47"/>
      <c r="AB70" s="47"/>
      <c r="AC70" s="47"/>
      <c r="AD70" s="47"/>
      <c r="AE70" s="47"/>
      <c r="AF70" s="47">
        <v>1485</v>
      </c>
      <c r="AG70" s="47"/>
      <c r="AH70" s="47"/>
      <c r="AI70" s="47"/>
      <c r="AJ70" s="47"/>
      <c r="AL70" t="str">
        <v>Alma Estate Clyde North</v>
      </c>
      <c r="AO70" t="s">
        <v>7583</v>
      </c>
      <c r="AP70" s="46">
        <v>8000</v>
      </c>
      <c r="AQ70" t="s">
        <v>7512</v>
      </c>
    </row>
    <row r="71" spans="1:43">
      <c r="A71" s="374" t="s">
        <v>10420</v>
      </c>
      <c r="B71" s="374">
        <v>5</v>
      </c>
      <c r="C71" s="374" t="s">
        <v>1264</v>
      </c>
      <c r="D71" s="375" t="str">
        <f>CONCATENATE(A71,B71)</f>
        <v>Acclaim5</v>
      </c>
      <c r="E71" s="375" t="s">
        <v>10964</v>
      </c>
      <c r="F71" s="375"/>
      <c r="G71" s="375"/>
      <c r="H71" s="375" t="s">
        <v>10423</v>
      </c>
      <c r="I71" s="63" t="s">
        <v>10422</v>
      </c>
      <c r="J71" s="47">
        <v>3740</v>
      </c>
      <c r="K71" s="46" t="s">
        <v>10735</v>
      </c>
      <c r="L71" s="47" t="s">
        <v>10431</v>
      </c>
      <c r="M71" s="47" t="s">
        <v>10425</v>
      </c>
      <c r="N71" s="47" t="s">
        <v>10426</v>
      </c>
      <c r="O71" s="47">
        <v>4950</v>
      </c>
      <c r="P71" s="47" t="s">
        <v>10427</v>
      </c>
      <c r="Q71" s="47"/>
      <c r="R71" s="47">
        <v>540</v>
      </c>
      <c r="S71" s="47" t="s">
        <v>10429</v>
      </c>
      <c r="T71" s="47" t="s">
        <v>10430</v>
      </c>
      <c r="U71" s="47" t="s">
        <v>10424</v>
      </c>
      <c r="V71" s="47" t="s">
        <v>10428</v>
      </c>
      <c r="W71" s="47" t="s">
        <v>10432</v>
      </c>
      <c r="X71" s="47"/>
      <c r="Y71" s="47"/>
      <c r="Z71" s="47">
        <v>4620</v>
      </c>
      <c r="AA71" s="47"/>
      <c r="AB71" s="47"/>
      <c r="AC71" s="47"/>
      <c r="AD71" s="47"/>
      <c r="AE71" s="47"/>
      <c r="AF71" s="47">
        <v>1485</v>
      </c>
      <c r="AG71" s="47"/>
      <c r="AH71" s="47"/>
      <c r="AI71" s="47"/>
      <c r="AJ71" s="47"/>
      <c r="AL71" t="str">
        <v>Altius</v>
      </c>
      <c r="AO71" t="s">
        <v>7584</v>
      </c>
      <c r="AP71" s="46">
        <v>8000</v>
      </c>
      <c r="AQ71" t="s">
        <v>7512</v>
      </c>
    </row>
    <row r="72" spans="1:43">
      <c r="A72" s="374" t="s">
        <v>467</v>
      </c>
      <c r="B72" s="374">
        <v>1</v>
      </c>
      <c r="C72" s="374" t="s">
        <v>468</v>
      </c>
      <c r="D72" s="375" t="str">
        <f t="shared" si="0"/>
        <v>Accolade Estate1</v>
      </c>
      <c r="E72" s="375" t="s">
        <v>469</v>
      </c>
      <c r="F72" s="375" t="s">
        <v>470</v>
      </c>
      <c r="G72" s="375" t="s">
        <v>471</v>
      </c>
      <c r="H72" s="375" t="s">
        <v>472</v>
      </c>
      <c r="I72" s="63" t="s">
        <v>473</v>
      </c>
      <c r="J72" s="47">
        <f t="shared" si="7"/>
        <v>3740</v>
      </c>
      <c r="K72" s="46" t="s">
        <v>10735</v>
      </c>
      <c r="L72" s="47">
        <f t="shared" ref="L72:L87" si="10">L$7</f>
        <v>1210</v>
      </c>
      <c r="M72" s="47" t="s">
        <v>474</v>
      </c>
      <c r="N72" s="47"/>
      <c r="O72" s="47">
        <f t="shared" ref="O72:O87" si="11">O$7</f>
        <v>4950</v>
      </c>
      <c r="P72" s="47" t="s">
        <v>475</v>
      </c>
      <c r="Q72" s="47"/>
      <c r="R72" s="47"/>
      <c r="S72" s="47"/>
      <c r="T72" s="47">
        <f t="shared" ref="T72:T87" si="12">T$2</f>
        <v>780</v>
      </c>
      <c r="U72" s="47"/>
      <c r="V72" s="47"/>
      <c r="W72" s="47"/>
      <c r="X72" s="47"/>
      <c r="Y72" s="47"/>
      <c r="Z72" s="47">
        <f t="shared" si="9"/>
        <v>4620</v>
      </c>
      <c r="AA72" s="47">
        <f t="shared" ref="AA72:AA87" si="13">AA$7</f>
        <v>1400</v>
      </c>
      <c r="AB72" s="47"/>
      <c r="AC72" s="47"/>
      <c r="AD72" s="47"/>
      <c r="AE72" s="47"/>
      <c r="AF72" s="47">
        <f t="shared" si="8"/>
        <v>1485</v>
      </c>
      <c r="AG72" s="47"/>
      <c r="AH72" s="47" t="str">
        <f>IFERROR(_xlfn.XLOOKUP(Table6[[#This Row],[Suburb]],Table5[Travel Surcharge],Table5[$$]),"")</f>
        <v/>
      </c>
      <c r="AI72" s="47"/>
      <c r="AJ72" s="47"/>
      <c r="AL72" t="str">
        <v>Alto</v>
      </c>
      <c r="AO72" t="s">
        <v>7535</v>
      </c>
      <c r="AP72" s="46">
        <v>8000</v>
      </c>
      <c r="AQ72" t="s">
        <v>7512</v>
      </c>
    </row>
    <row r="73" spans="1:43">
      <c r="A73" s="374" t="s">
        <v>467</v>
      </c>
      <c r="B73" s="374">
        <v>2</v>
      </c>
      <c r="C73" s="374" t="s">
        <v>468</v>
      </c>
      <c r="D73" s="375" t="str">
        <f t="shared" si="0"/>
        <v>Accolade Estate2</v>
      </c>
      <c r="E73" s="375" t="s">
        <v>476</v>
      </c>
      <c r="F73" s="375" t="s">
        <v>470</v>
      </c>
      <c r="G73" s="375" t="s">
        <v>471</v>
      </c>
      <c r="H73" s="375" t="s">
        <v>472</v>
      </c>
      <c r="I73" s="63" t="s">
        <v>473</v>
      </c>
      <c r="J73" s="47">
        <f t="shared" si="7"/>
        <v>3740</v>
      </c>
      <c r="K73" s="46" t="s">
        <v>10735</v>
      </c>
      <c r="L73" s="47">
        <f t="shared" si="10"/>
        <v>1210</v>
      </c>
      <c r="M73" s="47" t="s">
        <v>474</v>
      </c>
      <c r="N73" s="47"/>
      <c r="O73" s="47">
        <f t="shared" si="11"/>
        <v>4950</v>
      </c>
      <c r="P73" s="47" t="s">
        <v>475</v>
      </c>
      <c r="Q73" s="47"/>
      <c r="R73" s="47"/>
      <c r="S73" s="47"/>
      <c r="T73" s="47">
        <f t="shared" si="12"/>
        <v>780</v>
      </c>
      <c r="U73" s="47"/>
      <c r="V73" s="47"/>
      <c r="W73" s="47"/>
      <c r="X73" s="47"/>
      <c r="Y73" s="47"/>
      <c r="Z73" s="47">
        <f t="shared" si="9"/>
        <v>4620</v>
      </c>
      <c r="AA73" s="47">
        <f t="shared" si="13"/>
        <v>1400</v>
      </c>
      <c r="AB73" s="47"/>
      <c r="AC73" s="47"/>
      <c r="AD73" s="47"/>
      <c r="AE73" s="47"/>
      <c r="AF73" s="47">
        <f t="shared" si="8"/>
        <v>1485</v>
      </c>
      <c r="AG73" s="47"/>
      <c r="AH73" s="47" t="str">
        <f>IFERROR(_xlfn.XLOOKUP(Table6[[#This Row],[Suburb]],Table5[Travel Surcharge],Table5[$$]),"")</f>
        <v/>
      </c>
      <c r="AI73" s="47"/>
      <c r="AJ73" s="47"/>
      <c r="AL73" t="str">
        <v>Altura Estate</v>
      </c>
      <c r="AO73" t="s">
        <v>7536</v>
      </c>
      <c r="AP73" s="46">
        <v>8000</v>
      </c>
      <c r="AQ73" t="s">
        <v>7512</v>
      </c>
    </row>
    <row r="74" spans="1:43">
      <c r="A74" s="374" t="s">
        <v>467</v>
      </c>
      <c r="B74" s="374">
        <v>3</v>
      </c>
      <c r="C74" s="374" t="s">
        <v>468</v>
      </c>
      <c r="D74" s="375" t="str">
        <f t="shared" si="0"/>
        <v>Accolade Estate3</v>
      </c>
      <c r="E74" s="375" t="s">
        <v>477</v>
      </c>
      <c r="F74" s="375" t="s">
        <v>470</v>
      </c>
      <c r="G74" s="375" t="s">
        <v>471</v>
      </c>
      <c r="H74" s="375" t="s">
        <v>472</v>
      </c>
      <c r="I74" s="63" t="s">
        <v>473</v>
      </c>
      <c r="J74" s="47">
        <f t="shared" si="7"/>
        <v>3740</v>
      </c>
      <c r="K74" s="46" t="s">
        <v>10735</v>
      </c>
      <c r="L74" s="47">
        <f t="shared" si="10"/>
        <v>1210</v>
      </c>
      <c r="M74" s="47" t="s">
        <v>474</v>
      </c>
      <c r="N74" s="47"/>
      <c r="O74" s="47">
        <f t="shared" si="11"/>
        <v>4950</v>
      </c>
      <c r="P74" s="47" t="s">
        <v>475</v>
      </c>
      <c r="Q74" s="47"/>
      <c r="R74" s="47"/>
      <c r="S74" s="47"/>
      <c r="T74" s="47">
        <f t="shared" si="12"/>
        <v>780</v>
      </c>
      <c r="U74" s="47"/>
      <c r="V74" s="47"/>
      <c r="W74" s="47"/>
      <c r="X74" s="47"/>
      <c r="Y74" s="47"/>
      <c r="Z74" s="47">
        <f t="shared" si="9"/>
        <v>4620</v>
      </c>
      <c r="AA74" s="47">
        <f t="shared" si="13"/>
        <v>1400</v>
      </c>
      <c r="AB74" s="47"/>
      <c r="AC74" s="47"/>
      <c r="AD74" s="47"/>
      <c r="AE74" s="47"/>
      <c r="AF74" s="47">
        <f t="shared" si="8"/>
        <v>1485</v>
      </c>
      <c r="AG74" s="47"/>
      <c r="AH74" s="47" t="str">
        <f>IFERROR(_xlfn.XLOOKUP(Table6[[#This Row],[Suburb]],Table5[Travel Surcharge],Table5[$$]),"")</f>
        <v/>
      </c>
      <c r="AI74" s="47"/>
      <c r="AJ74" s="47"/>
      <c r="AL74" t="str">
        <v>Alwood Estate</v>
      </c>
      <c r="AO74" t="s">
        <v>7537</v>
      </c>
      <c r="AP74" s="46">
        <v>8000</v>
      </c>
      <c r="AQ74" t="s">
        <v>7512</v>
      </c>
    </row>
    <row r="75" spans="1:43">
      <c r="A75" s="374" t="s">
        <v>467</v>
      </c>
      <c r="B75" s="374">
        <v>4</v>
      </c>
      <c r="C75" s="374" t="s">
        <v>468</v>
      </c>
      <c r="D75" s="375" t="str">
        <f t="shared" si="0"/>
        <v>Accolade Estate4</v>
      </c>
      <c r="E75" s="375" t="s">
        <v>478</v>
      </c>
      <c r="F75" s="375" t="s">
        <v>470</v>
      </c>
      <c r="G75" s="375" t="s">
        <v>471</v>
      </c>
      <c r="H75" s="375" t="s">
        <v>472</v>
      </c>
      <c r="I75" s="63" t="s">
        <v>473</v>
      </c>
      <c r="J75" s="47">
        <f t="shared" si="7"/>
        <v>3740</v>
      </c>
      <c r="K75" s="46" t="s">
        <v>10735</v>
      </c>
      <c r="L75" s="47">
        <f t="shared" si="10"/>
        <v>1210</v>
      </c>
      <c r="M75" s="47" t="s">
        <v>474</v>
      </c>
      <c r="N75" s="47"/>
      <c r="O75" s="47">
        <f t="shared" si="11"/>
        <v>4950</v>
      </c>
      <c r="P75" s="47" t="s">
        <v>475</v>
      </c>
      <c r="Q75" s="47"/>
      <c r="R75" s="47"/>
      <c r="S75" s="47"/>
      <c r="T75" s="47">
        <f t="shared" si="12"/>
        <v>780</v>
      </c>
      <c r="U75" s="47"/>
      <c r="V75" s="47"/>
      <c r="W75" s="47"/>
      <c r="X75" s="47"/>
      <c r="Y75" s="47"/>
      <c r="Z75" s="47">
        <f t="shared" si="9"/>
        <v>4620</v>
      </c>
      <c r="AA75" s="47">
        <f t="shared" si="13"/>
        <v>1400</v>
      </c>
      <c r="AB75" s="47"/>
      <c r="AC75" s="47"/>
      <c r="AD75" s="47"/>
      <c r="AE75" s="47"/>
      <c r="AF75" s="47">
        <f t="shared" si="8"/>
        <v>1485</v>
      </c>
      <c r="AG75" s="47"/>
      <c r="AH75" s="47" t="str">
        <f>IFERROR(_xlfn.XLOOKUP(Table6[[#This Row],[Suburb]],Table5[Travel Surcharge],Table5[$$]),"")</f>
        <v/>
      </c>
      <c r="AI75" s="47"/>
      <c r="AJ75" s="47"/>
      <c r="AL75" t="str">
        <v>Amber Estate</v>
      </c>
      <c r="AO75" t="s">
        <v>7538</v>
      </c>
      <c r="AP75" s="46">
        <v>8000</v>
      </c>
      <c r="AQ75" t="s">
        <v>7512</v>
      </c>
    </row>
    <row r="76" spans="1:43">
      <c r="A76" s="374" t="s">
        <v>467</v>
      </c>
      <c r="B76" s="374">
        <v>5</v>
      </c>
      <c r="C76" s="374" t="s">
        <v>468</v>
      </c>
      <c r="D76" s="375" t="str">
        <f t="shared" si="0"/>
        <v>Accolade Estate5</v>
      </c>
      <c r="E76" s="375" t="s">
        <v>479</v>
      </c>
      <c r="F76" s="375" t="s">
        <v>470</v>
      </c>
      <c r="G76" s="375" t="s">
        <v>471</v>
      </c>
      <c r="H76" s="375" t="s">
        <v>472</v>
      </c>
      <c r="I76" s="63" t="s">
        <v>473</v>
      </c>
      <c r="J76" s="47">
        <f t="shared" si="7"/>
        <v>3740</v>
      </c>
      <c r="K76" s="46" t="s">
        <v>10735</v>
      </c>
      <c r="L76" s="47">
        <f t="shared" si="10"/>
        <v>1210</v>
      </c>
      <c r="M76" s="47" t="s">
        <v>474</v>
      </c>
      <c r="N76" s="47"/>
      <c r="O76" s="47">
        <f t="shared" si="11"/>
        <v>4950</v>
      </c>
      <c r="P76" s="47" t="s">
        <v>475</v>
      </c>
      <c r="Q76" s="47"/>
      <c r="R76" s="47"/>
      <c r="S76" s="47"/>
      <c r="T76" s="47">
        <f t="shared" si="12"/>
        <v>780</v>
      </c>
      <c r="U76" s="47"/>
      <c r="V76" s="47"/>
      <c r="W76" s="47"/>
      <c r="X76" s="47"/>
      <c r="Y76" s="47"/>
      <c r="Z76" s="47">
        <f t="shared" si="9"/>
        <v>4620</v>
      </c>
      <c r="AA76" s="47">
        <f t="shared" si="13"/>
        <v>1400</v>
      </c>
      <c r="AB76" s="47"/>
      <c r="AC76" s="47"/>
      <c r="AD76" s="47"/>
      <c r="AE76" s="47"/>
      <c r="AF76" s="47">
        <f t="shared" si="8"/>
        <v>1485</v>
      </c>
      <c r="AG76" s="47"/>
      <c r="AH76" s="47" t="str">
        <f>IFERROR(_xlfn.XLOOKUP(Table6[[#This Row],[Suburb]],Table5[Travel Surcharge],Table5[$$]),"")</f>
        <v/>
      </c>
      <c r="AI76" s="47"/>
      <c r="AJ76" s="47"/>
      <c r="AL76" t="str">
        <v>Amberley Park</v>
      </c>
      <c r="AO76" t="s">
        <v>7585</v>
      </c>
      <c r="AP76" s="46">
        <v>8000</v>
      </c>
      <c r="AQ76" t="s">
        <v>7512</v>
      </c>
    </row>
    <row r="77" spans="1:43">
      <c r="A77" s="374" t="s">
        <v>467</v>
      </c>
      <c r="B77" s="374">
        <v>6</v>
      </c>
      <c r="C77" s="374" t="s">
        <v>468</v>
      </c>
      <c r="D77" s="375" t="str">
        <f t="shared" si="0"/>
        <v>Accolade Estate6</v>
      </c>
      <c r="E77" s="375" t="s">
        <v>480</v>
      </c>
      <c r="F77" s="375" t="s">
        <v>470</v>
      </c>
      <c r="G77" s="375" t="s">
        <v>471</v>
      </c>
      <c r="H77" s="375" t="s">
        <v>472</v>
      </c>
      <c r="I77" s="63" t="s">
        <v>473</v>
      </c>
      <c r="J77" s="47">
        <f t="shared" si="7"/>
        <v>3740</v>
      </c>
      <c r="K77" s="46" t="s">
        <v>10735</v>
      </c>
      <c r="L77" s="47">
        <f t="shared" si="10"/>
        <v>1210</v>
      </c>
      <c r="M77" s="47" t="s">
        <v>474</v>
      </c>
      <c r="N77" s="47"/>
      <c r="O77" s="47">
        <f t="shared" si="11"/>
        <v>4950</v>
      </c>
      <c r="P77" s="47" t="s">
        <v>475</v>
      </c>
      <c r="Q77" s="47"/>
      <c r="R77" s="47"/>
      <c r="S77" s="47"/>
      <c r="T77" s="47">
        <f t="shared" si="12"/>
        <v>780</v>
      </c>
      <c r="U77" s="47"/>
      <c r="V77" s="47"/>
      <c r="W77" s="47"/>
      <c r="X77" s="47"/>
      <c r="Y77" s="47"/>
      <c r="Z77" s="47">
        <f t="shared" si="9"/>
        <v>4620</v>
      </c>
      <c r="AA77" s="47">
        <f t="shared" si="13"/>
        <v>1400</v>
      </c>
      <c r="AB77" s="47"/>
      <c r="AC77" s="47"/>
      <c r="AD77" s="47"/>
      <c r="AE77" s="47"/>
      <c r="AF77" s="47">
        <f t="shared" si="8"/>
        <v>1485</v>
      </c>
      <c r="AG77" s="47"/>
      <c r="AH77" s="47" t="str">
        <f>IFERROR(_xlfn.XLOOKUP(Table6[[#This Row],[Suburb]],Table5[Travel Surcharge],Table5[$$]),"")</f>
        <v/>
      </c>
      <c r="AI77" s="47"/>
      <c r="AJ77" s="47"/>
      <c r="AL77" t="str">
        <v>Ambervue Estate</v>
      </c>
      <c r="AO77" t="s">
        <v>7521</v>
      </c>
      <c r="AP77" s="46">
        <v>8000</v>
      </c>
      <c r="AQ77" t="s">
        <v>7512</v>
      </c>
    </row>
    <row r="78" spans="1:43">
      <c r="A78" s="374" t="s">
        <v>467</v>
      </c>
      <c r="B78" s="374">
        <v>7</v>
      </c>
      <c r="C78" s="374" t="s">
        <v>468</v>
      </c>
      <c r="D78" s="375" t="str">
        <f t="shared" si="0"/>
        <v>Accolade Estate7</v>
      </c>
      <c r="E78" s="375" t="s">
        <v>481</v>
      </c>
      <c r="F78" s="375" t="s">
        <v>470</v>
      </c>
      <c r="G78" s="375" t="s">
        <v>471</v>
      </c>
      <c r="H78" s="375" t="s">
        <v>472</v>
      </c>
      <c r="I78" s="63" t="s">
        <v>473</v>
      </c>
      <c r="J78" s="47">
        <f t="shared" si="7"/>
        <v>3740</v>
      </c>
      <c r="K78" s="46" t="s">
        <v>10735</v>
      </c>
      <c r="L78" s="47">
        <f t="shared" si="10"/>
        <v>1210</v>
      </c>
      <c r="M78" s="47" t="s">
        <v>474</v>
      </c>
      <c r="N78" s="47"/>
      <c r="O78" s="47">
        <f t="shared" si="11"/>
        <v>4950</v>
      </c>
      <c r="P78" s="47" t="s">
        <v>475</v>
      </c>
      <c r="Q78" s="47"/>
      <c r="R78" s="47"/>
      <c r="S78" s="47"/>
      <c r="T78" s="47">
        <f t="shared" si="12"/>
        <v>780</v>
      </c>
      <c r="U78" s="47"/>
      <c r="V78" s="47"/>
      <c r="W78" s="47"/>
      <c r="X78" s="47"/>
      <c r="Y78" s="47"/>
      <c r="Z78" s="47">
        <f t="shared" si="9"/>
        <v>4620</v>
      </c>
      <c r="AA78" s="47">
        <f t="shared" si="13"/>
        <v>1400</v>
      </c>
      <c r="AB78" s="47"/>
      <c r="AC78" s="47"/>
      <c r="AD78" s="47"/>
      <c r="AE78" s="47"/>
      <c r="AF78" s="47">
        <f t="shared" si="8"/>
        <v>1485</v>
      </c>
      <c r="AG78" s="47"/>
      <c r="AH78" s="47" t="str">
        <f>IFERROR(_xlfn.XLOOKUP(Table6[[#This Row],[Suburb]],Table5[Travel Surcharge],Table5[$$]),"")</f>
        <v/>
      </c>
      <c r="AI78" s="47"/>
      <c r="AJ78" s="47"/>
      <c r="AL78" t="str">
        <v>Anchoridge Estate</v>
      </c>
      <c r="AO78" t="s">
        <v>2371</v>
      </c>
      <c r="AP78" s="46">
        <v>4000</v>
      </c>
      <c r="AQ78" t="s">
        <v>7998</v>
      </c>
    </row>
    <row r="79" spans="1:43">
      <c r="A79" s="374" t="s">
        <v>467</v>
      </c>
      <c r="B79" s="374">
        <v>8</v>
      </c>
      <c r="C79" s="374" t="s">
        <v>468</v>
      </c>
      <c r="D79" s="375" t="str">
        <f t="shared" si="0"/>
        <v>Accolade Estate8</v>
      </c>
      <c r="E79" s="375" t="s">
        <v>482</v>
      </c>
      <c r="F79" s="375" t="s">
        <v>470</v>
      </c>
      <c r="G79" s="375" t="s">
        <v>471</v>
      </c>
      <c r="H79" s="375" t="s">
        <v>472</v>
      </c>
      <c r="I79" s="63" t="s">
        <v>473</v>
      </c>
      <c r="J79" s="47">
        <f t="shared" si="7"/>
        <v>3740</v>
      </c>
      <c r="K79" s="46" t="s">
        <v>10735</v>
      </c>
      <c r="L79" s="47">
        <f t="shared" si="10"/>
        <v>1210</v>
      </c>
      <c r="M79" s="47" t="s">
        <v>474</v>
      </c>
      <c r="N79" s="47"/>
      <c r="O79" s="47">
        <f t="shared" si="11"/>
        <v>4950</v>
      </c>
      <c r="P79" s="47" t="s">
        <v>475</v>
      </c>
      <c r="Q79" s="47"/>
      <c r="R79" s="47"/>
      <c r="S79" s="47"/>
      <c r="T79" s="47">
        <f t="shared" si="12"/>
        <v>780</v>
      </c>
      <c r="U79" s="47"/>
      <c r="V79" s="47"/>
      <c r="W79" s="47"/>
      <c r="X79" s="47"/>
      <c r="Y79" s="47"/>
      <c r="Z79" s="47">
        <f t="shared" si="9"/>
        <v>4620</v>
      </c>
      <c r="AA79" s="47">
        <f t="shared" si="13"/>
        <v>1400</v>
      </c>
      <c r="AB79" s="47"/>
      <c r="AC79" s="47"/>
      <c r="AD79" s="47"/>
      <c r="AE79" s="47"/>
      <c r="AF79" s="47">
        <f t="shared" si="8"/>
        <v>1485</v>
      </c>
      <c r="AG79" s="47"/>
      <c r="AH79" s="47" t="str">
        <f>IFERROR(_xlfn.XLOOKUP(Table6[[#This Row],[Suburb]],Table5[Travel Surcharge],Table5[$$]),"")</f>
        <v/>
      </c>
      <c r="AI79" s="47"/>
      <c r="AJ79" s="47"/>
      <c r="AL79" t="str">
        <v>Annabella Street Estate</v>
      </c>
      <c r="AO79" t="s">
        <v>7539</v>
      </c>
      <c r="AP79" s="46">
        <v>8000</v>
      </c>
      <c r="AQ79" t="s">
        <v>7512</v>
      </c>
    </row>
    <row r="80" spans="1:43">
      <c r="A80" s="374" t="s">
        <v>467</v>
      </c>
      <c r="B80" s="374">
        <v>9</v>
      </c>
      <c r="C80" s="374" t="s">
        <v>468</v>
      </c>
      <c r="D80" s="375" t="str">
        <f t="shared" si="0"/>
        <v>Accolade Estate9</v>
      </c>
      <c r="E80" s="375" t="s">
        <v>483</v>
      </c>
      <c r="F80" s="375" t="s">
        <v>470</v>
      </c>
      <c r="G80" s="375" t="s">
        <v>471</v>
      </c>
      <c r="H80" s="375" t="s">
        <v>472</v>
      </c>
      <c r="I80" s="63" t="s">
        <v>473</v>
      </c>
      <c r="J80" s="47">
        <f t="shared" si="7"/>
        <v>3740</v>
      </c>
      <c r="K80" s="46" t="s">
        <v>10735</v>
      </c>
      <c r="L80" s="47">
        <f t="shared" si="10"/>
        <v>1210</v>
      </c>
      <c r="M80" s="47" t="s">
        <v>474</v>
      </c>
      <c r="N80" s="47"/>
      <c r="O80" s="47">
        <f t="shared" si="11"/>
        <v>4950</v>
      </c>
      <c r="P80" s="47" t="s">
        <v>475</v>
      </c>
      <c r="Q80" s="47"/>
      <c r="R80" s="47"/>
      <c r="S80" s="47"/>
      <c r="T80" s="47">
        <f t="shared" si="12"/>
        <v>780</v>
      </c>
      <c r="U80" s="47"/>
      <c r="V80" s="47"/>
      <c r="W80" s="47"/>
      <c r="X80" s="47"/>
      <c r="Y80" s="47"/>
      <c r="Z80" s="47">
        <f t="shared" si="9"/>
        <v>4620</v>
      </c>
      <c r="AA80" s="47">
        <f t="shared" si="13"/>
        <v>1400</v>
      </c>
      <c r="AB80" s="47"/>
      <c r="AC80" s="47"/>
      <c r="AD80" s="47"/>
      <c r="AE80" s="47"/>
      <c r="AF80" s="47">
        <f t="shared" si="8"/>
        <v>1485</v>
      </c>
      <c r="AG80" s="47"/>
      <c r="AH80" s="47" t="str">
        <f>IFERROR(_xlfn.XLOOKUP(Table6[[#This Row],[Suburb]],Table5[Travel Surcharge],Table5[$$]),"")</f>
        <v/>
      </c>
      <c r="AI80" s="47"/>
      <c r="AJ80" s="47"/>
      <c r="AL80" t="str">
        <v>Annadale Estate</v>
      </c>
      <c r="AO80" t="s">
        <v>7619</v>
      </c>
      <c r="AP80" s="46">
        <v>8000</v>
      </c>
      <c r="AQ80" t="s">
        <v>7512</v>
      </c>
    </row>
    <row r="81" spans="1:43">
      <c r="A81" s="157" t="s">
        <v>467</v>
      </c>
      <c r="B81" s="157">
        <v>10</v>
      </c>
      <c r="C81" s="157" t="s">
        <v>468</v>
      </c>
      <c r="D81" s="157" t="str">
        <f t="shared" si="0"/>
        <v>Accolade Estate10</v>
      </c>
      <c r="E81" s="157" t="s">
        <v>7509</v>
      </c>
      <c r="F81" s="157" t="s">
        <v>470</v>
      </c>
      <c r="G81" s="157" t="s">
        <v>471</v>
      </c>
      <c r="H81" s="157" t="s">
        <v>472</v>
      </c>
      <c r="I81" s="158" t="s">
        <v>473</v>
      </c>
      <c r="J81" s="47">
        <f t="shared" si="7"/>
        <v>3740</v>
      </c>
      <c r="K81" s="46" t="s">
        <v>10735</v>
      </c>
      <c r="L81" s="47">
        <f t="shared" si="10"/>
        <v>1210</v>
      </c>
      <c r="M81" s="47" t="s">
        <v>474</v>
      </c>
      <c r="N81" s="47"/>
      <c r="O81" s="47">
        <f t="shared" si="11"/>
        <v>4950</v>
      </c>
      <c r="P81" s="47" t="s">
        <v>475</v>
      </c>
      <c r="Q81" s="47"/>
      <c r="R81" s="47"/>
      <c r="S81" s="47"/>
      <c r="T81" s="47">
        <f t="shared" si="12"/>
        <v>780</v>
      </c>
      <c r="U81" s="47"/>
      <c r="V81" s="47"/>
      <c r="W81" s="47"/>
      <c r="X81" s="47"/>
      <c r="Y81" s="47"/>
      <c r="Z81" s="47">
        <f t="shared" si="9"/>
        <v>4620</v>
      </c>
      <c r="AA81" s="47">
        <f t="shared" si="13"/>
        <v>1400</v>
      </c>
      <c r="AB81" s="47"/>
      <c r="AC81" s="47"/>
      <c r="AD81" s="47"/>
      <c r="AE81" s="47"/>
      <c r="AF81" s="47">
        <f t="shared" si="8"/>
        <v>1485</v>
      </c>
      <c r="AG81" s="47"/>
      <c r="AH81" s="47" t="str">
        <f>IFERROR(_xlfn.XLOOKUP(Table6[[#This Row],[Suburb]],Table5[Travel Surcharge],Table5[$$]),"")</f>
        <v/>
      </c>
      <c r="AI81" s="47"/>
      <c r="AJ81" s="47"/>
      <c r="AL81" t="str">
        <v>Applegum Estate</v>
      </c>
      <c r="AO81" t="s">
        <v>7522</v>
      </c>
      <c r="AP81" s="46">
        <v>8000</v>
      </c>
      <c r="AQ81" t="s">
        <v>7512</v>
      </c>
    </row>
    <row r="82" spans="1:43">
      <c r="A82" s="374" t="s">
        <v>467</v>
      </c>
      <c r="B82" s="374">
        <v>11</v>
      </c>
      <c r="C82" s="374" t="s">
        <v>468</v>
      </c>
      <c r="D82" s="375" t="str">
        <f t="shared" si="0"/>
        <v>Accolade Estate11</v>
      </c>
      <c r="E82" s="375" t="s">
        <v>484</v>
      </c>
      <c r="F82" s="375" t="s">
        <v>470</v>
      </c>
      <c r="G82" s="375" t="s">
        <v>471</v>
      </c>
      <c r="H82" s="375" t="s">
        <v>472</v>
      </c>
      <c r="I82" s="63" t="s">
        <v>473</v>
      </c>
      <c r="J82" s="47">
        <f t="shared" si="7"/>
        <v>3740</v>
      </c>
      <c r="K82" s="46" t="s">
        <v>10735</v>
      </c>
      <c r="L82" s="47">
        <f t="shared" si="10"/>
        <v>1210</v>
      </c>
      <c r="M82" s="47" t="s">
        <v>474</v>
      </c>
      <c r="N82" s="47"/>
      <c r="O82" s="47">
        <f t="shared" si="11"/>
        <v>4950</v>
      </c>
      <c r="P82" s="47" t="s">
        <v>475</v>
      </c>
      <c r="Q82" s="47"/>
      <c r="R82" s="47"/>
      <c r="S82" s="47"/>
      <c r="T82" s="47">
        <f t="shared" si="12"/>
        <v>780</v>
      </c>
      <c r="U82" s="47"/>
      <c r="V82" s="47"/>
      <c r="W82" s="47"/>
      <c r="X82" s="47"/>
      <c r="Y82" s="47"/>
      <c r="Z82" s="47">
        <f t="shared" si="9"/>
        <v>4620</v>
      </c>
      <c r="AA82" s="47">
        <f t="shared" si="13"/>
        <v>1400</v>
      </c>
      <c r="AB82" s="47"/>
      <c r="AC82" s="47"/>
      <c r="AD82" s="47"/>
      <c r="AE82" s="47"/>
      <c r="AF82" s="47">
        <f t="shared" si="8"/>
        <v>1485</v>
      </c>
      <c r="AG82" s="47"/>
      <c r="AH82" s="47" t="str">
        <f>IFERROR(_xlfn.XLOOKUP(Table6[[#This Row],[Suburb]],Table5[Travel Surcharge],Table5[$$]),"")</f>
        <v/>
      </c>
      <c r="AI82" s="47"/>
      <c r="AJ82" s="47"/>
      <c r="AL82" t="str">
        <v>Arbor Estate</v>
      </c>
      <c r="AO82" t="s">
        <v>7586</v>
      </c>
      <c r="AP82" s="46">
        <v>8000</v>
      </c>
      <c r="AQ82" t="s">
        <v>7512</v>
      </c>
    </row>
    <row r="83" spans="1:43">
      <c r="A83" s="374" t="s">
        <v>467</v>
      </c>
      <c r="B83" s="374">
        <v>12</v>
      </c>
      <c r="C83" s="374" t="s">
        <v>468</v>
      </c>
      <c r="D83" s="375" t="str">
        <f t="shared" si="0"/>
        <v>Accolade Estate12</v>
      </c>
      <c r="E83" s="375" t="s">
        <v>485</v>
      </c>
      <c r="F83" s="375" t="s">
        <v>470</v>
      </c>
      <c r="G83" s="375" t="s">
        <v>471</v>
      </c>
      <c r="H83" s="375" t="s">
        <v>472</v>
      </c>
      <c r="I83" s="63" t="s">
        <v>473</v>
      </c>
      <c r="J83" s="47">
        <f t="shared" si="7"/>
        <v>3740</v>
      </c>
      <c r="K83" s="46" t="s">
        <v>10735</v>
      </c>
      <c r="L83" s="47">
        <f t="shared" si="10"/>
        <v>1210</v>
      </c>
      <c r="M83" s="47" t="s">
        <v>474</v>
      </c>
      <c r="N83" s="47"/>
      <c r="O83" s="47">
        <f t="shared" si="11"/>
        <v>4950</v>
      </c>
      <c r="P83" s="47" t="s">
        <v>475</v>
      </c>
      <c r="Q83" s="47"/>
      <c r="R83" s="47"/>
      <c r="S83" s="47"/>
      <c r="T83" s="47">
        <f t="shared" si="12"/>
        <v>780</v>
      </c>
      <c r="U83" s="47"/>
      <c r="V83" s="47"/>
      <c r="W83" s="47"/>
      <c r="X83" s="47"/>
      <c r="Y83" s="47"/>
      <c r="Z83" s="47">
        <f t="shared" si="9"/>
        <v>4620</v>
      </c>
      <c r="AA83" s="47">
        <f t="shared" si="13"/>
        <v>1400</v>
      </c>
      <c r="AB83" s="47"/>
      <c r="AC83" s="47"/>
      <c r="AD83" s="47"/>
      <c r="AE83" s="47"/>
      <c r="AF83" s="47">
        <f t="shared" si="8"/>
        <v>1485</v>
      </c>
      <c r="AG83" s="47"/>
      <c r="AH83" s="47" t="str">
        <f>IFERROR(_xlfn.XLOOKUP(Table6[[#This Row],[Suburb]],Table5[Travel Surcharge],Table5[$$]),"")</f>
        <v/>
      </c>
      <c r="AI83" s="47"/>
      <c r="AJ83" s="47"/>
      <c r="AL83" t="str">
        <v>Arcadia Estate</v>
      </c>
      <c r="AO83" t="s">
        <v>7587</v>
      </c>
      <c r="AP83" s="46">
        <v>8000</v>
      </c>
      <c r="AQ83" t="s">
        <v>7512</v>
      </c>
    </row>
    <row r="84" spans="1:43">
      <c r="A84" s="374" t="s">
        <v>467</v>
      </c>
      <c r="B84" s="374">
        <v>13</v>
      </c>
      <c r="C84" s="374" t="s">
        <v>468</v>
      </c>
      <c r="D84" s="375" t="str">
        <f t="shared" si="0"/>
        <v>Accolade Estate13</v>
      </c>
      <c r="E84" s="375" t="s">
        <v>486</v>
      </c>
      <c r="F84" s="375" t="s">
        <v>470</v>
      </c>
      <c r="G84" s="375" t="s">
        <v>471</v>
      </c>
      <c r="H84" s="375" t="s">
        <v>472</v>
      </c>
      <c r="I84" s="63" t="s">
        <v>473</v>
      </c>
      <c r="J84" s="47">
        <f t="shared" si="7"/>
        <v>3740</v>
      </c>
      <c r="K84" s="46" t="s">
        <v>10735</v>
      </c>
      <c r="L84" s="47">
        <f t="shared" si="10"/>
        <v>1210</v>
      </c>
      <c r="M84" s="47" t="s">
        <v>474</v>
      </c>
      <c r="N84" s="47"/>
      <c r="O84" s="47">
        <f t="shared" si="11"/>
        <v>4950</v>
      </c>
      <c r="P84" s="47" t="s">
        <v>475</v>
      </c>
      <c r="Q84" s="47"/>
      <c r="R84" s="47"/>
      <c r="S84" s="47"/>
      <c r="T84" s="47">
        <f t="shared" si="12"/>
        <v>780</v>
      </c>
      <c r="U84" s="47"/>
      <c r="V84" s="47"/>
      <c r="W84" s="47"/>
      <c r="X84" s="47"/>
      <c r="Y84" s="47"/>
      <c r="Z84" s="47">
        <f t="shared" si="9"/>
        <v>4620</v>
      </c>
      <c r="AA84" s="47">
        <f t="shared" si="13"/>
        <v>1400</v>
      </c>
      <c r="AB84" s="47"/>
      <c r="AC84" s="47"/>
      <c r="AD84" s="47"/>
      <c r="AE84" s="47"/>
      <c r="AF84" s="47">
        <f t="shared" si="8"/>
        <v>1485</v>
      </c>
      <c r="AG84" s="47"/>
      <c r="AH84" s="47" t="str">
        <f>IFERROR(_xlfn.XLOOKUP(Table6[[#This Row],[Suburb]],Table5[Travel Surcharge],Table5[$$]),"")</f>
        <v/>
      </c>
      <c r="AI84" s="47"/>
      <c r="AJ84" s="47"/>
      <c r="AL84" t="str">
        <v>Arden Estate</v>
      </c>
      <c r="AO84" t="s">
        <v>290</v>
      </c>
      <c r="AP84" s="46">
        <v>7000</v>
      </c>
    </row>
    <row r="85" spans="1:43">
      <c r="A85" s="374" t="s">
        <v>467</v>
      </c>
      <c r="B85" s="374">
        <v>14</v>
      </c>
      <c r="C85" s="374" t="s">
        <v>468</v>
      </c>
      <c r="D85" s="375" t="str">
        <f t="shared" si="0"/>
        <v>Accolade Estate14</v>
      </c>
      <c r="E85" s="375" t="s">
        <v>487</v>
      </c>
      <c r="F85" s="375" t="s">
        <v>470</v>
      </c>
      <c r="G85" s="375" t="s">
        <v>471</v>
      </c>
      <c r="H85" s="375" t="s">
        <v>472</v>
      </c>
      <c r="I85" s="63" t="s">
        <v>473</v>
      </c>
      <c r="J85" s="47">
        <f t="shared" si="7"/>
        <v>3740</v>
      </c>
      <c r="K85" s="46" t="s">
        <v>10735</v>
      </c>
      <c r="L85" s="47">
        <f t="shared" si="10"/>
        <v>1210</v>
      </c>
      <c r="M85" s="47" t="s">
        <v>474</v>
      </c>
      <c r="N85" s="47"/>
      <c r="O85" s="47">
        <f t="shared" si="11"/>
        <v>4950</v>
      </c>
      <c r="P85" s="47" t="s">
        <v>475</v>
      </c>
      <c r="Q85" s="47"/>
      <c r="R85" s="47"/>
      <c r="S85" s="47"/>
      <c r="T85" s="47">
        <f t="shared" si="12"/>
        <v>780</v>
      </c>
      <c r="U85" s="47"/>
      <c r="V85" s="47"/>
      <c r="W85" s="47"/>
      <c r="X85" s="47"/>
      <c r="Y85" s="47"/>
      <c r="Z85" s="47">
        <f t="shared" si="9"/>
        <v>4620</v>
      </c>
      <c r="AA85" s="47">
        <f t="shared" si="13"/>
        <v>1400</v>
      </c>
      <c r="AB85" s="47"/>
      <c r="AC85" s="47"/>
      <c r="AD85" s="47"/>
      <c r="AE85" s="47"/>
      <c r="AF85" s="47">
        <f t="shared" si="8"/>
        <v>1485</v>
      </c>
      <c r="AG85" s="47"/>
      <c r="AH85" s="47" t="str">
        <f>IFERROR(_xlfn.XLOOKUP(Table6[[#This Row],[Suburb]],Table5[Travel Surcharge],Table5[$$]),"")</f>
        <v/>
      </c>
      <c r="AI85" s="47"/>
      <c r="AJ85" s="47"/>
      <c r="AL85" t="str">
        <v>Arena Estate</v>
      </c>
      <c r="AO85" t="s">
        <v>290</v>
      </c>
      <c r="AP85" s="46">
        <v>7000</v>
      </c>
    </row>
    <row r="86" spans="1:43">
      <c r="A86" s="374" t="s">
        <v>467</v>
      </c>
      <c r="B86" s="374">
        <v>15</v>
      </c>
      <c r="C86" s="374" t="s">
        <v>468</v>
      </c>
      <c r="D86" s="375" t="str">
        <f t="shared" si="0"/>
        <v>Accolade Estate15</v>
      </c>
      <c r="E86" s="375" t="s">
        <v>488</v>
      </c>
      <c r="F86" s="375" t="s">
        <v>470</v>
      </c>
      <c r="G86" s="375" t="s">
        <v>471</v>
      </c>
      <c r="H86" s="375" t="s">
        <v>472</v>
      </c>
      <c r="I86" s="63" t="s">
        <v>473</v>
      </c>
      <c r="J86" s="47">
        <f t="shared" si="7"/>
        <v>3740</v>
      </c>
      <c r="K86" s="46" t="s">
        <v>10735</v>
      </c>
      <c r="L86" s="47">
        <f t="shared" si="10"/>
        <v>1210</v>
      </c>
      <c r="M86" s="47" t="s">
        <v>474</v>
      </c>
      <c r="N86" s="47"/>
      <c r="O86" s="47">
        <f t="shared" si="11"/>
        <v>4950</v>
      </c>
      <c r="P86" s="47" t="s">
        <v>475</v>
      </c>
      <c r="Q86" s="47"/>
      <c r="R86" s="47"/>
      <c r="S86" s="47"/>
      <c r="T86" s="47">
        <f t="shared" si="12"/>
        <v>780</v>
      </c>
      <c r="U86" s="47"/>
      <c r="V86" s="47"/>
      <c r="W86" s="47"/>
      <c r="X86" s="47"/>
      <c r="Y86" s="47"/>
      <c r="Z86" s="47">
        <f t="shared" si="9"/>
        <v>4620</v>
      </c>
      <c r="AA86" s="47">
        <f t="shared" si="13"/>
        <v>1400</v>
      </c>
      <c r="AB86" s="47"/>
      <c r="AC86" s="47"/>
      <c r="AD86" s="47"/>
      <c r="AE86" s="47"/>
      <c r="AF86" s="47">
        <f t="shared" si="8"/>
        <v>1485</v>
      </c>
      <c r="AG86" s="47"/>
      <c r="AH86" s="47" t="str">
        <f>IFERROR(_xlfn.XLOOKUP(Table6[[#This Row],[Suburb]],Table5[Travel Surcharge],Table5[$$]),"")</f>
        <v/>
      </c>
      <c r="AI86" s="47"/>
      <c r="AJ86" s="47"/>
      <c r="AL86" t="str">
        <v>Aria Living</v>
      </c>
      <c r="AO86" t="s">
        <v>7588</v>
      </c>
      <c r="AP86" s="46">
        <v>8000</v>
      </c>
      <c r="AQ86" t="s">
        <v>7512</v>
      </c>
    </row>
    <row r="87" spans="1:43">
      <c r="A87" s="374" t="s">
        <v>467</v>
      </c>
      <c r="B87" s="374">
        <v>16</v>
      </c>
      <c r="C87" s="374" t="s">
        <v>468</v>
      </c>
      <c r="D87" s="375" t="str">
        <f t="shared" si="0"/>
        <v>Accolade Estate16</v>
      </c>
      <c r="E87" s="375" t="s">
        <v>489</v>
      </c>
      <c r="F87" s="375" t="s">
        <v>470</v>
      </c>
      <c r="G87" s="375" t="s">
        <v>471</v>
      </c>
      <c r="H87" s="375" t="s">
        <v>472</v>
      </c>
      <c r="I87" s="63" t="s">
        <v>473</v>
      </c>
      <c r="J87" s="47">
        <f t="shared" si="7"/>
        <v>3740</v>
      </c>
      <c r="K87" s="46" t="s">
        <v>10735</v>
      </c>
      <c r="L87" s="47">
        <f t="shared" si="10"/>
        <v>1210</v>
      </c>
      <c r="M87" s="47" t="s">
        <v>474</v>
      </c>
      <c r="N87" s="47"/>
      <c r="O87" s="47">
        <f t="shared" si="11"/>
        <v>4950</v>
      </c>
      <c r="P87" s="47" t="s">
        <v>475</v>
      </c>
      <c r="Q87" s="47"/>
      <c r="R87" s="47"/>
      <c r="S87" s="47"/>
      <c r="T87" s="47">
        <f t="shared" si="12"/>
        <v>780</v>
      </c>
      <c r="U87" s="47"/>
      <c r="V87" s="47"/>
      <c r="W87" s="47"/>
      <c r="X87" s="47"/>
      <c r="Y87" s="47"/>
      <c r="Z87" s="47">
        <f t="shared" si="9"/>
        <v>4620</v>
      </c>
      <c r="AA87" s="47">
        <f t="shared" si="13"/>
        <v>1400</v>
      </c>
      <c r="AB87" s="47"/>
      <c r="AC87" s="47"/>
      <c r="AD87" s="47"/>
      <c r="AE87" s="47"/>
      <c r="AF87" s="47">
        <f t="shared" si="8"/>
        <v>1485</v>
      </c>
      <c r="AG87" s="47"/>
      <c r="AH87" s="47" t="str">
        <f>IFERROR(_xlfn.XLOOKUP(Table6[[#This Row],[Suburb]],Table5[Travel Surcharge],Table5[$$]),"")</f>
        <v/>
      </c>
      <c r="AI87" s="47"/>
      <c r="AJ87" s="47"/>
      <c r="AL87" t="str">
        <v>Armstrong Central Estate</v>
      </c>
      <c r="AO87" t="s">
        <v>7589</v>
      </c>
      <c r="AP87" s="46">
        <v>8000</v>
      </c>
      <c r="AQ87" t="s">
        <v>7512</v>
      </c>
    </row>
    <row r="88" spans="1:43">
      <c r="A88" s="336" t="s">
        <v>9479</v>
      </c>
      <c r="B88" s="336">
        <v>1</v>
      </c>
      <c r="C88" s="336" t="s">
        <v>9480</v>
      </c>
      <c r="D88" s="337" t="str">
        <f t="shared" si="0"/>
        <v>Acre Ridge1</v>
      </c>
      <c r="E88" s="337" t="s">
        <v>9491</v>
      </c>
      <c r="F88" s="337" t="s">
        <v>9481</v>
      </c>
      <c r="G88" s="337"/>
      <c r="H88" s="337" t="s">
        <v>9482</v>
      </c>
      <c r="I88" s="292" t="s">
        <v>9483</v>
      </c>
      <c r="J88" s="293">
        <v>3740</v>
      </c>
      <c r="K88" s="46" t="s">
        <v>10735</v>
      </c>
      <c r="L88" s="293" t="s">
        <v>9490</v>
      </c>
      <c r="M88" s="293">
        <v>1430</v>
      </c>
      <c r="N88" s="293" t="s">
        <v>9485</v>
      </c>
      <c r="O88" s="293"/>
      <c r="P88" s="293" t="s">
        <v>9484</v>
      </c>
      <c r="Q88" s="293"/>
      <c r="R88" s="293">
        <v>540</v>
      </c>
      <c r="S88" s="293"/>
      <c r="T88" s="293" t="s">
        <v>9489</v>
      </c>
      <c r="U88" s="293"/>
      <c r="V88" s="293"/>
      <c r="W88" s="293"/>
      <c r="X88" s="293"/>
      <c r="Y88" s="293"/>
      <c r="Z88" s="293">
        <v>4620</v>
      </c>
      <c r="AA88" s="293"/>
      <c r="AB88" s="293"/>
      <c r="AC88" s="293"/>
      <c r="AD88" s="293" t="s">
        <v>9487</v>
      </c>
      <c r="AE88" s="293" t="s">
        <v>9486</v>
      </c>
      <c r="AF88" s="293"/>
      <c r="AG88" s="293"/>
      <c r="AH88" s="47" t="str">
        <f>IFERROR(_xlfn.XLOOKUP(Table6[[#This Row],[Suburb]],Table5[Travel Surcharge],Table5[$$]),"")</f>
        <v/>
      </c>
      <c r="AI88" s="293"/>
      <c r="AJ88" s="293"/>
      <c r="AL88" t="str">
        <v>Armstrong Estate</v>
      </c>
      <c r="AO88" t="s">
        <v>7590</v>
      </c>
      <c r="AP88" s="46">
        <v>8000</v>
      </c>
      <c r="AQ88" t="s">
        <v>7512</v>
      </c>
    </row>
    <row r="89" spans="1:43">
      <c r="A89" s="374" t="s">
        <v>490</v>
      </c>
      <c r="B89" s="374">
        <v>1</v>
      </c>
      <c r="C89" s="374" t="s">
        <v>491</v>
      </c>
      <c r="D89" s="375" t="str">
        <f t="shared" si="0"/>
        <v>Adara Estate1</v>
      </c>
      <c r="E89" s="375" t="s">
        <v>492</v>
      </c>
      <c r="F89" s="375" t="s">
        <v>493</v>
      </c>
      <c r="G89" s="375" t="s">
        <v>494</v>
      </c>
      <c r="H89" s="375" t="s">
        <v>495</v>
      </c>
      <c r="I89" s="63" t="s">
        <v>496</v>
      </c>
      <c r="J89" s="47" t="s">
        <v>497</v>
      </c>
      <c r="K89" s="46" t="s">
        <v>10735</v>
      </c>
      <c r="L89" s="47"/>
      <c r="M89" s="47" t="s">
        <v>498</v>
      </c>
      <c r="N89" s="47"/>
      <c r="O89" s="47"/>
      <c r="P89" s="47"/>
      <c r="Q89" s="47">
        <f>Q$2</f>
        <v>0</v>
      </c>
      <c r="R89" s="47"/>
      <c r="S89" s="47"/>
      <c r="T89" s="47"/>
      <c r="U89" s="47"/>
      <c r="V89" s="47"/>
      <c r="W89" s="47"/>
      <c r="X89" s="47"/>
      <c r="Y89" s="47"/>
      <c r="Z89" s="47"/>
      <c r="AA89" s="47"/>
      <c r="AB89" s="47"/>
      <c r="AC89" s="47"/>
      <c r="AD89" s="47"/>
      <c r="AE89" s="47"/>
      <c r="AF89" s="47"/>
      <c r="AG89" s="47"/>
      <c r="AH89" s="47" t="str">
        <f>IFERROR(_xlfn.XLOOKUP(Table6[[#This Row],[Suburb]],Table5[Travel Surcharge],Table5[$$]),"")</f>
        <v/>
      </c>
      <c r="AI89" s="47"/>
      <c r="AJ89" s="47"/>
      <c r="AL89" t="str">
        <v>Armstrong Grove Estate</v>
      </c>
      <c r="AO89" t="s">
        <v>283</v>
      </c>
      <c r="AP89" s="46">
        <v>1500</v>
      </c>
    </row>
    <row r="90" spans="1:43">
      <c r="A90" s="374" t="s">
        <v>490</v>
      </c>
      <c r="B90" s="374">
        <v>2</v>
      </c>
      <c r="C90" s="374" t="s">
        <v>491</v>
      </c>
      <c r="D90" s="375" t="str">
        <f t="shared" si="0"/>
        <v>Adara Estate2</v>
      </c>
      <c r="E90" s="375" t="s">
        <v>499</v>
      </c>
      <c r="F90" s="375" t="s">
        <v>493</v>
      </c>
      <c r="G90" s="375" t="s">
        <v>494</v>
      </c>
      <c r="H90" s="375" t="s">
        <v>495</v>
      </c>
      <c r="I90" s="63" t="s">
        <v>496</v>
      </c>
      <c r="J90" s="47" t="s">
        <v>497</v>
      </c>
      <c r="K90" s="46" t="s">
        <v>10735</v>
      </c>
      <c r="L90" s="47"/>
      <c r="M90" s="47" t="s">
        <v>498</v>
      </c>
      <c r="N90" s="47"/>
      <c r="O90" s="47"/>
      <c r="P90" s="47"/>
      <c r="Q90" s="47">
        <f>Q$2</f>
        <v>0</v>
      </c>
      <c r="R90" s="47"/>
      <c r="S90" s="47"/>
      <c r="T90" s="47"/>
      <c r="U90" s="47"/>
      <c r="V90" s="47"/>
      <c r="W90" s="47"/>
      <c r="X90" s="47"/>
      <c r="Y90" s="47"/>
      <c r="Z90" s="47"/>
      <c r="AA90" s="47"/>
      <c r="AB90" s="47"/>
      <c r="AC90" s="47"/>
      <c r="AD90" s="47"/>
      <c r="AE90" s="47"/>
      <c r="AF90" s="47"/>
      <c r="AG90" s="47"/>
      <c r="AH90" s="47" t="str">
        <f>IFERROR(_xlfn.XLOOKUP(Table6[[#This Row],[Suburb]],Table5[Travel Surcharge],Table5[$$]),"")</f>
        <v/>
      </c>
      <c r="AI90" s="47"/>
      <c r="AJ90" s="47"/>
      <c r="AL90" t="str">
        <v>Armstrong Waters Estate</v>
      </c>
      <c r="AO90" t="s">
        <v>7591</v>
      </c>
      <c r="AP90" s="46">
        <v>8000</v>
      </c>
      <c r="AQ90" t="s">
        <v>7512</v>
      </c>
    </row>
    <row r="91" spans="1:43">
      <c r="A91" s="374" t="s">
        <v>500</v>
      </c>
      <c r="B91" s="374" t="s">
        <v>501</v>
      </c>
      <c r="C91" s="374" t="s">
        <v>502</v>
      </c>
      <c r="D91" s="375" t="str">
        <f t="shared" si="0"/>
        <v>Affinity1A</v>
      </c>
      <c r="E91" s="375" t="s">
        <v>503</v>
      </c>
      <c r="F91" s="375"/>
      <c r="G91" s="375"/>
      <c r="H91" s="375"/>
      <c r="I91" s="63"/>
      <c r="J91" s="47"/>
      <c r="K91" s="46" t="s">
        <v>10735</v>
      </c>
      <c r="L91" s="47" t="s">
        <v>504</v>
      </c>
      <c r="M91" s="47">
        <f>M$7</f>
        <v>1430.0000000000002</v>
      </c>
      <c r="N91" s="47" t="s">
        <v>505</v>
      </c>
      <c r="O91" s="47" t="s">
        <v>506</v>
      </c>
      <c r="P91" s="47"/>
      <c r="Q91" s="47"/>
      <c r="R91" s="47"/>
      <c r="S91" s="47"/>
      <c r="T91" s="47"/>
      <c r="U91" s="47">
        <f t="shared" ref="U91:U105" si="14">U$2</f>
        <v>430</v>
      </c>
      <c r="V91" s="47"/>
      <c r="W91" s="47"/>
      <c r="X91" s="47"/>
      <c r="Y91" s="47"/>
      <c r="Z91" s="47">
        <f t="shared" ref="Z91:Z127" si="15">Z$7</f>
        <v>4620</v>
      </c>
      <c r="AA91" s="47"/>
      <c r="AB91" s="47"/>
      <c r="AC91" s="47"/>
      <c r="AD91" s="47"/>
      <c r="AE91" s="47"/>
      <c r="AF91" s="47">
        <f t="shared" ref="AF91:AF122" si="16">AF$7</f>
        <v>1485</v>
      </c>
      <c r="AG91" s="47"/>
      <c r="AH91" s="47" t="str">
        <f>IFERROR(_xlfn.XLOOKUP(Table6[[#This Row],[Suburb]],Table5[Travel Surcharge],Table5[$$]),"")</f>
        <v/>
      </c>
      <c r="AI91" s="47"/>
      <c r="AJ91" s="47"/>
      <c r="AL91" t="str">
        <v>Arnolds Creek Estate</v>
      </c>
      <c r="AO91" t="s">
        <v>288</v>
      </c>
      <c r="AP91" s="46">
        <v>7000</v>
      </c>
    </row>
    <row r="92" spans="1:43">
      <c r="A92" s="374" t="s">
        <v>500</v>
      </c>
      <c r="B92" s="374" t="s">
        <v>507</v>
      </c>
      <c r="C92" s="374" t="s">
        <v>502</v>
      </c>
      <c r="D92" s="375" t="str">
        <f t="shared" si="0"/>
        <v>Affinity1B</v>
      </c>
      <c r="E92" s="375" t="s">
        <v>503</v>
      </c>
      <c r="F92" s="375"/>
      <c r="G92" s="375"/>
      <c r="H92" s="375"/>
      <c r="I92" s="63"/>
      <c r="J92" s="47"/>
      <c r="K92" s="46" t="s">
        <v>10735</v>
      </c>
      <c r="L92" s="47" t="s">
        <v>504</v>
      </c>
      <c r="M92" s="47">
        <f>M$7</f>
        <v>1430.0000000000002</v>
      </c>
      <c r="N92" s="47" t="s">
        <v>505</v>
      </c>
      <c r="O92" s="47" t="s">
        <v>506</v>
      </c>
      <c r="P92" s="47"/>
      <c r="Q92" s="47"/>
      <c r="R92" s="47"/>
      <c r="S92" s="47"/>
      <c r="T92" s="47"/>
      <c r="U92" s="47">
        <f t="shared" si="14"/>
        <v>430</v>
      </c>
      <c r="V92" s="47"/>
      <c r="W92" s="47"/>
      <c r="X92" s="47"/>
      <c r="Y92" s="47"/>
      <c r="Z92" s="47">
        <f t="shared" si="15"/>
        <v>4620</v>
      </c>
      <c r="AA92" s="47"/>
      <c r="AB92" s="47"/>
      <c r="AC92" s="47"/>
      <c r="AD92" s="47"/>
      <c r="AE92" s="47"/>
      <c r="AF92" s="47">
        <f t="shared" si="16"/>
        <v>1485</v>
      </c>
      <c r="AG92" s="47"/>
      <c r="AH92" s="47" t="str">
        <f>IFERROR(_xlfn.XLOOKUP(Table6[[#This Row],[Suburb]],Table5[Travel Surcharge],Table5[$$]),"")</f>
        <v/>
      </c>
      <c r="AI92" s="47"/>
      <c r="AJ92" s="47"/>
      <c r="AL92" t="str">
        <v>Arramont Estate</v>
      </c>
      <c r="AO92" t="s">
        <v>303</v>
      </c>
      <c r="AP92" s="46">
        <v>8000</v>
      </c>
      <c r="AQ92" t="s">
        <v>7512</v>
      </c>
    </row>
    <row r="93" spans="1:43">
      <c r="A93" s="374" t="s">
        <v>508</v>
      </c>
      <c r="B93" s="374">
        <v>1</v>
      </c>
      <c r="C93" s="374" t="s">
        <v>502</v>
      </c>
      <c r="D93" s="375" t="str">
        <f t="shared" si="0"/>
        <v>Alamora1</v>
      </c>
      <c r="E93" s="375" t="s">
        <v>509</v>
      </c>
      <c r="F93" s="375"/>
      <c r="G93" s="375" t="s">
        <v>510</v>
      </c>
      <c r="H93" s="375" t="s">
        <v>511</v>
      </c>
      <c r="I93" s="63" t="s">
        <v>512</v>
      </c>
      <c r="J93" s="47">
        <f t="shared" ref="J93:J111" si="17">J$7</f>
        <v>3740</v>
      </c>
      <c r="K93" s="46" t="s">
        <v>7938</v>
      </c>
      <c r="L93" s="47" t="s">
        <v>513</v>
      </c>
      <c r="M93" s="47" t="s">
        <v>514</v>
      </c>
      <c r="N93" s="47"/>
      <c r="O93" s="47" t="s">
        <v>515</v>
      </c>
      <c r="P93" s="62" t="s">
        <v>10129</v>
      </c>
      <c r="Q93" s="47"/>
      <c r="R93" s="47"/>
      <c r="S93" s="47"/>
      <c r="T93" s="47"/>
      <c r="U93" s="47">
        <f t="shared" si="14"/>
        <v>430</v>
      </c>
      <c r="V93" s="47" t="s">
        <v>516</v>
      </c>
      <c r="W93" s="47"/>
      <c r="X93" s="47"/>
      <c r="Y93" s="47"/>
      <c r="Z93" s="47">
        <f t="shared" si="15"/>
        <v>4620</v>
      </c>
      <c r="AA93" s="47"/>
      <c r="AB93" s="47"/>
      <c r="AC93" s="47"/>
      <c r="AD93" s="47"/>
      <c r="AE93" s="47">
        <f>$AE4</f>
        <v>0</v>
      </c>
      <c r="AF93" s="47">
        <f t="shared" si="16"/>
        <v>1485</v>
      </c>
      <c r="AG93" s="47" t="s">
        <v>517</v>
      </c>
      <c r="AH93" s="47" t="str">
        <f>IFERROR(_xlfn.XLOOKUP(Table6[[#This Row],[Suburb]],Table5[Travel Surcharge],Table5[$$]),"")</f>
        <v/>
      </c>
      <c r="AI93" s="47">
        <f t="shared" ref="AI93:AI105" si="18">AI$7</f>
        <v>1650.0000000000002</v>
      </c>
      <c r="AJ93" s="47"/>
      <c r="AL93" t="str">
        <v>Arranmore Estate</v>
      </c>
      <c r="AO93" t="s">
        <v>7592</v>
      </c>
      <c r="AP93" s="46">
        <v>8000</v>
      </c>
      <c r="AQ93" t="s">
        <v>7512</v>
      </c>
    </row>
    <row r="94" spans="1:43">
      <c r="A94" s="374" t="s">
        <v>508</v>
      </c>
      <c r="B94" s="374">
        <v>2</v>
      </c>
      <c r="C94" s="374" t="s">
        <v>502</v>
      </c>
      <c r="D94" s="375" t="str">
        <f t="shared" si="0"/>
        <v>Alamora2</v>
      </c>
      <c r="E94" s="375" t="s">
        <v>518</v>
      </c>
      <c r="F94" s="375"/>
      <c r="G94" s="375" t="s">
        <v>510</v>
      </c>
      <c r="H94" s="375" t="s">
        <v>511</v>
      </c>
      <c r="I94" s="63" t="s">
        <v>512</v>
      </c>
      <c r="J94" s="47">
        <f t="shared" si="17"/>
        <v>3740</v>
      </c>
      <c r="K94" s="46" t="s">
        <v>7938</v>
      </c>
      <c r="L94" s="47" t="s">
        <v>513</v>
      </c>
      <c r="M94" s="47" t="s">
        <v>514</v>
      </c>
      <c r="N94" s="47"/>
      <c r="O94" s="47" t="s">
        <v>515</v>
      </c>
      <c r="P94" s="47" t="s">
        <v>10129</v>
      </c>
      <c r="Q94" s="47"/>
      <c r="R94" s="47"/>
      <c r="S94" s="47"/>
      <c r="T94" s="47"/>
      <c r="U94" s="47">
        <f t="shared" si="14"/>
        <v>430</v>
      </c>
      <c r="V94" s="47" t="s">
        <v>516</v>
      </c>
      <c r="W94" s="47"/>
      <c r="X94" s="47"/>
      <c r="Y94" s="47"/>
      <c r="Z94" s="47">
        <f t="shared" si="15"/>
        <v>4620</v>
      </c>
      <c r="AA94" s="47"/>
      <c r="AB94" s="47"/>
      <c r="AC94" s="47"/>
      <c r="AD94" s="47"/>
      <c r="AE94" s="47">
        <f>$AE4</f>
        <v>0</v>
      </c>
      <c r="AF94" s="47">
        <f t="shared" si="16"/>
        <v>1485</v>
      </c>
      <c r="AG94" s="47" t="s">
        <v>517</v>
      </c>
      <c r="AH94" s="47" t="str">
        <f>IFERROR(_xlfn.XLOOKUP(Table6[[#This Row],[Suburb]],Table5[Travel Surcharge],Table5[$$]),"")</f>
        <v/>
      </c>
      <c r="AI94" s="47">
        <f t="shared" si="18"/>
        <v>1650.0000000000002</v>
      </c>
      <c r="AJ94" s="47"/>
      <c r="AL94" t="str">
        <v>Ascot Estate</v>
      </c>
      <c r="AO94" t="s">
        <v>7593</v>
      </c>
      <c r="AP94" s="46">
        <v>8000</v>
      </c>
      <c r="AQ94" t="s">
        <v>7512</v>
      </c>
    </row>
    <row r="95" spans="1:43" ht="12" customHeight="1">
      <c r="A95" s="374" t="s">
        <v>508</v>
      </c>
      <c r="B95" s="374">
        <v>3</v>
      </c>
      <c r="C95" s="374" t="s">
        <v>502</v>
      </c>
      <c r="D95" s="375" t="str">
        <f t="shared" si="0"/>
        <v>Alamora3</v>
      </c>
      <c r="E95" s="375" t="s">
        <v>519</v>
      </c>
      <c r="F95" s="375"/>
      <c r="G95" s="375" t="s">
        <v>510</v>
      </c>
      <c r="H95" s="375" t="s">
        <v>511</v>
      </c>
      <c r="I95" s="63" t="s">
        <v>512</v>
      </c>
      <c r="J95" s="47">
        <f t="shared" si="17"/>
        <v>3740</v>
      </c>
      <c r="K95" s="46" t="s">
        <v>7938</v>
      </c>
      <c r="L95" s="47" t="s">
        <v>513</v>
      </c>
      <c r="M95" s="47" t="s">
        <v>514</v>
      </c>
      <c r="N95" s="47"/>
      <c r="O95" s="47" t="s">
        <v>515</v>
      </c>
      <c r="P95" s="47" t="s">
        <v>10129</v>
      </c>
      <c r="Q95" s="47"/>
      <c r="R95" s="47"/>
      <c r="S95" s="47"/>
      <c r="T95" s="47"/>
      <c r="U95" s="47">
        <f t="shared" si="14"/>
        <v>430</v>
      </c>
      <c r="V95" s="47" t="s">
        <v>516</v>
      </c>
      <c r="W95" s="47"/>
      <c r="X95" s="47"/>
      <c r="Y95" s="47"/>
      <c r="Z95" s="47">
        <f t="shared" si="15"/>
        <v>4620</v>
      </c>
      <c r="AA95" s="47"/>
      <c r="AB95" s="47"/>
      <c r="AC95" s="47"/>
      <c r="AD95" s="47"/>
      <c r="AE95" s="47">
        <f>$AE4</f>
        <v>0</v>
      </c>
      <c r="AF95" s="47">
        <f t="shared" si="16"/>
        <v>1485</v>
      </c>
      <c r="AG95" s="47" t="s">
        <v>517</v>
      </c>
      <c r="AH95" s="47" t="str">
        <f>IFERROR(_xlfn.XLOOKUP(Table6[[#This Row],[Suburb]],Table5[Travel Surcharge],Table5[$$]),"")</f>
        <v/>
      </c>
      <c r="AI95" s="47">
        <f t="shared" si="18"/>
        <v>1650.0000000000002</v>
      </c>
      <c r="AJ95" s="47"/>
      <c r="AL95" t="str">
        <v>Ascot Springs</v>
      </c>
      <c r="AO95" t="s">
        <v>964</v>
      </c>
      <c r="AP95" s="46">
        <v>8000</v>
      </c>
      <c r="AQ95" t="s">
        <v>7512</v>
      </c>
    </row>
    <row r="96" spans="1:43">
      <c r="A96" s="374" t="s">
        <v>508</v>
      </c>
      <c r="B96" s="374">
        <v>4</v>
      </c>
      <c r="C96" s="374" t="s">
        <v>502</v>
      </c>
      <c r="D96" s="375" t="str">
        <f t="shared" si="0"/>
        <v>Alamora4</v>
      </c>
      <c r="E96" s="375" t="s">
        <v>520</v>
      </c>
      <c r="F96" s="375"/>
      <c r="G96" s="375" t="s">
        <v>510</v>
      </c>
      <c r="H96" s="375" t="s">
        <v>511</v>
      </c>
      <c r="I96" s="63" t="s">
        <v>512</v>
      </c>
      <c r="J96" s="47">
        <f t="shared" si="17"/>
        <v>3740</v>
      </c>
      <c r="K96" s="46" t="s">
        <v>7938</v>
      </c>
      <c r="L96" s="47" t="s">
        <v>513</v>
      </c>
      <c r="M96" s="47" t="s">
        <v>514</v>
      </c>
      <c r="N96" s="47"/>
      <c r="O96" s="47" t="s">
        <v>515</v>
      </c>
      <c r="P96" s="47" t="s">
        <v>10129</v>
      </c>
      <c r="Q96" s="47"/>
      <c r="R96" s="47"/>
      <c r="S96" s="47"/>
      <c r="T96" s="47"/>
      <c r="U96" s="47">
        <f t="shared" si="14"/>
        <v>430</v>
      </c>
      <c r="V96" s="47" t="s">
        <v>516</v>
      </c>
      <c r="W96" s="47"/>
      <c r="X96" s="47"/>
      <c r="Y96" s="47"/>
      <c r="Z96" s="47">
        <f t="shared" si="15"/>
        <v>4620</v>
      </c>
      <c r="AA96" s="47"/>
      <c r="AB96" s="47"/>
      <c r="AC96" s="47"/>
      <c r="AD96" s="47"/>
      <c r="AE96" s="47">
        <f>$AE4</f>
        <v>0</v>
      </c>
      <c r="AF96" s="47">
        <f t="shared" si="16"/>
        <v>1485</v>
      </c>
      <c r="AG96" s="47" t="s">
        <v>517</v>
      </c>
      <c r="AH96" s="47" t="str">
        <f>IFERROR(_xlfn.XLOOKUP(Table6[[#This Row],[Suburb]],Table5[Travel Surcharge],Table5[$$]),"")</f>
        <v/>
      </c>
      <c r="AI96" s="47">
        <f t="shared" si="18"/>
        <v>1650.0000000000002</v>
      </c>
      <c r="AJ96" s="47"/>
      <c r="AL96" t="str">
        <v>Ashbury Estate</v>
      </c>
      <c r="AO96" t="s">
        <v>7540</v>
      </c>
      <c r="AP96" s="46">
        <v>8000</v>
      </c>
      <c r="AQ96" t="s">
        <v>7512</v>
      </c>
    </row>
    <row r="97" spans="1:43">
      <c r="A97" s="374" t="s">
        <v>508</v>
      </c>
      <c r="B97" s="374">
        <v>5</v>
      </c>
      <c r="C97" s="374" t="s">
        <v>502</v>
      </c>
      <c r="D97" s="375" t="str">
        <f t="shared" si="0"/>
        <v>Alamora5</v>
      </c>
      <c r="E97" s="375" t="s">
        <v>521</v>
      </c>
      <c r="F97" s="375"/>
      <c r="G97" s="375" t="s">
        <v>510</v>
      </c>
      <c r="H97" s="375" t="s">
        <v>511</v>
      </c>
      <c r="I97" s="63" t="s">
        <v>512</v>
      </c>
      <c r="J97" s="47">
        <f t="shared" si="17"/>
        <v>3740</v>
      </c>
      <c r="K97" s="46" t="s">
        <v>7938</v>
      </c>
      <c r="L97" s="47" t="s">
        <v>513</v>
      </c>
      <c r="M97" s="47" t="s">
        <v>514</v>
      </c>
      <c r="N97" s="47"/>
      <c r="O97" s="47" t="s">
        <v>515</v>
      </c>
      <c r="P97" s="47" t="s">
        <v>10129</v>
      </c>
      <c r="Q97" s="47"/>
      <c r="R97" s="47"/>
      <c r="S97" s="47"/>
      <c r="T97" s="47"/>
      <c r="U97" s="47">
        <f t="shared" si="14"/>
        <v>430</v>
      </c>
      <c r="V97" s="47" t="s">
        <v>516</v>
      </c>
      <c r="W97" s="47"/>
      <c r="X97" s="47"/>
      <c r="Y97" s="47"/>
      <c r="Z97" s="47">
        <f t="shared" si="15"/>
        <v>4620</v>
      </c>
      <c r="AA97" s="47"/>
      <c r="AB97" s="47"/>
      <c r="AC97" s="47"/>
      <c r="AD97" s="47"/>
      <c r="AE97" s="47">
        <f>$AE4</f>
        <v>0</v>
      </c>
      <c r="AF97" s="47">
        <f t="shared" si="16"/>
        <v>1485</v>
      </c>
      <c r="AG97" s="47" t="s">
        <v>517</v>
      </c>
      <c r="AH97" s="47" t="str">
        <f>IFERROR(_xlfn.XLOOKUP(Table6[[#This Row],[Suburb]],Table5[Travel Surcharge],Table5[$$]),"")</f>
        <v/>
      </c>
      <c r="AI97" s="47">
        <f t="shared" si="18"/>
        <v>1650.0000000000002</v>
      </c>
      <c r="AJ97" s="47"/>
      <c r="AL97" t="str">
        <v>Ashford Park Estate</v>
      </c>
      <c r="AO97" t="s">
        <v>7594</v>
      </c>
      <c r="AP97" s="46">
        <v>8000</v>
      </c>
      <c r="AQ97" t="s">
        <v>7512</v>
      </c>
    </row>
    <row r="98" spans="1:43">
      <c r="A98" s="374" t="s">
        <v>508</v>
      </c>
      <c r="B98" s="374">
        <v>6</v>
      </c>
      <c r="C98" s="374" t="s">
        <v>502</v>
      </c>
      <c r="D98" s="375" t="str">
        <f t="shared" si="0"/>
        <v>Alamora6</v>
      </c>
      <c r="E98" s="375" t="s">
        <v>522</v>
      </c>
      <c r="F98" s="375"/>
      <c r="G98" s="375" t="s">
        <v>510</v>
      </c>
      <c r="H98" s="375" t="s">
        <v>511</v>
      </c>
      <c r="I98" s="63" t="s">
        <v>512</v>
      </c>
      <c r="J98" s="47">
        <f t="shared" si="17"/>
        <v>3740</v>
      </c>
      <c r="K98" s="46" t="s">
        <v>7938</v>
      </c>
      <c r="L98" s="47" t="s">
        <v>513</v>
      </c>
      <c r="M98" s="47" t="s">
        <v>514</v>
      </c>
      <c r="N98" s="47"/>
      <c r="O98" s="47" t="s">
        <v>515</v>
      </c>
      <c r="P98" s="47" t="s">
        <v>10129</v>
      </c>
      <c r="Q98" s="47"/>
      <c r="R98" s="47"/>
      <c r="S98" s="47"/>
      <c r="T98" s="47"/>
      <c r="U98" s="47">
        <f t="shared" si="14"/>
        <v>430</v>
      </c>
      <c r="V98" s="47" t="s">
        <v>516</v>
      </c>
      <c r="W98" s="47"/>
      <c r="X98" s="47"/>
      <c r="Y98" s="47"/>
      <c r="Z98" s="47">
        <f t="shared" si="15"/>
        <v>4620</v>
      </c>
      <c r="AA98" s="47"/>
      <c r="AB98" s="47"/>
      <c r="AC98" s="47"/>
      <c r="AD98" s="47"/>
      <c r="AE98" s="47">
        <f>$AE4</f>
        <v>0</v>
      </c>
      <c r="AF98" s="47">
        <f t="shared" si="16"/>
        <v>1485</v>
      </c>
      <c r="AG98" s="47" t="s">
        <v>517</v>
      </c>
      <c r="AH98" s="47" t="str">
        <f>IFERROR(_xlfn.XLOOKUP(Table6[[#This Row],[Suburb]],Table5[Travel Surcharge],Table5[$$]),"")</f>
        <v/>
      </c>
      <c r="AI98" s="47">
        <f t="shared" si="18"/>
        <v>1650.0000000000002</v>
      </c>
      <c r="AJ98" s="47"/>
      <c r="AL98" t="str">
        <v>Ashwark</v>
      </c>
      <c r="AO98" t="s">
        <v>7620</v>
      </c>
      <c r="AP98" s="46">
        <v>8000</v>
      </c>
      <c r="AQ98" t="s">
        <v>7512</v>
      </c>
    </row>
    <row r="99" spans="1:43">
      <c r="A99" s="374" t="s">
        <v>508</v>
      </c>
      <c r="B99" s="374">
        <v>9</v>
      </c>
      <c r="C99" s="374" t="s">
        <v>502</v>
      </c>
      <c r="D99" s="375" t="str">
        <f t="shared" ref="D99:D168" si="19">CONCATENATE(A99,B99)</f>
        <v>Alamora9</v>
      </c>
      <c r="E99" s="375" t="s">
        <v>523</v>
      </c>
      <c r="F99" s="375"/>
      <c r="G99" s="375" t="s">
        <v>510</v>
      </c>
      <c r="H99" s="375" t="s">
        <v>511</v>
      </c>
      <c r="I99" s="63" t="s">
        <v>512</v>
      </c>
      <c r="J99" s="47">
        <f t="shared" si="17"/>
        <v>3740</v>
      </c>
      <c r="K99" s="46" t="s">
        <v>7938</v>
      </c>
      <c r="L99" s="47" t="s">
        <v>513</v>
      </c>
      <c r="M99" s="47" t="s">
        <v>514</v>
      </c>
      <c r="N99" s="47"/>
      <c r="O99" s="47" t="s">
        <v>515</v>
      </c>
      <c r="P99" s="47" t="s">
        <v>10129</v>
      </c>
      <c r="Q99" s="47"/>
      <c r="R99" s="47"/>
      <c r="S99" s="47"/>
      <c r="T99" s="47"/>
      <c r="U99" s="47">
        <f t="shared" si="14"/>
        <v>430</v>
      </c>
      <c r="V99" s="47" t="s">
        <v>516</v>
      </c>
      <c r="W99" s="47"/>
      <c r="X99" s="47"/>
      <c r="Y99" s="47"/>
      <c r="Z99" s="47">
        <f t="shared" si="15"/>
        <v>4620</v>
      </c>
      <c r="AA99" s="47"/>
      <c r="AB99" s="47"/>
      <c r="AC99" s="47"/>
      <c r="AD99" s="47"/>
      <c r="AE99" s="47">
        <f>$AE4</f>
        <v>0</v>
      </c>
      <c r="AF99" s="47">
        <f t="shared" si="16"/>
        <v>1485</v>
      </c>
      <c r="AG99" s="47" t="s">
        <v>517</v>
      </c>
      <c r="AH99" s="47" t="str">
        <f>IFERROR(_xlfn.XLOOKUP(Table6[[#This Row],[Suburb]],Table5[Travel Surcharge],Table5[$$]),"")</f>
        <v/>
      </c>
      <c r="AI99" s="47">
        <f t="shared" si="18"/>
        <v>1650.0000000000002</v>
      </c>
      <c r="AJ99" s="47"/>
      <c r="AL99" t="str">
        <v>Ashwood</v>
      </c>
      <c r="AO99" t="s">
        <v>301</v>
      </c>
      <c r="AP99" s="46">
        <v>7000</v>
      </c>
    </row>
    <row r="100" spans="1:43">
      <c r="A100" s="374" t="s">
        <v>508</v>
      </c>
      <c r="B100" s="374">
        <v>11</v>
      </c>
      <c r="C100" s="374" t="s">
        <v>502</v>
      </c>
      <c r="D100" s="375" t="str">
        <f t="shared" si="19"/>
        <v>Alamora11</v>
      </c>
      <c r="E100" s="375" t="s">
        <v>524</v>
      </c>
      <c r="F100" s="375"/>
      <c r="G100" s="375" t="s">
        <v>510</v>
      </c>
      <c r="H100" s="375" t="s">
        <v>511</v>
      </c>
      <c r="I100" s="63" t="s">
        <v>512</v>
      </c>
      <c r="J100" s="47">
        <f t="shared" si="17"/>
        <v>3740</v>
      </c>
      <c r="K100" s="46" t="s">
        <v>7938</v>
      </c>
      <c r="L100" s="47" t="s">
        <v>513</v>
      </c>
      <c r="M100" s="47" t="s">
        <v>514</v>
      </c>
      <c r="N100" s="47"/>
      <c r="O100" s="47" t="s">
        <v>515</v>
      </c>
      <c r="P100" s="47" t="s">
        <v>10129</v>
      </c>
      <c r="Q100" s="47"/>
      <c r="R100" s="47"/>
      <c r="S100" s="47"/>
      <c r="T100" s="47"/>
      <c r="U100" s="47">
        <f t="shared" si="14"/>
        <v>430</v>
      </c>
      <c r="V100" s="47" t="s">
        <v>516</v>
      </c>
      <c r="W100" s="47"/>
      <c r="X100" s="47"/>
      <c r="Y100" s="47"/>
      <c r="Z100" s="47">
        <f t="shared" si="15"/>
        <v>4620</v>
      </c>
      <c r="AA100" s="47"/>
      <c r="AB100" s="47"/>
      <c r="AC100" s="47"/>
      <c r="AD100" s="47"/>
      <c r="AE100" s="47">
        <f>$AE4</f>
        <v>0</v>
      </c>
      <c r="AF100" s="47">
        <f t="shared" si="16"/>
        <v>1485</v>
      </c>
      <c r="AG100" s="47" t="s">
        <v>517</v>
      </c>
      <c r="AH100" s="47" t="str">
        <f>IFERROR(_xlfn.XLOOKUP(Table6[[#This Row],[Suburb]],Table5[Travel Surcharge],Table5[$$]),"")</f>
        <v/>
      </c>
      <c r="AI100" s="47">
        <f t="shared" si="18"/>
        <v>1650.0000000000002</v>
      </c>
      <c r="AJ100" s="47"/>
      <c r="AL100" t="str">
        <v>Aspect  - Officer</v>
      </c>
      <c r="AO100" t="s">
        <v>7595</v>
      </c>
      <c r="AP100" s="46">
        <v>8000</v>
      </c>
      <c r="AQ100" t="s">
        <v>7512</v>
      </c>
    </row>
    <row r="101" spans="1:43">
      <c r="A101" s="374" t="s">
        <v>508</v>
      </c>
      <c r="B101" s="374">
        <v>12</v>
      </c>
      <c r="C101" s="374" t="s">
        <v>502</v>
      </c>
      <c r="D101" s="375" t="str">
        <f t="shared" si="19"/>
        <v>Alamora12</v>
      </c>
      <c r="E101" s="375" t="s">
        <v>525</v>
      </c>
      <c r="F101" s="375"/>
      <c r="G101" s="375" t="s">
        <v>510</v>
      </c>
      <c r="H101" s="375" t="s">
        <v>511</v>
      </c>
      <c r="I101" s="63" t="s">
        <v>512</v>
      </c>
      <c r="J101" s="47">
        <f t="shared" si="17"/>
        <v>3740</v>
      </c>
      <c r="K101" s="46" t="s">
        <v>7938</v>
      </c>
      <c r="L101" s="47" t="s">
        <v>513</v>
      </c>
      <c r="M101" s="47" t="s">
        <v>514</v>
      </c>
      <c r="N101" s="47"/>
      <c r="O101" s="47" t="s">
        <v>515</v>
      </c>
      <c r="P101" s="47" t="s">
        <v>10129</v>
      </c>
      <c r="Q101" s="47"/>
      <c r="R101" s="47"/>
      <c r="S101" s="47"/>
      <c r="T101" s="47"/>
      <c r="U101" s="47">
        <f t="shared" si="14"/>
        <v>430</v>
      </c>
      <c r="V101" s="47" t="s">
        <v>516</v>
      </c>
      <c r="W101" s="47"/>
      <c r="X101" s="47"/>
      <c r="Y101" s="47"/>
      <c r="Z101" s="47">
        <f t="shared" si="15"/>
        <v>4620</v>
      </c>
      <c r="AA101" s="47"/>
      <c r="AB101" s="47"/>
      <c r="AC101" s="47"/>
      <c r="AD101" s="47"/>
      <c r="AE101" s="47">
        <f>$AE4</f>
        <v>0</v>
      </c>
      <c r="AF101" s="47">
        <f t="shared" si="16"/>
        <v>1485</v>
      </c>
      <c r="AG101" s="47" t="s">
        <v>517</v>
      </c>
      <c r="AH101" s="47" t="str">
        <f>IFERROR(_xlfn.XLOOKUP(Table6[[#This Row],[Suburb]],Table5[Travel Surcharge],Table5[$$]),"")</f>
        <v/>
      </c>
      <c r="AI101" s="47">
        <f t="shared" si="18"/>
        <v>1650.0000000000002</v>
      </c>
      <c r="AJ101" s="47"/>
      <c r="AL101" t="str">
        <v>Aspect - Mernda</v>
      </c>
      <c r="AO101" t="s">
        <v>7541</v>
      </c>
      <c r="AP101" s="46">
        <v>8000</v>
      </c>
      <c r="AQ101" t="s">
        <v>7512</v>
      </c>
    </row>
    <row r="102" spans="1:43">
      <c r="A102" s="374" t="s">
        <v>508</v>
      </c>
      <c r="B102" s="374">
        <v>13</v>
      </c>
      <c r="C102" s="374" t="s">
        <v>502</v>
      </c>
      <c r="D102" s="375" t="str">
        <f t="shared" si="19"/>
        <v>Alamora13</v>
      </c>
      <c r="E102" s="375" t="s">
        <v>526</v>
      </c>
      <c r="F102" s="375"/>
      <c r="G102" s="375" t="s">
        <v>510</v>
      </c>
      <c r="H102" s="375" t="s">
        <v>511</v>
      </c>
      <c r="I102" s="63" t="s">
        <v>512</v>
      </c>
      <c r="J102" s="47">
        <f t="shared" si="17"/>
        <v>3740</v>
      </c>
      <c r="K102" s="46" t="s">
        <v>7938</v>
      </c>
      <c r="L102" s="47" t="s">
        <v>513</v>
      </c>
      <c r="M102" s="47" t="s">
        <v>514</v>
      </c>
      <c r="N102" s="47"/>
      <c r="O102" s="47" t="s">
        <v>515</v>
      </c>
      <c r="P102" s="47" t="s">
        <v>10129</v>
      </c>
      <c r="Q102" s="47"/>
      <c r="R102" s="47"/>
      <c r="S102" s="47"/>
      <c r="T102" s="47"/>
      <c r="U102" s="47">
        <f t="shared" si="14"/>
        <v>430</v>
      </c>
      <c r="V102" s="47" t="s">
        <v>516</v>
      </c>
      <c r="W102" s="47"/>
      <c r="X102" s="47"/>
      <c r="Y102" s="47"/>
      <c r="Z102" s="47">
        <f t="shared" si="15"/>
        <v>4620</v>
      </c>
      <c r="AA102" s="47"/>
      <c r="AB102" s="47"/>
      <c r="AC102" s="47"/>
      <c r="AD102" s="47"/>
      <c r="AE102" s="47">
        <f>$AE4</f>
        <v>0</v>
      </c>
      <c r="AF102" s="47">
        <f t="shared" si="16"/>
        <v>1485</v>
      </c>
      <c r="AG102" s="47" t="s">
        <v>517</v>
      </c>
      <c r="AH102" s="47" t="str">
        <f>IFERROR(_xlfn.XLOOKUP(Table6[[#This Row],[Suburb]],Table5[Travel Surcharge],Table5[$$]),"")</f>
        <v/>
      </c>
      <c r="AI102" s="47">
        <f t="shared" si="18"/>
        <v>1650.0000000000002</v>
      </c>
      <c r="AJ102" s="47"/>
      <c r="AL102" t="str">
        <v>Aspect Estate</v>
      </c>
      <c r="AO102" t="s">
        <v>300</v>
      </c>
      <c r="AP102" s="46">
        <v>12000</v>
      </c>
    </row>
    <row r="103" spans="1:43">
      <c r="A103" s="157" t="s">
        <v>508</v>
      </c>
      <c r="B103" s="157">
        <v>15</v>
      </c>
      <c r="C103" s="157" t="s">
        <v>8090</v>
      </c>
      <c r="D103" s="157" t="str">
        <f t="shared" si="19"/>
        <v>Alamora15</v>
      </c>
      <c r="E103" s="157" t="s">
        <v>8584</v>
      </c>
      <c r="F103" s="157"/>
      <c r="G103" s="157" t="s">
        <v>510</v>
      </c>
      <c r="H103" s="157" t="s">
        <v>8585</v>
      </c>
      <c r="I103" s="158" t="s">
        <v>512</v>
      </c>
      <c r="J103" s="47">
        <f t="shared" si="17"/>
        <v>3740</v>
      </c>
      <c r="K103" s="46" t="s">
        <v>7938</v>
      </c>
      <c r="L103" s="47" t="s">
        <v>513</v>
      </c>
      <c r="M103" s="47" t="s">
        <v>514</v>
      </c>
      <c r="N103" s="47"/>
      <c r="O103" s="47" t="s">
        <v>8586</v>
      </c>
      <c r="P103" s="47" t="s">
        <v>10129</v>
      </c>
      <c r="Q103" s="47"/>
      <c r="R103" s="47"/>
      <c r="S103" s="47"/>
      <c r="T103" s="47"/>
      <c r="U103" s="47">
        <f t="shared" si="14"/>
        <v>430</v>
      </c>
      <c r="V103" s="47" t="s">
        <v>8587</v>
      </c>
      <c r="W103" s="47"/>
      <c r="X103" s="47"/>
      <c r="Y103" s="47"/>
      <c r="Z103" s="47">
        <f t="shared" si="15"/>
        <v>4620</v>
      </c>
      <c r="AA103" s="47"/>
      <c r="AB103" s="47"/>
      <c r="AC103" s="47"/>
      <c r="AD103" s="47"/>
      <c r="AE103" s="47">
        <f>$AE4</f>
        <v>0</v>
      </c>
      <c r="AF103" s="47">
        <f t="shared" si="16"/>
        <v>1485</v>
      </c>
      <c r="AG103" s="47" t="s">
        <v>517</v>
      </c>
      <c r="AH103" s="47" t="str">
        <f>IFERROR(_xlfn.XLOOKUP(Table6[[#This Row],[Suburb]],Table5[Travel Surcharge],Table5[$$]),"")</f>
        <v/>
      </c>
      <c r="AI103" s="47">
        <f t="shared" si="18"/>
        <v>1650.0000000000002</v>
      </c>
      <c r="AJ103" s="47"/>
      <c r="AL103" t="str">
        <v>Aspect Estate - Greenvale</v>
      </c>
      <c r="AO103" t="s">
        <v>7596</v>
      </c>
      <c r="AP103" s="46">
        <v>8000</v>
      </c>
      <c r="AQ103" t="s">
        <v>7512</v>
      </c>
    </row>
    <row r="104" spans="1:43">
      <c r="A104" s="157" t="s">
        <v>508</v>
      </c>
      <c r="B104" s="157">
        <v>16</v>
      </c>
      <c r="C104" s="157" t="s">
        <v>8090</v>
      </c>
      <c r="D104" s="157" t="str">
        <f t="shared" si="19"/>
        <v>Alamora16</v>
      </c>
      <c r="E104" s="157" t="s">
        <v>8584</v>
      </c>
      <c r="F104" s="157"/>
      <c r="G104" s="157" t="s">
        <v>510</v>
      </c>
      <c r="H104" s="157" t="s">
        <v>8585</v>
      </c>
      <c r="I104" s="158" t="s">
        <v>512</v>
      </c>
      <c r="J104" s="47">
        <f t="shared" si="17"/>
        <v>3740</v>
      </c>
      <c r="K104" s="46" t="s">
        <v>7938</v>
      </c>
      <c r="L104" s="47" t="s">
        <v>513</v>
      </c>
      <c r="M104" s="47" t="s">
        <v>514</v>
      </c>
      <c r="N104" s="47"/>
      <c r="O104" s="47" t="s">
        <v>8586</v>
      </c>
      <c r="P104" s="47" t="s">
        <v>10129</v>
      </c>
      <c r="Q104" s="47"/>
      <c r="R104" s="47"/>
      <c r="S104" s="47"/>
      <c r="T104" s="47"/>
      <c r="U104" s="47">
        <f t="shared" si="14"/>
        <v>430</v>
      </c>
      <c r="V104" s="47" t="s">
        <v>8587</v>
      </c>
      <c r="W104" s="47"/>
      <c r="X104" s="47"/>
      <c r="Y104" s="47"/>
      <c r="Z104" s="47">
        <f t="shared" si="15"/>
        <v>4620</v>
      </c>
      <c r="AA104" s="47"/>
      <c r="AB104" s="47"/>
      <c r="AC104" s="47"/>
      <c r="AD104" s="47"/>
      <c r="AE104" s="47">
        <f>$AE4</f>
        <v>0</v>
      </c>
      <c r="AF104" s="47">
        <f t="shared" si="16"/>
        <v>1485</v>
      </c>
      <c r="AG104" s="47" t="s">
        <v>517</v>
      </c>
      <c r="AH104" s="47" t="str">
        <f>IFERROR(_xlfn.XLOOKUP(Table6[[#This Row],[Suburb]],Table5[Travel Surcharge],Table5[$$]),"")</f>
        <v/>
      </c>
      <c r="AI104" s="47">
        <f t="shared" si="18"/>
        <v>1650.0000000000002</v>
      </c>
      <c r="AJ104" s="47"/>
      <c r="AL104" t="str">
        <v>Aspen Estate</v>
      </c>
      <c r="AO104" t="s">
        <v>7523</v>
      </c>
      <c r="AP104" s="46">
        <v>8000</v>
      </c>
      <c r="AQ104" t="s">
        <v>7512</v>
      </c>
    </row>
    <row r="105" spans="1:43">
      <c r="A105" s="157" t="s">
        <v>508</v>
      </c>
      <c r="B105" s="157">
        <v>19</v>
      </c>
      <c r="C105" s="157" t="s">
        <v>8090</v>
      </c>
      <c r="D105" s="157" t="str">
        <f t="shared" si="19"/>
        <v>Alamora19</v>
      </c>
      <c r="E105" s="157" t="s">
        <v>9449</v>
      </c>
      <c r="F105" s="157"/>
      <c r="G105" s="157" t="s">
        <v>510</v>
      </c>
      <c r="H105" s="157" t="s">
        <v>8585</v>
      </c>
      <c r="I105" s="158" t="s">
        <v>512</v>
      </c>
      <c r="J105" s="47">
        <f t="shared" si="17"/>
        <v>3740</v>
      </c>
      <c r="K105" s="46" t="s">
        <v>7938</v>
      </c>
      <c r="L105" s="47" t="s">
        <v>513</v>
      </c>
      <c r="M105" s="47" t="s">
        <v>514</v>
      </c>
      <c r="N105" s="47"/>
      <c r="O105" s="47" t="s">
        <v>8586</v>
      </c>
      <c r="P105" s="47" t="s">
        <v>10129</v>
      </c>
      <c r="Q105" s="47"/>
      <c r="R105" s="47"/>
      <c r="S105" s="47"/>
      <c r="T105" s="47"/>
      <c r="U105" s="47">
        <f t="shared" si="14"/>
        <v>430</v>
      </c>
      <c r="V105" s="47" t="s">
        <v>8587</v>
      </c>
      <c r="W105" s="47"/>
      <c r="X105" s="47"/>
      <c r="Y105" s="47"/>
      <c r="Z105" s="47">
        <f t="shared" si="15"/>
        <v>4620</v>
      </c>
      <c r="AA105" s="47"/>
      <c r="AB105" s="47"/>
      <c r="AC105" s="47"/>
      <c r="AD105" s="47"/>
      <c r="AE105" s="47">
        <f>$AE4</f>
        <v>0</v>
      </c>
      <c r="AF105" s="47">
        <f t="shared" si="16"/>
        <v>1485</v>
      </c>
      <c r="AG105" s="47" t="s">
        <v>517</v>
      </c>
      <c r="AH105" s="47" t="str">
        <f>IFERROR(_xlfn.XLOOKUP(Table6[[#This Row],[Suburb]],Table5[Travel Surcharge],Table5[$$]),"")</f>
        <v/>
      </c>
      <c r="AI105" s="47">
        <f t="shared" si="18"/>
        <v>1650.0000000000002</v>
      </c>
      <c r="AJ105" s="47"/>
      <c r="AL105" t="str">
        <v>Aspire Estate</v>
      </c>
      <c r="AO105" t="s">
        <v>286</v>
      </c>
      <c r="AP105" s="46">
        <v>1500</v>
      </c>
    </row>
    <row r="106" spans="1:43">
      <c r="A106" s="374" t="s">
        <v>508</v>
      </c>
      <c r="B106" s="374">
        <v>32</v>
      </c>
      <c r="C106" s="374" t="s">
        <v>502</v>
      </c>
      <c r="D106" s="375" t="str">
        <f t="shared" si="19"/>
        <v>Alamora32</v>
      </c>
      <c r="E106" s="375" t="s">
        <v>10770</v>
      </c>
      <c r="F106" s="375"/>
      <c r="G106" s="375" t="s">
        <v>510</v>
      </c>
      <c r="H106" s="375" t="s">
        <v>511</v>
      </c>
      <c r="I106" s="63" t="s">
        <v>512</v>
      </c>
      <c r="J106" s="47">
        <v>3740</v>
      </c>
      <c r="K106" s="46" t="s">
        <v>7938</v>
      </c>
      <c r="L106" s="47" t="s">
        <v>513</v>
      </c>
      <c r="M106" s="47" t="s">
        <v>514</v>
      </c>
      <c r="N106" s="47"/>
      <c r="O106" s="47" t="s">
        <v>515</v>
      </c>
      <c r="P106" s="47" t="s">
        <v>10129</v>
      </c>
      <c r="Q106" s="47"/>
      <c r="R106" s="47"/>
      <c r="S106" s="47"/>
      <c r="T106" s="47"/>
      <c r="U106" s="47">
        <v>430</v>
      </c>
      <c r="V106" s="47" t="s">
        <v>516</v>
      </c>
      <c r="W106" s="47"/>
      <c r="X106" s="47"/>
      <c r="Y106" s="47"/>
      <c r="Z106" s="47">
        <v>4620</v>
      </c>
      <c r="AA106" s="47"/>
      <c r="AB106" s="47"/>
      <c r="AC106" s="47"/>
      <c r="AD106" s="47"/>
      <c r="AE106" s="47">
        <v>0</v>
      </c>
      <c r="AF106" s="47">
        <v>1485</v>
      </c>
      <c r="AG106" s="47" t="s">
        <v>517</v>
      </c>
      <c r="AH106" s="47" t="s">
        <v>9976</v>
      </c>
      <c r="AI106" s="47">
        <v>1650.0000000000002</v>
      </c>
      <c r="AJ106" s="47"/>
      <c r="AL106" t="str">
        <v>Aston Estate</v>
      </c>
      <c r="AO106" t="s">
        <v>7597</v>
      </c>
      <c r="AP106" s="46">
        <v>8000</v>
      </c>
      <c r="AQ106" t="s">
        <v>7512</v>
      </c>
    </row>
    <row r="107" spans="1:43">
      <c r="A107" s="374" t="s">
        <v>527</v>
      </c>
      <c r="B107" s="374" t="s">
        <v>528</v>
      </c>
      <c r="C107" s="374" t="s">
        <v>529</v>
      </c>
      <c r="D107" s="375" t="str">
        <f t="shared" si="19"/>
        <v>Alarah East Estate4A</v>
      </c>
      <c r="E107" s="375" t="s">
        <v>530</v>
      </c>
      <c r="F107" s="375" t="s">
        <v>493</v>
      </c>
      <c r="G107" s="375" t="s">
        <v>531</v>
      </c>
      <c r="H107" s="375" t="s">
        <v>532</v>
      </c>
      <c r="I107" s="63" t="s">
        <v>533</v>
      </c>
      <c r="J107" s="47">
        <f t="shared" si="17"/>
        <v>3740</v>
      </c>
      <c r="K107" s="46" t="s">
        <v>10735</v>
      </c>
      <c r="L107" s="47"/>
      <c r="M107" s="47"/>
      <c r="N107" s="47" t="s">
        <v>534</v>
      </c>
      <c r="O107" s="47" t="s">
        <v>535</v>
      </c>
      <c r="P107" s="47"/>
      <c r="Q107" s="47"/>
      <c r="R107" s="47"/>
      <c r="S107" s="47"/>
      <c r="T107" s="47">
        <f>T$2</f>
        <v>780</v>
      </c>
      <c r="U107" s="47" t="s">
        <v>536</v>
      </c>
      <c r="V107" s="47"/>
      <c r="W107" s="47"/>
      <c r="X107" s="47"/>
      <c r="Y107" s="47"/>
      <c r="Z107" s="47">
        <f t="shared" si="15"/>
        <v>4620</v>
      </c>
      <c r="AA107" s="47"/>
      <c r="AB107" s="47"/>
      <c r="AC107" s="47"/>
      <c r="AD107" s="47"/>
      <c r="AE107" s="47"/>
      <c r="AF107" s="47">
        <f t="shared" si="16"/>
        <v>1485</v>
      </c>
      <c r="AG107" s="47"/>
      <c r="AH107" s="47" t="str">
        <f>IFERROR(_xlfn.XLOOKUP(Table6[[#This Row],[Suburb]],Table5[Travel Surcharge],Table5[$$]),"")</f>
        <v/>
      </c>
      <c r="AI107" s="47"/>
      <c r="AJ107" s="47"/>
      <c r="AL107" t="str">
        <v>Atherstone Estate</v>
      </c>
      <c r="AO107" t="s">
        <v>7542</v>
      </c>
      <c r="AP107" s="46">
        <v>8000</v>
      </c>
      <c r="AQ107" t="s">
        <v>7512</v>
      </c>
    </row>
    <row r="108" spans="1:43">
      <c r="A108" s="374" t="s">
        <v>537</v>
      </c>
      <c r="B108" s="374">
        <v>5</v>
      </c>
      <c r="C108" s="374" t="s">
        <v>538</v>
      </c>
      <c r="D108" s="375" t="str">
        <f t="shared" si="19"/>
        <v>Albright Estate5</v>
      </c>
      <c r="E108" s="375" t="s">
        <v>539</v>
      </c>
      <c r="F108" s="375" t="s">
        <v>540</v>
      </c>
      <c r="G108" s="375" t="s">
        <v>541</v>
      </c>
      <c r="H108" s="375" t="s">
        <v>542</v>
      </c>
      <c r="I108" s="63" t="s">
        <v>543</v>
      </c>
      <c r="J108" s="47">
        <f t="shared" si="17"/>
        <v>3740</v>
      </c>
      <c r="K108" s="46" t="s">
        <v>7938</v>
      </c>
      <c r="L108" s="47" t="s">
        <v>544</v>
      </c>
      <c r="M108" s="47"/>
      <c r="N108" s="47" t="s">
        <v>545</v>
      </c>
      <c r="O108" s="47"/>
      <c r="P108" s="47"/>
      <c r="Q108" s="47"/>
      <c r="R108" s="47"/>
      <c r="S108" s="47"/>
      <c r="T108" s="47">
        <f>T$2</f>
        <v>780</v>
      </c>
      <c r="U108" s="47"/>
      <c r="V108" s="47"/>
      <c r="W108" s="47"/>
      <c r="X108" s="47"/>
      <c r="Y108" s="47"/>
      <c r="Z108" s="47">
        <f t="shared" si="15"/>
        <v>4620</v>
      </c>
      <c r="AA108" s="47"/>
      <c r="AB108" s="47"/>
      <c r="AC108" s="47"/>
      <c r="AD108" s="47"/>
      <c r="AE108" s="47"/>
      <c r="AF108" s="47">
        <f t="shared" si="16"/>
        <v>1485</v>
      </c>
      <c r="AG108" s="47"/>
      <c r="AH108" s="47" t="str">
        <f>IFERROR(_xlfn.XLOOKUP(Table6[[#This Row],[Suburb]],Table5[Travel Surcharge],Table5[$$]),"")</f>
        <v/>
      </c>
      <c r="AI108" s="47"/>
      <c r="AJ108" s="47"/>
      <c r="AL108" t="str">
        <v>Atherstone Estate - Middle Park</v>
      </c>
      <c r="AO108" t="s">
        <v>1925</v>
      </c>
      <c r="AP108" s="46">
        <v>8000</v>
      </c>
      <c r="AQ108" t="s">
        <v>7512</v>
      </c>
    </row>
    <row r="109" spans="1:43">
      <c r="A109" s="374" t="s">
        <v>537</v>
      </c>
      <c r="B109" s="374">
        <v>6</v>
      </c>
      <c r="C109" s="374" t="s">
        <v>538</v>
      </c>
      <c r="D109" s="375" t="str">
        <f t="shared" si="19"/>
        <v>Albright Estate6</v>
      </c>
      <c r="E109" s="375" t="s">
        <v>546</v>
      </c>
      <c r="F109" s="375" t="s">
        <v>540</v>
      </c>
      <c r="G109" s="375" t="s">
        <v>541</v>
      </c>
      <c r="H109" s="375" t="s">
        <v>542</v>
      </c>
      <c r="I109" s="63" t="s">
        <v>543</v>
      </c>
      <c r="J109" s="47">
        <f t="shared" si="17"/>
        <v>3740</v>
      </c>
      <c r="K109" s="46" t="s">
        <v>7938</v>
      </c>
      <c r="L109" s="47" t="s">
        <v>544</v>
      </c>
      <c r="M109" s="47"/>
      <c r="N109" s="47" t="s">
        <v>545</v>
      </c>
      <c r="O109" s="47"/>
      <c r="P109" s="47"/>
      <c r="Q109" s="47"/>
      <c r="R109" s="47"/>
      <c r="S109" s="47"/>
      <c r="T109" s="47">
        <f>T$2</f>
        <v>780</v>
      </c>
      <c r="U109" s="47"/>
      <c r="V109" s="47"/>
      <c r="W109" s="47"/>
      <c r="X109" s="47"/>
      <c r="Y109" s="47"/>
      <c r="Z109" s="47">
        <f t="shared" si="15"/>
        <v>4620</v>
      </c>
      <c r="AA109" s="47"/>
      <c r="AB109" s="47"/>
      <c r="AC109" s="47"/>
      <c r="AD109" s="47"/>
      <c r="AE109" s="47"/>
      <c r="AF109" s="47">
        <f t="shared" si="16"/>
        <v>1485</v>
      </c>
      <c r="AG109" s="47"/>
      <c r="AH109" s="47" t="str">
        <f>IFERROR(_xlfn.XLOOKUP(Table6[[#This Row],[Suburb]],Table5[Travel Surcharge],Table5[$$]),"")</f>
        <v/>
      </c>
      <c r="AI109" s="47"/>
      <c r="AJ109" s="47"/>
      <c r="AL109" t="str">
        <v>Atherstone Estate - Settlers Creek</v>
      </c>
      <c r="AO109" t="s">
        <v>7598</v>
      </c>
      <c r="AP109" s="46">
        <v>8000</v>
      </c>
      <c r="AQ109" t="s">
        <v>7512</v>
      </c>
    </row>
    <row r="110" spans="1:43">
      <c r="A110" s="374" t="s">
        <v>537</v>
      </c>
      <c r="B110" s="374">
        <v>7</v>
      </c>
      <c r="C110" s="374" t="s">
        <v>538</v>
      </c>
      <c r="D110" s="375" t="str">
        <f t="shared" si="19"/>
        <v>Albright Estate7</v>
      </c>
      <c r="E110" s="375" t="s">
        <v>547</v>
      </c>
      <c r="F110" s="375" t="s">
        <v>540</v>
      </c>
      <c r="G110" s="375" t="s">
        <v>541</v>
      </c>
      <c r="H110" s="375" t="s">
        <v>542</v>
      </c>
      <c r="I110" s="63" t="s">
        <v>543</v>
      </c>
      <c r="J110" s="47">
        <f t="shared" si="17"/>
        <v>3740</v>
      </c>
      <c r="K110" s="46" t="s">
        <v>7938</v>
      </c>
      <c r="L110" s="47" t="s">
        <v>544</v>
      </c>
      <c r="M110" s="47"/>
      <c r="N110" s="47" t="s">
        <v>545</v>
      </c>
      <c r="O110" s="47"/>
      <c r="P110" s="47"/>
      <c r="Q110" s="47"/>
      <c r="R110" s="47"/>
      <c r="S110" s="47"/>
      <c r="T110" s="47">
        <f>T$2</f>
        <v>780</v>
      </c>
      <c r="U110" s="47"/>
      <c r="V110" s="47"/>
      <c r="W110" s="47"/>
      <c r="X110" s="47"/>
      <c r="Y110" s="47"/>
      <c r="Z110" s="47">
        <f t="shared" si="15"/>
        <v>4620</v>
      </c>
      <c r="AA110" s="47"/>
      <c r="AB110" s="47"/>
      <c r="AC110" s="47"/>
      <c r="AD110" s="47"/>
      <c r="AE110" s="47"/>
      <c r="AF110" s="47">
        <f t="shared" si="16"/>
        <v>1485</v>
      </c>
      <c r="AG110" s="47"/>
      <c r="AH110" s="47" t="str">
        <f>IFERROR(_xlfn.XLOOKUP(Table6[[#This Row],[Suburb]],Table5[Travel Surcharge],Table5[$$]),"")</f>
        <v/>
      </c>
      <c r="AI110" s="47"/>
      <c r="AJ110" s="47"/>
      <c r="AL110" t="str">
        <v>Atherstone Estate - Stone Ridge</v>
      </c>
      <c r="AO110" t="s">
        <v>7599</v>
      </c>
      <c r="AP110" s="46">
        <v>8000</v>
      </c>
      <c r="AQ110" t="s">
        <v>7512</v>
      </c>
    </row>
    <row r="111" spans="1:43">
      <c r="A111" s="374" t="s">
        <v>537</v>
      </c>
      <c r="B111" s="374">
        <v>8</v>
      </c>
      <c r="C111" s="374" t="s">
        <v>538</v>
      </c>
      <c r="D111" s="375" t="str">
        <f t="shared" si="19"/>
        <v>Albright Estate8</v>
      </c>
      <c r="E111" s="375" t="s">
        <v>548</v>
      </c>
      <c r="F111" s="375" t="s">
        <v>540</v>
      </c>
      <c r="G111" s="375" t="s">
        <v>541</v>
      </c>
      <c r="H111" s="375" t="s">
        <v>542</v>
      </c>
      <c r="I111" s="63" t="s">
        <v>543</v>
      </c>
      <c r="J111" s="47">
        <f t="shared" si="17"/>
        <v>3740</v>
      </c>
      <c r="K111" s="46" t="s">
        <v>7938</v>
      </c>
      <c r="L111" s="47" t="s">
        <v>544</v>
      </c>
      <c r="M111" s="47"/>
      <c r="N111" s="47" t="s">
        <v>545</v>
      </c>
      <c r="O111" s="47"/>
      <c r="P111" s="47"/>
      <c r="Q111" s="47"/>
      <c r="R111" s="47"/>
      <c r="S111" s="47"/>
      <c r="T111" s="47">
        <f>T$2</f>
        <v>780</v>
      </c>
      <c r="U111" s="47"/>
      <c r="V111" s="47"/>
      <c r="W111" s="47"/>
      <c r="X111" s="47"/>
      <c r="Y111" s="47"/>
      <c r="Z111" s="47">
        <f t="shared" si="15"/>
        <v>4620</v>
      </c>
      <c r="AA111" s="47"/>
      <c r="AB111" s="47"/>
      <c r="AC111" s="47"/>
      <c r="AD111" s="47"/>
      <c r="AE111" s="47"/>
      <c r="AF111" s="47">
        <f t="shared" si="16"/>
        <v>1485</v>
      </c>
      <c r="AG111" s="47"/>
      <c r="AH111" s="47" t="str">
        <f>IFERROR(_xlfn.XLOOKUP(Table6[[#This Row],[Suburb]],Table5[Travel Surcharge],Table5[$$]),"")</f>
        <v/>
      </c>
      <c r="AI111" s="47"/>
      <c r="AJ111" s="47"/>
      <c r="AL111" t="str">
        <v>Atherstone Estate - Wilton</v>
      </c>
      <c r="AO111" t="s">
        <v>7524</v>
      </c>
      <c r="AP111" s="46">
        <v>8000</v>
      </c>
      <c r="AQ111" t="s">
        <v>7512</v>
      </c>
    </row>
    <row r="112" spans="1:43">
      <c r="A112" s="374" t="s">
        <v>549</v>
      </c>
      <c r="B112" s="374">
        <v>1</v>
      </c>
      <c r="C112" s="374" t="s">
        <v>550</v>
      </c>
      <c r="D112" s="375" t="str">
        <f t="shared" si="19"/>
        <v>Aldo1</v>
      </c>
      <c r="E112" s="375" t="s">
        <v>551</v>
      </c>
      <c r="F112" s="375" t="s">
        <v>552</v>
      </c>
      <c r="G112" s="375"/>
      <c r="H112" s="375" t="s">
        <v>553</v>
      </c>
      <c r="I112" s="63" t="s">
        <v>554</v>
      </c>
      <c r="J112" s="47"/>
      <c r="K112" s="46" t="s">
        <v>10735</v>
      </c>
      <c r="L112" s="47">
        <f t="shared" ref="L112:L129" si="20">L$7</f>
        <v>1210</v>
      </c>
      <c r="M112" s="47" t="s">
        <v>504</v>
      </c>
      <c r="N112" s="47" t="s">
        <v>555</v>
      </c>
      <c r="O112" s="47">
        <f t="shared" ref="O112:O122" si="21">$O$7</f>
        <v>4950</v>
      </c>
      <c r="P112" s="47"/>
      <c r="Q112" s="47"/>
      <c r="R112" s="47"/>
      <c r="S112" s="47"/>
      <c r="T112" s="47"/>
      <c r="U112" s="47">
        <f t="shared" ref="U112:U122" si="22">U$2</f>
        <v>430</v>
      </c>
      <c r="V112" s="47" t="s">
        <v>556</v>
      </c>
      <c r="W112" s="47"/>
      <c r="X112" s="47">
        <f t="shared" ref="X112:X122" si="23">$X$7</f>
        <v>3000</v>
      </c>
      <c r="Y112" s="47"/>
      <c r="Z112" s="47">
        <f t="shared" si="15"/>
        <v>4620</v>
      </c>
      <c r="AA112" s="47">
        <f t="shared" ref="AA112:AA122" si="24">AA$7</f>
        <v>1400</v>
      </c>
      <c r="AB112" s="47"/>
      <c r="AC112" s="47"/>
      <c r="AD112" s="47" t="s">
        <v>1</v>
      </c>
      <c r="AE112" s="47"/>
      <c r="AF112" s="47">
        <f t="shared" si="16"/>
        <v>1485</v>
      </c>
      <c r="AG112" s="47"/>
      <c r="AH112" s="47" t="str">
        <f>IFERROR(_xlfn.XLOOKUP(Table6[[#This Row],[Suburb]],Table5[Travel Surcharge],Table5[$$]),"")</f>
        <v/>
      </c>
      <c r="AI112" s="47"/>
      <c r="AJ112" s="47"/>
      <c r="AL112" t="str">
        <v>Atkinson Place</v>
      </c>
      <c r="AO112" t="s">
        <v>7600</v>
      </c>
      <c r="AP112" s="46">
        <v>8000</v>
      </c>
      <c r="AQ112" t="s">
        <v>7512</v>
      </c>
    </row>
    <row r="113" spans="1:43">
      <c r="A113" s="374" t="s">
        <v>549</v>
      </c>
      <c r="B113" s="374">
        <v>2</v>
      </c>
      <c r="C113" s="374" t="s">
        <v>550</v>
      </c>
      <c r="D113" s="375" t="str">
        <f t="shared" si="19"/>
        <v>Aldo2</v>
      </c>
      <c r="E113" s="375" t="s">
        <v>557</v>
      </c>
      <c r="F113" s="375" t="s">
        <v>552</v>
      </c>
      <c r="G113" s="375"/>
      <c r="H113" s="375" t="s">
        <v>553</v>
      </c>
      <c r="I113" s="63" t="s">
        <v>554</v>
      </c>
      <c r="J113" s="47"/>
      <c r="K113" s="46" t="s">
        <v>10735</v>
      </c>
      <c r="L113" s="47">
        <f t="shared" si="20"/>
        <v>1210</v>
      </c>
      <c r="M113" s="47" t="s">
        <v>504</v>
      </c>
      <c r="N113" s="47" t="s">
        <v>555</v>
      </c>
      <c r="O113" s="47">
        <f t="shared" si="21"/>
        <v>4950</v>
      </c>
      <c r="P113" s="47"/>
      <c r="Q113" s="47"/>
      <c r="R113" s="47"/>
      <c r="S113" s="47"/>
      <c r="T113" s="47"/>
      <c r="U113" s="47">
        <f t="shared" si="22"/>
        <v>430</v>
      </c>
      <c r="V113" s="47" t="s">
        <v>556</v>
      </c>
      <c r="W113" s="47"/>
      <c r="X113" s="47">
        <f t="shared" si="23"/>
        <v>3000</v>
      </c>
      <c r="Y113" s="47"/>
      <c r="Z113" s="47">
        <f t="shared" si="15"/>
        <v>4620</v>
      </c>
      <c r="AA113" s="47">
        <f t="shared" si="24"/>
        <v>1400</v>
      </c>
      <c r="AB113" s="47"/>
      <c r="AC113" s="47"/>
      <c r="AD113" s="47" t="s">
        <v>1</v>
      </c>
      <c r="AE113" s="47"/>
      <c r="AF113" s="47">
        <f t="shared" si="16"/>
        <v>1485</v>
      </c>
      <c r="AG113" s="47"/>
      <c r="AH113" s="47" t="str">
        <f>IFERROR(_xlfn.XLOOKUP(Table6[[#This Row],[Suburb]],Table5[Travel Surcharge],Table5[$$]),"")</f>
        <v/>
      </c>
      <c r="AI113" s="47"/>
      <c r="AJ113" s="47"/>
      <c r="AL113" t="str">
        <v>Atlas  Rockbank</v>
      </c>
      <c r="AO113" t="s">
        <v>8212</v>
      </c>
      <c r="AP113" s="46">
        <v>8000</v>
      </c>
      <c r="AQ113" t="s">
        <v>7512</v>
      </c>
    </row>
    <row r="114" spans="1:43">
      <c r="A114" s="374" t="s">
        <v>549</v>
      </c>
      <c r="B114" s="374">
        <v>3</v>
      </c>
      <c r="C114" s="374" t="s">
        <v>550</v>
      </c>
      <c r="D114" s="375" t="str">
        <f t="shared" si="19"/>
        <v>Aldo3</v>
      </c>
      <c r="E114" s="375" t="s">
        <v>558</v>
      </c>
      <c r="F114" s="375" t="s">
        <v>552</v>
      </c>
      <c r="G114" s="375"/>
      <c r="H114" s="375" t="s">
        <v>553</v>
      </c>
      <c r="I114" s="63" t="s">
        <v>554</v>
      </c>
      <c r="J114" s="47"/>
      <c r="K114" s="46" t="s">
        <v>10735</v>
      </c>
      <c r="L114" s="47">
        <f t="shared" si="20"/>
        <v>1210</v>
      </c>
      <c r="M114" s="47" t="s">
        <v>504</v>
      </c>
      <c r="N114" s="47" t="s">
        <v>555</v>
      </c>
      <c r="O114" s="47">
        <f t="shared" si="21"/>
        <v>4950</v>
      </c>
      <c r="P114" s="47"/>
      <c r="Q114" s="47"/>
      <c r="R114" s="47"/>
      <c r="S114" s="47"/>
      <c r="T114" s="47"/>
      <c r="U114" s="47">
        <f t="shared" si="22"/>
        <v>430</v>
      </c>
      <c r="V114" s="47" t="s">
        <v>556</v>
      </c>
      <c r="W114" s="47"/>
      <c r="X114" s="47">
        <f t="shared" si="23"/>
        <v>3000</v>
      </c>
      <c r="Y114" s="47"/>
      <c r="Z114" s="47">
        <f t="shared" si="15"/>
        <v>4620</v>
      </c>
      <c r="AA114" s="47">
        <f t="shared" si="24"/>
        <v>1400</v>
      </c>
      <c r="AB114" s="47"/>
      <c r="AC114" s="47"/>
      <c r="AD114" s="47" t="s">
        <v>1</v>
      </c>
      <c r="AE114" s="47"/>
      <c r="AF114" s="47">
        <f t="shared" si="16"/>
        <v>1485</v>
      </c>
      <c r="AG114" s="47"/>
      <c r="AH114" s="47" t="str">
        <f>IFERROR(_xlfn.XLOOKUP(Table6[[#This Row],[Suburb]],Table5[Travel Surcharge],Table5[$$]),"")</f>
        <v/>
      </c>
      <c r="AI114" s="47"/>
      <c r="AJ114" s="47"/>
      <c r="AL114" t="str">
        <v>Atticus Estate</v>
      </c>
      <c r="AO114" t="s">
        <v>7601</v>
      </c>
      <c r="AP114" s="46">
        <v>8000</v>
      </c>
      <c r="AQ114" t="s">
        <v>7512</v>
      </c>
    </row>
    <row r="115" spans="1:43">
      <c r="A115" s="374" t="s">
        <v>549</v>
      </c>
      <c r="B115" s="374">
        <v>4</v>
      </c>
      <c r="C115" s="374" t="s">
        <v>550</v>
      </c>
      <c r="D115" s="375" t="str">
        <f t="shared" si="19"/>
        <v>Aldo4</v>
      </c>
      <c r="E115" s="375" t="s">
        <v>559</v>
      </c>
      <c r="F115" s="375" t="s">
        <v>552</v>
      </c>
      <c r="G115" s="375"/>
      <c r="H115" s="375" t="s">
        <v>553</v>
      </c>
      <c r="I115" s="63" t="s">
        <v>554</v>
      </c>
      <c r="J115" s="47"/>
      <c r="K115" s="46" t="s">
        <v>10735</v>
      </c>
      <c r="L115" s="47">
        <f t="shared" si="20"/>
        <v>1210</v>
      </c>
      <c r="M115" s="47" t="s">
        <v>504</v>
      </c>
      <c r="N115" s="47" t="s">
        <v>555</v>
      </c>
      <c r="O115" s="47">
        <f t="shared" si="21"/>
        <v>4950</v>
      </c>
      <c r="P115" s="47"/>
      <c r="Q115" s="47"/>
      <c r="R115" s="47"/>
      <c r="S115" s="47"/>
      <c r="T115" s="47"/>
      <c r="U115" s="47">
        <f t="shared" si="22"/>
        <v>430</v>
      </c>
      <c r="V115" s="47" t="s">
        <v>556</v>
      </c>
      <c r="W115" s="47"/>
      <c r="X115" s="47">
        <f t="shared" si="23"/>
        <v>3000</v>
      </c>
      <c r="Y115" s="47"/>
      <c r="Z115" s="47">
        <f t="shared" si="15"/>
        <v>4620</v>
      </c>
      <c r="AA115" s="47">
        <f t="shared" si="24"/>
        <v>1400</v>
      </c>
      <c r="AB115" s="47"/>
      <c r="AC115" s="47"/>
      <c r="AD115" s="47" t="s">
        <v>1</v>
      </c>
      <c r="AE115" s="47"/>
      <c r="AF115" s="47">
        <f t="shared" si="16"/>
        <v>1485</v>
      </c>
      <c r="AG115" s="47"/>
      <c r="AH115" s="47" t="str">
        <f>IFERROR(_xlfn.XLOOKUP(Table6[[#This Row],[Suburb]],Table5[Travel Surcharge],Table5[$$]),"")</f>
        <v/>
      </c>
      <c r="AI115" s="47"/>
      <c r="AJ115" s="47"/>
      <c r="AL115" t="str">
        <v>Attwell Estate</v>
      </c>
      <c r="AO115" t="s">
        <v>7602</v>
      </c>
      <c r="AP115" s="46">
        <v>8000</v>
      </c>
      <c r="AQ115" t="s">
        <v>7512</v>
      </c>
    </row>
    <row r="116" spans="1:43">
      <c r="A116" s="374" t="s">
        <v>549</v>
      </c>
      <c r="B116" s="374">
        <v>5</v>
      </c>
      <c r="C116" s="374" t="s">
        <v>550</v>
      </c>
      <c r="D116" s="375" t="str">
        <f t="shared" si="19"/>
        <v>Aldo5</v>
      </c>
      <c r="E116" s="375" t="s">
        <v>560</v>
      </c>
      <c r="F116" s="375" t="s">
        <v>552</v>
      </c>
      <c r="G116" s="375"/>
      <c r="H116" s="375" t="s">
        <v>553</v>
      </c>
      <c r="I116" s="63" t="s">
        <v>554</v>
      </c>
      <c r="J116" s="47"/>
      <c r="K116" s="46" t="s">
        <v>10735</v>
      </c>
      <c r="L116" s="47">
        <f t="shared" si="20"/>
        <v>1210</v>
      </c>
      <c r="M116" s="47" t="s">
        <v>504</v>
      </c>
      <c r="N116" s="47" t="s">
        <v>555</v>
      </c>
      <c r="O116" s="47">
        <f t="shared" si="21"/>
        <v>4950</v>
      </c>
      <c r="P116" s="47"/>
      <c r="Q116" s="47"/>
      <c r="R116" s="47"/>
      <c r="S116" s="47"/>
      <c r="T116" s="47"/>
      <c r="U116" s="47">
        <f t="shared" si="22"/>
        <v>430</v>
      </c>
      <c r="V116" s="47" t="s">
        <v>556</v>
      </c>
      <c r="W116" s="47"/>
      <c r="X116" s="47">
        <f t="shared" si="23"/>
        <v>3000</v>
      </c>
      <c r="Y116" s="47"/>
      <c r="Z116" s="47">
        <f t="shared" si="15"/>
        <v>4620</v>
      </c>
      <c r="AA116" s="47">
        <f t="shared" si="24"/>
        <v>1400</v>
      </c>
      <c r="AB116" s="47"/>
      <c r="AC116" s="47"/>
      <c r="AD116" s="47" t="s">
        <v>1</v>
      </c>
      <c r="AE116" s="47"/>
      <c r="AF116" s="47">
        <f t="shared" si="16"/>
        <v>1485</v>
      </c>
      <c r="AG116" s="47"/>
      <c r="AH116" s="47" t="str">
        <f>IFERROR(_xlfn.XLOOKUP(Table6[[#This Row],[Suburb]],Table5[Travel Surcharge],Table5[$$]),"")</f>
        <v/>
      </c>
      <c r="AI116" s="47"/>
      <c r="AJ116" s="47"/>
      <c r="AL116" t="str">
        <v>Auburn Estate</v>
      </c>
      <c r="AO116" t="s">
        <v>7543</v>
      </c>
      <c r="AP116" s="46">
        <v>8000</v>
      </c>
      <c r="AQ116" t="s">
        <v>7512</v>
      </c>
    </row>
    <row r="117" spans="1:43">
      <c r="A117" s="374" t="s">
        <v>549</v>
      </c>
      <c r="B117" s="374">
        <v>6</v>
      </c>
      <c r="C117" s="374" t="s">
        <v>550</v>
      </c>
      <c r="D117" s="375" t="str">
        <f t="shared" si="19"/>
        <v>Aldo6</v>
      </c>
      <c r="E117" s="375" t="s">
        <v>561</v>
      </c>
      <c r="F117" s="375" t="s">
        <v>552</v>
      </c>
      <c r="G117" s="375"/>
      <c r="H117" s="375" t="s">
        <v>553</v>
      </c>
      <c r="I117" s="63" t="s">
        <v>554</v>
      </c>
      <c r="J117" s="47"/>
      <c r="K117" s="46" t="s">
        <v>10735</v>
      </c>
      <c r="L117" s="47">
        <f t="shared" si="20"/>
        <v>1210</v>
      </c>
      <c r="M117" s="47" t="s">
        <v>504</v>
      </c>
      <c r="N117" s="47" t="s">
        <v>555</v>
      </c>
      <c r="O117" s="47">
        <f t="shared" si="21"/>
        <v>4950</v>
      </c>
      <c r="P117" s="47"/>
      <c r="Q117" s="47"/>
      <c r="R117" s="47"/>
      <c r="S117" s="47"/>
      <c r="T117" s="47"/>
      <c r="U117" s="47">
        <f t="shared" si="22"/>
        <v>430</v>
      </c>
      <c r="V117" s="47" t="s">
        <v>556</v>
      </c>
      <c r="W117" s="47"/>
      <c r="X117" s="47">
        <f t="shared" si="23"/>
        <v>3000</v>
      </c>
      <c r="Y117" s="47"/>
      <c r="Z117" s="47">
        <f t="shared" si="15"/>
        <v>4620</v>
      </c>
      <c r="AA117" s="47">
        <f t="shared" si="24"/>
        <v>1400</v>
      </c>
      <c r="AB117" s="47"/>
      <c r="AC117" s="47"/>
      <c r="AD117" s="47" t="s">
        <v>1</v>
      </c>
      <c r="AE117" s="47"/>
      <c r="AF117" s="47">
        <f t="shared" si="16"/>
        <v>1485</v>
      </c>
      <c r="AG117" s="47"/>
      <c r="AH117" s="47" t="str">
        <f>IFERROR(_xlfn.XLOOKUP(Table6[[#This Row],[Suburb]],Table5[Travel Surcharge],Table5[$$]),"")</f>
        <v/>
      </c>
      <c r="AI117" s="47"/>
      <c r="AJ117" s="47"/>
      <c r="AL117" t="str">
        <v>Aurora Estate</v>
      </c>
      <c r="AO117" t="s">
        <v>7525</v>
      </c>
      <c r="AP117" s="46">
        <v>8000</v>
      </c>
      <c r="AQ117" t="s">
        <v>7512</v>
      </c>
    </row>
    <row r="118" spans="1:43">
      <c r="A118" s="374" t="s">
        <v>549</v>
      </c>
      <c r="B118" s="374">
        <v>7</v>
      </c>
      <c r="C118" s="374" t="s">
        <v>550</v>
      </c>
      <c r="D118" s="375" t="str">
        <f t="shared" si="19"/>
        <v>Aldo7</v>
      </c>
      <c r="E118" s="375" t="s">
        <v>562</v>
      </c>
      <c r="F118" s="375" t="s">
        <v>552</v>
      </c>
      <c r="G118" s="375"/>
      <c r="H118" s="375" t="s">
        <v>553</v>
      </c>
      <c r="I118" s="63" t="s">
        <v>554</v>
      </c>
      <c r="J118" s="47"/>
      <c r="K118" s="46" t="s">
        <v>10735</v>
      </c>
      <c r="L118" s="47">
        <f t="shared" si="20"/>
        <v>1210</v>
      </c>
      <c r="M118" s="47" t="s">
        <v>504</v>
      </c>
      <c r="N118" s="47" t="s">
        <v>555</v>
      </c>
      <c r="O118" s="47">
        <f t="shared" si="21"/>
        <v>4950</v>
      </c>
      <c r="P118" s="47"/>
      <c r="Q118" s="47"/>
      <c r="R118" s="47"/>
      <c r="S118" s="47"/>
      <c r="T118" s="47"/>
      <c r="U118" s="47">
        <f t="shared" si="22"/>
        <v>430</v>
      </c>
      <c r="V118" s="47" t="s">
        <v>556</v>
      </c>
      <c r="W118" s="47"/>
      <c r="X118" s="47">
        <f t="shared" si="23"/>
        <v>3000</v>
      </c>
      <c r="Y118" s="47"/>
      <c r="Z118" s="47">
        <f t="shared" si="15"/>
        <v>4620</v>
      </c>
      <c r="AA118" s="47">
        <f t="shared" si="24"/>
        <v>1400</v>
      </c>
      <c r="AB118" s="47"/>
      <c r="AC118" s="47"/>
      <c r="AD118" s="47" t="s">
        <v>1</v>
      </c>
      <c r="AE118" s="47"/>
      <c r="AF118" s="47">
        <f t="shared" si="16"/>
        <v>1485</v>
      </c>
      <c r="AG118" s="47"/>
      <c r="AH118" s="47" t="str">
        <f>IFERROR(_xlfn.XLOOKUP(Table6[[#This Row],[Suburb]],Table5[Travel Surcharge],Table5[$$]),"")</f>
        <v/>
      </c>
      <c r="AI118" s="47"/>
      <c r="AJ118" s="47"/>
      <c r="AL118" t="str">
        <v>Aurum Estate</v>
      </c>
      <c r="AO118" t="s">
        <v>298</v>
      </c>
      <c r="AP118" s="46">
        <v>7000</v>
      </c>
    </row>
    <row r="119" spans="1:43">
      <c r="A119" s="374" t="s">
        <v>549</v>
      </c>
      <c r="B119" s="374">
        <v>8</v>
      </c>
      <c r="C119" s="374" t="s">
        <v>550</v>
      </c>
      <c r="D119" s="375" t="str">
        <f t="shared" si="19"/>
        <v>Aldo8</v>
      </c>
      <c r="E119" s="375" t="s">
        <v>563</v>
      </c>
      <c r="F119" s="375" t="s">
        <v>552</v>
      </c>
      <c r="G119" s="375"/>
      <c r="H119" s="375" t="s">
        <v>553</v>
      </c>
      <c r="I119" s="63" t="s">
        <v>554</v>
      </c>
      <c r="J119" s="47"/>
      <c r="K119" s="46" t="s">
        <v>10735</v>
      </c>
      <c r="L119" s="47">
        <f t="shared" si="20"/>
        <v>1210</v>
      </c>
      <c r="M119" s="47" t="s">
        <v>504</v>
      </c>
      <c r="N119" s="47" t="s">
        <v>555</v>
      </c>
      <c r="O119" s="47">
        <f t="shared" si="21"/>
        <v>4950</v>
      </c>
      <c r="P119" s="47"/>
      <c r="Q119" s="47"/>
      <c r="R119" s="47"/>
      <c r="S119" s="47"/>
      <c r="T119" s="47"/>
      <c r="U119" s="47">
        <f t="shared" si="22"/>
        <v>430</v>
      </c>
      <c r="V119" s="47" t="s">
        <v>556</v>
      </c>
      <c r="W119" s="47"/>
      <c r="X119" s="47">
        <f t="shared" si="23"/>
        <v>3000</v>
      </c>
      <c r="Y119" s="47"/>
      <c r="Z119" s="47">
        <f t="shared" si="15"/>
        <v>4620</v>
      </c>
      <c r="AA119" s="47">
        <f t="shared" si="24"/>
        <v>1400</v>
      </c>
      <c r="AB119" s="47"/>
      <c r="AC119" s="47"/>
      <c r="AD119" s="47" t="s">
        <v>1</v>
      </c>
      <c r="AE119" s="47"/>
      <c r="AF119" s="47">
        <f t="shared" si="16"/>
        <v>1485</v>
      </c>
      <c r="AG119" s="47"/>
      <c r="AH119" s="47" t="str">
        <f>IFERROR(_xlfn.XLOOKUP(Table6[[#This Row],[Suburb]],Table5[Travel Surcharge],Table5[$$]),"")</f>
        <v/>
      </c>
      <c r="AI119" s="47"/>
      <c r="AJ119" s="47"/>
      <c r="AL119" t="str">
        <v>Austin Estate</v>
      </c>
      <c r="AO119" t="s">
        <v>7526</v>
      </c>
      <c r="AP119" s="46">
        <v>8000</v>
      </c>
      <c r="AQ119" t="s">
        <v>7512</v>
      </c>
    </row>
    <row r="120" spans="1:43">
      <c r="A120" s="374" t="s">
        <v>549</v>
      </c>
      <c r="B120" s="374">
        <v>9</v>
      </c>
      <c r="C120" s="374" t="s">
        <v>550</v>
      </c>
      <c r="D120" s="375" t="str">
        <f t="shared" si="19"/>
        <v>Aldo9</v>
      </c>
      <c r="E120" s="375" t="s">
        <v>564</v>
      </c>
      <c r="F120" s="375" t="s">
        <v>552</v>
      </c>
      <c r="G120" s="375"/>
      <c r="H120" s="375" t="s">
        <v>553</v>
      </c>
      <c r="I120" s="63" t="s">
        <v>554</v>
      </c>
      <c r="J120" s="47"/>
      <c r="K120" s="46" t="s">
        <v>10735</v>
      </c>
      <c r="L120" s="47">
        <f t="shared" si="20"/>
        <v>1210</v>
      </c>
      <c r="M120" s="47" t="s">
        <v>504</v>
      </c>
      <c r="N120" s="47" t="s">
        <v>555</v>
      </c>
      <c r="O120" s="47">
        <f t="shared" si="21"/>
        <v>4950</v>
      </c>
      <c r="P120" s="47"/>
      <c r="Q120" s="47"/>
      <c r="R120" s="47"/>
      <c r="S120" s="47"/>
      <c r="T120" s="47"/>
      <c r="U120" s="47">
        <f t="shared" si="22"/>
        <v>430</v>
      </c>
      <c r="V120" s="47" t="s">
        <v>556</v>
      </c>
      <c r="W120" s="47"/>
      <c r="X120" s="47">
        <f t="shared" si="23"/>
        <v>3000</v>
      </c>
      <c r="Y120" s="47"/>
      <c r="Z120" s="47">
        <f t="shared" si="15"/>
        <v>4620</v>
      </c>
      <c r="AA120" s="47">
        <f t="shared" si="24"/>
        <v>1400</v>
      </c>
      <c r="AB120" s="47"/>
      <c r="AC120" s="47"/>
      <c r="AD120" s="47" t="s">
        <v>1</v>
      </c>
      <c r="AE120" s="47"/>
      <c r="AF120" s="47">
        <f t="shared" si="16"/>
        <v>1485</v>
      </c>
      <c r="AG120" s="47"/>
      <c r="AH120" s="47" t="str">
        <f>IFERROR(_xlfn.XLOOKUP(Table6[[#This Row],[Suburb]],Table5[Travel Surcharge],Table5[$$]),"")</f>
        <v/>
      </c>
      <c r="AI120" s="47"/>
      <c r="AJ120" s="47"/>
      <c r="AL120" t="str">
        <v xml:space="preserve">Avenue Hill Estimate </v>
      </c>
      <c r="AO120" t="s">
        <v>7544</v>
      </c>
      <c r="AP120" s="46">
        <v>8000</v>
      </c>
      <c r="AQ120" t="s">
        <v>7512</v>
      </c>
    </row>
    <row r="121" spans="1:43">
      <c r="A121" s="374" t="s">
        <v>549</v>
      </c>
      <c r="B121" s="374">
        <v>10</v>
      </c>
      <c r="C121" s="374" t="s">
        <v>550</v>
      </c>
      <c r="D121" s="375" t="str">
        <f t="shared" si="19"/>
        <v>Aldo10</v>
      </c>
      <c r="E121" s="375" t="s">
        <v>565</v>
      </c>
      <c r="F121" s="375" t="s">
        <v>552</v>
      </c>
      <c r="G121" s="375"/>
      <c r="H121" s="375" t="s">
        <v>553</v>
      </c>
      <c r="I121" s="63" t="s">
        <v>554</v>
      </c>
      <c r="J121" s="47"/>
      <c r="K121" s="46" t="s">
        <v>10735</v>
      </c>
      <c r="L121" s="47">
        <f t="shared" si="20"/>
        <v>1210</v>
      </c>
      <c r="M121" s="47" t="s">
        <v>504</v>
      </c>
      <c r="N121" s="47" t="s">
        <v>555</v>
      </c>
      <c r="O121" s="47">
        <f t="shared" si="21"/>
        <v>4950</v>
      </c>
      <c r="P121" s="47"/>
      <c r="Q121" s="47"/>
      <c r="R121" s="47"/>
      <c r="S121" s="47"/>
      <c r="T121" s="47"/>
      <c r="U121" s="47">
        <f t="shared" si="22"/>
        <v>430</v>
      </c>
      <c r="V121" s="47" t="s">
        <v>556</v>
      </c>
      <c r="W121" s="47"/>
      <c r="X121" s="47">
        <f t="shared" si="23"/>
        <v>3000</v>
      </c>
      <c r="Y121" s="47"/>
      <c r="Z121" s="47">
        <f t="shared" si="15"/>
        <v>4620</v>
      </c>
      <c r="AA121" s="47">
        <f t="shared" si="24"/>
        <v>1400</v>
      </c>
      <c r="AB121" s="47"/>
      <c r="AC121" s="47"/>
      <c r="AD121" s="47" t="s">
        <v>1</v>
      </c>
      <c r="AE121" s="47"/>
      <c r="AF121" s="47">
        <f t="shared" si="16"/>
        <v>1485</v>
      </c>
      <c r="AG121" s="47"/>
      <c r="AH121" s="47" t="str">
        <f>IFERROR(_xlfn.XLOOKUP(Table6[[#This Row],[Suburb]],Table5[Travel Surcharge],Table5[$$]),"")</f>
        <v/>
      </c>
      <c r="AI121" s="47"/>
      <c r="AJ121" s="47"/>
      <c r="AL121" t="str">
        <v>Averley Estate</v>
      </c>
      <c r="AO121" t="s">
        <v>7545</v>
      </c>
      <c r="AP121" s="46">
        <v>8000</v>
      </c>
      <c r="AQ121" t="s">
        <v>7512</v>
      </c>
    </row>
    <row r="122" spans="1:43">
      <c r="A122" s="157" t="s">
        <v>549</v>
      </c>
      <c r="B122" s="157">
        <v>11</v>
      </c>
      <c r="C122" s="157" t="s">
        <v>550</v>
      </c>
      <c r="D122" s="157" t="str">
        <f t="shared" si="19"/>
        <v>Aldo11</v>
      </c>
      <c r="E122" s="157" t="s">
        <v>7909</v>
      </c>
      <c r="F122" s="157" t="s">
        <v>552</v>
      </c>
      <c r="G122" s="157"/>
      <c r="H122" s="157" t="s">
        <v>553</v>
      </c>
      <c r="I122" s="158" t="s">
        <v>554</v>
      </c>
      <c r="J122" s="47"/>
      <c r="K122" s="46" t="s">
        <v>10735</v>
      </c>
      <c r="L122" s="47">
        <f t="shared" si="20"/>
        <v>1210</v>
      </c>
      <c r="M122" s="47" t="s">
        <v>504</v>
      </c>
      <c r="N122" s="47" t="s">
        <v>555</v>
      </c>
      <c r="O122" s="47">
        <f t="shared" si="21"/>
        <v>4950</v>
      </c>
      <c r="P122" s="47"/>
      <c r="Q122" s="47"/>
      <c r="R122" s="47"/>
      <c r="S122" s="47"/>
      <c r="T122" s="47"/>
      <c r="U122" s="47">
        <f t="shared" si="22"/>
        <v>430</v>
      </c>
      <c r="V122" s="47" t="s">
        <v>556</v>
      </c>
      <c r="W122" s="47"/>
      <c r="X122" s="47">
        <f t="shared" si="23"/>
        <v>3000</v>
      </c>
      <c r="Y122" s="47"/>
      <c r="Z122" s="47">
        <f t="shared" si="15"/>
        <v>4620</v>
      </c>
      <c r="AA122" s="47">
        <f t="shared" si="24"/>
        <v>1400</v>
      </c>
      <c r="AB122" s="47"/>
      <c r="AC122" s="47"/>
      <c r="AD122" s="47" t="s">
        <v>1</v>
      </c>
      <c r="AE122" s="47"/>
      <c r="AF122" s="47">
        <f t="shared" si="16"/>
        <v>1485</v>
      </c>
      <c r="AG122" s="47"/>
      <c r="AH122" s="47" t="str">
        <f>IFERROR(_xlfn.XLOOKUP(Table6[[#This Row],[Suburb]],Table5[Travel Surcharge],Table5[$$]),"")</f>
        <v/>
      </c>
      <c r="AI122" s="47"/>
      <c r="AJ122" s="47"/>
      <c r="AL122" t="str">
        <v>Bacchus Mews</v>
      </c>
      <c r="AO122" t="s">
        <v>291</v>
      </c>
      <c r="AP122" s="46">
        <v>1500</v>
      </c>
    </row>
    <row r="123" spans="1:43">
      <c r="A123" s="374" t="s">
        <v>10256</v>
      </c>
      <c r="B123" s="374">
        <v>1</v>
      </c>
      <c r="C123" s="374" t="s">
        <v>10258</v>
      </c>
      <c r="D123" s="375" t="str">
        <f>CONCATENATE(A123,B123)</f>
        <v>Allara Winchelsea1</v>
      </c>
      <c r="E123" s="375" t="s">
        <v>10257</v>
      </c>
      <c r="F123" s="375"/>
      <c r="G123" s="375"/>
      <c r="H123" s="375"/>
      <c r="I123" s="63"/>
      <c r="J123" s="47" t="s">
        <v>10259</v>
      </c>
      <c r="K123" s="46" t="s">
        <v>10735</v>
      </c>
      <c r="L123" s="47" t="s">
        <v>10260</v>
      </c>
      <c r="M123" s="47"/>
      <c r="N123" s="47" t="s">
        <v>10261</v>
      </c>
      <c r="O123" s="47"/>
      <c r="P123" s="47"/>
      <c r="Q123" s="47"/>
      <c r="R123" s="47"/>
      <c r="S123" s="47" t="s">
        <v>637</v>
      </c>
      <c r="T123" s="47"/>
      <c r="U123" s="47"/>
      <c r="V123" s="47"/>
      <c r="W123" s="47"/>
      <c r="X123" s="47"/>
      <c r="Y123" s="47"/>
      <c r="Z123" s="47">
        <f>Z$7</f>
        <v>4620</v>
      </c>
      <c r="AA123" s="47"/>
      <c r="AB123" s="47"/>
      <c r="AC123" s="47"/>
      <c r="AD123" s="47"/>
      <c r="AE123" s="47"/>
      <c r="AF123" s="47"/>
      <c r="AG123" s="47"/>
      <c r="AH123" s="47">
        <v>7000</v>
      </c>
      <c r="AI123" s="47"/>
      <c r="AJ123" s="47"/>
      <c r="AL123" t="str">
        <v>Ballarto Place</v>
      </c>
      <c r="AO123" t="s">
        <v>7546</v>
      </c>
      <c r="AP123" s="46">
        <v>8000</v>
      </c>
      <c r="AQ123" t="s">
        <v>7512</v>
      </c>
    </row>
    <row r="124" spans="1:43">
      <c r="A124" s="374" t="s">
        <v>9922</v>
      </c>
      <c r="B124" s="374">
        <v>1</v>
      </c>
      <c r="C124" s="374" t="s">
        <v>284</v>
      </c>
      <c r="D124" s="375" t="str">
        <f>CONCATENATE(A124,B124)</f>
        <v>Allemore1</v>
      </c>
      <c r="E124" s="375" t="s">
        <v>9928</v>
      </c>
      <c r="F124" s="375"/>
      <c r="G124" s="375"/>
      <c r="H124" s="375"/>
      <c r="I124" s="63" t="s">
        <v>9929</v>
      </c>
      <c r="J124" s="47">
        <v>3740</v>
      </c>
      <c r="K124" s="46" t="s">
        <v>10735</v>
      </c>
      <c r="L124" s="47"/>
      <c r="M124" s="47"/>
      <c r="N124" s="47"/>
      <c r="O124" s="47"/>
      <c r="P124" s="47"/>
      <c r="Q124" s="47"/>
      <c r="R124" s="47"/>
      <c r="S124" s="47"/>
      <c r="T124" s="47">
        <v>1420</v>
      </c>
      <c r="U124" s="47"/>
      <c r="V124" s="47"/>
      <c r="W124" s="47"/>
      <c r="X124" s="47"/>
      <c r="Y124" s="47"/>
      <c r="Z124" s="47">
        <f>Z$7</f>
        <v>4620</v>
      </c>
      <c r="AA124" s="47" t="s">
        <v>9927</v>
      </c>
      <c r="AB124" s="47"/>
      <c r="AC124" s="47" t="s">
        <v>9926</v>
      </c>
      <c r="AD124" s="47"/>
      <c r="AE124" s="47" t="s">
        <v>9925</v>
      </c>
      <c r="AF124" s="47">
        <v>1485</v>
      </c>
      <c r="AG124" s="47" t="s">
        <v>9924</v>
      </c>
      <c r="AH124" s="47">
        <f>IFERROR(_xlfn.XLOOKUP(Table6[[#This Row],[Suburb]],Table5[Travel Surcharge],Table5[$$]),"")</f>
        <v>1500</v>
      </c>
      <c r="AI124" s="47" t="s">
        <v>9923</v>
      </c>
      <c r="AJ124" s="47"/>
      <c r="AL124" t="str">
        <v>Ballaway</v>
      </c>
      <c r="AO124" t="s">
        <v>7547</v>
      </c>
      <c r="AP124" s="46">
        <v>8000</v>
      </c>
      <c r="AQ124" t="s">
        <v>7512</v>
      </c>
    </row>
    <row r="125" spans="1:43">
      <c r="A125" s="374" t="s">
        <v>9922</v>
      </c>
      <c r="B125" s="374">
        <v>2</v>
      </c>
      <c r="C125" s="374" t="s">
        <v>284</v>
      </c>
      <c r="D125" s="375" t="str">
        <f t="shared" ref="D125:D126" si="25">CONCATENATE(A125,B125)</f>
        <v>Allemore2</v>
      </c>
      <c r="E125" s="375" t="s">
        <v>9928</v>
      </c>
      <c r="F125" s="375"/>
      <c r="G125" s="375"/>
      <c r="H125" s="375"/>
      <c r="I125" s="63" t="s">
        <v>9929</v>
      </c>
      <c r="J125" s="47">
        <v>3740</v>
      </c>
      <c r="K125" s="46" t="s">
        <v>10735</v>
      </c>
      <c r="L125" s="47"/>
      <c r="M125" s="47"/>
      <c r="N125" s="47"/>
      <c r="O125" s="47"/>
      <c r="P125" s="47"/>
      <c r="Q125" s="47"/>
      <c r="R125" s="47"/>
      <c r="S125" s="47"/>
      <c r="T125" s="47">
        <v>1420</v>
      </c>
      <c r="U125" s="47"/>
      <c r="V125" s="47"/>
      <c r="W125" s="47"/>
      <c r="X125" s="47"/>
      <c r="Y125" s="47"/>
      <c r="Z125" s="47">
        <v>4620</v>
      </c>
      <c r="AA125" s="47" t="s">
        <v>9927</v>
      </c>
      <c r="AB125" s="47"/>
      <c r="AC125" s="47" t="s">
        <v>9926</v>
      </c>
      <c r="AD125" s="47"/>
      <c r="AE125" s="47" t="s">
        <v>9925</v>
      </c>
      <c r="AF125" s="47">
        <v>1485</v>
      </c>
      <c r="AG125" s="47" t="s">
        <v>9924</v>
      </c>
      <c r="AH125" s="47">
        <v>1500</v>
      </c>
      <c r="AI125" s="47" t="s">
        <v>9923</v>
      </c>
      <c r="AJ125" s="47"/>
      <c r="AL125" t="str">
        <v>Ballymanus Estate</v>
      </c>
      <c r="AO125" t="s">
        <v>297</v>
      </c>
      <c r="AP125" s="46">
        <v>1500</v>
      </c>
    </row>
    <row r="126" spans="1:43">
      <c r="A126" s="374" t="s">
        <v>9922</v>
      </c>
      <c r="B126" s="374">
        <v>3</v>
      </c>
      <c r="C126" s="374" t="s">
        <v>284</v>
      </c>
      <c r="D126" s="375" t="str">
        <f t="shared" si="25"/>
        <v>Allemore3</v>
      </c>
      <c r="E126" s="375" t="s">
        <v>9928</v>
      </c>
      <c r="F126" s="375"/>
      <c r="G126" s="375"/>
      <c r="H126" s="375"/>
      <c r="I126" s="63" t="s">
        <v>9929</v>
      </c>
      <c r="J126" s="47">
        <v>3740</v>
      </c>
      <c r="K126" s="46" t="s">
        <v>10735</v>
      </c>
      <c r="L126" s="47"/>
      <c r="M126" s="47"/>
      <c r="N126" s="47"/>
      <c r="O126" s="47"/>
      <c r="P126" s="47"/>
      <c r="Q126" s="47"/>
      <c r="R126" s="47"/>
      <c r="S126" s="47"/>
      <c r="T126" s="47">
        <v>1420</v>
      </c>
      <c r="U126" s="47"/>
      <c r="V126" s="47"/>
      <c r="W126" s="47"/>
      <c r="X126" s="47"/>
      <c r="Y126" s="47"/>
      <c r="Z126" s="47">
        <v>4620</v>
      </c>
      <c r="AA126" s="47" t="s">
        <v>9927</v>
      </c>
      <c r="AB126" s="47"/>
      <c r="AC126" s="47" t="s">
        <v>9926</v>
      </c>
      <c r="AD126" s="47"/>
      <c r="AE126" s="47" t="s">
        <v>9925</v>
      </c>
      <c r="AF126" s="47">
        <v>1485</v>
      </c>
      <c r="AG126" s="47" t="s">
        <v>9924</v>
      </c>
      <c r="AH126" s="47">
        <v>1500</v>
      </c>
      <c r="AI126" s="47" t="s">
        <v>9923</v>
      </c>
      <c r="AJ126" s="47"/>
      <c r="AL126" t="str">
        <v>Balmain</v>
      </c>
      <c r="AO126" t="s">
        <v>7603</v>
      </c>
      <c r="AP126" s="46">
        <v>8000</v>
      </c>
      <c r="AQ126" t="s">
        <v>7512</v>
      </c>
    </row>
    <row r="127" spans="1:43">
      <c r="A127" s="374" t="s">
        <v>9026</v>
      </c>
      <c r="B127" s="374">
        <v>1</v>
      </c>
      <c r="C127" s="374" t="s">
        <v>9027</v>
      </c>
      <c r="D127" s="375" t="str">
        <f t="shared" si="19"/>
        <v>Alexander Estate1</v>
      </c>
      <c r="E127" s="375" t="s">
        <v>9028</v>
      </c>
      <c r="F127" s="375" t="s">
        <v>9029</v>
      </c>
      <c r="G127" s="375"/>
      <c r="H127" s="375" t="s">
        <v>9030</v>
      </c>
      <c r="I127" s="63"/>
      <c r="J127" s="47">
        <f>J$7</f>
        <v>3740</v>
      </c>
      <c r="K127" s="46" t="s">
        <v>10735</v>
      </c>
      <c r="L127" s="47">
        <f t="shared" si="20"/>
        <v>1210</v>
      </c>
      <c r="M127" s="47"/>
      <c r="N127" s="47"/>
      <c r="O127" s="47"/>
      <c r="P127" s="47"/>
      <c r="Q127" s="47"/>
      <c r="R127" s="47"/>
      <c r="S127" s="47"/>
      <c r="T127" s="47"/>
      <c r="U127" s="47">
        <f>$U$2</f>
        <v>430</v>
      </c>
      <c r="V127" s="47"/>
      <c r="W127" s="47"/>
      <c r="X127" s="47"/>
      <c r="Y127" s="47"/>
      <c r="Z127" s="47">
        <f t="shared" si="15"/>
        <v>4620</v>
      </c>
      <c r="AA127" s="47"/>
      <c r="AB127" s="47"/>
      <c r="AC127" s="47"/>
      <c r="AD127" s="47"/>
      <c r="AE127" s="47"/>
      <c r="AF127" s="47"/>
      <c r="AG127" s="47"/>
      <c r="AH127" s="47" t="str">
        <f>IFERROR(_xlfn.XLOOKUP(Table6[[#This Row],[Suburb]],Table5[Travel Surcharge],Table5[$$]),"")</f>
        <v/>
      </c>
      <c r="AI127" s="47"/>
      <c r="AJ127" s="47">
        <v>4400</v>
      </c>
      <c r="AL127" t="str">
        <v>Balmoral</v>
      </c>
      <c r="AO127" t="s">
        <v>304</v>
      </c>
      <c r="AP127" s="46">
        <v>1500</v>
      </c>
    </row>
    <row r="128" spans="1:43">
      <c r="A128" s="374" t="s">
        <v>566</v>
      </c>
      <c r="B128" s="374">
        <v>5</v>
      </c>
      <c r="C128" s="374" t="s">
        <v>567</v>
      </c>
      <c r="D128" s="375" t="str">
        <f t="shared" si="19"/>
        <v>Alexander Park5</v>
      </c>
      <c r="E128" s="375" t="s">
        <v>568</v>
      </c>
      <c r="F128" s="375"/>
      <c r="G128" s="375" t="s">
        <v>569</v>
      </c>
      <c r="H128" s="375" t="s">
        <v>570</v>
      </c>
      <c r="I128" s="63"/>
      <c r="J128" s="47">
        <f>J$7</f>
        <v>3740</v>
      </c>
      <c r="K128" s="46" t="s">
        <v>10735</v>
      </c>
      <c r="L128" s="47">
        <f t="shared" si="20"/>
        <v>1210</v>
      </c>
      <c r="M128" s="47" t="s">
        <v>571</v>
      </c>
      <c r="N128" s="47"/>
      <c r="O128" s="47" t="s">
        <v>572</v>
      </c>
      <c r="P128" s="47"/>
      <c r="Q128" s="47"/>
      <c r="R128" s="47"/>
      <c r="S128" s="47"/>
      <c r="T128" s="47"/>
      <c r="U128" s="47">
        <f>U$2</f>
        <v>430</v>
      </c>
      <c r="V128" s="47"/>
      <c r="W128" s="47">
        <f>W$7</f>
        <v>5990</v>
      </c>
      <c r="X128" s="47"/>
      <c r="Y128" s="47"/>
      <c r="Z128" s="47">
        <f t="shared" ref="Z128:Z159" si="26">Z$7</f>
        <v>4620</v>
      </c>
      <c r="AA128" s="47">
        <f>AA$7</f>
        <v>1400</v>
      </c>
      <c r="AB128" s="47">
        <f>AB$7</f>
        <v>2800</v>
      </c>
      <c r="AC128" s="47"/>
      <c r="AD128" s="47" t="s">
        <v>1</v>
      </c>
      <c r="AE128" s="47"/>
      <c r="AF128" s="47">
        <f>AF$7</f>
        <v>1485</v>
      </c>
      <c r="AG128" s="47"/>
      <c r="AH128" s="47" t="str">
        <f>IFERROR(_xlfn.XLOOKUP(Table6[[#This Row],[Suburb]],Table5[Travel Surcharge],Table5[$$]),"")</f>
        <v/>
      </c>
      <c r="AI128" s="47">
        <f>AI$7</f>
        <v>1650.0000000000002</v>
      </c>
      <c r="AJ128" s="47"/>
      <c r="AL128" t="str">
        <v>Banksia - Armstrong Creek</v>
      </c>
      <c r="AO128" t="s">
        <v>7527</v>
      </c>
      <c r="AP128" s="46">
        <v>8000</v>
      </c>
      <c r="AQ128" t="s">
        <v>7512</v>
      </c>
    </row>
    <row r="129" spans="1:43">
      <c r="A129" s="157" t="s">
        <v>566</v>
      </c>
      <c r="B129" s="157">
        <v>6</v>
      </c>
      <c r="C129" s="157" t="s">
        <v>567</v>
      </c>
      <c r="D129" s="157" t="str">
        <f t="shared" si="19"/>
        <v>Alexander Park6</v>
      </c>
      <c r="E129" s="157" t="s">
        <v>7656</v>
      </c>
      <c r="F129" s="157"/>
      <c r="G129" s="157" t="s">
        <v>569</v>
      </c>
      <c r="H129" s="157" t="s">
        <v>570</v>
      </c>
      <c r="I129" s="158"/>
      <c r="J129" s="47">
        <f>J$7</f>
        <v>3740</v>
      </c>
      <c r="K129" s="46" t="s">
        <v>10735</v>
      </c>
      <c r="L129" s="47">
        <f t="shared" si="20"/>
        <v>1210</v>
      </c>
      <c r="M129" s="47" t="s">
        <v>571</v>
      </c>
      <c r="N129" s="47"/>
      <c r="O129" s="47" t="s">
        <v>572</v>
      </c>
      <c r="P129" s="47"/>
      <c r="Q129" s="47"/>
      <c r="R129" s="47"/>
      <c r="S129" s="47"/>
      <c r="T129" s="47"/>
      <c r="U129" s="47">
        <f>U$2</f>
        <v>430</v>
      </c>
      <c r="V129" s="47"/>
      <c r="W129" s="47">
        <f>W$7</f>
        <v>5990</v>
      </c>
      <c r="X129" s="47"/>
      <c r="Y129" s="47"/>
      <c r="Z129" s="47">
        <f t="shared" si="26"/>
        <v>4620</v>
      </c>
      <c r="AA129" s="47">
        <f>AA$7</f>
        <v>1400</v>
      </c>
      <c r="AB129" s="47">
        <f>AB$7</f>
        <v>2800</v>
      </c>
      <c r="AC129" s="47"/>
      <c r="AD129" s="47" t="s">
        <v>1</v>
      </c>
      <c r="AE129" s="47"/>
      <c r="AF129" s="47">
        <f>AF$7</f>
        <v>1485</v>
      </c>
      <c r="AG129" s="47"/>
      <c r="AH129" s="47" t="str">
        <f>IFERROR(_xlfn.XLOOKUP(Table6[[#This Row],[Suburb]],Table5[Travel Surcharge],Table5[$$]),"")</f>
        <v/>
      </c>
      <c r="AI129" s="47">
        <f>AI$7</f>
        <v>1650.0000000000002</v>
      </c>
      <c r="AJ129" s="47"/>
      <c r="AL129" t="str">
        <v>Banksia  Estate</v>
      </c>
      <c r="AO129" t="s">
        <v>7548</v>
      </c>
      <c r="AP129" s="46">
        <v>8000</v>
      </c>
      <c r="AQ129" t="s">
        <v>7512</v>
      </c>
    </row>
    <row r="130" spans="1:43">
      <c r="A130" s="374" t="s">
        <v>573</v>
      </c>
      <c r="B130" s="374">
        <v>2</v>
      </c>
      <c r="C130" s="374" t="s">
        <v>295</v>
      </c>
      <c r="D130" s="375" t="str">
        <f t="shared" si="19"/>
        <v>Alfredton Central Estate2</v>
      </c>
      <c r="E130" s="375" t="s">
        <v>574</v>
      </c>
      <c r="F130" s="375" t="s">
        <v>575</v>
      </c>
      <c r="G130" s="375" t="s">
        <v>576</v>
      </c>
      <c r="H130" s="375" t="s">
        <v>577</v>
      </c>
      <c r="I130" s="63"/>
      <c r="J130" s="47"/>
      <c r="K130" s="46" t="s">
        <v>10735</v>
      </c>
      <c r="L130" s="47"/>
      <c r="M130" s="47" t="s">
        <v>578</v>
      </c>
      <c r="N130" s="47"/>
      <c r="O130" s="47">
        <f t="shared" ref="O130:O143" si="27">O$7</f>
        <v>4950</v>
      </c>
      <c r="P130" s="47" t="s">
        <v>8788</v>
      </c>
      <c r="Q130" s="47"/>
      <c r="R130" s="47"/>
      <c r="S130" s="47" t="s">
        <v>381</v>
      </c>
      <c r="T130" s="47"/>
      <c r="U130" s="47"/>
      <c r="V130" s="47"/>
      <c r="W130" s="47"/>
      <c r="X130" s="47"/>
      <c r="Y130" s="47"/>
      <c r="Z130" s="47">
        <f t="shared" si="26"/>
        <v>4620</v>
      </c>
      <c r="AA130" s="47"/>
      <c r="AB130" s="47"/>
      <c r="AC130" s="47"/>
      <c r="AD130" s="47"/>
      <c r="AE130" s="47"/>
      <c r="AF130" s="47"/>
      <c r="AG130" s="47"/>
      <c r="AH130" s="47" t="str">
        <f>IFERROR(_xlfn.XLOOKUP(Table6[[#This Row],[Suburb]],Table5[Travel Surcharge],Table5[$$]),"")</f>
        <v/>
      </c>
      <c r="AI130" s="47"/>
      <c r="AJ130" s="47">
        <f t="shared" ref="AJ130:AJ143" si="28">AJ$7</f>
        <v>4400</v>
      </c>
      <c r="AL130" t="str">
        <v>Banksia Rise</v>
      </c>
      <c r="AO130" t="s">
        <v>7549</v>
      </c>
      <c r="AP130" s="46">
        <v>8000</v>
      </c>
      <c r="AQ130" t="s">
        <v>7512</v>
      </c>
    </row>
    <row r="131" spans="1:43">
      <c r="A131" s="374" t="s">
        <v>573</v>
      </c>
      <c r="B131" s="374">
        <v>3</v>
      </c>
      <c r="C131" s="374" t="s">
        <v>295</v>
      </c>
      <c r="D131" s="375" t="str">
        <f t="shared" si="19"/>
        <v>Alfredton Central Estate3</v>
      </c>
      <c r="E131" s="375" t="s">
        <v>579</v>
      </c>
      <c r="F131" s="375" t="s">
        <v>575</v>
      </c>
      <c r="G131" s="375" t="s">
        <v>576</v>
      </c>
      <c r="H131" s="375" t="s">
        <v>577</v>
      </c>
      <c r="I131" s="63"/>
      <c r="J131" s="47"/>
      <c r="K131" s="46" t="s">
        <v>10735</v>
      </c>
      <c r="L131" s="47"/>
      <c r="M131" s="47" t="s">
        <v>578</v>
      </c>
      <c r="N131" s="47"/>
      <c r="O131" s="47">
        <f t="shared" si="27"/>
        <v>4950</v>
      </c>
      <c r="P131" s="47" t="s">
        <v>8788</v>
      </c>
      <c r="Q131" s="47"/>
      <c r="R131" s="47"/>
      <c r="S131" s="47" t="s">
        <v>381</v>
      </c>
      <c r="T131" s="47"/>
      <c r="U131" s="47"/>
      <c r="V131" s="47"/>
      <c r="W131" s="47"/>
      <c r="X131" s="47"/>
      <c r="Y131" s="47"/>
      <c r="Z131" s="47">
        <f t="shared" si="26"/>
        <v>4620</v>
      </c>
      <c r="AA131" s="47"/>
      <c r="AB131" s="47"/>
      <c r="AC131" s="47"/>
      <c r="AD131" s="47"/>
      <c r="AE131" s="47"/>
      <c r="AF131" s="47"/>
      <c r="AG131" s="47"/>
      <c r="AH131" s="47" t="str">
        <f>IFERROR(_xlfn.XLOOKUP(Table6[[#This Row],[Suburb]],Table5[Travel Surcharge],Table5[$$]),"")</f>
        <v/>
      </c>
      <c r="AI131" s="47"/>
      <c r="AJ131" s="47">
        <f t="shared" si="28"/>
        <v>4400</v>
      </c>
      <c r="AL131" t="str">
        <v>Bankside Estate</v>
      </c>
      <c r="AO131" t="s">
        <v>7550</v>
      </c>
      <c r="AP131" s="46">
        <v>8000</v>
      </c>
      <c r="AQ131" t="s">
        <v>7512</v>
      </c>
    </row>
    <row r="132" spans="1:43">
      <c r="A132" s="374" t="s">
        <v>573</v>
      </c>
      <c r="B132" s="374">
        <v>4</v>
      </c>
      <c r="C132" s="374" t="s">
        <v>295</v>
      </c>
      <c r="D132" s="375" t="str">
        <f t="shared" si="19"/>
        <v>Alfredton Central Estate4</v>
      </c>
      <c r="E132" s="375" t="s">
        <v>580</v>
      </c>
      <c r="F132" s="375" t="s">
        <v>575</v>
      </c>
      <c r="G132" s="375" t="s">
        <v>576</v>
      </c>
      <c r="H132" s="375" t="s">
        <v>577</v>
      </c>
      <c r="I132" s="63"/>
      <c r="J132" s="47"/>
      <c r="K132" s="46" t="s">
        <v>10735</v>
      </c>
      <c r="L132" s="47"/>
      <c r="M132" s="47" t="s">
        <v>578</v>
      </c>
      <c r="N132" s="47"/>
      <c r="O132" s="47">
        <f t="shared" si="27"/>
        <v>4950</v>
      </c>
      <c r="P132" s="47" t="s">
        <v>8788</v>
      </c>
      <c r="Q132" s="47"/>
      <c r="R132" s="47"/>
      <c r="S132" s="47" t="s">
        <v>381</v>
      </c>
      <c r="T132" s="47"/>
      <c r="U132" s="47"/>
      <c r="V132" s="47"/>
      <c r="W132" s="47"/>
      <c r="X132" s="47"/>
      <c r="Y132" s="47"/>
      <c r="Z132" s="47">
        <f t="shared" si="26"/>
        <v>4620</v>
      </c>
      <c r="AA132" s="47"/>
      <c r="AB132" s="47"/>
      <c r="AC132" s="47"/>
      <c r="AD132" s="47"/>
      <c r="AE132" s="47"/>
      <c r="AF132" s="47"/>
      <c r="AG132" s="47"/>
      <c r="AH132" s="47" t="str">
        <f>IFERROR(_xlfn.XLOOKUP(Table6[[#This Row],[Suburb]],Table5[Travel Surcharge],Table5[$$]),"")</f>
        <v/>
      </c>
      <c r="AI132" s="47"/>
      <c r="AJ132" s="47">
        <f t="shared" si="28"/>
        <v>4400</v>
      </c>
      <c r="AL132" t="str">
        <v>Banyan Place</v>
      </c>
      <c r="AO132" t="s">
        <v>7604</v>
      </c>
      <c r="AP132" s="46">
        <v>8000</v>
      </c>
      <c r="AQ132" t="s">
        <v>7512</v>
      </c>
    </row>
    <row r="133" spans="1:43">
      <c r="A133" s="374" t="s">
        <v>573</v>
      </c>
      <c r="B133" s="374">
        <v>5</v>
      </c>
      <c r="C133" s="374" t="s">
        <v>295</v>
      </c>
      <c r="D133" s="375" t="str">
        <f t="shared" si="19"/>
        <v>Alfredton Central Estate5</v>
      </c>
      <c r="E133" s="375" t="s">
        <v>581</v>
      </c>
      <c r="F133" s="375" t="s">
        <v>575</v>
      </c>
      <c r="G133" s="375" t="s">
        <v>576</v>
      </c>
      <c r="H133" s="375" t="s">
        <v>577</v>
      </c>
      <c r="I133" s="63"/>
      <c r="J133" s="47"/>
      <c r="K133" s="46" t="s">
        <v>10735</v>
      </c>
      <c r="L133" s="47"/>
      <c r="M133" s="47" t="s">
        <v>578</v>
      </c>
      <c r="N133" s="47"/>
      <c r="O133" s="47">
        <f t="shared" si="27"/>
        <v>4950</v>
      </c>
      <c r="P133" s="47" t="s">
        <v>8788</v>
      </c>
      <c r="Q133" s="47"/>
      <c r="R133" s="47"/>
      <c r="S133" s="47" t="s">
        <v>381</v>
      </c>
      <c r="T133" s="47"/>
      <c r="U133" s="47"/>
      <c r="V133" s="47"/>
      <c r="W133" s="47"/>
      <c r="X133" s="47"/>
      <c r="Y133" s="47"/>
      <c r="Z133" s="47">
        <f t="shared" si="26"/>
        <v>4620</v>
      </c>
      <c r="AA133" s="47"/>
      <c r="AB133" s="47"/>
      <c r="AC133" s="47"/>
      <c r="AD133" s="47"/>
      <c r="AE133" s="47"/>
      <c r="AF133" s="47"/>
      <c r="AG133" s="47"/>
      <c r="AH133" s="47" t="str">
        <f>IFERROR(_xlfn.XLOOKUP(Table6[[#This Row],[Suburb]],Table5[Travel Surcharge],Table5[$$]),"")</f>
        <v/>
      </c>
      <c r="AI133" s="47"/>
      <c r="AJ133" s="47">
        <f t="shared" si="28"/>
        <v>4400</v>
      </c>
      <c r="AL133" t="str">
        <v>Barrabool Views</v>
      </c>
      <c r="AO133" t="s">
        <v>7605</v>
      </c>
      <c r="AP133" s="46">
        <v>8000</v>
      </c>
      <c r="AQ133" t="s">
        <v>7512</v>
      </c>
    </row>
    <row r="134" spans="1:43">
      <c r="A134" s="374" t="s">
        <v>582</v>
      </c>
      <c r="B134" s="374">
        <v>1</v>
      </c>
      <c r="C134" s="374" t="s">
        <v>295</v>
      </c>
      <c r="D134" s="375" t="str">
        <f t="shared" si="19"/>
        <v>Alfredton Grove Estate1</v>
      </c>
      <c r="E134" s="375" t="s">
        <v>583</v>
      </c>
      <c r="F134" s="375" t="s">
        <v>575</v>
      </c>
      <c r="G134" s="375" t="s">
        <v>576</v>
      </c>
      <c r="H134" s="375" t="s">
        <v>577</v>
      </c>
      <c r="I134" s="63"/>
      <c r="J134" s="47"/>
      <c r="K134" s="46" t="s">
        <v>10735</v>
      </c>
      <c r="L134" s="47"/>
      <c r="M134" s="47" t="s">
        <v>578</v>
      </c>
      <c r="N134" s="47"/>
      <c r="O134" s="47">
        <f t="shared" si="27"/>
        <v>4950</v>
      </c>
      <c r="P134" s="47" t="s">
        <v>8788</v>
      </c>
      <c r="Q134" s="47"/>
      <c r="R134" s="47"/>
      <c r="S134" s="47" t="s">
        <v>381</v>
      </c>
      <c r="T134" s="47"/>
      <c r="U134" s="47"/>
      <c r="V134" s="47"/>
      <c r="W134" s="47"/>
      <c r="X134" s="47"/>
      <c r="Y134" s="47"/>
      <c r="Z134" s="47">
        <f t="shared" si="26"/>
        <v>4620</v>
      </c>
      <c r="AA134" s="47"/>
      <c r="AB134" s="47"/>
      <c r="AC134" s="47"/>
      <c r="AD134" s="47"/>
      <c r="AE134" s="47"/>
      <c r="AF134" s="47"/>
      <c r="AG134" s="47"/>
      <c r="AH134" s="47" t="str">
        <f>IFERROR(_xlfn.XLOOKUP(Table6[[#This Row],[Suburb]],Table5[Travel Surcharge],Table5[$$]),"")</f>
        <v/>
      </c>
      <c r="AI134" s="47"/>
      <c r="AJ134" s="47">
        <f t="shared" si="28"/>
        <v>4400</v>
      </c>
      <c r="AL134" t="str">
        <v>Baybreeze Estate</v>
      </c>
      <c r="AO134" t="s">
        <v>7624</v>
      </c>
      <c r="AP134" s="46">
        <v>8000</v>
      </c>
      <c r="AQ134" t="s">
        <v>7512</v>
      </c>
    </row>
    <row r="135" spans="1:43">
      <c r="A135" s="374" t="s">
        <v>582</v>
      </c>
      <c r="B135" s="374">
        <v>2</v>
      </c>
      <c r="C135" s="374" t="s">
        <v>295</v>
      </c>
      <c r="D135" s="375" t="str">
        <f t="shared" si="19"/>
        <v>Alfredton Grove Estate2</v>
      </c>
      <c r="E135" s="375" t="s">
        <v>584</v>
      </c>
      <c r="F135" s="375" t="s">
        <v>575</v>
      </c>
      <c r="G135" s="375" t="s">
        <v>576</v>
      </c>
      <c r="H135" s="375" t="s">
        <v>577</v>
      </c>
      <c r="I135" s="63"/>
      <c r="J135" s="47"/>
      <c r="K135" s="46" t="s">
        <v>10735</v>
      </c>
      <c r="L135" s="47"/>
      <c r="M135" s="47" t="s">
        <v>578</v>
      </c>
      <c r="N135" s="47"/>
      <c r="O135" s="47">
        <f t="shared" si="27"/>
        <v>4950</v>
      </c>
      <c r="P135" s="47" t="s">
        <v>8788</v>
      </c>
      <c r="Q135" s="47"/>
      <c r="R135" s="47"/>
      <c r="S135" s="47" t="s">
        <v>381</v>
      </c>
      <c r="T135" s="47"/>
      <c r="U135" s="47"/>
      <c r="V135" s="47"/>
      <c r="W135" s="47"/>
      <c r="X135" s="47"/>
      <c r="Y135" s="47"/>
      <c r="Z135" s="47">
        <f t="shared" si="26"/>
        <v>4620</v>
      </c>
      <c r="AA135" s="47"/>
      <c r="AB135" s="47"/>
      <c r="AC135" s="47"/>
      <c r="AD135" s="47"/>
      <c r="AE135" s="47"/>
      <c r="AF135" s="47"/>
      <c r="AG135" s="47"/>
      <c r="AH135" s="47" t="str">
        <f>IFERROR(_xlfn.XLOOKUP(Table6[[#This Row],[Suburb]],Table5[Travel Surcharge],Table5[$$]),"")</f>
        <v/>
      </c>
      <c r="AI135" s="47"/>
      <c r="AJ135" s="47">
        <f t="shared" si="28"/>
        <v>4400</v>
      </c>
      <c r="AL135" t="str">
        <v>Bayview Estate</v>
      </c>
      <c r="AO135" t="s">
        <v>305</v>
      </c>
      <c r="AP135" s="46">
        <v>8000</v>
      </c>
      <c r="AQ135" t="s">
        <v>7512</v>
      </c>
    </row>
    <row r="136" spans="1:43">
      <c r="A136" s="374" t="s">
        <v>582</v>
      </c>
      <c r="B136" s="374">
        <v>3</v>
      </c>
      <c r="C136" s="374" t="s">
        <v>295</v>
      </c>
      <c r="D136" s="375" t="str">
        <f t="shared" si="19"/>
        <v>Alfredton Grove Estate3</v>
      </c>
      <c r="E136" s="375" t="s">
        <v>579</v>
      </c>
      <c r="F136" s="375" t="s">
        <v>575</v>
      </c>
      <c r="G136" s="375" t="s">
        <v>576</v>
      </c>
      <c r="H136" s="375" t="s">
        <v>577</v>
      </c>
      <c r="I136" s="63"/>
      <c r="J136" s="47"/>
      <c r="K136" s="46" t="s">
        <v>10735</v>
      </c>
      <c r="L136" s="47"/>
      <c r="M136" s="47" t="s">
        <v>578</v>
      </c>
      <c r="N136" s="47"/>
      <c r="O136" s="47">
        <f t="shared" si="27"/>
        <v>4950</v>
      </c>
      <c r="P136" s="47" t="s">
        <v>8788</v>
      </c>
      <c r="Q136" s="47"/>
      <c r="R136" s="47"/>
      <c r="S136" s="47" t="s">
        <v>381</v>
      </c>
      <c r="T136" s="47"/>
      <c r="U136" s="47"/>
      <c r="V136" s="47"/>
      <c r="W136" s="47"/>
      <c r="X136" s="47"/>
      <c r="Y136" s="47"/>
      <c r="Z136" s="47">
        <f t="shared" si="26"/>
        <v>4620</v>
      </c>
      <c r="AA136" s="47"/>
      <c r="AB136" s="47"/>
      <c r="AC136" s="47"/>
      <c r="AD136" s="47"/>
      <c r="AE136" s="47"/>
      <c r="AF136" s="47"/>
      <c r="AG136" s="47"/>
      <c r="AH136" s="47" t="str">
        <f>IFERROR(_xlfn.XLOOKUP(Table6[[#This Row],[Suburb]],Table5[Travel Surcharge],Table5[$$]),"")</f>
        <v/>
      </c>
      <c r="AI136" s="47"/>
      <c r="AJ136" s="47">
        <f t="shared" si="28"/>
        <v>4400</v>
      </c>
      <c r="AL136" t="str">
        <v>Bayview Estate Officer</v>
      </c>
      <c r="AO136" t="s">
        <v>305</v>
      </c>
      <c r="AP136" s="46">
        <v>8000</v>
      </c>
      <c r="AQ136" t="s">
        <v>7512</v>
      </c>
    </row>
    <row r="137" spans="1:43">
      <c r="A137" s="374" t="s">
        <v>582</v>
      </c>
      <c r="B137" s="374">
        <v>4</v>
      </c>
      <c r="C137" s="374" t="s">
        <v>295</v>
      </c>
      <c r="D137" s="375" t="str">
        <f t="shared" si="19"/>
        <v>Alfredton Grove Estate4</v>
      </c>
      <c r="E137" s="375" t="s">
        <v>585</v>
      </c>
      <c r="F137" s="375" t="s">
        <v>575</v>
      </c>
      <c r="G137" s="375" t="s">
        <v>576</v>
      </c>
      <c r="H137" s="375" t="s">
        <v>577</v>
      </c>
      <c r="I137" s="63"/>
      <c r="J137" s="47"/>
      <c r="K137" s="46" t="s">
        <v>10735</v>
      </c>
      <c r="L137" s="47"/>
      <c r="M137" s="47" t="s">
        <v>578</v>
      </c>
      <c r="N137" s="47"/>
      <c r="O137" s="47">
        <f t="shared" si="27"/>
        <v>4950</v>
      </c>
      <c r="P137" s="47" t="s">
        <v>8788</v>
      </c>
      <c r="Q137" s="47"/>
      <c r="R137" s="47"/>
      <c r="S137" s="47" t="s">
        <v>381</v>
      </c>
      <c r="T137" s="47"/>
      <c r="U137" s="47"/>
      <c r="V137" s="47"/>
      <c r="W137" s="47"/>
      <c r="X137" s="47"/>
      <c r="Y137" s="47"/>
      <c r="Z137" s="47">
        <f t="shared" si="26"/>
        <v>4620</v>
      </c>
      <c r="AA137" s="47"/>
      <c r="AB137" s="47"/>
      <c r="AC137" s="47"/>
      <c r="AD137" s="47"/>
      <c r="AE137" s="47"/>
      <c r="AF137" s="47"/>
      <c r="AG137" s="47"/>
      <c r="AH137" s="47" t="str">
        <f>IFERROR(_xlfn.XLOOKUP(Table6[[#This Row],[Suburb]],Table5[Travel Surcharge],Table5[$$]),"")</f>
        <v/>
      </c>
      <c r="AI137" s="47"/>
      <c r="AJ137" s="47">
        <f t="shared" si="28"/>
        <v>4400</v>
      </c>
      <c r="AL137" t="str">
        <v>Baywater Estate</v>
      </c>
      <c r="AO137" t="s">
        <v>292</v>
      </c>
      <c r="AP137" s="46">
        <v>8000</v>
      </c>
      <c r="AQ137" t="s">
        <v>7512</v>
      </c>
    </row>
    <row r="138" spans="1:43">
      <c r="A138" s="374" t="s">
        <v>582</v>
      </c>
      <c r="B138" s="374">
        <v>5</v>
      </c>
      <c r="C138" s="374" t="s">
        <v>295</v>
      </c>
      <c r="D138" s="375" t="str">
        <f t="shared" si="19"/>
        <v>Alfredton Grove Estate5</v>
      </c>
      <c r="E138" s="375" t="s">
        <v>586</v>
      </c>
      <c r="F138" s="375" t="s">
        <v>575</v>
      </c>
      <c r="G138" s="375" t="s">
        <v>576</v>
      </c>
      <c r="H138" s="375" t="s">
        <v>577</v>
      </c>
      <c r="I138" s="63"/>
      <c r="J138" s="47"/>
      <c r="K138" s="46" t="s">
        <v>10735</v>
      </c>
      <c r="L138" s="47"/>
      <c r="M138" s="47" t="s">
        <v>578</v>
      </c>
      <c r="N138" s="47"/>
      <c r="O138" s="47">
        <f t="shared" si="27"/>
        <v>4950</v>
      </c>
      <c r="P138" s="47" t="s">
        <v>8788</v>
      </c>
      <c r="Q138" s="47"/>
      <c r="R138" s="47"/>
      <c r="S138" s="47" t="s">
        <v>381</v>
      </c>
      <c r="T138" s="47"/>
      <c r="U138" s="47"/>
      <c r="V138" s="47"/>
      <c r="W138" s="47"/>
      <c r="X138" s="47"/>
      <c r="Y138" s="47"/>
      <c r="Z138" s="47">
        <f t="shared" si="26"/>
        <v>4620</v>
      </c>
      <c r="AA138" s="47"/>
      <c r="AB138" s="47"/>
      <c r="AC138" s="47"/>
      <c r="AD138" s="47"/>
      <c r="AE138" s="47"/>
      <c r="AF138" s="47"/>
      <c r="AG138" s="47"/>
      <c r="AH138" s="47" t="str">
        <f>IFERROR(_xlfn.XLOOKUP(Table6[[#This Row],[Suburb]],Table5[Travel Surcharge],Table5[$$]),"")</f>
        <v/>
      </c>
      <c r="AI138" s="47"/>
      <c r="AJ138" s="47">
        <f t="shared" si="28"/>
        <v>4400</v>
      </c>
      <c r="AL138" t="str">
        <v>Beaconsfield Estate</v>
      </c>
      <c r="AO138" t="s">
        <v>292</v>
      </c>
      <c r="AP138" s="46">
        <v>8000</v>
      </c>
      <c r="AQ138" t="s">
        <v>7512</v>
      </c>
    </row>
    <row r="139" spans="1:43">
      <c r="A139" s="374" t="s">
        <v>582</v>
      </c>
      <c r="B139" s="374">
        <v>6</v>
      </c>
      <c r="C139" s="374" t="s">
        <v>295</v>
      </c>
      <c r="D139" s="375" t="str">
        <f t="shared" si="19"/>
        <v>Alfredton Grove Estate6</v>
      </c>
      <c r="E139" s="375" t="s">
        <v>587</v>
      </c>
      <c r="F139" s="375" t="s">
        <v>575</v>
      </c>
      <c r="G139" s="375" t="s">
        <v>576</v>
      </c>
      <c r="H139" s="375" t="s">
        <v>577</v>
      </c>
      <c r="I139" s="63"/>
      <c r="J139" s="47"/>
      <c r="K139" s="46" t="s">
        <v>10735</v>
      </c>
      <c r="L139" s="47"/>
      <c r="M139" s="47" t="s">
        <v>578</v>
      </c>
      <c r="N139" s="47"/>
      <c r="O139" s="47">
        <f t="shared" si="27"/>
        <v>4950</v>
      </c>
      <c r="P139" s="47" t="s">
        <v>8788</v>
      </c>
      <c r="Q139" s="47"/>
      <c r="R139" s="47"/>
      <c r="S139" s="47" t="s">
        <v>381</v>
      </c>
      <c r="T139" s="47"/>
      <c r="U139" s="47"/>
      <c r="V139" s="47"/>
      <c r="W139" s="47"/>
      <c r="X139" s="47"/>
      <c r="Y139" s="47"/>
      <c r="Z139" s="47">
        <f t="shared" si="26"/>
        <v>4620</v>
      </c>
      <c r="AA139" s="47"/>
      <c r="AB139" s="47"/>
      <c r="AC139" s="47"/>
      <c r="AD139" s="47"/>
      <c r="AE139" s="47"/>
      <c r="AF139" s="47"/>
      <c r="AG139" s="47"/>
      <c r="AH139" s="47" t="str">
        <f>IFERROR(_xlfn.XLOOKUP(Table6[[#This Row],[Suburb]],Table5[Travel Surcharge],Table5[$$]),"")</f>
        <v/>
      </c>
      <c r="AI139" s="47"/>
      <c r="AJ139" s="47">
        <f t="shared" si="28"/>
        <v>4400</v>
      </c>
      <c r="AL139" t="str">
        <v>Bella Estate</v>
      </c>
      <c r="AO139" t="s">
        <v>7551</v>
      </c>
      <c r="AP139" s="46">
        <v>8000</v>
      </c>
      <c r="AQ139" t="s">
        <v>7512</v>
      </c>
    </row>
    <row r="140" spans="1:43">
      <c r="A140" s="374" t="s">
        <v>582</v>
      </c>
      <c r="B140" s="374">
        <v>7</v>
      </c>
      <c r="C140" s="374" t="s">
        <v>295</v>
      </c>
      <c r="D140" s="375" t="str">
        <f t="shared" si="19"/>
        <v>Alfredton Grove Estate7</v>
      </c>
      <c r="E140" s="375" t="s">
        <v>588</v>
      </c>
      <c r="F140" s="375" t="s">
        <v>575</v>
      </c>
      <c r="G140" s="375" t="s">
        <v>576</v>
      </c>
      <c r="H140" s="375" t="s">
        <v>577</v>
      </c>
      <c r="I140" s="63"/>
      <c r="J140" s="47"/>
      <c r="K140" s="46" t="s">
        <v>10735</v>
      </c>
      <c r="L140" s="47"/>
      <c r="M140" s="47" t="s">
        <v>578</v>
      </c>
      <c r="N140" s="47"/>
      <c r="O140" s="47">
        <f t="shared" si="27"/>
        <v>4950</v>
      </c>
      <c r="P140" s="47" t="s">
        <v>8788</v>
      </c>
      <c r="Q140" s="47"/>
      <c r="R140" s="47"/>
      <c r="S140" s="47" t="s">
        <v>381</v>
      </c>
      <c r="T140" s="47"/>
      <c r="U140" s="47"/>
      <c r="V140" s="47"/>
      <c r="W140" s="47"/>
      <c r="X140" s="47"/>
      <c r="Y140" s="47"/>
      <c r="Z140" s="47">
        <f t="shared" si="26"/>
        <v>4620</v>
      </c>
      <c r="AA140" s="47"/>
      <c r="AB140" s="47"/>
      <c r="AC140" s="47"/>
      <c r="AD140" s="47"/>
      <c r="AE140" s="47"/>
      <c r="AF140" s="47"/>
      <c r="AG140" s="47"/>
      <c r="AH140" s="47" t="str">
        <f>IFERROR(_xlfn.XLOOKUP(Table6[[#This Row],[Suburb]],Table5[Travel Surcharge],Table5[$$]),"")</f>
        <v/>
      </c>
      <c r="AI140" s="47"/>
      <c r="AJ140" s="47">
        <f t="shared" si="28"/>
        <v>4400</v>
      </c>
      <c r="AL140" t="str">
        <v>Bella Vista</v>
      </c>
      <c r="AO140" t="s">
        <v>7552</v>
      </c>
      <c r="AP140" s="46">
        <v>8000</v>
      </c>
      <c r="AQ140" t="s">
        <v>7512</v>
      </c>
    </row>
    <row r="141" spans="1:43">
      <c r="A141" s="374" t="s">
        <v>582</v>
      </c>
      <c r="B141" s="374">
        <v>8</v>
      </c>
      <c r="C141" s="374" t="s">
        <v>295</v>
      </c>
      <c r="D141" s="375" t="str">
        <f t="shared" si="19"/>
        <v>Alfredton Grove Estate8</v>
      </c>
      <c r="E141" s="375" t="s">
        <v>589</v>
      </c>
      <c r="F141" s="375" t="s">
        <v>575</v>
      </c>
      <c r="G141" s="375" t="s">
        <v>576</v>
      </c>
      <c r="H141" s="375" t="s">
        <v>577</v>
      </c>
      <c r="I141" s="63"/>
      <c r="J141" s="47"/>
      <c r="K141" s="46" t="s">
        <v>10735</v>
      </c>
      <c r="L141" s="47"/>
      <c r="M141" s="47" t="s">
        <v>578</v>
      </c>
      <c r="N141" s="47"/>
      <c r="O141" s="47">
        <f t="shared" si="27"/>
        <v>4950</v>
      </c>
      <c r="P141" s="47" t="s">
        <v>8788</v>
      </c>
      <c r="Q141" s="47"/>
      <c r="R141" s="47"/>
      <c r="S141" s="47" t="s">
        <v>381</v>
      </c>
      <c r="T141" s="47"/>
      <c r="U141" s="47"/>
      <c r="V141" s="47"/>
      <c r="W141" s="47"/>
      <c r="X141" s="47"/>
      <c r="Y141" s="47"/>
      <c r="Z141" s="47">
        <f t="shared" si="26"/>
        <v>4620</v>
      </c>
      <c r="AA141" s="47"/>
      <c r="AB141" s="47"/>
      <c r="AC141" s="47"/>
      <c r="AD141" s="47"/>
      <c r="AE141" s="47"/>
      <c r="AF141" s="47"/>
      <c r="AG141" s="47"/>
      <c r="AH141" s="47" t="str">
        <f>IFERROR(_xlfn.XLOOKUP(Table6[[#This Row],[Suburb]],Table5[Travel Surcharge],Table5[$$]),"")</f>
        <v/>
      </c>
      <c r="AI141" s="47"/>
      <c r="AJ141" s="47">
        <f t="shared" si="28"/>
        <v>4400</v>
      </c>
      <c r="AL141" t="str">
        <v>Bella Vista Estate</v>
      </c>
      <c r="AO141" t="s">
        <v>7528</v>
      </c>
      <c r="AP141" s="46">
        <v>8000</v>
      </c>
      <c r="AQ141" t="s">
        <v>7512</v>
      </c>
    </row>
    <row r="142" spans="1:43">
      <c r="A142" s="374" t="s">
        <v>582</v>
      </c>
      <c r="B142" s="374">
        <v>9</v>
      </c>
      <c r="C142" s="374" t="s">
        <v>295</v>
      </c>
      <c r="D142" s="375" t="str">
        <f t="shared" si="19"/>
        <v>Alfredton Grove Estate9</v>
      </c>
      <c r="E142" s="375" t="s">
        <v>590</v>
      </c>
      <c r="F142" s="375" t="s">
        <v>575</v>
      </c>
      <c r="G142" s="375" t="s">
        <v>576</v>
      </c>
      <c r="H142" s="375" t="s">
        <v>577</v>
      </c>
      <c r="I142" s="63"/>
      <c r="J142" s="47"/>
      <c r="K142" s="46" t="s">
        <v>10735</v>
      </c>
      <c r="L142" s="47"/>
      <c r="M142" s="47" t="s">
        <v>578</v>
      </c>
      <c r="N142" s="47"/>
      <c r="O142" s="47">
        <f t="shared" si="27"/>
        <v>4950</v>
      </c>
      <c r="P142" s="47" t="s">
        <v>8788</v>
      </c>
      <c r="Q142" s="47"/>
      <c r="R142" s="47"/>
      <c r="S142" s="47" t="s">
        <v>381</v>
      </c>
      <c r="T142" s="47"/>
      <c r="U142" s="47"/>
      <c r="V142" s="47"/>
      <c r="W142" s="47"/>
      <c r="X142" s="47"/>
      <c r="Y142" s="47"/>
      <c r="Z142" s="47">
        <f t="shared" si="26"/>
        <v>4620</v>
      </c>
      <c r="AA142" s="47"/>
      <c r="AB142" s="47"/>
      <c r="AC142" s="47"/>
      <c r="AD142" s="47"/>
      <c r="AE142" s="47"/>
      <c r="AF142" s="47"/>
      <c r="AG142" s="47"/>
      <c r="AH142" s="47" t="str">
        <f>IFERROR(_xlfn.XLOOKUP(Table6[[#This Row],[Suburb]],Table5[Travel Surcharge],Table5[$$]),"")</f>
        <v/>
      </c>
      <c r="AI142" s="47"/>
      <c r="AJ142" s="47">
        <f t="shared" si="28"/>
        <v>4400</v>
      </c>
      <c r="AL142" t="str">
        <v>Bellaview Estate</v>
      </c>
      <c r="AO142" t="s">
        <v>7529</v>
      </c>
      <c r="AP142" s="46">
        <v>8000</v>
      </c>
      <c r="AQ142" t="s">
        <v>7512</v>
      </c>
    </row>
    <row r="143" spans="1:43">
      <c r="A143" s="374" t="s">
        <v>582</v>
      </c>
      <c r="B143" s="374">
        <v>10</v>
      </c>
      <c r="C143" s="374" t="s">
        <v>295</v>
      </c>
      <c r="D143" s="375" t="str">
        <f t="shared" si="19"/>
        <v>Alfredton Grove Estate10</v>
      </c>
      <c r="E143" s="375" t="s">
        <v>591</v>
      </c>
      <c r="F143" s="375" t="s">
        <v>575</v>
      </c>
      <c r="G143" s="375" t="s">
        <v>576</v>
      </c>
      <c r="H143" s="375" t="s">
        <v>577</v>
      </c>
      <c r="I143" s="63"/>
      <c r="J143" s="47"/>
      <c r="K143" s="46" t="s">
        <v>10735</v>
      </c>
      <c r="L143" s="47"/>
      <c r="M143" s="47" t="s">
        <v>578</v>
      </c>
      <c r="N143" s="47"/>
      <c r="O143" s="47">
        <f t="shared" si="27"/>
        <v>4950</v>
      </c>
      <c r="P143" s="47" t="s">
        <v>8788</v>
      </c>
      <c r="Q143" s="47"/>
      <c r="R143" s="47"/>
      <c r="S143" s="47" t="s">
        <v>381</v>
      </c>
      <c r="T143" s="47"/>
      <c r="U143" s="47"/>
      <c r="V143" s="47"/>
      <c r="W143" s="47"/>
      <c r="X143" s="47"/>
      <c r="Y143" s="47"/>
      <c r="Z143" s="47">
        <f t="shared" si="26"/>
        <v>4620</v>
      </c>
      <c r="AA143" s="47"/>
      <c r="AB143" s="47"/>
      <c r="AC143" s="47"/>
      <c r="AD143" s="47"/>
      <c r="AE143" s="47"/>
      <c r="AF143" s="47"/>
      <c r="AG143" s="47"/>
      <c r="AH143" s="47" t="str">
        <f>IFERROR(_xlfn.XLOOKUP(Table6[[#This Row],[Suburb]],Table5[Travel Surcharge],Table5[$$]),"")</f>
        <v/>
      </c>
      <c r="AI143" s="47"/>
      <c r="AJ143" s="47">
        <f t="shared" si="28"/>
        <v>4400</v>
      </c>
      <c r="AL143" t="str">
        <v>Belle Gardens Estate</v>
      </c>
      <c r="AO143" t="s">
        <v>7606</v>
      </c>
      <c r="AP143" s="46">
        <v>8000</v>
      </c>
      <c r="AQ143" t="s">
        <v>7512</v>
      </c>
    </row>
    <row r="144" spans="1:43">
      <c r="A144" s="374" t="s">
        <v>592</v>
      </c>
      <c r="B144" s="374">
        <v>1</v>
      </c>
      <c r="C144" s="374" t="s">
        <v>593</v>
      </c>
      <c r="D144" s="375" t="str">
        <f t="shared" si="19"/>
        <v>Alira Estate1</v>
      </c>
      <c r="E144" s="375" t="s">
        <v>594</v>
      </c>
      <c r="F144" s="375" t="s">
        <v>595</v>
      </c>
      <c r="G144" s="375" t="s">
        <v>596</v>
      </c>
      <c r="H144" s="375" t="s">
        <v>597</v>
      </c>
      <c r="I144" s="63" t="s">
        <v>598</v>
      </c>
      <c r="J144" s="47">
        <f t="shared" ref="J144:J169" si="29">J$7</f>
        <v>3740</v>
      </c>
      <c r="K144" s="46" t="s">
        <v>7938</v>
      </c>
      <c r="L144" s="47"/>
      <c r="M144" s="47">
        <f t="shared" ref="M144:M162" si="30">M$7</f>
        <v>1430.0000000000002</v>
      </c>
      <c r="N144" s="47"/>
      <c r="O144" s="47" t="s">
        <v>599</v>
      </c>
      <c r="P144" s="47"/>
      <c r="Q144" s="47"/>
      <c r="R144" s="47"/>
      <c r="S144" s="47"/>
      <c r="T144" s="47">
        <f t="shared" ref="T144:T162" si="31">T$2</f>
        <v>780</v>
      </c>
      <c r="U144" s="47"/>
      <c r="V144" s="47"/>
      <c r="W144" s="47"/>
      <c r="X144" s="47">
        <f t="shared" ref="X144:X162" si="32">X$7</f>
        <v>3000</v>
      </c>
      <c r="Y144" s="47"/>
      <c r="Z144" s="47">
        <f t="shared" si="26"/>
        <v>4620</v>
      </c>
      <c r="AA144" s="47">
        <f t="shared" ref="AA144:AA162" si="33">AA$7</f>
        <v>1400</v>
      </c>
      <c r="AB144" s="47"/>
      <c r="AC144" s="47"/>
      <c r="AD144" s="47"/>
      <c r="AE144" s="47"/>
      <c r="AF144" s="47">
        <f t="shared" ref="AF144:AF162" si="34">AF$7</f>
        <v>1485</v>
      </c>
      <c r="AG144" s="47"/>
      <c r="AH144" s="47" t="str">
        <f>IFERROR(_xlfn.XLOOKUP(Table6[[#This Row],[Suburb]],Table5[Travel Surcharge],Table5[$$]),"")</f>
        <v/>
      </c>
      <c r="AI144" s="47"/>
      <c r="AJ144" s="47"/>
      <c r="AL144" t="str">
        <v>Bellevue Estate</v>
      </c>
      <c r="AO144" t="s">
        <v>7553</v>
      </c>
      <c r="AP144" s="46">
        <v>8000</v>
      </c>
      <c r="AQ144" t="s">
        <v>7512</v>
      </c>
    </row>
    <row r="145" spans="1:43">
      <c r="A145" s="374" t="s">
        <v>592</v>
      </c>
      <c r="B145" s="374">
        <v>5</v>
      </c>
      <c r="C145" s="374" t="s">
        <v>593</v>
      </c>
      <c r="D145" s="375" t="str">
        <f t="shared" si="19"/>
        <v>Alira Estate5</v>
      </c>
      <c r="E145" s="375" t="s">
        <v>600</v>
      </c>
      <c r="F145" s="375" t="s">
        <v>595</v>
      </c>
      <c r="G145" s="375" t="s">
        <v>596</v>
      </c>
      <c r="H145" s="375" t="s">
        <v>597</v>
      </c>
      <c r="I145" s="63" t="s">
        <v>598</v>
      </c>
      <c r="J145" s="47">
        <f t="shared" si="29"/>
        <v>3740</v>
      </c>
      <c r="K145" s="46" t="s">
        <v>7938</v>
      </c>
      <c r="L145" s="47"/>
      <c r="M145" s="47">
        <f t="shared" si="30"/>
        <v>1430.0000000000002</v>
      </c>
      <c r="N145" s="47"/>
      <c r="O145" s="47" t="s">
        <v>599</v>
      </c>
      <c r="P145" s="47"/>
      <c r="Q145" s="47"/>
      <c r="R145" s="47"/>
      <c r="S145" s="47"/>
      <c r="T145" s="47">
        <f t="shared" si="31"/>
        <v>780</v>
      </c>
      <c r="U145" s="47"/>
      <c r="V145" s="47"/>
      <c r="W145" s="47"/>
      <c r="X145" s="47">
        <f t="shared" si="32"/>
        <v>3000</v>
      </c>
      <c r="Y145" s="47"/>
      <c r="Z145" s="47">
        <f t="shared" si="26"/>
        <v>4620</v>
      </c>
      <c r="AA145" s="47">
        <f t="shared" si="33"/>
        <v>1400</v>
      </c>
      <c r="AB145" s="47"/>
      <c r="AC145" s="47"/>
      <c r="AD145" s="47"/>
      <c r="AE145" s="47"/>
      <c r="AF145" s="47">
        <f t="shared" si="34"/>
        <v>1485</v>
      </c>
      <c r="AG145" s="47"/>
      <c r="AH145" s="47" t="str">
        <f>IFERROR(_xlfn.XLOOKUP(Table6[[#This Row],[Suburb]],Table5[Travel Surcharge],Table5[$$]),"")</f>
        <v/>
      </c>
      <c r="AI145" s="47"/>
      <c r="AJ145" s="47"/>
      <c r="AL145" t="str">
        <v>Bellevue Tops Estate</v>
      </c>
      <c r="AO145" t="s">
        <v>1532</v>
      </c>
      <c r="AP145" s="46">
        <v>1500</v>
      </c>
    </row>
    <row r="146" spans="1:43">
      <c r="A146" s="374" t="s">
        <v>592</v>
      </c>
      <c r="B146" s="374" t="s">
        <v>501</v>
      </c>
      <c r="C146" s="374" t="s">
        <v>593</v>
      </c>
      <c r="D146" s="375" t="str">
        <f t="shared" si="19"/>
        <v>Alira Estate1A</v>
      </c>
      <c r="E146" s="375" t="s">
        <v>601</v>
      </c>
      <c r="F146" s="375" t="s">
        <v>595</v>
      </c>
      <c r="G146" s="375" t="s">
        <v>596</v>
      </c>
      <c r="H146" s="375" t="s">
        <v>597</v>
      </c>
      <c r="I146" s="63" t="s">
        <v>598</v>
      </c>
      <c r="J146" s="47">
        <f t="shared" si="29"/>
        <v>3740</v>
      </c>
      <c r="K146" s="46" t="s">
        <v>7938</v>
      </c>
      <c r="L146" s="47"/>
      <c r="M146" s="47">
        <f t="shared" si="30"/>
        <v>1430.0000000000002</v>
      </c>
      <c r="N146" s="47"/>
      <c r="O146" s="47" t="s">
        <v>599</v>
      </c>
      <c r="P146" s="47"/>
      <c r="Q146" s="47"/>
      <c r="R146" s="47"/>
      <c r="S146" s="47"/>
      <c r="T146" s="47">
        <f t="shared" si="31"/>
        <v>780</v>
      </c>
      <c r="U146" s="47"/>
      <c r="V146" s="47"/>
      <c r="W146" s="47"/>
      <c r="X146" s="47">
        <f t="shared" si="32"/>
        <v>3000</v>
      </c>
      <c r="Y146" s="47"/>
      <c r="Z146" s="47">
        <f t="shared" si="26"/>
        <v>4620</v>
      </c>
      <c r="AA146" s="47">
        <f t="shared" si="33"/>
        <v>1400</v>
      </c>
      <c r="AB146" s="47"/>
      <c r="AC146" s="47"/>
      <c r="AD146" s="47"/>
      <c r="AE146" s="47"/>
      <c r="AF146" s="47">
        <f t="shared" si="34"/>
        <v>1485</v>
      </c>
      <c r="AG146" s="47"/>
      <c r="AH146" s="47" t="str">
        <f>IFERROR(_xlfn.XLOOKUP(Table6[[#This Row],[Suburb]],Table5[Travel Surcharge],Table5[$$]),"")</f>
        <v/>
      </c>
      <c r="AI146" s="47"/>
      <c r="AJ146" s="47"/>
      <c r="AL146" t="str">
        <v>Belmond Estate</v>
      </c>
      <c r="AO146" t="s">
        <v>7554</v>
      </c>
      <c r="AP146" s="46">
        <v>8000</v>
      </c>
      <c r="AQ146" t="s">
        <v>7512</v>
      </c>
    </row>
    <row r="147" spans="1:43">
      <c r="A147" s="374" t="s">
        <v>592</v>
      </c>
      <c r="B147" s="374" t="s">
        <v>602</v>
      </c>
      <c r="C147" s="374" t="s">
        <v>593</v>
      </c>
      <c r="D147" s="375" t="str">
        <f t="shared" si="19"/>
        <v>Alira Estate1D</v>
      </c>
      <c r="E147" s="375" t="s">
        <v>603</v>
      </c>
      <c r="F147" s="375" t="s">
        <v>595</v>
      </c>
      <c r="G147" s="375" t="s">
        <v>596</v>
      </c>
      <c r="H147" s="375" t="s">
        <v>597</v>
      </c>
      <c r="I147" s="63" t="s">
        <v>598</v>
      </c>
      <c r="J147" s="47">
        <f t="shared" si="29"/>
        <v>3740</v>
      </c>
      <c r="K147" s="46" t="s">
        <v>7938</v>
      </c>
      <c r="L147" s="47"/>
      <c r="M147" s="47">
        <f t="shared" si="30"/>
        <v>1430.0000000000002</v>
      </c>
      <c r="N147" s="47"/>
      <c r="O147" s="47" t="s">
        <v>599</v>
      </c>
      <c r="P147" s="47"/>
      <c r="Q147" s="47"/>
      <c r="R147" s="47"/>
      <c r="S147" s="47"/>
      <c r="T147" s="47">
        <f t="shared" si="31"/>
        <v>780</v>
      </c>
      <c r="U147" s="47"/>
      <c r="V147" s="47"/>
      <c r="W147" s="47"/>
      <c r="X147" s="47">
        <f t="shared" si="32"/>
        <v>3000</v>
      </c>
      <c r="Y147" s="47"/>
      <c r="Z147" s="47">
        <f t="shared" si="26"/>
        <v>4620</v>
      </c>
      <c r="AA147" s="47">
        <f t="shared" si="33"/>
        <v>1400</v>
      </c>
      <c r="AB147" s="47"/>
      <c r="AC147" s="47"/>
      <c r="AD147" s="47"/>
      <c r="AE147" s="47"/>
      <c r="AF147" s="47">
        <f t="shared" si="34"/>
        <v>1485</v>
      </c>
      <c r="AG147" s="47"/>
      <c r="AH147" s="47" t="str">
        <f>IFERROR(_xlfn.XLOOKUP(Table6[[#This Row],[Suburb]],Table5[Travel Surcharge],Table5[$$]),"")</f>
        <v/>
      </c>
      <c r="AI147" s="47"/>
      <c r="AJ147" s="47"/>
      <c r="AL147" t="str">
        <v>Bentley Park Estate</v>
      </c>
      <c r="AO147" t="s">
        <v>7555</v>
      </c>
      <c r="AP147" s="46">
        <v>8000</v>
      </c>
      <c r="AQ147" t="s">
        <v>7512</v>
      </c>
    </row>
    <row r="148" spans="1:43">
      <c r="A148" s="374" t="s">
        <v>592</v>
      </c>
      <c r="B148" s="374" t="s">
        <v>604</v>
      </c>
      <c r="C148" s="374" t="s">
        <v>593</v>
      </c>
      <c r="D148" s="375" t="str">
        <f t="shared" si="19"/>
        <v>Alira Estate2B</v>
      </c>
      <c r="E148" s="375" t="s">
        <v>605</v>
      </c>
      <c r="F148" s="375" t="s">
        <v>595</v>
      </c>
      <c r="G148" s="375" t="s">
        <v>596</v>
      </c>
      <c r="H148" s="375" t="s">
        <v>597</v>
      </c>
      <c r="I148" s="63" t="s">
        <v>598</v>
      </c>
      <c r="J148" s="47">
        <f t="shared" si="29"/>
        <v>3740</v>
      </c>
      <c r="K148" s="46" t="s">
        <v>7938</v>
      </c>
      <c r="L148" s="47"/>
      <c r="M148" s="47">
        <f t="shared" si="30"/>
        <v>1430.0000000000002</v>
      </c>
      <c r="N148" s="47"/>
      <c r="O148" s="47" t="s">
        <v>599</v>
      </c>
      <c r="P148" s="47"/>
      <c r="Q148" s="47"/>
      <c r="R148" s="47"/>
      <c r="S148" s="47"/>
      <c r="T148" s="47">
        <f t="shared" si="31"/>
        <v>780</v>
      </c>
      <c r="U148" s="47"/>
      <c r="V148" s="47"/>
      <c r="W148" s="47"/>
      <c r="X148" s="47">
        <f t="shared" si="32"/>
        <v>3000</v>
      </c>
      <c r="Y148" s="47"/>
      <c r="Z148" s="47">
        <f t="shared" si="26"/>
        <v>4620</v>
      </c>
      <c r="AA148" s="47">
        <f t="shared" si="33"/>
        <v>1400</v>
      </c>
      <c r="AB148" s="47"/>
      <c r="AC148" s="47"/>
      <c r="AD148" s="47"/>
      <c r="AE148" s="47"/>
      <c r="AF148" s="47">
        <f t="shared" si="34"/>
        <v>1485</v>
      </c>
      <c r="AG148" s="47"/>
      <c r="AH148" s="47" t="str">
        <f>IFERROR(_xlfn.XLOOKUP(Table6[[#This Row],[Suburb]],Table5[Travel Surcharge],Table5[$$]),"")</f>
        <v/>
      </c>
      <c r="AI148" s="47"/>
      <c r="AJ148" s="47"/>
      <c r="AL148" t="str">
        <v>Berthon Park</v>
      </c>
      <c r="AO148" t="s">
        <v>7607</v>
      </c>
      <c r="AP148" s="46">
        <v>8000</v>
      </c>
      <c r="AQ148" t="s">
        <v>7512</v>
      </c>
    </row>
    <row r="149" spans="1:43">
      <c r="A149" s="374" t="s">
        <v>592</v>
      </c>
      <c r="B149" s="374" t="s">
        <v>606</v>
      </c>
      <c r="C149" s="374" t="s">
        <v>593</v>
      </c>
      <c r="D149" s="375" t="str">
        <f t="shared" si="19"/>
        <v>Alira Estate3A</v>
      </c>
      <c r="E149" s="375" t="s">
        <v>607</v>
      </c>
      <c r="F149" s="375" t="s">
        <v>595</v>
      </c>
      <c r="G149" s="375" t="s">
        <v>596</v>
      </c>
      <c r="H149" s="375" t="s">
        <v>597</v>
      </c>
      <c r="I149" s="63" t="s">
        <v>598</v>
      </c>
      <c r="J149" s="47">
        <f t="shared" si="29"/>
        <v>3740</v>
      </c>
      <c r="K149" s="46" t="s">
        <v>7938</v>
      </c>
      <c r="L149" s="47"/>
      <c r="M149" s="47">
        <f t="shared" si="30"/>
        <v>1430.0000000000002</v>
      </c>
      <c r="N149" s="47"/>
      <c r="O149" s="47" t="s">
        <v>599</v>
      </c>
      <c r="P149" s="47"/>
      <c r="Q149" s="47"/>
      <c r="R149" s="47"/>
      <c r="S149" s="47"/>
      <c r="T149" s="47">
        <f t="shared" si="31"/>
        <v>780</v>
      </c>
      <c r="U149" s="47"/>
      <c r="V149" s="47"/>
      <c r="W149" s="47"/>
      <c r="X149" s="47">
        <f t="shared" si="32"/>
        <v>3000</v>
      </c>
      <c r="Y149" s="47"/>
      <c r="Z149" s="47">
        <f t="shared" si="26"/>
        <v>4620</v>
      </c>
      <c r="AA149" s="47">
        <f t="shared" si="33"/>
        <v>1400</v>
      </c>
      <c r="AB149" s="47"/>
      <c r="AC149" s="47"/>
      <c r="AD149" s="47"/>
      <c r="AE149" s="47"/>
      <c r="AF149" s="47">
        <f t="shared" si="34"/>
        <v>1485</v>
      </c>
      <c r="AG149" s="47"/>
      <c r="AH149" s="47" t="str">
        <f>IFERROR(_xlfn.XLOOKUP(Table6[[#This Row],[Suburb]],Table5[Travel Surcharge],Table5[$$]),"")</f>
        <v/>
      </c>
      <c r="AI149" s="47"/>
      <c r="AJ149" s="47"/>
      <c r="AL149" t="str">
        <v>Berwick Waters - Emerald Bend</v>
      </c>
      <c r="AO149" t="s">
        <v>280</v>
      </c>
      <c r="AP149" s="46">
        <v>1500</v>
      </c>
    </row>
    <row r="150" spans="1:43">
      <c r="A150" s="374" t="s">
        <v>592</v>
      </c>
      <c r="B150" s="374" t="s">
        <v>608</v>
      </c>
      <c r="C150" s="374" t="s">
        <v>593</v>
      </c>
      <c r="D150" s="375" t="str">
        <f t="shared" si="19"/>
        <v>Alira Estate3B</v>
      </c>
      <c r="E150" s="375" t="s">
        <v>609</v>
      </c>
      <c r="F150" s="375" t="s">
        <v>595</v>
      </c>
      <c r="G150" s="375" t="s">
        <v>596</v>
      </c>
      <c r="H150" s="375" t="s">
        <v>597</v>
      </c>
      <c r="I150" s="63" t="s">
        <v>598</v>
      </c>
      <c r="J150" s="47">
        <f t="shared" si="29"/>
        <v>3740</v>
      </c>
      <c r="K150" s="46" t="s">
        <v>7938</v>
      </c>
      <c r="L150" s="47"/>
      <c r="M150" s="47">
        <f t="shared" si="30"/>
        <v>1430.0000000000002</v>
      </c>
      <c r="N150" s="47"/>
      <c r="O150" s="47" t="s">
        <v>599</v>
      </c>
      <c r="P150" s="47"/>
      <c r="Q150" s="47"/>
      <c r="R150" s="47"/>
      <c r="S150" s="47"/>
      <c r="T150" s="47">
        <f t="shared" si="31"/>
        <v>780</v>
      </c>
      <c r="U150" s="47"/>
      <c r="V150" s="47"/>
      <c r="W150" s="47"/>
      <c r="X150" s="47">
        <f t="shared" si="32"/>
        <v>3000</v>
      </c>
      <c r="Y150" s="47"/>
      <c r="Z150" s="47">
        <f t="shared" si="26"/>
        <v>4620</v>
      </c>
      <c r="AA150" s="47">
        <f t="shared" si="33"/>
        <v>1400</v>
      </c>
      <c r="AB150" s="47"/>
      <c r="AC150" s="47"/>
      <c r="AD150" s="47"/>
      <c r="AE150" s="47"/>
      <c r="AF150" s="47">
        <f t="shared" si="34"/>
        <v>1485</v>
      </c>
      <c r="AG150" s="47"/>
      <c r="AH150" s="47" t="str">
        <f>IFERROR(_xlfn.XLOOKUP(Table6[[#This Row],[Suburb]],Table5[Travel Surcharge],Table5[$$]),"")</f>
        <v/>
      </c>
      <c r="AI150" s="47"/>
      <c r="AJ150" s="47"/>
      <c r="AL150" t="str">
        <v>Berwick Waters - Honour Village Estate</v>
      </c>
      <c r="AO150" t="s">
        <v>302</v>
      </c>
      <c r="AP150" s="46">
        <v>7000</v>
      </c>
    </row>
    <row r="151" spans="1:43">
      <c r="A151" s="374" t="s">
        <v>592</v>
      </c>
      <c r="B151" s="374" t="s">
        <v>610</v>
      </c>
      <c r="C151" s="374" t="s">
        <v>593</v>
      </c>
      <c r="D151" s="375" t="str">
        <f t="shared" si="19"/>
        <v>Alira Estate3C</v>
      </c>
      <c r="E151" s="375" t="s">
        <v>611</v>
      </c>
      <c r="F151" s="375" t="s">
        <v>595</v>
      </c>
      <c r="G151" s="375" t="s">
        <v>596</v>
      </c>
      <c r="H151" s="375" t="s">
        <v>597</v>
      </c>
      <c r="I151" s="63" t="s">
        <v>598</v>
      </c>
      <c r="J151" s="47">
        <f t="shared" si="29"/>
        <v>3740</v>
      </c>
      <c r="K151" s="46" t="s">
        <v>7938</v>
      </c>
      <c r="L151" s="47"/>
      <c r="M151" s="47">
        <f t="shared" si="30"/>
        <v>1430.0000000000002</v>
      </c>
      <c r="N151" s="47"/>
      <c r="O151" s="47" t="s">
        <v>599</v>
      </c>
      <c r="P151" s="47"/>
      <c r="Q151" s="47"/>
      <c r="R151" s="47"/>
      <c r="S151" s="47"/>
      <c r="T151" s="47">
        <f t="shared" si="31"/>
        <v>780</v>
      </c>
      <c r="U151" s="47"/>
      <c r="V151" s="47"/>
      <c r="W151" s="47"/>
      <c r="X151" s="47">
        <f t="shared" si="32"/>
        <v>3000</v>
      </c>
      <c r="Y151" s="47"/>
      <c r="Z151" s="47">
        <f t="shared" si="26"/>
        <v>4620</v>
      </c>
      <c r="AA151" s="47">
        <f t="shared" si="33"/>
        <v>1400</v>
      </c>
      <c r="AB151" s="47"/>
      <c r="AC151" s="47"/>
      <c r="AD151" s="47"/>
      <c r="AE151" s="47"/>
      <c r="AF151" s="47">
        <f t="shared" si="34"/>
        <v>1485</v>
      </c>
      <c r="AG151" s="47"/>
      <c r="AH151" s="47" t="str">
        <f>IFERROR(_xlfn.XLOOKUP(Table6[[#This Row],[Suburb]],Table5[Travel Surcharge],Table5[$$]),"")</f>
        <v/>
      </c>
      <c r="AI151" s="47"/>
      <c r="AJ151" s="47"/>
      <c r="AL151" t="str">
        <v>Berwick Waters - Mondous Island</v>
      </c>
      <c r="AO151" t="s">
        <v>9450</v>
      </c>
      <c r="AP151" s="46">
        <v>1000</v>
      </c>
    </row>
    <row r="152" spans="1:43">
      <c r="A152" s="374" t="s">
        <v>592</v>
      </c>
      <c r="B152" s="374" t="s">
        <v>528</v>
      </c>
      <c r="C152" s="374" t="s">
        <v>593</v>
      </c>
      <c r="D152" s="375" t="str">
        <f t="shared" si="19"/>
        <v>Alira Estate4A</v>
      </c>
      <c r="E152" s="375" t="s">
        <v>612</v>
      </c>
      <c r="F152" s="375" t="s">
        <v>595</v>
      </c>
      <c r="G152" s="375" t="s">
        <v>596</v>
      </c>
      <c r="H152" s="375" t="s">
        <v>597</v>
      </c>
      <c r="I152" s="63" t="s">
        <v>598</v>
      </c>
      <c r="J152" s="47">
        <f t="shared" si="29"/>
        <v>3740</v>
      </c>
      <c r="K152" s="46" t="s">
        <v>7938</v>
      </c>
      <c r="L152" s="47"/>
      <c r="M152" s="47">
        <f t="shared" si="30"/>
        <v>1430.0000000000002</v>
      </c>
      <c r="N152" s="47"/>
      <c r="O152" s="47" t="s">
        <v>599</v>
      </c>
      <c r="P152" s="47"/>
      <c r="Q152" s="47"/>
      <c r="R152" s="47"/>
      <c r="S152" s="47"/>
      <c r="T152" s="47">
        <f t="shared" si="31"/>
        <v>780</v>
      </c>
      <c r="U152" s="47"/>
      <c r="V152" s="47"/>
      <c r="W152" s="47"/>
      <c r="X152" s="47">
        <f t="shared" si="32"/>
        <v>3000</v>
      </c>
      <c r="Y152" s="47"/>
      <c r="Z152" s="47">
        <f t="shared" si="26"/>
        <v>4620</v>
      </c>
      <c r="AA152" s="47">
        <f t="shared" si="33"/>
        <v>1400</v>
      </c>
      <c r="AB152" s="47"/>
      <c r="AC152" s="47"/>
      <c r="AD152" s="47"/>
      <c r="AE152" s="47"/>
      <c r="AF152" s="47">
        <f t="shared" si="34"/>
        <v>1485</v>
      </c>
      <c r="AG152" s="47"/>
      <c r="AH152" s="47" t="str">
        <f>IFERROR(_xlfn.XLOOKUP(Table6[[#This Row],[Suburb]],Table5[Travel Surcharge],Table5[$$]),"")</f>
        <v/>
      </c>
      <c r="AI152" s="47"/>
      <c r="AJ152" s="47"/>
      <c r="AL152" t="str">
        <v>Berwick Waters - Promenade Village</v>
      </c>
      <c r="AO152" t="s">
        <v>7608</v>
      </c>
      <c r="AP152" s="46">
        <v>8000</v>
      </c>
      <c r="AQ152" t="s">
        <v>7512</v>
      </c>
    </row>
    <row r="153" spans="1:43">
      <c r="A153" s="374" t="s">
        <v>592</v>
      </c>
      <c r="B153" s="374" t="s">
        <v>613</v>
      </c>
      <c r="C153" s="374" t="s">
        <v>593</v>
      </c>
      <c r="D153" s="375" t="str">
        <f t="shared" si="19"/>
        <v>Alira Estate4B</v>
      </c>
      <c r="E153" s="375" t="s">
        <v>614</v>
      </c>
      <c r="F153" s="375" t="s">
        <v>595</v>
      </c>
      <c r="G153" s="375" t="s">
        <v>596</v>
      </c>
      <c r="H153" s="375" t="s">
        <v>597</v>
      </c>
      <c r="I153" s="63" t="s">
        <v>598</v>
      </c>
      <c r="J153" s="47">
        <f t="shared" si="29"/>
        <v>3740</v>
      </c>
      <c r="K153" s="46" t="s">
        <v>7938</v>
      </c>
      <c r="L153" s="47"/>
      <c r="M153" s="47">
        <f t="shared" si="30"/>
        <v>1430.0000000000002</v>
      </c>
      <c r="N153" s="47"/>
      <c r="O153" s="47" t="s">
        <v>599</v>
      </c>
      <c r="P153" s="47"/>
      <c r="Q153" s="47"/>
      <c r="R153" s="47"/>
      <c r="S153" s="47"/>
      <c r="T153" s="47">
        <f t="shared" si="31"/>
        <v>780</v>
      </c>
      <c r="U153" s="47"/>
      <c r="V153" s="47"/>
      <c r="W153" s="47"/>
      <c r="X153" s="47">
        <f t="shared" si="32"/>
        <v>3000</v>
      </c>
      <c r="Y153" s="47"/>
      <c r="Z153" s="47">
        <f t="shared" si="26"/>
        <v>4620</v>
      </c>
      <c r="AA153" s="47">
        <f t="shared" si="33"/>
        <v>1400</v>
      </c>
      <c r="AB153" s="47"/>
      <c r="AC153" s="47"/>
      <c r="AD153" s="47"/>
      <c r="AE153" s="47"/>
      <c r="AF153" s="47">
        <f t="shared" si="34"/>
        <v>1485</v>
      </c>
      <c r="AG153" s="47"/>
      <c r="AH153" s="47" t="str">
        <f>IFERROR(_xlfn.XLOOKUP(Table6[[#This Row],[Suburb]],Table5[Travel Surcharge],Table5[$$]),"")</f>
        <v/>
      </c>
      <c r="AI153" s="47"/>
      <c r="AJ153" s="47"/>
      <c r="AL153" t="str">
        <v>Berwick Waters - Upper Banks</v>
      </c>
      <c r="AO153" t="s">
        <v>7556</v>
      </c>
      <c r="AP153" s="46">
        <v>8000</v>
      </c>
      <c r="AQ153" t="s">
        <v>7512</v>
      </c>
    </row>
    <row r="154" spans="1:43">
      <c r="A154" s="374" t="s">
        <v>592</v>
      </c>
      <c r="B154" s="374" t="s">
        <v>615</v>
      </c>
      <c r="C154" s="374" t="s">
        <v>593</v>
      </c>
      <c r="D154" s="375" t="str">
        <f t="shared" si="19"/>
        <v>Alira Estate4C</v>
      </c>
      <c r="E154" s="375" t="s">
        <v>616</v>
      </c>
      <c r="F154" s="375" t="s">
        <v>595</v>
      </c>
      <c r="G154" s="375" t="s">
        <v>596</v>
      </c>
      <c r="H154" s="375" t="s">
        <v>597</v>
      </c>
      <c r="I154" s="63" t="s">
        <v>598</v>
      </c>
      <c r="J154" s="47">
        <f t="shared" si="29"/>
        <v>3740</v>
      </c>
      <c r="K154" s="46" t="s">
        <v>7938</v>
      </c>
      <c r="L154" s="47"/>
      <c r="M154" s="47">
        <f t="shared" si="30"/>
        <v>1430.0000000000002</v>
      </c>
      <c r="N154" s="47"/>
      <c r="O154" s="47" t="s">
        <v>599</v>
      </c>
      <c r="P154" s="47"/>
      <c r="Q154" s="47"/>
      <c r="R154" s="47"/>
      <c r="S154" s="47"/>
      <c r="T154" s="47">
        <f t="shared" si="31"/>
        <v>780</v>
      </c>
      <c r="U154" s="47"/>
      <c r="V154" s="47"/>
      <c r="W154" s="47"/>
      <c r="X154" s="47">
        <f t="shared" si="32"/>
        <v>3000</v>
      </c>
      <c r="Y154" s="47"/>
      <c r="Z154" s="47">
        <f t="shared" si="26"/>
        <v>4620</v>
      </c>
      <c r="AA154" s="47">
        <f t="shared" si="33"/>
        <v>1400</v>
      </c>
      <c r="AB154" s="47"/>
      <c r="AC154" s="47"/>
      <c r="AD154" s="47"/>
      <c r="AE154" s="47"/>
      <c r="AF154" s="47">
        <f t="shared" si="34"/>
        <v>1485</v>
      </c>
      <c r="AG154" s="47"/>
      <c r="AH154" s="47" t="str">
        <f>IFERROR(_xlfn.XLOOKUP(Table6[[#This Row],[Suburb]],Table5[Travel Surcharge],Table5[$$]),"")</f>
        <v/>
      </c>
      <c r="AI154" s="47"/>
      <c r="AJ154" s="47"/>
      <c r="AL154" t="str">
        <v>Berwick Waters Estate - College Green</v>
      </c>
      <c r="AO154" t="s">
        <v>287</v>
      </c>
      <c r="AP154" s="46">
        <v>7000</v>
      </c>
    </row>
    <row r="155" spans="1:43">
      <c r="A155" s="374" t="s">
        <v>592</v>
      </c>
      <c r="B155" s="374" t="s">
        <v>617</v>
      </c>
      <c r="C155" s="374" t="s">
        <v>593</v>
      </c>
      <c r="D155" s="375" t="str">
        <f t="shared" si="19"/>
        <v>Alira Estate5A</v>
      </c>
      <c r="E155" s="375" t="s">
        <v>618</v>
      </c>
      <c r="F155" s="375" t="s">
        <v>595</v>
      </c>
      <c r="G155" s="375" t="s">
        <v>596</v>
      </c>
      <c r="H155" s="375" t="s">
        <v>597</v>
      </c>
      <c r="I155" s="63" t="s">
        <v>598</v>
      </c>
      <c r="J155" s="47">
        <f t="shared" si="29"/>
        <v>3740</v>
      </c>
      <c r="K155" s="46" t="s">
        <v>7938</v>
      </c>
      <c r="L155" s="47"/>
      <c r="M155" s="47">
        <f t="shared" si="30"/>
        <v>1430.0000000000002</v>
      </c>
      <c r="N155" s="47"/>
      <c r="O155" s="47" t="s">
        <v>599</v>
      </c>
      <c r="P155" s="47"/>
      <c r="Q155" s="47"/>
      <c r="R155" s="47"/>
      <c r="S155" s="47"/>
      <c r="T155" s="47">
        <f t="shared" si="31"/>
        <v>780</v>
      </c>
      <c r="U155" s="47"/>
      <c r="V155" s="47"/>
      <c r="W155" s="47"/>
      <c r="X155" s="47">
        <f t="shared" si="32"/>
        <v>3000</v>
      </c>
      <c r="Y155" s="47"/>
      <c r="Z155" s="47">
        <f t="shared" si="26"/>
        <v>4620</v>
      </c>
      <c r="AA155" s="47">
        <f t="shared" si="33"/>
        <v>1400</v>
      </c>
      <c r="AB155" s="47"/>
      <c r="AC155" s="47"/>
      <c r="AD155" s="47"/>
      <c r="AE155" s="47"/>
      <c r="AF155" s="47">
        <f t="shared" si="34"/>
        <v>1485</v>
      </c>
      <c r="AG155" s="47"/>
      <c r="AH155" s="47" t="str">
        <f>IFERROR(_xlfn.XLOOKUP(Table6[[#This Row],[Suburb]],Table5[Travel Surcharge],Table5[$$]),"")</f>
        <v/>
      </c>
      <c r="AI155" s="47"/>
      <c r="AJ155" s="47"/>
      <c r="AL155" t="str">
        <v>Berwick Waters Estate - Heritage Hill</v>
      </c>
      <c r="AO155" t="s">
        <v>7609</v>
      </c>
      <c r="AP155" s="46">
        <v>8000</v>
      </c>
      <c r="AQ155" t="s">
        <v>7512</v>
      </c>
    </row>
    <row r="156" spans="1:43">
      <c r="A156" s="374" t="s">
        <v>592</v>
      </c>
      <c r="B156" s="374" t="s">
        <v>619</v>
      </c>
      <c r="C156" s="374" t="s">
        <v>593</v>
      </c>
      <c r="D156" s="375" t="str">
        <f t="shared" si="19"/>
        <v>Alira Estate5C</v>
      </c>
      <c r="E156" s="375" t="s">
        <v>600</v>
      </c>
      <c r="F156" s="375" t="s">
        <v>595</v>
      </c>
      <c r="G156" s="375" t="s">
        <v>596</v>
      </c>
      <c r="H156" s="375" t="s">
        <v>597</v>
      </c>
      <c r="I156" s="63" t="s">
        <v>598</v>
      </c>
      <c r="J156" s="47">
        <f t="shared" si="29"/>
        <v>3740</v>
      </c>
      <c r="K156" s="46" t="s">
        <v>7938</v>
      </c>
      <c r="L156" s="47"/>
      <c r="M156" s="47">
        <f t="shared" si="30"/>
        <v>1430.0000000000002</v>
      </c>
      <c r="N156" s="47"/>
      <c r="O156" s="47" t="s">
        <v>599</v>
      </c>
      <c r="P156" s="47"/>
      <c r="Q156" s="47"/>
      <c r="R156" s="47"/>
      <c r="S156" s="47"/>
      <c r="T156" s="47">
        <f t="shared" si="31"/>
        <v>780</v>
      </c>
      <c r="U156" s="47"/>
      <c r="V156" s="47"/>
      <c r="W156" s="47"/>
      <c r="X156" s="47">
        <f t="shared" si="32"/>
        <v>3000</v>
      </c>
      <c r="Y156" s="47"/>
      <c r="Z156" s="47">
        <f t="shared" si="26"/>
        <v>4620</v>
      </c>
      <c r="AA156" s="47">
        <f t="shared" si="33"/>
        <v>1400</v>
      </c>
      <c r="AB156" s="47"/>
      <c r="AC156" s="47"/>
      <c r="AD156" s="47"/>
      <c r="AE156" s="47"/>
      <c r="AF156" s="47">
        <f t="shared" si="34"/>
        <v>1485</v>
      </c>
      <c r="AG156" s="47"/>
      <c r="AH156" s="47" t="str">
        <f>IFERROR(_xlfn.XLOOKUP(Table6[[#This Row],[Suburb]],Table5[Travel Surcharge],Table5[$$]),"")</f>
        <v/>
      </c>
      <c r="AI156" s="47"/>
      <c r="AJ156" s="47"/>
      <c r="AL156" t="str">
        <v>Berwick Waters Estate - The Cove</v>
      </c>
      <c r="AO156" t="s">
        <v>7610</v>
      </c>
      <c r="AP156" s="46">
        <v>8000</v>
      </c>
      <c r="AQ156" t="s">
        <v>7512</v>
      </c>
    </row>
    <row r="157" spans="1:43">
      <c r="A157" s="374" t="s">
        <v>592</v>
      </c>
      <c r="B157" s="374" t="s">
        <v>620</v>
      </c>
      <c r="C157" s="374" t="s">
        <v>593</v>
      </c>
      <c r="D157" s="375" t="str">
        <f t="shared" si="19"/>
        <v>Alira Estate5D</v>
      </c>
      <c r="E157" s="375" t="s">
        <v>621</v>
      </c>
      <c r="F157" s="375" t="s">
        <v>595</v>
      </c>
      <c r="G157" s="375" t="s">
        <v>596</v>
      </c>
      <c r="H157" s="375" t="s">
        <v>597</v>
      </c>
      <c r="I157" s="63" t="s">
        <v>598</v>
      </c>
      <c r="J157" s="47">
        <f t="shared" si="29"/>
        <v>3740</v>
      </c>
      <c r="K157" s="46" t="s">
        <v>7938</v>
      </c>
      <c r="L157" s="47"/>
      <c r="M157" s="47">
        <f t="shared" si="30"/>
        <v>1430.0000000000002</v>
      </c>
      <c r="N157" s="47"/>
      <c r="O157" s="47" t="s">
        <v>599</v>
      </c>
      <c r="P157" s="47"/>
      <c r="Q157" s="47"/>
      <c r="R157" s="47"/>
      <c r="S157" s="47"/>
      <c r="T157" s="47">
        <f t="shared" si="31"/>
        <v>780</v>
      </c>
      <c r="U157" s="47"/>
      <c r="V157" s="47"/>
      <c r="W157" s="47"/>
      <c r="X157" s="47">
        <f t="shared" si="32"/>
        <v>3000</v>
      </c>
      <c r="Y157" s="47"/>
      <c r="Z157" s="47">
        <f t="shared" si="26"/>
        <v>4620</v>
      </c>
      <c r="AA157" s="47">
        <f t="shared" si="33"/>
        <v>1400</v>
      </c>
      <c r="AB157" s="47"/>
      <c r="AC157" s="47"/>
      <c r="AD157" s="47"/>
      <c r="AE157" s="47"/>
      <c r="AF157" s="47">
        <f t="shared" si="34"/>
        <v>1485</v>
      </c>
      <c r="AG157" s="47"/>
      <c r="AH157" s="47" t="str">
        <f>IFERROR(_xlfn.XLOOKUP(Table6[[#This Row],[Suburb]],Table5[Travel Surcharge],Table5[$$]),"")</f>
        <v/>
      </c>
      <c r="AI157" s="47"/>
      <c r="AJ157" s="47"/>
      <c r="AL157" t="str">
        <v>Berwick Waters Estate - The Strand</v>
      </c>
      <c r="AO157" t="s">
        <v>7611</v>
      </c>
      <c r="AP157" s="46">
        <v>8000</v>
      </c>
      <c r="AQ157" t="s">
        <v>7512</v>
      </c>
    </row>
    <row r="158" spans="1:43">
      <c r="A158" s="374" t="s">
        <v>592</v>
      </c>
      <c r="B158" s="374" t="s">
        <v>622</v>
      </c>
      <c r="C158" s="374" t="s">
        <v>593</v>
      </c>
      <c r="D158" s="375" t="str">
        <f t="shared" si="19"/>
        <v>Alira Estate6A</v>
      </c>
      <c r="E158" s="375" t="s">
        <v>623</v>
      </c>
      <c r="F158" s="375" t="s">
        <v>595</v>
      </c>
      <c r="G158" s="375" t="s">
        <v>596</v>
      </c>
      <c r="H158" s="375" t="s">
        <v>597</v>
      </c>
      <c r="I158" s="63" t="s">
        <v>598</v>
      </c>
      <c r="J158" s="47">
        <f t="shared" si="29"/>
        <v>3740</v>
      </c>
      <c r="K158" s="46" t="s">
        <v>7938</v>
      </c>
      <c r="L158" s="47"/>
      <c r="M158" s="47">
        <f t="shared" si="30"/>
        <v>1430.0000000000002</v>
      </c>
      <c r="N158" s="47"/>
      <c r="O158" s="47" t="s">
        <v>599</v>
      </c>
      <c r="P158" s="47"/>
      <c r="Q158" s="47"/>
      <c r="R158" s="47"/>
      <c r="S158" s="47"/>
      <c r="T158" s="47">
        <f t="shared" si="31"/>
        <v>780</v>
      </c>
      <c r="U158" s="47"/>
      <c r="V158" s="47"/>
      <c r="W158" s="47"/>
      <c r="X158" s="47">
        <f t="shared" si="32"/>
        <v>3000</v>
      </c>
      <c r="Y158" s="47"/>
      <c r="Z158" s="47">
        <f t="shared" si="26"/>
        <v>4620</v>
      </c>
      <c r="AA158" s="47">
        <f t="shared" si="33"/>
        <v>1400</v>
      </c>
      <c r="AB158" s="47"/>
      <c r="AC158" s="47"/>
      <c r="AD158" s="47"/>
      <c r="AE158" s="47"/>
      <c r="AF158" s="47">
        <f t="shared" si="34"/>
        <v>1485</v>
      </c>
      <c r="AG158" s="47"/>
      <c r="AH158" s="47" t="str">
        <f>IFERROR(_xlfn.XLOOKUP(Table6[[#This Row],[Suburb]],Table5[Travel Surcharge],Table5[$$]),"")</f>
        <v/>
      </c>
      <c r="AI158" s="47"/>
      <c r="AJ158" s="47"/>
      <c r="AL158" t="str">
        <v>Berwick Waters Estate - Waterside</v>
      </c>
      <c r="AO158" t="s">
        <v>7612</v>
      </c>
      <c r="AP158" s="46">
        <v>8000</v>
      </c>
      <c r="AQ158" t="s">
        <v>7512</v>
      </c>
    </row>
    <row r="159" spans="1:43">
      <c r="A159" s="374" t="s">
        <v>592</v>
      </c>
      <c r="B159" s="374" t="s">
        <v>624</v>
      </c>
      <c r="C159" s="374" t="s">
        <v>593</v>
      </c>
      <c r="D159" s="375" t="str">
        <f t="shared" si="19"/>
        <v>Alira Estate6B</v>
      </c>
      <c r="E159" s="375" t="s">
        <v>625</v>
      </c>
      <c r="F159" s="375" t="s">
        <v>595</v>
      </c>
      <c r="G159" s="375" t="s">
        <v>596</v>
      </c>
      <c r="H159" s="375" t="s">
        <v>597</v>
      </c>
      <c r="I159" s="63" t="s">
        <v>598</v>
      </c>
      <c r="J159" s="47">
        <f t="shared" si="29"/>
        <v>3740</v>
      </c>
      <c r="K159" s="46" t="s">
        <v>7938</v>
      </c>
      <c r="L159" s="47"/>
      <c r="M159" s="47">
        <f t="shared" si="30"/>
        <v>1430.0000000000002</v>
      </c>
      <c r="N159" s="47"/>
      <c r="O159" s="47" t="s">
        <v>599</v>
      </c>
      <c r="P159" s="47"/>
      <c r="Q159" s="47"/>
      <c r="R159" s="47"/>
      <c r="S159" s="47"/>
      <c r="T159" s="47">
        <f t="shared" si="31"/>
        <v>780</v>
      </c>
      <c r="U159" s="47"/>
      <c r="V159" s="47"/>
      <c r="W159" s="47"/>
      <c r="X159" s="47">
        <f t="shared" si="32"/>
        <v>3000</v>
      </c>
      <c r="Y159" s="47"/>
      <c r="Z159" s="47">
        <f t="shared" si="26"/>
        <v>4620</v>
      </c>
      <c r="AA159" s="47">
        <f t="shared" si="33"/>
        <v>1400</v>
      </c>
      <c r="AB159" s="47"/>
      <c r="AC159" s="47"/>
      <c r="AD159" s="47"/>
      <c r="AE159" s="47"/>
      <c r="AF159" s="47">
        <f t="shared" si="34"/>
        <v>1485</v>
      </c>
      <c r="AG159" s="47"/>
      <c r="AH159" s="47" t="str">
        <f>IFERROR(_xlfn.XLOOKUP(Table6[[#This Row],[Suburb]],Table5[Travel Surcharge],Table5[$$]),"")</f>
        <v/>
      </c>
      <c r="AI159" s="47"/>
      <c r="AJ159" s="47"/>
      <c r="AL159" t="str">
        <v>Bethany Park Estate</v>
      </c>
      <c r="AO159" t="s">
        <v>7621</v>
      </c>
      <c r="AP159" s="46">
        <v>8000</v>
      </c>
      <c r="AQ159" t="s">
        <v>7512</v>
      </c>
    </row>
    <row r="160" spans="1:43">
      <c r="A160" s="374" t="s">
        <v>592</v>
      </c>
      <c r="B160" s="374" t="s">
        <v>626</v>
      </c>
      <c r="C160" s="374" t="s">
        <v>593</v>
      </c>
      <c r="D160" s="375" t="str">
        <f t="shared" si="19"/>
        <v>Alira Estate6C</v>
      </c>
      <c r="E160" s="375" t="s">
        <v>627</v>
      </c>
      <c r="F160" s="375" t="s">
        <v>595</v>
      </c>
      <c r="G160" s="375" t="s">
        <v>596</v>
      </c>
      <c r="H160" s="375" t="s">
        <v>597</v>
      </c>
      <c r="I160" s="63" t="s">
        <v>598</v>
      </c>
      <c r="J160" s="47">
        <f t="shared" si="29"/>
        <v>3740</v>
      </c>
      <c r="K160" s="46" t="s">
        <v>7938</v>
      </c>
      <c r="L160" s="47"/>
      <c r="M160" s="47">
        <f t="shared" si="30"/>
        <v>1430.0000000000002</v>
      </c>
      <c r="N160" s="47"/>
      <c r="O160" s="47" t="s">
        <v>599</v>
      </c>
      <c r="P160" s="47"/>
      <c r="Q160" s="47"/>
      <c r="R160" s="47"/>
      <c r="S160" s="47"/>
      <c r="T160" s="47">
        <f t="shared" si="31"/>
        <v>780</v>
      </c>
      <c r="U160" s="47"/>
      <c r="V160" s="47"/>
      <c r="W160" s="47"/>
      <c r="X160" s="47">
        <f t="shared" si="32"/>
        <v>3000</v>
      </c>
      <c r="Y160" s="47"/>
      <c r="Z160" s="47">
        <f t="shared" ref="Z160:Z171" si="35">Z$7</f>
        <v>4620</v>
      </c>
      <c r="AA160" s="47">
        <f t="shared" si="33"/>
        <v>1400</v>
      </c>
      <c r="AB160" s="47"/>
      <c r="AC160" s="47"/>
      <c r="AD160" s="47"/>
      <c r="AE160" s="47"/>
      <c r="AF160" s="47">
        <f t="shared" si="34"/>
        <v>1485</v>
      </c>
      <c r="AG160" s="47"/>
      <c r="AH160" s="47" t="str">
        <f>IFERROR(_xlfn.XLOOKUP(Table6[[#This Row],[Suburb]],Table5[Travel Surcharge],Table5[$$]),"")</f>
        <v/>
      </c>
      <c r="AI160" s="47"/>
      <c r="AJ160" s="47"/>
      <c r="AL160" t="str">
        <v>Beveridge Central</v>
      </c>
      <c r="AO160" t="s">
        <v>7613</v>
      </c>
      <c r="AP160" s="46">
        <v>8000</v>
      </c>
      <c r="AQ160" t="s">
        <v>7512</v>
      </c>
    </row>
    <row r="161" spans="1:43">
      <c r="A161" s="374" t="s">
        <v>592</v>
      </c>
      <c r="B161" s="374" t="s">
        <v>628</v>
      </c>
      <c r="C161" s="374" t="s">
        <v>593</v>
      </c>
      <c r="D161" s="375" t="str">
        <f t="shared" si="19"/>
        <v>Alira Estate6F</v>
      </c>
      <c r="E161" s="375" t="s">
        <v>629</v>
      </c>
      <c r="F161" s="375" t="s">
        <v>595</v>
      </c>
      <c r="G161" s="375" t="s">
        <v>596</v>
      </c>
      <c r="H161" s="375" t="s">
        <v>597</v>
      </c>
      <c r="I161" s="63" t="s">
        <v>598</v>
      </c>
      <c r="J161" s="47">
        <f t="shared" si="29"/>
        <v>3740</v>
      </c>
      <c r="K161" s="46" t="s">
        <v>7938</v>
      </c>
      <c r="L161" s="47"/>
      <c r="M161" s="47">
        <f t="shared" si="30"/>
        <v>1430.0000000000002</v>
      </c>
      <c r="N161" s="47"/>
      <c r="O161" s="47" t="s">
        <v>599</v>
      </c>
      <c r="P161" s="47"/>
      <c r="Q161" s="47"/>
      <c r="R161" s="47"/>
      <c r="S161" s="47"/>
      <c r="T161" s="47">
        <f t="shared" si="31"/>
        <v>780</v>
      </c>
      <c r="U161" s="47"/>
      <c r="V161" s="47"/>
      <c r="W161" s="47"/>
      <c r="X161" s="47">
        <f t="shared" si="32"/>
        <v>3000</v>
      </c>
      <c r="Y161" s="47"/>
      <c r="Z161" s="47">
        <f t="shared" si="35"/>
        <v>4620</v>
      </c>
      <c r="AA161" s="47">
        <f t="shared" si="33"/>
        <v>1400</v>
      </c>
      <c r="AB161" s="47"/>
      <c r="AC161" s="47"/>
      <c r="AD161" s="47"/>
      <c r="AE161" s="47"/>
      <c r="AF161" s="47">
        <f t="shared" si="34"/>
        <v>1485</v>
      </c>
      <c r="AG161" s="47"/>
      <c r="AH161" s="47" t="str">
        <f>IFERROR(_xlfn.XLOOKUP(Table6[[#This Row],[Suburb]],Table5[Travel Surcharge],Table5[$$]),"")</f>
        <v/>
      </c>
      <c r="AI161" s="47"/>
      <c r="AJ161" s="47"/>
      <c r="AL161" t="str">
        <v>Birchmore</v>
      </c>
      <c r="AO161" t="s">
        <v>7557</v>
      </c>
      <c r="AP161" s="46">
        <v>8000</v>
      </c>
      <c r="AQ161" t="s">
        <v>7512</v>
      </c>
    </row>
    <row r="162" spans="1:43">
      <c r="A162" s="157" t="s">
        <v>592</v>
      </c>
      <c r="B162" s="157">
        <v>7</v>
      </c>
      <c r="C162" s="157" t="s">
        <v>8192</v>
      </c>
      <c r="D162" s="157" t="str">
        <f t="shared" si="19"/>
        <v>Alira Estate7</v>
      </c>
      <c r="E162" s="157" t="s">
        <v>8278</v>
      </c>
      <c r="F162" s="157" t="s">
        <v>595</v>
      </c>
      <c r="G162" s="157" t="s">
        <v>596</v>
      </c>
      <c r="H162" s="157" t="s">
        <v>8277</v>
      </c>
      <c r="I162" s="158" t="s">
        <v>598</v>
      </c>
      <c r="J162" s="47">
        <f t="shared" si="29"/>
        <v>3740</v>
      </c>
      <c r="K162" s="46" t="s">
        <v>7938</v>
      </c>
      <c r="L162" s="47"/>
      <c r="M162" s="47">
        <f t="shared" si="30"/>
        <v>1430.0000000000002</v>
      </c>
      <c r="N162" s="47"/>
      <c r="O162" s="47" t="s">
        <v>599</v>
      </c>
      <c r="P162" s="47"/>
      <c r="Q162" s="47"/>
      <c r="R162" s="47"/>
      <c r="S162" s="47"/>
      <c r="T162" s="47">
        <f t="shared" si="31"/>
        <v>780</v>
      </c>
      <c r="U162" s="47"/>
      <c r="V162" s="47"/>
      <c r="W162" s="47"/>
      <c r="X162" s="47">
        <f t="shared" si="32"/>
        <v>3000</v>
      </c>
      <c r="Y162" s="47"/>
      <c r="Z162" s="47">
        <f t="shared" si="35"/>
        <v>4620</v>
      </c>
      <c r="AA162" s="47">
        <f t="shared" si="33"/>
        <v>1400</v>
      </c>
      <c r="AB162" s="47"/>
      <c r="AC162" s="47"/>
      <c r="AD162" s="47"/>
      <c r="AE162" s="47"/>
      <c r="AF162" s="47">
        <f t="shared" si="34"/>
        <v>1485</v>
      </c>
      <c r="AG162" s="47"/>
      <c r="AH162" s="47" t="str">
        <f>IFERROR(_xlfn.XLOOKUP(Table6[[#This Row],[Suburb]],Table5[Travel Surcharge],Table5[$$]),"")</f>
        <v/>
      </c>
      <c r="AI162" s="47"/>
      <c r="AJ162" s="47"/>
      <c r="AL162" t="str">
        <v>Blanch Estate</v>
      </c>
      <c r="AO162" t="s">
        <v>7614</v>
      </c>
      <c r="AP162" s="46">
        <v>8000</v>
      </c>
      <c r="AQ162" t="s">
        <v>7512</v>
      </c>
    </row>
    <row r="163" spans="1:43">
      <c r="A163" s="374" t="s">
        <v>630</v>
      </c>
      <c r="B163" s="374">
        <v>1</v>
      </c>
      <c r="C163" s="374" t="s">
        <v>631</v>
      </c>
      <c r="D163" s="375" t="str">
        <f t="shared" si="19"/>
        <v>Alkyra Estate1</v>
      </c>
      <c r="E163" s="375" t="s">
        <v>632</v>
      </c>
      <c r="F163" s="375"/>
      <c r="G163" s="375" t="s">
        <v>633</v>
      </c>
      <c r="H163" s="375" t="s">
        <v>634</v>
      </c>
      <c r="I163" s="63" t="s">
        <v>635</v>
      </c>
      <c r="J163" s="47">
        <f t="shared" si="29"/>
        <v>3740</v>
      </c>
      <c r="K163" s="46" t="s">
        <v>10735</v>
      </c>
      <c r="L163" s="47"/>
      <c r="M163" s="47"/>
      <c r="N163" s="47"/>
      <c r="O163" s="47"/>
      <c r="P163" s="47" t="s">
        <v>636</v>
      </c>
      <c r="Q163" s="47"/>
      <c r="R163" s="47"/>
      <c r="S163" s="47" t="s">
        <v>637</v>
      </c>
      <c r="T163" s="47"/>
      <c r="U163" s="47"/>
      <c r="V163" s="47"/>
      <c r="W163" s="47"/>
      <c r="X163" s="47"/>
      <c r="Y163" s="47"/>
      <c r="Z163" s="47">
        <f t="shared" si="35"/>
        <v>4620</v>
      </c>
      <c r="AA163" s="47"/>
      <c r="AB163" s="47"/>
      <c r="AC163" s="47"/>
      <c r="AD163" s="47"/>
      <c r="AE163" s="47"/>
      <c r="AF163" s="47"/>
      <c r="AG163" s="47"/>
      <c r="AH163" s="47" t="str">
        <f>IFERROR(_xlfn.XLOOKUP(Table6[[#This Row],[Suburb]],Table5[Travel Surcharge],Table5[$$]),"")</f>
        <v/>
      </c>
      <c r="AI163" s="47"/>
      <c r="AJ163" s="47"/>
      <c r="AL163" t="str">
        <v>Bloom - The New Estate</v>
      </c>
      <c r="AO163" t="s">
        <v>296</v>
      </c>
      <c r="AP163" s="46">
        <v>8000</v>
      </c>
      <c r="AQ163" t="s">
        <v>7512</v>
      </c>
    </row>
    <row r="164" spans="1:43">
      <c r="A164" s="374" t="s">
        <v>630</v>
      </c>
      <c r="B164" s="374">
        <v>2</v>
      </c>
      <c r="C164" s="374" t="s">
        <v>631</v>
      </c>
      <c r="D164" s="375" t="str">
        <f t="shared" si="19"/>
        <v>Alkyra Estate2</v>
      </c>
      <c r="E164" s="375" t="s">
        <v>638</v>
      </c>
      <c r="F164" s="375"/>
      <c r="G164" s="375" t="s">
        <v>633</v>
      </c>
      <c r="H164" s="375" t="s">
        <v>634</v>
      </c>
      <c r="I164" s="63" t="s">
        <v>635</v>
      </c>
      <c r="J164" s="47">
        <f t="shared" si="29"/>
        <v>3740</v>
      </c>
      <c r="K164" s="46" t="s">
        <v>10735</v>
      </c>
      <c r="L164" s="47"/>
      <c r="M164" s="47"/>
      <c r="N164" s="47"/>
      <c r="O164" s="47"/>
      <c r="P164" s="47" t="s">
        <v>636</v>
      </c>
      <c r="Q164" s="47"/>
      <c r="R164" s="47"/>
      <c r="S164" s="47" t="s">
        <v>637</v>
      </c>
      <c r="T164" s="47"/>
      <c r="U164" s="47"/>
      <c r="V164" s="47"/>
      <c r="W164" s="47"/>
      <c r="X164" s="47"/>
      <c r="Y164" s="47"/>
      <c r="Z164" s="47">
        <f t="shared" si="35"/>
        <v>4620</v>
      </c>
      <c r="AA164" s="47"/>
      <c r="AB164" s="47"/>
      <c r="AC164" s="47"/>
      <c r="AD164" s="47"/>
      <c r="AE164" s="47"/>
      <c r="AF164" s="47"/>
      <c r="AG164" s="47"/>
      <c r="AH164" s="47" t="str">
        <f>IFERROR(_xlfn.XLOOKUP(Table6[[#This Row],[Suburb]],Table5[Travel Surcharge],Table5[$$]),"")</f>
        <v/>
      </c>
      <c r="AI164" s="47"/>
      <c r="AJ164" s="47"/>
      <c r="AL164" t="str">
        <v>Bloom Estate</v>
      </c>
      <c r="AO164" t="s">
        <v>7625</v>
      </c>
      <c r="AP164" s="46">
        <v>8000</v>
      </c>
      <c r="AQ164" t="s">
        <v>7512</v>
      </c>
    </row>
    <row r="165" spans="1:43">
      <c r="A165" s="374" t="s">
        <v>630</v>
      </c>
      <c r="B165" s="374">
        <v>4</v>
      </c>
      <c r="C165" s="374" t="s">
        <v>631</v>
      </c>
      <c r="D165" s="375" t="str">
        <f t="shared" si="19"/>
        <v>Alkyra Estate4</v>
      </c>
      <c r="E165" s="375" t="s">
        <v>10229</v>
      </c>
      <c r="F165" s="375"/>
      <c r="G165" s="375" t="s">
        <v>633</v>
      </c>
      <c r="H165" s="375" t="s">
        <v>634</v>
      </c>
      <c r="I165" s="63" t="s">
        <v>635</v>
      </c>
      <c r="J165" s="47">
        <v>3740</v>
      </c>
      <c r="K165" s="46" t="s">
        <v>10735</v>
      </c>
      <c r="L165" s="47"/>
      <c r="M165" s="47"/>
      <c r="N165" s="47"/>
      <c r="O165" s="47"/>
      <c r="P165" s="47" t="s">
        <v>636</v>
      </c>
      <c r="Q165" s="47"/>
      <c r="R165" s="47"/>
      <c r="S165" s="47" t="s">
        <v>637</v>
      </c>
      <c r="T165" s="47"/>
      <c r="U165" s="47"/>
      <c r="V165" s="47"/>
      <c r="W165" s="47"/>
      <c r="X165" s="47"/>
      <c r="Y165" s="47"/>
      <c r="Z165" s="47">
        <v>4620</v>
      </c>
      <c r="AA165" s="47"/>
      <c r="AB165" s="47"/>
      <c r="AC165" s="47"/>
      <c r="AD165" s="47"/>
      <c r="AE165" s="47"/>
      <c r="AF165" s="47"/>
      <c r="AG165" s="47"/>
      <c r="AH165" s="47" t="s">
        <v>9976</v>
      </c>
      <c r="AI165" s="47"/>
      <c r="AJ165" s="47"/>
      <c r="AL165" t="str">
        <v>Bloomdale Estate</v>
      </c>
      <c r="AO165" t="s">
        <v>7615</v>
      </c>
      <c r="AP165" s="46">
        <v>8000</v>
      </c>
      <c r="AQ165" t="s">
        <v>7512</v>
      </c>
    </row>
    <row r="166" spans="1:43">
      <c r="A166" s="374" t="s">
        <v>639</v>
      </c>
      <c r="B166" s="374">
        <v>1</v>
      </c>
      <c r="C166" s="374" t="s">
        <v>385</v>
      </c>
      <c r="D166" s="375" t="str">
        <f t="shared" si="19"/>
        <v>Allanvale Estate1</v>
      </c>
      <c r="E166" s="375" t="s">
        <v>632</v>
      </c>
      <c r="F166" s="375" t="s">
        <v>457</v>
      </c>
      <c r="G166" s="375"/>
      <c r="H166" s="375" t="s">
        <v>640</v>
      </c>
      <c r="I166" s="63"/>
      <c r="J166" s="47">
        <f t="shared" si="29"/>
        <v>3740</v>
      </c>
      <c r="K166" s="46" t="s">
        <v>10735</v>
      </c>
      <c r="L166" s="47">
        <f>L$7</f>
        <v>1210</v>
      </c>
      <c r="M166" s="47"/>
      <c r="N166" s="47"/>
      <c r="O166" s="47"/>
      <c r="P166" s="47"/>
      <c r="Q166" s="47">
        <f>Q$2</f>
        <v>0</v>
      </c>
      <c r="R166" s="47"/>
      <c r="S166" s="47"/>
      <c r="T166" s="47" t="s">
        <v>641</v>
      </c>
      <c r="U166" s="47"/>
      <c r="V166" s="47"/>
      <c r="W166" s="47"/>
      <c r="X166" s="47"/>
      <c r="Y166" s="47"/>
      <c r="Z166" s="47">
        <f t="shared" si="35"/>
        <v>4620</v>
      </c>
      <c r="AA166" s="47">
        <f>AA$7</f>
        <v>1400</v>
      </c>
      <c r="AB166" s="47"/>
      <c r="AC166" s="47"/>
      <c r="AD166" s="47"/>
      <c r="AE166" s="47"/>
      <c r="AF166" s="47">
        <f>AF$7</f>
        <v>1485</v>
      </c>
      <c r="AG166" s="47"/>
      <c r="AH166" s="47" t="str">
        <f>IFERROR(_xlfn.XLOOKUP(Table6[[#This Row],[Suburb]],Table5[Travel Surcharge],Table5[$$]),"")</f>
        <v/>
      </c>
      <c r="AI166" s="47"/>
      <c r="AJ166" s="47"/>
      <c r="AL166" t="str">
        <v>Blue Horizons Estate</v>
      </c>
    </row>
    <row r="167" spans="1:43">
      <c r="A167" s="374" t="s">
        <v>639</v>
      </c>
      <c r="B167" s="374">
        <v>2</v>
      </c>
      <c r="C167" s="374" t="s">
        <v>385</v>
      </c>
      <c r="D167" s="375" t="str">
        <f t="shared" si="19"/>
        <v>Allanvale Estate2</v>
      </c>
      <c r="E167" s="375" t="s">
        <v>642</v>
      </c>
      <c r="F167" s="375" t="s">
        <v>457</v>
      </c>
      <c r="G167" s="375"/>
      <c r="H167" s="375" t="s">
        <v>640</v>
      </c>
      <c r="I167" s="63"/>
      <c r="J167" s="47">
        <f t="shared" si="29"/>
        <v>3740</v>
      </c>
      <c r="K167" s="46" t="s">
        <v>10735</v>
      </c>
      <c r="L167" s="47">
        <f>L$7</f>
        <v>1210</v>
      </c>
      <c r="M167" s="47"/>
      <c r="N167" s="47"/>
      <c r="O167" s="47"/>
      <c r="P167" s="47"/>
      <c r="Q167" s="47">
        <f>Q$2</f>
        <v>0</v>
      </c>
      <c r="R167" s="47"/>
      <c r="S167" s="47"/>
      <c r="T167" s="47" t="s">
        <v>641</v>
      </c>
      <c r="U167" s="47"/>
      <c r="V167" s="47"/>
      <c r="W167" s="47"/>
      <c r="X167" s="47"/>
      <c r="Y167" s="47"/>
      <c r="Z167" s="47">
        <f t="shared" si="35"/>
        <v>4620</v>
      </c>
      <c r="AA167" s="47">
        <f>AA$7</f>
        <v>1400</v>
      </c>
      <c r="AB167" s="47"/>
      <c r="AC167" s="47"/>
      <c r="AD167" s="47"/>
      <c r="AE167" s="47"/>
      <c r="AF167" s="47">
        <f>AF$7</f>
        <v>1485</v>
      </c>
      <c r="AG167" s="47"/>
      <c r="AH167" s="47" t="str">
        <f>IFERROR(_xlfn.XLOOKUP(Table6[[#This Row],[Suburb]],Table5[Travel Surcharge],Table5[$$]),"")</f>
        <v/>
      </c>
      <c r="AI167" s="47"/>
      <c r="AJ167" s="47"/>
      <c r="AL167" t="str">
        <v>Bluestone Estate</v>
      </c>
    </row>
    <row r="168" spans="1:43">
      <c r="A168" s="374" t="s">
        <v>639</v>
      </c>
      <c r="B168" s="374">
        <v>3</v>
      </c>
      <c r="C168" s="374" t="s">
        <v>385</v>
      </c>
      <c r="D168" s="375" t="str">
        <f t="shared" si="19"/>
        <v>Allanvale Estate3</v>
      </c>
      <c r="E168" s="375" t="s">
        <v>643</v>
      </c>
      <c r="F168" s="375" t="s">
        <v>457</v>
      </c>
      <c r="G168" s="375"/>
      <c r="H168" s="375" t="s">
        <v>640</v>
      </c>
      <c r="I168" s="63"/>
      <c r="J168" s="47">
        <f t="shared" si="29"/>
        <v>3740</v>
      </c>
      <c r="K168" s="46" t="s">
        <v>10735</v>
      </c>
      <c r="L168" s="47">
        <f>L$7</f>
        <v>1210</v>
      </c>
      <c r="M168" s="47"/>
      <c r="N168" s="47"/>
      <c r="O168" s="47"/>
      <c r="P168" s="47"/>
      <c r="Q168" s="47">
        <f>Q$2</f>
        <v>0</v>
      </c>
      <c r="R168" s="47"/>
      <c r="S168" s="47"/>
      <c r="T168" s="47" t="s">
        <v>641</v>
      </c>
      <c r="U168" s="47"/>
      <c r="V168" s="47"/>
      <c r="W168" s="47"/>
      <c r="X168" s="47"/>
      <c r="Y168" s="47"/>
      <c r="Z168" s="47">
        <f t="shared" si="35"/>
        <v>4620</v>
      </c>
      <c r="AA168" s="47">
        <f>AA$7</f>
        <v>1400</v>
      </c>
      <c r="AB168" s="47"/>
      <c r="AC168" s="47"/>
      <c r="AD168" s="47"/>
      <c r="AE168" s="47"/>
      <c r="AF168" s="47">
        <f>AF$7</f>
        <v>1485</v>
      </c>
      <c r="AG168" s="47"/>
      <c r="AH168" s="47" t="str">
        <f>IFERROR(_xlfn.XLOOKUP(Table6[[#This Row],[Suburb]],Table5[Travel Surcharge],Table5[$$]),"")</f>
        <v/>
      </c>
      <c r="AI168" s="47"/>
      <c r="AJ168" s="47"/>
      <c r="AL168" t="str">
        <v>Bluestone Views</v>
      </c>
    </row>
    <row r="169" spans="1:43">
      <c r="A169" s="374" t="s">
        <v>639</v>
      </c>
      <c r="B169" s="374">
        <v>4</v>
      </c>
      <c r="C169" s="374" t="s">
        <v>385</v>
      </c>
      <c r="D169" s="375" t="str">
        <f t="shared" ref="D169:D236" si="36">CONCATENATE(A169,B169)</f>
        <v>Allanvale Estate4</v>
      </c>
      <c r="E169" s="375" t="s">
        <v>644</v>
      </c>
      <c r="F169" s="375" t="s">
        <v>457</v>
      </c>
      <c r="G169" s="375"/>
      <c r="H169" s="375" t="s">
        <v>640</v>
      </c>
      <c r="I169" s="63"/>
      <c r="J169" s="47">
        <f t="shared" si="29"/>
        <v>3740</v>
      </c>
      <c r="K169" s="46" t="s">
        <v>10735</v>
      </c>
      <c r="L169" s="47">
        <f>L$7</f>
        <v>1210</v>
      </c>
      <c r="M169" s="47"/>
      <c r="N169" s="47"/>
      <c r="O169" s="47"/>
      <c r="P169" s="47"/>
      <c r="Q169" s="47">
        <f>Q$2</f>
        <v>0</v>
      </c>
      <c r="R169" s="47"/>
      <c r="S169" s="47"/>
      <c r="T169" s="47" t="s">
        <v>641</v>
      </c>
      <c r="U169" s="47"/>
      <c r="V169" s="47"/>
      <c r="W169" s="47"/>
      <c r="X169" s="47"/>
      <c r="Y169" s="47"/>
      <c r="Z169" s="47">
        <f t="shared" si="35"/>
        <v>4620</v>
      </c>
      <c r="AA169" s="47">
        <f>AA$7</f>
        <v>1400</v>
      </c>
      <c r="AB169" s="47"/>
      <c r="AC169" s="47"/>
      <c r="AD169" s="47"/>
      <c r="AE169" s="47"/>
      <c r="AF169" s="47">
        <f>AF$7</f>
        <v>1485</v>
      </c>
      <c r="AG169" s="47"/>
      <c r="AH169" s="47" t="str">
        <f>IFERROR(_xlfn.XLOOKUP(Table6[[#This Row],[Suburb]],Table5[Travel Surcharge],Table5[$$]),"")</f>
        <v/>
      </c>
      <c r="AI169" s="47"/>
      <c r="AJ169" s="47"/>
      <c r="AL169" t="str">
        <v>Boardwalk Estate</v>
      </c>
    </row>
    <row r="170" spans="1:43">
      <c r="A170" s="374" t="s">
        <v>645</v>
      </c>
      <c r="B170" s="374">
        <v>1</v>
      </c>
      <c r="C170" s="374" t="s">
        <v>293</v>
      </c>
      <c r="D170" s="375" t="str">
        <f t="shared" si="36"/>
        <v>Allara Estate1</v>
      </c>
      <c r="E170" s="375" t="s">
        <v>646</v>
      </c>
      <c r="F170" s="375"/>
      <c r="G170" s="375" t="s">
        <v>378</v>
      </c>
      <c r="H170" s="375" t="s">
        <v>379</v>
      </c>
      <c r="I170" s="63" t="s">
        <v>380</v>
      </c>
      <c r="J170" s="47"/>
      <c r="K170" s="46" t="s">
        <v>10735</v>
      </c>
      <c r="L170" s="47"/>
      <c r="M170" s="47"/>
      <c r="N170" s="47" t="s">
        <v>647</v>
      </c>
      <c r="O170" s="47">
        <f>O$7</f>
        <v>4950</v>
      </c>
      <c r="P170" s="47" t="s">
        <v>8788</v>
      </c>
      <c r="Q170" s="47">
        <f>Q$2</f>
        <v>0</v>
      </c>
      <c r="R170" s="47"/>
      <c r="S170" s="47"/>
      <c r="T170" s="47"/>
      <c r="U170" s="47"/>
      <c r="V170" s="47"/>
      <c r="W170" s="47"/>
      <c r="X170" s="47"/>
      <c r="Y170" s="47"/>
      <c r="Z170" s="47">
        <f t="shared" si="35"/>
        <v>4620</v>
      </c>
      <c r="AA170" s="47"/>
      <c r="AB170" s="47"/>
      <c r="AC170" s="47"/>
      <c r="AD170" s="47"/>
      <c r="AE170" s="47"/>
      <c r="AF170" s="47"/>
      <c r="AG170" s="47"/>
      <c r="AH170" s="47">
        <f>IFERROR(_xlfn.XLOOKUP(Table6[[#This Row],[Suburb]],Table5[Travel Surcharge],Table5[$$]),"")</f>
        <v>8000</v>
      </c>
      <c r="AI170" s="47"/>
      <c r="AJ170" s="47">
        <f>AJ$7</f>
        <v>4400</v>
      </c>
      <c r="AL170" t="str">
        <v>Bonshaw Run</v>
      </c>
    </row>
    <row r="171" spans="1:43">
      <c r="A171" s="374" t="s">
        <v>9693</v>
      </c>
      <c r="B171" s="374">
        <v>1</v>
      </c>
      <c r="C171" s="374" t="s">
        <v>9694</v>
      </c>
      <c r="D171" s="375" t="str">
        <f t="shared" si="36"/>
        <v>Allegra1</v>
      </c>
      <c r="E171" s="375" t="s">
        <v>9695</v>
      </c>
      <c r="F171" s="375" t="s">
        <v>9696</v>
      </c>
      <c r="G171" s="375"/>
      <c r="H171" s="375"/>
      <c r="I171" s="63"/>
      <c r="J171" s="47">
        <v>3740</v>
      </c>
      <c r="K171" s="46" t="s">
        <v>10735</v>
      </c>
      <c r="L171" s="47"/>
      <c r="M171" s="47"/>
      <c r="N171" s="47"/>
      <c r="O171" s="47">
        <f>O$7</f>
        <v>4950</v>
      </c>
      <c r="P171" s="47"/>
      <c r="Q171" s="47"/>
      <c r="R171" s="47"/>
      <c r="S171" s="47">
        <f>S$2</f>
        <v>590</v>
      </c>
      <c r="T171" s="47"/>
      <c r="U171" s="47"/>
      <c r="V171" s="47"/>
      <c r="W171" s="47"/>
      <c r="X171" s="47"/>
      <c r="Y171" s="47"/>
      <c r="Z171" s="47">
        <f t="shared" si="35"/>
        <v>4620</v>
      </c>
      <c r="AA171" s="47"/>
      <c r="AB171" s="47"/>
      <c r="AC171" s="47"/>
      <c r="AD171" s="47"/>
      <c r="AE171" s="47"/>
      <c r="AF171" s="47"/>
      <c r="AG171" s="47"/>
      <c r="AH171" s="47" t="str">
        <f>IFERROR(_xlfn.XLOOKUP(Table6[[#This Row],[Suburb]],Table5[Travel Surcharge],Table5[$$]),"")</f>
        <v/>
      </c>
      <c r="AI171" s="47"/>
      <c r="AJ171" s="47"/>
      <c r="AL171" t="str">
        <v>Botania</v>
      </c>
    </row>
    <row r="172" spans="1:43">
      <c r="A172" s="374" t="s">
        <v>9693</v>
      </c>
      <c r="B172" s="374">
        <v>2</v>
      </c>
      <c r="C172" s="374" t="s">
        <v>9694</v>
      </c>
      <c r="D172" s="375" t="str">
        <f t="shared" si="36"/>
        <v>Allegra2</v>
      </c>
      <c r="E172" s="375" t="s">
        <v>9695</v>
      </c>
      <c r="F172" s="375" t="s">
        <v>9696</v>
      </c>
      <c r="G172" s="375"/>
      <c r="H172" s="375"/>
      <c r="I172" s="63"/>
      <c r="J172" s="47">
        <v>3740</v>
      </c>
      <c r="K172" s="46" t="s">
        <v>10735</v>
      </c>
      <c r="L172" s="47"/>
      <c r="M172" s="47"/>
      <c r="N172" s="47"/>
      <c r="O172" s="47">
        <v>4950</v>
      </c>
      <c r="P172" s="47"/>
      <c r="Q172" s="47"/>
      <c r="R172" s="47"/>
      <c r="S172" s="47">
        <v>590</v>
      </c>
      <c r="T172" s="47"/>
      <c r="U172" s="47"/>
      <c r="V172" s="47"/>
      <c r="W172" s="47"/>
      <c r="X172" s="47"/>
      <c r="Y172" s="47"/>
      <c r="Z172" s="47">
        <v>4620</v>
      </c>
      <c r="AA172" s="47"/>
      <c r="AB172" s="47"/>
      <c r="AC172" s="47"/>
      <c r="AD172" s="47"/>
      <c r="AE172" s="47"/>
      <c r="AF172" s="47"/>
      <c r="AG172" s="47"/>
      <c r="AH172" s="47" t="s">
        <v>9976</v>
      </c>
      <c r="AI172" s="47"/>
      <c r="AJ172" s="47"/>
      <c r="AL172" t="str">
        <v>Botanic Ridge</v>
      </c>
    </row>
    <row r="173" spans="1:43">
      <c r="A173" s="157" t="s">
        <v>9804</v>
      </c>
      <c r="B173" s="157">
        <v>1</v>
      </c>
      <c r="C173" s="157" t="s">
        <v>9805</v>
      </c>
      <c r="D173" s="157" t="str">
        <f t="shared" si="36"/>
        <v>Allora Avenue1</v>
      </c>
      <c r="E173" s="157" t="s">
        <v>9806</v>
      </c>
      <c r="F173" s="157"/>
      <c r="G173" s="157" t="s">
        <v>9807</v>
      </c>
      <c r="H173" s="157"/>
      <c r="I173" s="158" t="s">
        <v>9808</v>
      </c>
      <c r="J173" s="159"/>
      <c r="K173" s="46" t="s">
        <v>10735</v>
      </c>
      <c r="L173" s="159"/>
      <c r="M173" s="159" t="s">
        <v>7640</v>
      </c>
      <c r="N173" s="159"/>
      <c r="O173" s="159"/>
      <c r="P173" s="159"/>
      <c r="Q173" s="159">
        <v>0</v>
      </c>
      <c r="R173" s="159">
        <v>540</v>
      </c>
      <c r="S173" s="159"/>
      <c r="T173" s="159"/>
      <c r="U173" s="159"/>
      <c r="V173" s="159"/>
      <c r="W173" s="159"/>
      <c r="X173" s="159"/>
      <c r="Y173" s="159"/>
      <c r="Z173" s="159">
        <v>4620</v>
      </c>
      <c r="AA173" s="159"/>
      <c r="AB173" s="159"/>
      <c r="AC173" s="159"/>
      <c r="AD173" s="159" t="s">
        <v>1</v>
      </c>
      <c r="AE173" s="159"/>
      <c r="AF173" s="159">
        <v>1485</v>
      </c>
      <c r="AG173" s="159"/>
      <c r="AH173" s="47" t="str">
        <f>IFERROR(_xlfn.XLOOKUP(Table6[[#This Row],[Suburb]],Table5[Travel Surcharge],Table5[$$]),"")</f>
        <v/>
      </c>
      <c r="AI173" s="159"/>
      <c r="AJ173" s="159"/>
      <c r="AL173" t="str">
        <v>Botanical Estate</v>
      </c>
    </row>
    <row r="174" spans="1:43">
      <c r="A174" s="374" t="s">
        <v>648</v>
      </c>
      <c r="B174" s="374">
        <v>12</v>
      </c>
      <c r="C174" s="374" t="s">
        <v>538</v>
      </c>
      <c r="D174" s="375" t="str">
        <f t="shared" si="36"/>
        <v>Allura Estate12</v>
      </c>
      <c r="E174" s="375" t="s">
        <v>649</v>
      </c>
      <c r="F174" s="375" t="s">
        <v>650</v>
      </c>
      <c r="G174" s="375" t="s">
        <v>651</v>
      </c>
      <c r="H174" s="375" t="s">
        <v>652</v>
      </c>
      <c r="I174" s="63" t="s">
        <v>653</v>
      </c>
      <c r="J174" s="47">
        <f t="shared" ref="J174:J180" si="37">J$7</f>
        <v>3740</v>
      </c>
      <c r="K174" s="46" t="s">
        <v>10735</v>
      </c>
      <c r="L174" s="47"/>
      <c r="M174" s="47">
        <f t="shared" ref="M174:M180" si="38">M$7</f>
        <v>1430.0000000000002</v>
      </c>
      <c r="N174" s="47"/>
      <c r="O174" s="47"/>
      <c r="P174" s="47"/>
      <c r="Q174" s="47"/>
      <c r="R174" s="47"/>
      <c r="S174" s="47" t="s">
        <v>463</v>
      </c>
      <c r="T174" s="47"/>
      <c r="U174" s="47"/>
      <c r="V174" s="47" t="s">
        <v>654</v>
      </c>
      <c r="W174" s="47"/>
      <c r="X174" s="47"/>
      <c r="Y174" s="47"/>
      <c r="Z174" s="47">
        <f t="shared" ref="Z174:Z206" si="39">Z$7</f>
        <v>4620</v>
      </c>
      <c r="AA174" s="47"/>
      <c r="AB174" s="47"/>
      <c r="AC174" s="47"/>
      <c r="AD174" s="47" t="s">
        <v>1</v>
      </c>
      <c r="AE174" s="47"/>
      <c r="AF174" s="47"/>
      <c r="AG174" s="47"/>
      <c r="AH174" s="47" t="str">
        <f>IFERROR(_xlfn.XLOOKUP(Table6[[#This Row],[Suburb]],Table5[Travel Surcharge],Table5[$$]),"")</f>
        <v/>
      </c>
      <c r="AI174" s="47"/>
      <c r="AJ174" s="47"/>
      <c r="AL174" t="str">
        <v>Bowery</v>
      </c>
    </row>
    <row r="175" spans="1:43">
      <c r="A175" s="374" t="s">
        <v>648</v>
      </c>
      <c r="B175" s="374">
        <v>16</v>
      </c>
      <c r="C175" s="374" t="s">
        <v>538</v>
      </c>
      <c r="D175" s="375" t="str">
        <f t="shared" si="36"/>
        <v>Allura Estate16</v>
      </c>
      <c r="E175" s="375" t="s">
        <v>655</v>
      </c>
      <c r="F175" s="375" t="s">
        <v>650</v>
      </c>
      <c r="G175" s="375" t="s">
        <v>651</v>
      </c>
      <c r="H175" s="375" t="s">
        <v>652</v>
      </c>
      <c r="I175" s="63" t="s">
        <v>653</v>
      </c>
      <c r="J175" s="47">
        <f t="shared" si="37"/>
        <v>3740</v>
      </c>
      <c r="K175" s="46" t="s">
        <v>10735</v>
      </c>
      <c r="L175" s="47"/>
      <c r="M175" s="47">
        <f t="shared" si="38"/>
        <v>1430.0000000000002</v>
      </c>
      <c r="N175" s="47"/>
      <c r="O175" s="47"/>
      <c r="P175" s="47"/>
      <c r="Q175" s="47"/>
      <c r="R175" s="47"/>
      <c r="S175" s="47" t="s">
        <v>463</v>
      </c>
      <c r="T175" s="47"/>
      <c r="U175" s="47"/>
      <c r="V175" s="47" t="s">
        <v>654</v>
      </c>
      <c r="W175" s="47"/>
      <c r="X175" s="47"/>
      <c r="Y175" s="47"/>
      <c r="Z175" s="47">
        <f t="shared" si="39"/>
        <v>4620</v>
      </c>
      <c r="AA175" s="47"/>
      <c r="AB175" s="47"/>
      <c r="AC175" s="47"/>
      <c r="AD175" s="47" t="s">
        <v>1</v>
      </c>
      <c r="AE175" s="47"/>
      <c r="AF175" s="47"/>
      <c r="AG175" s="47"/>
      <c r="AH175" s="47" t="str">
        <f>IFERROR(_xlfn.XLOOKUP(Table6[[#This Row],[Suburb]],Table5[Travel Surcharge],Table5[$$]),"")</f>
        <v/>
      </c>
      <c r="AI175" s="47"/>
      <c r="AJ175" s="47"/>
      <c r="AL175" t="str">
        <v>Brandy Creek</v>
      </c>
    </row>
    <row r="176" spans="1:43">
      <c r="A176" s="374" t="s">
        <v>648</v>
      </c>
      <c r="B176" s="374">
        <v>17</v>
      </c>
      <c r="C176" s="374" t="s">
        <v>538</v>
      </c>
      <c r="D176" s="375" t="str">
        <f t="shared" si="36"/>
        <v>Allura Estate17</v>
      </c>
      <c r="E176" s="375" t="s">
        <v>656</v>
      </c>
      <c r="F176" s="375" t="s">
        <v>650</v>
      </c>
      <c r="G176" s="375" t="s">
        <v>651</v>
      </c>
      <c r="H176" s="375" t="s">
        <v>652</v>
      </c>
      <c r="I176" s="63" t="s">
        <v>653</v>
      </c>
      <c r="J176" s="47">
        <f t="shared" si="37"/>
        <v>3740</v>
      </c>
      <c r="K176" s="46" t="s">
        <v>10735</v>
      </c>
      <c r="L176" s="47"/>
      <c r="M176" s="47">
        <f t="shared" si="38"/>
        <v>1430.0000000000002</v>
      </c>
      <c r="N176" s="47"/>
      <c r="O176" s="47"/>
      <c r="P176" s="47"/>
      <c r="Q176" s="47"/>
      <c r="R176" s="47"/>
      <c r="S176" s="47" t="s">
        <v>463</v>
      </c>
      <c r="T176" s="47"/>
      <c r="U176" s="47"/>
      <c r="V176" s="47" t="s">
        <v>654</v>
      </c>
      <c r="W176" s="47"/>
      <c r="X176" s="47"/>
      <c r="Y176" s="47"/>
      <c r="Z176" s="47">
        <f t="shared" si="39"/>
        <v>4620</v>
      </c>
      <c r="AA176" s="47"/>
      <c r="AB176" s="47"/>
      <c r="AC176" s="47"/>
      <c r="AD176" s="47" t="s">
        <v>1</v>
      </c>
      <c r="AE176" s="47"/>
      <c r="AF176" s="47"/>
      <c r="AG176" s="47"/>
      <c r="AH176" s="47" t="str">
        <f>IFERROR(_xlfn.XLOOKUP(Table6[[#This Row],[Suburb]],Table5[Travel Surcharge],Table5[$$]),"")</f>
        <v/>
      </c>
      <c r="AI176" s="47"/>
      <c r="AJ176" s="47"/>
      <c r="AL176" t="str">
        <v>Brendan</v>
      </c>
    </row>
    <row r="177" spans="1:38">
      <c r="A177" s="374" t="s">
        <v>648</v>
      </c>
      <c r="B177" s="374">
        <v>26</v>
      </c>
      <c r="C177" s="374" t="s">
        <v>538</v>
      </c>
      <c r="D177" s="375" t="str">
        <f t="shared" si="36"/>
        <v>Allura Estate26</v>
      </c>
      <c r="E177" s="375" t="s">
        <v>657</v>
      </c>
      <c r="F177" s="375" t="s">
        <v>650</v>
      </c>
      <c r="G177" s="375" t="s">
        <v>651</v>
      </c>
      <c r="H177" s="375" t="s">
        <v>652</v>
      </c>
      <c r="I177" s="63" t="s">
        <v>653</v>
      </c>
      <c r="J177" s="47">
        <f t="shared" si="37"/>
        <v>3740</v>
      </c>
      <c r="K177" s="46" t="s">
        <v>10735</v>
      </c>
      <c r="L177" s="47"/>
      <c r="M177" s="47">
        <f t="shared" si="38"/>
        <v>1430.0000000000002</v>
      </c>
      <c r="N177" s="47"/>
      <c r="O177" s="47"/>
      <c r="P177" s="47"/>
      <c r="Q177" s="47"/>
      <c r="R177" s="47"/>
      <c r="S177" s="47" t="s">
        <v>463</v>
      </c>
      <c r="T177" s="47"/>
      <c r="U177" s="47"/>
      <c r="V177" s="47" t="s">
        <v>654</v>
      </c>
      <c r="W177" s="47"/>
      <c r="X177" s="47"/>
      <c r="Y177" s="47"/>
      <c r="Z177" s="47">
        <f t="shared" si="39"/>
        <v>4620</v>
      </c>
      <c r="AA177" s="47"/>
      <c r="AB177" s="47"/>
      <c r="AC177" s="47"/>
      <c r="AD177" s="47" t="s">
        <v>1</v>
      </c>
      <c r="AE177" s="47"/>
      <c r="AF177" s="47"/>
      <c r="AG177" s="47"/>
      <c r="AH177" s="47" t="str">
        <f>IFERROR(_xlfn.XLOOKUP(Table6[[#This Row],[Suburb]],Table5[Travel Surcharge],Table5[$$]),"")</f>
        <v/>
      </c>
      <c r="AI177" s="47"/>
      <c r="AJ177" s="47"/>
      <c r="AL177" t="str">
        <v>Bridgefield Estate</v>
      </c>
    </row>
    <row r="178" spans="1:38">
      <c r="A178" s="374" t="s">
        <v>648</v>
      </c>
      <c r="B178" s="374">
        <v>37</v>
      </c>
      <c r="C178" s="374" t="s">
        <v>538</v>
      </c>
      <c r="D178" s="375" t="str">
        <f t="shared" si="36"/>
        <v>Allura Estate37</v>
      </c>
      <c r="E178" s="375" t="s">
        <v>658</v>
      </c>
      <c r="F178" s="375" t="s">
        <v>650</v>
      </c>
      <c r="G178" s="375" t="s">
        <v>651</v>
      </c>
      <c r="H178" s="375" t="s">
        <v>652</v>
      </c>
      <c r="I178" s="63" t="s">
        <v>653</v>
      </c>
      <c r="J178" s="47">
        <f t="shared" si="37"/>
        <v>3740</v>
      </c>
      <c r="K178" s="46" t="s">
        <v>10735</v>
      </c>
      <c r="L178" s="47"/>
      <c r="M178" s="47">
        <f t="shared" si="38"/>
        <v>1430.0000000000002</v>
      </c>
      <c r="N178" s="47"/>
      <c r="O178" s="47"/>
      <c r="P178" s="47"/>
      <c r="Q178" s="47"/>
      <c r="R178" s="47"/>
      <c r="S178" s="47" t="s">
        <v>463</v>
      </c>
      <c r="T178" s="47"/>
      <c r="U178" s="47"/>
      <c r="V178" s="47" t="s">
        <v>654</v>
      </c>
      <c r="W178" s="47"/>
      <c r="X178" s="47"/>
      <c r="Y178" s="47"/>
      <c r="Z178" s="47">
        <f t="shared" si="39"/>
        <v>4620</v>
      </c>
      <c r="AA178" s="47"/>
      <c r="AB178" s="47"/>
      <c r="AC178" s="47"/>
      <c r="AD178" s="47" t="s">
        <v>1</v>
      </c>
      <c r="AE178" s="47"/>
      <c r="AF178" s="47"/>
      <c r="AG178" s="47"/>
      <c r="AH178" s="47" t="str">
        <f>IFERROR(_xlfn.XLOOKUP(Table6[[#This Row],[Suburb]],Table5[Travel Surcharge],Table5[$$]),"")</f>
        <v/>
      </c>
      <c r="AI178" s="47"/>
      <c r="AJ178" s="47"/>
      <c r="AL178" t="str">
        <v>Broadstead</v>
      </c>
    </row>
    <row r="179" spans="1:38">
      <c r="A179" s="374" t="s">
        <v>648</v>
      </c>
      <c r="B179" s="374">
        <v>39</v>
      </c>
      <c r="C179" s="374" t="s">
        <v>538</v>
      </c>
      <c r="D179" s="375" t="str">
        <f t="shared" si="36"/>
        <v>Allura Estate39</v>
      </c>
      <c r="E179" s="375" t="s">
        <v>659</v>
      </c>
      <c r="F179" s="375" t="s">
        <v>650</v>
      </c>
      <c r="G179" s="375" t="s">
        <v>651</v>
      </c>
      <c r="H179" s="375" t="s">
        <v>652</v>
      </c>
      <c r="I179" s="63" t="s">
        <v>653</v>
      </c>
      <c r="J179" s="47">
        <f t="shared" si="37"/>
        <v>3740</v>
      </c>
      <c r="K179" s="46" t="s">
        <v>10735</v>
      </c>
      <c r="L179" s="47"/>
      <c r="M179" s="47">
        <f t="shared" si="38"/>
        <v>1430.0000000000002</v>
      </c>
      <c r="N179" s="47"/>
      <c r="O179" s="47"/>
      <c r="P179" s="47"/>
      <c r="Q179" s="47"/>
      <c r="R179" s="47"/>
      <c r="S179" s="47" t="s">
        <v>463</v>
      </c>
      <c r="T179" s="47"/>
      <c r="U179" s="47"/>
      <c r="V179" s="47" t="s">
        <v>654</v>
      </c>
      <c r="W179" s="47"/>
      <c r="X179" s="47"/>
      <c r="Y179" s="47"/>
      <c r="Z179" s="47">
        <f t="shared" si="39"/>
        <v>4620</v>
      </c>
      <c r="AA179" s="47"/>
      <c r="AB179" s="47"/>
      <c r="AC179" s="47"/>
      <c r="AD179" s="47" t="s">
        <v>1</v>
      </c>
      <c r="AE179" s="47"/>
      <c r="AF179" s="47"/>
      <c r="AG179" s="47"/>
      <c r="AH179" s="47" t="str">
        <f>IFERROR(_xlfn.XLOOKUP(Table6[[#This Row],[Suburb]],Table5[Travel Surcharge],Table5[$$]),"")</f>
        <v/>
      </c>
      <c r="AI179" s="47"/>
      <c r="AJ179" s="47"/>
      <c r="AL179" t="str">
        <v>Brompton Estate</v>
      </c>
    </row>
    <row r="180" spans="1:38">
      <c r="A180" s="374" t="s">
        <v>648</v>
      </c>
      <c r="B180" s="374">
        <v>40</v>
      </c>
      <c r="C180" s="374" t="s">
        <v>538</v>
      </c>
      <c r="D180" s="375" t="str">
        <f t="shared" si="36"/>
        <v>Allura Estate40</v>
      </c>
      <c r="E180" s="375" t="s">
        <v>660</v>
      </c>
      <c r="F180" s="375" t="s">
        <v>650</v>
      </c>
      <c r="G180" s="375" t="s">
        <v>651</v>
      </c>
      <c r="H180" s="375" t="s">
        <v>652</v>
      </c>
      <c r="I180" s="63" t="s">
        <v>653</v>
      </c>
      <c r="J180" s="47">
        <f t="shared" si="37"/>
        <v>3740</v>
      </c>
      <c r="K180" s="46" t="s">
        <v>10735</v>
      </c>
      <c r="L180" s="47"/>
      <c r="M180" s="47">
        <f t="shared" si="38"/>
        <v>1430.0000000000002</v>
      </c>
      <c r="N180" s="47"/>
      <c r="O180" s="47"/>
      <c r="P180" s="47"/>
      <c r="Q180" s="47"/>
      <c r="R180" s="47"/>
      <c r="S180" s="47" t="s">
        <v>463</v>
      </c>
      <c r="T180" s="47"/>
      <c r="U180" s="47"/>
      <c r="V180" s="47" t="s">
        <v>654</v>
      </c>
      <c r="W180" s="47"/>
      <c r="X180" s="47"/>
      <c r="Y180" s="47"/>
      <c r="Z180" s="47">
        <f t="shared" si="39"/>
        <v>4620</v>
      </c>
      <c r="AA180" s="47"/>
      <c r="AB180" s="47"/>
      <c r="AC180" s="47"/>
      <c r="AD180" s="47" t="s">
        <v>1</v>
      </c>
      <c r="AE180" s="47"/>
      <c r="AF180" s="47"/>
      <c r="AG180" s="47"/>
      <c r="AH180" s="47" t="str">
        <f>IFERROR(_xlfn.XLOOKUP(Table6[[#This Row],[Suburb]],Table5[Travel Surcharge],Table5[$$]),"")</f>
        <v/>
      </c>
      <c r="AI180" s="47"/>
      <c r="AJ180" s="47"/>
      <c r="AL180" t="str">
        <v>Brookhaven Estate</v>
      </c>
    </row>
    <row r="181" spans="1:38">
      <c r="A181" s="374" t="s">
        <v>661</v>
      </c>
      <c r="B181" s="374">
        <v>1</v>
      </c>
      <c r="C181" s="374" t="s">
        <v>283</v>
      </c>
      <c r="D181" s="375" t="str">
        <f t="shared" si="36"/>
        <v>Allure Estate1</v>
      </c>
      <c r="E181" s="375" t="s">
        <v>662</v>
      </c>
      <c r="F181" s="375"/>
      <c r="G181" s="375" t="s">
        <v>663</v>
      </c>
      <c r="H181" s="375" t="s">
        <v>664</v>
      </c>
      <c r="I181" s="63" t="s">
        <v>665</v>
      </c>
      <c r="J181" s="47"/>
      <c r="K181" s="46" t="s">
        <v>10735</v>
      </c>
      <c r="L181" s="47"/>
      <c r="M181" s="47"/>
      <c r="N181" s="47"/>
      <c r="O181" s="47"/>
      <c r="P181" s="47"/>
      <c r="Q181" s="47"/>
      <c r="R181" s="47"/>
      <c r="S181" s="47"/>
      <c r="T181" s="47"/>
      <c r="U181" s="47">
        <f>U$2</f>
        <v>430</v>
      </c>
      <c r="V181" s="47"/>
      <c r="W181" s="47"/>
      <c r="X181" s="47"/>
      <c r="Y181" s="47"/>
      <c r="Z181" s="47">
        <f t="shared" si="39"/>
        <v>4620</v>
      </c>
      <c r="AA181" s="47"/>
      <c r="AB181" s="47"/>
      <c r="AC181" s="47"/>
      <c r="AD181" s="47"/>
      <c r="AE181" s="47"/>
      <c r="AF181" s="47"/>
      <c r="AG181" s="47"/>
      <c r="AH181" s="47">
        <f>IFERROR(_xlfn.XLOOKUP(Table6[[#This Row],[Suburb]],Table5[Travel Surcharge],Table5[$$]),"")</f>
        <v>1500</v>
      </c>
      <c r="AI181" s="47"/>
      <c r="AJ181" s="47"/>
      <c r="AL181" t="str">
        <v>Brunt Road</v>
      </c>
    </row>
    <row r="182" spans="1:38">
      <c r="A182" s="374" t="s">
        <v>661</v>
      </c>
      <c r="B182" s="374">
        <v>2</v>
      </c>
      <c r="C182" s="374" t="s">
        <v>283</v>
      </c>
      <c r="D182" s="375" t="str">
        <f t="shared" si="36"/>
        <v>Allure Estate2</v>
      </c>
      <c r="E182" s="375" t="s">
        <v>666</v>
      </c>
      <c r="F182" s="375"/>
      <c r="G182" s="375" t="s">
        <v>663</v>
      </c>
      <c r="H182" s="375" t="s">
        <v>664</v>
      </c>
      <c r="I182" s="63" t="s">
        <v>665</v>
      </c>
      <c r="J182" s="47"/>
      <c r="K182" s="46" t="s">
        <v>10735</v>
      </c>
      <c r="L182" s="47"/>
      <c r="M182" s="47"/>
      <c r="N182" s="47"/>
      <c r="O182" s="47"/>
      <c r="P182" s="47"/>
      <c r="Q182" s="47"/>
      <c r="R182" s="47"/>
      <c r="S182" s="47"/>
      <c r="T182" s="47"/>
      <c r="U182" s="47">
        <f>U$2</f>
        <v>430</v>
      </c>
      <c r="V182" s="47"/>
      <c r="W182" s="47"/>
      <c r="X182" s="47"/>
      <c r="Y182" s="47"/>
      <c r="Z182" s="47">
        <f t="shared" si="39"/>
        <v>4620</v>
      </c>
      <c r="AA182" s="47"/>
      <c r="AB182" s="47"/>
      <c r="AC182" s="47"/>
      <c r="AD182" s="47"/>
      <c r="AE182" s="47"/>
      <c r="AF182" s="47"/>
      <c r="AG182" s="47"/>
      <c r="AH182" s="47">
        <f>IFERROR(_xlfn.XLOOKUP(Table6[[#This Row],[Suburb]],Table5[Travel Surcharge],Table5[$$]),"")</f>
        <v>1500</v>
      </c>
      <c r="AI182" s="47"/>
      <c r="AJ182" s="47"/>
      <c r="AL182" t="str">
        <v>Brunt Road Estate</v>
      </c>
    </row>
    <row r="183" spans="1:38">
      <c r="A183" s="374" t="s">
        <v>667</v>
      </c>
      <c r="B183" s="374">
        <v>1</v>
      </c>
      <c r="C183" s="374" t="s">
        <v>296</v>
      </c>
      <c r="D183" s="375" t="str">
        <f t="shared" si="36"/>
        <v>Alluvium Estate1</v>
      </c>
      <c r="E183" s="375" t="s">
        <v>668</v>
      </c>
      <c r="F183" s="375"/>
      <c r="G183" s="375"/>
      <c r="H183" s="375"/>
      <c r="I183" s="63"/>
      <c r="J183" s="47"/>
      <c r="K183" s="46" t="s">
        <v>10735</v>
      </c>
      <c r="L183" s="47">
        <f t="shared" ref="L183:L188" si="40">L$7</f>
        <v>1210</v>
      </c>
      <c r="M183" s="47" t="s">
        <v>504</v>
      </c>
      <c r="N183" s="47"/>
      <c r="O183" s="47">
        <f t="shared" ref="O183:O188" si="41">O$7</f>
        <v>4950</v>
      </c>
      <c r="P183" s="47"/>
      <c r="Q183" s="47" t="s">
        <v>670</v>
      </c>
      <c r="R183" s="47">
        <f t="shared" ref="R183:R187" si="42">R$2</f>
        <v>540</v>
      </c>
      <c r="S183" s="47"/>
      <c r="T183" s="47"/>
      <c r="U183" s="47"/>
      <c r="V183" s="47"/>
      <c r="W183" s="47"/>
      <c r="X183" s="47">
        <f t="shared" ref="X183:X188" si="43">X$7</f>
        <v>3000</v>
      </c>
      <c r="Y183" s="47"/>
      <c r="Z183" s="47">
        <f t="shared" si="39"/>
        <v>4620</v>
      </c>
      <c r="AA183" s="47">
        <f t="shared" ref="AA183:AB188" si="44">AA$7</f>
        <v>1400</v>
      </c>
      <c r="AB183" s="47">
        <f t="shared" si="44"/>
        <v>2800</v>
      </c>
      <c r="AC183" s="47"/>
      <c r="AD183" s="47"/>
      <c r="AE183" s="47"/>
      <c r="AF183" s="47">
        <f t="shared" ref="AF183:AF188" si="45">AF$7</f>
        <v>1485</v>
      </c>
      <c r="AG183" s="47"/>
      <c r="AH183" s="47">
        <f>IFERROR(_xlfn.XLOOKUP(Table6[[#This Row],[Suburb]],Table5[Travel Surcharge],Table5[$$]),"")</f>
        <v>8000</v>
      </c>
      <c r="AI183" s="47"/>
      <c r="AJ183" s="47">
        <f t="shared" ref="AJ183:AJ188" si="46">AJ$7</f>
        <v>4400</v>
      </c>
      <c r="AL183" t="str">
        <v>Burvilles Grove</v>
      </c>
    </row>
    <row r="184" spans="1:38">
      <c r="A184" s="374" t="s">
        <v>667</v>
      </c>
      <c r="B184" s="374">
        <v>2</v>
      </c>
      <c r="C184" s="374" t="s">
        <v>296</v>
      </c>
      <c r="D184" s="375" t="str">
        <f t="shared" si="36"/>
        <v>Alluvium Estate2</v>
      </c>
      <c r="E184" s="375" t="s">
        <v>671</v>
      </c>
      <c r="F184" s="375"/>
      <c r="G184" s="375"/>
      <c r="H184" s="375"/>
      <c r="I184" s="63"/>
      <c r="J184" s="47"/>
      <c r="K184" s="46" t="s">
        <v>10735</v>
      </c>
      <c r="L184" s="47">
        <f t="shared" si="40"/>
        <v>1210</v>
      </c>
      <c r="M184" s="47" t="s">
        <v>504</v>
      </c>
      <c r="N184" s="47"/>
      <c r="O184" s="47">
        <f t="shared" si="41"/>
        <v>4950</v>
      </c>
      <c r="P184" s="47" t="s">
        <v>8788</v>
      </c>
      <c r="Q184" s="47"/>
      <c r="R184" s="47">
        <f t="shared" si="42"/>
        <v>540</v>
      </c>
      <c r="S184" s="47"/>
      <c r="T184" s="47"/>
      <c r="U184" s="47"/>
      <c r="V184" s="47"/>
      <c r="W184" s="47"/>
      <c r="X184" s="47">
        <f t="shared" si="43"/>
        <v>3000</v>
      </c>
      <c r="Y184" s="47"/>
      <c r="Z184" s="47">
        <f t="shared" si="39"/>
        <v>4620</v>
      </c>
      <c r="AA184" s="47">
        <f t="shared" si="44"/>
        <v>1400</v>
      </c>
      <c r="AB184" s="47">
        <f t="shared" si="44"/>
        <v>2800</v>
      </c>
      <c r="AC184" s="47"/>
      <c r="AD184" s="47"/>
      <c r="AE184" s="47"/>
      <c r="AF184" s="47">
        <f t="shared" si="45"/>
        <v>1485</v>
      </c>
      <c r="AG184" s="47"/>
      <c r="AH184" s="47">
        <f>IFERROR(_xlfn.XLOOKUP(Table6[[#This Row],[Suburb]],Table5[Travel Surcharge],Table5[$$]),"")</f>
        <v>8000</v>
      </c>
      <c r="AI184" s="47"/>
      <c r="AJ184" s="47">
        <f t="shared" si="46"/>
        <v>4400</v>
      </c>
      <c r="AL184" t="str">
        <v>Burwood Brickworks</v>
      </c>
    </row>
    <row r="185" spans="1:38">
      <c r="A185" s="374" t="s">
        <v>667</v>
      </c>
      <c r="B185" s="374">
        <v>3</v>
      </c>
      <c r="C185" s="374" t="s">
        <v>296</v>
      </c>
      <c r="D185" s="375" t="str">
        <f t="shared" si="36"/>
        <v>Alluvium Estate3</v>
      </c>
      <c r="E185" s="375" t="s">
        <v>672</v>
      </c>
      <c r="F185" s="375"/>
      <c r="G185" s="375"/>
      <c r="H185" s="375"/>
      <c r="I185" s="63"/>
      <c r="J185" s="47"/>
      <c r="K185" s="46" t="s">
        <v>10735</v>
      </c>
      <c r="L185" s="47">
        <f t="shared" si="40"/>
        <v>1210</v>
      </c>
      <c r="M185" s="47" t="s">
        <v>504</v>
      </c>
      <c r="N185" s="47"/>
      <c r="O185" s="47">
        <f t="shared" si="41"/>
        <v>4950</v>
      </c>
      <c r="P185" s="47" t="s">
        <v>8788</v>
      </c>
      <c r="Q185" s="47"/>
      <c r="R185" s="47">
        <f t="shared" si="42"/>
        <v>540</v>
      </c>
      <c r="S185" s="47"/>
      <c r="T185" s="47"/>
      <c r="U185" s="47"/>
      <c r="V185" s="47"/>
      <c r="W185" s="47"/>
      <c r="X185" s="47">
        <f t="shared" si="43"/>
        <v>3000</v>
      </c>
      <c r="Y185" s="47"/>
      <c r="Z185" s="47">
        <f t="shared" si="39"/>
        <v>4620</v>
      </c>
      <c r="AA185" s="47">
        <f t="shared" si="44"/>
        <v>1400</v>
      </c>
      <c r="AB185" s="47">
        <f t="shared" si="44"/>
        <v>2800</v>
      </c>
      <c r="AC185" s="47"/>
      <c r="AD185" s="47"/>
      <c r="AE185" s="47"/>
      <c r="AF185" s="47">
        <f t="shared" si="45"/>
        <v>1485</v>
      </c>
      <c r="AG185" s="47"/>
      <c r="AH185" s="47">
        <f>IFERROR(_xlfn.XLOOKUP(Table6[[#This Row],[Suburb]],Table5[Travel Surcharge],Table5[$$]),"")</f>
        <v>8000</v>
      </c>
      <c r="AI185" s="47"/>
      <c r="AJ185" s="47">
        <f t="shared" si="46"/>
        <v>4400</v>
      </c>
      <c r="AL185" t="str">
        <v>Cairnlea Estate</v>
      </c>
    </row>
    <row r="186" spans="1:38">
      <c r="A186" s="374" t="s">
        <v>667</v>
      </c>
      <c r="B186" s="374">
        <v>4</v>
      </c>
      <c r="C186" s="374" t="s">
        <v>296</v>
      </c>
      <c r="D186" s="375" t="str">
        <f t="shared" si="36"/>
        <v>Alluvium Estate4</v>
      </c>
      <c r="E186" s="375" t="s">
        <v>673</v>
      </c>
      <c r="F186" s="375"/>
      <c r="G186" s="375"/>
      <c r="H186" s="375"/>
      <c r="I186" s="63"/>
      <c r="J186" s="47"/>
      <c r="K186" s="46" t="s">
        <v>10735</v>
      </c>
      <c r="L186" s="47">
        <f t="shared" si="40"/>
        <v>1210</v>
      </c>
      <c r="M186" s="47" t="s">
        <v>504</v>
      </c>
      <c r="N186" s="47"/>
      <c r="O186" s="47">
        <f t="shared" si="41"/>
        <v>4950</v>
      </c>
      <c r="P186" s="47" t="s">
        <v>8788</v>
      </c>
      <c r="Q186" s="47"/>
      <c r="R186" s="47">
        <f t="shared" si="42"/>
        <v>540</v>
      </c>
      <c r="S186" s="47"/>
      <c r="T186" s="47"/>
      <c r="U186" s="47"/>
      <c r="V186" s="47"/>
      <c r="W186" s="47"/>
      <c r="X186" s="47">
        <f t="shared" si="43"/>
        <v>3000</v>
      </c>
      <c r="Y186" s="47"/>
      <c r="Z186" s="47">
        <f t="shared" si="39"/>
        <v>4620</v>
      </c>
      <c r="AA186" s="47">
        <f t="shared" si="44"/>
        <v>1400</v>
      </c>
      <c r="AB186" s="47">
        <f t="shared" si="44"/>
        <v>2800</v>
      </c>
      <c r="AC186" s="47"/>
      <c r="AD186" s="47"/>
      <c r="AE186" s="47"/>
      <c r="AF186" s="47">
        <f t="shared" si="45"/>
        <v>1485</v>
      </c>
      <c r="AG186" s="47"/>
      <c r="AH186" s="47">
        <f>IFERROR(_xlfn.XLOOKUP(Table6[[#This Row],[Suburb]],Table5[Travel Surcharge],Table5[$$]),"")</f>
        <v>8000</v>
      </c>
      <c r="AI186" s="47"/>
      <c r="AJ186" s="47">
        <f t="shared" si="46"/>
        <v>4400</v>
      </c>
      <c r="AL186" t="str">
        <v>Caldera</v>
      </c>
    </row>
    <row r="187" spans="1:38">
      <c r="A187" s="157" t="s">
        <v>667</v>
      </c>
      <c r="B187" s="157">
        <v>5</v>
      </c>
      <c r="C187" s="157" t="s">
        <v>296</v>
      </c>
      <c r="D187" s="157" t="str">
        <f t="shared" si="36"/>
        <v>Alluvium Estate5</v>
      </c>
      <c r="E187" s="157" t="s">
        <v>7947</v>
      </c>
      <c r="F187" s="157"/>
      <c r="G187" s="157"/>
      <c r="H187" s="157"/>
      <c r="I187" s="158"/>
      <c r="J187" s="47"/>
      <c r="K187" s="46" t="s">
        <v>10735</v>
      </c>
      <c r="L187" s="47">
        <f t="shared" si="40"/>
        <v>1210</v>
      </c>
      <c r="M187" s="47" t="s">
        <v>504</v>
      </c>
      <c r="N187" s="47"/>
      <c r="O187" s="47">
        <f t="shared" si="41"/>
        <v>4950</v>
      </c>
      <c r="P187" s="47" t="s">
        <v>8788</v>
      </c>
      <c r="Q187" s="47"/>
      <c r="R187" s="47">
        <f t="shared" si="42"/>
        <v>540</v>
      </c>
      <c r="S187" s="47"/>
      <c r="T187" s="47"/>
      <c r="U187" s="47"/>
      <c r="V187" s="47"/>
      <c r="W187" s="47"/>
      <c r="X187" s="47">
        <f t="shared" si="43"/>
        <v>3000</v>
      </c>
      <c r="Y187" s="47"/>
      <c r="Z187" s="47">
        <f t="shared" si="39"/>
        <v>4620</v>
      </c>
      <c r="AA187" s="47">
        <f t="shared" si="44"/>
        <v>1400</v>
      </c>
      <c r="AB187" s="47">
        <f t="shared" si="44"/>
        <v>2800</v>
      </c>
      <c r="AC187" s="47"/>
      <c r="AD187" s="47"/>
      <c r="AE187" s="47"/>
      <c r="AF187" s="47">
        <f t="shared" si="45"/>
        <v>1485</v>
      </c>
      <c r="AG187" s="47"/>
      <c r="AH187" s="47">
        <f>IFERROR(_xlfn.XLOOKUP(Table6[[#This Row],[Suburb]],Table5[Travel Surcharge],Table5[$$]),"")</f>
        <v>8000</v>
      </c>
      <c r="AI187" s="47"/>
      <c r="AJ187" s="47">
        <f t="shared" si="46"/>
        <v>4400</v>
      </c>
      <c r="AL187" t="str">
        <v>Caledonia Estate</v>
      </c>
    </row>
    <row r="188" spans="1:38">
      <c r="A188" s="157" t="s">
        <v>667</v>
      </c>
      <c r="B188" s="157">
        <v>6</v>
      </c>
      <c r="C188" s="157" t="s">
        <v>296</v>
      </c>
      <c r="D188" s="157" t="str">
        <f t="shared" si="36"/>
        <v>Alluvium Estate6</v>
      </c>
      <c r="E188" s="157" t="s">
        <v>8350</v>
      </c>
      <c r="F188" s="157"/>
      <c r="G188" s="157"/>
      <c r="H188" s="157"/>
      <c r="I188" s="158"/>
      <c r="J188" s="47"/>
      <c r="K188" s="46" t="s">
        <v>10735</v>
      </c>
      <c r="L188" s="47">
        <f t="shared" si="40"/>
        <v>1210</v>
      </c>
      <c r="M188" s="47" t="s">
        <v>504</v>
      </c>
      <c r="N188" s="47"/>
      <c r="O188" s="47">
        <f t="shared" si="41"/>
        <v>4950</v>
      </c>
      <c r="P188" s="47" t="s">
        <v>8788</v>
      </c>
      <c r="Q188" s="47"/>
      <c r="R188" s="47" t="s">
        <v>10094</v>
      </c>
      <c r="S188" s="47"/>
      <c r="T188" s="47"/>
      <c r="U188" s="47"/>
      <c r="V188" s="47"/>
      <c r="W188" s="47"/>
      <c r="X188" s="47">
        <f t="shared" si="43"/>
        <v>3000</v>
      </c>
      <c r="Y188" s="47"/>
      <c r="Z188" s="47">
        <f t="shared" si="39"/>
        <v>4620</v>
      </c>
      <c r="AA188" s="47">
        <f t="shared" si="44"/>
        <v>1400</v>
      </c>
      <c r="AB188" s="47">
        <f t="shared" si="44"/>
        <v>2800</v>
      </c>
      <c r="AC188" s="47"/>
      <c r="AD188" s="47"/>
      <c r="AE188" s="47"/>
      <c r="AF188" s="47">
        <f t="shared" si="45"/>
        <v>1485</v>
      </c>
      <c r="AG188" s="47"/>
      <c r="AH188" s="47">
        <f>IFERROR(_xlfn.XLOOKUP(Table6[[#This Row],[Suburb]],Table5[Travel Surcharge],Table5[$$]),"")</f>
        <v>8000</v>
      </c>
      <c r="AI188" s="47"/>
      <c r="AJ188" s="47">
        <f t="shared" si="46"/>
        <v>4400</v>
      </c>
      <c r="AL188" t="str">
        <v>Camden Place Estate</v>
      </c>
    </row>
    <row r="189" spans="1:38">
      <c r="A189" s="374" t="s">
        <v>10088</v>
      </c>
      <c r="B189" s="374">
        <v>1</v>
      </c>
      <c r="C189" s="374" t="s">
        <v>428</v>
      </c>
      <c r="D189" s="375" t="str">
        <f>CONCATENATE(A189,B189)</f>
        <v>Alma Estate Clyde North1</v>
      </c>
      <c r="E189" s="375" t="s">
        <v>10089</v>
      </c>
      <c r="F189" s="375"/>
      <c r="G189" s="375" t="s">
        <v>10090</v>
      </c>
      <c r="H189" s="375" t="s">
        <v>3818</v>
      </c>
      <c r="I189" s="63" t="s">
        <v>4433</v>
      </c>
      <c r="J189" s="47">
        <v>3740</v>
      </c>
      <c r="K189" s="46" t="s">
        <v>7938</v>
      </c>
      <c r="L189" s="47">
        <v>1210</v>
      </c>
      <c r="M189" s="47"/>
      <c r="N189" s="47"/>
      <c r="O189" s="47" t="s">
        <v>10095</v>
      </c>
      <c r="P189" s="47"/>
      <c r="Q189" s="47"/>
      <c r="R189" s="47"/>
      <c r="S189" s="47">
        <f>S$2</f>
        <v>590</v>
      </c>
      <c r="T189" s="47"/>
      <c r="U189" s="47"/>
      <c r="V189" s="47"/>
      <c r="W189" s="47"/>
      <c r="X189" s="47"/>
      <c r="Y189" s="47"/>
      <c r="Z189" s="47">
        <f>Z$7</f>
        <v>4620</v>
      </c>
      <c r="AA189" s="47"/>
      <c r="AB189" s="47"/>
      <c r="AC189" s="47"/>
      <c r="AD189" s="47"/>
      <c r="AE189" s="47"/>
      <c r="AF189" s="47">
        <v>1485</v>
      </c>
      <c r="AG189" s="47" t="s">
        <v>10092</v>
      </c>
      <c r="AH189" s="47">
        <v>0</v>
      </c>
      <c r="AI189" s="47" t="s">
        <v>10091</v>
      </c>
      <c r="AJ189" s="47" t="s">
        <v>10093</v>
      </c>
      <c r="AL189" t="str">
        <v>Canadian Views Estate</v>
      </c>
    </row>
    <row r="190" spans="1:38">
      <c r="A190" s="374" t="s">
        <v>674</v>
      </c>
      <c r="B190" s="374">
        <v>1</v>
      </c>
      <c r="C190" s="374" t="s">
        <v>675</v>
      </c>
      <c r="D190" s="375" t="str">
        <f t="shared" si="36"/>
        <v>Altius1</v>
      </c>
      <c r="E190" s="375" t="s">
        <v>676</v>
      </c>
      <c r="F190" s="375"/>
      <c r="G190" s="375" t="s">
        <v>677</v>
      </c>
      <c r="H190" s="375" t="s">
        <v>678</v>
      </c>
      <c r="I190" s="63" t="s">
        <v>679</v>
      </c>
      <c r="J190" s="47">
        <f>J$7</f>
        <v>3740</v>
      </c>
      <c r="K190" s="46" t="s">
        <v>10735</v>
      </c>
      <c r="L190" s="47"/>
      <c r="M190" s="47">
        <f t="shared" ref="M190:M203" si="47">M$7</f>
        <v>1430.0000000000002</v>
      </c>
      <c r="N190" s="47" t="s">
        <v>474</v>
      </c>
      <c r="O190" s="47"/>
      <c r="P190" s="47"/>
      <c r="Q190" s="47"/>
      <c r="R190" s="47"/>
      <c r="S190" s="47"/>
      <c r="T190" s="47">
        <f>T$2</f>
        <v>780</v>
      </c>
      <c r="U190" s="47"/>
      <c r="V190" s="47"/>
      <c r="W190" s="47"/>
      <c r="X190" s="47"/>
      <c r="Y190" s="47"/>
      <c r="Z190" s="47">
        <f t="shared" si="39"/>
        <v>4620</v>
      </c>
      <c r="AA190" s="47"/>
      <c r="AB190" s="47"/>
      <c r="AC190" s="47" t="s">
        <v>680</v>
      </c>
      <c r="AD190" s="47"/>
      <c r="AE190" s="47"/>
      <c r="AF190" s="47"/>
      <c r="AG190" s="47"/>
      <c r="AH190" s="47" t="str">
        <f>IFERROR(_xlfn.XLOOKUP(Table6[[#This Row],[Suburb]],Table5[Travel Surcharge],Table5[$$]),"")</f>
        <v/>
      </c>
      <c r="AI190" s="47"/>
      <c r="AJ190" s="47"/>
      <c r="AL190" t="str">
        <v>Canopy Estate</v>
      </c>
    </row>
    <row r="191" spans="1:38">
      <c r="A191" s="374" t="s">
        <v>681</v>
      </c>
      <c r="B191" s="374">
        <v>1</v>
      </c>
      <c r="C191" s="374" t="s">
        <v>296</v>
      </c>
      <c r="D191" s="375" t="str">
        <f t="shared" si="36"/>
        <v>Alto1</v>
      </c>
      <c r="E191" s="375" t="s">
        <v>682</v>
      </c>
      <c r="F191" s="375"/>
      <c r="G191" s="375" t="s">
        <v>576</v>
      </c>
      <c r="H191" s="375" t="s">
        <v>577</v>
      </c>
      <c r="I191" s="63" t="s">
        <v>683</v>
      </c>
      <c r="J191" s="47"/>
      <c r="K191" s="46" t="s">
        <v>10735</v>
      </c>
      <c r="L191" s="47"/>
      <c r="M191" s="47">
        <f t="shared" si="47"/>
        <v>1430.0000000000002</v>
      </c>
      <c r="N191" s="47" t="s">
        <v>684</v>
      </c>
      <c r="O191" s="47">
        <f>O$7</f>
        <v>4950</v>
      </c>
      <c r="P191" s="47" t="s">
        <v>8788</v>
      </c>
      <c r="Q191" s="47"/>
      <c r="R191" s="47"/>
      <c r="S191" s="47" t="s">
        <v>463</v>
      </c>
      <c r="T191" s="47"/>
      <c r="U191" s="47"/>
      <c r="V191" s="47"/>
      <c r="W191" s="47"/>
      <c r="X191" s="47"/>
      <c r="Y191" s="47"/>
      <c r="Z191" s="47">
        <f t="shared" si="39"/>
        <v>4620</v>
      </c>
      <c r="AA191" s="47"/>
      <c r="AB191" s="47"/>
      <c r="AC191" s="47"/>
      <c r="AD191" s="47"/>
      <c r="AE191" s="47"/>
      <c r="AF191" s="47"/>
      <c r="AG191" s="47"/>
      <c r="AH191" s="47">
        <f>IFERROR(_xlfn.XLOOKUP(Table6[[#This Row],[Suburb]],Table5[Travel Surcharge],Table5[$$]),"")</f>
        <v>8000</v>
      </c>
      <c r="AI191" s="47"/>
      <c r="AJ191" s="47">
        <f>AJ$7</f>
        <v>4400</v>
      </c>
      <c r="AL191" t="str">
        <v>Cardinia Lakes Estate</v>
      </c>
    </row>
    <row r="192" spans="1:38">
      <c r="A192" s="374" t="s">
        <v>681</v>
      </c>
      <c r="B192" s="374">
        <v>2</v>
      </c>
      <c r="C192" s="374" t="s">
        <v>296</v>
      </c>
      <c r="D192" s="375" t="str">
        <f t="shared" si="36"/>
        <v>Alto2</v>
      </c>
      <c r="E192" s="375" t="s">
        <v>685</v>
      </c>
      <c r="F192" s="375"/>
      <c r="G192" s="375" t="s">
        <v>576</v>
      </c>
      <c r="H192" s="375" t="s">
        <v>577</v>
      </c>
      <c r="I192" s="63" t="s">
        <v>683</v>
      </c>
      <c r="J192" s="47"/>
      <c r="K192" s="46" t="s">
        <v>10735</v>
      </c>
      <c r="L192" s="47"/>
      <c r="M192" s="47">
        <f t="shared" si="47"/>
        <v>1430.0000000000002</v>
      </c>
      <c r="N192" s="47" t="s">
        <v>684</v>
      </c>
      <c r="O192" s="47">
        <f>O$7</f>
        <v>4950</v>
      </c>
      <c r="P192" s="47" t="s">
        <v>8788</v>
      </c>
      <c r="Q192" s="47"/>
      <c r="R192" s="47"/>
      <c r="S192" s="47" t="s">
        <v>463</v>
      </c>
      <c r="T192" s="47"/>
      <c r="U192" s="47"/>
      <c r="V192" s="47"/>
      <c r="W192" s="47"/>
      <c r="X192" s="47"/>
      <c r="Y192" s="47"/>
      <c r="Z192" s="47">
        <f t="shared" si="39"/>
        <v>4620</v>
      </c>
      <c r="AA192" s="47"/>
      <c r="AB192" s="47"/>
      <c r="AC192" s="47"/>
      <c r="AD192" s="47"/>
      <c r="AE192" s="47"/>
      <c r="AF192" s="47"/>
      <c r="AG192" s="47"/>
      <c r="AH192" s="47">
        <f>IFERROR(_xlfn.XLOOKUP(Table6[[#This Row],[Suburb]],Table5[Travel Surcharge],Table5[$$]),"")</f>
        <v>8000</v>
      </c>
      <c r="AI192" s="47"/>
      <c r="AJ192" s="47">
        <f>AJ$7</f>
        <v>4400</v>
      </c>
      <c r="AL192" t="str">
        <v>Cardinia Park</v>
      </c>
    </row>
    <row r="193" spans="1:38">
      <c r="A193" s="374" t="s">
        <v>681</v>
      </c>
      <c r="B193" s="374">
        <v>3</v>
      </c>
      <c r="C193" s="374" t="s">
        <v>296</v>
      </c>
      <c r="D193" s="375" t="str">
        <f t="shared" si="36"/>
        <v>Alto3</v>
      </c>
      <c r="E193" s="375" t="s">
        <v>686</v>
      </c>
      <c r="F193" s="375"/>
      <c r="G193" s="375" t="s">
        <v>576</v>
      </c>
      <c r="H193" s="375" t="s">
        <v>577</v>
      </c>
      <c r="I193" s="63" t="s">
        <v>683</v>
      </c>
      <c r="J193" s="47"/>
      <c r="K193" s="46" t="s">
        <v>10735</v>
      </c>
      <c r="L193" s="47"/>
      <c r="M193" s="47">
        <f t="shared" si="47"/>
        <v>1430.0000000000002</v>
      </c>
      <c r="N193" s="47" t="s">
        <v>684</v>
      </c>
      <c r="O193" s="47">
        <f>O$7</f>
        <v>4950</v>
      </c>
      <c r="P193" s="47" t="s">
        <v>8788</v>
      </c>
      <c r="Q193" s="47"/>
      <c r="R193" s="47"/>
      <c r="S193" s="47" t="s">
        <v>463</v>
      </c>
      <c r="T193" s="47"/>
      <c r="U193" s="47"/>
      <c r="V193" s="47"/>
      <c r="W193" s="47"/>
      <c r="X193" s="47"/>
      <c r="Y193" s="47"/>
      <c r="Z193" s="47">
        <f t="shared" si="39"/>
        <v>4620</v>
      </c>
      <c r="AA193" s="47"/>
      <c r="AB193" s="47"/>
      <c r="AC193" s="47"/>
      <c r="AD193" s="47"/>
      <c r="AE193" s="47"/>
      <c r="AF193" s="47"/>
      <c r="AG193" s="47"/>
      <c r="AH193" s="47">
        <f>IFERROR(_xlfn.XLOOKUP(Table6[[#This Row],[Suburb]],Table5[Travel Surcharge],Table5[$$]),"")</f>
        <v>8000</v>
      </c>
      <c r="AI193" s="47"/>
      <c r="AJ193" s="47">
        <f>AJ$7</f>
        <v>4400</v>
      </c>
      <c r="AL193" t="str">
        <v>Cardinia Rise</v>
      </c>
    </row>
    <row r="194" spans="1:38">
      <c r="A194" s="374" t="s">
        <v>681</v>
      </c>
      <c r="B194" s="374">
        <v>4</v>
      </c>
      <c r="C194" s="374" t="s">
        <v>296</v>
      </c>
      <c r="D194" s="375" t="str">
        <f t="shared" si="36"/>
        <v>Alto4</v>
      </c>
      <c r="E194" s="375" t="s">
        <v>7372</v>
      </c>
      <c r="F194" s="375"/>
      <c r="G194" s="375" t="s">
        <v>576</v>
      </c>
      <c r="H194" s="375" t="s">
        <v>577</v>
      </c>
      <c r="I194" s="63" t="s">
        <v>683</v>
      </c>
      <c r="J194" s="47"/>
      <c r="K194" s="46" t="s">
        <v>10735</v>
      </c>
      <c r="L194" s="47" t="s">
        <v>1150</v>
      </c>
      <c r="M194" s="47">
        <f t="shared" si="47"/>
        <v>1430.0000000000002</v>
      </c>
      <c r="N194" s="47" t="s">
        <v>684</v>
      </c>
      <c r="O194" s="47">
        <f>O$7</f>
        <v>4950</v>
      </c>
      <c r="P194" s="47" t="s">
        <v>8788</v>
      </c>
      <c r="Q194" s="47"/>
      <c r="R194" s="47"/>
      <c r="S194" s="47" t="s">
        <v>463</v>
      </c>
      <c r="T194" s="47"/>
      <c r="U194" s="47"/>
      <c r="V194" s="47"/>
      <c r="W194" s="47"/>
      <c r="X194" s="47"/>
      <c r="Y194" s="47"/>
      <c r="Z194" s="47">
        <f t="shared" si="39"/>
        <v>4620</v>
      </c>
      <c r="AA194" s="47"/>
      <c r="AB194" s="47"/>
      <c r="AC194" s="47"/>
      <c r="AD194" s="47"/>
      <c r="AE194" s="47"/>
      <c r="AF194" s="47"/>
      <c r="AG194" s="47"/>
      <c r="AH194" s="47">
        <f>IFERROR(_xlfn.XLOOKUP(Table6[[#This Row],[Suburb]],Table5[Travel Surcharge],Table5[$$]),"")</f>
        <v>8000</v>
      </c>
      <c r="AI194" s="47"/>
      <c r="AJ194" s="47">
        <f>AJ$7</f>
        <v>4400</v>
      </c>
      <c r="AL194" t="str">
        <v>Cardinia Views Estate</v>
      </c>
    </row>
    <row r="195" spans="1:38">
      <c r="A195" s="157" t="s">
        <v>9827</v>
      </c>
      <c r="B195" s="157">
        <v>1</v>
      </c>
      <c r="C195" s="157" t="s">
        <v>9828</v>
      </c>
      <c r="D195" s="157" t="str">
        <f t="shared" si="36"/>
        <v>Altura Estate1</v>
      </c>
      <c r="E195" s="157" t="s">
        <v>9829</v>
      </c>
      <c r="F195" s="157" t="s">
        <v>2803</v>
      </c>
      <c r="G195" s="157"/>
      <c r="H195" s="157"/>
      <c r="I195" s="158"/>
      <c r="J195" s="159"/>
      <c r="K195" s="46" t="s">
        <v>10735</v>
      </c>
      <c r="L195" s="159"/>
      <c r="M195" s="159">
        <f t="shared" si="47"/>
        <v>1430.0000000000002</v>
      </c>
      <c r="N195" s="159"/>
      <c r="O195" s="159"/>
      <c r="P195" s="159"/>
      <c r="Q195" s="159"/>
      <c r="R195" s="159"/>
      <c r="S195" s="159"/>
      <c r="T195" s="159" t="s">
        <v>9830</v>
      </c>
      <c r="U195" s="159" t="s">
        <v>9831</v>
      </c>
      <c r="V195" s="159"/>
      <c r="W195" s="159"/>
      <c r="X195" s="159">
        <f t="shared" ref="X195:X203" si="48">X$7</f>
        <v>3000</v>
      </c>
      <c r="Y195" s="159" t="s">
        <v>9832</v>
      </c>
      <c r="Z195" s="159">
        <f t="shared" si="39"/>
        <v>4620</v>
      </c>
      <c r="AA195" s="159">
        <f t="shared" ref="AA195:AA203" si="49">AA$7</f>
        <v>1400</v>
      </c>
      <c r="AB195" s="159"/>
      <c r="AC195" s="159">
        <f>AC5</f>
        <v>0</v>
      </c>
      <c r="AD195" s="159"/>
      <c r="AE195" s="159"/>
      <c r="AF195" s="159">
        <f>AF5</f>
        <v>0</v>
      </c>
      <c r="AG195" s="159" t="s">
        <v>9833</v>
      </c>
      <c r="AH195" s="47">
        <v>7000</v>
      </c>
      <c r="AI195" s="159"/>
      <c r="AJ195" s="159"/>
      <c r="AL195" t="str">
        <v>Carey Heights</v>
      </c>
    </row>
    <row r="196" spans="1:38">
      <c r="A196" s="374" t="s">
        <v>687</v>
      </c>
      <c r="B196" s="374">
        <v>2</v>
      </c>
      <c r="C196" s="374" t="s">
        <v>688</v>
      </c>
      <c r="D196" s="375" t="str">
        <f t="shared" si="36"/>
        <v>Alwood Estate2</v>
      </c>
      <c r="E196" s="375" t="s">
        <v>689</v>
      </c>
      <c r="F196" s="375" t="s">
        <v>690</v>
      </c>
      <c r="G196" s="375" t="s">
        <v>691</v>
      </c>
      <c r="H196" s="375" t="s">
        <v>692</v>
      </c>
      <c r="I196" s="63" t="s">
        <v>473</v>
      </c>
      <c r="J196" s="47">
        <f t="shared" ref="J196:J229" si="50">J$7</f>
        <v>3740</v>
      </c>
      <c r="K196" s="46" t="s">
        <v>10735</v>
      </c>
      <c r="L196" s="47"/>
      <c r="M196" s="47">
        <f t="shared" si="47"/>
        <v>1430.0000000000002</v>
      </c>
      <c r="N196" s="47"/>
      <c r="O196" s="47"/>
      <c r="P196" s="47"/>
      <c r="Q196" s="47"/>
      <c r="R196" s="47"/>
      <c r="S196" s="47"/>
      <c r="T196" s="47"/>
      <c r="U196" s="47">
        <f t="shared" ref="U196:U215" si="51">U$2</f>
        <v>430</v>
      </c>
      <c r="V196" s="47"/>
      <c r="W196" s="47"/>
      <c r="X196" s="47">
        <f t="shared" si="48"/>
        <v>3000</v>
      </c>
      <c r="Y196" s="47"/>
      <c r="Z196" s="47">
        <f t="shared" si="39"/>
        <v>4620</v>
      </c>
      <c r="AA196" s="47">
        <f t="shared" si="49"/>
        <v>1400</v>
      </c>
      <c r="AB196" s="47"/>
      <c r="AC196" s="47"/>
      <c r="AD196" s="47"/>
      <c r="AE196" s="47"/>
      <c r="AF196" s="47"/>
      <c r="AG196" s="47"/>
      <c r="AH196" s="47" t="str">
        <f>IFERROR(_xlfn.XLOOKUP(Table6[[#This Row],[Suburb]],Table5[Travel Surcharge],Table5[$$]),"")</f>
        <v/>
      </c>
      <c r="AI196" s="47"/>
      <c r="AJ196" s="47"/>
      <c r="AL196" t="str">
        <v>Carlingford</v>
      </c>
    </row>
    <row r="197" spans="1:38">
      <c r="A197" s="374" t="s">
        <v>687</v>
      </c>
      <c r="B197" s="374">
        <v>3</v>
      </c>
      <c r="C197" s="374" t="s">
        <v>688</v>
      </c>
      <c r="D197" s="375" t="str">
        <f t="shared" si="36"/>
        <v>Alwood Estate3</v>
      </c>
      <c r="E197" s="375" t="s">
        <v>693</v>
      </c>
      <c r="F197" s="375" t="s">
        <v>690</v>
      </c>
      <c r="G197" s="375" t="s">
        <v>691</v>
      </c>
      <c r="H197" s="375" t="s">
        <v>692</v>
      </c>
      <c r="I197" s="63" t="s">
        <v>473</v>
      </c>
      <c r="J197" s="47">
        <f t="shared" si="50"/>
        <v>3740</v>
      </c>
      <c r="K197" s="46" t="s">
        <v>10735</v>
      </c>
      <c r="L197" s="47"/>
      <c r="M197" s="47">
        <f t="shared" si="47"/>
        <v>1430.0000000000002</v>
      </c>
      <c r="N197" s="47"/>
      <c r="O197" s="47"/>
      <c r="P197" s="47"/>
      <c r="Q197" s="47"/>
      <c r="R197" s="47"/>
      <c r="S197" s="47"/>
      <c r="T197" s="47"/>
      <c r="U197" s="47">
        <f t="shared" si="51"/>
        <v>430</v>
      </c>
      <c r="V197" s="47"/>
      <c r="W197" s="47"/>
      <c r="X197" s="47">
        <f t="shared" si="48"/>
        <v>3000</v>
      </c>
      <c r="Y197" s="47"/>
      <c r="Z197" s="47">
        <f t="shared" si="39"/>
        <v>4620</v>
      </c>
      <c r="AA197" s="47">
        <f t="shared" si="49"/>
        <v>1400</v>
      </c>
      <c r="AB197" s="47"/>
      <c r="AC197" s="47"/>
      <c r="AD197" s="47"/>
      <c r="AE197" s="47"/>
      <c r="AF197" s="47"/>
      <c r="AG197" s="47"/>
      <c r="AH197" s="47" t="str">
        <f>IFERROR(_xlfn.XLOOKUP(Table6[[#This Row],[Suburb]],Table5[Travel Surcharge],Table5[$$]),"")</f>
        <v/>
      </c>
      <c r="AI197" s="47"/>
      <c r="AJ197" s="47"/>
      <c r="AL197" t="str">
        <v>Carolina Estate</v>
      </c>
    </row>
    <row r="198" spans="1:38">
      <c r="A198" s="374" t="s">
        <v>687</v>
      </c>
      <c r="B198" s="374">
        <v>4</v>
      </c>
      <c r="C198" s="374" t="s">
        <v>688</v>
      </c>
      <c r="D198" s="375" t="str">
        <f t="shared" si="36"/>
        <v>Alwood Estate4</v>
      </c>
      <c r="E198" s="375" t="s">
        <v>694</v>
      </c>
      <c r="F198" s="375" t="s">
        <v>690</v>
      </c>
      <c r="G198" s="375" t="s">
        <v>691</v>
      </c>
      <c r="H198" s="375" t="s">
        <v>692</v>
      </c>
      <c r="I198" s="63" t="s">
        <v>473</v>
      </c>
      <c r="J198" s="47">
        <f t="shared" si="50"/>
        <v>3740</v>
      </c>
      <c r="K198" s="46" t="s">
        <v>10735</v>
      </c>
      <c r="L198" s="47"/>
      <c r="M198" s="47">
        <f t="shared" si="47"/>
        <v>1430.0000000000002</v>
      </c>
      <c r="N198" s="47"/>
      <c r="O198" s="47"/>
      <c r="P198" s="47"/>
      <c r="Q198" s="47"/>
      <c r="R198" s="47"/>
      <c r="S198" s="47"/>
      <c r="T198" s="47"/>
      <c r="U198" s="47">
        <f t="shared" si="51"/>
        <v>430</v>
      </c>
      <c r="V198" s="47"/>
      <c r="W198" s="47"/>
      <c r="X198" s="47">
        <f t="shared" si="48"/>
        <v>3000</v>
      </c>
      <c r="Y198" s="47"/>
      <c r="Z198" s="47">
        <f t="shared" si="39"/>
        <v>4620</v>
      </c>
      <c r="AA198" s="47">
        <f t="shared" si="49"/>
        <v>1400</v>
      </c>
      <c r="AB198" s="47"/>
      <c r="AC198" s="47"/>
      <c r="AD198" s="47"/>
      <c r="AE198" s="47"/>
      <c r="AF198" s="47"/>
      <c r="AG198" s="47"/>
      <c r="AH198" s="47" t="str">
        <f>IFERROR(_xlfn.XLOOKUP(Table6[[#This Row],[Suburb]],Table5[Travel Surcharge],Table5[$$]),"")</f>
        <v/>
      </c>
      <c r="AI198" s="47"/>
      <c r="AJ198" s="47"/>
      <c r="AL198" t="str">
        <v>Carrington Estate</v>
      </c>
    </row>
    <row r="199" spans="1:38">
      <c r="A199" s="374" t="s">
        <v>687</v>
      </c>
      <c r="B199" s="374">
        <v>5</v>
      </c>
      <c r="C199" s="374" t="s">
        <v>688</v>
      </c>
      <c r="D199" s="375" t="str">
        <f t="shared" si="36"/>
        <v>Alwood Estate5</v>
      </c>
      <c r="E199" s="375" t="s">
        <v>695</v>
      </c>
      <c r="F199" s="375" t="s">
        <v>690</v>
      </c>
      <c r="G199" s="375" t="s">
        <v>691</v>
      </c>
      <c r="H199" s="375" t="s">
        <v>692</v>
      </c>
      <c r="I199" s="63" t="s">
        <v>473</v>
      </c>
      <c r="J199" s="47">
        <f t="shared" si="50"/>
        <v>3740</v>
      </c>
      <c r="K199" s="46" t="s">
        <v>10735</v>
      </c>
      <c r="L199" s="47"/>
      <c r="M199" s="47">
        <f t="shared" si="47"/>
        <v>1430.0000000000002</v>
      </c>
      <c r="N199" s="47"/>
      <c r="O199" s="47"/>
      <c r="P199" s="47"/>
      <c r="Q199" s="47"/>
      <c r="R199" s="47"/>
      <c r="S199" s="47"/>
      <c r="T199" s="47"/>
      <c r="U199" s="47">
        <f t="shared" si="51"/>
        <v>430</v>
      </c>
      <c r="V199" s="47"/>
      <c r="W199" s="47"/>
      <c r="X199" s="47">
        <f t="shared" si="48"/>
        <v>3000</v>
      </c>
      <c r="Y199" s="47"/>
      <c r="Z199" s="47">
        <f t="shared" si="39"/>
        <v>4620</v>
      </c>
      <c r="AA199" s="47">
        <f t="shared" si="49"/>
        <v>1400</v>
      </c>
      <c r="AB199" s="47"/>
      <c r="AC199" s="47"/>
      <c r="AD199" s="47"/>
      <c r="AE199" s="47"/>
      <c r="AF199" s="47"/>
      <c r="AG199" s="47"/>
      <c r="AH199" s="47" t="str">
        <f>IFERROR(_xlfn.XLOOKUP(Table6[[#This Row],[Suburb]],Table5[Travel Surcharge],Table5[$$]),"")</f>
        <v/>
      </c>
      <c r="AI199" s="47"/>
      <c r="AJ199" s="47"/>
      <c r="AL199" t="str">
        <v>Carringum</v>
      </c>
    </row>
    <row r="200" spans="1:38">
      <c r="A200" s="374" t="s">
        <v>687</v>
      </c>
      <c r="B200" s="374">
        <v>6</v>
      </c>
      <c r="C200" s="374" t="s">
        <v>688</v>
      </c>
      <c r="D200" s="375" t="str">
        <f t="shared" si="36"/>
        <v>Alwood Estate6</v>
      </c>
      <c r="E200" s="375" t="s">
        <v>696</v>
      </c>
      <c r="F200" s="375" t="s">
        <v>690</v>
      </c>
      <c r="G200" s="375" t="s">
        <v>691</v>
      </c>
      <c r="H200" s="375" t="s">
        <v>692</v>
      </c>
      <c r="I200" s="63" t="s">
        <v>473</v>
      </c>
      <c r="J200" s="47">
        <f t="shared" si="50"/>
        <v>3740</v>
      </c>
      <c r="K200" s="46" t="s">
        <v>10735</v>
      </c>
      <c r="L200" s="47"/>
      <c r="M200" s="47">
        <f t="shared" si="47"/>
        <v>1430.0000000000002</v>
      </c>
      <c r="N200" s="47"/>
      <c r="O200" s="47"/>
      <c r="P200" s="47"/>
      <c r="Q200" s="47"/>
      <c r="R200" s="47"/>
      <c r="S200" s="47"/>
      <c r="T200" s="47"/>
      <c r="U200" s="47">
        <f t="shared" si="51"/>
        <v>430</v>
      </c>
      <c r="V200" s="47"/>
      <c r="W200" s="47"/>
      <c r="X200" s="47">
        <f t="shared" si="48"/>
        <v>3000</v>
      </c>
      <c r="Y200" s="47"/>
      <c r="Z200" s="47">
        <f t="shared" si="39"/>
        <v>4620</v>
      </c>
      <c r="AA200" s="47">
        <f t="shared" si="49"/>
        <v>1400</v>
      </c>
      <c r="AB200" s="47"/>
      <c r="AC200" s="47"/>
      <c r="AD200" s="47"/>
      <c r="AE200" s="47"/>
      <c r="AF200" s="47"/>
      <c r="AG200" s="47"/>
      <c r="AH200" s="47" t="str">
        <f>IFERROR(_xlfn.XLOOKUP(Table6[[#This Row],[Suburb]],Table5[Travel Surcharge],Table5[$$]),"")</f>
        <v/>
      </c>
      <c r="AI200" s="47"/>
      <c r="AJ200" s="47"/>
      <c r="AL200" t="str">
        <v xml:space="preserve">Carroll Lane </v>
      </c>
    </row>
    <row r="201" spans="1:38">
      <c r="A201" s="374" t="s">
        <v>687</v>
      </c>
      <c r="B201" s="374">
        <v>7</v>
      </c>
      <c r="C201" s="374" t="s">
        <v>688</v>
      </c>
      <c r="D201" s="375" t="str">
        <f t="shared" si="36"/>
        <v>Alwood Estate7</v>
      </c>
      <c r="E201" s="375" t="s">
        <v>697</v>
      </c>
      <c r="F201" s="375" t="s">
        <v>690</v>
      </c>
      <c r="G201" s="375" t="s">
        <v>691</v>
      </c>
      <c r="H201" s="375" t="s">
        <v>692</v>
      </c>
      <c r="I201" s="63" t="s">
        <v>473</v>
      </c>
      <c r="J201" s="47">
        <f t="shared" si="50"/>
        <v>3740</v>
      </c>
      <c r="K201" s="46" t="s">
        <v>10735</v>
      </c>
      <c r="L201" s="47"/>
      <c r="M201" s="47">
        <f t="shared" si="47"/>
        <v>1430.0000000000002</v>
      </c>
      <c r="N201" s="47"/>
      <c r="O201" s="47"/>
      <c r="P201" s="47"/>
      <c r="Q201" s="47"/>
      <c r="R201" s="47"/>
      <c r="S201" s="47"/>
      <c r="T201" s="47"/>
      <c r="U201" s="47">
        <f t="shared" si="51"/>
        <v>430</v>
      </c>
      <c r="V201" s="47"/>
      <c r="W201" s="47"/>
      <c r="X201" s="47">
        <f t="shared" si="48"/>
        <v>3000</v>
      </c>
      <c r="Y201" s="47"/>
      <c r="Z201" s="47">
        <f t="shared" si="39"/>
        <v>4620</v>
      </c>
      <c r="AA201" s="47">
        <f t="shared" si="49"/>
        <v>1400</v>
      </c>
      <c r="AB201" s="47"/>
      <c r="AC201" s="47"/>
      <c r="AD201" s="47"/>
      <c r="AE201" s="47"/>
      <c r="AF201" s="47"/>
      <c r="AG201" s="47"/>
      <c r="AH201" s="47" t="str">
        <f>IFERROR(_xlfn.XLOOKUP(Table6[[#This Row],[Suburb]],Table5[Travel Surcharge],Table5[$$]),"")</f>
        <v/>
      </c>
      <c r="AI201" s="47"/>
      <c r="AJ201" s="47"/>
      <c r="AL201" t="str">
        <v xml:space="preserve">Catalina Estate </v>
      </c>
    </row>
    <row r="202" spans="1:38">
      <c r="A202" s="374" t="s">
        <v>687</v>
      </c>
      <c r="B202" s="374">
        <v>8</v>
      </c>
      <c r="C202" s="374" t="s">
        <v>688</v>
      </c>
      <c r="D202" s="375" t="str">
        <f t="shared" si="36"/>
        <v>Alwood Estate8</v>
      </c>
      <c r="E202" s="375" t="s">
        <v>698</v>
      </c>
      <c r="F202" s="375" t="s">
        <v>690</v>
      </c>
      <c r="G202" s="375" t="s">
        <v>691</v>
      </c>
      <c r="H202" s="375" t="s">
        <v>692</v>
      </c>
      <c r="I202" s="63" t="s">
        <v>473</v>
      </c>
      <c r="J202" s="47">
        <f t="shared" si="50"/>
        <v>3740</v>
      </c>
      <c r="K202" s="46" t="s">
        <v>10735</v>
      </c>
      <c r="L202" s="47"/>
      <c r="M202" s="47">
        <f t="shared" si="47"/>
        <v>1430.0000000000002</v>
      </c>
      <c r="N202" s="47"/>
      <c r="O202" s="47"/>
      <c r="P202" s="47"/>
      <c r="Q202" s="47"/>
      <c r="R202" s="47"/>
      <c r="S202" s="47"/>
      <c r="T202" s="47"/>
      <c r="U202" s="47">
        <f t="shared" si="51"/>
        <v>430</v>
      </c>
      <c r="V202" s="47"/>
      <c r="W202" s="47"/>
      <c r="X202" s="47">
        <f t="shared" si="48"/>
        <v>3000</v>
      </c>
      <c r="Y202" s="47"/>
      <c r="Z202" s="47">
        <f t="shared" si="39"/>
        <v>4620</v>
      </c>
      <c r="AA202" s="47">
        <f t="shared" si="49"/>
        <v>1400</v>
      </c>
      <c r="AB202" s="47"/>
      <c r="AC202" s="47"/>
      <c r="AD202" s="47"/>
      <c r="AE202" s="47"/>
      <c r="AF202" s="47"/>
      <c r="AG202" s="47"/>
      <c r="AH202" s="47" t="str">
        <f>IFERROR(_xlfn.XLOOKUP(Table6[[#This Row],[Suburb]],Table5[Travel Surcharge],Table5[$$]),"")</f>
        <v/>
      </c>
      <c r="AI202" s="47"/>
      <c r="AJ202" s="47"/>
      <c r="AL202" t="str">
        <v>Catalina Heights</v>
      </c>
    </row>
    <row r="203" spans="1:38">
      <c r="A203" s="374" t="s">
        <v>687</v>
      </c>
      <c r="B203" s="374" t="s">
        <v>606</v>
      </c>
      <c r="C203" s="374" t="s">
        <v>688</v>
      </c>
      <c r="D203" s="375" t="str">
        <f t="shared" si="36"/>
        <v>Alwood Estate3A</v>
      </c>
      <c r="E203" s="375" t="s">
        <v>699</v>
      </c>
      <c r="F203" s="375" t="s">
        <v>690</v>
      </c>
      <c r="G203" s="375" t="s">
        <v>691</v>
      </c>
      <c r="H203" s="375" t="s">
        <v>692</v>
      </c>
      <c r="I203" s="63" t="s">
        <v>473</v>
      </c>
      <c r="J203" s="47">
        <f t="shared" si="50"/>
        <v>3740</v>
      </c>
      <c r="K203" s="46" t="s">
        <v>10735</v>
      </c>
      <c r="L203" s="47"/>
      <c r="M203" s="47">
        <f t="shared" si="47"/>
        <v>1430.0000000000002</v>
      </c>
      <c r="N203" s="47"/>
      <c r="O203" s="47"/>
      <c r="P203" s="47"/>
      <c r="Q203" s="47"/>
      <c r="R203" s="47"/>
      <c r="S203" s="47"/>
      <c r="T203" s="47"/>
      <c r="U203" s="47">
        <f t="shared" si="51"/>
        <v>430</v>
      </c>
      <c r="V203" s="47"/>
      <c r="W203" s="47"/>
      <c r="X203" s="47">
        <f t="shared" si="48"/>
        <v>3000</v>
      </c>
      <c r="Y203" s="47"/>
      <c r="Z203" s="47">
        <f t="shared" si="39"/>
        <v>4620</v>
      </c>
      <c r="AA203" s="47">
        <f t="shared" si="49"/>
        <v>1400</v>
      </c>
      <c r="AB203" s="47"/>
      <c r="AC203" s="47"/>
      <c r="AD203" s="47"/>
      <c r="AE203" s="47"/>
      <c r="AF203" s="47"/>
      <c r="AG203" s="47"/>
      <c r="AH203" s="47" t="str">
        <f>IFERROR(_xlfn.XLOOKUP(Table6[[#This Row],[Suburb]],Table5[Travel Surcharge],Table5[$$]),"")</f>
        <v/>
      </c>
      <c r="AI203" s="47"/>
      <c r="AJ203" s="47"/>
      <c r="AL203" t="str">
        <v>Central Park Estate</v>
      </c>
    </row>
    <row r="204" spans="1:38">
      <c r="A204" s="374" t="s">
        <v>700</v>
      </c>
      <c r="B204" s="374">
        <v>3</v>
      </c>
      <c r="C204" s="374" t="s">
        <v>455</v>
      </c>
      <c r="D204" s="375" t="str">
        <f t="shared" si="36"/>
        <v>Amber Estate3</v>
      </c>
      <c r="E204" s="375" t="s">
        <v>701</v>
      </c>
      <c r="F204" s="375" t="s">
        <v>702</v>
      </c>
      <c r="G204" s="375" t="s">
        <v>703</v>
      </c>
      <c r="H204" s="375" t="s">
        <v>704</v>
      </c>
      <c r="I204" s="63" t="s">
        <v>705</v>
      </c>
      <c r="J204" s="47">
        <f t="shared" si="50"/>
        <v>3740</v>
      </c>
      <c r="K204" s="46" t="s">
        <v>7938</v>
      </c>
      <c r="L204" s="47">
        <f t="shared" ref="L204:L215" si="52">L$7</f>
        <v>1210</v>
      </c>
      <c r="M204" s="47"/>
      <c r="N204" s="47"/>
      <c r="O204" s="47"/>
      <c r="P204" s="47"/>
      <c r="Q204" s="47"/>
      <c r="R204" s="47"/>
      <c r="S204" s="47"/>
      <c r="T204" s="47"/>
      <c r="U204" s="47">
        <f t="shared" si="51"/>
        <v>430</v>
      </c>
      <c r="V204" s="47"/>
      <c r="W204" s="47"/>
      <c r="X204" s="47"/>
      <c r="Y204" s="47"/>
      <c r="Z204" s="47">
        <f t="shared" si="39"/>
        <v>4620</v>
      </c>
      <c r="AA204" s="47"/>
      <c r="AB204" s="47"/>
      <c r="AC204" s="47"/>
      <c r="AD204" s="47"/>
      <c r="AE204" s="47"/>
      <c r="AF204" s="47">
        <f t="shared" ref="AF204:AF215" si="53">AF$7</f>
        <v>1485</v>
      </c>
      <c r="AG204" s="47" t="s">
        <v>464</v>
      </c>
      <c r="AH204" s="47" t="str">
        <f>IFERROR(_xlfn.XLOOKUP(Table6[[#This Row],[Suburb]],Table5[Travel Surcharge],Table5[$$]),"")</f>
        <v/>
      </c>
      <c r="AI204" s="47"/>
      <c r="AJ204" s="47"/>
      <c r="AL204" t="str">
        <v>Central Walk Estate</v>
      </c>
    </row>
    <row r="205" spans="1:38">
      <c r="A205" s="374" t="s">
        <v>700</v>
      </c>
      <c r="B205" s="374">
        <v>4</v>
      </c>
      <c r="C205" s="374" t="s">
        <v>455</v>
      </c>
      <c r="D205" s="375" t="str">
        <f t="shared" si="36"/>
        <v>Amber Estate4</v>
      </c>
      <c r="E205" s="375" t="s">
        <v>706</v>
      </c>
      <c r="F205" s="375" t="s">
        <v>702</v>
      </c>
      <c r="G205" s="375" t="s">
        <v>703</v>
      </c>
      <c r="H205" s="375" t="s">
        <v>704</v>
      </c>
      <c r="I205" s="63" t="s">
        <v>705</v>
      </c>
      <c r="J205" s="47">
        <f t="shared" si="50"/>
        <v>3740</v>
      </c>
      <c r="K205" s="46" t="s">
        <v>7938</v>
      </c>
      <c r="L205" s="47">
        <f t="shared" si="52"/>
        <v>1210</v>
      </c>
      <c r="M205" s="47"/>
      <c r="N205" s="47"/>
      <c r="O205" s="47"/>
      <c r="P205" s="47"/>
      <c r="Q205" s="47"/>
      <c r="R205" s="47"/>
      <c r="S205" s="47"/>
      <c r="T205" s="47"/>
      <c r="U205" s="47">
        <f t="shared" si="51"/>
        <v>430</v>
      </c>
      <c r="V205" s="47"/>
      <c r="W205" s="47"/>
      <c r="X205" s="47"/>
      <c r="Y205" s="47"/>
      <c r="Z205" s="47">
        <f t="shared" si="39"/>
        <v>4620</v>
      </c>
      <c r="AA205" s="47"/>
      <c r="AB205" s="47"/>
      <c r="AC205" s="47"/>
      <c r="AD205" s="47"/>
      <c r="AE205" s="47"/>
      <c r="AF205" s="47">
        <f t="shared" si="53"/>
        <v>1485</v>
      </c>
      <c r="AG205" s="47" t="s">
        <v>464</v>
      </c>
      <c r="AH205" s="47" t="str">
        <f>IFERROR(_xlfn.XLOOKUP(Table6[[#This Row],[Suburb]],Table5[Travel Surcharge],Table5[$$]),"")</f>
        <v/>
      </c>
      <c r="AI205" s="47"/>
      <c r="AJ205" s="47"/>
      <c r="AL205" t="str">
        <v>Champions Estate</v>
      </c>
    </row>
    <row r="206" spans="1:38">
      <c r="A206" s="374" t="s">
        <v>700</v>
      </c>
      <c r="B206" s="374">
        <v>7</v>
      </c>
      <c r="C206" s="374" t="s">
        <v>455</v>
      </c>
      <c r="D206" s="375" t="str">
        <f t="shared" si="36"/>
        <v>Amber Estate7</v>
      </c>
      <c r="E206" s="375" t="s">
        <v>707</v>
      </c>
      <c r="F206" s="375" t="s">
        <v>702</v>
      </c>
      <c r="G206" s="375" t="s">
        <v>703</v>
      </c>
      <c r="H206" s="375" t="s">
        <v>704</v>
      </c>
      <c r="I206" s="63" t="s">
        <v>705</v>
      </c>
      <c r="J206" s="47">
        <f t="shared" si="50"/>
        <v>3740</v>
      </c>
      <c r="K206" s="46" t="s">
        <v>7938</v>
      </c>
      <c r="L206" s="47">
        <f t="shared" si="52"/>
        <v>1210</v>
      </c>
      <c r="M206" s="47"/>
      <c r="N206" s="47"/>
      <c r="O206" s="47"/>
      <c r="P206" s="47"/>
      <c r="Q206" s="47"/>
      <c r="R206" s="47"/>
      <c r="S206" s="47"/>
      <c r="T206" s="47"/>
      <c r="U206" s="47">
        <f t="shared" si="51"/>
        <v>430</v>
      </c>
      <c r="V206" s="47"/>
      <c r="W206" s="47"/>
      <c r="X206" s="47"/>
      <c r="Y206" s="47"/>
      <c r="Z206" s="47">
        <f t="shared" si="39"/>
        <v>4620</v>
      </c>
      <c r="AA206" s="47"/>
      <c r="AB206" s="47"/>
      <c r="AC206" s="47"/>
      <c r="AD206" s="47"/>
      <c r="AE206" s="47"/>
      <c r="AF206" s="47">
        <f t="shared" si="53"/>
        <v>1485</v>
      </c>
      <c r="AG206" s="47" t="s">
        <v>464</v>
      </c>
      <c r="AH206" s="47" t="str">
        <f>IFERROR(_xlfn.XLOOKUP(Table6[[#This Row],[Suburb]],Table5[Travel Surcharge],Table5[$$]),"")</f>
        <v/>
      </c>
      <c r="AI206" s="47"/>
      <c r="AJ206" s="47"/>
      <c r="AL206" t="str">
        <v>Charlemont Rise Estate</v>
      </c>
    </row>
    <row r="207" spans="1:38">
      <c r="A207" s="374" t="s">
        <v>700</v>
      </c>
      <c r="B207" s="374">
        <v>8</v>
      </c>
      <c r="C207" s="374" t="s">
        <v>455</v>
      </c>
      <c r="D207" s="375" t="str">
        <f t="shared" si="36"/>
        <v>Amber Estate8</v>
      </c>
      <c r="E207" s="375" t="s">
        <v>708</v>
      </c>
      <c r="F207" s="375" t="s">
        <v>702</v>
      </c>
      <c r="G207" s="375" t="s">
        <v>703</v>
      </c>
      <c r="H207" s="375" t="s">
        <v>704</v>
      </c>
      <c r="I207" s="63" t="s">
        <v>705</v>
      </c>
      <c r="J207" s="47">
        <f t="shared" si="50"/>
        <v>3740</v>
      </c>
      <c r="K207" s="46" t="s">
        <v>7938</v>
      </c>
      <c r="L207" s="47">
        <f t="shared" si="52"/>
        <v>1210</v>
      </c>
      <c r="M207" s="47"/>
      <c r="N207" s="47"/>
      <c r="O207" s="47"/>
      <c r="P207" s="47"/>
      <c r="Q207" s="47"/>
      <c r="R207" s="47"/>
      <c r="S207" s="47"/>
      <c r="T207" s="47"/>
      <c r="U207" s="47">
        <f t="shared" si="51"/>
        <v>430</v>
      </c>
      <c r="V207" s="47"/>
      <c r="W207" s="47"/>
      <c r="X207" s="47"/>
      <c r="Y207" s="47"/>
      <c r="Z207" s="47">
        <f t="shared" ref="Z207:Z240" si="54">Z$7</f>
        <v>4620</v>
      </c>
      <c r="AA207" s="47"/>
      <c r="AB207" s="47"/>
      <c r="AC207" s="47"/>
      <c r="AD207" s="47"/>
      <c r="AE207" s="47"/>
      <c r="AF207" s="47">
        <f t="shared" si="53"/>
        <v>1485</v>
      </c>
      <c r="AG207" s="47" t="s">
        <v>464</v>
      </c>
      <c r="AH207" s="47" t="str">
        <f>IFERROR(_xlfn.XLOOKUP(Table6[[#This Row],[Suburb]],Table5[Travel Surcharge],Table5[$$]),"")</f>
        <v/>
      </c>
      <c r="AI207" s="47"/>
      <c r="AJ207" s="47"/>
      <c r="AL207" t="str">
        <v>Chelsea Heights</v>
      </c>
    </row>
    <row r="208" spans="1:38">
      <c r="A208" s="374" t="s">
        <v>700</v>
      </c>
      <c r="B208" s="374">
        <v>9</v>
      </c>
      <c r="C208" s="374" t="s">
        <v>455</v>
      </c>
      <c r="D208" s="375" t="str">
        <f t="shared" si="36"/>
        <v>Amber Estate9</v>
      </c>
      <c r="E208" s="375" t="s">
        <v>709</v>
      </c>
      <c r="F208" s="375" t="s">
        <v>702</v>
      </c>
      <c r="G208" s="375" t="s">
        <v>703</v>
      </c>
      <c r="H208" s="375" t="s">
        <v>704</v>
      </c>
      <c r="I208" s="63" t="s">
        <v>705</v>
      </c>
      <c r="J208" s="47">
        <f t="shared" si="50"/>
        <v>3740</v>
      </c>
      <c r="K208" s="46" t="s">
        <v>7938</v>
      </c>
      <c r="L208" s="47">
        <f t="shared" si="52"/>
        <v>1210</v>
      </c>
      <c r="M208" s="47"/>
      <c r="N208" s="47"/>
      <c r="O208" s="47"/>
      <c r="P208" s="47"/>
      <c r="Q208" s="47"/>
      <c r="R208" s="47"/>
      <c r="S208" s="47"/>
      <c r="T208" s="47"/>
      <c r="U208" s="47">
        <f t="shared" si="51"/>
        <v>430</v>
      </c>
      <c r="V208" s="47"/>
      <c r="W208" s="47"/>
      <c r="X208" s="47"/>
      <c r="Y208" s="47"/>
      <c r="Z208" s="47">
        <f t="shared" si="54"/>
        <v>4620</v>
      </c>
      <c r="AA208" s="47"/>
      <c r="AB208" s="47"/>
      <c r="AC208" s="47"/>
      <c r="AD208" s="47"/>
      <c r="AE208" s="47"/>
      <c r="AF208" s="47">
        <f t="shared" si="53"/>
        <v>1485</v>
      </c>
      <c r="AG208" s="47" t="s">
        <v>464</v>
      </c>
      <c r="AH208" s="47" t="str">
        <f>IFERROR(_xlfn.XLOOKUP(Table6[[#This Row],[Suburb]],Table5[Travel Surcharge],Table5[$$]),"")</f>
        <v/>
      </c>
      <c r="AI208" s="47"/>
      <c r="AJ208" s="47"/>
      <c r="AL208" t="str">
        <v>Cherrington Estate</v>
      </c>
    </row>
    <row r="209" spans="1:38">
      <c r="A209" s="374" t="s">
        <v>700</v>
      </c>
      <c r="B209" s="374">
        <v>10</v>
      </c>
      <c r="C209" s="374" t="s">
        <v>455</v>
      </c>
      <c r="D209" s="375" t="str">
        <f t="shared" si="36"/>
        <v>Amber Estate10</v>
      </c>
      <c r="E209" s="375" t="s">
        <v>712</v>
      </c>
      <c r="F209" s="375" t="s">
        <v>702</v>
      </c>
      <c r="G209" s="375" t="s">
        <v>703</v>
      </c>
      <c r="H209" s="375" t="s">
        <v>704</v>
      </c>
      <c r="I209" s="63" t="s">
        <v>705</v>
      </c>
      <c r="J209" s="47">
        <f t="shared" si="50"/>
        <v>3740</v>
      </c>
      <c r="K209" s="46" t="s">
        <v>7938</v>
      </c>
      <c r="L209" s="47">
        <f t="shared" si="52"/>
        <v>1210</v>
      </c>
      <c r="M209" s="47"/>
      <c r="N209" s="47"/>
      <c r="O209" s="47"/>
      <c r="P209" s="47"/>
      <c r="Q209" s="47"/>
      <c r="R209" s="47"/>
      <c r="S209" s="47"/>
      <c r="T209" s="47"/>
      <c r="U209" s="47">
        <f t="shared" si="51"/>
        <v>430</v>
      </c>
      <c r="V209" s="47"/>
      <c r="W209" s="47"/>
      <c r="X209" s="47"/>
      <c r="Y209" s="47"/>
      <c r="Z209" s="47">
        <f t="shared" si="54"/>
        <v>4620</v>
      </c>
      <c r="AA209" s="47"/>
      <c r="AB209" s="47"/>
      <c r="AC209" s="47"/>
      <c r="AD209" s="47"/>
      <c r="AE209" s="47"/>
      <c r="AF209" s="47">
        <f t="shared" si="53"/>
        <v>1485</v>
      </c>
      <c r="AG209" s="47" t="s">
        <v>464</v>
      </c>
      <c r="AH209" s="47" t="str">
        <f>IFERROR(_xlfn.XLOOKUP(Table6[[#This Row],[Suburb]],Table5[Travel Surcharge],Table5[$$]),"")</f>
        <v/>
      </c>
      <c r="AI209" s="47"/>
      <c r="AJ209" s="47"/>
      <c r="AL209" t="str">
        <v>Cherry Side Estate</v>
      </c>
    </row>
    <row r="210" spans="1:38">
      <c r="A210" s="374" t="s">
        <v>700</v>
      </c>
      <c r="B210" s="374">
        <v>12</v>
      </c>
      <c r="C210" s="374" t="s">
        <v>455</v>
      </c>
      <c r="D210" s="375" t="str">
        <f t="shared" si="36"/>
        <v>Amber Estate12</v>
      </c>
      <c r="E210" s="375" t="s">
        <v>713</v>
      </c>
      <c r="F210" s="375" t="s">
        <v>702</v>
      </c>
      <c r="G210" s="375" t="s">
        <v>703</v>
      </c>
      <c r="H210" s="375" t="s">
        <v>704</v>
      </c>
      <c r="I210" s="63" t="s">
        <v>705</v>
      </c>
      <c r="J210" s="47">
        <f t="shared" si="50"/>
        <v>3740</v>
      </c>
      <c r="K210" s="46" t="s">
        <v>7938</v>
      </c>
      <c r="L210" s="47">
        <f t="shared" si="52"/>
        <v>1210</v>
      </c>
      <c r="M210" s="47"/>
      <c r="N210" s="47"/>
      <c r="O210" s="47"/>
      <c r="P210" s="47"/>
      <c r="Q210" s="47"/>
      <c r="R210" s="47"/>
      <c r="S210" s="47"/>
      <c r="T210" s="47"/>
      <c r="U210" s="47">
        <f t="shared" si="51"/>
        <v>430</v>
      </c>
      <c r="V210" s="47"/>
      <c r="W210" s="47"/>
      <c r="X210" s="47"/>
      <c r="Y210" s="47"/>
      <c r="Z210" s="47">
        <f t="shared" si="54"/>
        <v>4620</v>
      </c>
      <c r="AA210" s="47"/>
      <c r="AB210" s="47"/>
      <c r="AC210" s="47"/>
      <c r="AD210" s="47"/>
      <c r="AE210" s="47"/>
      <c r="AF210" s="47">
        <f t="shared" si="53"/>
        <v>1485</v>
      </c>
      <c r="AG210" s="47" t="s">
        <v>464</v>
      </c>
      <c r="AH210" s="47" t="str">
        <f>IFERROR(_xlfn.XLOOKUP(Table6[[#This Row],[Suburb]],Table5[Travel Surcharge],Table5[$$]),"")</f>
        <v/>
      </c>
      <c r="AI210" s="47"/>
      <c r="AJ210" s="47"/>
      <c r="AL210" t="str">
        <v>Chesterfield</v>
      </c>
    </row>
    <row r="211" spans="1:38">
      <c r="A211" s="374" t="s">
        <v>700</v>
      </c>
      <c r="B211" s="374" t="s">
        <v>714</v>
      </c>
      <c r="C211" s="374" t="s">
        <v>455</v>
      </c>
      <c r="D211" s="375" t="str">
        <f t="shared" si="36"/>
        <v>Amber Estate11A</v>
      </c>
      <c r="E211" s="375" t="s">
        <v>715</v>
      </c>
      <c r="F211" s="375" t="s">
        <v>702</v>
      </c>
      <c r="G211" s="375" t="s">
        <v>703</v>
      </c>
      <c r="H211" s="375" t="s">
        <v>704</v>
      </c>
      <c r="I211" s="63" t="s">
        <v>705</v>
      </c>
      <c r="J211" s="47">
        <f t="shared" si="50"/>
        <v>3740</v>
      </c>
      <c r="K211" s="46" t="s">
        <v>7938</v>
      </c>
      <c r="L211" s="47">
        <f t="shared" si="52"/>
        <v>1210</v>
      </c>
      <c r="M211" s="47"/>
      <c r="N211" s="47"/>
      <c r="O211" s="47"/>
      <c r="P211" s="47"/>
      <c r="Q211" s="47"/>
      <c r="R211" s="47"/>
      <c r="S211" s="47"/>
      <c r="T211" s="47"/>
      <c r="U211" s="47">
        <f t="shared" si="51"/>
        <v>430</v>
      </c>
      <c r="V211" s="47"/>
      <c r="W211" s="47"/>
      <c r="X211" s="47"/>
      <c r="Y211" s="47"/>
      <c r="Z211" s="47">
        <f t="shared" si="54"/>
        <v>4620</v>
      </c>
      <c r="AA211" s="47"/>
      <c r="AB211" s="47"/>
      <c r="AC211" s="47"/>
      <c r="AD211" s="47"/>
      <c r="AE211" s="47"/>
      <c r="AF211" s="47">
        <f t="shared" si="53"/>
        <v>1485</v>
      </c>
      <c r="AG211" s="47" t="s">
        <v>464</v>
      </c>
      <c r="AH211" s="47" t="str">
        <f>IFERROR(_xlfn.XLOOKUP(Table6[[#This Row],[Suburb]],Table5[Travel Surcharge],Table5[$$]),"")</f>
        <v/>
      </c>
      <c r="AI211" s="47"/>
      <c r="AJ211" s="47"/>
      <c r="AL211" t="str">
        <v xml:space="preserve">Chillingham Rd </v>
      </c>
    </row>
    <row r="212" spans="1:38">
      <c r="A212" s="374" t="s">
        <v>700</v>
      </c>
      <c r="B212" s="374" t="s">
        <v>716</v>
      </c>
      <c r="C212" s="374" t="s">
        <v>455</v>
      </c>
      <c r="D212" s="375" t="str">
        <f t="shared" si="36"/>
        <v>Amber Estate11B</v>
      </c>
      <c r="E212" s="375" t="s">
        <v>717</v>
      </c>
      <c r="F212" s="375" t="s">
        <v>702</v>
      </c>
      <c r="G212" s="375" t="s">
        <v>703</v>
      </c>
      <c r="H212" s="375" t="s">
        <v>704</v>
      </c>
      <c r="I212" s="63" t="s">
        <v>705</v>
      </c>
      <c r="J212" s="47">
        <f t="shared" si="50"/>
        <v>3740</v>
      </c>
      <c r="K212" s="46" t="s">
        <v>7938</v>
      </c>
      <c r="L212" s="47">
        <f t="shared" si="52"/>
        <v>1210</v>
      </c>
      <c r="M212" s="47"/>
      <c r="N212" s="47"/>
      <c r="O212" s="47"/>
      <c r="P212" s="47"/>
      <c r="Q212" s="47"/>
      <c r="R212" s="47"/>
      <c r="S212" s="47"/>
      <c r="T212" s="47"/>
      <c r="U212" s="47">
        <f t="shared" si="51"/>
        <v>430</v>
      </c>
      <c r="V212" s="47"/>
      <c r="W212" s="47"/>
      <c r="X212" s="47"/>
      <c r="Y212" s="47"/>
      <c r="Z212" s="47">
        <f t="shared" si="54"/>
        <v>4620</v>
      </c>
      <c r="AA212" s="47"/>
      <c r="AB212" s="47"/>
      <c r="AC212" s="47"/>
      <c r="AD212" s="47"/>
      <c r="AE212" s="47"/>
      <c r="AF212" s="47">
        <f t="shared" si="53"/>
        <v>1485</v>
      </c>
      <c r="AG212" s="47" t="s">
        <v>464</v>
      </c>
      <c r="AH212" s="47" t="str">
        <f>IFERROR(_xlfn.XLOOKUP(Table6[[#This Row],[Suburb]],Table5[Travel Surcharge],Table5[$$]),"")</f>
        <v/>
      </c>
      <c r="AI212" s="47"/>
      <c r="AJ212" s="47"/>
      <c r="AL212" t="str">
        <v>Chittering Place</v>
      </c>
    </row>
    <row r="213" spans="1:38">
      <c r="A213" s="374" t="s">
        <v>700</v>
      </c>
      <c r="B213" s="374" t="s">
        <v>718</v>
      </c>
      <c r="C213" s="374" t="s">
        <v>455</v>
      </c>
      <c r="D213" s="375" t="str">
        <f t="shared" si="36"/>
        <v>Amber Estate2A</v>
      </c>
      <c r="E213" s="375" t="s">
        <v>719</v>
      </c>
      <c r="F213" s="375" t="s">
        <v>702</v>
      </c>
      <c r="G213" s="375" t="s">
        <v>703</v>
      </c>
      <c r="H213" s="375" t="s">
        <v>704</v>
      </c>
      <c r="I213" s="63" t="s">
        <v>705</v>
      </c>
      <c r="J213" s="47">
        <f t="shared" si="50"/>
        <v>3740</v>
      </c>
      <c r="K213" s="46" t="s">
        <v>7938</v>
      </c>
      <c r="L213" s="47">
        <f t="shared" si="52"/>
        <v>1210</v>
      </c>
      <c r="M213" s="47"/>
      <c r="N213" s="47"/>
      <c r="O213" s="47"/>
      <c r="P213" s="47"/>
      <c r="Q213" s="47"/>
      <c r="R213" s="47"/>
      <c r="S213" s="47"/>
      <c r="T213" s="47"/>
      <c r="U213" s="47">
        <f t="shared" si="51"/>
        <v>430</v>
      </c>
      <c r="V213" s="47"/>
      <c r="W213" s="47"/>
      <c r="X213" s="47"/>
      <c r="Y213" s="47"/>
      <c r="Z213" s="47">
        <f t="shared" si="54"/>
        <v>4620</v>
      </c>
      <c r="AA213" s="47"/>
      <c r="AB213" s="47"/>
      <c r="AC213" s="47"/>
      <c r="AD213" s="47"/>
      <c r="AE213" s="47"/>
      <c r="AF213" s="47">
        <f t="shared" si="53"/>
        <v>1485</v>
      </c>
      <c r="AG213" s="47" t="s">
        <v>464</v>
      </c>
      <c r="AH213" s="47" t="str">
        <f>IFERROR(_xlfn.XLOOKUP(Table6[[#This Row],[Suburb]],Table5[Travel Surcharge],Table5[$$]),"")</f>
        <v/>
      </c>
      <c r="AI213" s="47"/>
      <c r="AJ213" s="47"/>
      <c r="AL213" t="str">
        <v>Circa 1886 Estate</v>
      </c>
    </row>
    <row r="214" spans="1:38">
      <c r="A214" s="374" t="s">
        <v>700</v>
      </c>
      <c r="B214" s="374" t="s">
        <v>622</v>
      </c>
      <c r="C214" s="374" t="s">
        <v>455</v>
      </c>
      <c r="D214" s="375" t="str">
        <f t="shared" si="36"/>
        <v>Amber Estate6A</v>
      </c>
      <c r="E214" s="375" t="s">
        <v>720</v>
      </c>
      <c r="F214" s="375" t="s">
        <v>702</v>
      </c>
      <c r="G214" s="375" t="s">
        <v>703</v>
      </c>
      <c r="H214" s="375" t="s">
        <v>704</v>
      </c>
      <c r="I214" s="63" t="s">
        <v>705</v>
      </c>
      <c r="J214" s="47">
        <f t="shared" si="50"/>
        <v>3740</v>
      </c>
      <c r="K214" s="46" t="s">
        <v>7938</v>
      </c>
      <c r="L214" s="47">
        <f t="shared" si="52"/>
        <v>1210</v>
      </c>
      <c r="M214" s="47"/>
      <c r="N214" s="47"/>
      <c r="O214" s="47"/>
      <c r="P214" s="47"/>
      <c r="Q214" s="47"/>
      <c r="R214" s="47"/>
      <c r="S214" s="47"/>
      <c r="T214" s="47"/>
      <c r="U214" s="47">
        <f t="shared" si="51"/>
        <v>430</v>
      </c>
      <c r="V214" s="47"/>
      <c r="W214" s="47"/>
      <c r="X214" s="47"/>
      <c r="Y214" s="47"/>
      <c r="Z214" s="47">
        <f t="shared" si="54"/>
        <v>4620</v>
      </c>
      <c r="AA214" s="47"/>
      <c r="AB214" s="47"/>
      <c r="AC214" s="47"/>
      <c r="AD214" s="47"/>
      <c r="AE214" s="47"/>
      <c r="AF214" s="47">
        <f t="shared" si="53"/>
        <v>1485</v>
      </c>
      <c r="AG214" s="47" t="s">
        <v>464</v>
      </c>
      <c r="AH214" s="47" t="str">
        <f>IFERROR(_xlfn.XLOOKUP(Table6[[#This Row],[Suburb]],Table5[Travel Surcharge],Table5[$$]),"")</f>
        <v/>
      </c>
      <c r="AI214" s="47"/>
      <c r="AJ214" s="47"/>
      <c r="AL214" t="str">
        <v>City Views Estate</v>
      </c>
    </row>
    <row r="215" spans="1:38">
      <c r="A215" s="374" t="s">
        <v>700</v>
      </c>
      <c r="B215" s="374" t="s">
        <v>710</v>
      </c>
      <c r="C215" s="374" t="s">
        <v>455</v>
      </c>
      <c r="D215" s="375" t="str">
        <f t="shared" si="36"/>
        <v>Amber Estate9B</v>
      </c>
      <c r="E215" s="375" t="s">
        <v>711</v>
      </c>
      <c r="F215" s="375" t="s">
        <v>702</v>
      </c>
      <c r="G215" s="375" t="s">
        <v>703</v>
      </c>
      <c r="H215" s="375" t="s">
        <v>704</v>
      </c>
      <c r="I215" s="63" t="s">
        <v>705</v>
      </c>
      <c r="J215" s="47">
        <f t="shared" si="50"/>
        <v>3740</v>
      </c>
      <c r="K215" s="46" t="s">
        <v>7938</v>
      </c>
      <c r="L215" s="47">
        <f t="shared" si="52"/>
        <v>1210</v>
      </c>
      <c r="M215" s="47"/>
      <c r="N215" s="47"/>
      <c r="O215" s="47"/>
      <c r="P215" s="47"/>
      <c r="Q215" s="47"/>
      <c r="R215" s="47"/>
      <c r="S215" s="47"/>
      <c r="T215" s="47"/>
      <c r="U215" s="47">
        <f t="shared" si="51"/>
        <v>430</v>
      </c>
      <c r="V215" s="47"/>
      <c r="W215" s="47"/>
      <c r="X215" s="47"/>
      <c r="Y215" s="47"/>
      <c r="Z215" s="47">
        <f t="shared" si="54"/>
        <v>4620</v>
      </c>
      <c r="AA215" s="47"/>
      <c r="AB215" s="47"/>
      <c r="AC215" s="47"/>
      <c r="AD215" s="47"/>
      <c r="AE215" s="47"/>
      <c r="AF215" s="47">
        <f t="shared" si="53"/>
        <v>1485</v>
      </c>
      <c r="AG215" s="47" t="s">
        <v>464</v>
      </c>
      <c r="AH215" s="47" t="str">
        <f>IFERROR(_xlfn.XLOOKUP(Table6[[#This Row],[Suburb]],Table5[Travel Surcharge],Table5[$$]),"")</f>
        <v/>
      </c>
      <c r="AI215" s="47"/>
      <c r="AJ215" s="47"/>
      <c r="AL215" t="str">
        <v>Clara Place</v>
      </c>
    </row>
    <row r="216" spans="1:38">
      <c r="A216" s="374" t="s">
        <v>721</v>
      </c>
      <c r="B216" s="374">
        <v>24</v>
      </c>
      <c r="C216" s="374" t="s">
        <v>722</v>
      </c>
      <c r="D216" s="375" t="str">
        <f t="shared" si="36"/>
        <v>Amberley Park24</v>
      </c>
      <c r="E216" s="375" t="s">
        <v>723</v>
      </c>
      <c r="F216" s="375" t="s">
        <v>724</v>
      </c>
      <c r="G216" s="375" t="s">
        <v>725</v>
      </c>
      <c r="H216" s="375" t="s">
        <v>726</v>
      </c>
      <c r="I216" s="63"/>
      <c r="J216" s="47">
        <f t="shared" si="50"/>
        <v>3740</v>
      </c>
      <c r="K216" s="46" t="s">
        <v>7938</v>
      </c>
      <c r="L216" s="47"/>
      <c r="M216" s="47"/>
      <c r="N216" s="47"/>
      <c r="O216" s="47"/>
      <c r="P216" s="47"/>
      <c r="Q216" s="47">
        <f>Q$2</f>
        <v>0</v>
      </c>
      <c r="R216" s="47"/>
      <c r="S216" s="47"/>
      <c r="T216" s="47"/>
      <c r="U216" s="47"/>
      <c r="V216" s="47"/>
      <c r="W216" s="47"/>
      <c r="X216" s="47"/>
      <c r="Y216" s="47"/>
      <c r="Z216" s="47">
        <f t="shared" si="54"/>
        <v>4620</v>
      </c>
      <c r="AA216" s="47"/>
      <c r="AB216" s="47"/>
      <c r="AC216" s="47"/>
      <c r="AD216" s="47"/>
      <c r="AE216" s="47"/>
      <c r="AF216" s="47"/>
      <c r="AG216" s="47"/>
      <c r="AH216" s="47" t="str">
        <f>IFERROR(_xlfn.XLOOKUP(Table6[[#This Row],[Suburb]],Table5[Travel Surcharge],Table5[$$]),"")</f>
        <v/>
      </c>
      <c r="AI216" s="47"/>
      <c r="AJ216" s="47"/>
      <c r="AL216" t="str">
        <v>Clarendon Park</v>
      </c>
    </row>
    <row r="217" spans="1:38">
      <c r="A217" s="374" t="s">
        <v>727</v>
      </c>
      <c r="B217" s="374">
        <v>1</v>
      </c>
      <c r="C217" s="374" t="s">
        <v>728</v>
      </c>
      <c r="D217" s="375" t="str">
        <f t="shared" si="36"/>
        <v>Ambervue Estate1</v>
      </c>
      <c r="E217" s="375" t="s">
        <v>729</v>
      </c>
      <c r="F217" s="375"/>
      <c r="G217" s="375" t="s">
        <v>730</v>
      </c>
      <c r="H217" s="375" t="s">
        <v>731</v>
      </c>
      <c r="I217" s="63" t="s">
        <v>732</v>
      </c>
      <c r="J217" s="47">
        <f t="shared" si="50"/>
        <v>3740</v>
      </c>
      <c r="K217" s="46" t="s">
        <v>7938</v>
      </c>
      <c r="L217" s="47"/>
      <c r="M217" s="47">
        <f t="shared" ref="M217:M240" si="55">M$7</f>
        <v>1430.0000000000002</v>
      </c>
      <c r="N217" s="47"/>
      <c r="O217" s="47" t="s">
        <v>733</v>
      </c>
      <c r="P217" s="47"/>
      <c r="Q217" s="47"/>
      <c r="R217" s="47"/>
      <c r="S217" s="47" t="s">
        <v>463</v>
      </c>
      <c r="T217" s="47"/>
      <c r="U217" s="47"/>
      <c r="V217" s="47"/>
      <c r="W217" s="47"/>
      <c r="X217" s="47"/>
      <c r="Y217" s="47"/>
      <c r="Z217" s="47">
        <f t="shared" si="54"/>
        <v>4620</v>
      </c>
      <c r="AA217" s="47"/>
      <c r="AB217" s="47"/>
      <c r="AC217" s="47"/>
      <c r="AD217" s="47"/>
      <c r="AE217" s="47"/>
      <c r="AF217" s="47">
        <f t="shared" ref="AF217:AF240" si="56">AF$7</f>
        <v>1485</v>
      </c>
      <c r="AG217" s="47"/>
      <c r="AH217" s="47" t="str">
        <f>IFERROR(_xlfn.XLOOKUP(Table6[[#This Row],[Suburb]],Table5[Travel Surcharge],Table5[$$]),"")</f>
        <v/>
      </c>
      <c r="AI217" s="47"/>
      <c r="AJ217" s="47"/>
      <c r="AL217" t="str">
        <v>Clarinda Park Estate</v>
      </c>
    </row>
    <row r="218" spans="1:38">
      <c r="A218" s="374" t="s">
        <v>727</v>
      </c>
      <c r="B218" s="374">
        <v>2</v>
      </c>
      <c r="C218" s="374" t="s">
        <v>728</v>
      </c>
      <c r="D218" s="375" t="str">
        <f t="shared" si="36"/>
        <v>Ambervue Estate2</v>
      </c>
      <c r="E218" s="375" t="s">
        <v>734</v>
      </c>
      <c r="F218" s="375"/>
      <c r="G218" s="375" t="s">
        <v>730</v>
      </c>
      <c r="H218" s="375" t="s">
        <v>731</v>
      </c>
      <c r="I218" s="63" t="s">
        <v>732</v>
      </c>
      <c r="J218" s="47">
        <f t="shared" si="50"/>
        <v>3740</v>
      </c>
      <c r="K218" s="46" t="s">
        <v>7938</v>
      </c>
      <c r="L218" s="47"/>
      <c r="M218" s="47">
        <f t="shared" si="55"/>
        <v>1430.0000000000002</v>
      </c>
      <c r="N218" s="47"/>
      <c r="O218" s="47" t="s">
        <v>733</v>
      </c>
      <c r="P218" s="47"/>
      <c r="Q218" s="47"/>
      <c r="R218" s="47"/>
      <c r="S218" s="47" t="s">
        <v>463</v>
      </c>
      <c r="T218" s="47"/>
      <c r="U218" s="47"/>
      <c r="V218" s="47"/>
      <c r="W218" s="47"/>
      <c r="X218" s="47"/>
      <c r="Y218" s="47"/>
      <c r="Z218" s="47">
        <f t="shared" si="54"/>
        <v>4620</v>
      </c>
      <c r="AA218" s="47"/>
      <c r="AB218" s="47"/>
      <c r="AC218" s="47"/>
      <c r="AD218" s="47"/>
      <c r="AE218" s="47"/>
      <c r="AF218" s="47">
        <f t="shared" si="56"/>
        <v>1485</v>
      </c>
      <c r="AG218" s="47"/>
      <c r="AH218" s="47" t="str">
        <f>IFERROR(_xlfn.XLOOKUP(Table6[[#This Row],[Suburb]],Table5[Travel Surcharge],Table5[$$]),"")</f>
        <v/>
      </c>
      <c r="AI218" s="47"/>
      <c r="AJ218" s="47"/>
      <c r="AL218" t="str">
        <v>Clayton Rise</v>
      </c>
    </row>
    <row r="219" spans="1:38">
      <c r="A219" s="374" t="s">
        <v>727</v>
      </c>
      <c r="B219" s="374">
        <v>3</v>
      </c>
      <c r="C219" s="374" t="s">
        <v>728</v>
      </c>
      <c r="D219" s="375" t="str">
        <f t="shared" si="36"/>
        <v>Ambervue Estate3</v>
      </c>
      <c r="E219" s="375" t="s">
        <v>735</v>
      </c>
      <c r="F219" s="375"/>
      <c r="G219" s="375" t="s">
        <v>730</v>
      </c>
      <c r="H219" s="375" t="s">
        <v>731</v>
      </c>
      <c r="I219" s="63" t="s">
        <v>732</v>
      </c>
      <c r="J219" s="47">
        <f t="shared" si="50"/>
        <v>3740</v>
      </c>
      <c r="K219" s="46" t="s">
        <v>7938</v>
      </c>
      <c r="L219" s="47"/>
      <c r="M219" s="47">
        <f t="shared" si="55"/>
        <v>1430.0000000000002</v>
      </c>
      <c r="N219" s="47"/>
      <c r="O219" s="47" t="s">
        <v>733</v>
      </c>
      <c r="P219" s="47"/>
      <c r="Q219" s="47"/>
      <c r="R219" s="47"/>
      <c r="S219" s="47" t="s">
        <v>463</v>
      </c>
      <c r="T219" s="47"/>
      <c r="U219" s="47"/>
      <c r="V219" s="47"/>
      <c r="W219" s="47"/>
      <c r="X219" s="47"/>
      <c r="Y219" s="47"/>
      <c r="Z219" s="47">
        <f t="shared" si="54"/>
        <v>4620</v>
      </c>
      <c r="AA219" s="47"/>
      <c r="AB219" s="47"/>
      <c r="AC219" s="47"/>
      <c r="AD219" s="47"/>
      <c r="AE219" s="47"/>
      <c r="AF219" s="47">
        <f t="shared" si="56"/>
        <v>1485</v>
      </c>
      <c r="AG219" s="47"/>
      <c r="AH219" s="47" t="str">
        <f>IFERROR(_xlfn.XLOOKUP(Table6[[#This Row],[Suburb]],Table5[Travel Surcharge],Table5[$$]),"")</f>
        <v/>
      </c>
      <c r="AI219" s="47"/>
      <c r="AJ219" s="47"/>
      <c r="AL219" t="str">
        <v>Clearwater</v>
      </c>
    </row>
    <row r="220" spans="1:38">
      <c r="A220" s="157" t="s">
        <v>727</v>
      </c>
      <c r="B220" s="157">
        <v>4</v>
      </c>
      <c r="C220" s="157" t="s">
        <v>728</v>
      </c>
      <c r="D220" s="157" t="str">
        <f t="shared" si="36"/>
        <v>Ambervue Estate4</v>
      </c>
      <c r="E220" s="157" t="s">
        <v>7970</v>
      </c>
      <c r="F220" s="157"/>
      <c r="G220" s="157" t="s">
        <v>730</v>
      </c>
      <c r="H220" s="157" t="s">
        <v>731</v>
      </c>
      <c r="I220" s="158" t="s">
        <v>732</v>
      </c>
      <c r="J220" s="47">
        <f t="shared" si="50"/>
        <v>3740</v>
      </c>
      <c r="K220" s="46" t="s">
        <v>7938</v>
      </c>
      <c r="L220" s="47"/>
      <c r="M220" s="47">
        <f t="shared" si="55"/>
        <v>1430.0000000000002</v>
      </c>
      <c r="N220" s="47"/>
      <c r="O220" s="47" t="s">
        <v>733</v>
      </c>
      <c r="P220" s="47"/>
      <c r="Q220" s="47"/>
      <c r="R220" s="47"/>
      <c r="S220" s="47" t="s">
        <v>463</v>
      </c>
      <c r="T220" s="47"/>
      <c r="U220" s="47"/>
      <c r="V220" s="47"/>
      <c r="W220" s="47"/>
      <c r="X220" s="47"/>
      <c r="Y220" s="47"/>
      <c r="Z220" s="47">
        <f t="shared" si="54"/>
        <v>4620</v>
      </c>
      <c r="AA220" s="47"/>
      <c r="AB220" s="47"/>
      <c r="AC220" s="47"/>
      <c r="AD220" s="47"/>
      <c r="AE220" s="47"/>
      <c r="AF220" s="47">
        <f t="shared" si="56"/>
        <v>1485</v>
      </c>
      <c r="AG220" s="47"/>
      <c r="AH220" s="47" t="str">
        <f>IFERROR(_xlfn.XLOOKUP(Table6[[#This Row],[Suburb]],Table5[Travel Surcharge],Table5[$$]),"")</f>
        <v/>
      </c>
      <c r="AI220" s="47"/>
      <c r="AJ220" s="47"/>
      <c r="AL220" t="str">
        <v>Cloverton Estate</v>
      </c>
    </row>
    <row r="221" spans="1:38">
      <c r="A221" s="374" t="s">
        <v>727</v>
      </c>
      <c r="B221" s="374">
        <v>5</v>
      </c>
      <c r="C221" s="374" t="s">
        <v>728</v>
      </c>
      <c r="D221" s="375" t="str">
        <f t="shared" si="36"/>
        <v>Ambervue Estate5</v>
      </c>
      <c r="E221" s="375" t="s">
        <v>10822</v>
      </c>
      <c r="F221" s="375"/>
      <c r="G221" s="375" t="s">
        <v>730</v>
      </c>
      <c r="H221" s="375" t="s">
        <v>731</v>
      </c>
      <c r="I221" s="63" t="s">
        <v>732</v>
      </c>
      <c r="J221" s="47">
        <v>3740</v>
      </c>
      <c r="K221" s="46" t="s">
        <v>7938</v>
      </c>
      <c r="L221" s="47"/>
      <c r="M221" s="47">
        <v>1430.0000000000002</v>
      </c>
      <c r="N221" s="47"/>
      <c r="O221" s="47" t="s">
        <v>733</v>
      </c>
      <c r="P221" s="47"/>
      <c r="Q221" s="47"/>
      <c r="R221" s="47"/>
      <c r="S221" s="47" t="s">
        <v>463</v>
      </c>
      <c r="T221" s="47"/>
      <c r="U221" s="47"/>
      <c r="V221" s="47"/>
      <c r="W221" s="47"/>
      <c r="X221" s="47"/>
      <c r="Y221" s="47"/>
      <c r="Z221" s="47">
        <v>4620</v>
      </c>
      <c r="AA221" s="47"/>
      <c r="AB221" s="47"/>
      <c r="AC221" s="47"/>
      <c r="AD221" s="47"/>
      <c r="AE221" s="47"/>
      <c r="AF221" s="47">
        <v>1485</v>
      </c>
      <c r="AG221" s="47"/>
      <c r="AH221" s="47" t="s">
        <v>9976</v>
      </c>
      <c r="AI221" s="47"/>
      <c r="AJ221" s="47"/>
      <c r="AL221" t="str">
        <v>Clyde Springs Estate</v>
      </c>
    </row>
    <row r="222" spans="1:38">
      <c r="A222" s="374" t="s">
        <v>727</v>
      </c>
      <c r="B222" s="374">
        <v>6</v>
      </c>
      <c r="C222" s="374" t="s">
        <v>728</v>
      </c>
      <c r="D222" s="375" t="str">
        <f t="shared" si="36"/>
        <v>Ambervue Estate6</v>
      </c>
      <c r="E222" s="375" t="s">
        <v>10807</v>
      </c>
      <c r="F222" s="375"/>
      <c r="G222" s="375" t="s">
        <v>730</v>
      </c>
      <c r="H222" s="375" t="s">
        <v>731</v>
      </c>
      <c r="I222" s="63" t="s">
        <v>732</v>
      </c>
      <c r="J222" s="47">
        <v>3740</v>
      </c>
      <c r="K222" s="46" t="s">
        <v>7938</v>
      </c>
      <c r="L222" s="47"/>
      <c r="M222" s="47">
        <v>1430.0000000000002</v>
      </c>
      <c r="N222" s="47"/>
      <c r="O222" s="47" t="s">
        <v>733</v>
      </c>
      <c r="P222" s="47"/>
      <c r="Q222" s="47"/>
      <c r="R222" s="47"/>
      <c r="S222" s="47" t="s">
        <v>463</v>
      </c>
      <c r="T222" s="47"/>
      <c r="U222" s="47"/>
      <c r="V222" s="47"/>
      <c r="W222" s="47"/>
      <c r="X222" s="47"/>
      <c r="Y222" s="47"/>
      <c r="Z222" s="47">
        <v>4620</v>
      </c>
      <c r="AA222" s="47"/>
      <c r="AB222" s="47"/>
      <c r="AC222" s="47"/>
      <c r="AD222" s="47"/>
      <c r="AE222" s="47"/>
      <c r="AF222" s="47">
        <v>1485</v>
      </c>
      <c r="AG222" s="47"/>
      <c r="AH222" s="47" t="s">
        <v>9976</v>
      </c>
      <c r="AI222" s="47"/>
      <c r="AJ222" s="47"/>
      <c r="AL222" t="str">
        <v>Clydevale Estate</v>
      </c>
    </row>
    <row r="223" spans="1:38">
      <c r="A223" s="374" t="s">
        <v>736</v>
      </c>
      <c r="B223" s="374">
        <v>1</v>
      </c>
      <c r="C223" s="374" t="s">
        <v>281</v>
      </c>
      <c r="D223" s="375" t="str">
        <f t="shared" si="36"/>
        <v>Anchoridge Estate1</v>
      </c>
      <c r="E223" s="375" t="s">
        <v>737</v>
      </c>
      <c r="F223" s="375" t="s">
        <v>738</v>
      </c>
      <c r="G223" s="375"/>
      <c r="H223" s="375" t="s">
        <v>739</v>
      </c>
      <c r="I223" s="63"/>
      <c r="J223" s="47">
        <f t="shared" si="50"/>
        <v>3740</v>
      </c>
      <c r="K223" s="46" t="s">
        <v>10735</v>
      </c>
      <c r="L223" s="47"/>
      <c r="M223" s="47">
        <f t="shared" si="55"/>
        <v>1430.0000000000002</v>
      </c>
      <c r="N223" s="47" t="s">
        <v>740</v>
      </c>
      <c r="O223" s="47" t="s">
        <v>741</v>
      </c>
      <c r="P223" s="47"/>
      <c r="Q223" s="47"/>
      <c r="R223" s="47"/>
      <c r="S223" s="47"/>
      <c r="T223" s="47">
        <f t="shared" ref="T223:T240" si="57">T$2</f>
        <v>780</v>
      </c>
      <c r="U223" s="47"/>
      <c r="V223" s="47"/>
      <c r="W223" s="47"/>
      <c r="X223" s="47"/>
      <c r="Y223" s="47"/>
      <c r="Z223" s="47">
        <f t="shared" si="54"/>
        <v>4620</v>
      </c>
      <c r="AA223" s="47"/>
      <c r="AB223" s="47"/>
      <c r="AC223" s="47"/>
      <c r="AD223" s="47"/>
      <c r="AE223" s="47"/>
      <c r="AF223" s="47">
        <f t="shared" si="56"/>
        <v>1485</v>
      </c>
      <c r="AG223" s="47"/>
      <c r="AH223" s="47">
        <f>IFERROR(_xlfn.XLOOKUP(Table6[[#This Row],[Suburb]],Table5[Travel Surcharge],Table5[$$]),"")</f>
        <v>1500</v>
      </c>
      <c r="AI223" s="47"/>
      <c r="AJ223" s="47"/>
      <c r="AL223" t="str">
        <v xml:space="preserve">Coastal Rise </v>
      </c>
    </row>
    <row r="224" spans="1:38">
      <c r="A224" s="374" t="s">
        <v>736</v>
      </c>
      <c r="B224" s="374">
        <v>2</v>
      </c>
      <c r="C224" s="374" t="s">
        <v>281</v>
      </c>
      <c r="D224" s="375" t="str">
        <f t="shared" si="36"/>
        <v>Anchoridge Estate2</v>
      </c>
      <c r="E224" s="375" t="s">
        <v>742</v>
      </c>
      <c r="F224" s="375" t="s">
        <v>738</v>
      </c>
      <c r="G224" s="375"/>
      <c r="H224" s="375" t="s">
        <v>739</v>
      </c>
      <c r="I224" s="63"/>
      <c r="J224" s="47">
        <f t="shared" si="50"/>
        <v>3740</v>
      </c>
      <c r="K224" s="46" t="s">
        <v>10735</v>
      </c>
      <c r="L224" s="47"/>
      <c r="M224" s="47">
        <f t="shared" si="55"/>
        <v>1430.0000000000002</v>
      </c>
      <c r="N224" s="47" t="s">
        <v>740</v>
      </c>
      <c r="O224" s="47" t="s">
        <v>741</v>
      </c>
      <c r="P224" s="47"/>
      <c r="Q224" s="47"/>
      <c r="R224" s="47"/>
      <c r="S224" s="47"/>
      <c r="T224" s="47">
        <f t="shared" si="57"/>
        <v>780</v>
      </c>
      <c r="U224" s="47"/>
      <c r="V224" s="47"/>
      <c r="W224" s="47"/>
      <c r="X224" s="47"/>
      <c r="Y224" s="47"/>
      <c r="Z224" s="47">
        <f t="shared" si="54"/>
        <v>4620</v>
      </c>
      <c r="AA224" s="47"/>
      <c r="AB224" s="47"/>
      <c r="AC224" s="47"/>
      <c r="AD224" s="47"/>
      <c r="AE224" s="47"/>
      <c r="AF224" s="47">
        <f t="shared" si="56"/>
        <v>1485</v>
      </c>
      <c r="AG224" s="47"/>
      <c r="AH224" s="47">
        <f>IFERROR(_xlfn.XLOOKUP(Table6[[#This Row],[Suburb]],Table5[Travel Surcharge],Table5[$$]),"")</f>
        <v>1500</v>
      </c>
      <c r="AI224" s="47"/>
      <c r="AJ224" s="47"/>
      <c r="AL224" t="str">
        <v>Cobble Springs</v>
      </c>
    </row>
    <row r="225" spans="1:38">
      <c r="A225" s="374" t="s">
        <v>736</v>
      </c>
      <c r="B225" s="374">
        <v>3</v>
      </c>
      <c r="C225" s="374" t="s">
        <v>281</v>
      </c>
      <c r="D225" s="375" t="str">
        <f t="shared" si="36"/>
        <v>Anchoridge Estate3</v>
      </c>
      <c r="E225" s="375" t="s">
        <v>743</v>
      </c>
      <c r="F225" s="375" t="s">
        <v>738</v>
      </c>
      <c r="G225" s="375"/>
      <c r="H225" s="375" t="s">
        <v>739</v>
      </c>
      <c r="I225" s="63"/>
      <c r="J225" s="47">
        <f t="shared" si="50"/>
        <v>3740</v>
      </c>
      <c r="K225" s="46" t="s">
        <v>10735</v>
      </c>
      <c r="L225" s="47"/>
      <c r="M225" s="47">
        <f t="shared" si="55"/>
        <v>1430.0000000000002</v>
      </c>
      <c r="N225" s="47" t="s">
        <v>740</v>
      </c>
      <c r="O225" s="47" t="s">
        <v>741</v>
      </c>
      <c r="P225" s="47"/>
      <c r="Q225" s="47"/>
      <c r="R225" s="47"/>
      <c r="S225" s="47"/>
      <c r="T225" s="47">
        <f t="shared" si="57"/>
        <v>780</v>
      </c>
      <c r="U225" s="47"/>
      <c r="V225" s="47"/>
      <c r="W225" s="47"/>
      <c r="X225" s="47"/>
      <c r="Y225" s="47"/>
      <c r="Z225" s="47">
        <f t="shared" si="54"/>
        <v>4620</v>
      </c>
      <c r="AA225" s="47"/>
      <c r="AB225" s="47"/>
      <c r="AC225" s="47"/>
      <c r="AD225" s="47"/>
      <c r="AE225" s="47"/>
      <c r="AF225" s="47">
        <f t="shared" si="56"/>
        <v>1485</v>
      </c>
      <c r="AG225" s="47"/>
      <c r="AH225" s="47">
        <f>IFERROR(_xlfn.XLOOKUP(Table6[[#This Row],[Suburb]],Table5[Travel Surcharge],Table5[$$]),"")</f>
        <v>1500</v>
      </c>
      <c r="AI225" s="47"/>
      <c r="AJ225" s="47"/>
      <c r="AL225" t="str">
        <v xml:space="preserve">Coburns Rise </v>
      </c>
    </row>
    <row r="226" spans="1:38">
      <c r="A226" s="374" t="s">
        <v>736</v>
      </c>
      <c r="B226" s="374">
        <v>4</v>
      </c>
      <c r="C226" s="374" t="s">
        <v>281</v>
      </c>
      <c r="D226" s="375" t="str">
        <f t="shared" si="36"/>
        <v>Anchoridge Estate4</v>
      </c>
      <c r="E226" s="375" t="s">
        <v>744</v>
      </c>
      <c r="F226" s="375" t="s">
        <v>738</v>
      </c>
      <c r="G226" s="375"/>
      <c r="H226" s="375" t="s">
        <v>739</v>
      </c>
      <c r="I226" s="63"/>
      <c r="J226" s="47">
        <f t="shared" si="50"/>
        <v>3740</v>
      </c>
      <c r="K226" s="46" t="s">
        <v>10735</v>
      </c>
      <c r="L226" s="47"/>
      <c r="M226" s="47">
        <f t="shared" si="55"/>
        <v>1430.0000000000002</v>
      </c>
      <c r="N226" s="47" t="s">
        <v>740</v>
      </c>
      <c r="O226" s="47" t="s">
        <v>741</v>
      </c>
      <c r="P226" s="47"/>
      <c r="Q226" s="47"/>
      <c r="R226" s="47"/>
      <c r="S226" s="47"/>
      <c r="T226" s="47">
        <f t="shared" si="57"/>
        <v>780</v>
      </c>
      <c r="U226" s="47"/>
      <c r="V226" s="47"/>
      <c r="W226" s="47"/>
      <c r="X226" s="47"/>
      <c r="Y226" s="47"/>
      <c r="Z226" s="47">
        <f t="shared" si="54"/>
        <v>4620</v>
      </c>
      <c r="AA226" s="47"/>
      <c r="AB226" s="47"/>
      <c r="AC226" s="47"/>
      <c r="AD226" s="47"/>
      <c r="AE226" s="47"/>
      <c r="AF226" s="47">
        <f t="shared" si="56"/>
        <v>1485</v>
      </c>
      <c r="AG226" s="47"/>
      <c r="AH226" s="47">
        <f>IFERROR(_xlfn.XLOOKUP(Table6[[#This Row],[Suburb]],Table5[Travel Surcharge],Table5[$$]),"")</f>
        <v>1500</v>
      </c>
      <c r="AI226" s="47"/>
      <c r="AJ226" s="47"/>
      <c r="AL226" t="str">
        <v>College Fields - Officer</v>
      </c>
    </row>
    <row r="227" spans="1:38">
      <c r="A227" s="374" t="s">
        <v>736</v>
      </c>
      <c r="B227" s="374">
        <v>5</v>
      </c>
      <c r="C227" s="374" t="s">
        <v>281</v>
      </c>
      <c r="D227" s="375" t="str">
        <f t="shared" si="36"/>
        <v>Anchoridge Estate5</v>
      </c>
      <c r="E227" s="375" t="s">
        <v>745</v>
      </c>
      <c r="F227" s="375" t="s">
        <v>738</v>
      </c>
      <c r="G227" s="375"/>
      <c r="H227" s="375" t="s">
        <v>739</v>
      </c>
      <c r="I227" s="63"/>
      <c r="J227" s="47">
        <f t="shared" si="50"/>
        <v>3740</v>
      </c>
      <c r="K227" s="46" t="s">
        <v>10735</v>
      </c>
      <c r="L227" s="47"/>
      <c r="M227" s="47">
        <f t="shared" si="55"/>
        <v>1430.0000000000002</v>
      </c>
      <c r="N227" s="47" t="s">
        <v>740</v>
      </c>
      <c r="O227" s="47" t="s">
        <v>741</v>
      </c>
      <c r="P227" s="47"/>
      <c r="Q227" s="47"/>
      <c r="R227" s="47"/>
      <c r="S227" s="47"/>
      <c r="T227" s="47">
        <f t="shared" si="57"/>
        <v>780</v>
      </c>
      <c r="U227" s="47"/>
      <c r="V227" s="47"/>
      <c r="W227" s="47"/>
      <c r="X227" s="47"/>
      <c r="Y227" s="47"/>
      <c r="Z227" s="47">
        <f t="shared" si="54"/>
        <v>4620</v>
      </c>
      <c r="AA227" s="47"/>
      <c r="AB227" s="47"/>
      <c r="AC227" s="47"/>
      <c r="AD227" s="47"/>
      <c r="AE227" s="47"/>
      <c r="AF227" s="47">
        <f t="shared" si="56"/>
        <v>1485</v>
      </c>
      <c r="AG227" s="47"/>
      <c r="AH227" s="47">
        <f>IFERROR(_xlfn.XLOOKUP(Table6[[#This Row],[Suburb]],Table5[Travel Surcharge],Table5[$$]),"")</f>
        <v>1500</v>
      </c>
      <c r="AI227" s="47"/>
      <c r="AJ227" s="47"/>
      <c r="AL227" t="str">
        <v>College Fields - Wyndham Vale</v>
      </c>
    </row>
    <row r="228" spans="1:38">
      <c r="A228" s="374" t="s">
        <v>736</v>
      </c>
      <c r="B228" s="374">
        <v>6</v>
      </c>
      <c r="C228" s="374" t="s">
        <v>281</v>
      </c>
      <c r="D228" s="375" t="str">
        <f t="shared" si="36"/>
        <v>Anchoridge Estate6</v>
      </c>
      <c r="E228" s="375" t="s">
        <v>746</v>
      </c>
      <c r="F228" s="375" t="s">
        <v>738</v>
      </c>
      <c r="G228" s="375"/>
      <c r="H228" s="375" t="s">
        <v>739</v>
      </c>
      <c r="I228" s="63"/>
      <c r="J228" s="47">
        <f t="shared" si="50"/>
        <v>3740</v>
      </c>
      <c r="K228" s="46" t="s">
        <v>10735</v>
      </c>
      <c r="L228" s="47"/>
      <c r="M228" s="47">
        <f t="shared" si="55"/>
        <v>1430.0000000000002</v>
      </c>
      <c r="N228" s="47" t="s">
        <v>740</v>
      </c>
      <c r="O228" s="47" t="s">
        <v>741</v>
      </c>
      <c r="P228" s="47"/>
      <c r="Q228" s="47"/>
      <c r="R228" s="47"/>
      <c r="S228" s="47"/>
      <c r="T228" s="47">
        <f t="shared" si="57"/>
        <v>780</v>
      </c>
      <c r="U228" s="47"/>
      <c r="V228" s="47"/>
      <c r="W228" s="47"/>
      <c r="X228" s="47"/>
      <c r="Y228" s="47"/>
      <c r="Z228" s="47">
        <f t="shared" si="54"/>
        <v>4620</v>
      </c>
      <c r="AA228" s="47"/>
      <c r="AB228" s="47"/>
      <c r="AC228" s="47"/>
      <c r="AD228" s="47"/>
      <c r="AE228" s="47"/>
      <c r="AF228" s="47">
        <f t="shared" si="56"/>
        <v>1485</v>
      </c>
      <c r="AG228" s="47"/>
      <c r="AH228" s="47">
        <f>IFERROR(_xlfn.XLOOKUP(Table6[[#This Row],[Suburb]],Table5[Travel Surcharge],Table5[$$]),"")</f>
        <v>1500</v>
      </c>
      <c r="AI228" s="47"/>
      <c r="AJ228" s="47"/>
      <c r="AL228" t="str">
        <v>College Green Estate</v>
      </c>
    </row>
    <row r="229" spans="1:38">
      <c r="A229" s="374" t="s">
        <v>736</v>
      </c>
      <c r="B229" s="374">
        <v>7</v>
      </c>
      <c r="C229" s="374" t="s">
        <v>281</v>
      </c>
      <c r="D229" s="375" t="str">
        <f t="shared" si="36"/>
        <v>Anchoridge Estate7</v>
      </c>
      <c r="E229" s="375" t="s">
        <v>747</v>
      </c>
      <c r="F229" s="375" t="s">
        <v>738</v>
      </c>
      <c r="G229" s="375"/>
      <c r="H229" s="375" t="s">
        <v>739</v>
      </c>
      <c r="I229" s="63"/>
      <c r="J229" s="47">
        <f t="shared" si="50"/>
        <v>3740</v>
      </c>
      <c r="K229" s="46" t="s">
        <v>10735</v>
      </c>
      <c r="L229" s="47"/>
      <c r="M229" s="47">
        <f t="shared" si="55"/>
        <v>1430.0000000000002</v>
      </c>
      <c r="N229" s="47" t="s">
        <v>740</v>
      </c>
      <c r="O229" s="47" t="s">
        <v>741</v>
      </c>
      <c r="P229" s="47"/>
      <c r="Q229" s="47"/>
      <c r="R229" s="47"/>
      <c r="S229" s="47"/>
      <c r="T229" s="47">
        <f t="shared" si="57"/>
        <v>780</v>
      </c>
      <c r="U229" s="47"/>
      <c r="V229" s="47"/>
      <c r="W229" s="47"/>
      <c r="X229" s="47"/>
      <c r="Y229" s="47"/>
      <c r="Z229" s="47">
        <f t="shared" si="54"/>
        <v>4620</v>
      </c>
      <c r="AA229" s="47"/>
      <c r="AB229" s="47"/>
      <c r="AC229" s="47"/>
      <c r="AD229" s="47"/>
      <c r="AE229" s="47"/>
      <c r="AF229" s="47">
        <f t="shared" si="56"/>
        <v>1485</v>
      </c>
      <c r="AG229" s="47"/>
      <c r="AH229" s="47">
        <f>IFERROR(_xlfn.XLOOKUP(Table6[[#This Row],[Suburb]],Table5[Travel Surcharge],Table5[$$]),"")</f>
        <v>1500</v>
      </c>
      <c r="AI229" s="47"/>
      <c r="AJ229" s="47"/>
      <c r="AL229" t="str">
        <v>Conroys Green</v>
      </c>
    </row>
    <row r="230" spans="1:38">
      <c r="A230" s="374" t="s">
        <v>736</v>
      </c>
      <c r="B230" s="374">
        <v>9</v>
      </c>
      <c r="C230" s="374" t="s">
        <v>281</v>
      </c>
      <c r="D230" s="375" t="str">
        <f t="shared" si="36"/>
        <v>Anchoridge Estate9</v>
      </c>
      <c r="E230" s="375" t="s">
        <v>752</v>
      </c>
      <c r="F230" s="375" t="s">
        <v>738</v>
      </c>
      <c r="G230" s="375"/>
      <c r="H230" s="375" t="s">
        <v>739</v>
      </c>
      <c r="I230" s="63"/>
      <c r="J230" s="47">
        <f t="shared" ref="J230:J261" si="58">J$7</f>
        <v>3740</v>
      </c>
      <c r="K230" s="46" t="s">
        <v>10735</v>
      </c>
      <c r="L230" s="47"/>
      <c r="M230" s="47">
        <f t="shared" si="55"/>
        <v>1430.0000000000002</v>
      </c>
      <c r="N230" s="47" t="s">
        <v>740</v>
      </c>
      <c r="O230" s="47" t="s">
        <v>741</v>
      </c>
      <c r="P230" s="47"/>
      <c r="Q230" s="47"/>
      <c r="R230" s="47"/>
      <c r="S230" s="47"/>
      <c r="T230" s="47">
        <f t="shared" si="57"/>
        <v>780</v>
      </c>
      <c r="U230" s="47"/>
      <c r="V230" s="47"/>
      <c r="W230" s="47"/>
      <c r="X230" s="47"/>
      <c r="Y230" s="47"/>
      <c r="Z230" s="47">
        <f t="shared" si="54"/>
        <v>4620</v>
      </c>
      <c r="AA230" s="47"/>
      <c r="AB230" s="47"/>
      <c r="AC230" s="47"/>
      <c r="AD230" s="47"/>
      <c r="AE230" s="47"/>
      <c r="AF230" s="47">
        <f t="shared" si="56"/>
        <v>1485</v>
      </c>
      <c r="AG230" s="47"/>
      <c r="AH230" s="47">
        <f>IFERROR(_xlfn.XLOOKUP(Table6[[#This Row],[Suburb]],Table5[Travel Surcharge],Table5[$$]),"")</f>
        <v>1500</v>
      </c>
      <c r="AI230" s="47"/>
      <c r="AJ230" s="47"/>
      <c r="AL230" t="str">
        <v>Coomoora</v>
      </c>
    </row>
    <row r="231" spans="1:38">
      <c r="A231" s="374" t="s">
        <v>736</v>
      </c>
      <c r="B231" s="374">
        <v>10</v>
      </c>
      <c r="C231" s="374" t="s">
        <v>281</v>
      </c>
      <c r="D231" s="375" t="str">
        <f t="shared" si="36"/>
        <v>Anchoridge Estate10</v>
      </c>
      <c r="E231" s="375" t="s">
        <v>753</v>
      </c>
      <c r="F231" s="375" t="s">
        <v>738</v>
      </c>
      <c r="G231" s="375"/>
      <c r="H231" s="375" t="s">
        <v>739</v>
      </c>
      <c r="I231" s="63"/>
      <c r="J231" s="47">
        <f t="shared" si="58"/>
        <v>3740</v>
      </c>
      <c r="K231" s="46" t="s">
        <v>10735</v>
      </c>
      <c r="L231" s="47"/>
      <c r="M231" s="47">
        <f t="shared" si="55"/>
        <v>1430.0000000000002</v>
      </c>
      <c r="N231" s="47" t="s">
        <v>740</v>
      </c>
      <c r="O231" s="47" t="s">
        <v>741</v>
      </c>
      <c r="P231" s="47"/>
      <c r="Q231" s="47"/>
      <c r="R231" s="47"/>
      <c r="S231" s="47"/>
      <c r="T231" s="47">
        <f t="shared" si="57"/>
        <v>780</v>
      </c>
      <c r="U231" s="47"/>
      <c r="V231" s="47"/>
      <c r="W231" s="47"/>
      <c r="X231" s="47"/>
      <c r="Y231" s="47"/>
      <c r="Z231" s="47">
        <f t="shared" si="54"/>
        <v>4620</v>
      </c>
      <c r="AA231" s="47"/>
      <c r="AB231" s="47"/>
      <c r="AC231" s="47"/>
      <c r="AD231" s="47"/>
      <c r="AE231" s="47"/>
      <c r="AF231" s="47">
        <f t="shared" si="56"/>
        <v>1485</v>
      </c>
      <c r="AG231" s="47"/>
      <c r="AH231" s="47">
        <f>IFERROR(_xlfn.XLOOKUP(Table6[[#This Row],[Suburb]],Table5[Travel Surcharge],Table5[$$]),"")</f>
        <v>1500</v>
      </c>
      <c r="AI231" s="47"/>
      <c r="AJ231" s="47"/>
      <c r="AL231" t="str">
        <v>Copelands Estate</v>
      </c>
    </row>
    <row r="232" spans="1:38">
      <c r="A232" s="374" t="s">
        <v>736</v>
      </c>
      <c r="B232" s="374">
        <v>12</v>
      </c>
      <c r="C232" s="374" t="s">
        <v>281</v>
      </c>
      <c r="D232" s="375" t="str">
        <f t="shared" si="36"/>
        <v>Anchoridge Estate12</v>
      </c>
      <c r="E232" s="375" t="s">
        <v>757</v>
      </c>
      <c r="F232" s="375" t="s">
        <v>738</v>
      </c>
      <c r="G232" s="375"/>
      <c r="H232" s="375" t="s">
        <v>739</v>
      </c>
      <c r="I232" s="63"/>
      <c r="J232" s="47">
        <f t="shared" si="58"/>
        <v>3740</v>
      </c>
      <c r="K232" s="46" t="s">
        <v>10735</v>
      </c>
      <c r="L232" s="47"/>
      <c r="M232" s="47">
        <f t="shared" si="55"/>
        <v>1430.0000000000002</v>
      </c>
      <c r="N232" s="47" t="s">
        <v>740</v>
      </c>
      <c r="O232" s="47" t="s">
        <v>741</v>
      </c>
      <c r="P232" s="47"/>
      <c r="Q232" s="47"/>
      <c r="R232" s="47"/>
      <c r="S232" s="47"/>
      <c r="T232" s="47">
        <f t="shared" si="57"/>
        <v>780</v>
      </c>
      <c r="U232" s="47"/>
      <c r="V232" s="47"/>
      <c r="W232" s="47"/>
      <c r="X232" s="47"/>
      <c r="Y232" s="47"/>
      <c r="Z232" s="47">
        <f t="shared" si="54"/>
        <v>4620</v>
      </c>
      <c r="AA232" s="47"/>
      <c r="AB232" s="47"/>
      <c r="AC232" s="47"/>
      <c r="AD232" s="47"/>
      <c r="AE232" s="47"/>
      <c r="AF232" s="47">
        <f t="shared" si="56"/>
        <v>1485</v>
      </c>
      <c r="AG232" s="47"/>
      <c r="AH232" s="47">
        <f>IFERROR(_xlfn.XLOOKUP(Table6[[#This Row],[Suburb]],Table5[Travel Surcharge],Table5[$$]),"")</f>
        <v>1500</v>
      </c>
      <c r="AI232" s="47"/>
      <c r="AJ232" s="47"/>
      <c r="AL232" t="str">
        <v>Coridale</v>
      </c>
    </row>
    <row r="233" spans="1:38">
      <c r="A233" s="157" t="s">
        <v>736</v>
      </c>
      <c r="B233" s="157">
        <v>13</v>
      </c>
      <c r="C233" s="157" t="s">
        <v>281</v>
      </c>
      <c r="D233" s="157" t="str">
        <f t="shared" si="36"/>
        <v>Anchoridge Estate13</v>
      </c>
      <c r="E233" s="157" t="s">
        <v>7975</v>
      </c>
      <c r="F233" s="157" t="s">
        <v>738</v>
      </c>
      <c r="G233" s="157"/>
      <c r="H233" s="157" t="s">
        <v>739</v>
      </c>
      <c r="I233" s="158"/>
      <c r="J233" s="47">
        <f t="shared" si="58"/>
        <v>3740</v>
      </c>
      <c r="K233" s="46" t="s">
        <v>10735</v>
      </c>
      <c r="L233" s="47"/>
      <c r="M233" s="47">
        <f t="shared" si="55"/>
        <v>1430.0000000000002</v>
      </c>
      <c r="N233" s="47" t="s">
        <v>740</v>
      </c>
      <c r="O233" s="47" t="s">
        <v>741</v>
      </c>
      <c r="P233" s="47"/>
      <c r="Q233" s="47"/>
      <c r="R233" s="47"/>
      <c r="S233" s="47"/>
      <c r="T233" s="47">
        <f t="shared" si="57"/>
        <v>780</v>
      </c>
      <c r="U233" s="47"/>
      <c r="V233" s="47"/>
      <c r="W233" s="47"/>
      <c r="X233" s="47"/>
      <c r="Y233" s="47"/>
      <c r="Z233" s="47">
        <f t="shared" si="54"/>
        <v>4620</v>
      </c>
      <c r="AA233" s="47"/>
      <c r="AB233" s="47"/>
      <c r="AC233" s="47"/>
      <c r="AD233" s="47"/>
      <c r="AE233" s="47"/>
      <c r="AF233" s="47">
        <f t="shared" si="56"/>
        <v>1485</v>
      </c>
      <c r="AG233" s="47"/>
      <c r="AH233" s="47">
        <f>IFERROR(_xlfn.XLOOKUP(Table6[[#This Row],[Suburb]],Table5[Travel Surcharge],Table5[$$]),"")</f>
        <v>1500</v>
      </c>
      <c r="AI233" s="47"/>
      <c r="AJ233" s="47"/>
      <c r="AL233" t="str">
        <v>Coriyule Estate</v>
      </c>
    </row>
    <row r="234" spans="1:38">
      <c r="A234" s="374" t="s">
        <v>736</v>
      </c>
      <c r="B234" s="374">
        <v>14</v>
      </c>
      <c r="C234" s="374" t="s">
        <v>281</v>
      </c>
      <c r="D234" s="375" t="str">
        <f t="shared" si="36"/>
        <v>Anchoridge Estate14</v>
      </c>
      <c r="E234" s="375" t="s">
        <v>758</v>
      </c>
      <c r="F234" s="375" t="s">
        <v>738</v>
      </c>
      <c r="G234" s="375"/>
      <c r="H234" s="375" t="s">
        <v>739</v>
      </c>
      <c r="I234" s="63"/>
      <c r="J234" s="47">
        <f t="shared" si="58"/>
        <v>3740</v>
      </c>
      <c r="K234" s="46" t="s">
        <v>10735</v>
      </c>
      <c r="L234" s="47"/>
      <c r="M234" s="47">
        <f t="shared" si="55"/>
        <v>1430.0000000000002</v>
      </c>
      <c r="N234" s="47" t="s">
        <v>740</v>
      </c>
      <c r="O234" s="47" t="s">
        <v>741</v>
      </c>
      <c r="P234" s="47" t="s">
        <v>759</v>
      </c>
      <c r="Q234" s="47"/>
      <c r="R234" s="47"/>
      <c r="S234" s="47"/>
      <c r="T234" s="47">
        <f t="shared" si="57"/>
        <v>780</v>
      </c>
      <c r="U234" s="47"/>
      <c r="V234" s="47"/>
      <c r="W234" s="47"/>
      <c r="X234" s="47"/>
      <c r="Y234" s="47"/>
      <c r="Z234" s="47">
        <f t="shared" si="54"/>
        <v>4620</v>
      </c>
      <c r="AA234" s="47"/>
      <c r="AB234" s="47"/>
      <c r="AC234" s="47"/>
      <c r="AD234" s="47"/>
      <c r="AE234" s="47"/>
      <c r="AF234" s="47">
        <f t="shared" si="56"/>
        <v>1485</v>
      </c>
      <c r="AG234" s="47"/>
      <c r="AH234" s="47">
        <f>IFERROR(_xlfn.XLOOKUP(Table6[[#This Row],[Suburb]],Table5[Travel Surcharge],Table5[$$]),"")</f>
        <v>1500</v>
      </c>
      <c r="AI234" s="47"/>
      <c r="AJ234" s="47"/>
      <c r="AL234" t="str">
        <v>Cornerstone Estate</v>
      </c>
    </row>
    <row r="235" spans="1:38">
      <c r="A235" s="374" t="s">
        <v>736</v>
      </c>
      <c r="B235" s="374">
        <v>15</v>
      </c>
      <c r="C235" s="374" t="s">
        <v>281</v>
      </c>
      <c r="D235" s="375" t="str">
        <f t="shared" si="36"/>
        <v>Anchoridge Estate15</v>
      </c>
      <c r="E235" s="375" t="s">
        <v>7373</v>
      </c>
      <c r="F235" s="375" t="s">
        <v>738</v>
      </c>
      <c r="G235" s="375"/>
      <c r="H235" s="375" t="s">
        <v>739</v>
      </c>
      <c r="I235" s="63"/>
      <c r="J235" s="47">
        <f t="shared" si="58"/>
        <v>3740</v>
      </c>
      <c r="K235" s="46" t="s">
        <v>10735</v>
      </c>
      <c r="L235" s="47"/>
      <c r="M235" s="47">
        <f t="shared" si="55"/>
        <v>1430.0000000000002</v>
      </c>
      <c r="N235" s="47" t="s">
        <v>740</v>
      </c>
      <c r="O235" s="47" t="s">
        <v>741</v>
      </c>
      <c r="P235" s="47" t="s">
        <v>759</v>
      </c>
      <c r="Q235" s="47"/>
      <c r="R235" s="47"/>
      <c r="S235" s="47"/>
      <c r="T235" s="47">
        <f t="shared" si="57"/>
        <v>780</v>
      </c>
      <c r="U235" s="47"/>
      <c r="V235" s="47"/>
      <c r="W235" s="47"/>
      <c r="X235" s="47"/>
      <c r="Y235" s="47"/>
      <c r="Z235" s="47">
        <f t="shared" si="54"/>
        <v>4620</v>
      </c>
      <c r="AA235" s="47"/>
      <c r="AB235" s="47"/>
      <c r="AC235" s="47"/>
      <c r="AD235" s="47"/>
      <c r="AE235" s="47"/>
      <c r="AF235" s="47">
        <f t="shared" si="56"/>
        <v>1485</v>
      </c>
      <c r="AG235" s="47"/>
      <c r="AH235" s="47">
        <f>IFERROR(_xlfn.XLOOKUP(Table6[[#This Row],[Suburb]],Table5[Travel Surcharge],Table5[$$]),"")</f>
        <v>1500</v>
      </c>
      <c r="AI235" s="47"/>
      <c r="AJ235" s="47"/>
      <c r="AL235" t="str">
        <v>Creekbank</v>
      </c>
    </row>
    <row r="236" spans="1:38">
      <c r="A236" s="374" t="s">
        <v>736</v>
      </c>
      <c r="B236" s="374" t="s">
        <v>754</v>
      </c>
      <c r="C236" s="374" t="s">
        <v>281</v>
      </c>
      <c r="D236" s="375" t="str">
        <f t="shared" si="36"/>
        <v>Anchoridge Estate10A</v>
      </c>
      <c r="E236" s="375" t="s">
        <v>753</v>
      </c>
      <c r="F236" s="375" t="s">
        <v>738</v>
      </c>
      <c r="G236" s="375"/>
      <c r="H236" s="375" t="s">
        <v>739</v>
      </c>
      <c r="I236" s="63"/>
      <c r="J236" s="47">
        <f t="shared" si="58"/>
        <v>3740</v>
      </c>
      <c r="K236" s="46" t="s">
        <v>10735</v>
      </c>
      <c r="L236" s="47"/>
      <c r="M236" s="47">
        <f t="shared" si="55"/>
        <v>1430.0000000000002</v>
      </c>
      <c r="N236" s="47" t="s">
        <v>740</v>
      </c>
      <c r="O236" s="47" t="s">
        <v>741</v>
      </c>
      <c r="P236" s="47"/>
      <c r="Q236" s="47"/>
      <c r="R236" s="47"/>
      <c r="S236" s="47"/>
      <c r="T236" s="47">
        <f t="shared" si="57"/>
        <v>780</v>
      </c>
      <c r="U236" s="47"/>
      <c r="V236" s="47"/>
      <c r="W236" s="47"/>
      <c r="X236" s="47"/>
      <c r="Y236" s="47"/>
      <c r="Z236" s="47">
        <f t="shared" si="54"/>
        <v>4620</v>
      </c>
      <c r="AA236" s="47"/>
      <c r="AB236" s="47"/>
      <c r="AC236" s="47"/>
      <c r="AD236" s="47"/>
      <c r="AE236" s="47"/>
      <c r="AF236" s="47">
        <f t="shared" si="56"/>
        <v>1485</v>
      </c>
      <c r="AG236" s="47"/>
      <c r="AH236" s="47">
        <f>IFERROR(_xlfn.XLOOKUP(Table6[[#This Row],[Suburb]],Table5[Travel Surcharge],Table5[$$]),"")</f>
        <v>1500</v>
      </c>
      <c r="AI236" s="47"/>
      <c r="AJ236" s="47"/>
      <c r="AL236" t="str">
        <v>Creekstone Estate</v>
      </c>
    </row>
    <row r="237" spans="1:38">
      <c r="A237" s="374" t="s">
        <v>736</v>
      </c>
      <c r="B237" s="374" t="s">
        <v>755</v>
      </c>
      <c r="C237" s="374" t="s">
        <v>281</v>
      </c>
      <c r="D237" s="375" t="str">
        <f t="shared" ref="D237:D300" si="59">CONCATENATE(A237,B237)</f>
        <v>Anchoridge Estate10B</v>
      </c>
      <c r="E237" s="375" t="s">
        <v>753</v>
      </c>
      <c r="F237" s="375" t="s">
        <v>738</v>
      </c>
      <c r="G237" s="375"/>
      <c r="H237" s="375" t="s">
        <v>739</v>
      </c>
      <c r="I237" s="63"/>
      <c r="J237" s="47">
        <f t="shared" si="58"/>
        <v>3740</v>
      </c>
      <c r="K237" s="46" t="s">
        <v>10735</v>
      </c>
      <c r="L237" s="47"/>
      <c r="M237" s="47">
        <f t="shared" si="55"/>
        <v>1430.0000000000002</v>
      </c>
      <c r="N237" s="47" t="s">
        <v>740</v>
      </c>
      <c r="O237" s="47" t="s">
        <v>741</v>
      </c>
      <c r="P237" s="47"/>
      <c r="Q237" s="47"/>
      <c r="R237" s="47"/>
      <c r="S237" s="47"/>
      <c r="T237" s="47">
        <f t="shared" si="57"/>
        <v>780</v>
      </c>
      <c r="U237" s="47"/>
      <c r="V237" s="47"/>
      <c r="W237" s="47"/>
      <c r="X237" s="47"/>
      <c r="Y237" s="47"/>
      <c r="Z237" s="47">
        <f t="shared" si="54"/>
        <v>4620</v>
      </c>
      <c r="AA237" s="47"/>
      <c r="AB237" s="47"/>
      <c r="AC237" s="47"/>
      <c r="AD237" s="47"/>
      <c r="AE237" s="47"/>
      <c r="AF237" s="47">
        <f t="shared" si="56"/>
        <v>1485</v>
      </c>
      <c r="AG237" s="47"/>
      <c r="AH237" s="47">
        <f>IFERROR(_xlfn.XLOOKUP(Table6[[#This Row],[Suburb]],Table5[Travel Surcharge],Table5[$$]),"")</f>
        <v>1500</v>
      </c>
      <c r="AI237" s="47"/>
      <c r="AJ237" s="47"/>
      <c r="AL237" t="str">
        <v>Cressida Rise (920 Bridge Inn)</v>
      </c>
    </row>
    <row r="238" spans="1:38">
      <c r="A238" s="374" t="s">
        <v>736</v>
      </c>
      <c r="B238" s="374" t="s">
        <v>756</v>
      </c>
      <c r="C238" s="374" t="s">
        <v>281</v>
      </c>
      <c r="D238" s="375" t="str">
        <f t="shared" si="59"/>
        <v>Anchoridge Estate10C</v>
      </c>
      <c r="E238" s="375" t="s">
        <v>753</v>
      </c>
      <c r="F238" s="375" t="s">
        <v>738</v>
      </c>
      <c r="G238" s="375"/>
      <c r="H238" s="375" t="s">
        <v>739</v>
      </c>
      <c r="I238" s="63"/>
      <c r="J238" s="47">
        <f t="shared" si="58"/>
        <v>3740</v>
      </c>
      <c r="K238" s="46" t="s">
        <v>10735</v>
      </c>
      <c r="L238" s="47"/>
      <c r="M238" s="47">
        <f t="shared" si="55"/>
        <v>1430.0000000000002</v>
      </c>
      <c r="N238" s="47" t="s">
        <v>740</v>
      </c>
      <c r="O238" s="47" t="s">
        <v>741</v>
      </c>
      <c r="P238" s="47"/>
      <c r="Q238" s="47"/>
      <c r="R238" s="47"/>
      <c r="S238" s="47"/>
      <c r="T238" s="47">
        <f t="shared" si="57"/>
        <v>780</v>
      </c>
      <c r="U238" s="47"/>
      <c r="V238" s="47"/>
      <c r="W238" s="47"/>
      <c r="X238" s="47"/>
      <c r="Y238" s="47"/>
      <c r="Z238" s="47">
        <f t="shared" si="54"/>
        <v>4620</v>
      </c>
      <c r="AA238" s="47"/>
      <c r="AB238" s="47"/>
      <c r="AC238" s="47"/>
      <c r="AD238" s="47"/>
      <c r="AE238" s="47"/>
      <c r="AF238" s="47">
        <f t="shared" si="56"/>
        <v>1485</v>
      </c>
      <c r="AG238" s="47"/>
      <c r="AH238" s="47">
        <f>IFERROR(_xlfn.XLOOKUP(Table6[[#This Row],[Suburb]],Table5[Travel Surcharge],Table5[$$]),"")</f>
        <v>1500</v>
      </c>
      <c r="AI238" s="47"/>
      <c r="AJ238" s="47"/>
      <c r="AL238" t="str">
        <v>Crestwood Place</v>
      </c>
    </row>
    <row r="239" spans="1:38">
      <c r="A239" s="374" t="s">
        <v>736</v>
      </c>
      <c r="B239" s="374" t="s">
        <v>748</v>
      </c>
      <c r="C239" s="374" t="s">
        <v>281</v>
      </c>
      <c r="D239" s="375" t="str">
        <f t="shared" si="59"/>
        <v>Anchoridge Estate8A</v>
      </c>
      <c r="E239" s="375" t="s">
        <v>749</v>
      </c>
      <c r="F239" s="375" t="s">
        <v>738</v>
      </c>
      <c r="G239" s="375"/>
      <c r="H239" s="375" t="s">
        <v>739</v>
      </c>
      <c r="I239" s="63"/>
      <c r="J239" s="47">
        <f t="shared" si="58"/>
        <v>3740</v>
      </c>
      <c r="K239" s="46" t="s">
        <v>10735</v>
      </c>
      <c r="L239" s="47"/>
      <c r="M239" s="47">
        <f t="shared" si="55"/>
        <v>1430.0000000000002</v>
      </c>
      <c r="N239" s="47" t="s">
        <v>740</v>
      </c>
      <c r="O239" s="47" t="s">
        <v>741</v>
      </c>
      <c r="P239" s="47"/>
      <c r="Q239" s="47"/>
      <c r="R239" s="47"/>
      <c r="S239" s="47"/>
      <c r="T239" s="47">
        <f t="shared" si="57"/>
        <v>780</v>
      </c>
      <c r="U239" s="47"/>
      <c r="V239" s="47"/>
      <c r="W239" s="47"/>
      <c r="X239" s="47"/>
      <c r="Y239" s="47"/>
      <c r="Z239" s="47">
        <f t="shared" si="54"/>
        <v>4620</v>
      </c>
      <c r="AA239" s="47"/>
      <c r="AB239" s="47"/>
      <c r="AC239" s="47"/>
      <c r="AD239" s="47"/>
      <c r="AE239" s="47"/>
      <c r="AF239" s="47">
        <f t="shared" si="56"/>
        <v>1485</v>
      </c>
      <c r="AG239" s="47"/>
      <c r="AH239" s="47">
        <f>IFERROR(_xlfn.XLOOKUP(Table6[[#This Row],[Suburb]],Table5[Travel Surcharge],Table5[$$]),"")</f>
        <v>1500</v>
      </c>
      <c r="AI239" s="47"/>
      <c r="AJ239" s="47"/>
      <c r="AL239" t="str">
        <v>Curlewis Parks Estate</v>
      </c>
    </row>
    <row r="240" spans="1:38">
      <c r="A240" s="374" t="s">
        <v>736</v>
      </c>
      <c r="B240" s="374" t="s">
        <v>750</v>
      </c>
      <c r="C240" s="374" t="s">
        <v>281</v>
      </c>
      <c r="D240" s="375" t="str">
        <f t="shared" si="59"/>
        <v>Anchoridge Estate8B</v>
      </c>
      <c r="E240" s="375" t="s">
        <v>751</v>
      </c>
      <c r="F240" s="375" t="s">
        <v>738</v>
      </c>
      <c r="G240" s="375"/>
      <c r="H240" s="375" t="s">
        <v>739</v>
      </c>
      <c r="I240" s="63"/>
      <c r="J240" s="47">
        <f t="shared" si="58"/>
        <v>3740</v>
      </c>
      <c r="K240" s="46" t="s">
        <v>10735</v>
      </c>
      <c r="L240" s="47"/>
      <c r="M240" s="47">
        <f t="shared" si="55"/>
        <v>1430.0000000000002</v>
      </c>
      <c r="N240" s="47" t="s">
        <v>740</v>
      </c>
      <c r="O240" s="47" t="s">
        <v>741</v>
      </c>
      <c r="P240" s="47"/>
      <c r="Q240" s="47"/>
      <c r="R240" s="47"/>
      <c r="S240" s="47"/>
      <c r="T240" s="47">
        <f t="shared" si="57"/>
        <v>780</v>
      </c>
      <c r="U240" s="47"/>
      <c r="V240" s="47"/>
      <c r="W240" s="47"/>
      <c r="X240" s="47"/>
      <c r="Y240" s="47"/>
      <c r="Z240" s="47">
        <f t="shared" si="54"/>
        <v>4620</v>
      </c>
      <c r="AA240" s="47"/>
      <c r="AB240" s="47"/>
      <c r="AC240" s="47"/>
      <c r="AD240" s="47"/>
      <c r="AE240" s="47"/>
      <c r="AF240" s="47">
        <f t="shared" si="56"/>
        <v>1485</v>
      </c>
      <c r="AG240" s="47"/>
      <c r="AH240" s="47">
        <f>IFERROR(_xlfn.XLOOKUP(Table6[[#This Row],[Suburb]],Table5[Travel Surcharge],Table5[$$]),"")</f>
        <v>1500</v>
      </c>
      <c r="AI240" s="47"/>
      <c r="AJ240" s="47"/>
      <c r="AL240" t="str">
        <v>Dalgona Estate</v>
      </c>
    </row>
    <row r="241" spans="1:38">
      <c r="A241" s="374" t="s">
        <v>760</v>
      </c>
      <c r="B241" s="374">
        <v>2</v>
      </c>
      <c r="C241" s="374" t="s">
        <v>385</v>
      </c>
      <c r="D241" s="375" t="str">
        <f t="shared" si="59"/>
        <v>Annabella Street Estate2</v>
      </c>
      <c r="E241" s="375" t="s">
        <v>386</v>
      </c>
      <c r="F241" s="375" t="s">
        <v>761</v>
      </c>
      <c r="G241" s="375" t="s">
        <v>397</v>
      </c>
      <c r="H241" s="375" t="s">
        <v>398</v>
      </c>
      <c r="I241" s="63" t="s">
        <v>762</v>
      </c>
      <c r="J241" s="47">
        <f t="shared" si="58"/>
        <v>3740</v>
      </c>
      <c r="K241" s="46" t="s">
        <v>10735</v>
      </c>
      <c r="L241" s="47"/>
      <c r="M241" s="47"/>
      <c r="N241" s="47"/>
      <c r="O241" s="47"/>
      <c r="P241" s="47"/>
      <c r="Q241" s="47">
        <f>Q$2</f>
        <v>0</v>
      </c>
      <c r="R241" s="47"/>
      <c r="S241" s="47"/>
      <c r="T241" s="47"/>
      <c r="U241" s="47"/>
      <c r="V241" s="47"/>
      <c r="W241" s="47"/>
      <c r="X241" s="47"/>
      <c r="Y241" s="47"/>
      <c r="Z241" s="47">
        <f t="shared" ref="Z241:Z272" si="60">Z$7</f>
        <v>4620</v>
      </c>
      <c r="AA241" s="47"/>
      <c r="AB241" s="47"/>
      <c r="AC241" s="47"/>
      <c r="AD241" s="47"/>
      <c r="AE241" s="47"/>
      <c r="AF241" s="47"/>
      <c r="AG241" s="47"/>
      <c r="AH241" s="47" t="str">
        <f>IFERROR(_xlfn.XLOOKUP(Table6[[#This Row],[Suburb]],Table5[Travel Surcharge],Table5[$$]),"")</f>
        <v/>
      </c>
      <c r="AI241" s="47"/>
      <c r="AJ241" s="47"/>
      <c r="AL241" t="str">
        <v xml:space="preserve">Danthonia Ave </v>
      </c>
    </row>
    <row r="242" spans="1:38">
      <c r="A242" s="374" t="s">
        <v>763</v>
      </c>
      <c r="B242" s="374">
        <v>2</v>
      </c>
      <c r="C242" s="374" t="s">
        <v>764</v>
      </c>
      <c r="D242" s="375" t="str">
        <f t="shared" si="59"/>
        <v>Annadale Estate2</v>
      </c>
      <c r="E242" s="375" t="s">
        <v>765</v>
      </c>
      <c r="F242" s="375" t="s">
        <v>766</v>
      </c>
      <c r="G242" s="375" t="s">
        <v>767</v>
      </c>
      <c r="H242" s="375" t="s">
        <v>768</v>
      </c>
      <c r="I242" s="63" t="s">
        <v>769</v>
      </c>
      <c r="J242" s="47">
        <f t="shared" si="58"/>
        <v>3740</v>
      </c>
      <c r="K242" s="46" t="s">
        <v>10735</v>
      </c>
      <c r="L242" s="47"/>
      <c r="M242" s="47"/>
      <c r="N242" s="47"/>
      <c r="O242" s="47"/>
      <c r="P242" s="47"/>
      <c r="Q242" s="47"/>
      <c r="R242" s="47"/>
      <c r="S242" s="47"/>
      <c r="T242" s="47" t="s">
        <v>770</v>
      </c>
      <c r="U242" s="47"/>
      <c r="V242" s="47"/>
      <c r="W242" s="47"/>
      <c r="X242" s="47"/>
      <c r="Y242" s="47"/>
      <c r="Z242" s="47">
        <f t="shared" si="60"/>
        <v>4620</v>
      </c>
      <c r="AA242" s="47"/>
      <c r="AB242" s="47"/>
      <c r="AC242" s="47"/>
      <c r="AD242" s="47" t="s">
        <v>771</v>
      </c>
      <c r="AE242" s="47"/>
      <c r="AF242" s="47"/>
      <c r="AG242" s="47"/>
      <c r="AH242" s="47" t="str">
        <f>IFERROR(_xlfn.XLOOKUP(Table6[[#This Row],[Suburb]],Table5[Travel Surcharge],Table5[$$]),"")</f>
        <v/>
      </c>
      <c r="AI242" s="47"/>
      <c r="AJ242" s="47"/>
      <c r="AL242" t="str">
        <v>Darling Darley</v>
      </c>
    </row>
    <row r="243" spans="1:38">
      <c r="A243" s="374" t="s">
        <v>763</v>
      </c>
      <c r="B243" s="374">
        <v>4</v>
      </c>
      <c r="C243" s="374" t="s">
        <v>764</v>
      </c>
      <c r="D243" s="375" t="str">
        <f t="shared" si="59"/>
        <v>Annadale Estate4</v>
      </c>
      <c r="E243" s="375" t="s">
        <v>772</v>
      </c>
      <c r="F243" s="375" t="s">
        <v>766</v>
      </c>
      <c r="G243" s="375" t="s">
        <v>767</v>
      </c>
      <c r="H243" s="375" t="s">
        <v>768</v>
      </c>
      <c r="I243" s="63" t="s">
        <v>769</v>
      </c>
      <c r="J243" s="47">
        <f t="shared" si="58"/>
        <v>3740</v>
      </c>
      <c r="K243" s="46" t="s">
        <v>10735</v>
      </c>
      <c r="L243" s="47"/>
      <c r="M243" s="47"/>
      <c r="N243" s="47"/>
      <c r="O243" s="47"/>
      <c r="P243" s="47"/>
      <c r="Q243" s="47"/>
      <c r="R243" s="47"/>
      <c r="S243" s="47"/>
      <c r="T243" s="47" t="s">
        <v>770</v>
      </c>
      <c r="U243" s="47"/>
      <c r="V243" s="47"/>
      <c r="W243" s="47"/>
      <c r="X243" s="47"/>
      <c r="Y243" s="47"/>
      <c r="Z243" s="47">
        <f t="shared" si="60"/>
        <v>4620</v>
      </c>
      <c r="AA243" s="47"/>
      <c r="AB243" s="47"/>
      <c r="AC243" s="47"/>
      <c r="AD243" s="47" t="s">
        <v>771</v>
      </c>
      <c r="AE243" s="47"/>
      <c r="AF243" s="47"/>
      <c r="AG243" s="47"/>
      <c r="AH243" s="47" t="str">
        <f>IFERROR(_xlfn.XLOOKUP(Table6[[#This Row],[Suburb]],Table5[Travel Surcharge],Table5[$$]),"")</f>
        <v/>
      </c>
      <c r="AI243" s="47"/>
      <c r="AJ243" s="47"/>
      <c r="AL243" t="str">
        <v>Davis Vineyard</v>
      </c>
    </row>
    <row r="244" spans="1:38">
      <c r="A244" s="374" t="s">
        <v>763</v>
      </c>
      <c r="B244" s="374">
        <v>5</v>
      </c>
      <c r="C244" s="374" t="s">
        <v>764</v>
      </c>
      <c r="D244" s="375" t="str">
        <f t="shared" si="59"/>
        <v>Annadale Estate5</v>
      </c>
      <c r="E244" s="375" t="s">
        <v>773</v>
      </c>
      <c r="F244" s="375" t="s">
        <v>766</v>
      </c>
      <c r="G244" s="375" t="s">
        <v>767</v>
      </c>
      <c r="H244" s="375" t="s">
        <v>768</v>
      </c>
      <c r="I244" s="63" t="s">
        <v>769</v>
      </c>
      <c r="J244" s="47">
        <f t="shared" si="58"/>
        <v>3740</v>
      </c>
      <c r="K244" s="46" t="s">
        <v>10735</v>
      </c>
      <c r="L244" s="47"/>
      <c r="M244" s="47"/>
      <c r="N244" s="47"/>
      <c r="O244" s="47"/>
      <c r="P244" s="47"/>
      <c r="Q244" s="47"/>
      <c r="R244" s="47"/>
      <c r="S244" s="47"/>
      <c r="T244" s="47" t="s">
        <v>770</v>
      </c>
      <c r="U244" s="47"/>
      <c r="V244" s="47"/>
      <c r="W244" s="47"/>
      <c r="X244" s="47"/>
      <c r="Y244" s="47"/>
      <c r="Z244" s="47">
        <f t="shared" si="60"/>
        <v>4620</v>
      </c>
      <c r="AA244" s="47"/>
      <c r="AB244" s="47"/>
      <c r="AC244" s="47"/>
      <c r="AD244" s="47" t="s">
        <v>771</v>
      </c>
      <c r="AE244" s="47"/>
      <c r="AF244" s="47"/>
      <c r="AG244" s="47"/>
      <c r="AH244" s="47" t="str">
        <f>IFERROR(_xlfn.XLOOKUP(Table6[[#This Row],[Suburb]],Table5[Travel Surcharge],Table5[$$]),"")</f>
        <v/>
      </c>
      <c r="AI244" s="47"/>
      <c r="AJ244" s="47"/>
      <c r="AL244" t="str">
        <v>Deanside Central Estate</v>
      </c>
    </row>
    <row r="245" spans="1:38">
      <c r="A245" s="374" t="s">
        <v>763</v>
      </c>
      <c r="B245" s="374">
        <v>6</v>
      </c>
      <c r="C245" s="374" t="s">
        <v>764</v>
      </c>
      <c r="D245" s="375" t="str">
        <f t="shared" si="59"/>
        <v>Annadale Estate6</v>
      </c>
      <c r="E245" s="375" t="s">
        <v>774</v>
      </c>
      <c r="F245" s="375" t="s">
        <v>766</v>
      </c>
      <c r="G245" s="375" t="s">
        <v>767</v>
      </c>
      <c r="H245" s="375" t="s">
        <v>768</v>
      </c>
      <c r="I245" s="63" t="s">
        <v>769</v>
      </c>
      <c r="J245" s="47">
        <f t="shared" si="58"/>
        <v>3740</v>
      </c>
      <c r="K245" s="46" t="s">
        <v>10735</v>
      </c>
      <c r="L245" s="47"/>
      <c r="M245" s="47"/>
      <c r="N245" s="47"/>
      <c r="O245" s="47"/>
      <c r="P245" s="47"/>
      <c r="Q245" s="47"/>
      <c r="R245" s="47"/>
      <c r="S245" s="47"/>
      <c r="T245" s="47" t="s">
        <v>770</v>
      </c>
      <c r="U245" s="47"/>
      <c r="V245" s="47"/>
      <c r="W245" s="47"/>
      <c r="X245" s="47"/>
      <c r="Y245" s="47"/>
      <c r="Z245" s="47">
        <f t="shared" si="60"/>
        <v>4620</v>
      </c>
      <c r="AA245" s="47"/>
      <c r="AB245" s="47"/>
      <c r="AC245" s="47"/>
      <c r="AD245" s="47" t="s">
        <v>771</v>
      </c>
      <c r="AE245" s="47"/>
      <c r="AF245" s="47"/>
      <c r="AG245" s="47"/>
      <c r="AH245" s="47" t="str">
        <f>IFERROR(_xlfn.XLOOKUP(Table6[[#This Row],[Suburb]],Table5[Travel Surcharge],Table5[$$]),"")</f>
        <v/>
      </c>
      <c r="AI245" s="47"/>
      <c r="AJ245" s="47"/>
      <c r="AL245" t="str">
        <v>Deanside Springs Estate</v>
      </c>
    </row>
    <row r="246" spans="1:38">
      <c r="A246" s="374" t="s">
        <v>763</v>
      </c>
      <c r="B246" s="374">
        <v>7</v>
      </c>
      <c r="C246" s="374" t="s">
        <v>764</v>
      </c>
      <c r="D246" s="375" t="str">
        <f t="shared" si="59"/>
        <v>Annadale Estate7</v>
      </c>
      <c r="E246" s="375" t="s">
        <v>775</v>
      </c>
      <c r="F246" s="375" t="s">
        <v>766</v>
      </c>
      <c r="G246" s="375" t="s">
        <v>767</v>
      </c>
      <c r="H246" s="375" t="s">
        <v>768</v>
      </c>
      <c r="I246" s="63" t="s">
        <v>769</v>
      </c>
      <c r="J246" s="47">
        <f t="shared" si="58"/>
        <v>3740</v>
      </c>
      <c r="K246" s="46" t="s">
        <v>10735</v>
      </c>
      <c r="L246" s="47"/>
      <c r="M246" s="47"/>
      <c r="N246" s="47"/>
      <c r="O246" s="47"/>
      <c r="P246" s="47"/>
      <c r="Q246" s="47"/>
      <c r="R246" s="47"/>
      <c r="S246" s="47"/>
      <c r="T246" s="47" t="s">
        <v>770</v>
      </c>
      <c r="U246" s="47"/>
      <c r="V246" s="47"/>
      <c r="W246" s="47"/>
      <c r="X246" s="47"/>
      <c r="Y246" s="47"/>
      <c r="Z246" s="47">
        <f t="shared" si="60"/>
        <v>4620</v>
      </c>
      <c r="AA246" s="47"/>
      <c r="AB246" s="47"/>
      <c r="AC246" s="47"/>
      <c r="AD246" s="47" t="s">
        <v>771</v>
      </c>
      <c r="AE246" s="47"/>
      <c r="AF246" s="47"/>
      <c r="AG246" s="47"/>
      <c r="AH246" s="47" t="str">
        <f>IFERROR(_xlfn.XLOOKUP(Table6[[#This Row],[Suburb]],Table5[Travel Surcharge],Table5[$$]),"")</f>
        <v/>
      </c>
      <c r="AI246" s="47"/>
      <c r="AJ246" s="47"/>
      <c r="AL246" t="str">
        <v>Deanside Village Estate</v>
      </c>
    </row>
    <row r="247" spans="1:38">
      <c r="A247" s="374" t="s">
        <v>763</v>
      </c>
      <c r="B247" s="374">
        <v>8</v>
      </c>
      <c r="C247" s="374" t="s">
        <v>764</v>
      </c>
      <c r="D247" s="375" t="str">
        <f t="shared" si="59"/>
        <v>Annadale Estate8</v>
      </c>
      <c r="E247" s="375" t="s">
        <v>776</v>
      </c>
      <c r="F247" s="375" t="s">
        <v>766</v>
      </c>
      <c r="G247" s="375" t="s">
        <v>767</v>
      </c>
      <c r="H247" s="375" t="s">
        <v>768</v>
      </c>
      <c r="I247" s="63" t="s">
        <v>769</v>
      </c>
      <c r="J247" s="47">
        <f t="shared" si="58"/>
        <v>3740</v>
      </c>
      <c r="K247" s="46" t="s">
        <v>10735</v>
      </c>
      <c r="L247" s="47"/>
      <c r="M247" s="47"/>
      <c r="N247" s="47"/>
      <c r="O247" s="47"/>
      <c r="P247" s="47"/>
      <c r="Q247" s="47"/>
      <c r="R247" s="47"/>
      <c r="S247" s="47"/>
      <c r="T247" s="47" t="s">
        <v>770</v>
      </c>
      <c r="U247" s="47"/>
      <c r="V247" s="47"/>
      <c r="W247" s="47"/>
      <c r="X247" s="47"/>
      <c r="Y247" s="47"/>
      <c r="Z247" s="47">
        <f t="shared" si="60"/>
        <v>4620</v>
      </c>
      <c r="AA247" s="47"/>
      <c r="AB247" s="47"/>
      <c r="AC247" s="47"/>
      <c r="AD247" s="47" t="s">
        <v>771</v>
      </c>
      <c r="AE247" s="47"/>
      <c r="AF247" s="47"/>
      <c r="AG247" s="47"/>
      <c r="AH247" s="47" t="str">
        <f>IFERROR(_xlfn.XLOOKUP(Table6[[#This Row],[Suburb]],Table5[Travel Surcharge],Table5[$$]),"")</f>
        <v/>
      </c>
      <c r="AI247" s="47"/>
      <c r="AJ247" s="47"/>
      <c r="AL247" t="str">
        <v>Delaray Estate</v>
      </c>
    </row>
    <row r="248" spans="1:38">
      <c r="A248" s="374" t="s">
        <v>763</v>
      </c>
      <c r="B248" s="374">
        <v>9</v>
      </c>
      <c r="C248" s="374" t="s">
        <v>764</v>
      </c>
      <c r="D248" s="375" t="str">
        <f t="shared" si="59"/>
        <v>Annadale Estate9</v>
      </c>
      <c r="E248" s="375" t="s">
        <v>777</v>
      </c>
      <c r="F248" s="375" t="s">
        <v>766</v>
      </c>
      <c r="G248" s="375" t="s">
        <v>767</v>
      </c>
      <c r="H248" s="375" t="s">
        <v>768</v>
      </c>
      <c r="I248" s="63" t="s">
        <v>769</v>
      </c>
      <c r="J248" s="47">
        <f t="shared" si="58"/>
        <v>3740</v>
      </c>
      <c r="K248" s="46" t="s">
        <v>10735</v>
      </c>
      <c r="L248" s="47"/>
      <c r="M248" s="47"/>
      <c r="N248" s="47"/>
      <c r="O248" s="47"/>
      <c r="P248" s="47"/>
      <c r="Q248" s="47"/>
      <c r="R248" s="47"/>
      <c r="S248" s="47"/>
      <c r="T248" s="47" t="s">
        <v>770</v>
      </c>
      <c r="U248" s="47"/>
      <c r="V248" s="47"/>
      <c r="W248" s="47"/>
      <c r="X248" s="47"/>
      <c r="Y248" s="47"/>
      <c r="Z248" s="47">
        <f t="shared" si="60"/>
        <v>4620</v>
      </c>
      <c r="AA248" s="47"/>
      <c r="AB248" s="47"/>
      <c r="AC248" s="47"/>
      <c r="AD248" s="47" t="s">
        <v>771</v>
      </c>
      <c r="AE248" s="47"/>
      <c r="AF248" s="47"/>
      <c r="AG248" s="47"/>
      <c r="AH248" s="47" t="str">
        <f>IFERROR(_xlfn.XLOOKUP(Table6[[#This Row],[Suburb]],Table5[Travel Surcharge],Table5[$$]),"")</f>
        <v/>
      </c>
      <c r="AI248" s="47"/>
      <c r="AJ248" s="47"/>
      <c r="AL248" t="str">
        <v>Desmond St Moe</v>
      </c>
    </row>
    <row r="249" spans="1:38">
      <c r="A249" s="374" t="s">
        <v>763</v>
      </c>
      <c r="B249" s="374">
        <v>10</v>
      </c>
      <c r="C249" s="374" t="s">
        <v>764</v>
      </c>
      <c r="D249" s="375" t="str">
        <f t="shared" si="59"/>
        <v>Annadale Estate10</v>
      </c>
      <c r="E249" s="375" t="s">
        <v>778</v>
      </c>
      <c r="F249" s="375" t="s">
        <v>766</v>
      </c>
      <c r="G249" s="375" t="s">
        <v>767</v>
      </c>
      <c r="H249" s="375" t="s">
        <v>768</v>
      </c>
      <c r="I249" s="63" t="s">
        <v>769</v>
      </c>
      <c r="J249" s="47">
        <f t="shared" si="58"/>
        <v>3740</v>
      </c>
      <c r="K249" s="46" t="s">
        <v>10735</v>
      </c>
      <c r="L249" s="47"/>
      <c r="M249" s="47"/>
      <c r="N249" s="47"/>
      <c r="O249" s="47"/>
      <c r="P249" s="47"/>
      <c r="Q249" s="47"/>
      <c r="R249" s="47"/>
      <c r="S249" s="47"/>
      <c r="T249" s="47" t="s">
        <v>770</v>
      </c>
      <c r="U249" s="47"/>
      <c r="V249" s="47"/>
      <c r="W249" s="47"/>
      <c r="X249" s="47"/>
      <c r="Y249" s="47"/>
      <c r="Z249" s="47">
        <f t="shared" si="60"/>
        <v>4620</v>
      </c>
      <c r="AA249" s="47"/>
      <c r="AB249" s="47"/>
      <c r="AC249" s="47"/>
      <c r="AD249" s="47" t="s">
        <v>771</v>
      </c>
      <c r="AE249" s="47"/>
      <c r="AF249" s="47"/>
      <c r="AG249" s="47"/>
      <c r="AH249" s="47" t="str">
        <f>IFERROR(_xlfn.XLOOKUP(Table6[[#This Row],[Suburb]],Table5[Travel Surcharge],Table5[$$]),"")</f>
        <v/>
      </c>
      <c r="AI249" s="47"/>
      <c r="AJ249" s="47"/>
      <c r="AL249" t="str">
        <v>Diamond Rise  Estate</v>
      </c>
    </row>
    <row r="250" spans="1:38">
      <c r="A250" s="374" t="s">
        <v>763</v>
      </c>
      <c r="B250" s="374">
        <v>11</v>
      </c>
      <c r="C250" s="374" t="s">
        <v>764</v>
      </c>
      <c r="D250" s="375" t="str">
        <f t="shared" si="59"/>
        <v>Annadale Estate11</v>
      </c>
      <c r="E250" s="375" t="s">
        <v>779</v>
      </c>
      <c r="F250" s="375" t="s">
        <v>766</v>
      </c>
      <c r="G250" s="375" t="s">
        <v>767</v>
      </c>
      <c r="H250" s="375" t="s">
        <v>768</v>
      </c>
      <c r="I250" s="63" t="s">
        <v>769</v>
      </c>
      <c r="J250" s="47">
        <f t="shared" si="58"/>
        <v>3740</v>
      </c>
      <c r="K250" s="46" t="s">
        <v>10735</v>
      </c>
      <c r="L250" s="47"/>
      <c r="M250" s="47"/>
      <c r="N250" s="47"/>
      <c r="O250" s="47"/>
      <c r="P250" s="47"/>
      <c r="Q250" s="47"/>
      <c r="R250" s="47"/>
      <c r="S250" s="47"/>
      <c r="T250" s="47" t="s">
        <v>770</v>
      </c>
      <c r="U250" s="47"/>
      <c r="V250" s="47"/>
      <c r="W250" s="47"/>
      <c r="X250" s="47"/>
      <c r="Y250" s="47"/>
      <c r="Z250" s="47">
        <f t="shared" si="60"/>
        <v>4620</v>
      </c>
      <c r="AA250" s="47"/>
      <c r="AB250" s="47"/>
      <c r="AC250" s="47"/>
      <c r="AD250" s="47" t="s">
        <v>771</v>
      </c>
      <c r="AE250" s="47"/>
      <c r="AF250" s="47"/>
      <c r="AG250" s="47"/>
      <c r="AH250" s="47" t="str">
        <f>IFERROR(_xlfn.XLOOKUP(Table6[[#This Row],[Suburb]],Table5[Travel Surcharge],Table5[$$]),"")</f>
        <v/>
      </c>
      <c r="AI250" s="47"/>
      <c r="AJ250" s="47"/>
      <c r="AL250" t="str">
        <v>DO NOT ADD Aquarevo Estate</v>
      </c>
    </row>
    <row r="251" spans="1:38">
      <c r="A251" s="374" t="s">
        <v>763</v>
      </c>
      <c r="B251" s="374">
        <v>12</v>
      </c>
      <c r="C251" s="374" t="s">
        <v>764</v>
      </c>
      <c r="D251" s="375" t="str">
        <f t="shared" si="59"/>
        <v>Annadale Estate12</v>
      </c>
      <c r="E251" s="375" t="s">
        <v>780</v>
      </c>
      <c r="F251" s="375" t="s">
        <v>766</v>
      </c>
      <c r="G251" s="375" t="s">
        <v>767</v>
      </c>
      <c r="H251" s="375" t="s">
        <v>768</v>
      </c>
      <c r="I251" s="63" t="s">
        <v>769</v>
      </c>
      <c r="J251" s="47">
        <f t="shared" si="58"/>
        <v>3740</v>
      </c>
      <c r="K251" s="46" t="s">
        <v>10735</v>
      </c>
      <c r="L251" s="47"/>
      <c r="M251" s="47"/>
      <c r="N251" s="47"/>
      <c r="O251" s="47"/>
      <c r="P251" s="47"/>
      <c r="Q251" s="47"/>
      <c r="R251" s="47"/>
      <c r="S251" s="47"/>
      <c r="T251" s="47" t="s">
        <v>770</v>
      </c>
      <c r="U251" s="47"/>
      <c r="V251" s="47"/>
      <c r="W251" s="47"/>
      <c r="X251" s="47"/>
      <c r="Y251" s="47"/>
      <c r="Z251" s="47">
        <f t="shared" si="60"/>
        <v>4620</v>
      </c>
      <c r="AA251" s="47"/>
      <c r="AB251" s="47"/>
      <c r="AC251" s="47"/>
      <c r="AD251" s="47" t="s">
        <v>771</v>
      </c>
      <c r="AE251" s="47"/>
      <c r="AF251" s="47"/>
      <c r="AG251" s="47"/>
      <c r="AH251" s="47" t="str">
        <f>IFERROR(_xlfn.XLOOKUP(Table6[[#This Row],[Suburb]],Table5[Travel Surcharge],Table5[$$]),"")</f>
        <v/>
      </c>
      <c r="AI251" s="47"/>
      <c r="AJ251" s="47"/>
      <c r="AL251" t="str">
        <v>Donnybrae Estate</v>
      </c>
    </row>
    <row r="252" spans="1:38">
      <c r="A252" s="374" t="s">
        <v>763</v>
      </c>
      <c r="B252" s="374">
        <v>13</v>
      </c>
      <c r="C252" s="374" t="s">
        <v>764</v>
      </c>
      <c r="D252" s="375" t="str">
        <f t="shared" si="59"/>
        <v>Annadale Estate13</v>
      </c>
      <c r="E252" s="375" t="s">
        <v>783</v>
      </c>
      <c r="F252" s="375" t="s">
        <v>766</v>
      </c>
      <c r="G252" s="375" t="s">
        <v>767</v>
      </c>
      <c r="H252" s="375" t="s">
        <v>768</v>
      </c>
      <c r="I252" s="63" t="s">
        <v>769</v>
      </c>
      <c r="J252" s="47">
        <f t="shared" si="58"/>
        <v>3740</v>
      </c>
      <c r="K252" s="46" t="s">
        <v>10735</v>
      </c>
      <c r="L252" s="47"/>
      <c r="M252" s="47"/>
      <c r="N252" s="47"/>
      <c r="O252" s="47"/>
      <c r="P252" s="47"/>
      <c r="Q252" s="47"/>
      <c r="R252" s="47"/>
      <c r="S252" s="47"/>
      <c r="T252" s="47" t="s">
        <v>770</v>
      </c>
      <c r="U252" s="47"/>
      <c r="V252" s="47"/>
      <c r="W252" s="47"/>
      <c r="X252" s="47"/>
      <c r="Y252" s="47"/>
      <c r="Z252" s="47">
        <f t="shared" si="60"/>
        <v>4620</v>
      </c>
      <c r="AA252" s="47"/>
      <c r="AB252" s="47"/>
      <c r="AC252" s="47"/>
      <c r="AD252" s="47" t="s">
        <v>771</v>
      </c>
      <c r="AE252" s="47"/>
      <c r="AF252" s="47"/>
      <c r="AG252" s="47"/>
      <c r="AH252" s="47" t="str">
        <f>IFERROR(_xlfn.XLOOKUP(Table6[[#This Row],[Suburb]],Table5[Travel Surcharge],Table5[$$]),"")</f>
        <v/>
      </c>
      <c r="AI252" s="47"/>
      <c r="AJ252" s="47"/>
      <c r="AL252" t="str">
        <v>Dream Estate</v>
      </c>
    </row>
    <row r="253" spans="1:38">
      <c r="A253" s="374" t="s">
        <v>763</v>
      </c>
      <c r="B253" s="374">
        <v>14</v>
      </c>
      <c r="C253" s="374" t="s">
        <v>764</v>
      </c>
      <c r="D253" s="375" t="str">
        <f t="shared" si="59"/>
        <v>Annadale Estate14</v>
      </c>
      <c r="E253" s="375" t="s">
        <v>784</v>
      </c>
      <c r="F253" s="375" t="s">
        <v>766</v>
      </c>
      <c r="G253" s="375" t="s">
        <v>767</v>
      </c>
      <c r="H253" s="375" t="s">
        <v>768</v>
      </c>
      <c r="I253" s="63" t="s">
        <v>769</v>
      </c>
      <c r="J253" s="47">
        <f t="shared" si="58"/>
        <v>3740</v>
      </c>
      <c r="K253" s="46" t="s">
        <v>10735</v>
      </c>
      <c r="L253" s="47"/>
      <c r="M253" s="47"/>
      <c r="N253" s="47"/>
      <c r="O253" s="47"/>
      <c r="P253" s="47"/>
      <c r="Q253" s="47"/>
      <c r="R253" s="47"/>
      <c r="S253" s="47"/>
      <c r="T253" s="47" t="s">
        <v>770</v>
      </c>
      <c r="U253" s="47"/>
      <c r="V253" s="47"/>
      <c r="W253" s="47"/>
      <c r="X253" s="47"/>
      <c r="Y253" s="47"/>
      <c r="Z253" s="47">
        <f t="shared" si="60"/>
        <v>4620</v>
      </c>
      <c r="AA253" s="47"/>
      <c r="AB253" s="47"/>
      <c r="AC253" s="47"/>
      <c r="AD253" s="47" t="s">
        <v>771</v>
      </c>
      <c r="AE253" s="47"/>
      <c r="AF253" s="47"/>
      <c r="AG253" s="47"/>
      <c r="AH253" s="47" t="str">
        <f>IFERROR(_xlfn.XLOOKUP(Table6[[#This Row],[Suburb]],Table5[Travel Surcharge],Table5[$$]),"")</f>
        <v/>
      </c>
      <c r="AI253" s="47"/>
      <c r="AJ253" s="47"/>
      <c r="AL253" t="str">
        <v>Drews Paddock</v>
      </c>
    </row>
    <row r="254" spans="1:38">
      <c r="A254" s="374" t="s">
        <v>763</v>
      </c>
      <c r="B254" s="374">
        <v>15</v>
      </c>
      <c r="C254" s="374" t="s">
        <v>764</v>
      </c>
      <c r="D254" s="375" t="str">
        <f t="shared" si="59"/>
        <v>Annadale Estate15</v>
      </c>
      <c r="E254" s="375" t="s">
        <v>785</v>
      </c>
      <c r="F254" s="375" t="s">
        <v>766</v>
      </c>
      <c r="G254" s="375" t="s">
        <v>767</v>
      </c>
      <c r="H254" s="375" t="s">
        <v>768</v>
      </c>
      <c r="I254" s="63" t="s">
        <v>769</v>
      </c>
      <c r="J254" s="47">
        <f t="shared" si="58"/>
        <v>3740</v>
      </c>
      <c r="K254" s="46" t="s">
        <v>10735</v>
      </c>
      <c r="L254" s="47"/>
      <c r="M254" s="47"/>
      <c r="N254" s="47"/>
      <c r="O254" s="47"/>
      <c r="P254" s="47"/>
      <c r="Q254" s="47"/>
      <c r="R254" s="47"/>
      <c r="S254" s="47"/>
      <c r="T254" s="47" t="s">
        <v>770</v>
      </c>
      <c r="U254" s="47"/>
      <c r="V254" s="47"/>
      <c r="W254" s="47"/>
      <c r="X254" s="47"/>
      <c r="Y254" s="47"/>
      <c r="Z254" s="47">
        <f t="shared" si="60"/>
        <v>4620</v>
      </c>
      <c r="AA254" s="47"/>
      <c r="AB254" s="47"/>
      <c r="AC254" s="47"/>
      <c r="AD254" s="47" t="s">
        <v>771</v>
      </c>
      <c r="AE254" s="47"/>
      <c r="AF254" s="47"/>
      <c r="AG254" s="47"/>
      <c r="AH254" s="47" t="str">
        <f>IFERROR(_xlfn.XLOOKUP(Table6[[#This Row],[Suburb]],Table5[Travel Surcharge],Table5[$$]),"")</f>
        <v/>
      </c>
      <c r="AI254" s="47"/>
      <c r="AJ254" s="47"/>
      <c r="AL254" t="str">
        <v>Drouin Fields</v>
      </c>
    </row>
    <row r="255" spans="1:38">
      <c r="A255" s="374" t="s">
        <v>763</v>
      </c>
      <c r="B255" s="374">
        <v>16</v>
      </c>
      <c r="C255" s="374" t="s">
        <v>764</v>
      </c>
      <c r="D255" s="375" t="str">
        <f t="shared" si="59"/>
        <v>Annadale Estate16</v>
      </c>
      <c r="E255" s="375" t="s">
        <v>786</v>
      </c>
      <c r="F255" s="375" t="s">
        <v>766</v>
      </c>
      <c r="G255" s="375" t="s">
        <v>767</v>
      </c>
      <c r="H255" s="375" t="s">
        <v>768</v>
      </c>
      <c r="I255" s="63" t="s">
        <v>769</v>
      </c>
      <c r="J255" s="47">
        <f t="shared" si="58"/>
        <v>3740</v>
      </c>
      <c r="K255" s="46" t="s">
        <v>10735</v>
      </c>
      <c r="L255" s="47"/>
      <c r="M255" s="47"/>
      <c r="N255" s="47"/>
      <c r="O255" s="47"/>
      <c r="P255" s="47"/>
      <c r="Q255" s="47"/>
      <c r="R255" s="47"/>
      <c r="S255" s="47"/>
      <c r="T255" s="47" t="s">
        <v>770</v>
      </c>
      <c r="U255" s="47"/>
      <c r="V255" s="47"/>
      <c r="W255" s="47"/>
      <c r="X255" s="47"/>
      <c r="Y255" s="47"/>
      <c r="Z255" s="47">
        <f t="shared" si="60"/>
        <v>4620</v>
      </c>
      <c r="AA255" s="47"/>
      <c r="AB255" s="47"/>
      <c r="AC255" s="47"/>
      <c r="AD255" s="47" t="s">
        <v>771</v>
      </c>
      <c r="AE255" s="47"/>
      <c r="AF255" s="47"/>
      <c r="AG255" s="47"/>
      <c r="AH255" s="47" t="str">
        <f>IFERROR(_xlfn.XLOOKUP(Table6[[#This Row],[Suburb]],Table5[Travel Surcharge],Table5[$$]),"")</f>
        <v/>
      </c>
      <c r="AI255" s="47"/>
      <c r="AJ255" s="47"/>
      <c r="AL255" t="str">
        <v>Drouin Springs</v>
      </c>
    </row>
    <row r="256" spans="1:38">
      <c r="A256" s="374" t="s">
        <v>763</v>
      </c>
      <c r="B256" s="374">
        <v>17</v>
      </c>
      <c r="C256" s="374" t="s">
        <v>764</v>
      </c>
      <c r="D256" s="375" t="str">
        <f t="shared" si="59"/>
        <v>Annadale Estate17</v>
      </c>
      <c r="E256" s="375" t="s">
        <v>787</v>
      </c>
      <c r="F256" s="375" t="s">
        <v>766</v>
      </c>
      <c r="G256" s="375" t="s">
        <v>767</v>
      </c>
      <c r="H256" s="375" t="s">
        <v>768</v>
      </c>
      <c r="I256" s="63" t="s">
        <v>769</v>
      </c>
      <c r="J256" s="47">
        <f t="shared" si="58"/>
        <v>3740</v>
      </c>
      <c r="K256" s="46" t="s">
        <v>10735</v>
      </c>
      <c r="L256" s="47"/>
      <c r="M256" s="47"/>
      <c r="N256" s="47"/>
      <c r="O256" s="47"/>
      <c r="P256" s="47"/>
      <c r="Q256" s="47"/>
      <c r="R256" s="47"/>
      <c r="S256" s="47"/>
      <c r="T256" s="47" t="s">
        <v>770</v>
      </c>
      <c r="U256" s="47"/>
      <c r="V256" s="47"/>
      <c r="W256" s="47"/>
      <c r="X256" s="47"/>
      <c r="Y256" s="47"/>
      <c r="Z256" s="47">
        <f t="shared" si="60"/>
        <v>4620</v>
      </c>
      <c r="AA256" s="47"/>
      <c r="AB256" s="47"/>
      <c r="AC256" s="47"/>
      <c r="AD256" s="47" t="s">
        <v>771</v>
      </c>
      <c r="AE256" s="47"/>
      <c r="AF256" s="47"/>
      <c r="AG256" s="47"/>
      <c r="AH256" s="47" t="str">
        <f>IFERROR(_xlfn.XLOOKUP(Table6[[#This Row],[Suburb]],Table5[Travel Surcharge],Table5[$$]),"")</f>
        <v/>
      </c>
      <c r="AI256" s="47"/>
      <c r="AJ256" s="47"/>
      <c r="AL256" t="str">
        <v>Drysdale Central</v>
      </c>
    </row>
    <row r="257" spans="1:38">
      <c r="A257" s="374" t="s">
        <v>763</v>
      </c>
      <c r="B257" s="374">
        <v>18</v>
      </c>
      <c r="C257" s="374" t="s">
        <v>764</v>
      </c>
      <c r="D257" s="375" t="str">
        <f t="shared" si="59"/>
        <v>Annadale Estate18</v>
      </c>
      <c r="E257" s="375" t="s">
        <v>788</v>
      </c>
      <c r="F257" s="375" t="s">
        <v>766</v>
      </c>
      <c r="G257" s="375" t="s">
        <v>767</v>
      </c>
      <c r="H257" s="375" t="s">
        <v>768</v>
      </c>
      <c r="I257" s="63" t="s">
        <v>769</v>
      </c>
      <c r="J257" s="47">
        <f t="shared" si="58"/>
        <v>3740</v>
      </c>
      <c r="K257" s="46" t="s">
        <v>10735</v>
      </c>
      <c r="L257" s="47"/>
      <c r="M257" s="47"/>
      <c r="N257" s="47"/>
      <c r="O257" s="47"/>
      <c r="P257" s="47"/>
      <c r="Q257" s="47"/>
      <c r="R257" s="47"/>
      <c r="S257" s="47"/>
      <c r="T257" s="47" t="s">
        <v>770</v>
      </c>
      <c r="U257" s="47"/>
      <c r="V257" s="47"/>
      <c r="W257" s="47"/>
      <c r="X257" s="47"/>
      <c r="Y257" s="47"/>
      <c r="Z257" s="47">
        <f t="shared" si="60"/>
        <v>4620</v>
      </c>
      <c r="AA257" s="47"/>
      <c r="AB257" s="47"/>
      <c r="AC257" s="47"/>
      <c r="AD257" s="47" t="s">
        <v>771</v>
      </c>
      <c r="AE257" s="47"/>
      <c r="AF257" s="47"/>
      <c r="AG257" s="47"/>
      <c r="AH257" s="47" t="str">
        <f>IFERROR(_xlfn.XLOOKUP(Table6[[#This Row],[Suburb]],Table5[Travel Surcharge],Table5[$$]),"")</f>
        <v/>
      </c>
      <c r="AI257" s="47"/>
      <c r="AJ257" s="47"/>
      <c r="AL257" t="str">
        <v>DTC Edge</v>
      </c>
    </row>
    <row r="258" spans="1:38">
      <c r="A258" s="374" t="s">
        <v>763</v>
      </c>
      <c r="B258" s="374">
        <v>19</v>
      </c>
      <c r="C258" s="374" t="s">
        <v>764</v>
      </c>
      <c r="D258" s="375" t="str">
        <f t="shared" si="59"/>
        <v>Annadale Estate19</v>
      </c>
      <c r="E258" s="375" t="s">
        <v>789</v>
      </c>
      <c r="F258" s="375" t="s">
        <v>766</v>
      </c>
      <c r="G258" s="375" t="s">
        <v>767</v>
      </c>
      <c r="H258" s="375" t="s">
        <v>768</v>
      </c>
      <c r="I258" s="63" t="s">
        <v>769</v>
      </c>
      <c r="J258" s="47">
        <f t="shared" si="58"/>
        <v>3740</v>
      </c>
      <c r="K258" s="46" t="s">
        <v>10735</v>
      </c>
      <c r="L258" s="47"/>
      <c r="M258" s="47"/>
      <c r="N258" s="47"/>
      <c r="O258" s="47"/>
      <c r="P258" s="47"/>
      <c r="Q258" s="47"/>
      <c r="R258" s="47"/>
      <c r="S258" s="47"/>
      <c r="T258" s="47" t="s">
        <v>770</v>
      </c>
      <c r="U258" s="47"/>
      <c r="V258" s="47"/>
      <c r="W258" s="47"/>
      <c r="X258" s="47"/>
      <c r="Y258" s="47"/>
      <c r="Z258" s="47">
        <f t="shared" si="60"/>
        <v>4620</v>
      </c>
      <c r="AA258" s="47"/>
      <c r="AB258" s="47"/>
      <c r="AC258" s="47"/>
      <c r="AD258" s="47" t="s">
        <v>771</v>
      </c>
      <c r="AE258" s="47"/>
      <c r="AF258" s="47"/>
      <c r="AG258" s="47"/>
      <c r="AH258" s="47" t="str">
        <f>IFERROR(_xlfn.XLOOKUP(Table6[[#This Row],[Suburb]],Table5[Travel Surcharge],Table5[$$]),"")</f>
        <v/>
      </c>
      <c r="AI258" s="47"/>
      <c r="AJ258" s="47"/>
      <c r="AL258" t="str">
        <v>Dunhelen</v>
      </c>
    </row>
    <row r="259" spans="1:38">
      <c r="A259" s="374" t="s">
        <v>763</v>
      </c>
      <c r="B259" s="374">
        <v>20</v>
      </c>
      <c r="C259" s="374" t="s">
        <v>764</v>
      </c>
      <c r="D259" s="375" t="str">
        <f t="shared" si="59"/>
        <v>Annadale Estate20</v>
      </c>
      <c r="E259" s="375" t="s">
        <v>790</v>
      </c>
      <c r="F259" s="375" t="s">
        <v>766</v>
      </c>
      <c r="G259" s="375" t="s">
        <v>767</v>
      </c>
      <c r="H259" s="375" t="s">
        <v>768</v>
      </c>
      <c r="I259" s="63" t="s">
        <v>769</v>
      </c>
      <c r="J259" s="47">
        <f t="shared" si="58"/>
        <v>3740</v>
      </c>
      <c r="K259" s="46" t="s">
        <v>10735</v>
      </c>
      <c r="L259" s="47"/>
      <c r="M259" s="47"/>
      <c r="N259" s="47"/>
      <c r="O259" s="47"/>
      <c r="P259" s="47"/>
      <c r="Q259" s="47"/>
      <c r="R259" s="47"/>
      <c r="S259" s="47"/>
      <c r="T259" s="47" t="s">
        <v>770</v>
      </c>
      <c r="U259" s="47"/>
      <c r="V259" s="47"/>
      <c r="W259" s="47"/>
      <c r="X259" s="47"/>
      <c r="Y259" s="47"/>
      <c r="Z259" s="47">
        <f t="shared" si="60"/>
        <v>4620</v>
      </c>
      <c r="AA259" s="47"/>
      <c r="AB259" s="47"/>
      <c r="AC259" s="47"/>
      <c r="AD259" s="47" t="s">
        <v>771</v>
      </c>
      <c r="AE259" s="47"/>
      <c r="AF259" s="47"/>
      <c r="AG259" s="47"/>
      <c r="AH259" s="47" t="str">
        <f>IFERROR(_xlfn.XLOOKUP(Table6[[#This Row],[Suburb]],Table5[Travel Surcharge],Table5[$$]),"")</f>
        <v/>
      </c>
      <c r="AI259" s="47"/>
      <c r="AJ259" s="47"/>
      <c r="AL259" t="str">
        <v xml:space="preserve">Eagle Heights </v>
      </c>
    </row>
    <row r="260" spans="1:38">
      <c r="A260" s="374" t="s">
        <v>763</v>
      </c>
      <c r="B260" s="374">
        <v>21</v>
      </c>
      <c r="C260" s="374" t="s">
        <v>764</v>
      </c>
      <c r="D260" s="375" t="str">
        <f t="shared" si="59"/>
        <v>Annadale Estate21</v>
      </c>
      <c r="E260" s="375" t="s">
        <v>791</v>
      </c>
      <c r="F260" s="375" t="s">
        <v>766</v>
      </c>
      <c r="G260" s="375" t="s">
        <v>767</v>
      </c>
      <c r="H260" s="375" t="s">
        <v>768</v>
      </c>
      <c r="I260" s="63" t="s">
        <v>769</v>
      </c>
      <c r="J260" s="47">
        <f t="shared" si="58"/>
        <v>3740</v>
      </c>
      <c r="K260" s="46" t="s">
        <v>10735</v>
      </c>
      <c r="L260" s="47"/>
      <c r="M260" s="47"/>
      <c r="N260" s="47"/>
      <c r="O260" s="47"/>
      <c r="P260" s="47"/>
      <c r="Q260" s="47"/>
      <c r="R260" s="47"/>
      <c r="S260" s="47"/>
      <c r="T260" s="47" t="s">
        <v>770</v>
      </c>
      <c r="U260" s="47"/>
      <c r="V260" s="47"/>
      <c r="W260" s="47"/>
      <c r="X260" s="47"/>
      <c r="Y260" s="47"/>
      <c r="Z260" s="47">
        <f t="shared" si="60"/>
        <v>4620</v>
      </c>
      <c r="AA260" s="47"/>
      <c r="AB260" s="47"/>
      <c r="AC260" s="47"/>
      <c r="AD260" s="47" t="s">
        <v>771</v>
      </c>
      <c r="AE260" s="47"/>
      <c r="AF260" s="47"/>
      <c r="AG260" s="47"/>
      <c r="AH260" s="47" t="str">
        <f>IFERROR(_xlfn.XLOOKUP(Table6[[#This Row],[Suburb]],Table5[Travel Surcharge],Table5[$$]),"")</f>
        <v/>
      </c>
      <c r="AI260" s="47"/>
      <c r="AJ260" s="47"/>
      <c r="AL260" t="str">
        <v>East 35</v>
      </c>
    </row>
    <row r="261" spans="1:38">
      <c r="A261" s="374" t="s">
        <v>763</v>
      </c>
      <c r="B261" s="374" t="s">
        <v>781</v>
      </c>
      <c r="C261" s="374" t="s">
        <v>764</v>
      </c>
      <c r="D261" s="375" t="str">
        <f t="shared" si="59"/>
        <v>Annadale Estate12B</v>
      </c>
      <c r="E261" s="375" t="s">
        <v>782</v>
      </c>
      <c r="F261" s="375" t="s">
        <v>766</v>
      </c>
      <c r="G261" s="375" t="s">
        <v>767</v>
      </c>
      <c r="H261" s="375" t="s">
        <v>768</v>
      </c>
      <c r="I261" s="63" t="s">
        <v>769</v>
      </c>
      <c r="J261" s="47">
        <f t="shared" si="58"/>
        <v>3740</v>
      </c>
      <c r="K261" s="46" t="s">
        <v>10735</v>
      </c>
      <c r="L261" s="47"/>
      <c r="M261" s="47"/>
      <c r="N261" s="47"/>
      <c r="O261" s="47"/>
      <c r="P261" s="47"/>
      <c r="Q261" s="47"/>
      <c r="R261" s="47"/>
      <c r="S261" s="47"/>
      <c r="T261" s="47" t="s">
        <v>770</v>
      </c>
      <c r="U261" s="47"/>
      <c r="V261" s="47"/>
      <c r="W261" s="47"/>
      <c r="X261" s="47"/>
      <c r="Y261" s="47"/>
      <c r="Z261" s="47">
        <f t="shared" si="60"/>
        <v>4620</v>
      </c>
      <c r="AA261" s="47"/>
      <c r="AB261" s="47"/>
      <c r="AC261" s="47"/>
      <c r="AD261" s="47" t="s">
        <v>771</v>
      </c>
      <c r="AE261" s="47"/>
      <c r="AF261" s="47"/>
      <c r="AG261" s="47"/>
      <c r="AH261" s="47" t="str">
        <f>IFERROR(_xlfn.XLOOKUP(Table6[[#This Row],[Suburb]],Table5[Travel Surcharge],Table5[$$]),"")</f>
        <v/>
      </c>
      <c r="AI261" s="47"/>
      <c r="AJ261" s="47"/>
      <c r="AL261" t="str">
        <v>East Estate</v>
      </c>
    </row>
    <row r="262" spans="1:38">
      <c r="A262" s="374" t="s">
        <v>763</v>
      </c>
      <c r="B262" s="374" t="s">
        <v>606</v>
      </c>
      <c r="C262" s="374" t="s">
        <v>764</v>
      </c>
      <c r="D262" s="375" t="str">
        <f t="shared" si="59"/>
        <v>Annadale Estate3A</v>
      </c>
      <c r="E262" s="375" t="s">
        <v>792</v>
      </c>
      <c r="F262" s="375" t="s">
        <v>766</v>
      </c>
      <c r="G262" s="375" t="s">
        <v>767</v>
      </c>
      <c r="H262" s="375" t="s">
        <v>768</v>
      </c>
      <c r="I262" s="63" t="s">
        <v>769</v>
      </c>
      <c r="J262" s="47">
        <f t="shared" ref="J262:J296" si="61">J$7</f>
        <v>3740</v>
      </c>
      <c r="K262" s="46" t="s">
        <v>10735</v>
      </c>
      <c r="L262" s="47"/>
      <c r="M262" s="47"/>
      <c r="N262" s="47"/>
      <c r="O262" s="47"/>
      <c r="P262" s="47"/>
      <c r="Q262" s="47"/>
      <c r="R262" s="47"/>
      <c r="S262" s="47"/>
      <c r="T262" s="47" t="s">
        <v>770</v>
      </c>
      <c r="U262" s="47"/>
      <c r="V262" s="47"/>
      <c r="W262" s="47"/>
      <c r="X262" s="47"/>
      <c r="Y262" s="47"/>
      <c r="Z262" s="47">
        <f t="shared" si="60"/>
        <v>4620</v>
      </c>
      <c r="AA262" s="47"/>
      <c r="AB262" s="47"/>
      <c r="AC262" s="47"/>
      <c r="AD262" s="47" t="s">
        <v>771</v>
      </c>
      <c r="AE262" s="47"/>
      <c r="AF262" s="47"/>
      <c r="AG262" s="47"/>
      <c r="AH262" s="47" t="str">
        <f>IFERROR(_xlfn.XLOOKUP(Table6[[#This Row],[Suburb]],Table5[Travel Surcharge],Table5[$$]),"")</f>
        <v/>
      </c>
      <c r="AI262" s="47"/>
      <c r="AJ262" s="47"/>
      <c r="AL262" t="str">
        <v>Eastleigh</v>
      </c>
    </row>
    <row r="263" spans="1:38">
      <c r="A263" s="374" t="s">
        <v>793</v>
      </c>
      <c r="B263" s="374">
        <v>3</v>
      </c>
      <c r="C263" s="374" t="s">
        <v>794</v>
      </c>
      <c r="D263" s="375" t="str">
        <f t="shared" si="59"/>
        <v>Applegum Estate3</v>
      </c>
      <c r="E263" s="375" t="s">
        <v>795</v>
      </c>
      <c r="F263" s="375" t="s">
        <v>796</v>
      </c>
      <c r="G263" s="375" t="s">
        <v>797</v>
      </c>
      <c r="H263" s="375" t="s">
        <v>798</v>
      </c>
      <c r="I263" s="63" t="s">
        <v>799</v>
      </c>
      <c r="J263" s="47">
        <f t="shared" si="61"/>
        <v>3740</v>
      </c>
      <c r="K263" s="46" t="s">
        <v>10735</v>
      </c>
      <c r="L263" s="47"/>
      <c r="M263" s="47"/>
      <c r="N263" s="47"/>
      <c r="O263" s="47"/>
      <c r="P263" s="47"/>
      <c r="Q263" s="47">
        <f>Q$2</f>
        <v>0</v>
      </c>
      <c r="R263" s="47"/>
      <c r="S263" s="47"/>
      <c r="T263" s="47"/>
      <c r="U263" s="47"/>
      <c r="V263" s="47"/>
      <c r="W263" s="47"/>
      <c r="X263" s="47"/>
      <c r="Y263" s="47"/>
      <c r="Z263" s="47">
        <f t="shared" si="60"/>
        <v>4620</v>
      </c>
      <c r="AA263" s="47"/>
      <c r="AB263" s="47"/>
      <c r="AC263" s="47"/>
      <c r="AD263" s="47"/>
      <c r="AE263" s="47"/>
      <c r="AF263" s="47"/>
      <c r="AG263" s="47"/>
      <c r="AH263" s="47" t="str">
        <f>IFERROR(_xlfn.XLOOKUP(Table6[[#This Row],[Suburb]],Table5[Travel Surcharge],Table5[$$]),"")</f>
        <v/>
      </c>
      <c r="AI263" s="47"/>
      <c r="AJ263" s="47"/>
      <c r="AL263" t="str">
        <v>Eastwood Estate</v>
      </c>
    </row>
    <row r="264" spans="1:38">
      <c r="A264" s="374" t="s">
        <v>801</v>
      </c>
      <c r="B264" s="374">
        <v>1</v>
      </c>
      <c r="C264" s="374" t="s">
        <v>802</v>
      </c>
      <c r="D264" s="375" t="str">
        <f t="shared" si="59"/>
        <v>Arbor Estate1</v>
      </c>
      <c r="E264" s="375" t="s">
        <v>803</v>
      </c>
      <c r="F264" s="375"/>
      <c r="G264" s="375" t="s">
        <v>804</v>
      </c>
      <c r="H264" s="375" t="s">
        <v>805</v>
      </c>
      <c r="I264" s="63" t="s">
        <v>806</v>
      </c>
      <c r="J264" s="47">
        <f t="shared" si="61"/>
        <v>3740</v>
      </c>
      <c r="K264" s="46" t="s">
        <v>7938</v>
      </c>
      <c r="L264" s="47" t="s">
        <v>807</v>
      </c>
      <c r="M264" s="47" t="s">
        <v>808</v>
      </c>
      <c r="N264" s="47" t="s">
        <v>809</v>
      </c>
      <c r="O264" s="47"/>
      <c r="P264" s="47"/>
      <c r="Q264" s="47"/>
      <c r="R264" s="47"/>
      <c r="S264" s="47"/>
      <c r="T264" s="47"/>
      <c r="U264" s="47">
        <f t="shared" ref="U264:U296" si="62">U$2</f>
        <v>430</v>
      </c>
      <c r="V264" s="47"/>
      <c r="W264" s="47"/>
      <c r="X264" s="47"/>
      <c r="Y264" s="47"/>
      <c r="Z264" s="47">
        <f t="shared" si="60"/>
        <v>4620</v>
      </c>
      <c r="AA264" s="47"/>
      <c r="AB264" s="47"/>
      <c r="AC264" s="47" t="s">
        <v>810</v>
      </c>
      <c r="AD264" s="47"/>
      <c r="AE264" s="47"/>
      <c r="AF264" s="47">
        <f>AF$7</f>
        <v>1485</v>
      </c>
      <c r="AG264" s="47"/>
      <c r="AH264" s="47" t="str">
        <f>IFERROR(_xlfn.XLOOKUP(Table6[[#This Row],[Suburb]],Table5[Travel Surcharge],Table5[$$]),"")</f>
        <v/>
      </c>
      <c r="AI264" s="47"/>
      <c r="AJ264" s="47"/>
      <c r="AL264" t="str">
        <v>Ecoville Estate</v>
      </c>
    </row>
    <row r="265" spans="1:38">
      <c r="A265" s="374" t="s">
        <v>801</v>
      </c>
      <c r="B265" s="374">
        <v>2</v>
      </c>
      <c r="C265" s="374" t="s">
        <v>802</v>
      </c>
      <c r="D265" s="375" t="str">
        <f t="shared" si="59"/>
        <v>Arbor Estate2</v>
      </c>
      <c r="E265" s="375" t="s">
        <v>811</v>
      </c>
      <c r="F265" s="375"/>
      <c r="G265" s="375" t="s">
        <v>804</v>
      </c>
      <c r="H265" s="375" t="s">
        <v>805</v>
      </c>
      <c r="I265" s="63" t="s">
        <v>806</v>
      </c>
      <c r="J265" s="47">
        <f t="shared" si="61"/>
        <v>3740</v>
      </c>
      <c r="K265" s="46" t="s">
        <v>7938</v>
      </c>
      <c r="L265" s="47" t="s">
        <v>807</v>
      </c>
      <c r="M265" s="47" t="s">
        <v>808</v>
      </c>
      <c r="N265" s="47" t="s">
        <v>809</v>
      </c>
      <c r="O265" s="47"/>
      <c r="P265" s="47"/>
      <c r="Q265" s="47"/>
      <c r="R265" s="47"/>
      <c r="S265" s="47"/>
      <c r="T265" s="47"/>
      <c r="U265" s="47">
        <f t="shared" si="62"/>
        <v>430</v>
      </c>
      <c r="V265" s="47"/>
      <c r="W265" s="47"/>
      <c r="X265" s="47"/>
      <c r="Y265" s="47"/>
      <c r="Z265" s="47">
        <f t="shared" si="60"/>
        <v>4620</v>
      </c>
      <c r="AA265" s="47"/>
      <c r="AB265" s="47"/>
      <c r="AC265" s="47" t="s">
        <v>810</v>
      </c>
      <c r="AD265" s="47"/>
      <c r="AE265" s="47"/>
      <c r="AF265" s="47">
        <f>AF$7</f>
        <v>1485</v>
      </c>
      <c r="AG265" s="47"/>
      <c r="AH265" s="47" t="str">
        <f>IFERROR(_xlfn.XLOOKUP(Table6[[#This Row],[Suburb]],Table5[Travel Surcharge],Table5[$$]),"")</f>
        <v/>
      </c>
      <c r="AI265" s="47"/>
      <c r="AJ265" s="47"/>
      <c r="AL265" t="str">
        <v>Eden Gardens Estate</v>
      </c>
    </row>
    <row r="266" spans="1:38">
      <c r="A266" s="374" t="s">
        <v>801</v>
      </c>
      <c r="B266" s="374">
        <v>3</v>
      </c>
      <c r="C266" s="374" t="s">
        <v>802</v>
      </c>
      <c r="D266" s="375" t="str">
        <f t="shared" si="59"/>
        <v>Arbor Estate3</v>
      </c>
      <c r="E266" s="375" t="s">
        <v>812</v>
      </c>
      <c r="F266" s="375"/>
      <c r="G266" s="375" t="s">
        <v>804</v>
      </c>
      <c r="H266" s="375" t="s">
        <v>805</v>
      </c>
      <c r="I266" s="63" t="s">
        <v>806</v>
      </c>
      <c r="J266" s="47">
        <f t="shared" si="61"/>
        <v>3740</v>
      </c>
      <c r="K266" s="46" t="s">
        <v>7938</v>
      </c>
      <c r="L266" s="47" t="s">
        <v>807</v>
      </c>
      <c r="M266" s="47" t="s">
        <v>808</v>
      </c>
      <c r="N266" s="47" t="s">
        <v>809</v>
      </c>
      <c r="O266" s="47"/>
      <c r="P266" s="47"/>
      <c r="Q266" s="47"/>
      <c r="R266" s="47"/>
      <c r="S266" s="47"/>
      <c r="T266" s="47"/>
      <c r="U266" s="47">
        <f t="shared" si="62"/>
        <v>430</v>
      </c>
      <c r="V266" s="47"/>
      <c r="W266" s="47"/>
      <c r="X266" s="47"/>
      <c r="Y266" s="47"/>
      <c r="Z266" s="47">
        <f t="shared" si="60"/>
        <v>4620</v>
      </c>
      <c r="AA266" s="47"/>
      <c r="AB266" s="47"/>
      <c r="AC266" s="47" t="s">
        <v>810</v>
      </c>
      <c r="AD266" s="47"/>
      <c r="AE266" s="47"/>
      <c r="AF266" s="47">
        <f>AF$7</f>
        <v>1485</v>
      </c>
      <c r="AG266" s="47"/>
      <c r="AH266" s="47" t="str">
        <f>IFERROR(_xlfn.XLOOKUP(Table6[[#This Row],[Suburb]],Table5[Travel Surcharge],Table5[$$]),"")</f>
        <v/>
      </c>
      <c r="AI266" s="47"/>
      <c r="AJ266" s="47"/>
      <c r="AL266" t="str">
        <v>Eden Rise</v>
      </c>
    </row>
    <row r="267" spans="1:38">
      <c r="A267" s="374" t="s">
        <v>801</v>
      </c>
      <c r="B267" s="374">
        <v>4</v>
      </c>
      <c r="C267" s="374" t="s">
        <v>802</v>
      </c>
      <c r="D267" s="375" t="str">
        <f t="shared" si="59"/>
        <v>Arbor Estate4</v>
      </c>
      <c r="E267" s="375" t="s">
        <v>813</v>
      </c>
      <c r="F267" s="375"/>
      <c r="G267" s="375" t="s">
        <v>804</v>
      </c>
      <c r="H267" s="375" t="s">
        <v>805</v>
      </c>
      <c r="I267" s="63" t="s">
        <v>806</v>
      </c>
      <c r="J267" s="47">
        <f t="shared" si="61"/>
        <v>3740</v>
      </c>
      <c r="K267" s="46" t="s">
        <v>7938</v>
      </c>
      <c r="L267" s="47" t="s">
        <v>807</v>
      </c>
      <c r="M267" s="47" t="s">
        <v>808</v>
      </c>
      <c r="N267" s="47" t="s">
        <v>809</v>
      </c>
      <c r="O267" s="47"/>
      <c r="P267" s="47"/>
      <c r="Q267" s="47"/>
      <c r="R267" s="47"/>
      <c r="S267" s="47"/>
      <c r="T267" s="47"/>
      <c r="U267" s="47">
        <f t="shared" si="62"/>
        <v>430</v>
      </c>
      <c r="V267" s="47"/>
      <c r="W267" s="47"/>
      <c r="X267" s="47"/>
      <c r="Y267" s="47"/>
      <c r="Z267" s="47">
        <f t="shared" si="60"/>
        <v>4620</v>
      </c>
      <c r="AA267" s="47"/>
      <c r="AB267" s="47"/>
      <c r="AC267" s="47" t="s">
        <v>810</v>
      </c>
      <c r="AD267" s="47"/>
      <c r="AE267" s="47"/>
      <c r="AF267" s="47">
        <f>AF$7</f>
        <v>1485</v>
      </c>
      <c r="AG267" s="47"/>
      <c r="AH267" s="47" t="str">
        <f>IFERROR(_xlfn.XLOOKUP(Table6[[#This Row],[Suburb]],Table5[Travel Surcharge],Table5[$$]),"")</f>
        <v/>
      </c>
      <c r="AI267" s="47"/>
      <c r="AJ267" s="47"/>
      <c r="AL267" t="str">
        <v>Edgebrook Estate</v>
      </c>
    </row>
    <row r="268" spans="1:38">
      <c r="A268" s="374" t="s">
        <v>801</v>
      </c>
      <c r="B268" s="374">
        <v>5</v>
      </c>
      <c r="C268" s="374" t="s">
        <v>802</v>
      </c>
      <c r="D268" s="375" t="str">
        <f t="shared" si="59"/>
        <v>Arbor Estate5</v>
      </c>
      <c r="E268" s="375" t="s">
        <v>814</v>
      </c>
      <c r="F268" s="375"/>
      <c r="G268" s="375" t="s">
        <v>804</v>
      </c>
      <c r="H268" s="375" t="s">
        <v>805</v>
      </c>
      <c r="I268" s="63" t="s">
        <v>806</v>
      </c>
      <c r="J268" s="47">
        <f t="shared" si="61"/>
        <v>3740</v>
      </c>
      <c r="K268" s="46" t="s">
        <v>7938</v>
      </c>
      <c r="L268" s="47" t="s">
        <v>807</v>
      </c>
      <c r="M268" s="47" t="s">
        <v>808</v>
      </c>
      <c r="N268" s="47" t="s">
        <v>809</v>
      </c>
      <c r="O268" s="47"/>
      <c r="P268" s="47"/>
      <c r="Q268" s="47"/>
      <c r="R268" s="47"/>
      <c r="S268" s="47"/>
      <c r="T268" s="47"/>
      <c r="U268" s="47">
        <f t="shared" si="62"/>
        <v>430</v>
      </c>
      <c r="V268" s="47"/>
      <c r="W268" s="47"/>
      <c r="X268" s="47"/>
      <c r="Y268" s="47"/>
      <c r="Z268" s="47">
        <f t="shared" si="60"/>
        <v>4620</v>
      </c>
      <c r="AA268" s="47"/>
      <c r="AB268" s="47"/>
      <c r="AC268" s="47" t="s">
        <v>810</v>
      </c>
      <c r="AD268" s="47"/>
      <c r="AE268" s="47"/>
      <c r="AF268" s="47">
        <f>AF$7</f>
        <v>1485</v>
      </c>
      <c r="AG268" s="47"/>
      <c r="AH268" s="47" t="str">
        <f>IFERROR(_xlfn.XLOOKUP(Table6[[#This Row],[Suburb]],Table5[Travel Surcharge],Table5[$$]),"")</f>
        <v/>
      </c>
      <c r="AI268" s="47"/>
      <c r="AJ268" s="47"/>
      <c r="AL268" t="str">
        <v>Edgeleigh Estate</v>
      </c>
    </row>
    <row r="269" spans="1:38">
      <c r="A269" s="374" t="s">
        <v>815</v>
      </c>
      <c r="B269" s="374">
        <v>1</v>
      </c>
      <c r="C269" s="374" t="s">
        <v>802</v>
      </c>
      <c r="D269" s="375" t="str">
        <f t="shared" si="59"/>
        <v>Arcadia Estate1</v>
      </c>
      <c r="E269" s="375" t="s">
        <v>816</v>
      </c>
      <c r="F269" s="375" t="s">
        <v>817</v>
      </c>
      <c r="G269" s="375" t="s">
        <v>818</v>
      </c>
      <c r="H269" s="375" t="s">
        <v>819</v>
      </c>
      <c r="I269" s="63" t="s">
        <v>820</v>
      </c>
      <c r="J269" s="47">
        <f t="shared" si="61"/>
        <v>3740</v>
      </c>
      <c r="K269" s="46" t="s">
        <v>7938</v>
      </c>
      <c r="L269" s="47"/>
      <c r="M269" s="47"/>
      <c r="N269" s="47"/>
      <c r="O269" s="47"/>
      <c r="P269" s="47"/>
      <c r="Q269" s="47"/>
      <c r="R269" s="47"/>
      <c r="S269" s="47"/>
      <c r="T269" s="47"/>
      <c r="U269" s="47">
        <f t="shared" si="62"/>
        <v>430</v>
      </c>
      <c r="V269" s="47"/>
      <c r="W269" s="47"/>
      <c r="X269" s="47"/>
      <c r="Y269" s="47"/>
      <c r="Z269" s="47">
        <f t="shared" si="60"/>
        <v>4620</v>
      </c>
      <c r="AA269" s="47">
        <f t="shared" ref="AA269:AA296" si="63">AA$7</f>
        <v>1400</v>
      </c>
      <c r="AB269" s="47"/>
      <c r="AC269" s="47"/>
      <c r="AD269" s="47"/>
      <c r="AE269" s="47"/>
      <c r="AF269" s="47"/>
      <c r="AG269" s="47"/>
      <c r="AH269" s="47" t="str">
        <f>IFERROR(_xlfn.XLOOKUP(Table6[[#This Row],[Suburb]],Table5[Travel Surcharge],Table5[$$]),"")</f>
        <v/>
      </c>
      <c r="AI269" s="47"/>
      <c r="AJ269" s="47"/>
      <c r="AL269" t="str">
        <v>Elana Place Estate</v>
      </c>
    </row>
    <row r="270" spans="1:38">
      <c r="A270" s="374" t="s">
        <v>815</v>
      </c>
      <c r="B270" s="374">
        <v>3</v>
      </c>
      <c r="C270" s="374" t="s">
        <v>802</v>
      </c>
      <c r="D270" s="375" t="str">
        <f t="shared" si="59"/>
        <v>Arcadia Estate3</v>
      </c>
      <c r="E270" s="375" t="s">
        <v>821</v>
      </c>
      <c r="F270" s="375" t="s">
        <v>817</v>
      </c>
      <c r="G270" s="375" t="s">
        <v>818</v>
      </c>
      <c r="H270" s="375" t="s">
        <v>819</v>
      </c>
      <c r="I270" s="63" t="s">
        <v>820</v>
      </c>
      <c r="J270" s="47">
        <f t="shared" si="61"/>
        <v>3740</v>
      </c>
      <c r="K270" s="46" t="s">
        <v>7938</v>
      </c>
      <c r="L270" s="47"/>
      <c r="M270" s="47"/>
      <c r="N270" s="47"/>
      <c r="O270" s="47"/>
      <c r="P270" s="47"/>
      <c r="Q270" s="47"/>
      <c r="R270" s="47"/>
      <c r="S270" s="47"/>
      <c r="T270" s="47"/>
      <c r="U270" s="47">
        <f t="shared" si="62"/>
        <v>430</v>
      </c>
      <c r="V270" s="47"/>
      <c r="W270" s="47"/>
      <c r="X270" s="47"/>
      <c r="Y270" s="47"/>
      <c r="Z270" s="47">
        <f t="shared" si="60"/>
        <v>4620</v>
      </c>
      <c r="AA270" s="47">
        <f t="shared" si="63"/>
        <v>1400</v>
      </c>
      <c r="AB270" s="47"/>
      <c r="AC270" s="47"/>
      <c r="AD270" s="47"/>
      <c r="AE270" s="47"/>
      <c r="AF270" s="47"/>
      <c r="AG270" s="47"/>
      <c r="AH270" s="47" t="str">
        <f>IFERROR(_xlfn.XLOOKUP(Table6[[#This Row],[Suburb]],Table5[Travel Surcharge],Table5[$$]),"")</f>
        <v/>
      </c>
      <c r="AI270" s="47"/>
      <c r="AJ270" s="47"/>
      <c r="AL270" t="str">
        <v>Elements Estate</v>
      </c>
    </row>
    <row r="271" spans="1:38">
      <c r="A271" s="374" t="s">
        <v>815</v>
      </c>
      <c r="B271" s="374">
        <v>5</v>
      </c>
      <c r="C271" s="374" t="s">
        <v>802</v>
      </c>
      <c r="D271" s="375" t="str">
        <f t="shared" si="59"/>
        <v>Arcadia Estate5</v>
      </c>
      <c r="E271" s="375" t="s">
        <v>822</v>
      </c>
      <c r="F271" s="375" t="s">
        <v>817</v>
      </c>
      <c r="G271" s="375" t="s">
        <v>818</v>
      </c>
      <c r="H271" s="375" t="s">
        <v>819</v>
      </c>
      <c r="I271" s="63" t="s">
        <v>820</v>
      </c>
      <c r="J271" s="47">
        <f t="shared" si="61"/>
        <v>3740</v>
      </c>
      <c r="K271" s="46" t="s">
        <v>7938</v>
      </c>
      <c r="L271" s="47"/>
      <c r="M271" s="47"/>
      <c r="N271" s="47"/>
      <c r="O271" s="47"/>
      <c r="P271" s="47"/>
      <c r="Q271" s="47"/>
      <c r="R271" s="47"/>
      <c r="S271" s="47"/>
      <c r="T271" s="47"/>
      <c r="U271" s="47">
        <f t="shared" si="62"/>
        <v>430</v>
      </c>
      <c r="V271" s="47"/>
      <c r="W271" s="47"/>
      <c r="X271" s="47"/>
      <c r="Y271" s="47"/>
      <c r="Z271" s="47">
        <f t="shared" si="60"/>
        <v>4620</v>
      </c>
      <c r="AA271" s="47">
        <f t="shared" si="63"/>
        <v>1400</v>
      </c>
      <c r="AB271" s="47"/>
      <c r="AC271" s="47"/>
      <c r="AD271" s="47"/>
      <c r="AE271" s="47"/>
      <c r="AF271" s="47"/>
      <c r="AG271" s="47"/>
      <c r="AH271" s="47" t="str">
        <f>IFERROR(_xlfn.XLOOKUP(Table6[[#This Row],[Suburb]],Table5[Travel Surcharge],Table5[$$]),"")</f>
        <v/>
      </c>
      <c r="AI271" s="47"/>
      <c r="AJ271" s="47"/>
      <c r="AL271" t="str">
        <v>Elinya Estate</v>
      </c>
    </row>
    <row r="272" spans="1:38">
      <c r="A272" s="374" t="s">
        <v>815</v>
      </c>
      <c r="B272" s="374">
        <v>7</v>
      </c>
      <c r="C272" s="374" t="s">
        <v>802</v>
      </c>
      <c r="D272" s="375" t="str">
        <f t="shared" si="59"/>
        <v>Arcadia Estate7</v>
      </c>
      <c r="E272" s="375" t="s">
        <v>823</v>
      </c>
      <c r="F272" s="375" t="s">
        <v>817</v>
      </c>
      <c r="G272" s="375" t="s">
        <v>818</v>
      </c>
      <c r="H272" s="375" t="s">
        <v>819</v>
      </c>
      <c r="I272" s="63" t="s">
        <v>820</v>
      </c>
      <c r="J272" s="47">
        <f t="shared" si="61"/>
        <v>3740</v>
      </c>
      <c r="K272" s="46" t="s">
        <v>7938</v>
      </c>
      <c r="L272" s="47"/>
      <c r="M272" s="47"/>
      <c r="N272" s="47"/>
      <c r="O272" s="47"/>
      <c r="P272" s="47"/>
      <c r="Q272" s="47"/>
      <c r="R272" s="47"/>
      <c r="S272" s="47"/>
      <c r="T272" s="47"/>
      <c r="U272" s="47">
        <f t="shared" si="62"/>
        <v>430</v>
      </c>
      <c r="V272" s="47"/>
      <c r="W272" s="47"/>
      <c r="X272" s="47"/>
      <c r="Y272" s="47"/>
      <c r="Z272" s="47">
        <f t="shared" si="60"/>
        <v>4620</v>
      </c>
      <c r="AA272" s="47">
        <f t="shared" si="63"/>
        <v>1400</v>
      </c>
      <c r="AB272" s="47"/>
      <c r="AC272" s="47"/>
      <c r="AD272" s="47"/>
      <c r="AE272" s="47"/>
      <c r="AF272" s="47"/>
      <c r="AG272" s="47"/>
      <c r="AH272" s="47" t="str">
        <f>IFERROR(_xlfn.XLOOKUP(Table6[[#This Row],[Suburb]],Table5[Travel Surcharge],Table5[$$]),"")</f>
        <v/>
      </c>
      <c r="AI272" s="47"/>
      <c r="AJ272" s="47"/>
      <c r="AL272" t="str">
        <v>Elisha Court</v>
      </c>
    </row>
    <row r="273" spans="1:38">
      <c r="A273" s="374" t="s">
        <v>815</v>
      </c>
      <c r="B273" s="374">
        <v>8</v>
      </c>
      <c r="C273" s="374" t="s">
        <v>802</v>
      </c>
      <c r="D273" s="375" t="str">
        <f t="shared" si="59"/>
        <v>Arcadia Estate8</v>
      </c>
      <c r="E273" s="375" t="s">
        <v>824</v>
      </c>
      <c r="F273" s="375" t="s">
        <v>817</v>
      </c>
      <c r="G273" s="375" t="s">
        <v>818</v>
      </c>
      <c r="H273" s="375" t="s">
        <v>819</v>
      </c>
      <c r="I273" s="63" t="s">
        <v>820</v>
      </c>
      <c r="J273" s="47">
        <f t="shared" si="61"/>
        <v>3740</v>
      </c>
      <c r="K273" s="46" t="s">
        <v>7938</v>
      </c>
      <c r="L273" s="47"/>
      <c r="M273" s="47"/>
      <c r="N273" s="47"/>
      <c r="O273" s="47"/>
      <c r="P273" s="47"/>
      <c r="Q273" s="47"/>
      <c r="R273" s="47"/>
      <c r="S273" s="47"/>
      <c r="T273" s="47"/>
      <c r="U273" s="47">
        <f t="shared" si="62"/>
        <v>430</v>
      </c>
      <c r="V273" s="47"/>
      <c r="W273" s="47"/>
      <c r="X273" s="47"/>
      <c r="Y273" s="47"/>
      <c r="Z273" s="47">
        <f t="shared" ref="Z273:Z304" si="64">Z$7</f>
        <v>4620</v>
      </c>
      <c r="AA273" s="47">
        <f t="shared" si="63"/>
        <v>1400</v>
      </c>
      <c r="AB273" s="47"/>
      <c r="AC273" s="47"/>
      <c r="AD273" s="47"/>
      <c r="AE273" s="47"/>
      <c r="AF273" s="47"/>
      <c r="AG273" s="47"/>
      <c r="AH273" s="47" t="str">
        <f>IFERROR(_xlfn.XLOOKUP(Table6[[#This Row],[Suburb]],Table5[Travel Surcharge],Table5[$$]),"")</f>
        <v/>
      </c>
      <c r="AI273" s="47"/>
      <c r="AJ273" s="47"/>
      <c r="AL273" t="str">
        <v>Eliston Estate</v>
      </c>
    </row>
    <row r="274" spans="1:38">
      <c r="A274" s="374" t="s">
        <v>815</v>
      </c>
      <c r="B274" s="374">
        <v>9</v>
      </c>
      <c r="C274" s="374" t="s">
        <v>802</v>
      </c>
      <c r="D274" s="375" t="str">
        <f t="shared" si="59"/>
        <v>Arcadia Estate9</v>
      </c>
      <c r="E274" s="375" t="s">
        <v>825</v>
      </c>
      <c r="F274" s="375" t="s">
        <v>817</v>
      </c>
      <c r="G274" s="375" t="s">
        <v>818</v>
      </c>
      <c r="H274" s="375" t="s">
        <v>819</v>
      </c>
      <c r="I274" s="63" t="s">
        <v>820</v>
      </c>
      <c r="J274" s="47">
        <f t="shared" si="61"/>
        <v>3740</v>
      </c>
      <c r="K274" s="46" t="s">
        <v>7938</v>
      </c>
      <c r="L274" s="47"/>
      <c r="M274" s="47"/>
      <c r="N274" s="47"/>
      <c r="O274" s="47"/>
      <c r="P274" s="47"/>
      <c r="Q274" s="47"/>
      <c r="R274" s="47"/>
      <c r="S274" s="47"/>
      <c r="T274" s="47"/>
      <c r="U274" s="47">
        <f t="shared" si="62"/>
        <v>430</v>
      </c>
      <c r="V274" s="47"/>
      <c r="W274" s="47"/>
      <c r="X274" s="47"/>
      <c r="Y274" s="47"/>
      <c r="Z274" s="47">
        <f t="shared" si="64"/>
        <v>4620</v>
      </c>
      <c r="AA274" s="47">
        <f t="shared" si="63"/>
        <v>1400</v>
      </c>
      <c r="AB274" s="47"/>
      <c r="AC274" s="47"/>
      <c r="AD274" s="47"/>
      <c r="AE274" s="47"/>
      <c r="AF274" s="47"/>
      <c r="AG274" s="47"/>
      <c r="AH274" s="47" t="str">
        <f>IFERROR(_xlfn.XLOOKUP(Table6[[#This Row],[Suburb]],Table5[Travel Surcharge],Table5[$$]),"")</f>
        <v/>
      </c>
      <c r="AI274" s="47"/>
      <c r="AJ274" s="47"/>
      <c r="AL274" t="str">
        <v>Ellarook Estate</v>
      </c>
    </row>
    <row r="275" spans="1:38">
      <c r="A275" s="374" t="s">
        <v>815</v>
      </c>
      <c r="B275" s="374">
        <v>10</v>
      </c>
      <c r="C275" s="374" t="s">
        <v>802</v>
      </c>
      <c r="D275" s="375" t="str">
        <f t="shared" si="59"/>
        <v>Arcadia Estate10</v>
      </c>
      <c r="E275" s="375" t="s">
        <v>826</v>
      </c>
      <c r="F275" s="375" t="s">
        <v>817</v>
      </c>
      <c r="G275" s="375" t="s">
        <v>818</v>
      </c>
      <c r="H275" s="375" t="s">
        <v>819</v>
      </c>
      <c r="I275" s="63" t="s">
        <v>820</v>
      </c>
      <c r="J275" s="47">
        <f t="shared" si="61"/>
        <v>3740</v>
      </c>
      <c r="K275" s="46" t="s">
        <v>7938</v>
      </c>
      <c r="L275" s="47"/>
      <c r="M275" s="47"/>
      <c r="N275" s="47"/>
      <c r="O275" s="47"/>
      <c r="P275" s="47"/>
      <c r="Q275" s="47"/>
      <c r="R275" s="47"/>
      <c r="S275" s="47"/>
      <c r="T275" s="47"/>
      <c r="U275" s="47">
        <f t="shared" si="62"/>
        <v>430</v>
      </c>
      <c r="V275" s="47"/>
      <c r="W275" s="47"/>
      <c r="X275" s="47"/>
      <c r="Y275" s="47"/>
      <c r="Z275" s="47">
        <f t="shared" si="64"/>
        <v>4620</v>
      </c>
      <c r="AA275" s="47">
        <f t="shared" si="63"/>
        <v>1400</v>
      </c>
      <c r="AB275" s="47"/>
      <c r="AC275" s="47"/>
      <c r="AD275" s="47"/>
      <c r="AE275" s="47"/>
      <c r="AF275" s="47"/>
      <c r="AG275" s="47"/>
      <c r="AH275" s="47" t="str">
        <f>IFERROR(_xlfn.XLOOKUP(Table6[[#This Row],[Suburb]],Table5[Travel Surcharge],Table5[$$]),"")</f>
        <v/>
      </c>
      <c r="AI275" s="47"/>
      <c r="AJ275" s="47"/>
      <c r="AL275" t="str">
        <v>Ellerton Estate</v>
      </c>
    </row>
    <row r="276" spans="1:38">
      <c r="A276" s="374" t="s">
        <v>815</v>
      </c>
      <c r="B276" s="374">
        <v>13</v>
      </c>
      <c r="C276" s="374" t="s">
        <v>802</v>
      </c>
      <c r="D276" s="375" t="str">
        <f t="shared" si="59"/>
        <v>Arcadia Estate13</v>
      </c>
      <c r="E276" s="375" t="s">
        <v>827</v>
      </c>
      <c r="F276" s="375" t="s">
        <v>817</v>
      </c>
      <c r="G276" s="375" t="s">
        <v>818</v>
      </c>
      <c r="H276" s="375" t="s">
        <v>819</v>
      </c>
      <c r="I276" s="63" t="s">
        <v>820</v>
      </c>
      <c r="J276" s="47">
        <f t="shared" si="61"/>
        <v>3740</v>
      </c>
      <c r="K276" s="46" t="s">
        <v>7938</v>
      </c>
      <c r="L276" s="47"/>
      <c r="M276" s="47"/>
      <c r="N276" s="47"/>
      <c r="O276" s="47"/>
      <c r="P276" s="47"/>
      <c r="Q276" s="47"/>
      <c r="R276" s="47"/>
      <c r="S276" s="47"/>
      <c r="T276" s="47"/>
      <c r="U276" s="47">
        <f t="shared" si="62"/>
        <v>430</v>
      </c>
      <c r="V276" s="47"/>
      <c r="W276" s="47"/>
      <c r="X276" s="47"/>
      <c r="Y276" s="47"/>
      <c r="Z276" s="47">
        <f t="shared" si="64"/>
        <v>4620</v>
      </c>
      <c r="AA276" s="47">
        <f t="shared" si="63"/>
        <v>1400</v>
      </c>
      <c r="AB276" s="47"/>
      <c r="AC276" s="47"/>
      <c r="AD276" s="47"/>
      <c r="AE276" s="47"/>
      <c r="AF276" s="47"/>
      <c r="AG276" s="47"/>
      <c r="AH276" s="47" t="str">
        <f>IFERROR(_xlfn.XLOOKUP(Table6[[#This Row],[Suburb]],Table5[Travel Surcharge],Table5[$$]),"")</f>
        <v/>
      </c>
      <c r="AI276" s="47"/>
      <c r="AJ276" s="47"/>
      <c r="AL276" t="str">
        <v>Ellery Estate</v>
      </c>
    </row>
    <row r="277" spans="1:38">
      <c r="A277" s="374" t="s">
        <v>815</v>
      </c>
      <c r="B277" s="374">
        <v>14</v>
      </c>
      <c r="C277" s="374" t="s">
        <v>802</v>
      </c>
      <c r="D277" s="375" t="str">
        <f t="shared" si="59"/>
        <v>Arcadia Estate14</v>
      </c>
      <c r="E277" s="375" t="s">
        <v>828</v>
      </c>
      <c r="F277" s="375" t="s">
        <v>817</v>
      </c>
      <c r="G277" s="375" t="s">
        <v>818</v>
      </c>
      <c r="H277" s="375" t="s">
        <v>819</v>
      </c>
      <c r="I277" s="63" t="s">
        <v>820</v>
      </c>
      <c r="J277" s="47">
        <f t="shared" si="61"/>
        <v>3740</v>
      </c>
      <c r="K277" s="46" t="s">
        <v>7938</v>
      </c>
      <c r="L277" s="47"/>
      <c r="M277" s="47"/>
      <c r="N277" s="47"/>
      <c r="O277" s="47"/>
      <c r="P277" s="47"/>
      <c r="Q277" s="47"/>
      <c r="R277" s="47"/>
      <c r="S277" s="47"/>
      <c r="T277" s="47"/>
      <c r="U277" s="47">
        <f t="shared" si="62"/>
        <v>430</v>
      </c>
      <c r="V277" s="47"/>
      <c r="W277" s="47"/>
      <c r="X277" s="47"/>
      <c r="Y277" s="47"/>
      <c r="Z277" s="47">
        <f t="shared" si="64"/>
        <v>4620</v>
      </c>
      <c r="AA277" s="47">
        <f t="shared" si="63"/>
        <v>1400</v>
      </c>
      <c r="AB277" s="47"/>
      <c r="AC277" s="47"/>
      <c r="AD277" s="47"/>
      <c r="AE277" s="47"/>
      <c r="AF277" s="47"/>
      <c r="AG277" s="47"/>
      <c r="AH277" s="47" t="str">
        <f>IFERROR(_xlfn.XLOOKUP(Table6[[#This Row],[Suburb]],Table5[Travel Surcharge],Table5[$$]),"")</f>
        <v/>
      </c>
      <c r="AI277" s="47"/>
      <c r="AJ277" s="47"/>
      <c r="AL277" t="str">
        <v>ELPIS Estate</v>
      </c>
    </row>
    <row r="278" spans="1:38">
      <c r="A278" s="374" t="s">
        <v>815</v>
      </c>
      <c r="B278" s="374">
        <v>16</v>
      </c>
      <c r="C278" s="374" t="s">
        <v>802</v>
      </c>
      <c r="D278" s="375" t="str">
        <f t="shared" si="59"/>
        <v>Arcadia Estate16</v>
      </c>
      <c r="E278" s="375" t="s">
        <v>829</v>
      </c>
      <c r="F278" s="375" t="s">
        <v>817</v>
      </c>
      <c r="G278" s="375" t="s">
        <v>818</v>
      </c>
      <c r="H278" s="375" t="s">
        <v>819</v>
      </c>
      <c r="I278" s="63" t="s">
        <v>820</v>
      </c>
      <c r="J278" s="47">
        <f t="shared" si="61"/>
        <v>3740</v>
      </c>
      <c r="K278" s="46" t="s">
        <v>7938</v>
      </c>
      <c r="L278" s="47"/>
      <c r="M278" s="47"/>
      <c r="N278" s="47"/>
      <c r="O278" s="47"/>
      <c r="P278" s="47"/>
      <c r="Q278" s="47"/>
      <c r="R278" s="47"/>
      <c r="S278" s="47"/>
      <c r="T278" s="47"/>
      <c r="U278" s="47">
        <f t="shared" si="62"/>
        <v>430</v>
      </c>
      <c r="V278" s="47"/>
      <c r="W278" s="47"/>
      <c r="X278" s="47"/>
      <c r="Y278" s="47"/>
      <c r="Z278" s="47">
        <f t="shared" si="64"/>
        <v>4620</v>
      </c>
      <c r="AA278" s="47">
        <f t="shared" si="63"/>
        <v>1400</v>
      </c>
      <c r="AB278" s="47"/>
      <c r="AC278" s="47"/>
      <c r="AD278" s="47"/>
      <c r="AE278" s="47"/>
      <c r="AF278" s="47"/>
      <c r="AG278" s="47"/>
      <c r="AH278" s="47" t="str">
        <f>IFERROR(_xlfn.XLOOKUP(Table6[[#This Row],[Suburb]],Table5[Travel Surcharge],Table5[$$]),"")</f>
        <v/>
      </c>
      <c r="AI278" s="47"/>
      <c r="AJ278" s="47"/>
      <c r="AL278" t="str">
        <v>Elysium</v>
      </c>
    </row>
    <row r="279" spans="1:38">
      <c r="A279" s="374" t="s">
        <v>815</v>
      </c>
      <c r="B279" s="374">
        <v>17</v>
      </c>
      <c r="C279" s="374" t="s">
        <v>802</v>
      </c>
      <c r="D279" s="375" t="str">
        <f t="shared" si="59"/>
        <v>Arcadia Estate17</v>
      </c>
      <c r="E279" s="375" t="s">
        <v>830</v>
      </c>
      <c r="F279" s="375" t="s">
        <v>817</v>
      </c>
      <c r="G279" s="375" t="s">
        <v>818</v>
      </c>
      <c r="H279" s="375" t="s">
        <v>819</v>
      </c>
      <c r="I279" s="63" t="s">
        <v>820</v>
      </c>
      <c r="J279" s="47">
        <f t="shared" si="61"/>
        <v>3740</v>
      </c>
      <c r="K279" s="46" t="s">
        <v>7938</v>
      </c>
      <c r="L279" s="47"/>
      <c r="M279" s="47"/>
      <c r="N279" s="47"/>
      <c r="O279" s="47"/>
      <c r="P279" s="47"/>
      <c r="Q279" s="47"/>
      <c r="R279" s="47"/>
      <c r="S279" s="47"/>
      <c r="T279" s="47"/>
      <c r="U279" s="47">
        <f t="shared" si="62"/>
        <v>430</v>
      </c>
      <c r="V279" s="47"/>
      <c r="W279" s="47"/>
      <c r="X279" s="47"/>
      <c r="Y279" s="47"/>
      <c r="Z279" s="47">
        <f t="shared" si="64"/>
        <v>4620</v>
      </c>
      <c r="AA279" s="47">
        <f t="shared" si="63"/>
        <v>1400</v>
      </c>
      <c r="AB279" s="47"/>
      <c r="AC279" s="47"/>
      <c r="AD279" s="47"/>
      <c r="AE279" s="47"/>
      <c r="AF279" s="47"/>
      <c r="AG279" s="47"/>
      <c r="AH279" s="47" t="str">
        <f>IFERROR(_xlfn.XLOOKUP(Table6[[#This Row],[Suburb]],Table5[Travel Surcharge],Table5[$$]),"")</f>
        <v/>
      </c>
      <c r="AI279" s="47"/>
      <c r="AJ279" s="47"/>
      <c r="AL279" t="str">
        <v>Elyssia Estate</v>
      </c>
    </row>
    <row r="280" spans="1:38">
      <c r="A280" s="374" t="s">
        <v>815</v>
      </c>
      <c r="B280" s="374">
        <v>18</v>
      </c>
      <c r="C280" s="374" t="s">
        <v>802</v>
      </c>
      <c r="D280" s="375" t="str">
        <f t="shared" si="59"/>
        <v>Arcadia Estate18</v>
      </c>
      <c r="E280" s="375" t="s">
        <v>831</v>
      </c>
      <c r="F280" s="375" t="s">
        <v>817</v>
      </c>
      <c r="G280" s="375" t="s">
        <v>818</v>
      </c>
      <c r="H280" s="375" t="s">
        <v>819</v>
      </c>
      <c r="I280" s="63" t="s">
        <v>820</v>
      </c>
      <c r="J280" s="47">
        <f t="shared" si="61"/>
        <v>3740</v>
      </c>
      <c r="K280" s="46" t="s">
        <v>7938</v>
      </c>
      <c r="L280" s="47"/>
      <c r="M280" s="47"/>
      <c r="N280" s="47"/>
      <c r="O280" s="47"/>
      <c r="P280" s="47"/>
      <c r="Q280" s="47"/>
      <c r="R280" s="47"/>
      <c r="S280" s="47"/>
      <c r="T280" s="47"/>
      <c r="U280" s="47">
        <f t="shared" si="62"/>
        <v>430</v>
      </c>
      <c r="V280" s="47"/>
      <c r="W280" s="47"/>
      <c r="X280" s="47"/>
      <c r="Y280" s="47"/>
      <c r="Z280" s="47">
        <f t="shared" si="64"/>
        <v>4620</v>
      </c>
      <c r="AA280" s="47">
        <f t="shared" si="63"/>
        <v>1400</v>
      </c>
      <c r="AB280" s="47"/>
      <c r="AC280" s="47"/>
      <c r="AD280" s="47"/>
      <c r="AE280" s="47"/>
      <c r="AF280" s="47"/>
      <c r="AG280" s="47"/>
      <c r="AH280" s="47" t="str">
        <f>IFERROR(_xlfn.XLOOKUP(Table6[[#This Row],[Suburb]],Table5[Travel Surcharge],Table5[$$]),"")</f>
        <v/>
      </c>
      <c r="AI280" s="47"/>
      <c r="AJ280" s="47"/>
      <c r="AL280" t="str">
        <v>Emberwood</v>
      </c>
    </row>
    <row r="281" spans="1:38">
      <c r="A281" s="374" t="s">
        <v>815</v>
      </c>
      <c r="B281" s="374">
        <v>19</v>
      </c>
      <c r="C281" s="374" t="s">
        <v>802</v>
      </c>
      <c r="D281" s="375" t="str">
        <f t="shared" si="59"/>
        <v>Arcadia Estate19</v>
      </c>
      <c r="E281" s="375" t="s">
        <v>832</v>
      </c>
      <c r="F281" s="375" t="s">
        <v>817</v>
      </c>
      <c r="G281" s="375" t="s">
        <v>818</v>
      </c>
      <c r="H281" s="375" t="s">
        <v>819</v>
      </c>
      <c r="I281" s="63" t="s">
        <v>820</v>
      </c>
      <c r="J281" s="47">
        <f t="shared" si="61"/>
        <v>3740</v>
      </c>
      <c r="K281" s="46" t="s">
        <v>7938</v>
      </c>
      <c r="L281" s="47"/>
      <c r="M281" s="47"/>
      <c r="N281" s="47"/>
      <c r="O281" s="47"/>
      <c r="P281" s="47"/>
      <c r="Q281" s="47"/>
      <c r="R281" s="47"/>
      <c r="S281" s="47"/>
      <c r="T281" s="47"/>
      <c r="U281" s="47">
        <f t="shared" si="62"/>
        <v>430</v>
      </c>
      <c r="V281" s="47"/>
      <c r="W281" s="47"/>
      <c r="X281" s="47"/>
      <c r="Y281" s="47"/>
      <c r="Z281" s="47">
        <f t="shared" si="64"/>
        <v>4620</v>
      </c>
      <c r="AA281" s="47">
        <f t="shared" si="63"/>
        <v>1400</v>
      </c>
      <c r="AB281" s="47"/>
      <c r="AC281" s="47"/>
      <c r="AD281" s="47"/>
      <c r="AE281" s="47"/>
      <c r="AF281" s="47"/>
      <c r="AG281" s="47"/>
      <c r="AH281" s="47" t="str">
        <f>IFERROR(_xlfn.XLOOKUP(Table6[[#This Row],[Suburb]],Table5[Travel Surcharge],Table5[$$]),"")</f>
        <v/>
      </c>
      <c r="AI281" s="47"/>
      <c r="AJ281" s="47"/>
      <c r="AL281" t="str">
        <v xml:space="preserve">Emerald Estate </v>
      </c>
    </row>
    <row r="282" spans="1:38">
      <c r="A282" s="374" t="s">
        <v>815</v>
      </c>
      <c r="B282" s="374">
        <v>20</v>
      </c>
      <c r="C282" s="374" t="s">
        <v>802</v>
      </c>
      <c r="D282" s="375" t="str">
        <f t="shared" si="59"/>
        <v>Arcadia Estate20</v>
      </c>
      <c r="E282" s="375" t="s">
        <v>833</v>
      </c>
      <c r="F282" s="375" t="s">
        <v>817</v>
      </c>
      <c r="G282" s="375" t="s">
        <v>818</v>
      </c>
      <c r="H282" s="375" t="s">
        <v>819</v>
      </c>
      <c r="I282" s="63" t="s">
        <v>820</v>
      </c>
      <c r="J282" s="47">
        <f t="shared" si="61"/>
        <v>3740</v>
      </c>
      <c r="K282" s="46" t="s">
        <v>7938</v>
      </c>
      <c r="L282" s="47"/>
      <c r="M282" s="47"/>
      <c r="N282" s="47"/>
      <c r="O282" s="47"/>
      <c r="P282" s="47"/>
      <c r="Q282" s="47"/>
      <c r="R282" s="47"/>
      <c r="S282" s="47"/>
      <c r="T282" s="47"/>
      <c r="U282" s="47">
        <f t="shared" si="62"/>
        <v>430</v>
      </c>
      <c r="V282" s="47"/>
      <c r="W282" s="47"/>
      <c r="X282" s="47"/>
      <c r="Y282" s="47"/>
      <c r="Z282" s="47">
        <f t="shared" si="64"/>
        <v>4620</v>
      </c>
      <c r="AA282" s="47">
        <f t="shared" si="63"/>
        <v>1400</v>
      </c>
      <c r="AB282" s="47"/>
      <c r="AC282" s="47"/>
      <c r="AD282" s="47"/>
      <c r="AE282" s="47"/>
      <c r="AF282" s="47"/>
      <c r="AG282" s="47"/>
      <c r="AH282" s="47" t="str">
        <f>IFERROR(_xlfn.XLOOKUP(Table6[[#This Row],[Suburb]],Table5[Travel Surcharge],Table5[$$]),"")</f>
        <v/>
      </c>
      <c r="AI282" s="47"/>
      <c r="AJ282" s="47"/>
      <c r="AL282" t="str">
        <v>Emerald Park Estate</v>
      </c>
    </row>
    <row r="283" spans="1:38">
      <c r="A283" s="374" t="s">
        <v>815</v>
      </c>
      <c r="B283" s="374">
        <v>21</v>
      </c>
      <c r="C283" s="374" t="s">
        <v>802</v>
      </c>
      <c r="D283" s="375" t="str">
        <f t="shared" si="59"/>
        <v>Arcadia Estate21</v>
      </c>
      <c r="E283" s="375" t="s">
        <v>834</v>
      </c>
      <c r="F283" s="375" t="s">
        <v>817</v>
      </c>
      <c r="G283" s="375" t="s">
        <v>818</v>
      </c>
      <c r="H283" s="375" t="s">
        <v>819</v>
      </c>
      <c r="I283" s="63" t="s">
        <v>820</v>
      </c>
      <c r="J283" s="47">
        <f t="shared" si="61"/>
        <v>3740</v>
      </c>
      <c r="K283" s="46" t="s">
        <v>7938</v>
      </c>
      <c r="L283" s="47"/>
      <c r="M283" s="47"/>
      <c r="N283" s="47"/>
      <c r="O283" s="47"/>
      <c r="P283" s="47"/>
      <c r="Q283" s="47"/>
      <c r="R283" s="47"/>
      <c r="S283" s="47"/>
      <c r="T283" s="47"/>
      <c r="U283" s="47">
        <f t="shared" si="62"/>
        <v>430</v>
      </c>
      <c r="V283" s="47"/>
      <c r="W283" s="47"/>
      <c r="X283" s="47"/>
      <c r="Y283" s="47"/>
      <c r="Z283" s="47">
        <f t="shared" si="64"/>
        <v>4620</v>
      </c>
      <c r="AA283" s="47">
        <f t="shared" si="63"/>
        <v>1400</v>
      </c>
      <c r="AB283" s="47"/>
      <c r="AC283" s="47"/>
      <c r="AD283" s="47"/>
      <c r="AE283" s="47"/>
      <c r="AF283" s="47"/>
      <c r="AG283" s="47"/>
      <c r="AH283" s="47" t="str">
        <f>IFERROR(_xlfn.XLOOKUP(Table6[[#This Row],[Suburb]],Table5[Travel Surcharge],Table5[$$]),"")</f>
        <v/>
      </c>
      <c r="AI283" s="47"/>
      <c r="AJ283" s="47"/>
      <c r="AL283" t="str">
        <v>Emerald Waters</v>
      </c>
    </row>
    <row r="284" spans="1:38">
      <c r="A284" s="374" t="s">
        <v>815</v>
      </c>
      <c r="B284" s="374">
        <v>22</v>
      </c>
      <c r="C284" s="374" t="s">
        <v>802</v>
      </c>
      <c r="D284" s="375" t="str">
        <f t="shared" si="59"/>
        <v>Arcadia Estate22</v>
      </c>
      <c r="E284" s="375" t="s">
        <v>835</v>
      </c>
      <c r="F284" s="375" t="s">
        <v>817</v>
      </c>
      <c r="G284" s="375" t="s">
        <v>818</v>
      </c>
      <c r="H284" s="375" t="s">
        <v>819</v>
      </c>
      <c r="I284" s="63" t="s">
        <v>820</v>
      </c>
      <c r="J284" s="47">
        <f t="shared" si="61"/>
        <v>3740</v>
      </c>
      <c r="K284" s="46" t="s">
        <v>7938</v>
      </c>
      <c r="L284" s="47"/>
      <c r="M284" s="47"/>
      <c r="N284" s="47"/>
      <c r="O284" s="47"/>
      <c r="P284" s="47"/>
      <c r="Q284" s="47"/>
      <c r="R284" s="47"/>
      <c r="S284" s="47"/>
      <c r="T284" s="47"/>
      <c r="U284" s="47">
        <f t="shared" si="62"/>
        <v>430</v>
      </c>
      <c r="V284" s="47"/>
      <c r="W284" s="47"/>
      <c r="X284" s="47"/>
      <c r="Y284" s="47"/>
      <c r="Z284" s="47">
        <f t="shared" si="64"/>
        <v>4620</v>
      </c>
      <c r="AA284" s="47">
        <f t="shared" si="63"/>
        <v>1400</v>
      </c>
      <c r="AB284" s="47"/>
      <c r="AC284" s="47"/>
      <c r="AD284" s="47"/>
      <c r="AE284" s="47"/>
      <c r="AF284" s="47"/>
      <c r="AG284" s="47"/>
      <c r="AH284" s="47" t="str">
        <f>IFERROR(_xlfn.XLOOKUP(Table6[[#This Row],[Suburb]],Table5[Travel Surcharge],Table5[$$]),"")</f>
        <v/>
      </c>
      <c r="AI284" s="47"/>
      <c r="AJ284" s="47"/>
      <c r="AL284" t="str">
        <v>Emerlad Estate Elliminyt</v>
      </c>
    </row>
    <row r="285" spans="1:38">
      <c r="A285" s="374" t="s">
        <v>815</v>
      </c>
      <c r="B285" s="374">
        <v>23</v>
      </c>
      <c r="C285" s="374" t="s">
        <v>802</v>
      </c>
      <c r="D285" s="375" t="str">
        <f t="shared" si="59"/>
        <v>Arcadia Estate23</v>
      </c>
      <c r="E285" s="375" t="s">
        <v>836</v>
      </c>
      <c r="F285" s="375" t="s">
        <v>817</v>
      </c>
      <c r="G285" s="375" t="s">
        <v>818</v>
      </c>
      <c r="H285" s="375" t="s">
        <v>819</v>
      </c>
      <c r="I285" s="63" t="s">
        <v>820</v>
      </c>
      <c r="J285" s="47">
        <f t="shared" si="61"/>
        <v>3740</v>
      </c>
      <c r="K285" s="46" t="s">
        <v>7938</v>
      </c>
      <c r="L285" s="47"/>
      <c r="M285" s="47"/>
      <c r="N285" s="47"/>
      <c r="O285" s="47"/>
      <c r="P285" s="47"/>
      <c r="Q285" s="47"/>
      <c r="R285" s="47"/>
      <c r="S285" s="47"/>
      <c r="T285" s="47"/>
      <c r="U285" s="47">
        <f t="shared" si="62"/>
        <v>430</v>
      </c>
      <c r="V285" s="47"/>
      <c r="W285" s="47"/>
      <c r="X285" s="47"/>
      <c r="Y285" s="47"/>
      <c r="Z285" s="47">
        <f t="shared" si="64"/>
        <v>4620</v>
      </c>
      <c r="AA285" s="47">
        <f t="shared" si="63"/>
        <v>1400</v>
      </c>
      <c r="AB285" s="47"/>
      <c r="AC285" s="47"/>
      <c r="AD285" s="47"/>
      <c r="AE285" s="47"/>
      <c r="AF285" s="47"/>
      <c r="AG285" s="47"/>
      <c r="AH285" s="47" t="str">
        <f>IFERROR(_xlfn.XLOOKUP(Table6[[#This Row],[Suburb]],Table5[Travel Surcharge],Table5[$$]),"")</f>
        <v/>
      </c>
      <c r="AI285" s="47"/>
      <c r="AJ285" s="47"/>
      <c r="AL285" t="str">
        <v>Emerton Estate</v>
      </c>
    </row>
    <row r="286" spans="1:38">
      <c r="A286" s="374" t="s">
        <v>815</v>
      </c>
      <c r="B286" s="374">
        <v>24</v>
      </c>
      <c r="C286" s="374" t="s">
        <v>802</v>
      </c>
      <c r="D286" s="375" t="str">
        <f t="shared" si="59"/>
        <v>Arcadia Estate24</v>
      </c>
      <c r="E286" s="375" t="s">
        <v>837</v>
      </c>
      <c r="F286" s="375" t="s">
        <v>817</v>
      </c>
      <c r="G286" s="375" t="s">
        <v>818</v>
      </c>
      <c r="H286" s="375" t="s">
        <v>819</v>
      </c>
      <c r="I286" s="63" t="s">
        <v>820</v>
      </c>
      <c r="J286" s="47">
        <f t="shared" si="61"/>
        <v>3740</v>
      </c>
      <c r="K286" s="46" t="s">
        <v>7938</v>
      </c>
      <c r="L286" s="47"/>
      <c r="M286" s="47"/>
      <c r="N286" s="47"/>
      <c r="O286" s="47"/>
      <c r="P286" s="47"/>
      <c r="Q286" s="47"/>
      <c r="R286" s="47"/>
      <c r="S286" s="47"/>
      <c r="T286" s="47"/>
      <c r="U286" s="47">
        <f t="shared" si="62"/>
        <v>430</v>
      </c>
      <c r="V286" s="47"/>
      <c r="W286" s="47"/>
      <c r="X286" s="47"/>
      <c r="Y286" s="47"/>
      <c r="Z286" s="47">
        <f t="shared" si="64"/>
        <v>4620</v>
      </c>
      <c r="AA286" s="47">
        <f t="shared" si="63"/>
        <v>1400</v>
      </c>
      <c r="AB286" s="47"/>
      <c r="AC286" s="47"/>
      <c r="AD286" s="47"/>
      <c r="AE286" s="47"/>
      <c r="AF286" s="47"/>
      <c r="AG286" s="47"/>
      <c r="AH286" s="47" t="str">
        <f>IFERROR(_xlfn.XLOOKUP(Table6[[#This Row],[Suburb]],Table5[Travel Surcharge],Table5[$$]),"")</f>
        <v/>
      </c>
      <c r="AI286" s="47"/>
      <c r="AJ286" s="47"/>
      <c r="AL286" t="str">
        <v>Eminence Estate</v>
      </c>
    </row>
    <row r="287" spans="1:38">
      <c r="A287" s="374" t="s">
        <v>815</v>
      </c>
      <c r="B287" s="374">
        <v>25</v>
      </c>
      <c r="C287" s="374" t="s">
        <v>802</v>
      </c>
      <c r="D287" s="375" t="str">
        <f t="shared" si="59"/>
        <v>Arcadia Estate25</v>
      </c>
      <c r="E287" s="375" t="s">
        <v>838</v>
      </c>
      <c r="F287" s="375" t="s">
        <v>817</v>
      </c>
      <c r="G287" s="375" t="s">
        <v>818</v>
      </c>
      <c r="H287" s="375" t="s">
        <v>819</v>
      </c>
      <c r="I287" s="63" t="s">
        <v>820</v>
      </c>
      <c r="J287" s="47">
        <f t="shared" si="61"/>
        <v>3740</v>
      </c>
      <c r="K287" s="46" t="s">
        <v>7938</v>
      </c>
      <c r="L287" s="47"/>
      <c r="M287" s="47"/>
      <c r="N287" s="47"/>
      <c r="O287" s="47"/>
      <c r="P287" s="47"/>
      <c r="Q287" s="47"/>
      <c r="R287" s="47"/>
      <c r="S287" s="47"/>
      <c r="T287" s="47"/>
      <c r="U287" s="47">
        <f t="shared" si="62"/>
        <v>430</v>
      </c>
      <c r="V287" s="47"/>
      <c r="W287" s="47"/>
      <c r="X287" s="47"/>
      <c r="Y287" s="47"/>
      <c r="Z287" s="47">
        <f t="shared" si="64"/>
        <v>4620</v>
      </c>
      <c r="AA287" s="47">
        <f t="shared" si="63"/>
        <v>1400</v>
      </c>
      <c r="AB287" s="47"/>
      <c r="AC287" s="47"/>
      <c r="AD287" s="47"/>
      <c r="AE287" s="47"/>
      <c r="AF287" s="47"/>
      <c r="AG287" s="47"/>
      <c r="AH287" s="47" t="str">
        <f>IFERROR(_xlfn.XLOOKUP(Table6[[#This Row],[Suburb]],Table5[Travel Surcharge],Table5[$$]),"")</f>
        <v/>
      </c>
      <c r="AI287" s="47"/>
      <c r="AJ287" s="47"/>
      <c r="AL287" t="str">
        <v>Empire Estate</v>
      </c>
    </row>
    <row r="288" spans="1:38">
      <c r="A288" s="374" t="s">
        <v>815</v>
      </c>
      <c r="B288" s="374">
        <v>26</v>
      </c>
      <c r="C288" s="374" t="s">
        <v>802</v>
      </c>
      <c r="D288" s="375" t="str">
        <f t="shared" si="59"/>
        <v>Arcadia Estate26</v>
      </c>
      <c r="E288" s="375" t="s">
        <v>839</v>
      </c>
      <c r="F288" s="375" t="s">
        <v>817</v>
      </c>
      <c r="G288" s="375" t="s">
        <v>818</v>
      </c>
      <c r="H288" s="375" t="s">
        <v>819</v>
      </c>
      <c r="I288" s="63" t="s">
        <v>820</v>
      </c>
      <c r="J288" s="47">
        <f t="shared" si="61"/>
        <v>3740</v>
      </c>
      <c r="K288" s="46" t="s">
        <v>7938</v>
      </c>
      <c r="L288" s="47"/>
      <c r="M288" s="47"/>
      <c r="N288" s="47"/>
      <c r="O288" s="47"/>
      <c r="P288" s="47"/>
      <c r="Q288" s="47"/>
      <c r="R288" s="47"/>
      <c r="S288" s="47"/>
      <c r="T288" s="47"/>
      <c r="U288" s="47">
        <f t="shared" si="62"/>
        <v>430</v>
      </c>
      <c r="V288" s="47"/>
      <c r="W288" s="47"/>
      <c r="X288" s="47"/>
      <c r="Y288" s="47"/>
      <c r="Z288" s="47">
        <f t="shared" si="64"/>
        <v>4620</v>
      </c>
      <c r="AA288" s="47">
        <f t="shared" si="63"/>
        <v>1400</v>
      </c>
      <c r="AB288" s="47"/>
      <c r="AC288" s="47"/>
      <c r="AD288" s="47"/>
      <c r="AE288" s="47"/>
      <c r="AF288" s="47"/>
      <c r="AG288" s="47"/>
      <c r="AH288" s="47" t="str">
        <f>IFERROR(_xlfn.XLOOKUP(Table6[[#This Row],[Suburb]],Table5[Travel Surcharge],Table5[$$]),"")</f>
        <v/>
      </c>
      <c r="AI288" s="47"/>
      <c r="AJ288" s="47"/>
      <c r="AL288" t="str">
        <v>Emu Springs</v>
      </c>
    </row>
    <row r="289" spans="1:38">
      <c r="A289" s="374" t="s">
        <v>815</v>
      </c>
      <c r="B289" s="374">
        <v>27</v>
      </c>
      <c r="C289" s="374" t="s">
        <v>802</v>
      </c>
      <c r="D289" s="375" t="str">
        <f t="shared" si="59"/>
        <v>Arcadia Estate27</v>
      </c>
      <c r="E289" s="375" t="s">
        <v>840</v>
      </c>
      <c r="F289" s="375" t="s">
        <v>817</v>
      </c>
      <c r="G289" s="375" t="s">
        <v>818</v>
      </c>
      <c r="H289" s="375" t="s">
        <v>819</v>
      </c>
      <c r="I289" s="63" t="s">
        <v>820</v>
      </c>
      <c r="J289" s="47">
        <f t="shared" si="61"/>
        <v>3740</v>
      </c>
      <c r="K289" s="46" t="s">
        <v>7938</v>
      </c>
      <c r="L289" s="47"/>
      <c r="M289" s="47"/>
      <c r="N289" s="47"/>
      <c r="O289" s="47"/>
      <c r="P289" s="47"/>
      <c r="Q289" s="47"/>
      <c r="R289" s="47"/>
      <c r="S289" s="47"/>
      <c r="T289" s="47"/>
      <c r="U289" s="47">
        <f t="shared" si="62"/>
        <v>430</v>
      </c>
      <c r="V289" s="47"/>
      <c r="W289" s="47"/>
      <c r="X289" s="47"/>
      <c r="Y289" s="47"/>
      <c r="Z289" s="47">
        <f t="shared" si="64"/>
        <v>4620</v>
      </c>
      <c r="AA289" s="47">
        <f t="shared" si="63"/>
        <v>1400</v>
      </c>
      <c r="AB289" s="47"/>
      <c r="AC289" s="47"/>
      <c r="AD289" s="47"/>
      <c r="AE289" s="47"/>
      <c r="AF289" s="47"/>
      <c r="AG289" s="47"/>
      <c r="AH289" s="47" t="str">
        <f>IFERROR(_xlfn.XLOOKUP(Table6[[#This Row],[Suburb]],Table5[Travel Surcharge],Table5[$$]),"")</f>
        <v/>
      </c>
      <c r="AI289" s="47"/>
      <c r="AJ289" s="47"/>
      <c r="AL289" t="str">
        <v>Enchanted Estate</v>
      </c>
    </row>
    <row r="290" spans="1:38">
      <c r="A290" s="374" t="s">
        <v>815</v>
      </c>
      <c r="B290" s="374">
        <v>28</v>
      </c>
      <c r="C290" s="374" t="s">
        <v>802</v>
      </c>
      <c r="D290" s="375" t="str">
        <f t="shared" si="59"/>
        <v>Arcadia Estate28</v>
      </c>
      <c r="E290" s="375" t="s">
        <v>841</v>
      </c>
      <c r="F290" s="375" t="s">
        <v>817</v>
      </c>
      <c r="G290" s="375" t="s">
        <v>818</v>
      </c>
      <c r="H290" s="375" t="s">
        <v>819</v>
      </c>
      <c r="I290" s="63" t="s">
        <v>820</v>
      </c>
      <c r="J290" s="47">
        <f t="shared" si="61"/>
        <v>3740</v>
      </c>
      <c r="K290" s="46" t="s">
        <v>7938</v>
      </c>
      <c r="L290" s="47"/>
      <c r="M290" s="47"/>
      <c r="N290" s="47"/>
      <c r="O290" s="47"/>
      <c r="P290" s="47"/>
      <c r="Q290" s="47"/>
      <c r="R290" s="47"/>
      <c r="S290" s="47"/>
      <c r="T290" s="47"/>
      <c r="U290" s="47">
        <f t="shared" si="62"/>
        <v>430</v>
      </c>
      <c r="V290" s="47"/>
      <c r="W290" s="47"/>
      <c r="X290" s="47"/>
      <c r="Y290" s="47"/>
      <c r="Z290" s="47">
        <f t="shared" si="64"/>
        <v>4620</v>
      </c>
      <c r="AA290" s="47">
        <f t="shared" si="63"/>
        <v>1400</v>
      </c>
      <c r="AB290" s="47"/>
      <c r="AC290" s="47"/>
      <c r="AD290" s="47"/>
      <c r="AE290" s="47"/>
      <c r="AF290" s="47"/>
      <c r="AG290" s="47"/>
      <c r="AH290" s="47" t="str">
        <f>IFERROR(_xlfn.XLOOKUP(Table6[[#This Row],[Suburb]],Table5[Travel Surcharge],Table5[$$]),"")</f>
        <v/>
      </c>
      <c r="AI290" s="47"/>
      <c r="AJ290" s="47"/>
      <c r="AL290" t="str">
        <v>Epping Views Estate</v>
      </c>
    </row>
    <row r="291" spans="1:38">
      <c r="A291" s="374" t="s">
        <v>815</v>
      </c>
      <c r="B291" s="374">
        <v>29</v>
      </c>
      <c r="C291" s="374" t="s">
        <v>802</v>
      </c>
      <c r="D291" s="375" t="str">
        <f t="shared" si="59"/>
        <v>Arcadia Estate29</v>
      </c>
      <c r="E291" s="375" t="s">
        <v>842</v>
      </c>
      <c r="F291" s="375" t="s">
        <v>817</v>
      </c>
      <c r="G291" s="375" t="s">
        <v>818</v>
      </c>
      <c r="H291" s="375" t="s">
        <v>819</v>
      </c>
      <c r="I291" s="63" t="s">
        <v>820</v>
      </c>
      <c r="J291" s="47">
        <f t="shared" si="61"/>
        <v>3740</v>
      </c>
      <c r="K291" s="46" t="s">
        <v>7938</v>
      </c>
      <c r="L291" s="47"/>
      <c r="M291" s="47"/>
      <c r="N291" s="47"/>
      <c r="O291" s="47"/>
      <c r="P291" s="47"/>
      <c r="Q291" s="47"/>
      <c r="R291" s="47"/>
      <c r="S291" s="47"/>
      <c r="T291" s="47"/>
      <c r="U291" s="47">
        <f t="shared" si="62"/>
        <v>430</v>
      </c>
      <c r="V291" s="47"/>
      <c r="W291" s="47"/>
      <c r="X291" s="47"/>
      <c r="Y291" s="47"/>
      <c r="Z291" s="47">
        <f t="shared" si="64"/>
        <v>4620</v>
      </c>
      <c r="AA291" s="47">
        <f t="shared" si="63"/>
        <v>1400</v>
      </c>
      <c r="AB291" s="47"/>
      <c r="AC291" s="47"/>
      <c r="AD291" s="47"/>
      <c r="AE291" s="47"/>
      <c r="AF291" s="47"/>
      <c r="AG291" s="47"/>
      <c r="AH291" s="47" t="str">
        <f>IFERROR(_xlfn.XLOOKUP(Table6[[#This Row],[Suburb]],Table5[Travel Surcharge],Table5[$$]),"")</f>
        <v/>
      </c>
      <c r="AI291" s="47"/>
      <c r="AJ291" s="47"/>
      <c r="AL291" t="str">
        <v>Essence - Bacchus Marsh</v>
      </c>
    </row>
    <row r="292" spans="1:38">
      <c r="A292" s="374" t="s">
        <v>815</v>
      </c>
      <c r="B292" s="374">
        <v>30</v>
      </c>
      <c r="C292" s="374" t="s">
        <v>802</v>
      </c>
      <c r="D292" s="375" t="str">
        <f t="shared" si="59"/>
        <v>Arcadia Estate30</v>
      </c>
      <c r="E292" s="375" t="s">
        <v>843</v>
      </c>
      <c r="F292" s="375" t="s">
        <v>817</v>
      </c>
      <c r="G292" s="375" t="s">
        <v>818</v>
      </c>
      <c r="H292" s="375" t="s">
        <v>819</v>
      </c>
      <c r="I292" s="63" t="s">
        <v>820</v>
      </c>
      <c r="J292" s="47">
        <f t="shared" si="61"/>
        <v>3740</v>
      </c>
      <c r="K292" s="46" t="s">
        <v>7938</v>
      </c>
      <c r="L292" s="47"/>
      <c r="M292" s="47"/>
      <c r="N292" s="47"/>
      <c r="O292" s="47"/>
      <c r="P292" s="47"/>
      <c r="Q292" s="47"/>
      <c r="R292" s="47"/>
      <c r="S292" s="47"/>
      <c r="T292" s="47"/>
      <c r="U292" s="47">
        <f t="shared" si="62"/>
        <v>430</v>
      </c>
      <c r="V292" s="47"/>
      <c r="W292" s="47"/>
      <c r="X292" s="47"/>
      <c r="Y292" s="47"/>
      <c r="Z292" s="47">
        <f t="shared" si="64"/>
        <v>4620</v>
      </c>
      <c r="AA292" s="47">
        <f t="shared" si="63"/>
        <v>1400</v>
      </c>
      <c r="AB292" s="47"/>
      <c r="AC292" s="47"/>
      <c r="AD292" s="47"/>
      <c r="AE292" s="47"/>
      <c r="AF292" s="47"/>
      <c r="AG292" s="47"/>
      <c r="AH292" s="47" t="str">
        <f>IFERROR(_xlfn.XLOOKUP(Table6[[#This Row],[Suburb]],Table5[Travel Surcharge],Table5[$$]),"")</f>
        <v/>
      </c>
      <c r="AI292" s="47"/>
      <c r="AJ292" s="47"/>
      <c r="AL292" t="str">
        <v>Essence - Officer</v>
      </c>
    </row>
    <row r="293" spans="1:38">
      <c r="A293" s="157" t="s">
        <v>815</v>
      </c>
      <c r="B293" s="157">
        <v>31</v>
      </c>
      <c r="C293" s="157" t="s">
        <v>802</v>
      </c>
      <c r="D293" s="157" t="str">
        <f t="shared" si="59"/>
        <v>Arcadia Estate31</v>
      </c>
      <c r="E293" s="157" t="s">
        <v>7686</v>
      </c>
      <c r="F293" s="157" t="s">
        <v>817</v>
      </c>
      <c r="G293" s="157" t="s">
        <v>818</v>
      </c>
      <c r="H293" s="157" t="s">
        <v>819</v>
      </c>
      <c r="I293" s="158" t="s">
        <v>820</v>
      </c>
      <c r="J293" s="47">
        <f t="shared" si="61"/>
        <v>3740</v>
      </c>
      <c r="K293" s="46" t="s">
        <v>7938</v>
      </c>
      <c r="L293" s="47"/>
      <c r="M293" s="47"/>
      <c r="N293" s="47"/>
      <c r="O293" s="47"/>
      <c r="P293" s="47"/>
      <c r="Q293" s="47"/>
      <c r="R293" s="47"/>
      <c r="S293" s="47"/>
      <c r="T293" s="47"/>
      <c r="U293" s="47">
        <f t="shared" si="62"/>
        <v>430</v>
      </c>
      <c r="V293" s="47"/>
      <c r="W293" s="47"/>
      <c r="X293" s="47"/>
      <c r="Y293" s="47"/>
      <c r="Z293" s="47">
        <f t="shared" si="64"/>
        <v>4620</v>
      </c>
      <c r="AA293" s="47">
        <f t="shared" si="63"/>
        <v>1400</v>
      </c>
      <c r="AB293" s="47"/>
      <c r="AC293" s="47"/>
      <c r="AD293" s="47"/>
      <c r="AE293" s="47"/>
      <c r="AF293" s="47"/>
      <c r="AG293" s="47"/>
      <c r="AH293" s="47" t="str">
        <f>IFERROR(_xlfn.XLOOKUP(Table6[[#This Row],[Suburb]],Table5[Travel Surcharge],Table5[$$]),"")</f>
        <v/>
      </c>
      <c r="AI293" s="47"/>
      <c r="AJ293" s="47"/>
      <c r="AL293" t="str">
        <v>Estuary</v>
      </c>
    </row>
    <row r="294" spans="1:38">
      <c r="A294" s="374" t="s">
        <v>815</v>
      </c>
      <c r="B294" s="374" t="s">
        <v>714</v>
      </c>
      <c r="C294" s="374" t="s">
        <v>802</v>
      </c>
      <c r="D294" s="375" t="str">
        <f t="shared" si="59"/>
        <v>Arcadia Estate11A</v>
      </c>
      <c r="E294" s="375" t="s">
        <v>844</v>
      </c>
      <c r="F294" s="375" t="s">
        <v>817</v>
      </c>
      <c r="G294" s="375" t="s">
        <v>818</v>
      </c>
      <c r="H294" s="375" t="s">
        <v>819</v>
      </c>
      <c r="I294" s="63" t="s">
        <v>820</v>
      </c>
      <c r="J294" s="47">
        <f t="shared" si="61"/>
        <v>3740</v>
      </c>
      <c r="K294" s="46" t="s">
        <v>7938</v>
      </c>
      <c r="L294" s="47"/>
      <c r="M294" s="47"/>
      <c r="N294" s="47"/>
      <c r="O294" s="47"/>
      <c r="P294" s="47"/>
      <c r="Q294" s="47"/>
      <c r="R294" s="47"/>
      <c r="S294" s="47"/>
      <c r="T294" s="47"/>
      <c r="U294" s="47">
        <f t="shared" si="62"/>
        <v>430</v>
      </c>
      <c r="V294" s="47"/>
      <c r="W294" s="47"/>
      <c r="X294" s="47"/>
      <c r="Y294" s="47"/>
      <c r="Z294" s="47">
        <f t="shared" si="64"/>
        <v>4620</v>
      </c>
      <c r="AA294" s="47">
        <f t="shared" si="63"/>
        <v>1400</v>
      </c>
      <c r="AB294" s="47"/>
      <c r="AC294" s="47"/>
      <c r="AD294" s="47"/>
      <c r="AE294" s="47"/>
      <c r="AF294" s="47"/>
      <c r="AG294" s="47"/>
      <c r="AH294" s="47" t="str">
        <f>IFERROR(_xlfn.XLOOKUP(Table6[[#This Row],[Suburb]],Table5[Travel Surcharge],Table5[$$]),"")</f>
        <v/>
      </c>
      <c r="AI294" s="47"/>
      <c r="AJ294" s="47"/>
      <c r="AL294" t="str">
        <v xml:space="preserve">Eucalypt Estate </v>
      </c>
    </row>
    <row r="295" spans="1:38">
      <c r="A295" s="374" t="s">
        <v>815</v>
      </c>
      <c r="B295" s="374" t="s">
        <v>845</v>
      </c>
      <c r="C295" s="374" t="s">
        <v>802</v>
      </c>
      <c r="D295" s="375" t="str">
        <f t="shared" si="59"/>
        <v>Arcadia Estate12A</v>
      </c>
      <c r="E295" s="375" t="s">
        <v>846</v>
      </c>
      <c r="F295" s="375" t="s">
        <v>817</v>
      </c>
      <c r="G295" s="375" t="s">
        <v>818</v>
      </c>
      <c r="H295" s="375" t="s">
        <v>819</v>
      </c>
      <c r="I295" s="63" t="s">
        <v>820</v>
      </c>
      <c r="J295" s="47">
        <f t="shared" si="61"/>
        <v>3740</v>
      </c>
      <c r="K295" s="46" t="s">
        <v>7938</v>
      </c>
      <c r="L295" s="47"/>
      <c r="M295" s="47"/>
      <c r="N295" s="47"/>
      <c r="O295" s="47"/>
      <c r="P295" s="47"/>
      <c r="Q295" s="47"/>
      <c r="R295" s="47"/>
      <c r="S295" s="47"/>
      <c r="T295" s="47"/>
      <c r="U295" s="47">
        <f t="shared" si="62"/>
        <v>430</v>
      </c>
      <c r="V295" s="47"/>
      <c r="W295" s="47"/>
      <c r="X295" s="47"/>
      <c r="Y295" s="47"/>
      <c r="Z295" s="47">
        <f t="shared" si="64"/>
        <v>4620</v>
      </c>
      <c r="AA295" s="47">
        <f t="shared" si="63"/>
        <v>1400</v>
      </c>
      <c r="AB295" s="47"/>
      <c r="AC295" s="47"/>
      <c r="AD295" s="47"/>
      <c r="AE295" s="47"/>
      <c r="AF295" s="47"/>
      <c r="AG295" s="47"/>
      <c r="AH295" s="47" t="str">
        <f>IFERROR(_xlfn.XLOOKUP(Table6[[#This Row],[Suburb]],Table5[Travel Surcharge],Table5[$$]),"")</f>
        <v/>
      </c>
      <c r="AI295" s="47"/>
      <c r="AJ295" s="47"/>
      <c r="AL295" t="str">
        <v>Evans on Vine</v>
      </c>
    </row>
    <row r="296" spans="1:38">
      <c r="A296" s="374" t="s">
        <v>815</v>
      </c>
      <c r="B296" s="374" t="s">
        <v>501</v>
      </c>
      <c r="C296" s="374" t="s">
        <v>802</v>
      </c>
      <c r="D296" s="375" t="str">
        <f t="shared" si="59"/>
        <v>Arcadia Estate1A</v>
      </c>
      <c r="E296" s="375" t="s">
        <v>847</v>
      </c>
      <c r="F296" s="375" t="s">
        <v>817</v>
      </c>
      <c r="G296" s="375" t="s">
        <v>818</v>
      </c>
      <c r="H296" s="375" t="s">
        <v>819</v>
      </c>
      <c r="I296" s="63" t="s">
        <v>820</v>
      </c>
      <c r="J296" s="47">
        <f t="shared" si="61"/>
        <v>3740</v>
      </c>
      <c r="K296" s="46" t="s">
        <v>7938</v>
      </c>
      <c r="L296" s="47"/>
      <c r="M296" s="47"/>
      <c r="N296" s="47"/>
      <c r="O296" s="47"/>
      <c r="P296" s="47"/>
      <c r="Q296" s="47"/>
      <c r="R296" s="47"/>
      <c r="S296" s="47"/>
      <c r="T296" s="47"/>
      <c r="U296" s="47">
        <f t="shared" si="62"/>
        <v>430</v>
      </c>
      <c r="V296" s="47"/>
      <c r="W296" s="47"/>
      <c r="X296" s="47"/>
      <c r="Y296" s="47"/>
      <c r="Z296" s="47">
        <f t="shared" si="64"/>
        <v>4620</v>
      </c>
      <c r="AA296" s="47">
        <f t="shared" si="63"/>
        <v>1400</v>
      </c>
      <c r="AB296" s="47"/>
      <c r="AC296" s="47"/>
      <c r="AD296" s="47"/>
      <c r="AE296" s="47"/>
      <c r="AF296" s="47"/>
      <c r="AG296" s="47"/>
      <c r="AH296" s="47" t="str">
        <f>IFERROR(_xlfn.XLOOKUP(Table6[[#This Row],[Suburb]],Table5[Travel Surcharge],Table5[$$]),"")</f>
        <v/>
      </c>
      <c r="AI296" s="47"/>
      <c r="AJ296" s="47"/>
      <c r="AL296" t="str">
        <v>Evergreen Estate</v>
      </c>
    </row>
    <row r="297" spans="1:38">
      <c r="A297" s="374" t="s">
        <v>848</v>
      </c>
      <c r="B297" s="374">
        <v>11</v>
      </c>
      <c r="C297" s="374" t="s">
        <v>675</v>
      </c>
      <c r="D297" s="375" t="str">
        <f t="shared" si="59"/>
        <v>Arden Estate11</v>
      </c>
      <c r="E297" s="375" t="s">
        <v>849</v>
      </c>
      <c r="F297" s="375" t="s">
        <v>850</v>
      </c>
      <c r="G297" s="375" t="s">
        <v>851</v>
      </c>
      <c r="H297" s="375" t="s">
        <v>852</v>
      </c>
      <c r="I297" s="63" t="s">
        <v>853</v>
      </c>
      <c r="J297" s="47">
        <v>3740</v>
      </c>
      <c r="K297" s="46" t="s">
        <v>10735</v>
      </c>
      <c r="L297" s="47"/>
      <c r="M297" s="47"/>
      <c r="N297" s="47"/>
      <c r="O297" s="47"/>
      <c r="P297" s="47"/>
      <c r="Q297" s="47"/>
      <c r="R297" s="47"/>
      <c r="S297" s="47"/>
      <c r="T297" s="47">
        <f>T$2</f>
        <v>780</v>
      </c>
      <c r="U297" s="47"/>
      <c r="V297" s="47"/>
      <c r="W297" s="47"/>
      <c r="X297" s="47"/>
      <c r="Y297" s="47"/>
      <c r="Z297" s="47">
        <f t="shared" si="64"/>
        <v>4620</v>
      </c>
      <c r="AA297" s="47"/>
      <c r="AB297" s="47"/>
      <c r="AC297" s="47"/>
      <c r="AD297" s="47"/>
      <c r="AE297" s="47"/>
      <c r="AF297" s="47"/>
      <c r="AG297" s="47"/>
      <c r="AH297" s="47" t="str">
        <f>IFERROR(_xlfn.XLOOKUP(Table6[[#This Row],[Suburb]],Table5[Travel Surcharge],Table5[$$]),"")</f>
        <v/>
      </c>
      <c r="AI297" s="47"/>
      <c r="AJ297" s="47"/>
      <c r="AL297" t="str">
        <v>Everley</v>
      </c>
    </row>
    <row r="298" spans="1:38">
      <c r="A298" s="374" t="s">
        <v>848</v>
      </c>
      <c r="B298" s="374">
        <v>15</v>
      </c>
      <c r="C298" s="374" t="s">
        <v>675</v>
      </c>
      <c r="D298" s="375" t="str">
        <f t="shared" si="59"/>
        <v>Arden Estate15</v>
      </c>
      <c r="E298" s="375" t="s">
        <v>854</v>
      </c>
      <c r="F298" s="375" t="s">
        <v>850</v>
      </c>
      <c r="G298" s="375" t="s">
        <v>851</v>
      </c>
      <c r="H298" s="375" t="s">
        <v>852</v>
      </c>
      <c r="I298" s="63" t="s">
        <v>853</v>
      </c>
      <c r="J298" s="47">
        <v>3740</v>
      </c>
      <c r="K298" s="46" t="s">
        <v>10735</v>
      </c>
      <c r="L298" s="47"/>
      <c r="M298" s="47"/>
      <c r="N298" s="47"/>
      <c r="O298" s="47"/>
      <c r="P298" s="47"/>
      <c r="Q298" s="47"/>
      <c r="R298" s="47"/>
      <c r="S298" s="47"/>
      <c r="T298" s="47">
        <f>T$2</f>
        <v>780</v>
      </c>
      <c r="U298" s="47"/>
      <c r="V298" s="47"/>
      <c r="W298" s="47"/>
      <c r="X298" s="47"/>
      <c r="Y298" s="47"/>
      <c r="Z298" s="47">
        <f t="shared" si="64"/>
        <v>4620</v>
      </c>
      <c r="AA298" s="47"/>
      <c r="AB298" s="47"/>
      <c r="AC298" s="47"/>
      <c r="AD298" s="47"/>
      <c r="AE298" s="47"/>
      <c r="AF298" s="47"/>
      <c r="AG298" s="47"/>
      <c r="AH298" s="47" t="str">
        <f>IFERROR(_xlfn.XLOOKUP(Table6[[#This Row],[Suburb]],Table5[Travel Surcharge],Table5[$$]),"")</f>
        <v/>
      </c>
      <c r="AI298" s="47"/>
      <c r="AJ298" s="47"/>
      <c r="AL298" t="str">
        <v>Evermore</v>
      </c>
    </row>
    <row r="299" spans="1:38">
      <c r="A299" s="374" t="s">
        <v>848</v>
      </c>
      <c r="B299" s="374">
        <v>16</v>
      </c>
      <c r="C299" s="374" t="s">
        <v>675</v>
      </c>
      <c r="D299" s="375" t="str">
        <f t="shared" si="59"/>
        <v>Arden Estate16</v>
      </c>
      <c r="E299" s="375" t="s">
        <v>855</v>
      </c>
      <c r="F299" s="375" t="s">
        <v>850</v>
      </c>
      <c r="G299" s="375" t="s">
        <v>851</v>
      </c>
      <c r="H299" s="375" t="s">
        <v>852</v>
      </c>
      <c r="I299" s="63" t="s">
        <v>853</v>
      </c>
      <c r="J299" s="47">
        <v>3740</v>
      </c>
      <c r="K299" s="46" t="s">
        <v>10735</v>
      </c>
      <c r="L299" s="47"/>
      <c r="M299" s="47"/>
      <c r="N299" s="47"/>
      <c r="O299" s="47"/>
      <c r="P299" s="47"/>
      <c r="Q299" s="47"/>
      <c r="R299" s="47"/>
      <c r="S299" s="47"/>
      <c r="T299" s="47">
        <f>T$2</f>
        <v>780</v>
      </c>
      <c r="U299" s="47"/>
      <c r="V299" s="47"/>
      <c r="W299" s="47"/>
      <c r="X299" s="47"/>
      <c r="Y299" s="47"/>
      <c r="Z299" s="47">
        <f t="shared" si="64"/>
        <v>4620</v>
      </c>
      <c r="AA299" s="47"/>
      <c r="AB299" s="47"/>
      <c r="AC299" s="47"/>
      <c r="AD299" s="47"/>
      <c r="AE299" s="47"/>
      <c r="AF299" s="47"/>
      <c r="AG299" s="47"/>
      <c r="AH299" s="47" t="str">
        <f>IFERROR(_xlfn.XLOOKUP(Table6[[#This Row],[Suburb]],Table5[Travel Surcharge],Table5[$$]),"")</f>
        <v/>
      </c>
      <c r="AI299" s="47"/>
      <c r="AJ299" s="47"/>
      <c r="AL299" t="str">
        <v>Everton</v>
      </c>
    </row>
    <row r="300" spans="1:38">
      <c r="A300" s="374" t="s">
        <v>856</v>
      </c>
      <c r="B300" s="374">
        <v>6</v>
      </c>
      <c r="C300" s="374" t="s">
        <v>857</v>
      </c>
      <c r="D300" s="375" t="str">
        <f t="shared" si="59"/>
        <v>Arena Estate6</v>
      </c>
      <c r="E300" s="375" t="s">
        <v>858</v>
      </c>
      <c r="F300" s="375" t="s">
        <v>817</v>
      </c>
      <c r="G300" s="375" t="s">
        <v>859</v>
      </c>
      <c r="H300" s="375" t="s">
        <v>860</v>
      </c>
      <c r="I300" s="63" t="s">
        <v>861</v>
      </c>
      <c r="J300" s="47"/>
      <c r="K300" s="46" t="s">
        <v>10735</v>
      </c>
      <c r="L300" s="47"/>
      <c r="M300" s="47"/>
      <c r="N300" s="47"/>
      <c r="O300" s="47"/>
      <c r="P300" s="47"/>
      <c r="Q300" s="47"/>
      <c r="R300" s="47"/>
      <c r="S300" s="47"/>
      <c r="T300" s="47">
        <f>T$2</f>
        <v>780</v>
      </c>
      <c r="U300" s="47"/>
      <c r="V300" s="47"/>
      <c r="W300" s="47"/>
      <c r="X300" s="47"/>
      <c r="Y300" s="47"/>
      <c r="Z300" s="47">
        <f t="shared" si="64"/>
        <v>4620</v>
      </c>
      <c r="AA300" s="47"/>
      <c r="AB300" s="47"/>
      <c r="AC300" s="47"/>
      <c r="AD300" s="47"/>
      <c r="AE300" s="47"/>
      <c r="AF300" s="47"/>
      <c r="AG300" s="47"/>
      <c r="AH300" s="47" t="str">
        <f>IFERROR(_xlfn.XLOOKUP(Table6[[#This Row],[Suburb]],Table5[Travel Surcharge],Table5[$$]),"")</f>
        <v/>
      </c>
      <c r="AI300" s="47"/>
      <c r="AJ300" s="47"/>
      <c r="AL300" t="str">
        <v>Exford Waters Estate</v>
      </c>
    </row>
    <row r="301" spans="1:38">
      <c r="A301" s="374" t="s">
        <v>856</v>
      </c>
      <c r="B301" s="374">
        <v>7</v>
      </c>
      <c r="C301" s="374" t="s">
        <v>857</v>
      </c>
      <c r="D301" s="375" t="str">
        <f t="shared" ref="D301:D367" si="65">CONCATENATE(A301,B301)</f>
        <v>Arena Estate7</v>
      </c>
      <c r="E301" s="375" t="s">
        <v>858</v>
      </c>
      <c r="F301" s="375" t="s">
        <v>817</v>
      </c>
      <c r="G301" s="375" t="s">
        <v>859</v>
      </c>
      <c r="H301" s="375" t="s">
        <v>860</v>
      </c>
      <c r="I301" s="63" t="s">
        <v>861</v>
      </c>
      <c r="J301" s="47"/>
      <c r="K301" s="46" t="s">
        <v>10735</v>
      </c>
      <c r="L301" s="47"/>
      <c r="M301" s="47"/>
      <c r="N301" s="47"/>
      <c r="O301" s="47"/>
      <c r="P301" s="47"/>
      <c r="Q301" s="47"/>
      <c r="R301" s="47"/>
      <c r="S301" s="47"/>
      <c r="T301" s="47">
        <f>T$2</f>
        <v>780</v>
      </c>
      <c r="U301" s="47"/>
      <c r="V301" s="47"/>
      <c r="W301" s="47"/>
      <c r="X301" s="47"/>
      <c r="Y301" s="47"/>
      <c r="Z301" s="47">
        <f t="shared" si="64"/>
        <v>4620</v>
      </c>
      <c r="AA301" s="47"/>
      <c r="AB301" s="47"/>
      <c r="AC301" s="47"/>
      <c r="AD301" s="47"/>
      <c r="AE301" s="47"/>
      <c r="AF301" s="47"/>
      <c r="AG301" s="47"/>
      <c r="AH301" s="47" t="str">
        <f>IFERROR(_xlfn.XLOOKUP(Table6[[#This Row],[Suburb]],Table5[Travel Surcharge],Table5[$$]),"")</f>
        <v/>
      </c>
      <c r="AI301" s="47"/>
      <c r="AJ301" s="47"/>
      <c r="AL301" t="str">
        <v>Eynesbury Estate</v>
      </c>
    </row>
    <row r="302" spans="1:38">
      <c r="A302" s="374" t="s">
        <v>7754</v>
      </c>
      <c r="B302" s="374">
        <v>2</v>
      </c>
      <c r="C302" s="374" t="s">
        <v>862</v>
      </c>
      <c r="D302" s="375" t="str">
        <f t="shared" si="65"/>
        <v>Aria Living2</v>
      </c>
      <c r="E302" s="375" t="s">
        <v>7755</v>
      </c>
      <c r="F302" s="375" t="s">
        <v>2349</v>
      </c>
      <c r="G302" s="375" t="s">
        <v>423</v>
      </c>
      <c r="H302" s="375" t="s">
        <v>2350</v>
      </c>
      <c r="I302" s="63"/>
      <c r="J302" s="47"/>
      <c r="K302" s="46" t="s">
        <v>10735</v>
      </c>
      <c r="L302" s="47" t="s">
        <v>7650</v>
      </c>
      <c r="M302" s="47">
        <f>$M$7</f>
        <v>1430.0000000000002</v>
      </c>
      <c r="N302" s="47" t="s">
        <v>7757</v>
      </c>
      <c r="O302" s="47" t="s">
        <v>7758</v>
      </c>
      <c r="P302" s="47"/>
      <c r="Q302" s="47"/>
      <c r="R302" s="47"/>
      <c r="S302" s="47"/>
      <c r="T302" s="47"/>
      <c r="U302" s="47">
        <f>$U$2</f>
        <v>430</v>
      </c>
      <c r="V302" s="47" t="s">
        <v>7756</v>
      </c>
      <c r="W302" s="47"/>
      <c r="X302" s="47"/>
      <c r="Y302" s="47"/>
      <c r="Z302" s="47">
        <f t="shared" si="64"/>
        <v>4620</v>
      </c>
      <c r="AA302" s="47">
        <f>$AA$7</f>
        <v>1400</v>
      </c>
      <c r="AB302" s="47"/>
      <c r="AC302" s="47"/>
      <c r="AD302" s="47"/>
      <c r="AE302" s="47"/>
      <c r="AF302" s="47">
        <f>$AF$7</f>
        <v>1485</v>
      </c>
      <c r="AG302" s="47"/>
      <c r="AH302" s="47" t="str">
        <f>IFERROR(_xlfn.XLOOKUP(Table6[[#This Row],[Suburb]],Table5[Travel Surcharge],Table5[$$]),"")</f>
        <v/>
      </c>
      <c r="AI302" s="47"/>
      <c r="AJ302" s="47"/>
      <c r="AL302" t="str">
        <v>Fairview</v>
      </c>
    </row>
    <row r="303" spans="1:38">
      <c r="A303" s="374" t="s">
        <v>867</v>
      </c>
      <c r="B303" s="374">
        <v>1</v>
      </c>
      <c r="C303" s="374" t="s">
        <v>281</v>
      </c>
      <c r="D303" s="375" t="str">
        <f t="shared" si="65"/>
        <v>Armstrong Central Estate1</v>
      </c>
      <c r="E303" s="375" t="s">
        <v>868</v>
      </c>
      <c r="F303" s="375" t="s">
        <v>869</v>
      </c>
      <c r="G303" s="375" t="s">
        <v>870</v>
      </c>
      <c r="H303" s="375" t="s">
        <v>871</v>
      </c>
      <c r="I303" s="63" t="s">
        <v>872</v>
      </c>
      <c r="J303" s="47">
        <f>$J$7</f>
        <v>3740</v>
      </c>
      <c r="K303" s="46" t="s">
        <v>10735</v>
      </c>
      <c r="L303" s="47"/>
      <c r="M303" s="47"/>
      <c r="N303" s="47"/>
      <c r="O303" s="47"/>
      <c r="P303" s="47"/>
      <c r="Q303" s="47"/>
      <c r="R303" s="47"/>
      <c r="S303" s="47"/>
      <c r="T303" s="47"/>
      <c r="U303" s="47">
        <f>U$2</f>
        <v>430</v>
      </c>
      <c r="V303" s="47"/>
      <c r="W303" s="47"/>
      <c r="X303" s="47"/>
      <c r="Y303" s="47"/>
      <c r="Z303" s="47">
        <f t="shared" si="64"/>
        <v>4620</v>
      </c>
      <c r="AA303" s="47"/>
      <c r="AB303" s="47"/>
      <c r="AC303" s="47"/>
      <c r="AD303" s="47"/>
      <c r="AE303" s="47"/>
      <c r="AF303" s="47"/>
      <c r="AG303" s="47"/>
      <c r="AH303" s="47">
        <f>IFERROR(_xlfn.XLOOKUP(Table6[[#This Row],[Suburb]],Table5[Travel Surcharge],Table5[$$]),"")</f>
        <v>1500</v>
      </c>
      <c r="AI303" s="47"/>
      <c r="AJ303" s="47"/>
      <c r="AL303" t="str">
        <v>Fairway Crt</v>
      </c>
    </row>
    <row r="304" spans="1:38">
      <c r="A304" s="374" t="s">
        <v>867</v>
      </c>
      <c r="B304" s="374">
        <v>4</v>
      </c>
      <c r="C304" s="374" t="s">
        <v>281</v>
      </c>
      <c r="D304" s="375" t="str">
        <f t="shared" si="65"/>
        <v>Armstrong Central Estate4</v>
      </c>
      <c r="E304" s="375" t="s">
        <v>873</v>
      </c>
      <c r="F304" s="375" t="s">
        <v>869</v>
      </c>
      <c r="G304" s="375" t="s">
        <v>870</v>
      </c>
      <c r="H304" s="375" t="s">
        <v>871</v>
      </c>
      <c r="I304" s="63" t="s">
        <v>872</v>
      </c>
      <c r="J304" s="47">
        <f>$J$7</f>
        <v>3740</v>
      </c>
      <c r="K304" s="46" t="s">
        <v>10735</v>
      </c>
      <c r="L304" s="47"/>
      <c r="M304" s="47"/>
      <c r="N304" s="47"/>
      <c r="O304" s="47"/>
      <c r="P304" s="47"/>
      <c r="Q304" s="47"/>
      <c r="R304" s="47"/>
      <c r="S304" s="47"/>
      <c r="T304" s="47"/>
      <c r="U304" s="47">
        <f>U$2</f>
        <v>430</v>
      </c>
      <c r="V304" s="47"/>
      <c r="W304" s="47"/>
      <c r="X304" s="47"/>
      <c r="Y304" s="47"/>
      <c r="Z304" s="47">
        <f t="shared" si="64"/>
        <v>4620</v>
      </c>
      <c r="AA304" s="47"/>
      <c r="AB304" s="47"/>
      <c r="AC304" s="47"/>
      <c r="AD304" s="47"/>
      <c r="AE304" s="47"/>
      <c r="AF304" s="47"/>
      <c r="AG304" s="47"/>
      <c r="AH304" s="47">
        <f>IFERROR(_xlfn.XLOOKUP(Table6[[#This Row],[Suburb]],Table5[Travel Surcharge],Table5[$$]),"")</f>
        <v>1500</v>
      </c>
      <c r="AI304" s="47"/>
      <c r="AJ304" s="47"/>
      <c r="AL304" t="str">
        <v>Featherbrook Estate</v>
      </c>
    </row>
    <row r="305" spans="1:38">
      <c r="A305" s="374" t="s">
        <v>867</v>
      </c>
      <c r="B305" s="374">
        <v>9</v>
      </c>
      <c r="C305" s="374" t="s">
        <v>281</v>
      </c>
      <c r="D305" s="375" t="str">
        <f t="shared" si="65"/>
        <v>Armstrong Central Estate9</v>
      </c>
      <c r="E305" s="375" t="s">
        <v>874</v>
      </c>
      <c r="F305" s="375" t="s">
        <v>869</v>
      </c>
      <c r="G305" s="375" t="s">
        <v>870</v>
      </c>
      <c r="H305" s="375" t="s">
        <v>871</v>
      </c>
      <c r="I305" s="63" t="s">
        <v>872</v>
      </c>
      <c r="J305" s="47">
        <f>$J$7</f>
        <v>3740</v>
      </c>
      <c r="K305" s="46" t="s">
        <v>10735</v>
      </c>
      <c r="L305" s="47"/>
      <c r="M305" s="47"/>
      <c r="N305" s="47"/>
      <c r="O305" s="47"/>
      <c r="P305" s="47"/>
      <c r="Q305" s="47"/>
      <c r="R305" s="47"/>
      <c r="S305" s="47"/>
      <c r="T305" s="47"/>
      <c r="U305" s="47">
        <f>U$2</f>
        <v>430</v>
      </c>
      <c r="V305" s="47"/>
      <c r="W305" s="47"/>
      <c r="X305" s="47"/>
      <c r="Y305" s="47"/>
      <c r="Z305" s="47">
        <f t="shared" ref="Z305:Z327" si="66">Z$7</f>
        <v>4620</v>
      </c>
      <c r="AA305" s="47"/>
      <c r="AB305" s="47"/>
      <c r="AC305" s="47"/>
      <c r="AD305" s="47"/>
      <c r="AE305" s="47"/>
      <c r="AF305" s="47"/>
      <c r="AG305" s="47"/>
      <c r="AH305" s="47">
        <f>IFERROR(_xlfn.XLOOKUP(Table6[[#This Row],[Suburb]],Table5[Travel Surcharge],Table5[$$]),"")</f>
        <v>1500</v>
      </c>
      <c r="AI305" s="47"/>
      <c r="AJ305" s="47"/>
      <c r="AL305" t="str">
        <v>Featherton Rise Estate</v>
      </c>
    </row>
    <row r="306" spans="1:38">
      <c r="A306" s="374" t="s">
        <v>867</v>
      </c>
      <c r="B306" s="374">
        <v>10</v>
      </c>
      <c r="C306" s="374" t="s">
        <v>281</v>
      </c>
      <c r="D306" s="375" t="str">
        <f t="shared" si="65"/>
        <v>Armstrong Central Estate10</v>
      </c>
      <c r="E306" s="375" t="s">
        <v>875</v>
      </c>
      <c r="F306" s="375" t="s">
        <v>869</v>
      </c>
      <c r="G306" s="375" t="s">
        <v>870</v>
      </c>
      <c r="H306" s="375" t="s">
        <v>871</v>
      </c>
      <c r="I306" s="63" t="s">
        <v>872</v>
      </c>
      <c r="J306" s="47">
        <f>$J$7</f>
        <v>3740</v>
      </c>
      <c r="K306" s="46" t="s">
        <v>10735</v>
      </c>
      <c r="L306" s="47"/>
      <c r="M306" s="47"/>
      <c r="N306" s="47"/>
      <c r="O306" s="47"/>
      <c r="P306" s="47"/>
      <c r="Q306" s="47"/>
      <c r="R306" s="47"/>
      <c r="S306" s="47"/>
      <c r="T306" s="47"/>
      <c r="U306" s="47">
        <f>U$2</f>
        <v>430</v>
      </c>
      <c r="V306" s="47"/>
      <c r="W306" s="47"/>
      <c r="X306" s="47"/>
      <c r="Y306" s="47"/>
      <c r="Z306" s="47">
        <f t="shared" si="66"/>
        <v>4620</v>
      </c>
      <c r="AA306" s="47"/>
      <c r="AB306" s="47"/>
      <c r="AC306" s="47"/>
      <c r="AD306" s="47"/>
      <c r="AE306" s="47"/>
      <c r="AF306" s="47"/>
      <c r="AG306" s="47"/>
      <c r="AH306" s="47">
        <f>IFERROR(_xlfn.XLOOKUP(Table6[[#This Row],[Suburb]],Table5[Travel Surcharge],Table5[$$]),"")</f>
        <v>1500</v>
      </c>
      <c r="AI306" s="47"/>
      <c r="AJ306" s="47"/>
      <c r="AL306" t="str">
        <v>Fellow Estate</v>
      </c>
    </row>
    <row r="307" spans="1:38">
      <c r="A307" s="374" t="s">
        <v>876</v>
      </c>
      <c r="B307" s="374">
        <v>12</v>
      </c>
      <c r="C307" s="374" t="s">
        <v>286</v>
      </c>
      <c r="D307" s="375" t="str">
        <f t="shared" si="65"/>
        <v>Armstrong Estate12</v>
      </c>
      <c r="E307" s="375" t="s">
        <v>877</v>
      </c>
      <c r="F307" s="375" t="s">
        <v>540</v>
      </c>
      <c r="G307" s="375" t="s">
        <v>878</v>
      </c>
      <c r="H307" s="375" t="s">
        <v>879</v>
      </c>
      <c r="I307" s="63" t="s">
        <v>880</v>
      </c>
      <c r="J307" s="47">
        <f t="shared" ref="J307:J327" si="67">J$7</f>
        <v>3740</v>
      </c>
      <c r="K307" s="46" t="s">
        <v>7938</v>
      </c>
      <c r="L307" s="47"/>
      <c r="M307" s="47"/>
      <c r="N307" s="47"/>
      <c r="O307" s="47"/>
      <c r="P307" s="47"/>
      <c r="Q307" s="47"/>
      <c r="R307" s="47"/>
      <c r="S307" s="47"/>
      <c r="T307" s="47">
        <f t="shared" ref="T307:T327" si="68">T$2</f>
        <v>780</v>
      </c>
      <c r="U307" s="47"/>
      <c r="V307" s="47"/>
      <c r="W307" s="47"/>
      <c r="X307" s="47"/>
      <c r="Y307" s="47"/>
      <c r="Z307" s="47">
        <f t="shared" si="66"/>
        <v>4620</v>
      </c>
      <c r="AA307" s="47"/>
      <c r="AB307" s="47"/>
      <c r="AC307" s="47"/>
      <c r="AD307" s="47"/>
      <c r="AE307" s="47"/>
      <c r="AF307" s="47"/>
      <c r="AG307" s="47"/>
      <c r="AH307" s="47">
        <f>IFERROR(_xlfn.XLOOKUP(Table6[[#This Row],[Suburb]],Table5[Travel Surcharge],Table5[$$]),"")</f>
        <v>1500</v>
      </c>
      <c r="AI307" s="47"/>
      <c r="AJ307" s="47"/>
      <c r="AL307" t="str">
        <v>Fernlea</v>
      </c>
    </row>
    <row r="308" spans="1:38">
      <c r="A308" s="374" t="s">
        <v>876</v>
      </c>
      <c r="B308" s="374">
        <v>15</v>
      </c>
      <c r="C308" s="374" t="s">
        <v>286</v>
      </c>
      <c r="D308" s="375" t="str">
        <f t="shared" si="65"/>
        <v>Armstrong Estate15</v>
      </c>
      <c r="E308" s="375" t="s">
        <v>881</v>
      </c>
      <c r="F308" s="375" t="s">
        <v>540</v>
      </c>
      <c r="G308" s="375" t="s">
        <v>878</v>
      </c>
      <c r="H308" s="375" t="s">
        <v>879</v>
      </c>
      <c r="I308" s="63" t="s">
        <v>880</v>
      </c>
      <c r="J308" s="47">
        <f t="shared" si="67"/>
        <v>3740</v>
      </c>
      <c r="K308" s="46" t="s">
        <v>7938</v>
      </c>
      <c r="L308" s="47"/>
      <c r="M308" s="47"/>
      <c r="N308" s="47"/>
      <c r="O308" s="47"/>
      <c r="P308" s="47"/>
      <c r="Q308" s="47"/>
      <c r="R308" s="47"/>
      <c r="S308" s="47"/>
      <c r="T308" s="47">
        <f t="shared" si="68"/>
        <v>780</v>
      </c>
      <c r="U308" s="47"/>
      <c r="V308" s="47"/>
      <c r="W308" s="47"/>
      <c r="X308" s="47"/>
      <c r="Y308" s="47"/>
      <c r="Z308" s="47">
        <f t="shared" si="66"/>
        <v>4620</v>
      </c>
      <c r="AA308" s="47"/>
      <c r="AB308" s="47"/>
      <c r="AC308" s="47"/>
      <c r="AD308" s="47"/>
      <c r="AE308" s="47"/>
      <c r="AF308" s="47"/>
      <c r="AG308" s="47"/>
      <c r="AH308" s="47">
        <f>IFERROR(_xlfn.XLOOKUP(Table6[[#This Row],[Suburb]],Table5[Travel Surcharge],Table5[$$]),"")</f>
        <v>1500</v>
      </c>
      <c r="AI308" s="47"/>
      <c r="AJ308" s="47"/>
      <c r="AL308" t="str">
        <v>Ferntree Ridge</v>
      </c>
    </row>
    <row r="309" spans="1:38">
      <c r="A309" s="374" t="s">
        <v>876</v>
      </c>
      <c r="B309" s="374">
        <v>22</v>
      </c>
      <c r="C309" s="374" t="s">
        <v>286</v>
      </c>
      <c r="D309" s="375" t="str">
        <f t="shared" si="65"/>
        <v>Armstrong Estate22</v>
      </c>
      <c r="E309" s="375" t="s">
        <v>882</v>
      </c>
      <c r="F309" s="375" t="s">
        <v>540</v>
      </c>
      <c r="G309" s="375" t="s">
        <v>878</v>
      </c>
      <c r="H309" s="375" t="s">
        <v>879</v>
      </c>
      <c r="I309" s="63" t="s">
        <v>880</v>
      </c>
      <c r="J309" s="47">
        <f t="shared" si="67"/>
        <v>3740</v>
      </c>
      <c r="K309" s="46" t="s">
        <v>7938</v>
      </c>
      <c r="L309" s="47"/>
      <c r="M309" s="47"/>
      <c r="N309" s="47"/>
      <c r="O309" s="47"/>
      <c r="P309" s="47"/>
      <c r="Q309" s="47"/>
      <c r="R309" s="47"/>
      <c r="S309" s="47"/>
      <c r="T309" s="47">
        <f t="shared" si="68"/>
        <v>780</v>
      </c>
      <c r="U309" s="47"/>
      <c r="V309" s="47"/>
      <c r="W309" s="47"/>
      <c r="X309" s="47"/>
      <c r="Y309" s="47"/>
      <c r="Z309" s="47">
        <f t="shared" si="66"/>
        <v>4620</v>
      </c>
      <c r="AA309" s="47"/>
      <c r="AB309" s="47"/>
      <c r="AC309" s="47"/>
      <c r="AD309" s="47"/>
      <c r="AE309" s="47"/>
      <c r="AF309" s="47"/>
      <c r="AG309" s="47"/>
      <c r="AH309" s="47">
        <f>IFERROR(_xlfn.XLOOKUP(Table6[[#This Row],[Suburb]],Table5[Travel Surcharge],Table5[$$]),"")</f>
        <v>1500</v>
      </c>
      <c r="AI309" s="47"/>
      <c r="AJ309" s="47"/>
      <c r="AL309" t="str">
        <v>Findonview Estate</v>
      </c>
    </row>
    <row r="310" spans="1:38">
      <c r="A310" s="374" t="s">
        <v>876</v>
      </c>
      <c r="B310" s="374">
        <v>23</v>
      </c>
      <c r="C310" s="374" t="s">
        <v>286</v>
      </c>
      <c r="D310" s="375" t="str">
        <f t="shared" si="65"/>
        <v>Armstrong Estate23</v>
      </c>
      <c r="E310" s="375" t="s">
        <v>883</v>
      </c>
      <c r="F310" s="375" t="s">
        <v>540</v>
      </c>
      <c r="G310" s="375" t="s">
        <v>878</v>
      </c>
      <c r="H310" s="375" t="s">
        <v>879</v>
      </c>
      <c r="I310" s="63" t="s">
        <v>880</v>
      </c>
      <c r="J310" s="47">
        <f t="shared" si="67"/>
        <v>3740</v>
      </c>
      <c r="K310" s="46" t="s">
        <v>7938</v>
      </c>
      <c r="L310" s="47"/>
      <c r="M310" s="47"/>
      <c r="N310" s="47"/>
      <c r="O310" s="47"/>
      <c r="P310" s="47"/>
      <c r="Q310" s="47"/>
      <c r="R310" s="47"/>
      <c r="S310" s="47"/>
      <c r="T310" s="47">
        <f t="shared" si="68"/>
        <v>780</v>
      </c>
      <c r="U310" s="47"/>
      <c r="V310" s="47"/>
      <c r="W310" s="47"/>
      <c r="X310" s="47"/>
      <c r="Y310" s="47"/>
      <c r="Z310" s="47">
        <f t="shared" si="66"/>
        <v>4620</v>
      </c>
      <c r="AA310" s="47"/>
      <c r="AB310" s="47"/>
      <c r="AC310" s="47"/>
      <c r="AD310" s="47"/>
      <c r="AE310" s="47"/>
      <c r="AF310" s="47"/>
      <c r="AG310" s="47"/>
      <c r="AH310" s="47">
        <f>IFERROR(_xlfn.XLOOKUP(Table6[[#This Row],[Suburb]],Table5[Travel Surcharge],Table5[$$]),"")</f>
        <v>1500</v>
      </c>
      <c r="AI310" s="47"/>
      <c r="AJ310" s="47"/>
      <c r="AL310" t="str">
        <v>Five Farms Estate</v>
      </c>
    </row>
    <row r="311" spans="1:38">
      <c r="A311" s="374" t="s">
        <v>876</v>
      </c>
      <c r="B311" s="374">
        <v>24</v>
      </c>
      <c r="C311" s="374" t="s">
        <v>286</v>
      </c>
      <c r="D311" s="375" t="str">
        <f t="shared" si="65"/>
        <v>Armstrong Estate24</v>
      </c>
      <c r="E311" s="375" t="s">
        <v>884</v>
      </c>
      <c r="F311" s="375" t="s">
        <v>540</v>
      </c>
      <c r="G311" s="375" t="s">
        <v>878</v>
      </c>
      <c r="H311" s="375" t="s">
        <v>879</v>
      </c>
      <c r="I311" s="63" t="s">
        <v>880</v>
      </c>
      <c r="J311" s="47">
        <f t="shared" si="67"/>
        <v>3740</v>
      </c>
      <c r="K311" s="46" t="s">
        <v>7938</v>
      </c>
      <c r="L311" s="47"/>
      <c r="M311" s="47"/>
      <c r="N311" s="47"/>
      <c r="O311" s="47"/>
      <c r="P311" s="47"/>
      <c r="Q311" s="47"/>
      <c r="R311" s="47"/>
      <c r="S311" s="47"/>
      <c r="T311" s="47">
        <f t="shared" si="68"/>
        <v>780</v>
      </c>
      <c r="U311" s="47"/>
      <c r="V311" s="47"/>
      <c r="W311" s="47"/>
      <c r="X311" s="47"/>
      <c r="Y311" s="47"/>
      <c r="Z311" s="47">
        <f t="shared" si="66"/>
        <v>4620</v>
      </c>
      <c r="AA311" s="47"/>
      <c r="AB311" s="47"/>
      <c r="AC311" s="47"/>
      <c r="AD311" s="47"/>
      <c r="AE311" s="47"/>
      <c r="AF311" s="47"/>
      <c r="AG311" s="47"/>
      <c r="AH311" s="47">
        <f>IFERROR(_xlfn.XLOOKUP(Table6[[#This Row],[Suburb]],Table5[Travel Surcharge],Table5[$$]),"")</f>
        <v>1500</v>
      </c>
      <c r="AI311" s="47"/>
      <c r="AJ311" s="47"/>
      <c r="AL311" t="str">
        <v>Flinders Park Estate</v>
      </c>
    </row>
    <row r="312" spans="1:38">
      <c r="A312" s="374" t="s">
        <v>876</v>
      </c>
      <c r="B312" s="374">
        <v>25</v>
      </c>
      <c r="C312" s="374" t="s">
        <v>286</v>
      </c>
      <c r="D312" s="375" t="str">
        <f t="shared" si="65"/>
        <v>Armstrong Estate25</v>
      </c>
      <c r="E312" s="375" t="s">
        <v>885</v>
      </c>
      <c r="F312" s="375" t="s">
        <v>540</v>
      </c>
      <c r="G312" s="375" t="s">
        <v>878</v>
      </c>
      <c r="H312" s="375" t="s">
        <v>879</v>
      </c>
      <c r="I312" s="63" t="s">
        <v>880</v>
      </c>
      <c r="J312" s="47">
        <f t="shared" si="67"/>
        <v>3740</v>
      </c>
      <c r="K312" s="46" t="s">
        <v>7938</v>
      </c>
      <c r="L312" s="47"/>
      <c r="M312" s="47"/>
      <c r="N312" s="47"/>
      <c r="O312" s="47"/>
      <c r="P312" s="47"/>
      <c r="Q312" s="47"/>
      <c r="R312" s="47"/>
      <c r="S312" s="47"/>
      <c r="T312" s="47">
        <f t="shared" si="68"/>
        <v>780</v>
      </c>
      <c r="U312" s="47"/>
      <c r="V312" s="47"/>
      <c r="W312" s="47"/>
      <c r="X312" s="47"/>
      <c r="Y312" s="47"/>
      <c r="Z312" s="47">
        <f t="shared" si="66"/>
        <v>4620</v>
      </c>
      <c r="AA312" s="47"/>
      <c r="AB312" s="47"/>
      <c r="AC312" s="47"/>
      <c r="AD312" s="47"/>
      <c r="AE312" s="47"/>
      <c r="AF312" s="47"/>
      <c r="AG312" s="47"/>
      <c r="AH312" s="47">
        <f>IFERROR(_xlfn.XLOOKUP(Table6[[#This Row],[Suburb]],Table5[Travel Surcharge],Table5[$$]),"")</f>
        <v>1500</v>
      </c>
      <c r="AI312" s="47"/>
      <c r="AJ312" s="47"/>
      <c r="AL312" t="str">
        <v>Flinders View Drysdale</v>
      </c>
    </row>
    <row r="313" spans="1:38">
      <c r="A313" s="374" t="s">
        <v>876</v>
      </c>
      <c r="B313" s="374">
        <v>26</v>
      </c>
      <c r="C313" s="374" t="s">
        <v>286</v>
      </c>
      <c r="D313" s="375" t="str">
        <f t="shared" si="65"/>
        <v>Armstrong Estate26</v>
      </c>
      <c r="E313" s="375" t="s">
        <v>886</v>
      </c>
      <c r="F313" s="375" t="s">
        <v>540</v>
      </c>
      <c r="G313" s="375" t="s">
        <v>878</v>
      </c>
      <c r="H313" s="375" t="s">
        <v>879</v>
      </c>
      <c r="I313" s="63" t="s">
        <v>880</v>
      </c>
      <c r="J313" s="47">
        <f t="shared" si="67"/>
        <v>3740</v>
      </c>
      <c r="K313" s="46" t="s">
        <v>7938</v>
      </c>
      <c r="L313" s="47"/>
      <c r="M313" s="47"/>
      <c r="N313" s="47"/>
      <c r="O313" s="47"/>
      <c r="P313" s="47"/>
      <c r="Q313" s="47"/>
      <c r="R313" s="47"/>
      <c r="S313" s="47"/>
      <c r="T313" s="47">
        <f t="shared" si="68"/>
        <v>780</v>
      </c>
      <c r="U313" s="47"/>
      <c r="V313" s="47"/>
      <c r="W313" s="47"/>
      <c r="X313" s="47"/>
      <c r="Y313" s="47"/>
      <c r="Z313" s="47">
        <f t="shared" si="66"/>
        <v>4620</v>
      </c>
      <c r="AA313" s="47"/>
      <c r="AB313" s="47"/>
      <c r="AC313" s="47"/>
      <c r="AD313" s="47"/>
      <c r="AE313" s="47"/>
      <c r="AF313" s="47"/>
      <c r="AG313" s="47"/>
      <c r="AH313" s="47">
        <f>IFERROR(_xlfn.XLOOKUP(Table6[[#This Row],[Suburb]],Table5[Travel Surcharge],Table5[$$]),"")</f>
        <v>1500</v>
      </c>
      <c r="AI313" s="47"/>
      <c r="AJ313" s="47"/>
      <c r="AL313" t="str">
        <v>Flinders Walk</v>
      </c>
    </row>
    <row r="314" spans="1:38">
      <c r="A314" s="374" t="s">
        <v>876</v>
      </c>
      <c r="B314" s="374">
        <v>30</v>
      </c>
      <c r="C314" s="374" t="s">
        <v>286</v>
      </c>
      <c r="D314" s="375" t="str">
        <f t="shared" si="65"/>
        <v>Armstrong Estate30</v>
      </c>
      <c r="E314" s="375" t="s">
        <v>893</v>
      </c>
      <c r="F314" s="375" t="s">
        <v>540</v>
      </c>
      <c r="G314" s="375" t="s">
        <v>878</v>
      </c>
      <c r="H314" s="375" t="s">
        <v>879</v>
      </c>
      <c r="I314" s="63" t="s">
        <v>880</v>
      </c>
      <c r="J314" s="47">
        <f t="shared" si="67"/>
        <v>3740</v>
      </c>
      <c r="K314" s="46" t="s">
        <v>7938</v>
      </c>
      <c r="L314" s="47"/>
      <c r="M314" s="47"/>
      <c r="N314" s="47"/>
      <c r="O314" s="47"/>
      <c r="P314" s="47"/>
      <c r="Q314" s="47"/>
      <c r="R314" s="47"/>
      <c r="S314" s="47"/>
      <c r="T314" s="47">
        <f t="shared" si="68"/>
        <v>780</v>
      </c>
      <c r="U314" s="47"/>
      <c r="V314" s="47"/>
      <c r="W314" s="47"/>
      <c r="X314" s="47"/>
      <c r="Y314" s="47"/>
      <c r="Z314" s="47">
        <f t="shared" si="66"/>
        <v>4620</v>
      </c>
      <c r="AA314" s="47"/>
      <c r="AB314" s="47"/>
      <c r="AC314" s="47"/>
      <c r="AD314" s="47"/>
      <c r="AE314" s="47"/>
      <c r="AF314" s="47"/>
      <c r="AG314" s="47"/>
      <c r="AH314" s="47">
        <f>IFERROR(_xlfn.XLOOKUP(Table6[[#This Row],[Suburb]],Table5[Travel Surcharge],Table5[$$]),"")</f>
        <v>1500</v>
      </c>
      <c r="AI314" s="47"/>
      <c r="AJ314" s="47"/>
      <c r="AL314" t="str">
        <v>Flockhard St</v>
      </c>
    </row>
    <row r="315" spans="1:38">
      <c r="A315" s="374" t="s">
        <v>876</v>
      </c>
      <c r="B315" s="374">
        <v>32</v>
      </c>
      <c r="C315" s="374" t="s">
        <v>286</v>
      </c>
      <c r="D315" s="375" t="str">
        <f t="shared" si="65"/>
        <v>Armstrong Estate32</v>
      </c>
      <c r="E315" s="375" t="s">
        <v>883</v>
      </c>
      <c r="F315" s="375" t="s">
        <v>540</v>
      </c>
      <c r="G315" s="375" t="s">
        <v>878</v>
      </c>
      <c r="H315" s="375" t="s">
        <v>879</v>
      </c>
      <c r="I315" s="63" t="s">
        <v>880</v>
      </c>
      <c r="J315" s="47">
        <f t="shared" si="67"/>
        <v>3740</v>
      </c>
      <c r="K315" s="46" t="s">
        <v>7938</v>
      </c>
      <c r="L315" s="47"/>
      <c r="M315" s="47"/>
      <c r="N315" s="47"/>
      <c r="O315" s="47"/>
      <c r="P315" s="47"/>
      <c r="Q315" s="47"/>
      <c r="R315" s="47"/>
      <c r="S315" s="47"/>
      <c r="T315" s="47">
        <f t="shared" si="68"/>
        <v>780</v>
      </c>
      <c r="U315" s="47"/>
      <c r="V315" s="47"/>
      <c r="W315" s="47"/>
      <c r="X315" s="47"/>
      <c r="Y315" s="47"/>
      <c r="Z315" s="47">
        <f t="shared" si="66"/>
        <v>4620</v>
      </c>
      <c r="AA315" s="47"/>
      <c r="AB315" s="47"/>
      <c r="AC315" s="47"/>
      <c r="AD315" s="47"/>
      <c r="AE315" s="47"/>
      <c r="AF315" s="47"/>
      <c r="AG315" s="47"/>
      <c r="AH315" s="47">
        <f>IFERROR(_xlfn.XLOOKUP(Table6[[#This Row],[Suburb]],Table5[Travel Surcharge],Table5[$$]),"")</f>
        <v>1500</v>
      </c>
      <c r="AI315" s="47"/>
      <c r="AJ315" s="47"/>
      <c r="AL315" t="str">
        <v>Florian Estate</v>
      </c>
    </row>
    <row r="316" spans="1:38">
      <c r="A316" s="374" t="s">
        <v>876</v>
      </c>
      <c r="B316" s="374">
        <v>35</v>
      </c>
      <c r="C316" s="374" t="s">
        <v>286</v>
      </c>
      <c r="D316" s="375" t="str">
        <f t="shared" si="65"/>
        <v>Armstrong Estate35</v>
      </c>
      <c r="E316" s="375" t="s">
        <v>9186</v>
      </c>
      <c r="F316" s="375" t="s">
        <v>540</v>
      </c>
      <c r="G316" s="375" t="s">
        <v>878</v>
      </c>
      <c r="H316" s="375" t="s">
        <v>879</v>
      </c>
      <c r="I316" s="63" t="s">
        <v>880</v>
      </c>
      <c r="J316" s="47">
        <f t="shared" si="67"/>
        <v>3740</v>
      </c>
      <c r="K316" s="46" t="s">
        <v>7938</v>
      </c>
      <c r="L316" s="47"/>
      <c r="M316" s="47"/>
      <c r="N316" s="47"/>
      <c r="O316" s="47"/>
      <c r="P316" s="47"/>
      <c r="Q316" s="47"/>
      <c r="R316" s="47"/>
      <c r="S316" s="47"/>
      <c r="T316" s="47">
        <f t="shared" si="68"/>
        <v>780</v>
      </c>
      <c r="U316" s="47"/>
      <c r="V316" s="47"/>
      <c r="W316" s="47"/>
      <c r="X316" s="47"/>
      <c r="Y316" s="47"/>
      <c r="Z316" s="47">
        <f t="shared" si="66"/>
        <v>4620</v>
      </c>
      <c r="AA316" s="47"/>
      <c r="AB316" s="47"/>
      <c r="AC316" s="47"/>
      <c r="AD316" s="47"/>
      <c r="AE316" s="47"/>
      <c r="AF316" s="47"/>
      <c r="AG316" s="47"/>
      <c r="AH316" s="47">
        <f>IFERROR(_xlfn.XLOOKUP(Table6[[#This Row],[Suburb]],Table5[Travel Surcharge],Table5[$$]),"")</f>
        <v>1500</v>
      </c>
      <c r="AI316" s="47"/>
      <c r="AJ316" s="47"/>
      <c r="AL316" t="str">
        <v>Floriana</v>
      </c>
    </row>
    <row r="317" spans="1:38">
      <c r="A317" s="374" t="s">
        <v>876</v>
      </c>
      <c r="B317" s="374">
        <v>38</v>
      </c>
      <c r="C317" s="374" t="s">
        <v>286</v>
      </c>
      <c r="D317" s="375" t="str">
        <f t="shared" si="65"/>
        <v>Armstrong Estate38</v>
      </c>
      <c r="E317" s="375" t="s">
        <v>10362</v>
      </c>
      <c r="F317" s="375" t="s">
        <v>540</v>
      </c>
      <c r="G317" s="375" t="s">
        <v>878</v>
      </c>
      <c r="H317" s="375" t="s">
        <v>879</v>
      </c>
      <c r="I317" s="63" t="s">
        <v>880</v>
      </c>
      <c r="J317" s="47">
        <v>3740</v>
      </c>
      <c r="K317" s="46" t="s">
        <v>7938</v>
      </c>
      <c r="L317" s="47"/>
      <c r="M317" s="47"/>
      <c r="N317" s="47"/>
      <c r="O317" s="47"/>
      <c r="P317" s="47"/>
      <c r="Q317" s="47"/>
      <c r="R317" s="47"/>
      <c r="S317" s="47"/>
      <c r="T317" s="47">
        <v>1420</v>
      </c>
      <c r="U317" s="47"/>
      <c r="V317" s="47"/>
      <c r="W317" s="47"/>
      <c r="X317" s="47"/>
      <c r="Y317" s="47"/>
      <c r="Z317" s="47">
        <v>4620</v>
      </c>
      <c r="AA317" s="47"/>
      <c r="AB317" s="47"/>
      <c r="AC317" s="47"/>
      <c r="AD317" s="47"/>
      <c r="AE317" s="47"/>
      <c r="AF317" s="47"/>
      <c r="AG317" s="47"/>
      <c r="AH317" s="47">
        <v>1500</v>
      </c>
      <c r="AI317" s="47"/>
      <c r="AJ317" s="47"/>
      <c r="AL317" t="str">
        <v>Forrest Green</v>
      </c>
    </row>
    <row r="318" spans="1:38">
      <c r="A318" s="374" t="s">
        <v>876</v>
      </c>
      <c r="B318" s="374">
        <v>39</v>
      </c>
      <c r="C318" s="374" t="s">
        <v>286</v>
      </c>
      <c r="D318" s="375" t="str">
        <f t="shared" si="65"/>
        <v>Armstrong Estate39</v>
      </c>
      <c r="E318" s="375" t="s">
        <v>894</v>
      </c>
      <c r="F318" s="375" t="s">
        <v>540</v>
      </c>
      <c r="G318" s="375" t="s">
        <v>878</v>
      </c>
      <c r="H318" s="375" t="s">
        <v>879</v>
      </c>
      <c r="I318" s="63" t="s">
        <v>880</v>
      </c>
      <c r="J318" s="47">
        <f t="shared" si="67"/>
        <v>3740</v>
      </c>
      <c r="K318" s="46" t="s">
        <v>7938</v>
      </c>
      <c r="L318" s="47"/>
      <c r="M318" s="47"/>
      <c r="N318" s="47"/>
      <c r="O318" s="47"/>
      <c r="P318" s="47"/>
      <c r="Q318" s="47"/>
      <c r="R318" s="47"/>
      <c r="S318" s="47"/>
      <c r="T318" s="47">
        <f t="shared" si="68"/>
        <v>780</v>
      </c>
      <c r="U318" s="47"/>
      <c r="V318" s="47"/>
      <c r="W318" s="47"/>
      <c r="X318" s="47"/>
      <c r="Y318" s="47"/>
      <c r="Z318" s="47">
        <f t="shared" si="66"/>
        <v>4620</v>
      </c>
      <c r="AA318" s="47"/>
      <c r="AB318" s="47"/>
      <c r="AC318" s="47"/>
      <c r="AD318" s="47"/>
      <c r="AE318" s="47"/>
      <c r="AF318" s="47"/>
      <c r="AG318" s="47"/>
      <c r="AH318" s="47">
        <f>IFERROR(_xlfn.XLOOKUP(Table6[[#This Row],[Suburb]],Table5[Travel Surcharge],Table5[$$]),"")</f>
        <v>1500</v>
      </c>
      <c r="AI318" s="47"/>
      <c r="AJ318" s="47"/>
      <c r="AL318" t="str">
        <v>Forrest Green - The Precinct</v>
      </c>
    </row>
    <row r="319" spans="1:38">
      <c r="A319" s="374" t="s">
        <v>876</v>
      </c>
      <c r="B319" s="374">
        <v>40</v>
      </c>
      <c r="C319" s="374" t="s">
        <v>286</v>
      </c>
      <c r="D319" s="375" t="str">
        <f t="shared" si="65"/>
        <v>Armstrong Estate40</v>
      </c>
      <c r="E319" s="375" t="s">
        <v>895</v>
      </c>
      <c r="F319" s="375" t="s">
        <v>540</v>
      </c>
      <c r="G319" s="375" t="s">
        <v>878</v>
      </c>
      <c r="H319" s="375" t="s">
        <v>879</v>
      </c>
      <c r="I319" s="63" t="s">
        <v>880</v>
      </c>
      <c r="J319" s="47">
        <f t="shared" si="67"/>
        <v>3740</v>
      </c>
      <c r="K319" s="46" t="s">
        <v>7938</v>
      </c>
      <c r="L319" s="47"/>
      <c r="M319" s="47"/>
      <c r="N319" s="47"/>
      <c r="O319" s="47"/>
      <c r="P319" s="47"/>
      <c r="Q319" s="47"/>
      <c r="R319" s="47"/>
      <c r="S319" s="47"/>
      <c r="T319" s="47">
        <f t="shared" si="68"/>
        <v>780</v>
      </c>
      <c r="U319" s="47"/>
      <c r="V319" s="47"/>
      <c r="W319" s="47"/>
      <c r="X319" s="47"/>
      <c r="Y319" s="47"/>
      <c r="Z319" s="47">
        <f t="shared" si="66"/>
        <v>4620</v>
      </c>
      <c r="AA319" s="47"/>
      <c r="AB319" s="47"/>
      <c r="AC319" s="47"/>
      <c r="AD319" s="47"/>
      <c r="AE319" s="47"/>
      <c r="AF319" s="47"/>
      <c r="AG319" s="47"/>
      <c r="AH319" s="47">
        <f>IFERROR(_xlfn.XLOOKUP(Table6[[#This Row],[Suburb]],Table5[Travel Surcharge],Table5[$$]),"")</f>
        <v>1500</v>
      </c>
      <c r="AI319" s="47"/>
      <c r="AJ319" s="47"/>
      <c r="AL319" t="str">
        <v xml:space="preserve">Franklin North </v>
      </c>
    </row>
    <row r="320" spans="1:38">
      <c r="A320" s="374" t="s">
        <v>876</v>
      </c>
      <c r="B320" s="374">
        <v>41</v>
      </c>
      <c r="C320" s="374" t="s">
        <v>286</v>
      </c>
      <c r="D320" s="375" t="str">
        <f t="shared" si="65"/>
        <v>Armstrong Estate41</v>
      </c>
      <c r="E320" s="375" t="s">
        <v>896</v>
      </c>
      <c r="F320" s="375" t="s">
        <v>540</v>
      </c>
      <c r="G320" s="375" t="s">
        <v>878</v>
      </c>
      <c r="H320" s="375" t="s">
        <v>879</v>
      </c>
      <c r="I320" s="63" t="s">
        <v>880</v>
      </c>
      <c r="J320" s="47">
        <f t="shared" si="67"/>
        <v>3740</v>
      </c>
      <c r="K320" s="46" t="s">
        <v>7938</v>
      </c>
      <c r="L320" s="47"/>
      <c r="M320" s="47"/>
      <c r="N320" s="47"/>
      <c r="O320" s="47"/>
      <c r="P320" s="47"/>
      <c r="Q320" s="47"/>
      <c r="R320" s="47"/>
      <c r="S320" s="47"/>
      <c r="T320" s="47">
        <f t="shared" si="68"/>
        <v>780</v>
      </c>
      <c r="U320" s="47"/>
      <c r="V320" s="47"/>
      <c r="W320" s="47"/>
      <c r="X320" s="47"/>
      <c r="Y320" s="47"/>
      <c r="Z320" s="47">
        <f t="shared" si="66"/>
        <v>4620</v>
      </c>
      <c r="AA320" s="47"/>
      <c r="AB320" s="47"/>
      <c r="AC320" s="47"/>
      <c r="AD320" s="47"/>
      <c r="AE320" s="47"/>
      <c r="AF320" s="47"/>
      <c r="AG320" s="47"/>
      <c r="AH320" s="47">
        <f>IFERROR(_xlfn.XLOOKUP(Table6[[#This Row],[Suburb]],Table5[Travel Surcharge],Table5[$$]),"")</f>
        <v>1500</v>
      </c>
      <c r="AI320" s="47"/>
      <c r="AJ320" s="47"/>
      <c r="AL320" t="str">
        <v>Franklin Place</v>
      </c>
    </row>
    <row r="321" spans="1:38">
      <c r="A321" s="374" t="s">
        <v>876</v>
      </c>
      <c r="B321" s="374">
        <v>42</v>
      </c>
      <c r="C321" s="374" t="s">
        <v>286</v>
      </c>
      <c r="D321" s="375" t="str">
        <f t="shared" si="65"/>
        <v>Armstrong Estate42</v>
      </c>
      <c r="E321" s="375" t="s">
        <v>897</v>
      </c>
      <c r="F321" s="375" t="s">
        <v>540</v>
      </c>
      <c r="G321" s="375" t="s">
        <v>878</v>
      </c>
      <c r="H321" s="375" t="s">
        <v>879</v>
      </c>
      <c r="I321" s="63" t="s">
        <v>880</v>
      </c>
      <c r="J321" s="47">
        <f t="shared" si="67"/>
        <v>3740</v>
      </c>
      <c r="K321" s="46" t="s">
        <v>7938</v>
      </c>
      <c r="L321" s="47"/>
      <c r="M321" s="47"/>
      <c r="N321" s="47"/>
      <c r="O321" s="47"/>
      <c r="P321" s="47"/>
      <c r="Q321" s="47"/>
      <c r="R321" s="47"/>
      <c r="S321" s="47"/>
      <c r="T321" s="47">
        <f t="shared" si="68"/>
        <v>780</v>
      </c>
      <c r="U321" s="47"/>
      <c r="V321" s="47"/>
      <c r="W321" s="47"/>
      <c r="X321" s="47"/>
      <c r="Y321" s="47"/>
      <c r="Z321" s="47">
        <f t="shared" si="66"/>
        <v>4620</v>
      </c>
      <c r="AA321" s="47"/>
      <c r="AB321" s="47"/>
      <c r="AC321" s="47"/>
      <c r="AD321" s="47"/>
      <c r="AE321" s="47"/>
      <c r="AF321" s="47"/>
      <c r="AG321" s="47"/>
      <c r="AH321" s="47">
        <f>IFERROR(_xlfn.XLOOKUP(Table6[[#This Row],[Suburb]],Table5[Travel Surcharge],Table5[$$]),"")</f>
        <v>1500</v>
      </c>
      <c r="AI321" s="47"/>
      <c r="AJ321" s="47"/>
      <c r="AL321" t="str">
        <v>Galway Gold</v>
      </c>
    </row>
    <row r="322" spans="1:38">
      <c r="A322" s="374" t="s">
        <v>876</v>
      </c>
      <c r="B322" s="374">
        <v>44</v>
      </c>
      <c r="C322" s="374" t="s">
        <v>286</v>
      </c>
      <c r="D322" s="375" t="str">
        <f t="shared" si="65"/>
        <v>Armstrong Estate44</v>
      </c>
      <c r="E322" s="375" t="s">
        <v>898</v>
      </c>
      <c r="F322" s="375" t="s">
        <v>540</v>
      </c>
      <c r="G322" s="375" t="s">
        <v>878</v>
      </c>
      <c r="H322" s="375" t="s">
        <v>879</v>
      </c>
      <c r="I322" s="63" t="s">
        <v>880</v>
      </c>
      <c r="J322" s="47">
        <f t="shared" si="67"/>
        <v>3740</v>
      </c>
      <c r="K322" s="46" t="s">
        <v>7938</v>
      </c>
      <c r="L322" s="47"/>
      <c r="M322" s="47"/>
      <c r="N322" s="47"/>
      <c r="O322" s="47"/>
      <c r="P322" s="47"/>
      <c r="Q322" s="47"/>
      <c r="R322" s="47"/>
      <c r="S322" s="47"/>
      <c r="T322" s="47">
        <f t="shared" si="68"/>
        <v>780</v>
      </c>
      <c r="U322" s="47"/>
      <c r="V322" s="47"/>
      <c r="W322" s="47"/>
      <c r="X322" s="47"/>
      <c r="Y322" s="47"/>
      <c r="Z322" s="47">
        <f t="shared" si="66"/>
        <v>4620</v>
      </c>
      <c r="AA322" s="47"/>
      <c r="AB322" s="47"/>
      <c r="AC322" s="47"/>
      <c r="AD322" s="47"/>
      <c r="AE322" s="47"/>
      <c r="AF322" s="47"/>
      <c r="AG322" s="47"/>
      <c r="AH322" s="47">
        <f>IFERROR(_xlfn.XLOOKUP(Table6[[#This Row],[Suburb]],Table5[Travel Surcharge],Table5[$$]),"")</f>
        <v>1500</v>
      </c>
      <c r="AI322" s="47"/>
      <c r="AJ322" s="47"/>
      <c r="AL322" t="str">
        <v>Galway View Estate</v>
      </c>
    </row>
    <row r="323" spans="1:38">
      <c r="A323" s="374" t="s">
        <v>876</v>
      </c>
      <c r="B323" s="374">
        <v>45</v>
      </c>
      <c r="C323" s="374" t="s">
        <v>286</v>
      </c>
      <c r="D323" s="375" t="str">
        <f t="shared" si="65"/>
        <v>Armstrong Estate45</v>
      </c>
      <c r="E323" s="375" t="s">
        <v>899</v>
      </c>
      <c r="F323" s="375" t="s">
        <v>540</v>
      </c>
      <c r="G323" s="375" t="s">
        <v>878</v>
      </c>
      <c r="H323" s="375" t="s">
        <v>879</v>
      </c>
      <c r="I323" s="63" t="s">
        <v>880</v>
      </c>
      <c r="J323" s="47">
        <f t="shared" si="67"/>
        <v>3740</v>
      </c>
      <c r="K323" s="46" t="s">
        <v>7938</v>
      </c>
      <c r="L323" s="47"/>
      <c r="M323" s="47"/>
      <c r="N323" s="47"/>
      <c r="O323" s="47"/>
      <c r="P323" s="47"/>
      <c r="Q323" s="47"/>
      <c r="R323" s="47"/>
      <c r="S323" s="47"/>
      <c r="T323" s="47">
        <f t="shared" si="68"/>
        <v>780</v>
      </c>
      <c r="U323" s="47"/>
      <c r="V323" s="47"/>
      <c r="W323" s="47"/>
      <c r="X323" s="47"/>
      <c r="Y323" s="47"/>
      <c r="Z323" s="47">
        <f t="shared" si="66"/>
        <v>4620</v>
      </c>
      <c r="AA323" s="47"/>
      <c r="AB323" s="47"/>
      <c r="AC323" s="47"/>
      <c r="AD323" s="47"/>
      <c r="AE323" s="47"/>
      <c r="AF323" s="47"/>
      <c r="AG323" s="47"/>
      <c r="AH323" s="47">
        <f>IFERROR(_xlfn.XLOOKUP(Table6[[#This Row],[Suburb]],Table5[Travel Surcharge],Table5[$$]),"")</f>
        <v>1500</v>
      </c>
      <c r="AI323" s="47"/>
      <c r="AJ323" s="47"/>
      <c r="AL323" t="str">
        <v>Gardenia Estate</v>
      </c>
    </row>
    <row r="324" spans="1:38">
      <c r="A324" s="374" t="s">
        <v>876</v>
      </c>
      <c r="B324" s="374">
        <v>47</v>
      </c>
      <c r="C324" s="374" t="s">
        <v>286</v>
      </c>
      <c r="D324" s="375" t="str">
        <f t="shared" si="65"/>
        <v>Armstrong Estate47</v>
      </c>
      <c r="E324" s="375" t="s">
        <v>904</v>
      </c>
      <c r="F324" s="375" t="s">
        <v>540</v>
      </c>
      <c r="G324" s="375" t="s">
        <v>878</v>
      </c>
      <c r="H324" s="375" t="s">
        <v>879</v>
      </c>
      <c r="I324" s="63" t="s">
        <v>880</v>
      </c>
      <c r="J324" s="47">
        <f t="shared" si="67"/>
        <v>3740</v>
      </c>
      <c r="K324" s="46" t="s">
        <v>7938</v>
      </c>
      <c r="L324" s="47"/>
      <c r="M324" s="47"/>
      <c r="N324" s="47"/>
      <c r="O324" s="47"/>
      <c r="P324" s="47"/>
      <c r="Q324" s="47"/>
      <c r="R324" s="47"/>
      <c r="S324" s="47"/>
      <c r="T324" s="47">
        <f t="shared" si="68"/>
        <v>780</v>
      </c>
      <c r="U324" s="47"/>
      <c r="V324" s="47"/>
      <c r="W324" s="47"/>
      <c r="X324" s="47"/>
      <c r="Y324" s="47"/>
      <c r="Z324" s="47">
        <f t="shared" si="66"/>
        <v>4620</v>
      </c>
      <c r="AA324" s="47"/>
      <c r="AB324" s="47"/>
      <c r="AC324" s="47"/>
      <c r="AD324" s="47"/>
      <c r="AE324" s="47"/>
      <c r="AF324" s="47"/>
      <c r="AG324" s="47"/>
      <c r="AH324" s="47">
        <f>IFERROR(_xlfn.XLOOKUP(Table6[[#This Row],[Suburb]],Table5[Travel Surcharge],Table5[$$]),"")</f>
        <v>1500</v>
      </c>
      <c r="AI324" s="47"/>
      <c r="AJ324" s="47"/>
      <c r="AL324" t="str">
        <v>Gateway Estate</v>
      </c>
    </row>
    <row r="325" spans="1:38">
      <c r="A325" s="374" t="s">
        <v>876</v>
      </c>
      <c r="B325" s="374">
        <v>48</v>
      </c>
      <c r="C325" s="374" t="s">
        <v>286</v>
      </c>
      <c r="D325" s="375" t="str">
        <f t="shared" si="65"/>
        <v>Armstrong Estate48</v>
      </c>
      <c r="E325" s="375" t="s">
        <v>905</v>
      </c>
      <c r="F325" s="375" t="s">
        <v>540</v>
      </c>
      <c r="G325" s="375" t="s">
        <v>878</v>
      </c>
      <c r="H325" s="375" t="s">
        <v>879</v>
      </c>
      <c r="I325" s="63" t="s">
        <v>880</v>
      </c>
      <c r="J325" s="47">
        <f t="shared" si="67"/>
        <v>3740</v>
      </c>
      <c r="K325" s="46" t="s">
        <v>7938</v>
      </c>
      <c r="L325" s="47"/>
      <c r="M325" s="47"/>
      <c r="N325" s="47"/>
      <c r="O325" s="47"/>
      <c r="P325" s="47"/>
      <c r="Q325" s="47"/>
      <c r="R325" s="47"/>
      <c r="S325" s="47"/>
      <c r="T325" s="47">
        <f t="shared" si="68"/>
        <v>780</v>
      </c>
      <c r="U325" s="47"/>
      <c r="V325" s="47"/>
      <c r="W325" s="47"/>
      <c r="X325" s="47"/>
      <c r="Y325" s="47"/>
      <c r="Z325" s="47">
        <f t="shared" si="66"/>
        <v>4620</v>
      </c>
      <c r="AA325" s="47"/>
      <c r="AB325" s="47"/>
      <c r="AC325" s="47"/>
      <c r="AD325" s="47"/>
      <c r="AE325" s="47"/>
      <c r="AF325" s="47"/>
      <c r="AG325" s="47"/>
      <c r="AH325" s="47">
        <f>IFERROR(_xlfn.XLOOKUP(Table6[[#This Row],[Suburb]],Table5[Travel Surcharge],Table5[$$]),"")</f>
        <v>1500</v>
      </c>
      <c r="AI325" s="47"/>
      <c r="AJ325" s="47"/>
      <c r="AL325" t="str">
        <v>GEM Estate</v>
      </c>
    </row>
    <row r="326" spans="1:38">
      <c r="A326" s="374" t="s">
        <v>876</v>
      </c>
      <c r="B326" s="374" t="s">
        <v>10771</v>
      </c>
      <c r="C326" s="374" t="s">
        <v>286</v>
      </c>
      <c r="D326" s="375" t="str">
        <f t="shared" si="65"/>
        <v>Armstrong Estate53B</v>
      </c>
      <c r="E326" s="375" t="s">
        <v>10772</v>
      </c>
      <c r="F326" s="375" t="s">
        <v>540</v>
      </c>
      <c r="G326" s="375" t="s">
        <v>878</v>
      </c>
      <c r="H326" s="375" t="s">
        <v>879</v>
      </c>
      <c r="I326" s="63" t="s">
        <v>880</v>
      </c>
      <c r="J326" s="47">
        <v>3740</v>
      </c>
      <c r="K326" s="46" t="s">
        <v>7938</v>
      </c>
      <c r="L326" s="47"/>
      <c r="M326" s="47"/>
      <c r="N326" s="47"/>
      <c r="O326" s="47"/>
      <c r="P326" s="47"/>
      <c r="Q326" s="47"/>
      <c r="R326" s="47"/>
      <c r="S326" s="47"/>
      <c r="T326" s="47">
        <v>780</v>
      </c>
      <c r="U326" s="47"/>
      <c r="V326" s="47"/>
      <c r="W326" s="47"/>
      <c r="X326" s="47"/>
      <c r="Y326" s="47"/>
      <c r="Z326" s="47">
        <v>4620</v>
      </c>
      <c r="AA326" s="47"/>
      <c r="AB326" s="47"/>
      <c r="AC326" s="47"/>
      <c r="AD326" s="47"/>
      <c r="AE326" s="47"/>
      <c r="AF326" s="47"/>
      <c r="AG326" s="47"/>
      <c r="AH326" s="47">
        <v>1500</v>
      </c>
      <c r="AI326" s="47"/>
      <c r="AJ326" s="47"/>
      <c r="AL326" t="str">
        <v>Gen Fyansford</v>
      </c>
    </row>
    <row r="327" spans="1:38">
      <c r="A327" s="374" t="s">
        <v>876</v>
      </c>
      <c r="B327" s="374">
        <v>66</v>
      </c>
      <c r="C327" s="374" t="s">
        <v>286</v>
      </c>
      <c r="D327" s="375" t="str">
        <f t="shared" si="65"/>
        <v>Armstrong Estate66</v>
      </c>
      <c r="E327" s="375" t="s">
        <v>908</v>
      </c>
      <c r="F327" s="375" t="s">
        <v>540</v>
      </c>
      <c r="G327" s="375" t="s">
        <v>878</v>
      </c>
      <c r="H327" s="375" t="s">
        <v>879</v>
      </c>
      <c r="I327" s="63" t="s">
        <v>880</v>
      </c>
      <c r="J327" s="47">
        <f t="shared" si="67"/>
        <v>3740</v>
      </c>
      <c r="K327" s="46" t="s">
        <v>7938</v>
      </c>
      <c r="L327" s="47"/>
      <c r="M327" s="47"/>
      <c r="N327" s="47"/>
      <c r="O327" s="47"/>
      <c r="P327" s="47"/>
      <c r="Q327" s="47"/>
      <c r="R327" s="47"/>
      <c r="S327" s="47"/>
      <c r="T327" s="47">
        <f t="shared" si="68"/>
        <v>780</v>
      </c>
      <c r="U327" s="47"/>
      <c r="V327" s="47"/>
      <c r="W327" s="47"/>
      <c r="X327" s="47"/>
      <c r="Y327" s="47"/>
      <c r="Z327" s="47">
        <f t="shared" si="66"/>
        <v>4620</v>
      </c>
      <c r="AA327" s="47"/>
      <c r="AB327" s="47"/>
      <c r="AC327" s="47"/>
      <c r="AD327" s="47"/>
      <c r="AE327" s="47"/>
      <c r="AF327" s="47"/>
      <c r="AG327" s="47"/>
      <c r="AH327" s="47">
        <f>IFERROR(_xlfn.XLOOKUP(Table6[[#This Row],[Suburb]],Table5[Travel Surcharge],Table5[$$]),"")</f>
        <v>1500</v>
      </c>
      <c r="AI327" s="47"/>
      <c r="AJ327" s="47"/>
      <c r="AL327" t="str">
        <v>Girvan Place</v>
      </c>
    </row>
    <row r="328" spans="1:38">
      <c r="A328" s="374" t="s">
        <v>876</v>
      </c>
      <c r="B328" s="374">
        <v>68</v>
      </c>
      <c r="C328" s="374" t="s">
        <v>286</v>
      </c>
      <c r="D328" s="375" t="str">
        <f t="shared" si="65"/>
        <v>Armstrong Estate68</v>
      </c>
      <c r="E328" s="375" t="s">
        <v>8949</v>
      </c>
      <c r="F328" s="375" t="s">
        <v>540</v>
      </c>
      <c r="G328" s="375" t="s">
        <v>878</v>
      </c>
      <c r="H328" s="375" t="s">
        <v>879</v>
      </c>
      <c r="I328" s="63" t="s">
        <v>880</v>
      </c>
      <c r="J328" s="47">
        <v>3740</v>
      </c>
      <c r="K328" s="46" t="s">
        <v>7938</v>
      </c>
      <c r="L328" s="47"/>
      <c r="M328" s="47"/>
      <c r="N328" s="47"/>
      <c r="O328" s="47"/>
      <c r="P328" s="47"/>
      <c r="Q328" s="47"/>
      <c r="R328" s="47"/>
      <c r="S328" s="47"/>
      <c r="T328" s="47">
        <v>1420</v>
      </c>
      <c r="U328" s="47"/>
      <c r="V328" s="47"/>
      <c r="W328" s="47"/>
      <c r="X328" s="47"/>
      <c r="Y328" s="47"/>
      <c r="Z328" s="47">
        <v>4620</v>
      </c>
      <c r="AA328" s="47"/>
      <c r="AB328" s="47"/>
      <c r="AC328" s="47"/>
      <c r="AD328" s="47"/>
      <c r="AE328" s="47"/>
      <c r="AF328" s="47"/>
      <c r="AG328" s="47"/>
      <c r="AH328" s="47">
        <f>IFERROR(_xlfn.XLOOKUP(Table6[[#This Row],[Suburb]],Table5[Travel Surcharge],Table5[$$]),"")</f>
        <v>1500</v>
      </c>
      <c r="AI328" s="47"/>
      <c r="AJ328" s="47"/>
      <c r="AL328" t="str">
        <v>Glenlee</v>
      </c>
    </row>
    <row r="329" spans="1:38">
      <c r="A329" s="374" t="s">
        <v>876</v>
      </c>
      <c r="B329" s="374">
        <v>69</v>
      </c>
      <c r="C329" s="374" t="s">
        <v>286</v>
      </c>
      <c r="D329" s="375" t="str">
        <f t="shared" si="65"/>
        <v>Armstrong Estate69</v>
      </c>
      <c r="E329" s="375" t="s">
        <v>911</v>
      </c>
      <c r="F329" s="375" t="s">
        <v>540</v>
      </c>
      <c r="G329" s="375" t="s">
        <v>878</v>
      </c>
      <c r="H329" s="375" t="s">
        <v>879</v>
      </c>
      <c r="I329" s="63" t="s">
        <v>880</v>
      </c>
      <c r="J329" s="47">
        <f t="shared" ref="J329:J345" si="69">J$7</f>
        <v>3740</v>
      </c>
      <c r="K329" s="46" t="s">
        <v>7938</v>
      </c>
      <c r="L329" s="47"/>
      <c r="M329" s="47"/>
      <c r="N329" s="47"/>
      <c r="O329" s="47"/>
      <c r="P329" s="47"/>
      <c r="Q329" s="47"/>
      <c r="R329" s="47"/>
      <c r="S329" s="47"/>
      <c r="T329" s="47">
        <f t="shared" ref="T329:T341" si="70">T$2</f>
        <v>780</v>
      </c>
      <c r="U329" s="47"/>
      <c r="V329" s="47"/>
      <c r="W329" s="47"/>
      <c r="X329" s="47"/>
      <c r="Y329" s="47"/>
      <c r="Z329" s="47">
        <f t="shared" ref="Z329:Z361" si="71">Z$7</f>
        <v>4620</v>
      </c>
      <c r="AA329" s="47"/>
      <c r="AB329" s="47"/>
      <c r="AC329" s="47"/>
      <c r="AD329" s="47"/>
      <c r="AE329" s="47"/>
      <c r="AF329" s="47"/>
      <c r="AG329" s="47"/>
      <c r="AH329" s="47">
        <f>IFERROR(_xlfn.XLOOKUP(Table6[[#This Row],[Suburb]],Table5[Travel Surcharge],Table5[$$]),"")</f>
        <v>1500</v>
      </c>
      <c r="AI329" s="47"/>
      <c r="AJ329" s="47"/>
      <c r="AL329" t="str">
        <v>Glenmore</v>
      </c>
    </row>
    <row r="330" spans="1:38">
      <c r="A330" s="374" t="s">
        <v>876</v>
      </c>
      <c r="B330" s="374">
        <v>71</v>
      </c>
      <c r="C330" s="374" t="s">
        <v>286</v>
      </c>
      <c r="D330" s="375" t="str">
        <f t="shared" si="65"/>
        <v>Armstrong Estate71</v>
      </c>
      <c r="E330" s="375" t="s">
        <v>10886</v>
      </c>
      <c r="F330" s="375" t="s">
        <v>540</v>
      </c>
      <c r="G330" s="375" t="s">
        <v>878</v>
      </c>
      <c r="H330" s="375" t="s">
        <v>879</v>
      </c>
      <c r="I330" s="63" t="s">
        <v>880</v>
      </c>
      <c r="J330" s="47">
        <v>3740</v>
      </c>
      <c r="K330" s="46" t="s">
        <v>7938</v>
      </c>
      <c r="L330" s="47"/>
      <c r="M330" s="47"/>
      <c r="N330" s="47"/>
      <c r="O330" s="47"/>
      <c r="P330" s="47"/>
      <c r="Q330" s="47"/>
      <c r="R330" s="47"/>
      <c r="S330" s="47"/>
      <c r="T330" s="47">
        <v>780</v>
      </c>
      <c r="U330" s="47"/>
      <c r="V330" s="47"/>
      <c r="W330" s="47"/>
      <c r="X330" s="47"/>
      <c r="Y330" s="47"/>
      <c r="Z330" s="47">
        <v>4620</v>
      </c>
      <c r="AA330" s="47"/>
      <c r="AB330" s="47"/>
      <c r="AC330" s="47"/>
      <c r="AD330" s="47"/>
      <c r="AE330" s="47"/>
      <c r="AF330" s="47"/>
      <c r="AG330" s="47"/>
      <c r="AH330" s="47">
        <v>1500</v>
      </c>
      <c r="AI330" s="47"/>
      <c r="AJ330" s="47"/>
      <c r="AL330" t="str">
        <v>Glenn Crest Estate</v>
      </c>
    </row>
    <row r="331" spans="1:38">
      <c r="A331" s="374" t="s">
        <v>876</v>
      </c>
      <c r="B331" s="374" t="s">
        <v>887</v>
      </c>
      <c r="C331" s="374" t="s">
        <v>286</v>
      </c>
      <c r="D331" s="375" t="str">
        <f t="shared" si="65"/>
        <v>Armstrong Estate27A</v>
      </c>
      <c r="E331" s="375" t="s">
        <v>888</v>
      </c>
      <c r="F331" s="375" t="s">
        <v>540</v>
      </c>
      <c r="G331" s="375" t="s">
        <v>878</v>
      </c>
      <c r="H331" s="375" t="s">
        <v>879</v>
      </c>
      <c r="I331" s="63" t="s">
        <v>880</v>
      </c>
      <c r="J331" s="47">
        <f t="shared" si="69"/>
        <v>3740</v>
      </c>
      <c r="K331" s="46" t="s">
        <v>7938</v>
      </c>
      <c r="L331" s="47"/>
      <c r="M331" s="47"/>
      <c r="N331" s="47"/>
      <c r="O331" s="47"/>
      <c r="P331" s="47"/>
      <c r="Q331" s="47"/>
      <c r="R331" s="47"/>
      <c r="S331" s="47"/>
      <c r="T331" s="47">
        <f t="shared" si="70"/>
        <v>780</v>
      </c>
      <c r="U331" s="47"/>
      <c r="V331" s="47"/>
      <c r="W331" s="47"/>
      <c r="X331" s="47"/>
      <c r="Y331" s="47"/>
      <c r="Z331" s="47">
        <f t="shared" si="71"/>
        <v>4620</v>
      </c>
      <c r="AA331" s="47"/>
      <c r="AB331" s="47"/>
      <c r="AC331" s="47"/>
      <c r="AD331" s="47"/>
      <c r="AE331" s="47"/>
      <c r="AF331" s="47"/>
      <c r="AG331" s="47"/>
      <c r="AH331" s="47">
        <f>IFERROR(_xlfn.XLOOKUP(Table6[[#This Row],[Suburb]],Table5[Travel Surcharge],Table5[$$]),"")</f>
        <v>1500</v>
      </c>
      <c r="AI331" s="47"/>
      <c r="AJ331" s="47"/>
      <c r="AL331" t="str">
        <v>Golden Meadows Estate</v>
      </c>
    </row>
    <row r="332" spans="1:38">
      <c r="A332" s="374" t="s">
        <v>876</v>
      </c>
      <c r="B332" s="374" t="s">
        <v>889</v>
      </c>
      <c r="C332" s="374" t="s">
        <v>286</v>
      </c>
      <c r="D332" s="375" t="str">
        <f t="shared" si="65"/>
        <v>Armstrong Estate27B</v>
      </c>
      <c r="E332" s="375" t="s">
        <v>890</v>
      </c>
      <c r="F332" s="375" t="s">
        <v>540</v>
      </c>
      <c r="G332" s="375" t="s">
        <v>878</v>
      </c>
      <c r="H332" s="375" t="s">
        <v>879</v>
      </c>
      <c r="I332" s="63" t="s">
        <v>880</v>
      </c>
      <c r="J332" s="47">
        <f t="shared" si="69"/>
        <v>3740</v>
      </c>
      <c r="K332" s="46" t="s">
        <v>7938</v>
      </c>
      <c r="L332" s="47"/>
      <c r="M332" s="47"/>
      <c r="N332" s="47"/>
      <c r="O332" s="47"/>
      <c r="P332" s="47"/>
      <c r="Q332" s="47"/>
      <c r="R332" s="47"/>
      <c r="S332" s="47"/>
      <c r="T332" s="47">
        <f t="shared" si="70"/>
        <v>780</v>
      </c>
      <c r="U332" s="47"/>
      <c r="V332" s="47"/>
      <c r="W332" s="47"/>
      <c r="X332" s="47"/>
      <c r="Y332" s="47"/>
      <c r="Z332" s="47">
        <f t="shared" si="71"/>
        <v>4620</v>
      </c>
      <c r="AA332" s="47"/>
      <c r="AB332" s="47"/>
      <c r="AC332" s="47"/>
      <c r="AD332" s="47"/>
      <c r="AE332" s="47"/>
      <c r="AF332" s="47"/>
      <c r="AG332" s="47"/>
      <c r="AH332" s="47">
        <f>IFERROR(_xlfn.XLOOKUP(Table6[[#This Row],[Suburb]],Table5[Travel Surcharge],Table5[$$]),"")</f>
        <v>1500</v>
      </c>
      <c r="AI332" s="47"/>
      <c r="AJ332" s="47"/>
      <c r="AL332" t="str">
        <v>Golden Rise</v>
      </c>
    </row>
    <row r="333" spans="1:38">
      <c r="A333" s="374" t="s">
        <v>876</v>
      </c>
      <c r="B333" s="374" t="s">
        <v>891</v>
      </c>
      <c r="C333" s="374" t="s">
        <v>286</v>
      </c>
      <c r="D333" s="375" t="str">
        <f t="shared" si="65"/>
        <v>Armstrong Estate27C</v>
      </c>
      <c r="E333" s="375" t="s">
        <v>892</v>
      </c>
      <c r="F333" s="375" t="s">
        <v>540</v>
      </c>
      <c r="G333" s="375" t="s">
        <v>878</v>
      </c>
      <c r="H333" s="375" t="s">
        <v>879</v>
      </c>
      <c r="I333" s="63" t="s">
        <v>880</v>
      </c>
      <c r="J333" s="47">
        <f t="shared" si="69"/>
        <v>3740</v>
      </c>
      <c r="K333" s="46" t="s">
        <v>7938</v>
      </c>
      <c r="L333" s="47"/>
      <c r="M333" s="47"/>
      <c r="N333" s="47"/>
      <c r="O333" s="47"/>
      <c r="P333" s="47"/>
      <c r="Q333" s="47"/>
      <c r="R333" s="47"/>
      <c r="S333" s="47"/>
      <c r="T333" s="47">
        <f t="shared" si="70"/>
        <v>780</v>
      </c>
      <c r="U333" s="47"/>
      <c r="V333" s="47"/>
      <c r="W333" s="47"/>
      <c r="X333" s="47"/>
      <c r="Y333" s="47"/>
      <c r="Z333" s="47">
        <f t="shared" si="71"/>
        <v>4620</v>
      </c>
      <c r="AA333" s="47"/>
      <c r="AB333" s="47"/>
      <c r="AC333" s="47"/>
      <c r="AD333" s="47"/>
      <c r="AE333" s="47"/>
      <c r="AF333" s="47"/>
      <c r="AG333" s="47"/>
      <c r="AH333" s="47">
        <f>IFERROR(_xlfn.XLOOKUP(Table6[[#This Row],[Suburb]],Table5[Travel Surcharge],Table5[$$]),"")</f>
        <v>1500</v>
      </c>
      <c r="AI333" s="47"/>
      <c r="AJ333" s="47"/>
      <c r="AL333" t="str">
        <v>Golden Win</v>
      </c>
    </row>
    <row r="334" spans="1:38">
      <c r="A334" s="374" t="s">
        <v>876</v>
      </c>
      <c r="B334" s="374" t="s">
        <v>906</v>
      </c>
      <c r="C334" s="374" t="s">
        <v>286</v>
      </c>
      <c r="D334" s="375" t="str">
        <f t="shared" si="65"/>
        <v>Armstrong Estate40A</v>
      </c>
      <c r="E334" s="375" t="s">
        <v>907</v>
      </c>
      <c r="F334" s="375" t="s">
        <v>540</v>
      </c>
      <c r="G334" s="375" t="s">
        <v>878</v>
      </c>
      <c r="H334" s="375" t="s">
        <v>879</v>
      </c>
      <c r="I334" s="63" t="s">
        <v>880</v>
      </c>
      <c r="J334" s="47">
        <f t="shared" si="69"/>
        <v>3740</v>
      </c>
      <c r="K334" s="46" t="s">
        <v>7938</v>
      </c>
      <c r="L334" s="47"/>
      <c r="M334" s="47"/>
      <c r="N334" s="47"/>
      <c r="O334" s="47"/>
      <c r="P334" s="47"/>
      <c r="Q334" s="47"/>
      <c r="R334" s="47"/>
      <c r="S334" s="47"/>
      <c r="T334" s="47">
        <f t="shared" si="70"/>
        <v>780</v>
      </c>
      <c r="U334" s="47"/>
      <c r="V334" s="47"/>
      <c r="W334" s="47"/>
      <c r="X334" s="47"/>
      <c r="Y334" s="47"/>
      <c r="Z334" s="47">
        <f t="shared" si="71"/>
        <v>4620</v>
      </c>
      <c r="AA334" s="47"/>
      <c r="AB334" s="47"/>
      <c r="AC334" s="47"/>
      <c r="AD334" s="47"/>
      <c r="AE334" s="47"/>
      <c r="AF334" s="47"/>
      <c r="AG334" s="47"/>
      <c r="AH334" s="47">
        <f>IFERROR(_xlfn.XLOOKUP(Table6[[#This Row],[Suburb]],Table5[Travel Surcharge],Table5[$$]),"")</f>
        <v>1500</v>
      </c>
      <c r="AI334" s="47"/>
      <c r="AJ334" s="47"/>
      <c r="AL334" t="str">
        <v xml:space="preserve">Goldenvue </v>
      </c>
    </row>
    <row r="335" spans="1:38">
      <c r="A335" s="374" t="s">
        <v>876</v>
      </c>
      <c r="B335" s="374" t="s">
        <v>900</v>
      </c>
      <c r="C335" s="374" t="s">
        <v>286</v>
      </c>
      <c r="D335" s="375" t="str">
        <f t="shared" si="65"/>
        <v>Armstrong Estate46A</v>
      </c>
      <c r="E335" s="375" t="s">
        <v>901</v>
      </c>
      <c r="F335" s="375" t="s">
        <v>540</v>
      </c>
      <c r="G335" s="375" t="s">
        <v>878</v>
      </c>
      <c r="H335" s="375" t="s">
        <v>879</v>
      </c>
      <c r="I335" s="63" t="s">
        <v>880</v>
      </c>
      <c r="J335" s="47">
        <f t="shared" si="69"/>
        <v>3740</v>
      </c>
      <c r="K335" s="46" t="s">
        <v>7938</v>
      </c>
      <c r="L335" s="47"/>
      <c r="M335" s="47"/>
      <c r="N335" s="47"/>
      <c r="O335" s="47"/>
      <c r="P335" s="47"/>
      <c r="Q335" s="47"/>
      <c r="R335" s="47"/>
      <c r="S335" s="47"/>
      <c r="T335" s="47">
        <f t="shared" si="70"/>
        <v>780</v>
      </c>
      <c r="U335" s="47"/>
      <c r="V335" s="47"/>
      <c r="W335" s="47"/>
      <c r="X335" s="47"/>
      <c r="Y335" s="47"/>
      <c r="Z335" s="47">
        <f t="shared" si="71"/>
        <v>4620</v>
      </c>
      <c r="AA335" s="47"/>
      <c r="AB335" s="47"/>
      <c r="AC335" s="47"/>
      <c r="AD335" s="47"/>
      <c r="AE335" s="47"/>
      <c r="AF335" s="47"/>
      <c r="AG335" s="47"/>
      <c r="AH335" s="47">
        <f>IFERROR(_xlfn.XLOOKUP(Table6[[#This Row],[Suburb]],Table5[Travel Surcharge],Table5[$$]),"")</f>
        <v>1500</v>
      </c>
      <c r="AI335" s="47"/>
      <c r="AJ335" s="47"/>
      <c r="AL335" t="str">
        <v>Grace Estate</v>
      </c>
    </row>
    <row r="336" spans="1:38">
      <c r="A336" s="374" t="s">
        <v>876</v>
      </c>
      <c r="B336" s="374" t="s">
        <v>902</v>
      </c>
      <c r="C336" s="374" t="s">
        <v>286</v>
      </c>
      <c r="D336" s="375" t="str">
        <f t="shared" si="65"/>
        <v>Armstrong Estate46B</v>
      </c>
      <c r="E336" s="375" t="s">
        <v>903</v>
      </c>
      <c r="F336" s="375" t="s">
        <v>540</v>
      </c>
      <c r="G336" s="375" t="s">
        <v>878</v>
      </c>
      <c r="H336" s="375" t="s">
        <v>879</v>
      </c>
      <c r="I336" s="63" t="s">
        <v>880</v>
      </c>
      <c r="J336" s="47">
        <f t="shared" si="69"/>
        <v>3740</v>
      </c>
      <c r="K336" s="46" t="s">
        <v>7938</v>
      </c>
      <c r="L336" s="47"/>
      <c r="M336" s="47"/>
      <c r="N336" s="47"/>
      <c r="O336" s="47"/>
      <c r="P336" s="47"/>
      <c r="Q336" s="47"/>
      <c r="R336" s="47"/>
      <c r="S336" s="47"/>
      <c r="T336" s="47">
        <f t="shared" si="70"/>
        <v>780</v>
      </c>
      <c r="U336" s="47"/>
      <c r="V336" s="47"/>
      <c r="W336" s="47"/>
      <c r="X336" s="47"/>
      <c r="Y336" s="47"/>
      <c r="Z336" s="47">
        <f t="shared" si="71"/>
        <v>4620</v>
      </c>
      <c r="AA336" s="47"/>
      <c r="AB336" s="47"/>
      <c r="AC336" s="47"/>
      <c r="AD336" s="47"/>
      <c r="AE336" s="47"/>
      <c r="AF336" s="47"/>
      <c r="AG336" s="47"/>
      <c r="AH336" s="47">
        <f>IFERROR(_xlfn.XLOOKUP(Table6[[#This Row],[Suburb]],Table5[Travel Surcharge],Table5[$$]),"")</f>
        <v>1500</v>
      </c>
      <c r="AI336" s="47"/>
      <c r="AJ336" s="47"/>
      <c r="AL336" t="str">
        <v>Grand Central Estate</v>
      </c>
    </row>
    <row r="337" spans="1:38" ht="14.25" customHeight="1">
      <c r="A337" s="374" t="s">
        <v>876</v>
      </c>
      <c r="B337" s="374" t="s">
        <v>909</v>
      </c>
      <c r="C337" s="374" t="s">
        <v>286</v>
      </c>
      <c r="D337" s="375" t="str">
        <f t="shared" si="65"/>
        <v>Armstrong Estate67C</v>
      </c>
      <c r="E337" s="375" t="s">
        <v>910</v>
      </c>
      <c r="F337" s="375" t="s">
        <v>540</v>
      </c>
      <c r="G337" s="375" t="s">
        <v>878</v>
      </c>
      <c r="H337" s="375" t="s">
        <v>879</v>
      </c>
      <c r="I337" s="63" t="s">
        <v>880</v>
      </c>
      <c r="J337" s="47">
        <f t="shared" si="69"/>
        <v>3740</v>
      </c>
      <c r="K337" s="46" t="s">
        <v>7938</v>
      </c>
      <c r="L337" s="47"/>
      <c r="M337" s="47"/>
      <c r="N337" s="47"/>
      <c r="O337" s="47"/>
      <c r="P337" s="47"/>
      <c r="Q337" s="47"/>
      <c r="R337" s="47"/>
      <c r="S337" s="47"/>
      <c r="T337" s="47">
        <f t="shared" si="70"/>
        <v>780</v>
      </c>
      <c r="U337" s="47"/>
      <c r="V337" s="47"/>
      <c r="W337" s="47"/>
      <c r="X337" s="47"/>
      <c r="Y337" s="47"/>
      <c r="Z337" s="47">
        <f t="shared" si="71"/>
        <v>4620</v>
      </c>
      <c r="AA337" s="47"/>
      <c r="AB337" s="47"/>
      <c r="AC337" s="47"/>
      <c r="AD337" s="47"/>
      <c r="AE337" s="47"/>
      <c r="AF337" s="47"/>
      <c r="AG337" s="47"/>
      <c r="AH337" s="47">
        <f>IFERROR(_xlfn.XLOOKUP(Table6[[#This Row],[Suburb]],Table5[Travel Surcharge],Table5[$$]),"")</f>
        <v>1500</v>
      </c>
      <c r="AI337" s="47"/>
      <c r="AJ337" s="47"/>
      <c r="AL337" t="str">
        <v>Grand Vue</v>
      </c>
    </row>
    <row r="338" spans="1:38">
      <c r="A338" s="374" t="s">
        <v>876</v>
      </c>
      <c r="B338" s="374" t="s">
        <v>8753</v>
      </c>
      <c r="C338" s="374" t="s">
        <v>286</v>
      </c>
      <c r="D338" s="375" t="str">
        <f t="shared" si="65"/>
        <v>Armstrong Estate53A</v>
      </c>
      <c r="E338" s="375" t="s">
        <v>8022</v>
      </c>
      <c r="F338" s="375" t="s">
        <v>540</v>
      </c>
      <c r="G338" s="375" t="s">
        <v>878</v>
      </c>
      <c r="H338" s="375" t="s">
        <v>879</v>
      </c>
      <c r="I338" s="63" t="s">
        <v>880</v>
      </c>
      <c r="J338" s="47">
        <f t="shared" si="69"/>
        <v>3740</v>
      </c>
      <c r="K338" s="46" t="s">
        <v>7938</v>
      </c>
      <c r="L338" s="47"/>
      <c r="M338" s="47"/>
      <c r="N338" s="47"/>
      <c r="O338" s="47"/>
      <c r="P338" s="47"/>
      <c r="Q338" s="47"/>
      <c r="R338" s="47"/>
      <c r="S338" s="47"/>
      <c r="T338" s="47">
        <f t="shared" si="70"/>
        <v>780</v>
      </c>
      <c r="U338" s="47"/>
      <c r="V338" s="47"/>
      <c r="W338" s="47"/>
      <c r="X338" s="47"/>
      <c r="Y338" s="47"/>
      <c r="Z338" s="47">
        <f t="shared" si="71"/>
        <v>4620</v>
      </c>
      <c r="AA338" s="47"/>
      <c r="AB338" s="47"/>
      <c r="AC338" s="47"/>
      <c r="AD338" s="47"/>
      <c r="AE338" s="47"/>
      <c r="AF338" s="47"/>
      <c r="AG338" s="47"/>
      <c r="AH338" s="47">
        <f>IFERROR(_xlfn.XLOOKUP(Table6[[#This Row],[Suburb]],Table5[Travel Surcharge],Table5[$$]),"")</f>
        <v>1500</v>
      </c>
      <c r="AI338" s="47"/>
      <c r="AJ338" s="47"/>
      <c r="AL338" t="str">
        <v>Grandview Estate</v>
      </c>
    </row>
    <row r="339" spans="1:38">
      <c r="A339" s="374" t="s">
        <v>876</v>
      </c>
      <c r="B339" s="374" t="s">
        <v>8797</v>
      </c>
      <c r="C339" s="374" t="s">
        <v>286</v>
      </c>
      <c r="D339" s="375" t="str">
        <f t="shared" si="65"/>
        <v>Armstrong Estate59A</v>
      </c>
      <c r="E339" s="375" t="s">
        <v>8798</v>
      </c>
      <c r="F339" s="375" t="s">
        <v>540</v>
      </c>
      <c r="G339" s="375" t="s">
        <v>878</v>
      </c>
      <c r="H339" s="375" t="s">
        <v>879</v>
      </c>
      <c r="I339" s="63" t="s">
        <v>880</v>
      </c>
      <c r="J339" s="47">
        <f t="shared" si="69"/>
        <v>3740</v>
      </c>
      <c r="K339" s="46" t="s">
        <v>7938</v>
      </c>
      <c r="L339" s="47" t="s">
        <v>8799</v>
      </c>
      <c r="M339" s="47"/>
      <c r="N339" s="47"/>
      <c r="O339" s="47"/>
      <c r="P339" s="47"/>
      <c r="Q339" s="47"/>
      <c r="R339" s="47"/>
      <c r="S339" s="47"/>
      <c r="T339" s="47">
        <f t="shared" si="70"/>
        <v>780</v>
      </c>
      <c r="U339" s="47"/>
      <c r="V339" s="47"/>
      <c r="W339" s="47"/>
      <c r="X339" s="47"/>
      <c r="Y339" s="47"/>
      <c r="Z339" s="47">
        <f t="shared" si="71"/>
        <v>4620</v>
      </c>
      <c r="AA339" s="47"/>
      <c r="AB339" s="47"/>
      <c r="AC339" s="47"/>
      <c r="AD339" s="47"/>
      <c r="AE339" s="47"/>
      <c r="AF339" s="47"/>
      <c r="AG339" s="47"/>
      <c r="AH339" s="47">
        <f>IFERROR(_xlfn.XLOOKUP(Table6[[#This Row],[Suburb]],Table5[Travel Surcharge],Table5[$$]),"")</f>
        <v>1500</v>
      </c>
      <c r="AI339" s="47"/>
      <c r="AJ339" s="47"/>
      <c r="AL339" t="str">
        <v>Grandvue Estate</v>
      </c>
    </row>
    <row r="340" spans="1:38">
      <c r="A340" s="157" t="s">
        <v>912</v>
      </c>
      <c r="B340" s="157">
        <v>1</v>
      </c>
      <c r="C340" s="157" t="s">
        <v>281</v>
      </c>
      <c r="D340" s="157" t="str">
        <f t="shared" si="65"/>
        <v>Armstrong Grove Estate1</v>
      </c>
      <c r="E340" s="157" t="s">
        <v>913</v>
      </c>
      <c r="F340" s="157" t="s">
        <v>7492</v>
      </c>
      <c r="G340" s="157" t="s">
        <v>7491</v>
      </c>
      <c r="H340" s="157" t="s">
        <v>7493</v>
      </c>
      <c r="I340" s="158" t="s">
        <v>7494</v>
      </c>
      <c r="J340" s="47">
        <f t="shared" si="69"/>
        <v>3740</v>
      </c>
      <c r="K340" s="46" t="s">
        <v>10735</v>
      </c>
      <c r="L340" s="47" t="s">
        <v>914</v>
      </c>
      <c r="M340" s="47"/>
      <c r="N340" s="47" t="s">
        <v>915</v>
      </c>
      <c r="O340" s="47"/>
      <c r="P340" s="47"/>
      <c r="Q340" s="47"/>
      <c r="R340" s="47"/>
      <c r="S340" s="47"/>
      <c r="T340" s="47">
        <f t="shared" si="70"/>
        <v>780</v>
      </c>
      <c r="U340" s="47"/>
      <c r="V340" s="47" t="s">
        <v>916</v>
      </c>
      <c r="W340" s="47"/>
      <c r="X340" s="47" t="s">
        <v>917</v>
      </c>
      <c r="Y340" s="47"/>
      <c r="Z340" s="47">
        <f t="shared" si="71"/>
        <v>4620</v>
      </c>
      <c r="AA340" s="47"/>
      <c r="AB340" s="47"/>
      <c r="AC340" s="47"/>
      <c r="AD340" s="47"/>
      <c r="AE340" s="47"/>
      <c r="AF340" s="47">
        <f>AF$7</f>
        <v>1485</v>
      </c>
      <c r="AG340" s="47"/>
      <c r="AH340" s="47">
        <f>IFERROR(_xlfn.XLOOKUP(Table6[[#This Row],[Suburb]],Table5[Travel Surcharge],Table5[$$]),"")</f>
        <v>1500</v>
      </c>
      <c r="AI340" s="47"/>
      <c r="AJ340" s="47"/>
      <c r="AL340" t="str">
        <v>Grange Estate</v>
      </c>
    </row>
    <row r="341" spans="1:38">
      <c r="A341" s="374" t="s">
        <v>912</v>
      </c>
      <c r="B341" s="374">
        <v>2</v>
      </c>
      <c r="C341" s="374" t="s">
        <v>281</v>
      </c>
      <c r="D341" s="375" t="str">
        <f t="shared" si="65"/>
        <v>Armstrong Grove Estate2</v>
      </c>
      <c r="E341" s="375" t="s">
        <v>913</v>
      </c>
      <c r="F341" s="375" t="s">
        <v>7492</v>
      </c>
      <c r="G341" s="375" t="s">
        <v>7491</v>
      </c>
      <c r="H341" s="375" t="s">
        <v>7493</v>
      </c>
      <c r="I341" s="63" t="s">
        <v>7494</v>
      </c>
      <c r="J341" s="47">
        <f t="shared" si="69"/>
        <v>3740</v>
      </c>
      <c r="K341" s="46" t="s">
        <v>10735</v>
      </c>
      <c r="L341" s="47" t="s">
        <v>914</v>
      </c>
      <c r="M341" s="47"/>
      <c r="N341" s="47" t="s">
        <v>915</v>
      </c>
      <c r="O341" s="47"/>
      <c r="P341" s="47"/>
      <c r="Q341" s="47"/>
      <c r="R341" s="47"/>
      <c r="S341" s="47"/>
      <c r="T341" s="47">
        <f t="shared" si="70"/>
        <v>780</v>
      </c>
      <c r="U341" s="47"/>
      <c r="V341" s="47" t="s">
        <v>916</v>
      </c>
      <c r="W341" s="47"/>
      <c r="X341" s="47" t="s">
        <v>917</v>
      </c>
      <c r="Y341" s="47"/>
      <c r="Z341" s="47">
        <f t="shared" si="71"/>
        <v>4620</v>
      </c>
      <c r="AA341" s="47"/>
      <c r="AB341" s="47"/>
      <c r="AC341" s="47"/>
      <c r="AD341" s="47"/>
      <c r="AE341" s="47"/>
      <c r="AF341" s="47">
        <f>AF$7</f>
        <v>1485</v>
      </c>
      <c r="AG341" s="47"/>
      <c r="AH341" s="47">
        <f>IFERROR(_xlfn.XLOOKUP(Table6[[#This Row],[Suburb]],Table5[Travel Surcharge],Table5[$$]),"")</f>
        <v>1500</v>
      </c>
      <c r="AI341" s="47"/>
      <c r="AJ341" s="47"/>
      <c r="AL341" t="str">
        <v>Grass Tree Valley Estate</v>
      </c>
    </row>
    <row r="342" spans="1:38">
      <c r="A342" s="374" t="s">
        <v>918</v>
      </c>
      <c r="B342" s="374">
        <v>3</v>
      </c>
      <c r="C342" s="374" t="s">
        <v>281</v>
      </c>
      <c r="D342" s="375" t="str">
        <f t="shared" si="65"/>
        <v>Armstrong Waters Estate3</v>
      </c>
      <c r="E342" s="375" t="s">
        <v>919</v>
      </c>
      <c r="F342" s="375" t="s">
        <v>920</v>
      </c>
      <c r="G342" s="375" t="s">
        <v>921</v>
      </c>
      <c r="H342" s="375" t="s">
        <v>922</v>
      </c>
      <c r="I342" s="63" t="s">
        <v>923</v>
      </c>
      <c r="J342" s="47">
        <f t="shared" si="69"/>
        <v>3740</v>
      </c>
      <c r="K342" s="46" t="s">
        <v>10735</v>
      </c>
      <c r="L342" s="47"/>
      <c r="M342" s="47"/>
      <c r="N342" s="47"/>
      <c r="O342" s="47"/>
      <c r="P342" s="47"/>
      <c r="Q342" s="47">
        <f>Q$2</f>
        <v>0</v>
      </c>
      <c r="R342" s="47"/>
      <c r="S342" s="47"/>
      <c r="T342" s="47"/>
      <c r="U342" s="47"/>
      <c r="V342" s="47"/>
      <c r="W342" s="47"/>
      <c r="X342" s="47"/>
      <c r="Y342" s="47"/>
      <c r="Z342" s="47">
        <f t="shared" si="71"/>
        <v>4620</v>
      </c>
      <c r="AA342" s="47"/>
      <c r="AB342" s="47"/>
      <c r="AC342" s="47"/>
      <c r="AD342" s="47"/>
      <c r="AE342" s="47"/>
      <c r="AF342" s="47"/>
      <c r="AG342" s="47"/>
      <c r="AH342" s="47">
        <f>IFERROR(_xlfn.XLOOKUP(Table6[[#This Row],[Suburb]],Table5[Travel Surcharge],Table5[$$]),"")</f>
        <v>1500</v>
      </c>
      <c r="AI342" s="47"/>
      <c r="AJ342" s="47"/>
      <c r="AL342" t="str">
        <v>Gravenall</v>
      </c>
    </row>
    <row r="343" spans="1:38">
      <c r="A343" s="374" t="s">
        <v>918</v>
      </c>
      <c r="B343" s="374">
        <v>6</v>
      </c>
      <c r="C343" s="374" t="s">
        <v>281</v>
      </c>
      <c r="D343" s="375" t="str">
        <f t="shared" si="65"/>
        <v>Armstrong Waters Estate6</v>
      </c>
      <c r="E343" s="375" t="s">
        <v>924</v>
      </c>
      <c r="F343" s="375" t="s">
        <v>920</v>
      </c>
      <c r="G343" s="375" t="s">
        <v>921</v>
      </c>
      <c r="H343" s="375" t="s">
        <v>922</v>
      </c>
      <c r="I343" s="63" t="s">
        <v>923</v>
      </c>
      <c r="J343" s="47">
        <f t="shared" si="69"/>
        <v>3740</v>
      </c>
      <c r="K343" s="46" t="s">
        <v>10735</v>
      </c>
      <c r="L343" s="47"/>
      <c r="M343" s="47"/>
      <c r="N343" s="47"/>
      <c r="O343" s="47"/>
      <c r="P343" s="47"/>
      <c r="Q343" s="47">
        <f>Q$2</f>
        <v>0</v>
      </c>
      <c r="R343" s="47"/>
      <c r="S343" s="47"/>
      <c r="T343" s="47"/>
      <c r="U343" s="47"/>
      <c r="V343" s="47"/>
      <c r="W343" s="47"/>
      <c r="X343" s="47"/>
      <c r="Y343" s="47"/>
      <c r="Z343" s="47">
        <f t="shared" si="71"/>
        <v>4620</v>
      </c>
      <c r="AA343" s="47"/>
      <c r="AB343" s="47"/>
      <c r="AC343" s="47"/>
      <c r="AD343" s="47"/>
      <c r="AE343" s="47"/>
      <c r="AF343" s="47"/>
      <c r="AG343" s="47"/>
      <c r="AH343" s="47">
        <f>IFERROR(_xlfn.XLOOKUP(Table6[[#This Row],[Suburb]],Table5[Travel Surcharge],Table5[$$]),"")</f>
        <v>1500</v>
      </c>
      <c r="AI343" s="47"/>
      <c r="AJ343" s="47"/>
      <c r="AL343" t="str">
        <v>Green Valley</v>
      </c>
    </row>
    <row r="344" spans="1:38">
      <c r="A344" s="374" t="s">
        <v>918</v>
      </c>
      <c r="B344" s="374">
        <v>7</v>
      </c>
      <c r="C344" s="374" t="s">
        <v>281</v>
      </c>
      <c r="D344" s="375" t="str">
        <f t="shared" si="65"/>
        <v>Armstrong Waters Estate7</v>
      </c>
      <c r="E344" s="375" t="s">
        <v>925</v>
      </c>
      <c r="F344" s="375" t="s">
        <v>920</v>
      </c>
      <c r="G344" s="375" t="s">
        <v>921</v>
      </c>
      <c r="H344" s="375" t="s">
        <v>922</v>
      </c>
      <c r="I344" s="63" t="s">
        <v>923</v>
      </c>
      <c r="J344" s="47">
        <f t="shared" si="69"/>
        <v>3740</v>
      </c>
      <c r="K344" s="46" t="s">
        <v>10735</v>
      </c>
      <c r="L344" s="47"/>
      <c r="M344" s="47"/>
      <c r="N344" s="47"/>
      <c r="O344" s="47"/>
      <c r="P344" s="47"/>
      <c r="Q344" s="47">
        <f>Q$2</f>
        <v>0</v>
      </c>
      <c r="R344" s="47"/>
      <c r="S344" s="47"/>
      <c r="T344" s="47"/>
      <c r="U344" s="47"/>
      <c r="V344" s="47"/>
      <c r="W344" s="47"/>
      <c r="X344" s="47"/>
      <c r="Y344" s="47"/>
      <c r="Z344" s="47">
        <f t="shared" si="71"/>
        <v>4620</v>
      </c>
      <c r="AA344" s="47"/>
      <c r="AB344" s="47"/>
      <c r="AC344" s="47"/>
      <c r="AD344" s="47"/>
      <c r="AE344" s="47"/>
      <c r="AF344" s="47"/>
      <c r="AG344" s="47"/>
      <c r="AH344" s="47">
        <f>IFERROR(_xlfn.XLOOKUP(Table6[[#This Row],[Suburb]],Table5[Travel Surcharge],Table5[$$]),"")</f>
        <v>1500</v>
      </c>
      <c r="AI344" s="47"/>
      <c r="AJ344" s="47"/>
      <c r="AL344" t="str">
        <v xml:space="preserve">Green Village </v>
      </c>
    </row>
    <row r="345" spans="1:38">
      <c r="A345" s="374" t="s">
        <v>918</v>
      </c>
      <c r="B345" s="374">
        <v>8</v>
      </c>
      <c r="C345" s="374" t="s">
        <v>281</v>
      </c>
      <c r="D345" s="375" t="str">
        <f t="shared" si="65"/>
        <v>Armstrong Waters Estate8</v>
      </c>
      <c r="E345" s="375" t="s">
        <v>926</v>
      </c>
      <c r="F345" s="375" t="s">
        <v>920</v>
      </c>
      <c r="G345" s="375" t="s">
        <v>921</v>
      </c>
      <c r="H345" s="375" t="s">
        <v>922</v>
      </c>
      <c r="I345" s="63" t="s">
        <v>923</v>
      </c>
      <c r="J345" s="47">
        <f t="shared" si="69"/>
        <v>3740</v>
      </c>
      <c r="K345" s="46" t="s">
        <v>10735</v>
      </c>
      <c r="L345" s="47"/>
      <c r="M345" s="47"/>
      <c r="N345" s="47"/>
      <c r="O345" s="47"/>
      <c r="P345" s="47"/>
      <c r="Q345" s="47">
        <f>Q$2</f>
        <v>0</v>
      </c>
      <c r="R345" s="47"/>
      <c r="S345" s="47"/>
      <c r="T345" s="47"/>
      <c r="U345" s="47"/>
      <c r="V345" s="47"/>
      <c r="W345" s="47"/>
      <c r="X345" s="47"/>
      <c r="Y345" s="47"/>
      <c r="Z345" s="47">
        <f t="shared" si="71"/>
        <v>4620</v>
      </c>
      <c r="AA345" s="47"/>
      <c r="AB345" s="47"/>
      <c r="AC345" s="47"/>
      <c r="AD345" s="47"/>
      <c r="AE345" s="47"/>
      <c r="AF345" s="47"/>
      <c r="AG345" s="47"/>
      <c r="AH345" s="47">
        <f>IFERROR(_xlfn.XLOOKUP(Table6[[#This Row],[Suburb]],Table5[Travel Surcharge],Table5[$$]),"")</f>
        <v>1500</v>
      </c>
      <c r="AI345" s="47"/>
      <c r="AJ345" s="47"/>
      <c r="AL345" t="str">
        <v>Greenvale Central Estate</v>
      </c>
    </row>
    <row r="346" spans="1:38">
      <c r="A346" s="374" t="s">
        <v>927</v>
      </c>
      <c r="B346" s="374">
        <v>15</v>
      </c>
      <c r="C346" s="374" t="s">
        <v>928</v>
      </c>
      <c r="D346" s="375" t="str">
        <f t="shared" si="65"/>
        <v>Arnolds Creek Estate15</v>
      </c>
      <c r="E346" s="375" t="s">
        <v>929</v>
      </c>
      <c r="F346" s="375" t="s">
        <v>930</v>
      </c>
      <c r="G346" s="375" t="s">
        <v>931</v>
      </c>
      <c r="H346" s="375" t="s">
        <v>932</v>
      </c>
      <c r="I346" s="63" t="s">
        <v>933</v>
      </c>
      <c r="J346" s="47"/>
      <c r="K346" s="46" t="s">
        <v>10735</v>
      </c>
      <c r="L346" s="47"/>
      <c r="M346" s="47"/>
      <c r="N346" s="47"/>
      <c r="O346" s="47"/>
      <c r="P346" s="47"/>
      <c r="Q346" s="47"/>
      <c r="R346" s="47"/>
      <c r="S346" s="47"/>
      <c r="T346" s="47">
        <f t="shared" ref="T346:T354" si="72">T$2</f>
        <v>780</v>
      </c>
      <c r="U346" s="47"/>
      <c r="V346" s="47"/>
      <c r="W346" s="47"/>
      <c r="X346" s="47"/>
      <c r="Y346" s="47"/>
      <c r="Z346" s="47">
        <f t="shared" si="71"/>
        <v>4620</v>
      </c>
      <c r="AA346" s="47"/>
      <c r="AB346" s="47"/>
      <c r="AC346" s="47"/>
      <c r="AD346" s="47"/>
      <c r="AE346" s="47"/>
      <c r="AF346" s="47"/>
      <c r="AG346" s="47"/>
      <c r="AH346" s="47" t="str">
        <f>IFERROR(_xlfn.XLOOKUP(Table6[[#This Row],[Suburb]],Table5[Travel Surcharge],Table5[$$]),"")</f>
        <v/>
      </c>
      <c r="AI346" s="47"/>
      <c r="AJ346" s="47"/>
      <c r="AL346" t="str">
        <v>Greenvale Gardens Estate</v>
      </c>
    </row>
    <row r="347" spans="1:38">
      <c r="A347" s="374" t="s">
        <v>927</v>
      </c>
      <c r="B347" s="374">
        <v>21</v>
      </c>
      <c r="C347" s="374" t="s">
        <v>928</v>
      </c>
      <c r="D347" s="375" t="str">
        <f t="shared" si="65"/>
        <v>Arnolds Creek Estate21</v>
      </c>
      <c r="E347" s="375" t="s">
        <v>934</v>
      </c>
      <c r="F347" s="375" t="s">
        <v>930</v>
      </c>
      <c r="G347" s="375" t="s">
        <v>931</v>
      </c>
      <c r="H347" s="375" t="s">
        <v>932</v>
      </c>
      <c r="I347" s="63" t="s">
        <v>933</v>
      </c>
      <c r="J347" s="47"/>
      <c r="K347" s="46" t="s">
        <v>10735</v>
      </c>
      <c r="L347" s="47"/>
      <c r="M347" s="47"/>
      <c r="N347" s="47"/>
      <c r="O347" s="47"/>
      <c r="P347" s="47"/>
      <c r="Q347" s="47"/>
      <c r="R347" s="47"/>
      <c r="S347" s="47"/>
      <c r="T347" s="47">
        <f t="shared" si="72"/>
        <v>780</v>
      </c>
      <c r="U347" s="47"/>
      <c r="V347" s="47"/>
      <c r="W347" s="47"/>
      <c r="X347" s="47"/>
      <c r="Y347" s="47"/>
      <c r="Z347" s="47">
        <f t="shared" si="71"/>
        <v>4620</v>
      </c>
      <c r="AA347" s="47"/>
      <c r="AB347" s="47"/>
      <c r="AC347" s="47"/>
      <c r="AD347" s="47"/>
      <c r="AE347" s="47"/>
      <c r="AF347" s="47"/>
      <c r="AG347" s="47"/>
      <c r="AH347" s="47" t="str">
        <f>IFERROR(_xlfn.XLOOKUP(Table6[[#This Row],[Suburb]],Table5[Travel Surcharge],Table5[$$]),"")</f>
        <v/>
      </c>
      <c r="AI347" s="47"/>
      <c r="AJ347" s="47"/>
      <c r="AL347" t="str">
        <v>Greenvale Lakes Estate</v>
      </c>
    </row>
    <row r="348" spans="1:38">
      <c r="A348" s="374" t="s">
        <v>927</v>
      </c>
      <c r="B348" s="374">
        <v>28</v>
      </c>
      <c r="C348" s="374" t="s">
        <v>928</v>
      </c>
      <c r="D348" s="375" t="str">
        <f t="shared" si="65"/>
        <v>Arnolds Creek Estate28</v>
      </c>
      <c r="E348" s="375" t="s">
        <v>935</v>
      </c>
      <c r="F348" s="375" t="s">
        <v>930</v>
      </c>
      <c r="G348" s="375" t="s">
        <v>931</v>
      </c>
      <c r="H348" s="375" t="s">
        <v>932</v>
      </c>
      <c r="I348" s="63" t="s">
        <v>933</v>
      </c>
      <c r="J348" s="47"/>
      <c r="K348" s="46" t="s">
        <v>10735</v>
      </c>
      <c r="L348" s="47"/>
      <c r="M348" s="47"/>
      <c r="N348" s="47"/>
      <c r="O348" s="47"/>
      <c r="P348" s="47"/>
      <c r="Q348" s="47"/>
      <c r="R348" s="47"/>
      <c r="S348" s="47"/>
      <c r="T348" s="47">
        <f t="shared" si="72"/>
        <v>780</v>
      </c>
      <c r="U348" s="47"/>
      <c r="V348" s="47"/>
      <c r="W348" s="47"/>
      <c r="X348" s="47"/>
      <c r="Y348" s="47"/>
      <c r="Z348" s="47">
        <f t="shared" si="71"/>
        <v>4620</v>
      </c>
      <c r="AA348" s="47"/>
      <c r="AB348" s="47"/>
      <c r="AC348" s="47"/>
      <c r="AD348" s="47"/>
      <c r="AE348" s="47"/>
      <c r="AF348" s="47"/>
      <c r="AG348" s="47"/>
      <c r="AH348" s="47" t="str">
        <f>IFERROR(_xlfn.XLOOKUP(Table6[[#This Row],[Suburb]],Table5[Travel Surcharge],Table5[$$]),"")</f>
        <v/>
      </c>
      <c r="AI348" s="47"/>
      <c r="AJ348" s="47"/>
      <c r="AL348" t="str">
        <v>Greenview Estate</v>
      </c>
    </row>
    <row r="349" spans="1:38">
      <c r="A349" s="374" t="s">
        <v>927</v>
      </c>
      <c r="B349" s="374">
        <v>29</v>
      </c>
      <c r="C349" s="374" t="s">
        <v>928</v>
      </c>
      <c r="D349" s="375" t="str">
        <f t="shared" si="65"/>
        <v>Arnolds Creek Estate29</v>
      </c>
      <c r="E349" s="375" t="s">
        <v>936</v>
      </c>
      <c r="F349" s="375" t="s">
        <v>930</v>
      </c>
      <c r="G349" s="375" t="s">
        <v>931</v>
      </c>
      <c r="H349" s="375" t="s">
        <v>932</v>
      </c>
      <c r="I349" s="63" t="s">
        <v>933</v>
      </c>
      <c r="J349" s="47"/>
      <c r="K349" s="46" t="s">
        <v>10735</v>
      </c>
      <c r="L349" s="47"/>
      <c r="M349" s="47"/>
      <c r="N349" s="47"/>
      <c r="O349" s="47"/>
      <c r="P349" s="47"/>
      <c r="Q349" s="47"/>
      <c r="R349" s="47"/>
      <c r="S349" s="47"/>
      <c r="T349" s="47">
        <f t="shared" si="72"/>
        <v>780</v>
      </c>
      <c r="U349" s="47"/>
      <c r="V349" s="47"/>
      <c r="W349" s="47"/>
      <c r="X349" s="47"/>
      <c r="Y349" s="47"/>
      <c r="Z349" s="47">
        <f t="shared" si="71"/>
        <v>4620</v>
      </c>
      <c r="AA349" s="47"/>
      <c r="AB349" s="47"/>
      <c r="AC349" s="47"/>
      <c r="AD349" s="47"/>
      <c r="AE349" s="47"/>
      <c r="AF349" s="47"/>
      <c r="AG349" s="47"/>
      <c r="AH349" s="47" t="str">
        <f>IFERROR(_xlfn.XLOOKUP(Table6[[#This Row],[Suburb]],Table5[Travel Surcharge],Table5[$$]),"")</f>
        <v/>
      </c>
      <c r="AI349" s="47"/>
      <c r="AJ349" s="47"/>
      <c r="AL349" t="str">
        <v>Greenwich - Botanic</v>
      </c>
    </row>
    <row r="350" spans="1:38">
      <c r="A350" s="374" t="s">
        <v>927</v>
      </c>
      <c r="B350" s="374">
        <v>30</v>
      </c>
      <c r="C350" s="374" t="s">
        <v>928</v>
      </c>
      <c r="D350" s="375" t="str">
        <f t="shared" si="65"/>
        <v>Arnolds Creek Estate30</v>
      </c>
      <c r="E350" s="375" t="s">
        <v>937</v>
      </c>
      <c r="F350" s="375" t="s">
        <v>930</v>
      </c>
      <c r="G350" s="375" t="s">
        <v>931</v>
      </c>
      <c r="H350" s="375" t="s">
        <v>932</v>
      </c>
      <c r="I350" s="63" t="s">
        <v>933</v>
      </c>
      <c r="J350" s="47"/>
      <c r="K350" s="46" t="s">
        <v>10735</v>
      </c>
      <c r="L350" s="47"/>
      <c r="M350" s="47"/>
      <c r="N350" s="47"/>
      <c r="O350" s="47"/>
      <c r="P350" s="47"/>
      <c r="Q350" s="47"/>
      <c r="R350" s="47"/>
      <c r="S350" s="47"/>
      <c r="T350" s="47">
        <f t="shared" si="72"/>
        <v>780</v>
      </c>
      <c r="U350" s="47"/>
      <c r="V350" s="47"/>
      <c r="W350" s="47"/>
      <c r="X350" s="47"/>
      <c r="Y350" s="47"/>
      <c r="Z350" s="47">
        <f t="shared" si="71"/>
        <v>4620</v>
      </c>
      <c r="AA350" s="47"/>
      <c r="AB350" s="47"/>
      <c r="AC350" s="47"/>
      <c r="AD350" s="47"/>
      <c r="AE350" s="47"/>
      <c r="AF350" s="47"/>
      <c r="AG350" s="47"/>
      <c r="AH350" s="47" t="str">
        <f>IFERROR(_xlfn.XLOOKUP(Table6[[#This Row],[Suburb]],Table5[Travel Surcharge],Table5[$$]),"")</f>
        <v/>
      </c>
      <c r="AI350" s="47"/>
      <c r="AJ350" s="47"/>
      <c r="AL350" t="str">
        <v>Greenwich - Cranbourne East</v>
      </c>
    </row>
    <row r="351" spans="1:38">
      <c r="A351" s="374" t="s">
        <v>927</v>
      </c>
      <c r="B351" s="374">
        <v>31</v>
      </c>
      <c r="C351" s="374" t="s">
        <v>928</v>
      </c>
      <c r="D351" s="375" t="str">
        <f t="shared" si="65"/>
        <v>Arnolds Creek Estate31</v>
      </c>
      <c r="E351" s="375" t="s">
        <v>938</v>
      </c>
      <c r="F351" s="375" t="s">
        <v>930</v>
      </c>
      <c r="G351" s="375" t="s">
        <v>931</v>
      </c>
      <c r="H351" s="375" t="s">
        <v>932</v>
      </c>
      <c r="I351" s="63" t="s">
        <v>933</v>
      </c>
      <c r="J351" s="47"/>
      <c r="K351" s="46" t="s">
        <v>10735</v>
      </c>
      <c r="L351" s="47"/>
      <c r="M351" s="47"/>
      <c r="N351" s="47"/>
      <c r="O351" s="47"/>
      <c r="P351" s="47"/>
      <c r="Q351" s="47"/>
      <c r="R351" s="47"/>
      <c r="S351" s="47"/>
      <c r="T351" s="47">
        <f t="shared" si="72"/>
        <v>780</v>
      </c>
      <c r="U351" s="47"/>
      <c r="V351" s="47"/>
      <c r="W351" s="47"/>
      <c r="X351" s="47"/>
      <c r="Y351" s="47"/>
      <c r="Z351" s="47">
        <f t="shared" si="71"/>
        <v>4620</v>
      </c>
      <c r="AA351" s="47"/>
      <c r="AB351" s="47"/>
      <c r="AC351" s="47"/>
      <c r="AD351" s="47"/>
      <c r="AE351" s="47"/>
      <c r="AF351" s="47"/>
      <c r="AG351" s="47"/>
      <c r="AH351" s="47" t="str">
        <f>IFERROR(_xlfn.XLOOKUP(Table6[[#This Row],[Suburb]],Table5[Travel Surcharge],Table5[$$]),"")</f>
        <v/>
      </c>
      <c r="AI351" s="47"/>
      <c r="AJ351" s="47"/>
      <c r="AL351" t="str">
        <v>Greenwood</v>
      </c>
    </row>
    <row r="352" spans="1:38">
      <c r="A352" s="374" t="s">
        <v>927</v>
      </c>
      <c r="B352" s="374">
        <v>32</v>
      </c>
      <c r="C352" s="374" t="s">
        <v>928</v>
      </c>
      <c r="D352" s="375" t="str">
        <f t="shared" si="65"/>
        <v>Arnolds Creek Estate32</v>
      </c>
      <c r="E352" s="375" t="s">
        <v>939</v>
      </c>
      <c r="F352" s="375" t="s">
        <v>930</v>
      </c>
      <c r="G352" s="375" t="s">
        <v>931</v>
      </c>
      <c r="H352" s="375" t="s">
        <v>932</v>
      </c>
      <c r="I352" s="63" t="s">
        <v>933</v>
      </c>
      <c r="J352" s="47"/>
      <c r="K352" s="46" t="s">
        <v>10735</v>
      </c>
      <c r="L352" s="47"/>
      <c r="M352" s="47"/>
      <c r="N352" s="47"/>
      <c r="O352" s="47"/>
      <c r="P352" s="47"/>
      <c r="Q352" s="47"/>
      <c r="R352" s="47"/>
      <c r="S352" s="47"/>
      <c r="T352" s="47">
        <f t="shared" si="72"/>
        <v>780</v>
      </c>
      <c r="U352" s="47"/>
      <c r="V352" s="47"/>
      <c r="W352" s="47"/>
      <c r="X352" s="47"/>
      <c r="Y352" s="47"/>
      <c r="Z352" s="47">
        <f t="shared" si="71"/>
        <v>4620</v>
      </c>
      <c r="AA352" s="47"/>
      <c r="AB352" s="47"/>
      <c r="AC352" s="47"/>
      <c r="AD352" s="47"/>
      <c r="AE352" s="47"/>
      <c r="AF352" s="47"/>
      <c r="AG352" s="47"/>
      <c r="AH352" s="47" t="str">
        <f>IFERROR(_xlfn.XLOOKUP(Table6[[#This Row],[Suburb]],Table5[Travel Surcharge],Table5[$$]),"")</f>
        <v/>
      </c>
      <c r="AI352" s="47"/>
      <c r="AJ352" s="47"/>
      <c r="AL352" t="str">
        <v>Grow Estate</v>
      </c>
    </row>
    <row r="353" spans="1:39">
      <c r="A353" s="374" t="s">
        <v>927</v>
      </c>
      <c r="B353" s="374">
        <v>33</v>
      </c>
      <c r="C353" s="374" t="s">
        <v>928</v>
      </c>
      <c r="D353" s="375" t="str">
        <f t="shared" si="65"/>
        <v>Arnolds Creek Estate33</v>
      </c>
      <c r="E353" s="375" t="s">
        <v>940</v>
      </c>
      <c r="F353" s="375" t="s">
        <v>930</v>
      </c>
      <c r="G353" s="375" t="s">
        <v>931</v>
      </c>
      <c r="H353" s="375" t="s">
        <v>932</v>
      </c>
      <c r="I353" s="63" t="s">
        <v>933</v>
      </c>
      <c r="J353" s="47"/>
      <c r="K353" s="46" t="s">
        <v>10735</v>
      </c>
      <c r="L353" s="47"/>
      <c r="M353" s="47"/>
      <c r="N353" s="47"/>
      <c r="O353" s="47"/>
      <c r="P353" s="47"/>
      <c r="Q353" s="47"/>
      <c r="R353" s="47"/>
      <c r="S353" s="47"/>
      <c r="T353" s="47">
        <f t="shared" si="72"/>
        <v>780</v>
      </c>
      <c r="U353" s="47"/>
      <c r="V353" s="47"/>
      <c r="W353" s="47"/>
      <c r="X353" s="47"/>
      <c r="Y353" s="47"/>
      <c r="Z353" s="47">
        <f t="shared" si="71"/>
        <v>4620</v>
      </c>
      <c r="AA353" s="47"/>
      <c r="AB353" s="47"/>
      <c r="AC353" s="47"/>
      <c r="AD353" s="47"/>
      <c r="AE353" s="47"/>
      <c r="AF353" s="47"/>
      <c r="AG353" s="47"/>
      <c r="AH353" s="47" t="str">
        <f>IFERROR(_xlfn.XLOOKUP(Table6[[#This Row],[Suburb]],Table5[Travel Surcharge],Table5[$$]),"")</f>
        <v/>
      </c>
      <c r="AI353" s="47"/>
      <c r="AJ353" s="47"/>
      <c r="AL353" t="str">
        <v>Gumtree Estate</v>
      </c>
    </row>
    <row r="354" spans="1:39">
      <c r="A354" s="374" t="s">
        <v>927</v>
      </c>
      <c r="B354" s="374">
        <v>35</v>
      </c>
      <c r="C354" s="374" t="s">
        <v>928</v>
      </c>
      <c r="D354" s="375" t="str">
        <f t="shared" si="65"/>
        <v>Arnolds Creek Estate35</v>
      </c>
      <c r="E354" s="375" t="s">
        <v>941</v>
      </c>
      <c r="F354" s="375" t="s">
        <v>930</v>
      </c>
      <c r="G354" s="375" t="s">
        <v>931</v>
      </c>
      <c r="H354" s="375" t="s">
        <v>932</v>
      </c>
      <c r="I354" s="63" t="s">
        <v>933</v>
      </c>
      <c r="J354" s="47"/>
      <c r="K354" s="46" t="s">
        <v>10735</v>
      </c>
      <c r="L354" s="47"/>
      <c r="M354" s="47"/>
      <c r="N354" s="47"/>
      <c r="O354" s="47"/>
      <c r="P354" s="47"/>
      <c r="Q354" s="47"/>
      <c r="R354" s="47"/>
      <c r="S354" s="47"/>
      <c r="T354" s="47">
        <f t="shared" si="72"/>
        <v>780</v>
      </c>
      <c r="U354" s="47"/>
      <c r="V354" s="47"/>
      <c r="W354" s="47"/>
      <c r="X354" s="47"/>
      <c r="Y354" s="47"/>
      <c r="Z354" s="47">
        <f t="shared" si="71"/>
        <v>4620</v>
      </c>
      <c r="AA354" s="47"/>
      <c r="AB354" s="47"/>
      <c r="AC354" s="47"/>
      <c r="AD354" s="47"/>
      <c r="AE354" s="47"/>
      <c r="AF354" s="47"/>
      <c r="AG354" s="47"/>
      <c r="AH354" s="47" t="str">
        <f>IFERROR(_xlfn.XLOOKUP(Table6[[#This Row],[Suburb]],Table5[Travel Surcharge],Table5[$$]),"")</f>
        <v/>
      </c>
      <c r="AI354" s="47"/>
      <c r="AJ354" s="47"/>
      <c r="AL354" t="str">
        <v>Habitat Estate - Cranbourne East</v>
      </c>
    </row>
    <row r="355" spans="1:39">
      <c r="A355" s="374" t="s">
        <v>942</v>
      </c>
      <c r="B355" s="374">
        <v>1</v>
      </c>
      <c r="C355" s="374" t="s">
        <v>455</v>
      </c>
      <c r="D355" s="375" t="str">
        <f t="shared" si="65"/>
        <v>Arramont Estate1</v>
      </c>
      <c r="E355" s="375" t="s">
        <v>943</v>
      </c>
      <c r="F355" s="375" t="s">
        <v>766</v>
      </c>
      <c r="G355" s="375" t="s">
        <v>944</v>
      </c>
      <c r="H355" s="375" t="s">
        <v>945</v>
      </c>
      <c r="I355" s="63" t="s">
        <v>946</v>
      </c>
      <c r="J355" s="47">
        <f t="shared" ref="J355:J371" si="73">J$7</f>
        <v>3740</v>
      </c>
      <c r="K355" s="46" t="s">
        <v>7938</v>
      </c>
      <c r="L355" s="47"/>
      <c r="M355" s="47">
        <f t="shared" ref="M355:M371" si="74">M$7</f>
        <v>1430.0000000000002</v>
      </c>
      <c r="N355" s="47"/>
      <c r="O355" s="47"/>
      <c r="P355" s="47"/>
      <c r="Q355" s="47"/>
      <c r="R355" s="47"/>
      <c r="S355" s="47"/>
      <c r="T355" s="47"/>
      <c r="U355" s="47">
        <f t="shared" ref="U355:U371" si="75">U$2</f>
        <v>430</v>
      </c>
      <c r="V355" s="47"/>
      <c r="W355" s="47"/>
      <c r="X355" s="47"/>
      <c r="Y355" s="47"/>
      <c r="Z355" s="47">
        <f t="shared" si="71"/>
        <v>4620</v>
      </c>
      <c r="AA355" s="47">
        <f t="shared" ref="AA355:AA371" si="76">AA$7</f>
        <v>1400</v>
      </c>
      <c r="AB355" s="47"/>
      <c r="AC355" s="47"/>
      <c r="AD355" s="47"/>
      <c r="AE355" s="47"/>
      <c r="AF355" s="47"/>
      <c r="AG355" s="47" t="s">
        <v>464</v>
      </c>
      <c r="AH355" s="47" t="str">
        <f>IFERROR(_xlfn.XLOOKUP(Table6[[#This Row],[Suburb]],Table5[Travel Surcharge],Table5[$$]),"")</f>
        <v/>
      </c>
      <c r="AI355" s="47"/>
      <c r="AJ355" s="47"/>
      <c r="AL355" t="str">
        <v>Habitat Estate - Tarneit</v>
      </c>
    </row>
    <row r="356" spans="1:39">
      <c r="A356" s="374" t="s">
        <v>942</v>
      </c>
      <c r="B356" s="374">
        <v>2</v>
      </c>
      <c r="C356" s="374" t="s">
        <v>455</v>
      </c>
      <c r="D356" s="375" t="str">
        <f t="shared" si="65"/>
        <v>Arramont Estate2</v>
      </c>
      <c r="E356" s="375" t="s">
        <v>947</v>
      </c>
      <c r="F356" s="375" t="s">
        <v>766</v>
      </c>
      <c r="G356" s="375" t="s">
        <v>944</v>
      </c>
      <c r="H356" s="375" t="s">
        <v>945</v>
      </c>
      <c r="I356" s="63" t="s">
        <v>946</v>
      </c>
      <c r="J356" s="47">
        <f t="shared" si="73"/>
        <v>3740</v>
      </c>
      <c r="K356" s="46" t="s">
        <v>7938</v>
      </c>
      <c r="L356" s="47"/>
      <c r="M356" s="47">
        <f t="shared" si="74"/>
        <v>1430.0000000000002</v>
      </c>
      <c r="N356" s="47"/>
      <c r="O356" s="47"/>
      <c r="P356" s="47"/>
      <c r="Q356" s="47"/>
      <c r="R356" s="47"/>
      <c r="S356" s="47"/>
      <c r="T356" s="47"/>
      <c r="U356" s="47">
        <f t="shared" si="75"/>
        <v>430</v>
      </c>
      <c r="V356" s="47"/>
      <c r="W356" s="47"/>
      <c r="X356" s="47"/>
      <c r="Y356" s="47"/>
      <c r="Z356" s="47">
        <f t="shared" si="71"/>
        <v>4620</v>
      </c>
      <c r="AA356" s="47">
        <f t="shared" si="76"/>
        <v>1400</v>
      </c>
      <c r="AB356" s="47"/>
      <c r="AC356" s="47"/>
      <c r="AD356" s="47"/>
      <c r="AE356" s="47"/>
      <c r="AF356" s="47"/>
      <c r="AG356" s="47" t="s">
        <v>464</v>
      </c>
      <c r="AH356" s="47" t="str">
        <f>IFERROR(_xlfn.XLOOKUP(Table6[[#This Row],[Suburb]],Table5[Travel Surcharge],Table5[$$]),"")</f>
        <v/>
      </c>
      <c r="AI356" s="47"/>
      <c r="AJ356" s="47"/>
      <c r="AL356" t="str">
        <v>Hamilton Heights</v>
      </c>
    </row>
    <row r="357" spans="1:39">
      <c r="A357" s="374" t="s">
        <v>942</v>
      </c>
      <c r="B357" s="374">
        <v>4</v>
      </c>
      <c r="C357" s="374" t="s">
        <v>455</v>
      </c>
      <c r="D357" s="375" t="str">
        <f t="shared" si="65"/>
        <v>Arramont Estate4</v>
      </c>
      <c r="E357" s="375" t="s">
        <v>948</v>
      </c>
      <c r="F357" s="375" t="s">
        <v>766</v>
      </c>
      <c r="G357" s="375" t="s">
        <v>944</v>
      </c>
      <c r="H357" s="375" t="s">
        <v>945</v>
      </c>
      <c r="I357" s="63" t="s">
        <v>946</v>
      </c>
      <c r="J357" s="47">
        <f t="shared" si="73"/>
        <v>3740</v>
      </c>
      <c r="K357" s="46" t="s">
        <v>7938</v>
      </c>
      <c r="L357" s="47"/>
      <c r="M357" s="47">
        <f t="shared" si="74"/>
        <v>1430.0000000000002</v>
      </c>
      <c r="N357" s="47"/>
      <c r="O357" s="47"/>
      <c r="P357" s="47"/>
      <c r="Q357" s="47"/>
      <c r="R357" s="47"/>
      <c r="S357" s="47"/>
      <c r="T357" s="47"/>
      <c r="U357" s="47">
        <f t="shared" si="75"/>
        <v>430</v>
      </c>
      <c r="V357" s="47"/>
      <c r="W357" s="47"/>
      <c r="X357" s="47"/>
      <c r="Y357" s="47"/>
      <c r="Z357" s="47">
        <f t="shared" si="71"/>
        <v>4620</v>
      </c>
      <c r="AA357" s="47">
        <f t="shared" si="76"/>
        <v>1400</v>
      </c>
      <c r="AB357" s="47"/>
      <c r="AC357" s="47"/>
      <c r="AD357" s="47"/>
      <c r="AE357" s="47"/>
      <c r="AF357" s="47"/>
      <c r="AG357" s="47" t="s">
        <v>464</v>
      </c>
      <c r="AH357" s="47" t="str">
        <f>IFERROR(_xlfn.XLOOKUP(Table6[[#This Row],[Suburb]],Table5[Travel Surcharge],Table5[$$]),"")</f>
        <v/>
      </c>
      <c r="AI357" s="47"/>
      <c r="AJ357" s="47"/>
      <c r="AL357" t="str">
        <v>Hamilton Rise Estate</v>
      </c>
    </row>
    <row r="358" spans="1:39">
      <c r="A358" s="374" t="s">
        <v>942</v>
      </c>
      <c r="B358" s="374">
        <v>5</v>
      </c>
      <c r="C358" s="374" t="s">
        <v>455</v>
      </c>
      <c r="D358" s="375" t="str">
        <f t="shared" si="65"/>
        <v>Arramont Estate5</v>
      </c>
      <c r="E358" s="375" t="s">
        <v>949</v>
      </c>
      <c r="F358" s="375" t="s">
        <v>766</v>
      </c>
      <c r="G358" s="375" t="s">
        <v>944</v>
      </c>
      <c r="H358" s="375" t="s">
        <v>945</v>
      </c>
      <c r="I358" s="63" t="s">
        <v>946</v>
      </c>
      <c r="J358" s="47">
        <f t="shared" si="73"/>
        <v>3740</v>
      </c>
      <c r="K358" s="46" t="s">
        <v>7938</v>
      </c>
      <c r="L358" s="47"/>
      <c r="M358" s="47">
        <f t="shared" si="74"/>
        <v>1430.0000000000002</v>
      </c>
      <c r="N358" s="47"/>
      <c r="O358" s="47"/>
      <c r="P358" s="47"/>
      <c r="Q358" s="47"/>
      <c r="R358" s="47"/>
      <c r="S358" s="47"/>
      <c r="T358" s="47"/>
      <c r="U358" s="47">
        <f t="shared" si="75"/>
        <v>430</v>
      </c>
      <c r="V358" s="47"/>
      <c r="W358" s="47"/>
      <c r="X358" s="47"/>
      <c r="Y358" s="47"/>
      <c r="Z358" s="47">
        <f t="shared" si="71"/>
        <v>4620</v>
      </c>
      <c r="AA358" s="47">
        <f t="shared" si="76"/>
        <v>1400</v>
      </c>
      <c r="AB358" s="47"/>
      <c r="AC358" s="47"/>
      <c r="AD358" s="47"/>
      <c r="AE358" s="47"/>
      <c r="AF358" s="47"/>
      <c r="AG358" s="47" t="s">
        <v>464</v>
      </c>
      <c r="AH358" s="47" t="str">
        <f>IFERROR(_xlfn.XLOOKUP(Table6[[#This Row],[Suburb]],Table5[Travel Surcharge],Table5[$$]),"")</f>
        <v/>
      </c>
      <c r="AI358" s="47"/>
      <c r="AJ358" s="47"/>
      <c r="AL358" t="str">
        <v>Hamlet Estate</v>
      </c>
    </row>
    <row r="359" spans="1:39">
      <c r="A359" s="374" t="s">
        <v>942</v>
      </c>
      <c r="B359" s="374">
        <v>6</v>
      </c>
      <c r="C359" s="374" t="s">
        <v>455</v>
      </c>
      <c r="D359" s="375" t="str">
        <f t="shared" si="65"/>
        <v>Arramont Estate6</v>
      </c>
      <c r="E359" s="375" t="s">
        <v>950</v>
      </c>
      <c r="F359" s="375" t="s">
        <v>766</v>
      </c>
      <c r="G359" s="375" t="s">
        <v>944</v>
      </c>
      <c r="H359" s="375" t="s">
        <v>945</v>
      </c>
      <c r="I359" s="63" t="s">
        <v>946</v>
      </c>
      <c r="J359" s="47">
        <f t="shared" si="73"/>
        <v>3740</v>
      </c>
      <c r="K359" s="46" t="s">
        <v>7938</v>
      </c>
      <c r="L359" s="47"/>
      <c r="M359" s="47">
        <f t="shared" si="74"/>
        <v>1430.0000000000002</v>
      </c>
      <c r="N359" s="47"/>
      <c r="O359" s="47"/>
      <c r="P359" s="47"/>
      <c r="Q359" s="47"/>
      <c r="R359" s="47"/>
      <c r="S359" s="47"/>
      <c r="T359" s="47"/>
      <c r="U359" s="47">
        <f t="shared" si="75"/>
        <v>430</v>
      </c>
      <c r="V359" s="47"/>
      <c r="W359" s="47"/>
      <c r="X359" s="47"/>
      <c r="Y359" s="47"/>
      <c r="Z359" s="47">
        <f t="shared" si="71"/>
        <v>4620</v>
      </c>
      <c r="AA359" s="47">
        <f t="shared" si="76"/>
        <v>1400</v>
      </c>
      <c r="AB359" s="47"/>
      <c r="AC359" s="47"/>
      <c r="AD359" s="47"/>
      <c r="AE359" s="47"/>
      <c r="AF359" s="47"/>
      <c r="AG359" s="47" t="s">
        <v>464</v>
      </c>
      <c r="AH359" s="47" t="str">
        <f>IFERROR(_xlfn.XLOOKUP(Table6[[#This Row],[Suburb]],Table5[Travel Surcharge],Table5[$$]),"")</f>
        <v/>
      </c>
      <c r="AI359" s="47"/>
      <c r="AJ359" s="47"/>
      <c r="AL359" t="str">
        <v>Harcrest Estate</v>
      </c>
    </row>
    <row r="360" spans="1:39">
      <c r="A360" s="374" t="s">
        <v>942</v>
      </c>
      <c r="B360" s="374">
        <v>7</v>
      </c>
      <c r="C360" s="374" t="s">
        <v>455</v>
      </c>
      <c r="D360" s="375" t="str">
        <f t="shared" si="65"/>
        <v>Arramont Estate7</v>
      </c>
      <c r="E360" s="375" t="s">
        <v>951</v>
      </c>
      <c r="F360" s="375" t="s">
        <v>766</v>
      </c>
      <c r="G360" s="375" t="s">
        <v>944</v>
      </c>
      <c r="H360" s="375" t="s">
        <v>945</v>
      </c>
      <c r="I360" s="63" t="s">
        <v>946</v>
      </c>
      <c r="J360" s="47">
        <f t="shared" si="73"/>
        <v>3740</v>
      </c>
      <c r="K360" s="46" t="s">
        <v>7938</v>
      </c>
      <c r="L360" s="47"/>
      <c r="M360" s="47">
        <f t="shared" si="74"/>
        <v>1430.0000000000002</v>
      </c>
      <c r="N360" s="47"/>
      <c r="O360" s="47"/>
      <c r="P360" s="47"/>
      <c r="Q360" s="47"/>
      <c r="R360" s="47"/>
      <c r="S360" s="47"/>
      <c r="T360" s="47"/>
      <c r="U360" s="47">
        <f t="shared" si="75"/>
        <v>430</v>
      </c>
      <c r="V360" s="47"/>
      <c r="W360" s="47"/>
      <c r="X360" s="47"/>
      <c r="Y360" s="47"/>
      <c r="Z360" s="47">
        <f t="shared" si="71"/>
        <v>4620</v>
      </c>
      <c r="AA360" s="47">
        <f t="shared" si="76"/>
        <v>1400</v>
      </c>
      <c r="AB360" s="47"/>
      <c r="AC360" s="47"/>
      <c r="AD360" s="47"/>
      <c r="AE360" s="47"/>
      <c r="AF360" s="47"/>
      <c r="AG360" s="47" t="s">
        <v>464</v>
      </c>
      <c r="AH360" s="47" t="str">
        <f>IFERROR(_xlfn.XLOOKUP(Table6[[#This Row],[Suburb]],Table5[Travel Surcharge],Table5[$$]),"")</f>
        <v/>
      </c>
      <c r="AI360" s="47"/>
      <c r="AJ360" s="47"/>
      <c r="AL360" t="str">
        <v>Harli</v>
      </c>
    </row>
    <row r="361" spans="1:39">
      <c r="A361" s="374" t="s">
        <v>942</v>
      </c>
      <c r="B361" s="374">
        <v>8</v>
      </c>
      <c r="C361" s="374" t="s">
        <v>455</v>
      </c>
      <c r="D361" s="375" t="str">
        <f t="shared" si="65"/>
        <v>Arramont Estate8</v>
      </c>
      <c r="E361" s="375" t="s">
        <v>952</v>
      </c>
      <c r="F361" s="375" t="s">
        <v>766</v>
      </c>
      <c r="G361" s="375" t="s">
        <v>944</v>
      </c>
      <c r="H361" s="375" t="s">
        <v>945</v>
      </c>
      <c r="I361" s="63" t="s">
        <v>946</v>
      </c>
      <c r="J361" s="47">
        <f t="shared" si="73"/>
        <v>3740</v>
      </c>
      <c r="K361" s="46" t="s">
        <v>7938</v>
      </c>
      <c r="L361" s="47"/>
      <c r="M361" s="47">
        <f t="shared" si="74"/>
        <v>1430.0000000000002</v>
      </c>
      <c r="N361" s="47"/>
      <c r="O361" s="47"/>
      <c r="P361" s="47"/>
      <c r="Q361" s="47"/>
      <c r="R361" s="47"/>
      <c r="S361" s="47"/>
      <c r="T361" s="47"/>
      <c r="U361" s="47">
        <f t="shared" si="75"/>
        <v>430</v>
      </c>
      <c r="V361" s="47"/>
      <c r="W361" s="47"/>
      <c r="X361" s="47"/>
      <c r="Y361" s="47"/>
      <c r="Z361" s="47">
        <f t="shared" si="71"/>
        <v>4620</v>
      </c>
      <c r="AA361" s="47">
        <f t="shared" si="76"/>
        <v>1400</v>
      </c>
      <c r="AB361" s="47"/>
      <c r="AC361" s="47"/>
      <c r="AD361" s="47"/>
      <c r="AE361" s="47"/>
      <c r="AF361" s="47"/>
      <c r="AG361" s="47" t="s">
        <v>464</v>
      </c>
      <c r="AH361" s="47" t="str">
        <f>IFERROR(_xlfn.XLOOKUP(Table6[[#This Row],[Suburb]],Table5[Travel Surcharge],Table5[$$]),"")</f>
        <v/>
      </c>
      <c r="AI361" s="47"/>
      <c r="AJ361" s="47"/>
      <c r="AL361" t="str">
        <v>Harlow</v>
      </c>
    </row>
    <row r="362" spans="1:39">
      <c r="A362" s="374" t="s">
        <v>942</v>
      </c>
      <c r="B362" s="374">
        <v>10</v>
      </c>
      <c r="C362" s="374" t="s">
        <v>455</v>
      </c>
      <c r="D362" s="375" t="str">
        <f t="shared" si="65"/>
        <v>Arramont Estate10</v>
      </c>
      <c r="E362" s="375" t="s">
        <v>953</v>
      </c>
      <c r="F362" s="375" t="s">
        <v>766</v>
      </c>
      <c r="G362" s="375" t="s">
        <v>944</v>
      </c>
      <c r="H362" s="375" t="s">
        <v>945</v>
      </c>
      <c r="I362" s="63" t="s">
        <v>946</v>
      </c>
      <c r="J362" s="47">
        <f t="shared" si="73"/>
        <v>3740</v>
      </c>
      <c r="K362" s="46" t="s">
        <v>7938</v>
      </c>
      <c r="L362" s="47"/>
      <c r="M362" s="47">
        <f t="shared" si="74"/>
        <v>1430.0000000000002</v>
      </c>
      <c r="N362" s="47"/>
      <c r="O362" s="47"/>
      <c r="P362" s="47"/>
      <c r="Q362" s="47"/>
      <c r="R362" s="47"/>
      <c r="S362" s="47"/>
      <c r="T362" s="47"/>
      <c r="U362" s="47">
        <f t="shared" si="75"/>
        <v>430</v>
      </c>
      <c r="V362" s="47"/>
      <c r="W362" s="47"/>
      <c r="X362" s="47"/>
      <c r="Y362" s="47"/>
      <c r="Z362" s="47">
        <f t="shared" ref="Z362:Z394" si="77">Z$7</f>
        <v>4620</v>
      </c>
      <c r="AA362" s="47">
        <f t="shared" si="76"/>
        <v>1400</v>
      </c>
      <c r="AB362" s="47"/>
      <c r="AC362" s="47"/>
      <c r="AD362" s="47"/>
      <c r="AE362" s="47"/>
      <c r="AF362" s="47"/>
      <c r="AG362" s="47" t="s">
        <v>464</v>
      </c>
      <c r="AH362" s="47" t="str">
        <f>IFERROR(_xlfn.XLOOKUP(Table6[[#This Row],[Suburb]],Table5[Travel Surcharge],Table5[$$]),"")</f>
        <v/>
      </c>
      <c r="AI362" s="47"/>
      <c r="AJ362" s="47"/>
      <c r="AL362" t="str">
        <v>Harmony</v>
      </c>
    </row>
    <row r="363" spans="1:39">
      <c r="A363" s="374" t="s">
        <v>942</v>
      </c>
      <c r="B363" s="374">
        <v>11</v>
      </c>
      <c r="C363" s="374" t="s">
        <v>455</v>
      </c>
      <c r="D363" s="375" t="str">
        <f t="shared" si="65"/>
        <v>Arramont Estate11</v>
      </c>
      <c r="E363" s="375" t="s">
        <v>954</v>
      </c>
      <c r="F363" s="375" t="s">
        <v>766</v>
      </c>
      <c r="G363" s="375" t="s">
        <v>944</v>
      </c>
      <c r="H363" s="375" t="s">
        <v>945</v>
      </c>
      <c r="I363" s="63" t="s">
        <v>946</v>
      </c>
      <c r="J363" s="47">
        <f t="shared" si="73"/>
        <v>3740</v>
      </c>
      <c r="K363" s="46" t="s">
        <v>7938</v>
      </c>
      <c r="L363" s="47"/>
      <c r="M363" s="47">
        <f t="shared" si="74"/>
        <v>1430.0000000000002</v>
      </c>
      <c r="N363" s="47"/>
      <c r="O363" s="47"/>
      <c r="P363" s="47"/>
      <c r="Q363" s="47"/>
      <c r="R363" s="47"/>
      <c r="S363" s="47"/>
      <c r="T363" s="47"/>
      <c r="U363" s="47">
        <f t="shared" si="75"/>
        <v>430</v>
      </c>
      <c r="V363" s="47"/>
      <c r="W363" s="47"/>
      <c r="X363" s="47"/>
      <c r="Y363" s="47"/>
      <c r="Z363" s="47">
        <f t="shared" si="77"/>
        <v>4620</v>
      </c>
      <c r="AA363" s="47">
        <f t="shared" si="76"/>
        <v>1400</v>
      </c>
      <c r="AB363" s="47"/>
      <c r="AC363" s="47"/>
      <c r="AD363" s="47"/>
      <c r="AE363" s="47"/>
      <c r="AF363" s="47"/>
      <c r="AG363" s="47" t="s">
        <v>464</v>
      </c>
      <c r="AH363" s="47" t="str">
        <f>IFERROR(_xlfn.XLOOKUP(Table6[[#This Row],[Suburb]],Table5[Travel Surcharge],Table5[$$]),"")</f>
        <v/>
      </c>
      <c r="AI363" s="47"/>
      <c r="AJ363" s="47"/>
      <c r="AL363" t="str">
        <v>Harpley Estate</v>
      </c>
    </row>
    <row r="364" spans="1:39">
      <c r="A364" s="374" t="s">
        <v>942</v>
      </c>
      <c r="B364" s="374">
        <v>12</v>
      </c>
      <c r="C364" s="374" t="s">
        <v>455</v>
      </c>
      <c r="D364" s="375" t="str">
        <f t="shared" si="65"/>
        <v>Arramont Estate12</v>
      </c>
      <c r="E364" s="375" t="s">
        <v>955</v>
      </c>
      <c r="F364" s="375" t="s">
        <v>766</v>
      </c>
      <c r="G364" s="375" t="s">
        <v>944</v>
      </c>
      <c r="H364" s="375" t="s">
        <v>945</v>
      </c>
      <c r="I364" s="63" t="s">
        <v>946</v>
      </c>
      <c r="J364" s="47">
        <f t="shared" si="73"/>
        <v>3740</v>
      </c>
      <c r="K364" s="46" t="s">
        <v>7938</v>
      </c>
      <c r="L364" s="47"/>
      <c r="M364" s="47">
        <f t="shared" si="74"/>
        <v>1430.0000000000002</v>
      </c>
      <c r="N364" s="47"/>
      <c r="O364" s="47"/>
      <c r="P364" s="47"/>
      <c r="Q364" s="47"/>
      <c r="R364" s="47"/>
      <c r="S364" s="47"/>
      <c r="T364" s="47"/>
      <c r="U364" s="47">
        <f t="shared" si="75"/>
        <v>430</v>
      </c>
      <c r="V364" s="47"/>
      <c r="W364" s="47"/>
      <c r="X364" s="47"/>
      <c r="Y364" s="47"/>
      <c r="Z364" s="47">
        <f t="shared" si="77"/>
        <v>4620</v>
      </c>
      <c r="AA364" s="47">
        <f t="shared" si="76"/>
        <v>1400</v>
      </c>
      <c r="AB364" s="47"/>
      <c r="AC364" s="47"/>
      <c r="AD364" s="47"/>
      <c r="AE364" s="47"/>
      <c r="AF364" s="47"/>
      <c r="AG364" s="47" t="s">
        <v>464</v>
      </c>
      <c r="AH364" s="47" t="str">
        <f>IFERROR(_xlfn.XLOOKUP(Table6[[#This Row],[Suburb]],Table5[Travel Surcharge],Table5[$$]),"")</f>
        <v/>
      </c>
      <c r="AI364" s="47"/>
      <c r="AJ364" s="47"/>
      <c r="AL364" t="str">
        <v xml:space="preserve">Harriot </v>
      </c>
    </row>
    <row r="365" spans="1:39">
      <c r="A365" s="374" t="s">
        <v>942</v>
      </c>
      <c r="B365" s="374">
        <v>14</v>
      </c>
      <c r="C365" s="374" t="s">
        <v>455</v>
      </c>
      <c r="D365" s="375" t="str">
        <f t="shared" si="65"/>
        <v>Arramont Estate14</v>
      </c>
      <c r="E365" s="375" t="s">
        <v>956</v>
      </c>
      <c r="F365" s="375" t="s">
        <v>766</v>
      </c>
      <c r="G365" s="375" t="s">
        <v>944</v>
      </c>
      <c r="H365" s="375" t="s">
        <v>945</v>
      </c>
      <c r="I365" s="63" t="s">
        <v>946</v>
      </c>
      <c r="J365" s="47">
        <f t="shared" si="73"/>
        <v>3740</v>
      </c>
      <c r="K365" s="46" t="s">
        <v>7938</v>
      </c>
      <c r="L365" s="47"/>
      <c r="M365" s="47">
        <f t="shared" si="74"/>
        <v>1430.0000000000002</v>
      </c>
      <c r="N365" s="47"/>
      <c r="O365" s="47"/>
      <c r="P365" s="47"/>
      <c r="Q365" s="47"/>
      <c r="R365" s="47"/>
      <c r="S365" s="47"/>
      <c r="T365" s="47"/>
      <c r="U365" s="47">
        <f t="shared" si="75"/>
        <v>430</v>
      </c>
      <c r="V365" s="47"/>
      <c r="W365" s="47"/>
      <c r="X365" s="47"/>
      <c r="Y365" s="47"/>
      <c r="Z365" s="47">
        <f t="shared" si="77"/>
        <v>4620</v>
      </c>
      <c r="AA365" s="47">
        <f t="shared" si="76"/>
        <v>1400</v>
      </c>
      <c r="AB365" s="47"/>
      <c r="AC365" s="47"/>
      <c r="AD365" s="47"/>
      <c r="AE365" s="47"/>
      <c r="AF365" s="47"/>
      <c r="AG365" s="47" t="s">
        <v>464</v>
      </c>
      <c r="AH365" s="47" t="str">
        <f>IFERROR(_xlfn.XLOOKUP(Table6[[#This Row],[Suburb]],Table5[Travel Surcharge],Table5[$$]),"")</f>
        <v/>
      </c>
      <c r="AI365" s="47"/>
      <c r="AJ365" s="47"/>
      <c r="AL365" t="str">
        <v>Hartleigh Estate</v>
      </c>
    </row>
    <row r="366" spans="1:39">
      <c r="A366" s="374" t="s">
        <v>942</v>
      </c>
      <c r="B366" s="374">
        <v>15</v>
      </c>
      <c r="C366" s="374" t="s">
        <v>455</v>
      </c>
      <c r="D366" s="375" t="str">
        <f t="shared" si="65"/>
        <v>Arramont Estate15</v>
      </c>
      <c r="E366" s="375" t="s">
        <v>957</v>
      </c>
      <c r="F366" s="375" t="s">
        <v>766</v>
      </c>
      <c r="G366" s="375" t="s">
        <v>944</v>
      </c>
      <c r="H366" s="375" t="s">
        <v>945</v>
      </c>
      <c r="I366" s="63" t="s">
        <v>946</v>
      </c>
      <c r="J366" s="47">
        <f t="shared" si="73"/>
        <v>3740</v>
      </c>
      <c r="K366" s="46" t="s">
        <v>7938</v>
      </c>
      <c r="L366" s="47"/>
      <c r="M366" s="47">
        <f t="shared" si="74"/>
        <v>1430.0000000000002</v>
      </c>
      <c r="N366" s="47"/>
      <c r="O366" s="47"/>
      <c r="P366" s="47"/>
      <c r="Q366" s="47"/>
      <c r="R366" s="47"/>
      <c r="S366" s="47"/>
      <c r="T366" s="47"/>
      <c r="U366" s="47">
        <f t="shared" si="75"/>
        <v>430</v>
      </c>
      <c r="V366" s="47"/>
      <c r="W366" s="47"/>
      <c r="X366" s="47"/>
      <c r="Y366" s="47"/>
      <c r="Z366" s="47">
        <f t="shared" si="77"/>
        <v>4620</v>
      </c>
      <c r="AA366" s="47">
        <f t="shared" si="76"/>
        <v>1400</v>
      </c>
      <c r="AB366" s="47"/>
      <c r="AC366" s="47"/>
      <c r="AD366" s="47"/>
      <c r="AE366" s="47"/>
      <c r="AF366" s="47"/>
      <c r="AG366" s="47" t="s">
        <v>464</v>
      </c>
      <c r="AH366" s="47" t="str">
        <f>IFERROR(_xlfn.XLOOKUP(Table6[[#This Row],[Suburb]],Table5[Travel Surcharge],Table5[$$]),"")</f>
        <v/>
      </c>
      <c r="AI366" s="47"/>
      <c r="AJ366" s="47"/>
      <c r="AL366" t="str">
        <v>Harvest Home Estate</v>
      </c>
    </row>
    <row r="367" spans="1:39">
      <c r="A367" s="374" t="s">
        <v>942</v>
      </c>
      <c r="B367" s="374">
        <v>16</v>
      </c>
      <c r="C367" s="374" t="s">
        <v>455</v>
      </c>
      <c r="D367" s="375" t="str">
        <f t="shared" si="65"/>
        <v>Arramont Estate16</v>
      </c>
      <c r="E367" s="375" t="s">
        <v>958</v>
      </c>
      <c r="F367" s="375" t="s">
        <v>766</v>
      </c>
      <c r="G367" s="375" t="s">
        <v>944</v>
      </c>
      <c r="H367" s="375" t="s">
        <v>945</v>
      </c>
      <c r="I367" s="63" t="s">
        <v>946</v>
      </c>
      <c r="J367" s="47">
        <f t="shared" si="73"/>
        <v>3740</v>
      </c>
      <c r="K367" s="46" t="s">
        <v>7938</v>
      </c>
      <c r="L367" s="47"/>
      <c r="M367" s="47">
        <f t="shared" si="74"/>
        <v>1430.0000000000002</v>
      </c>
      <c r="N367" s="47"/>
      <c r="O367" s="47"/>
      <c r="P367" s="47"/>
      <c r="Q367" s="47"/>
      <c r="R367" s="47"/>
      <c r="S367" s="47"/>
      <c r="T367" s="47"/>
      <c r="U367" s="47">
        <f t="shared" si="75"/>
        <v>430</v>
      </c>
      <c r="V367" s="47"/>
      <c r="W367" s="47"/>
      <c r="X367" s="47"/>
      <c r="Y367" s="47"/>
      <c r="Z367" s="47">
        <f t="shared" si="77"/>
        <v>4620</v>
      </c>
      <c r="AA367" s="47">
        <f t="shared" si="76"/>
        <v>1400</v>
      </c>
      <c r="AB367" s="47"/>
      <c r="AC367" s="47"/>
      <c r="AD367" s="47"/>
      <c r="AE367" s="47"/>
      <c r="AF367" s="47"/>
      <c r="AG367" s="47" t="s">
        <v>464</v>
      </c>
      <c r="AH367" s="47" t="str">
        <f>IFERROR(_xlfn.XLOOKUP(Table6[[#This Row],[Suburb]],Table5[Travel Surcharge],Table5[$$]),"")</f>
        <v/>
      </c>
      <c r="AI367" s="47"/>
      <c r="AJ367" s="47"/>
      <c r="AL367" t="str">
        <v>Haven - Tarneit Estate</v>
      </c>
    </row>
    <row r="368" spans="1:39" s="157" customFormat="1">
      <c r="A368" s="374" t="s">
        <v>942</v>
      </c>
      <c r="B368" s="374">
        <v>17</v>
      </c>
      <c r="C368" s="374" t="s">
        <v>455</v>
      </c>
      <c r="D368" s="375" t="str">
        <f t="shared" ref="D368:D437" si="78">CONCATENATE(A368,B368)</f>
        <v>Arramont Estate17</v>
      </c>
      <c r="E368" s="375" t="s">
        <v>959</v>
      </c>
      <c r="F368" s="375" t="s">
        <v>766</v>
      </c>
      <c r="G368" s="375" t="s">
        <v>944</v>
      </c>
      <c r="H368" s="375" t="s">
        <v>945</v>
      </c>
      <c r="I368" s="63" t="s">
        <v>946</v>
      </c>
      <c r="J368" s="47">
        <f t="shared" si="73"/>
        <v>3740</v>
      </c>
      <c r="K368" s="46" t="s">
        <v>7938</v>
      </c>
      <c r="L368" s="47"/>
      <c r="M368" s="47">
        <f t="shared" si="74"/>
        <v>1430.0000000000002</v>
      </c>
      <c r="N368" s="47"/>
      <c r="O368" s="47" t="s">
        <v>960</v>
      </c>
      <c r="P368" s="47"/>
      <c r="Q368" s="47"/>
      <c r="R368" s="47"/>
      <c r="S368" s="47"/>
      <c r="T368" s="47"/>
      <c r="U368" s="47">
        <f t="shared" si="75"/>
        <v>430</v>
      </c>
      <c r="V368" s="47"/>
      <c r="W368" s="47"/>
      <c r="X368" s="47"/>
      <c r="Y368" s="47"/>
      <c r="Z368" s="47">
        <f t="shared" si="77"/>
        <v>4620</v>
      </c>
      <c r="AA368" s="47">
        <f t="shared" si="76"/>
        <v>1400</v>
      </c>
      <c r="AB368" s="47"/>
      <c r="AC368" s="47"/>
      <c r="AD368" s="47"/>
      <c r="AE368" s="47"/>
      <c r="AF368" s="47"/>
      <c r="AG368" s="47" t="s">
        <v>464</v>
      </c>
      <c r="AH368" s="47" t="str">
        <f>IFERROR(_xlfn.XLOOKUP(Table6[[#This Row],[Suburb]],Table5[Travel Surcharge],Table5[$$]),"")</f>
        <v/>
      </c>
      <c r="AI368" s="47"/>
      <c r="AJ368" s="47"/>
      <c r="AL368" s="157" t="str">
        <v>Haven - Wollert Estate</v>
      </c>
      <c r="AM368" s="208"/>
    </row>
    <row r="369" spans="1:38">
      <c r="A369" s="374" t="s">
        <v>942</v>
      </c>
      <c r="B369" s="374">
        <v>18</v>
      </c>
      <c r="C369" s="374" t="s">
        <v>455</v>
      </c>
      <c r="D369" s="375" t="str">
        <f t="shared" si="78"/>
        <v>Arramont Estate18</v>
      </c>
      <c r="E369" s="375" t="s">
        <v>961</v>
      </c>
      <c r="F369" s="375" t="s">
        <v>766</v>
      </c>
      <c r="G369" s="375" t="s">
        <v>944</v>
      </c>
      <c r="H369" s="375" t="s">
        <v>945</v>
      </c>
      <c r="I369" s="63" t="s">
        <v>946</v>
      </c>
      <c r="J369" s="47">
        <f t="shared" si="73"/>
        <v>3740</v>
      </c>
      <c r="K369" s="46" t="s">
        <v>7938</v>
      </c>
      <c r="L369" s="47"/>
      <c r="M369" s="47">
        <f t="shared" si="74"/>
        <v>1430.0000000000002</v>
      </c>
      <c r="N369" s="47"/>
      <c r="O369" s="47"/>
      <c r="P369" s="47"/>
      <c r="Q369" s="47"/>
      <c r="R369" s="47"/>
      <c r="S369" s="47"/>
      <c r="T369" s="47"/>
      <c r="U369" s="47">
        <f t="shared" si="75"/>
        <v>430</v>
      </c>
      <c r="V369" s="47"/>
      <c r="W369" s="47"/>
      <c r="X369" s="47"/>
      <c r="Y369" s="47"/>
      <c r="Z369" s="47">
        <f t="shared" si="77"/>
        <v>4620</v>
      </c>
      <c r="AA369" s="47">
        <f t="shared" si="76"/>
        <v>1400</v>
      </c>
      <c r="AB369" s="47"/>
      <c r="AC369" s="47"/>
      <c r="AD369" s="47"/>
      <c r="AE369" s="47"/>
      <c r="AF369" s="47"/>
      <c r="AG369" s="47" t="s">
        <v>464</v>
      </c>
      <c r="AH369" s="47" t="str">
        <f>IFERROR(_xlfn.XLOOKUP(Table6[[#This Row],[Suburb]],Table5[Travel Surcharge],Table5[$$]),"")</f>
        <v/>
      </c>
      <c r="AI369" s="47"/>
      <c r="AJ369" s="47"/>
      <c r="AL369" t="str">
        <v>Haymont Estate</v>
      </c>
    </row>
    <row r="370" spans="1:38">
      <c r="A370" s="157" t="s">
        <v>942</v>
      </c>
      <c r="B370" s="157">
        <v>19</v>
      </c>
      <c r="C370" s="157" t="s">
        <v>455</v>
      </c>
      <c r="D370" s="157" t="str">
        <f t="shared" si="78"/>
        <v>Arramont Estate19</v>
      </c>
      <c r="E370" s="157" t="s">
        <v>8044</v>
      </c>
      <c r="F370" s="157" t="s">
        <v>766</v>
      </c>
      <c r="G370" s="157" t="s">
        <v>944</v>
      </c>
      <c r="H370" s="157" t="s">
        <v>945</v>
      </c>
      <c r="I370" s="158" t="s">
        <v>946</v>
      </c>
      <c r="J370" s="47">
        <f t="shared" si="73"/>
        <v>3740</v>
      </c>
      <c r="K370" s="46" t="s">
        <v>7938</v>
      </c>
      <c r="L370" s="47"/>
      <c r="M370" s="47">
        <f t="shared" si="74"/>
        <v>1430.0000000000002</v>
      </c>
      <c r="N370" s="47"/>
      <c r="O370" s="47"/>
      <c r="P370" s="47"/>
      <c r="Q370" s="47"/>
      <c r="R370" s="47"/>
      <c r="S370" s="47"/>
      <c r="T370" s="47"/>
      <c r="U370" s="47">
        <f t="shared" si="75"/>
        <v>430</v>
      </c>
      <c r="V370" s="47"/>
      <c r="W370" s="47"/>
      <c r="X370" s="47"/>
      <c r="Y370" s="47"/>
      <c r="Z370" s="47">
        <f t="shared" si="77"/>
        <v>4620</v>
      </c>
      <c r="AA370" s="47">
        <f t="shared" si="76"/>
        <v>1400</v>
      </c>
      <c r="AB370" s="47"/>
      <c r="AC370" s="47"/>
      <c r="AD370" s="47"/>
      <c r="AE370" s="47"/>
      <c r="AF370" s="47"/>
      <c r="AG370" s="47" t="s">
        <v>464</v>
      </c>
      <c r="AH370" s="47" t="str">
        <f>IFERROR(_xlfn.XLOOKUP(Table6[[#This Row],[Suburb]],Table5[Travel Surcharge],Table5[$$]),"")</f>
        <v/>
      </c>
      <c r="AI370" s="47"/>
      <c r="AJ370" s="47"/>
      <c r="AL370" t="str">
        <v>Hayston Views Estate</v>
      </c>
    </row>
    <row r="371" spans="1:38">
      <c r="A371" s="374" t="s">
        <v>942</v>
      </c>
      <c r="B371" s="374">
        <v>20</v>
      </c>
      <c r="C371" s="374" t="s">
        <v>455</v>
      </c>
      <c r="D371" s="375" t="str">
        <f t="shared" si="78"/>
        <v>Arramont Estate20</v>
      </c>
      <c r="E371" s="375" t="s">
        <v>962</v>
      </c>
      <c r="F371" s="375" t="s">
        <v>766</v>
      </c>
      <c r="G371" s="375" t="s">
        <v>944</v>
      </c>
      <c r="H371" s="375" t="s">
        <v>945</v>
      </c>
      <c r="I371" s="63" t="s">
        <v>946</v>
      </c>
      <c r="J371" s="47">
        <f t="shared" si="73"/>
        <v>3740</v>
      </c>
      <c r="K371" s="46" t="s">
        <v>7938</v>
      </c>
      <c r="L371" s="47"/>
      <c r="M371" s="47">
        <f t="shared" si="74"/>
        <v>1430.0000000000002</v>
      </c>
      <c r="N371" s="47"/>
      <c r="O371" s="47"/>
      <c r="P371" s="47"/>
      <c r="Q371" s="47"/>
      <c r="R371" s="47"/>
      <c r="S371" s="47"/>
      <c r="T371" s="47"/>
      <c r="U371" s="47">
        <f t="shared" si="75"/>
        <v>430</v>
      </c>
      <c r="V371" s="47"/>
      <c r="W371" s="47"/>
      <c r="X371" s="47"/>
      <c r="Y371" s="47"/>
      <c r="Z371" s="47">
        <f t="shared" si="77"/>
        <v>4620</v>
      </c>
      <c r="AA371" s="47">
        <f t="shared" si="76"/>
        <v>1400</v>
      </c>
      <c r="AB371" s="47"/>
      <c r="AC371" s="47"/>
      <c r="AD371" s="47"/>
      <c r="AE371" s="47"/>
      <c r="AF371" s="47"/>
      <c r="AG371" s="47" t="s">
        <v>464</v>
      </c>
      <c r="AH371" s="47" t="str">
        <f>IFERROR(_xlfn.XLOOKUP(Table6[[#This Row],[Suburb]],Table5[Travel Surcharge],Table5[$$]),"")</f>
        <v/>
      </c>
      <c r="AI371" s="47"/>
      <c r="AJ371" s="47"/>
      <c r="AL371" t="str">
        <v>Hazelcroft Estate</v>
      </c>
    </row>
    <row r="372" spans="1:38">
      <c r="A372" s="374" t="s">
        <v>963</v>
      </c>
      <c r="B372" s="374">
        <v>1</v>
      </c>
      <c r="C372" s="374" t="s">
        <v>964</v>
      </c>
      <c r="D372" s="375" t="str">
        <f t="shared" si="78"/>
        <v>Arranmore Estate1</v>
      </c>
      <c r="E372" s="375" t="s">
        <v>965</v>
      </c>
      <c r="F372" s="375"/>
      <c r="G372" s="375"/>
      <c r="H372" s="375"/>
      <c r="I372" s="63"/>
      <c r="J372" s="47"/>
      <c r="K372" s="46" t="s">
        <v>10735</v>
      </c>
      <c r="L372" s="47" t="s">
        <v>966</v>
      </c>
      <c r="M372" s="47"/>
      <c r="N372" s="47"/>
      <c r="O372" s="47">
        <f>O$7</f>
        <v>4950</v>
      </c>
      <c r="P372" s="47"/>
      <c r="Q372" s="47"/>
      <c r="R372" s="47"/>
      <c r="S372" s="47"/>
      <c r="T372" s="47"/>
      <c r="U372" s="47"/>
      <c r="V372" s="47"/>
      <c r="W372" s="47" t="s">
        <v>967</v>
      </c>
      <c r="X372" s="47"/>
      <c r="Y372" s="47"/>
      <c r="Z372" s="47">
        <f t="shared" si="77"/>
        <v>4620</v>
      </c>
      <c r="AA372" s="47"/>
      <c r="AB372" s="47"/>
      <c r="AC372" s="47"/>
      <c r="AD372" s="47"/>
      <c r="AE372" s="47"/>
      <c r="AF372" s="47"/>
      <c r="AG372" s="47"/>
      <c r="AH372" s="47">
        <f>IFERROR(_xlfn.XLOOKUP(Table6[[#This Row],[Suburb]],Table5[Travel Surcharge],Table5[$$]),"")</f>
        <v>8000</v>
      </c>
      <c r="AI372" s="47"/>
      <c r="AJ372" s="47">
        <f>AJ$7</f>
        <v>4400</v>
      </c>
      <c r="AL372" t="str">
        <v>Heartford Estate</v>
      </c>
    </row>
    <row r="373" spans="1:38">
      <c r="A373" s="374" t="s">
        <v>963</v>
      </c>
      <c r="B373" s="374">
        <v>4</v>
      </c>
      <c r="C373" s="374" t="s">
        <v>964</v>
      </c>
      <c r="D373" s="375" t="str">
        <f t="shared" si="78"/>
        <v>Arranmore Estate4</v>
      </c>
      <c r="E373" s="375" t="s">
        <v>968</v>
      </c>
      <c r="F373" s="375"/>
      <c r="G373" s="375"/>
      <c r="H373" s="375"/>
      <c r="I373" s="63"/>
      <c r="J373" s="47"/>
      <c r="K373" s="46" t="s">
        <v>10735</v>
      </c>
      <c r="L373" s="47" t="s">
        <v>966</v>
      </c>
      <c r="M373" s="47"/>
      <c r="N373" s="47"/>
      <c r="O373" s="47">
        <f>O$7</f>
        <v>4950</v>
      </c>
      <c r="P373" s="47"/>
      <c r="Q373" s="47"/>
      <c r="R373" s="47"/>
      <c r="S373" s="47"/>
      <c r="T373" s="47"/>
      <c r="U373" s="47"/>
      <c r="V373" s="47"/>
      <c r="W373" s="47" t="s">
        <v>967</v>
      </c>
      <c r="X373" s="47"/>
      <c r="Y373" s="47"/>
      <c r="Z373" s="47">
        <f t="shared" si="77"/>
        <v>4620</v>
      </c>
      <c r="AA373" s="47"/>
      <c r="AB373" s="47"/>
      <c r="AC373" s="47"/>
      <c r="AD373" s="47"/>
      <c r="AE373" s="47"/>
      <c r="AF373" s="47"/>
      <c r="AG373" s="47"/>
      <c r="AH373" s="47">
        <f>IFERROR(_xlfn.XLOOKUP(Table6[[#This Row],[Suburb]],Table5[Travel Surcharge],Table5[$$]),"")</f>
        <v>8000</v>
      </c>
      <c r="AI373" s="47"/>
      <c r="AJ373" s="47">
        <f>AJ$7</f>
        <v>4400</v>
      </c>
      <c r="AL373" t="str">
        <v>Heartford Estate East Village</v>
      </c>
    </row>
    <row r="374" spans="1:38">
      <c r="A374" s="374" t="s">
        <v>963</v>
      </c>
      <c r="B374" s="374">
        <v>6</v>
      </c>
      <c r="C374" s="374" t="s">
        <v>964</v>
      </c>
      <c r="D374" s="375" t="str">
        <f t="shared" si="78"/>
        <v>Arranmore Estate6</v>
      </c>
      <c r="E374" s="375" t="s">
        <v>969</v>
      </c>
      <c r="F374" s="375"/>
      <c r="G374" s="375"/>
      <c r="H374" s="375"/>
      <c r="I374" s="63"/>
      <c r="J374" s="47"/>
      <c r="K374" s="46" t="s">
        <v>10735</v>
      </c>
      <c r="L374" s="47" t="s">
        <v>966</v>
      </c>
      <c r="M374" s="47"/>
      <c r="N374" s="47"/>
      <c r="O374" s="47">
        <f>O$7</f>
        <v>4950</v>
      </c>
      <c r="P374" s="47"/>
      <c r="Q374" s="47"/>
      <c r="R374" s="47"/>
      <c r="S374" s="47"/>
      <c r="T374" s="47"/>
      <c r="U374" s="47"/>
      <c r="V374" s="47"/>
      <c r="W374" s="47" t="s">
        <v>967</v>
      </c>
      <c r="X374" s="47"/>
      <c r="Y374" s="47"/>
      <c r="Z374" s="47">
        <f t="shared" si="77"/>
        <v>4620</v>
      </c>
      <c r="AA374" s="47"/>
      <c r="AB374" s="47"/>
      <c r="AC374" s="47"/>
      <c r="AD374" s="47"/>
      <c r="AE374" s="47"/>
      <c r="AF374" s="47"/>
      <c r="AG374" s="47"/>
      <c r="AH374" s="47">
        <f>IFERROR(_xlfn.XLOOKUP(Table6[[#This Row],[Suburb]],Table5[Travel Surcharge],Table5[$$]),"")</f>
        <v>8000</v>
      </c>
      <c r="AI374" s="47"/>
      <c r="AJ374" s="47">
        <f>AJ$7</f>
        <v>4400</v>
      </c>
      <c r="AL374" t="str">
        <v>Heartland</v>
      </c>
    </row>
    <row r="375" spans="1:38">
      <c r="A375" s="374" t="s">
        <v>970</v>
      </c>
      <c r="B375" s="374">
        <v>1</v>
      </c>
      <c r="C375" s="374" t="s">
        <v>675</v>
      </c>
      <c r="D375" s="375" t="str">
        <f t="shared" si="78"/>
        <v>Ascot Estate1</v>
      </c>
      <c r="E375" s="375" t="s">
        <v>971</v>
      </c>
      <c r="F375" s="375" t="s">
        <v>972</v>
      </c>
      <c r="G375" s="375" t="s">
        <v>973</v>
      </c>
      <c r="H375" s="375" t="s">
        <v>974</v>
      </c>
      <c r="I375" s="63" t="s">
        <v>975</v>
      </c>
      <c r="J375" s="47"/>
      <c r="K375" s="46" t="s">
        <v>10735</v>
      </c>
      <c r="L375" s="47"/>
      <c r="M375" s="47"/>
      <c r="N375" s="47"/>
      <c r="O375" s="47"/>
      <c r="P375" s="47"/>
      <c r="Q375" s="47"/>
      <c r="R375" s="47">
        <f t="shared" ref="R375:R405" si="79">R$2</f>
        <v>540</v>
      </c>
      <c r="S375" s="47"/>
      <c r="T375" s="47"/>
      <c r="U375" s="47"/>
      <c r="V375" s="47"/>
      <c r="W375" s="47"/>
      <c r="X375" s="47">
        <f t="shared" ref="X375:X405" si="80">X$7</f>
        <v>3000</v>
      </c>
      <c r="Y375" s="47"/>
      <c r="Z375" s="47">
        <f t="shared" si="77"/>
        <v>4620</v>
      </c>
      <c r="AA375" s="47">
        <f>AA$7</f>
        <v>1400</v>
      </c>
      <c r="AB375" s="47"/>
      <c r="AC375" s="47"/>
      <c r="AD375" s="47"/>
      <c r="AE375" s="47"/>
      <c r="AF375" s="47"/>
      <c r="AG375" s="47"/>
      <c r="AH375" s="47" t="str">
        <f>IFERROR(_xlfn.XLOOKUP(Table6[[#This Row],[Suburb]],Table5[Travel Surcharge],Table5[$$]),"")</f>
        <v/>
      </c>
      <c r="AI375" s="47"/>
      <c r="AJ375" s="47"/>
      <c r="AL375" t="str">
        <v>Heartlands Estate</v>
      </c>
    </row>
    <row r="376" spans="1:38">
      <c r="A376" s="374" t="s">
        <v>970</v>
      </c>
      <c r="B376" s="374">
        <v>3</v>
      </c>
      <c r="C376" s="374" t="s">
        <v>675</v>
      </c>
      <c r="D376" s="375" t="str">
        <f t="shared" si="78"/>
        <v>Ascot Estate3</v>
      </c>
      <c r="E376" s="375" t="s">
        <v>976</v>
      </c>
      <c r="F376" s="375" t="s">
        <v>972</v>
      </c>
      <c r="G376" s="375" t="s">
        <v>973</v>
      </c>
      <c r="H376" s="375" t="s">
        <v>974</v>
      </c>
      <c r="I376" s="63" t="s">
        <v>975</v>
      </c>
      <c r="J376" s="47"/>
      <c r="K376" s="46" t="s">
        <v>10735</v>
      </c>
      <c r="L376" s="47"/>
      <c r="M376" s="47"/>
      <c r="N376" s="47"/>
      <c r="O376" s="47"/>
      <c r="P376" s="47"/>
      <c r="Q376" s="47"/>
      <c r="R376" s="47">
        <f t="shared" si="79"/>
        <v>540</v>
      </c>
      <c r="S376" s="47"/>
      <c r="T376" s="47"/>
      <c r="U376" s="47"/>
      <c r="V376" s="47"/>
      <c r="W376" s="47"/>
      <c r="X376" s="47">
        <f t="shared" si="80"/>
        <v>3000</v>
      </c>
      <c r="Y376" s="47"/>
      <c r="Z376" s="47">
        <f t="shared" si="77"/>
        <v>4620</v>
      </c>
      <c r="AA376" s="47">
        <f>AA$7</f>
        <v>1400</v>
      </c>
      <c r="AB376" s="47"/>
      <c r="AC376" s="47"/>
      <c r="AD376" s="47"/>
      <c r="AE376" s="47"/>
      <c r="AF376" s="47"/>
      <c r="AG376" s="47"/>
      <c r="AH376" s="47" t="str">
        <f>IFERROR(_xlfn.XLOOKUP(Table6[[#This Row],[Suburb]],Table5[Travel Surcharge],Table5[$$]),"")</f>
        <v/>
      </c>
      <c r="AI376" s="47"/>
      <c r="AJ376" s="47"/>
      <c r="AL376" t="str">
        <v>Heathfield Estate - Fraser Rise</v>
      </c>
    </row>
    <row r="377" spans="1:38">
      <c r="A377" s="374" t="s">
        <v>970</v>
      </c>
      <c r="B377" s="374">
        <v>4</v>
      </c>
      <c r="C377" s="374" t="s">
        <v>675</v>
      </c>
      <c r="D377" s="375" t="str">
        <f t="shared" si="78"/>
        <v>Ascot Estate4</v>
      </c>
      <c r="E377" s="375"/>
      <c r="F377" s="375" t="s">
        <v>972</v>
      </c>
      <c r="G377" s="375" t="s">
        <v>973</v>
      </c>
      <c r="H377" s="375" t="s">
        <v>974</v>
      </c>
      <c r="I377" s="63" t="s">
        <v>975</v>
      </c>
      <c r="J377" s="47"/>
      <c r="K377" s="46" t="s">
        <v>10735</v>
      </c>
      <c r="L377" s="47"/>
      <c r="M377" s="47"/>
      <c r="N377" s="47"/>
      <c r="O377" s="47"/>
      <c r="P377" s="47"/>
      <c r="Q377" s="47"/>
      <c r="R377" s="47">
        <f t="shared" si="79"/>
        <v>540</v>
      </c>
      <c r="S377" s="47"/>
      <c r="T377" s="47"/>
      <c r="U377" s="47"/>
      <c r="V377" s="47"/>
      <c r="W377" s="47"/>
      <c r="X377" s="47">
        <f t="shared" si="80"/>
        <v>3000</v>
      </c>
      <c r="Y377" s="47"/>
      <c r="Z377" s="47">
        <f t="shared" si="77"/>
        <v>4620</v>
      </c>
      <c r="AA377" s="47">
        <f>AA$7</f>
        <v>1400</v>
      </c>
      <c r="AB377" s="47"/>
      <c r="AC377" s="47"/>
      <c r="AD377" s="47"/>
      <c r="AE377" s="47"/>
      <c r="AF377" s="47"/>
      <c r="AG377" s="47"/>
      <c r="AH377" s="47" t="str">
        <f>IFERROR(_xlfn.XLOOKUP(Table6[[#This Row],[Suburb]],Table5[Travel Surcharge],Table5[$$]),"")</f>
        <v/>
      </c>
      <c r="AI377" s="47"/>
      <c r="AJ377" s="47"/>
      <c r="AL377" t="str">
        <v>Heathfield Estate - Officer</v>
      </c>
    </row>
    <row r="378" spans="1:38">
      <c r="A378" s="374" t="s">
        <v>970</v>
      </c>
      <c r="B378" s="374">
        <v>7</v>
      </c>
      <c r="C378" s="374" t="s">
        <v>675</v>
      </c>
      <c r="D378" s="375" t="str">
        <f t="shared" si="78"/>
        <v>Ascot Estate7</v>
      </c>
      <c r="E378" s="375" t="s">
        <v>977</v>
      </c>
      <c r="F378" s="375" t="s">
        <v>972</v>
      </c>
      <c r="G378" s="375" t="s">
        <v>973</v>
      </c>
      <c r="H378" s="375" t="s">
        <v>974</v>
      </c>
      <c r="I378" s="63" t="s">
        <v>975</v>
      </c>
      <c r="J378" s="47"/>
      <c r="K378" s="46" t="s">
        <v>10735</v>
      </c>
      <c r="L378" s="47"/>
      <c r="M378" s="47"/>
      <c r="N378" s="47"/>
      <c r="O378" s="47"/>
      <c r="P378" s="47"/>
      <c r="Q378" s="47"/>
      <c r="R378" s="47">
        <f t="shared" si="79"/>
        <v>540</v>
      </c>
      <c r="S378" s="47"/>
      <c r="T378" s="47"/>
      <c r="U378" s="47"/>
      <c r="V378" s="47"/>
      <c r="W378" s="47"/>
      <c r="X378" s="47">
        <f t="shared" si="80"/>
        <v>3000</v>
      </c>
      <c r="Y378" s="47"/>
      <c r="Z378" s="47">
        <f t="shared" si="77"/>
        <v>4620</v>
      </c>
      <c r="AA378" s="47">
        <f>AA$7</f>
        <v>1400</v>
      </c>
      <c r="AB378" s="47"/>
      <c r="AC378" s="47"/>
      <c r="AD378" s="47"/>
      <c r="AE378" s="47"/>
      <c r="AF378" s="47"/>
      <c r="AG378" s="47"/>
      <c r="AH378" s="47" t="str">
        <f>IFERROR(_xlfn.XLOOKUP(Table6[[#This Row],[Suburb]],Table5[Travel Surcharge],Table5[$$]),"")</f>
        <v/>
      </c>
      <c r="AI378" s="47"/>
      <c r="AJ378" s="47"/>
      <c r="AL378" t="str">
        <v>Heathmont</v>
      </c>
    </row>
    <row r="379" spans="1:38">
      <c r="A379" s="374" t="s">
        <v>970</v>
      </c>
      <c r="B379" s="374">
        <v>8</v>
      </c>
      <c r="C379" s="374" t="s">
        <v>675</v>
      </c>
      <c r="D379" s="375" t="str">
        <f t="shared" si="78"/>
        <v>Ascot Estate8</v>
      </c>
      <c r="E379" s="375" t="s">
        <v>978</v>
      </c>
      <c r="F379" s="375" t="s">
        <v>972</v>
      </c>
      <c r="G379" s="375" t="s">
        <v>973</v>
      </c>
      <c r="H379" s="375" t="s">
        <v>974</v>
      </c>
      <c r="I379" s="63" t="s">
        <v>975</v>
      </c>
      <c r="J379" s="47"/>
      <c r="K379" s="46" t="s">
        <v>10735</v>
      </c>
      <c r="L379" s="47"/>
      <c r="M379" s="47"/>
      <c r="N379" s="47"/>
      <c r="O379" s="47"/>
      <c r="P379" s="47"/>
      <c r="Q379" s="47"/>
      <c r="R379" s="47">
        <f t="shared" si="79"/>
        <v>540</v>
      </c>
      <c r="S379" s="47"/>
      <c r="T379" s="47"/>
      <c r="U379" s="47"/>
      <c r="V379" s="47"/>
      <c r="W379" s="47"/>
      <c r="X379" s="47">
        <f t="shared" si="80"/>
        <v>3000</v>
      </c>
      <c r="Y379" s="47"/>
      <c r="Z379" s="47">
        <f t="shared" si="77"/>
        <v>4620</v>
      </c>
      <c r="AA379" s="47">
        <f>AA$7</f>
        <v>1400</v>
      </c>
      <c r="AB379" s="47"/>
      <c r="AC379" s="47"/>
      <c r="AD379" s="47"/>
      <c r="AE379" s="47"/>
      <c r="AF379" s="47"/>
      <c r="AG379" s="47"/>
      <c r="AH379" s="47" t="str">
        <f>IFERROR(_xlfn.XLOOKUP(Table6[[#This Row],[Suburb]],Table5[Travel Surcharge],Table5[$$]),"")</f>
        <v/>
      </c>
      <c r="AI379" s="47"/>
      <c r="AJ379" s="47"/>
      <c r="AL379" t="str">
        <v>Heming On Pound</v>
      </c>
    </row>
    <row r="380" spans="1:38">
      <c r="A380" s="157" t="s">
        <v>10669</v>
      </c>
      <c r="B380" s="157">
        <v>1</v>
      </c>
      <c r="C380" s="157" t="s">
        <v>10670</v>
      </c>
      <c r="D380" s="157" t="str">
        <f>CONCATENATE(A380,B380)</f>
        <v>Ascot Springs1</v>
      </c>
      <c r="E380" s="157" t="s">
        <v>10671</v>
      </c>
      <c r="F380" s="157" t="s">
        <v>10672</v>
      </c>
      <c r="G380" s="157" t="s">
        <v>10673</v>
      </c>
      <c r="H380" s="157" t="s">
        <v>10674</v>
      </c>
      <c r="I380" s="158"/>
      <c r="J380" s="47">
        <f t="shared" ref="J380:J413" si="81">J$7</f>
        <v>3740</v>
      </c>
      <c r="K380" s="46" t="s">
        <v>10735</v>
      </c>
      <c r="L380" s="159"/>
      <c r="M380" s="159"/>
      <c r="N380" s="159"/>
      <c r="O380" s="159"/>
      <c r="P380" s="159"/>
      <c r="Q380" s="159">
        <f>Q$2</f>
        <v>0</v>
      </c>
      <c r="R380" s="159"/>
      <c r="S380" s="159"/>
      <c r="T380" s="159"/>
      <c r="U380" s="159"/>
      <c r="V380" s="159"/>
      <c r="W380" s="159"/>
      <c r="X380" s="159"/>
      <c r="Y380" s="159"/>
      <c r="Z380" s="159">
        <f>Z$7</f>
        <v>4620</v>
      </c>
      <c r="AA380" s="159"/>
      <c r="AB380" s="159"/>
      <c r="AC380" s="159"/>
      <c r="AD380" s="159"/>
      <c r="AE380" s="159"/>
      <c r="AF380" s="159"/>
      <c r="AG380" s="159"/>
      <c r="AH380" s="47" t="str">
        <f>IFERROR(_xlfn.XLOOKUP(Table6[[#This Row],[Suburb]],Table5[Travel Surcharge],Table5[$$]),"")</f>
        <v/>
      </c>
      <c r="AI380" s="159"/>
      <c r="AJ380" s="159"/>
      <c r="AL380" t="str">
        <v>Heritage</v>
      </c>
    </row>
    <row r="381" spans="1:38">
      <c r="A381" s="374" t="s">
        <v>979</v>
      </c>
      <c r="B381" s="374">
        <v>4</v>
      </c>
      <c r="C381" s="374" t="s">
        <v>281</v>
      </c>
      <c r="D381" s="375" t="str">
        <f t="shared" si="78"/>
        <v>Ashbury Estate4</v>
      </c>
      <c r="E381" s="375" t="s">
        <v>980</v>
      </c>
      <c r="F381" s="375" t="s">
        <v>981</v>
      </c>
      <c r="G381" s="375" t="s">
        <v>982</v>
      </c>
      <c r="H381" s="375" t="s">
        <v>983</v>
      </c>
      <c r="I381" s="63" t="s">
        <v>984</v>
      </c>
      <c r="J381" s="47">
        <f t="shared" si="81"/>
        <v>3740</v>
      </c>
      <c r="K381" s="46" t="s">
        <v>7938</v>
      </c>
      <c r="L381" s="47"/>
      <c r="M381" s="47" t="str">
        <f t="shared" ref="M381:M405" si="82">"$"&amp;M$7&amp;" LL"</f>
        <v>$1430 LL</v>
      </c>
      <c r="N381" s="47"/>
      <c r="O381" s="47"/>
      <c r="P381" s="47" t="s">
        <v>985</v>
      </c>
      <c r="Q381" s="47" t="s">
        <v>986</v>
      </c>
      <c r="R381" s="47">
        <f t="shared" si="79"/>
        <v>540</v>
      </c>
      <c r="S381" s="47"/>
      <c r="T381" s="47"/>
      <c r="U381" s="47"/>
      <c r="V381" s="47" t="str">
        <f t="shared" ref="V381:V405" si="83">"$"&amp;V$7&amp;"m2 LL"</f>
        <v>$$6/m2m2 LL</v>
      </c>
      <c r="W381" s="47"/>
      <c r="X381" s="47">
        <f t="shared" si="80"/>
        <v>3000</v>
      </c>
      <c r="Y381" s="47"/>
      <c r="Z381" s="47">
        <f t="shared" si="77"/>
        <v>4620</v>
      </c>
      <c r="AA381" s="47"/>
      <c r="AB381" s="47"/>
      <c r="AC381" s="47"/>
      <c r="AD381" s="47"/>
      <c r="AE381" s="47" t="str">
        <f t="shared" ref="AE381:AE405" si="84">"$"&amp;AE$7&amp;" LL"</f>
        <v>$5000 LL</v>
      </c>
      <c r="AF381" s="47">
        <f t="shared" ref="AF381:AF405" si="85">AF$7</f>
        <v>1485</v>
      </c>
      <c r="AG381" s="47"/>
      <c r="AH381" s="47">
        <f>IFERROR(_xlfn.XLOOKUP(Table6[[#This Row],[Suburb]],Table5[Travel Surcharge],Table5[$$]),"")</f>
        <v>1500</v>
      </c>
      <c r="AI381" s="47">
        <f t="shared" ref="AI381:AI405" si="86">AI$7</f>
        <v>1650.0000000000002</v>
      </c>
      <c r="AJ381" s="47"/>
      <c r="AL381" t="str">
        <v>Heritage Mews Estate</v>
      </c>
    </row>
    <row r="382" spans="1:38">
      <c r="A382" s="374" t="s">
        <v>979</v>
      </c>
      <c r="B382" s="374">
        <v>6</v>
      </c>
      <c r="C382" s="374" t="s">
        <v>281</v>
      </c>
      <c r="D382" s="375" t="str">
        <f t="shared" si="78"/>
        <v>Ashbury Estate6</v>
      </c>
      <c r="E382" s="375" t="s">
        <v>987</v>
      </c>
      <c r="F382" s="375" t="s">
        <v>981</v>
      </c>
      <c r="G382" s="375" t="s">
        <v>982</v>
      </c>
      <c r="H382" s="375" t="s">
        <v>983</v>
      </c>
      <c r="I382" s="63" t="s">
        <v>984</v>
      </c>
      <c r="J382" s="47">
        <f t="shared" si="81"/>
        <v>3740</v>
      </c>
      <c r="K382" s="46" t="s">
        <v>7938</v>
      </c>
      <c r="L382" s="47"/>
      <c r="M382" s="47" t="str">
        <f t="shared" si="82"/>
        <v>$1430 LL</v>
      </c>
      <c r="N382" s="47"/>
      <c r="O382" s="47"/>
      <c r="P382" s="47" t="s">
        <v>985</v>
      </c>
      <c r="Q382" s="47" t="s">
        <v>986</v>
      </c>
      <c r="R382" s="47">
        <f t="shared" si="79"/>
        <v>540</v>
      </c>
      <c r="S382" s="47"/>
      <c r="T382" s="47"/>
      <c r="U382" s="47"/>
      <c r="V382" s="47" t="str">
        <f t="shared" si="83"/>
        <v>$$6/m2m2 LL</v>
      </c>
      <c r="W382" s="47"/>
      <c r="X382" s="47">
        <f t="shared" si="80"/>
        <v>3000</v>
      </c>
      <c r="Y382" s="47"/>
      <c r="Z382" s="47">
        <f t="shared" si="77"/>
        <v>4620</v>
      </c>
      <c r="AA382" s="47"/>
      <c r="AB382" s="47"/>
      <c r="AC382" s="47"/>
      <c r="AD382" s="47"/>
      <c r="AE382" s="47" t="str">
        <f t="shared" si="84"/>
        <v>$5000 LL</v>
      </c>
      <c r="AF382" s="47">
        <f t="shared" si="85"/>
        <v>1485</v>
      </c>
      <c r="AG382" s="47"/>
      <c r="AH382" s="47">
        <f>IFERROR(_xlfn.XLOOKUP(Table6[[#This Row],[Suburb]],Table5[Travel Surcharge],Table5[$$]),"")</f>
        <v>1500</v>
      </c>
      <c r="AI382" s="47">
        <f t="shared" si="86"/>
        <v>1650.0000000000002</v>
      </c>
      <c r="AJ382" s="47"/>
      <c r="AL382" t="str">
        <v xml:space="preserve">Heritage Place </v>
      </c>
    </row>
    <row r="383" spans="1:38">
      <c r="A383" s="374" t="s">
        <v>979</v>
      </c>
      <c r="B383" s="374">
        <v>7</v>
      </c>
      <c r="C383" s="374" t="s">
        <v>281</v>
      </c>
      <c r="D383" s="375" t="str">
        <f t="shared" si="78"/>
        <v>Ashbury Estate7</v>
      </c>
      <c r="E383" s="375" t="s">
        <v>988</v>
      </c>
      <c r="F383" s="375" t="s">
        <v>981</v>
      </c>
      <c r="G383" s="375" t="s">
        <v>982</v>
      </c>
      <c r="H383" s="375" t="s">
        <v>983</v>
      </c>
      <c r="I383" s="63" t="s">
        <v>984</v>
      </c>
      <c r="J383" s="47">
        <f t="shared" si="81"/>
        <v>3740</v>
      </c>
      <c r="K383" s="46" t="s">
        <v>7938</v>
      </c>
      <c r="L383" s="47"/>
      <c r="M383" s="47" t="str">
        <f t="shared" si="82"/>
        <v>$1430 LL</v>
      </c>
      <c r="N383" s="47"/>
      <c r="O383" s="47"/>
      <c r="P383" s="47" t="s">
        <v>985</v>
      </c>
      <c r="Q383" s="47" t="s">
        <v>986</v>
      </c>
      <c r="R383" s="47">
        <f t="shared" si="79"/>
        <v>540</v>
      </c>
      <c r="S383" s="47"/>
      <c r="T383" s="47"/>
      <c r="U383" s="47"/>
      <c r="V383" s="47" t="str">
        <f t="shared" si="83"/>
        <v>$$6/m2m2 LL</v>
      </c>
      <c r="W383" s="47"/>
      <c r="X383" s="47">
        <f t="shared" si="80"/>
        <v>3000</v>
      </c>
      <c r="Y383" s="47"/>
      <c r="Z383" s="47">
        <f t="shared" si="77"/>
        <v>4620</v>
      </c>
      <c r="AA383" s="47"/>
      <c r="AB383" s="47"/>
      <c r="AC383" s="47"/>
      <c r="AD383" s="47"/>
      <c r="AE383" s="47" t="str">
        <f t="shared" si="84"/>
        <v>$5000 LL</v>
      </c>
      <c r="AF383" s="47">
        <f t="shared" si="85"/>
        <v>1485</v>
      </c>
      <c r="AG383" s="47"/>
      <c r="AH383" s="47">
        <f>IFERROR(_xlfn.XLOOKUP(Table6[[#This Row],[Suburb]],Table5[Travel Surcharge],Table5[$$]),"")</f>
        <v>1500</v>
      </c>
      <c r="AI383" s="47">
        <f t="shared" si="86"/>
        <v>1650.0000000000002</v>
      </c>
      <c r="AJ383" s="47"/>
      <c r="AL383" t="str">
        <v>Heritage Rise</v>
      </c>
    </row>
    <row r="384" spans="1:38">
      <c r="A384" s="374" t="s">
        <v>979</v>
      </c>
      <c r="B384" s="374">
        <v>8</v>
      </c>
      <c r="C384" s="374" t="s">
        <v>281</v>
      </c>
      <c r="D384" s="375" t="str">
        <f t="shared" si="78"/>
        <v>Ashbury Estate8</v>
      </c>
      <c r="E384" s="375" t="s">
        <v>989</v>
      </c>
      <c r="F384" s="375" t="s">
        <v>981</v>
      </c>
      <c r="G384" s="375" t="s">
        <v>982</v>
      </c>
      <c r="H384" s="375" t="s">
        <v>983</v>
      </c>
      <c r="I384" s="63" t="s">
        <v>984</v>
      </c>
      <c r="J384" s="47">
        <f t="shared" si="81"/>
        <v>3740</v>
      </c>
      <c r="K384" s="46" t="s">
        <v>7938</v>
      </c>
      <c r="L384" s="47"/>
      <c r="M384" s="47" t="str">
        <f t="shared" si="82"/>
        <v>$1430 LL</v>
      </c>
      <c r="N384" s="47"/>
      <c r="O384" s="47"/>
      <c r="P384" s="47" t="s">
        <v>985</v>
      </c>
      <c r="Q384" s="47" t="s">
        <v>986</v>
      </c>
      <c r="R384" s="47">
        <f t="shared" si="79"/>
        <v>540</v>
      </c>
      <c r="S384" s="47"/>
      <c r="T384" s="47"/>
      <c r="U384" s="47"/>
      <c r="V384" s="47" t="str">
        <f t="shared" si="83"/>
        <v>$$6/m2m2 LL</v>
      </c>
      <c r="W384" s="47"/>
      <c r="X384" s="47">
        <f t="shared" si="80"/>
        <v>3000</v>
      </c>
      <c r="Y384" s="47"/>
      <c r="Z384" s="47">
        <f t="shared" si="77"/>
        <v>4620</v>
      </c>
      <c r="AA384" s="47"/>
      <c r="AB384" s="47"/>
      <c r="AC384" s="47"/>
      <c r="AD384" s="47"/>
      <c r="AE384" s="47" t="str">
        <f t="shared" si="84"/>
        <v>$5000 LL</v>
      </c>
      <c r="AF384" s="47">
        <f t="shared" si="85"/>
        <v>1485</v>
      </c>
      <c r="AG384" s="47"/>
      <c r="AH384" s="47">
        <f>IFERROR(_xlfn.XLOOKUP(Table6[[#This Row],[Suburb]],Table5[Travel Surcharge],Table5[$$]),"")</f>
        <v>1500</v>
      </c>
      <c r="AI384" s="47">
        <f t="shared" si="86"/>
        <v>1650.0000000000002</v>
      </c>
      <c r="AJ384" s="47"/>
      <c r="AL384" t="str">
        <v>Heritage Views Estate</v>
      </c>
    </row>
    <row r="385" spans="1:38">
      <c r="A385" s="374" t="s">
        <v>979</v>
      </c>
      <c r="B385" s="374">
        <v>10</v>
      </c>
      <c r="C385" s="374" t="s">
        <v>281</v>
      </c>
      <c r="D385" s="375" t="str">
        <f t="shared" si="78"/>
        <v>Ashbury Estate10</v>
      </c>
      <c r="E385" s="375" t="s">
        <v>990</v>
      </c>
      <c r="F385" s="375" t="s">
        <v>981</v>
      </c>
      <c r="G385" s="375" t="s">
        <v>982</v>
      </c>
      <c r="H385" s="375" t="s">
        <v>983</v>
      </c>
      <c r="I385" s="63" t="s">
        <v>984</v>
      </c>
      <c r="J385" s="47">
        <f t="shared" si="81"/>
        <v>3740</v>
      </c>
      <c r="K385" s="46" t="s">
        <v>7938</v>
      </c>
      <c r="L385" s="47"/>
      <c r="M385" s="47" t="str">
        <f t="shared" si="82"/>
        <v>$1430 LL</v>
      </c>
      <c r="N385" s="47"/>
      <c r="O385" s="47"/>
      <c r="P385" s="47" t="s">
        <v>985</v>
      </c>
      <c r="Q385" s="47" t="s">
        <v>986</v>
      </c>
      <c r="R385" s="47">
        <f t="shared" si="79"/>
        <v>540</v>
      </c>
      <c r="S385" s="47"/>
      <c r="T385" s="47"/>
      <c r="U385" s="47"/>
      <c r="V385" s="47" t="str">
        <f t="shared" si="83"/>
        <v>$$6/m2m2 LL</v>
      </c>
      <c r="W385" s="47"/>
      <c r="X385" s="47">
        <f t="shared" si="80"/>
        <v>3000</v>
      </c>
      <c r="Y385" s="47"/>
      <c r="Z385" s="47">
        <f t="shared" si="77"/>
        <v>4620</v>
      </c>
      <c r="AA385" s="47"/>
      <c r="AB385" s="47"/>
      <c r="AC385" s="47"/>
      <c r="AD385" s="47"/>
      <c r="AE385" s="47" t="str">
        <f t="shared" si="84"/>
        <v>$5000 LL</v>
      </c>
      <c r="AF385" s="47">
        <f t="shared" si="85"/>
        <v>1485</v>
      </c>
      <c r="AG385" s="47"/>
      <c r="AH385" s="47">
        <f>IFERROR(_xlfn.XLOOKUP(Table6[[#This Row],[Suburb]],Table5[Travel Surcharge],Table5[$$]),"")</f>
        <v>1500</v>
      </c>
      <c r="AI385" s="47">
        <f t="shared" si="86"/>
        <v>1650.0000000000002</v>
      </c>
      <c r="AJ385" s="47"/>
      <c r="AL385" t="str">
        <v>Hidden Valley Estate</v>
      </c>
    </row>
    <row r="386" spans="1:38">
      <c r="A386" s="374" t="s">
        <v>979</v>
      </c>
      <c r="B386" s="374">
        <v>13</v>
      </c>
      <c r="C386" s="374" t="s">
        <v>281</v>
      </c>
      <c r="D386" s="375" t="str">
        <f t="shared" si="78"/>
        <v>Ashbury Estate13</v>
      </c>
      <c r="E386" s="375" t="s">
        <v>991</v>
      </c>
      <c r="F386" s="375" t="s">
        <v>981</v>
      </c>
      <c r="G386" s="375" t="s">
        <v>982</v>
      </c>
      <c r="H386" s="375" t="s">
        <v>983</v>
      </c>
      <c r="I386" s="63" t="s">
        <v>984</v>
      </c>
      <c r="J386" s="47">
        <f t="shared" si="81"/>
        <v>3740</v>
      </c>
      <c r="K386" s="46" t="s">
        <v>7938</v>
      </c>
      <c r="L386" s="47"/>
      <c r="M386" s="47" t="str">
        <f t="shared" si="82"/>
        <v>$1430 LL</v>
      </c>
      <c r="N386" s="47"/>
      <c r="O386" s="47"/>
      <c r="P386" s="47" t="s">
        <v>985</v>
      </c>
      <c r="Q386" s="47" t="s">
        <v>986</v>
      </c>
      <c r="R386" s="47">
        <f t="shared" si="79"/>
        <v>540</v>
      </c>
      <c r="S386" s="47"/>
      <c r="T386" s="47"/>
      <c r="U386" s="47"/>
      <c r="V386" s="47" t="str">
        <f t="shared" si="83"/>
        <v>$$6/m2m2 LL</v>
      </c>
      <c r="W386" s="47"/>
      <c r="X386" s="47">
        <f t="shared" si="80"/>
        <v>3000</v>
      </c>
      <c r="Y386" s="47"/>
      <c r="Z386" s="47">
        <f t="shared" si="77"/>
        <v>4620</v>
      </c>
      <c r="AA386" s="47"/>
      <c r="AB386" s="47"/>
      <c r="AC386" s="47"/>
      <c r="AD386" s="47"/>
      <c r="AE386" s="47" t="str">
        <f t="shared" si="84"/>
        <v>$5000 LL</v>
      </c>
      <c r="AF386" s="47">
        <f t="shared" si="85"/>
        <v>1485</v>
      </c>
      <c r="AG386" s="47"/>
      <c r="AH386" s="47">
        <f>IFERROR(_xlfn.XLOOKUP(Table6[[#This Row],[Suburb]],Table5[Travel Surcharge],Table5[$$]),"")</f>
        <v>1500</v>
      </c>
      <c r="AI386" s="47">
        <f t="shared" si="86"/>
        <v>1650.0000000000002</v>
      </c>
      <c r="AJ386" s="47"/>
      <c r="AL386" t="str">
        <v>Highfields</v>
      </c>
    </row>
    <row r="387" spans="1:38">
      <c r="A387" s="374" t="s">
        <v>979</v>
      </c>
      <c r="B387" s="374">
        <v>14</v>
      </c>
      <c r="C387" s="374" t="s">
        <v>281</v>
      </c>
      <c r="D387" s="375" t="str">
        <f t="shared" si="78"/>
        <v>Ashbury Estate14</v>
      </c>
      <c r="E387" s="375" t="s">
        <v>992</v>
      </c>
      <c r="F387" s="375" t="s">
        <v>981</v>
      </c>
      <c r="G387" s="375" t="s">
        <v>982</v>
      </c>
      <c r="H387" s="375" t="s">
        <v>983</v>
      </c>
      <c r="I387" s="63" t="s">
        <v>984</v>
      </c>
      <c r="J387" s="47">
        <f t="shared" si="81"/>
        <v>3740</v>
      </c>
      <c r="K387" s="46" t="s">
        <v>7938</v>
      </c>
      <c r="L387" s="47"/>
      <c r="M387" s="47" t="str">
        <f t="shared" si="82"/>
        <v>$1430 LL</v>
      </c>
      <c r="N387" s="47"/>
      <c r="O387" s="47"/>
      <c r="P387" s="47" t="s">
        <v>985</v>
      </c>
      <c r="Q387" s="47" t="s">
        <v>986</v>
      </c>
      <c r="R387" s="47">
        <f t="shared" si="79"/>
        <v>540</v>
      </c>
      <c r="S387" s="47"/>
      <c r="T387" s="47"/>
      <c r="U387" s="47"/>
      <c r="V387" s="47" t="str">
        <f t="shared" si="83"/>
        <v>$$6/m2m2 LL</v>
      </c>
      <c r="W387" s="47"/>
      <c r="X387" s="47">
        <f t="shared" si="80"/>
        <v>3000</v>
      </c>
      <c r="Y387" s="47"/>
      <c r="Z387" s="47">
        <f t="shared" si="77"/>
        <v>4620</v>
      </c>
      <c r="AA387" s="47"/>
      <c r="AB387" s="47"/>
      <c r="AC387" s="47"/>
      <c r="AD387" s="47"/>
      <c r="AE387" s="47" t="str">
        <f t="shared" si="84"/>
        <v>$5000 LL</v>
      </c>
      <c r="AF387" s="47">
        <f t="shared" si="85"/>
        <v>1485</v>
      </c>
      <c r="AG387" s="47"/>
      <c r="AH387" s="47">
        <f>IFERROR(_xlfn.XLOOKUP(Table6[[#This Row],[Suburb]],Table5[Travel Surcharge],Table5[$$]),"")</f>
        <v>1500</v>
      </c>
      <c r="AI387" s="47">
        <f t="shared" si="86"/>
        <v>1650.0000000000002</v>
      </c>
      <c r="AJ387" s="47"/>
      <c r="AL387" t="str">
        <v>Highgate</v>
      </c>
    </row>
    <row r="388" spans="1:38">
      <c r="A388" s="374" t="s">
        <v>979</v>
      </c>
      <c r="B388" s="374">
        <v>15</v>
      </c>
      <c r="C388" s="374" t="s">
        <v>281</v>
      </c>
      <c r="D388" s="375" t="str">
        <f t="shared" si="78"/>
        <v>Ashbury Estate15</v>
      </c>
      <c r="E388" s="375" t="s">
        <v>993</v>
      </c>
      <c r="F388" s="375" t="s">
        <v>981</v>
      </c>
      <c r="G388" s="375" t="s">
        <v>982</v>
      </c>
      <c r="H388" s="375" t="s">
        <v>983</v>
      </c>
      <c r="I388" s="63" t="s">
        <v>984</v>
      </c>
      <c r="J388" s="47">
        <f t="shared" si="81"/>
        <v>3740</v>
      </c>
      <c r="K388" s="46" t="s">
        <v>7938</v>
      </c>
      <c r="L388" s="47"/>
      <c r="M388" s="47" t="str">
        <f t="shared" si="82"/>
        <v>$1430 LL</v>
      </c>
      <c r="N388" s="47"/>
      <c r="O388" s="47"/>
      <c r="P388" s="47" t="s">
        <v>985</v>
      </c>
      <c r="Q388" s="47" t="s">
        <v>986</v>
      </c>
      <c r="R388" s="47">
        <f t="shared" si="79"/>
        <v>540</v>
      </c>
      <c r="S388" s="47"/>
      <c r="T388" s="47"/>
      <c r="U388" s="47"/>
      <c r="V388" s="47" t="str">
        <f t="shared" si="83"/>
        <v>$$6/m2m2 LL</v>
      </c>
      <c r="W388" s="47"/>
      <c r="X388" s="47">
        <f t="shared" si="80"/>
        <v>3000</v>
      </c>
      <c r="Y388" s="47"/>
      <c r="Z388" s="47">
        <f t="shared" si="77"/>
        <v>4620</v>
      </c>
      <c r="AA388" s="47"/>
      <c r="AB388" s="47"/>
      <c r="AC388" s="47"/>
      <c r="AD388" s="47"/>
      <c r="AE388" s="47" t="str">
        <f t="shared" si="84"/>
        <v>$5000 LL</v>
      </c>
      <c r="AF388" s="47">
        <f t="shared" si="85"/>
        <v>1485</v>
      </c>
      <c r="AG388" s="47"/>
      <c r="AH388" s="47">
        <f>IFERROR(_xlfn.XLOOKUP(Table6[[#This Row],[Suburb]],Table5[Travel Surcharge],Table5[$$]),"")</f>
        <v>1500</v>
      </c>
      <c r="AI388" s="47">
        <f t="shared" si="86"/>
        <v>1650.0000000000002</v>
      </c>
      <c r="AJ388" s="47"/>
      <c r="AL388" t="str">
        <v>Highgrange Estate</v>
      </c>
    </row>
    <row r="389" spans="1:38">
      <c r="A389" s="374" t="s">
        <v>979</v>
      </c>
      <c r="B389" s="374">
        <v>16</v>
      </c>
      <c r="C389" s="374" t="s">
        <v>281</v>
      </c>
      <c r="D389" s="375" t="str">
        <f t="shared" si="78"/>
        <v>Ashbury Estate16</v>
      </c>
      <c r="E389" s="375" t="s">
        <v>994</v>
      </c>
      <c r="F389" s="375" t="s">
        <v>981</v>
      </c>
      <c r="G389" s="375" t="s">
        <v>982</v>
      </c>
      <c r="H389" s="375" t="s">
        <v>983</v>
      </c>
      <c r="I389" s="63" t="s">
        <v>984</v>
      </c>
      <c r="J389" s="47">
        <f t="shared" si="81"/>
        <v>3740</v>
      </c>
      <c r="K389" s="46" t="s">
        <v>7938</v>
      </c>
      <c r="L389" s="47"/>
      <c r="M389" s="47" t="str">
        <f t="shared" si="82"/>
        <v>$1430 LL</v>
      </c>
      <c r="N389" s="47"/>
      <c r="O389" s="47"/>
      <c r="P389" s="47" t="s">
        <v>985</v>
      </c>
      <c r="Q389" s="47" t="s">
        <v>986</v>
      </c>
      <c r="R389" s="47">
        <f t="shared" si="79"/>
        <v>540</v>
      </c>
      <c r="S389" s="47"/>
      <c r="T389" s="47"/>
      <c r="U389" s="47"/>
      <c r="V389" s="47" t="str">
        <f t="shared" si="83"/>
        <v>$$6/m2m2 LL</v>
      </c>
      <c r="W389" s="47"/>
      <c r="X389" s="47">
        <f t="shared" si="80"/>
        <v>3000</v>
      </c>
      <c r="Y389" s="47"/>
      <c r="Z389" s="47">
        <f t="shared" si="77"/>
        <v>4620</v>
      </c>
      <c r="AA389" s="47"/>
      <c r="AB389" s="47"/>
      <c r="AC389" s="47"/>
      <c r="AD389" s="47"/>
      <c r="AE389" s="47" t="str">
        <f t="shared" si="84"/>
        <v>$5000 LL</v>
      </c>
      <c r="AF389" s="47">
        <f t="shared" si="85"/>
        <v>1485</v>
      </c>
      <c r="AG389" s="47"/>
      <c r="AH389" s="47">
        <f>IFERROR(_xlfn.XLOOKUP(Table6[[#This Row],[Suburb]],Table5[Travel Surcharge],Table5[$$]),"")</f>
        <v>1500</v>
      </c>
      <c r="AI389" s="47">
        <f t="shared" si="86"/>
        <v>1650.0000000000002</v>
      </c>
      <c r="AJ389" s="47"/>
      <c r="AL389" t="str">
        <v>Highgrove Estate</v>
      </c>
    </row>
    <row r="390" spans="1:38">
      <c r="A390" s="374" t="s">
        <v>979</v>
      </c>
      <c r="B390" s="374">
        <v>18</v>
      </c>
      <c r="C390" s="374" t="s">
        <v>281</v>
      </c>
      <c r="D390" s="375" t="str">
        <f t="shared" si="78"/>
        <v>Ashbury Estate18</v>
      </c>
      <c r="E390" s="375" t="s">
        <v>995</v>
      </c>
      <c r="F390" s="375" t="s">
        <v>981</v>
      </c>
      <c r="G390" s="375" t="s">
        <v>982</v>
      </c>
      <c r="H390" s="375" t="s">
        <v>983</v>
      </c>
      <c r="I390" s="63" t="s">
        <v>984</v>
      </c>
      <c r="J390" s="47">
        <f t="shared" si="81"/>
        <v>3740</v>
      </c>
      <c r="K390" s="46" t="s">
        <v>7938</v>
      </c>
      <c r="L390" s="47"/>
      <c r="M390" s="47" t="str">
        <f t="shared" si="82"/>
        <v>$1430 LL</v>
      </c>
      <c r="N390" s="47"/>
      <c r="O390" s="47"/>
      <c r="P390" s="47" t="s">
        <v>985</v>
      </c>
      <c r="Q390" s="47" t="s">
        <v>986</v>
      </c>
      <c r="R390" s="47">
        <f t="shared" si="79"/>
        <v>540</v>
      </c>
      <c r="S390" s="47"/>
      <c r="T390" s="47"/>
      <c r="U390" s="47"/>
      <c r="V390" s="47" t="str">
        <f t="shared" si="83"/>
        <v>$$6/m2m2 LL</v>
      </c>
      <c r="W390" s="47"/>
      <c r="X390" s="47">
        <f t="shared" si="80"/>
        <v>3000</v>
      </c>
      <c r="Y390" s="47"/>
      <c r="Z390" s="47">
        <f t="shared" si="77"/>
        <v>4620</v>
      </c>
      <c r="AA390" s="47"/>
      <c r="AB390" s="47"/>
      <c r="AC390" s="47"/>
      <c r="AD390" s="47"/>
      <c r="AE390" s="47" t="str">
        <f t="shared" si="84"/>
        <v>$5000 LL</v>
      </c>
      <c r="AF390" s="47">
        <f t="shared" si="85"/>
        <v>1485</v>
      </c>
      <c r="AG390" s="47"/>
      <c r="AH390" s="47">
        <f>IFERROR(_xlfn.XLOOKUP(Table6[[#This Row],[Suburb]],Table5[Travel Surcharge],Table5[$$]),"")</f>
        <v>1500</v>
      </c>
      <c r="AI390" s="47">
        <f t="shared" si="86"/>
        <v>1650.0000000000002</v>
      </c>
      <c r="AJ390" s="47"/>
      <c r="AL390" t="str">
        <v>Highlands Estate</v>
      </c>
    </row>
    <row r="391" spans="1:38">
      <c r="A391" s="374" t="s">
        <v>979</v>
      </c>
      <c r="B391" s="374">
        <v>20</v>
      </c>
      <c r="C391" s="374" t="s">
        <v>281</v>
      </c>
      <c r="D391" s="375" t="str">
        <f t="shared" si="78"/>
        <v>Ashbury Estate20</v>
      </c>
      <c r="E391" s="375" t="s">
        <v>996</v>
      </c>
      <c r="F391" s="375" t="s">
        <v>981</v>
      </c>
      <c r="G391" s="375" t="s">
        <v>982</v>
      </c>
      <c r="H391" s="375" t="s">
        <v>983</v>
      </c>
      <c r="I391" s="63" t="s">
        <v>984</v>
      </c>
      <c r="J391" s="47">
        <f t="shared" si="81"/>
        <v>3740</v>
      </c>
      <c r="K391" s="46" t="s">
        <v>7938</v>
      </c>
      <c r="L391" s="47"/>
      <c r="M391" s="47" t="str">
        <f t="shared" si="82"/>
        <v>$1430 LL</v>
      </c>
      <c r="N391" s="47"/>
      <c r="O391" s="47"/>
      <c r="P391" s="47" t="s">
        <v>985</v>
      </c>
      <c r="Q391" s="47" t="s">
        <v>986</v>
      </c>
      <c r="R391" s="47">
        <f t="shared" si="79"/>
        <v>540</v>
      </c>
      <c r="S391" s="47"/>
      <c r="T391" s="47"/>
      <c r="U391" s="47"/>
      <c r="V391" s="47" t="str">
        <f t="shared" si="83"/>
        <v>$$6/m2m2 LL</v>
      </c>
      <c r="W391" s="47"/>
      <c r="X391" s="47">
        <f t="shared" si="80"/>
        <v>3000</v>
      </c>
      <c r="Y391" s="47"/>
      <c r="Z391" s="47">
        <f t="shared" si="77"/>
        <v>4620</v>
      </c>
      <c r="AA391" s="47"/>
      <c r="AB391" s="47"/>
      <c r="AC391" s="47"/>
      <c r="AD391" s="47"/>
      <c r="AE391" s="47" t="str">
        <f t="shared" si="84"/>
        <v>$5000 LL</v>
      </c>
      <c r="AF391" s="47">
        <f t="shared" si="85"/>
        <v>1485</v>
      </c>
      <c r="AG391" s="47"/>
      <c r="AH391" s="47">
        <f>IFERROR(_xlfn.XLOOKUP(Table6[[#This Row],[Suburb]],Table5[Travel Surcharge],Table5[$$]),"")</f>
        <v>1500</v>
      </c>
      <c r="AI391" s="47">
        <f t="shared" si="86"/>
        <v>1650.0000000000002</v>
      </c>
      <c r="AJ391" s="47"/>
      <c r="AL391" t="str">
        <v>Highton Ridge Estate</v>
      </c>
    </row>
    <row r="392" spans="1:38">
      <c r="A392" s="374" t="s">
        <v>979</v>
      </c>
      <c r="B392" s="374">
        <v>21</v>
      </c>
      <c r="C392" s="374" t="s">
        <v>281</v>
      </c>
      <c r="D392" s="375" t="str">
        <f t="shared" si="78"/>
        <v>Ashbury Estate21</v>
      </c>
      <c r="E392" s="375" t="s">
        <v>997</v>
      </c>
      <c r="F392" s="375" t="s">
        <v>981</v>
      </c>
      <c r="G392" s="375" t="s">
        <v>982</v>
      </c>
      <c r="H392" s="375" t="s">
        <v>983</v>
      </c>
      <c r="I392" s="63" t="s">
        <v>984</v>
      </c>
      <c r="J392" s="47">
        <f t="shared" si="81"/>
        <v>3740</v>
      </c>
      <c r="K392" s="46" t="s">
        <v>7938</v>
      </c>
      <c r="L392" s="47"/>
      <c r="M392" s="47" t="str">
        <f t="shared" si="82"/>
        <v>$1430 LL</v>
      </c>
      <c r="N392" s="47"/>
      <c r="O392" s="47"/>
      <c r="P392" s="47" t="s">
        <v>985</v>
      </c>
      <c r="Q392" s="47" t="s">
        <v>986</v>
      </c>
      <c r="R392" s="47">
        <f t="shared" si="79"/>
        <v>540</v>
      </c>
      <c r="S392" s="47"/>
      <c r="T392" s="47"/>
      <c r="U392" s="47"/>
      <c r="V392" s="47" t="str">
        <f t="shared" si="83"/>
        <v>$$6/m2m2 LL</v>
      </c>
      <c r="W392" s="47"/>
      <c r="X392" s="47">
        <f t="shared" si="80"/>
        <v>3000</v>
      </c>
      <c r="Y392" s="47"/>
      <c r="Z392" s="47">
        <f t="shared" si="77"/>
        <v>4620</v>
      </c>
      <c r="AA392" s="47"/>
      <c r="AB392" s="47"/>
      <c r="AC392" s="47"/>
      <c r="AD392" s="47"/>
      <c r="AE392" s="47" t="str">
        <f t="shared" si="84"/>
        <v>$5000 LL</v>
      </c>
      <c r="AF392" s="47">
        <f t="shared" si="85"/>
        <v>1485</v>
      </c>
      <c r="AG392" s="47"/>
      <c r="AH392" s="47">
        <f>IFERROR(_xlfn.XLOOKUP(Table6[[#This Row],[Suburb]],Table5[Travel Surcharge],Table5[$$]),"")</f>
        <v>1500</v>
      </c>
      <c r="AI392" s="47">
        <f t="shared" si="86"/>
        <v>1650.0000000000002</v>
      </c>
      <c r="AJ392" s="47"/>
      <c r="AL392" t="str">
        <v>Highton Ridge-Highpoint Release Estate</v>
      </c>
    </row>
    <row r="393" spans="1:38">
      <c r="A393" s="374" t="s">
        <v>979</v>
      </c>
      <c r="B393" s="374">
        <v>22</v>
      </c>
      <c r="C393" s="374" t="s">
        <v>281</v>
      </c>
      <c r="D393" s="375" t="str">
        <f t="shared" si="78"/>
        <v>Ashbury Estate22</v>
      </c>
      <c r="E393" s="375" t="s">
        <v>998</v>
      </c>
      <c r="F393" s="375" t="s">
        <v>981</v>
      </c>
      <c r="G393" s="375" t="s">
        <v>982</v>
      </c>
      <c r="H393" s="375" t="s">
        <v>983</v>
      </c>
      <c r="I393" s="63" t="s">
        <v>984</v>
      </c>
      <c r="J393" s="47">
        <f t="shared" si="81"/>
        <v>3740</v>
      </c>
      <c r="K393" s="46" t="s">
        <v>7938</v>
      </c>
      <c r="L393" s="47"/>
      <c r="M393" s="47" t="str">
        <f t="shared" si="82"/>
        <v>$1430 LL</v>
      </c>
      <c r="N393" s="47"/>
      <c r="O393" s="47"/>
      <c r="P393" s="47" t="s">
        <v>985</v>
      </c>
      <c r="Q393" s="47" t="s">
        <v>986</v>
      </c>
      <c r="R393" s="47">
        <f t="shared" si="79"/>
        <v>540</v>
      </c>
      <c r="S393" s="47"/>
      <c r="T393" s="47"/>
      <c r="U393" s="47"/>
      <c r="V393" s="47" t="str">
        <f t="shared" si="83"/>
        <v>$$6/m2m2 LL</v>
      </c>
      <c r="W393" s="47"/>
      <c r="X393" s="47">
        <f t="shared" si="80"/>
        <v>3000</v>
      </c>
      <c r="Y393" s="47"/>
      <c r="Z393" s="47">
        <f t="shared" si="77"/>
        <v>4620</v>
      </c>
      <c r="AA393" s="47"/>
      <c r="AB393" s="47"/>
      <c r="AC393" s="47"/>
      <c r="AD393" s="47"/>
      <c r="AE393" s="47" t="str">
        <f t="shared" si="84"/>
        <v>$5000 LL</v>
      </c>
      <c r="AF393" s="47">
        <f t="shared" si="85"/>
        <v>1485</v>
      </c>
      <c r="AG393" s="47"/>
      <c r="AH393" s="47">
        <f>IFERROR(_xlfn.XLOOKUP(Table6[[#This Row],[Suburb]],Table5[Travel Surcharge],Table5[$$]),"")</f>
        <v>1500</v>
      </c>
      <c r="AI393" s="47">
        <f t="shared" si="86"/>
        <v>1650.0000000000002</v>
      </c>
      <c r="AJ393" s="47"/>
      <c r="AL393" t="str">
        <v>Highview Estate</v>
      </c>
    </row>
    <row r="394" spans="1:38">
      <c r="A394" s="374" t="s">
        <v>979</v>
      </c>
      <c r="B394" s="374">
        <v>24</v>
      </c>
      <c r="C394" s="374" t="s">
        <v>281</v>
      </c>
      <c r="D394" s="375" t="str">
        <f t="shared" si="78"/>
        <v>Ashbury Estate24</v>
      </c>
      <c r="E394" s="375" t="s">
        <v>999</v>
      </c>
      <c r="F394" s="375" t="s">
        <v>981</v>
      </c>
      <c r="G394" s="375" t="s">
        <v>982</v>
      </c>
      <c r="H394" s="375" t="s">
        <v>983</v>
      </c>
      <c r="I394" s="63" t="s">
        <v>984</v>
      </c>
      <c r="J394" s="47">
        <f t="shared" si="81"/>
        <v>3740</v>
      </c>
      <c r="K394" s="46" t="s">
        <v>7938</v>
      </c>
      <c r="L394" s="47"/>
      <c r="M394" s="47" t="str">
        <f t="shared" si="82"/>
        <v>$1430 LL</v>
      </c>
      <c r="N394" s="47"/>
      <c r="O394" s="47"/>
      <c r="P394" s="47" t="s">
        <v>985</v>
      </c>
      <c r="Q394" s="47" t="s">
        <v>986</v>
      </c>
      <c r="R394" s="47">
        <f t="shared" si="79"/>
        <v>540</v>
      </c>
      <c r="S394" s="47"/>
      <c r="T394" s="47"/>
      <c r="U394" s="47"/>
      <c r="V394" s="47" t="str">
        <f t="shared" si="83"/>
        <v>$$6/m2m2 LL</v>
      </c>
      <c r="W394" s="47"/>
      <c r="X394" s="47">
        <f t="shared" si="80"/>
        <v>3000</v>
      </c>
      <c r="Y394" s="47"/>
      <c r="Z394" s="47">
        <f t="shared" si="77"/>
        <v>4620</v>
      </c>
      <c r="AA394" s="47"/>
      <c r="AB394" s="47"/>
      <c r="AC394" s="47"/>
      <c r="AD394" s="47"/>
      <c r="AE394" s="47" t="str">
        <f t="shared" si="84"/>
        <v>$5000 LL</v>
      </c>
      <c r="AF394" s="47">
        <f t="shared" si="85"/>
        <v>1485</v>
      </c>
      <c r="AG394" s="47"/>
      <c r="AH394" s="47">
        <f>IFERROR(_xlfn.XLOOKUP(Table6[[#This Row],[Suburb]],Table5[Travel Surcharge],Table5[$$]),"")</f>
        <v>1500</v>
      </c>
      <c r="AI394" s="47">
        <f t="shared" si="86"/>
        <v>1650.0000000000002</v>
      </c>
      <c r="AJ394" s="47"/>
      <c r="AL394" t="str">
        <v>Hillgrove Estate</v>
      </c>
    </row>
    <row r="395" spans="1:38">
      <c r="A395" s="374" t="s">
        <v>979</v>
      </c>
      <c r="B395" s="374">
        <v>25</v>
      </c>
      <c r="C395" s="374" t="s">
        <v>281</v>
      </c>
      <c r="D395" s="375" t="str">
        <f t="shared" si="78"/>
        <v>Ashbury Estate25</v>
      </c>
      <c r="E395" s="375" t="s">
        <v>1000</v>
      </c>
      <c r="F395" s="375" t="s">
        <v>981</v>
      </c>
      <c r="G395" s="375" t="s">
        <v>982</v>
      </c>
      <c r="H395" s="375" t="s">
        <v>983</v>
      </c>
      <c r="I395" s="63" t="s">
        <v>984</v>
      </c>
      <c r="J395" s="47">
        <f t="shared" si="81"/>
        <v>3740</v>
      </c>
      <c r="K395" s="46" t="s">
        <v>7938</v>
      </c>
      <c r="L395" s="47"/>
      <c r="M395" s="47" t="str">
        <f t="shared" si="82"/>
        <v>$1430 LL</v>
      </c>
      <c r="N395" s="47"/>
      <c r="O395" s="47"/>
      <c r="P395" s="47" t="s">
        <v>985</v>
      </c>
      <c r="Q395" s="47" t="s">
        <v>986</v>
      </c>
      <c r="R395" s="47">
        <f t="shared" si="79"/>
        <v>540</v>
      </c>
      <c r="S395" s="47"/>
      <c r="T395" s="47"/>
      <c r="U395" s="47"/>
      <c r="V395" s="47" t="str">
        <f t="shared" si="83"/>
        <v>$$6/m2m2 LL</v>
      </c>
      <c r="W395" s="47"/>
      <c r="X395" s="47">
        <f t="shared" si="80"/>
        <v>3000</v>
      </c>
      <c r="Y395" s="47"/>
      <c r="Z395" s="47">
        <f t="shared" ref="Z395:Z431" si="87">Z$7</f>
        <v>4620</v>
      </c>
      <c r="AA395" s="47"/>
      <c r="AB395" s="47" t="s">
        <v>1001</v>
      </c>
      <c r="AC395" s="47"/>
      <c r="AD395" s="47"/>
      <c r="AE395" s="47" t="str">
        <f t="shared" si="84"/>
        <v>$5000 LL</v>
      </c>
      <c r="AF395" s="47">
        <f t="shared" si="85"/>
        <v>1485</v>
      </c>
      <c r="AG395" s="47"/>
      <c r="AH395" s="47">
        <f>IFERROR(_xlfn.XLOOKUP(Table6[[#This Row],[Suburb]],Table5[Travel Surcharge],Table5[$$]),"")</f>
        <v>1500</v>
      </c>
      <c r="AI395" s="47">
        <f t="shared" si="86"/>
        <v>1650.0000000000002</v>
      </c>
      <c r="AJ395" s="47"/>
      <c r="AL395" t="str">
        <v xml:space="preserve">Hillstowe </v>
      </c>
    </row>
    <row r="396" spans="1:38">
      <c r="A396" s="374" t="s">
        <v>979</v>
      </c>
      <c r="B396" s="374">
        <v>26</v>
      </c>
      <c r="C396" s="374" t="s">
        <v>281</v>
      </c>
      <c r="D396" s="375" t="str">
        <f t="shared" si="78"/>
        <v>Ashbury Estate26</v>
      </c>
      <c r="E396" s="375" t="s">
        <v>1002</v>
      </c>
      <c r="F396" s="375" t="s">
        <v>981</v>
      </c>
      <c r="G396" s="375" t="s">
        <v>982</v>
      </c>
      <c r="H396" s="375" t="s">
        <v>983</v>
      </c>
      <c r="I396" s="63" t="s">
        <v>984</v>
      </c>
      <c r="J396" s="47">
        <f t="shared" si="81"/>
        <v>3740</v>
      </c>
      <c r="K396" s="46" t="s">
        <v>7938</v>
      </c>
      <c r="L396" s="47"/>
      <c r="M396" s="47" t="str">
        <f t="shared" si="82"/>
        <v>$1430 LL</v>
      </c>
      <c r="N396" s="47" t="s">
        <v>1003</v>
      </c>
      <c r="O396" s="47"/>
      <c r="P396" s="47" t="s">
        <v>985</v>
      </c>
      <c r="Q396" s="47" t="s">
        <v>986</v>
      </c>
      <c r="R396" s="47">
        <f t="shared" si="79"/>
        <v>540</v>
      </c>
      <c r="S396" s="47"/>
      <c r="T396" s="47"/>
      <c r="U396" s="47"/>
      <c r="V396" s="47" t="str">
        <f t="shared" si="83"/>
        <v>$$6/m2m2 LL</v>
      </c>
      <c r="W396" s="47"/>
      <c r="X396" s="47">
        <f t="shared" si="80"/>
        <v>3000</v>
      </c>
      <c r="Y396" s="47"/>
      <c r="Z396" s="47">
        <f t="shared" si="87"/>
        <v>4620</v>
      </c>
      <c r="AA396" s="47"/>
      <c r="AB396" s="47" t="s">
        <v>1001</v>
      </c>
      <c r="AC396" s="47"/>
      <c r="AD396" s="47"/>
      <c r="AE396" s="47" t="str">
        <f t="shared" si="84"/>
        <v>$5000 LL</v>
      </c>
      <c r="AF396" s="47">
        <f t="shared" si="85"/>
        <v>1485</v>
      </c>
      <c r="AG396" s="47"/>
      <c r="AH396" s="47">
        <f>IFERROR(_xlfn.XLOOKUP(Table6[[#This Row],[Suburb]],Table5[Travel Surcharge],Table5[$$]),"")</f>
        <v>1500</v>
      </c>
      <c r="AI396" s="47">
        <f t="shared" si="86"/>
        <v>1650.0000000000002</v>
      </c>
      <c r="AJ396" s="47"/>
      <c r="AL396" t="str">
        <v>Hilltop</v>
      </c>
    </row>
    <row r="397" spans="1:38">
      <c r="A397" s="374" t="s">
        <v>979</v>
      </c>
      <c r="B397" s="374">
        <v>27</v>
      </c>
      <c r="C397" s="374" t="s">
        <v>281</v>
      </c>
      <c r="D397" s="375" t="str">
        <f t="shared" si="78"/>
        <v>Ashbury Estate27</v>
      </c>
      <c r="E397" s="375" t="s">
        <v>9740</v>
      </c>
      <c r="F397" s="375" t="s">
        <v>981</v>
      </c>
      <c r="G397" s="375" t="s">
        <v>982</v>
      </c>
      <c r="H397" s="375" t="s">
        <v>983</v>
      </c>
      <c r="I397" s="63" t="s">
        <v>984</v>
      </c>
      <c r="J397" s="47">
        <f t="shared" si="81"/>
        <v>3740</v>
      </c>
      <c r="K397" s="46" t="s">
        <v>7938</v>
      </c>
      <c r="L397" s="47"/>
      <c r="M397" s="47" t="str">
        <f t="shared" si="82"/>
        <v>$1430 LL</v>
      </c>
      <c r="N397" s="47" t="s">
        <v>1003</v>
      </c>
      <c r="O397" s="47"/>
      <c r="P397" s="47" t="s">
        <v>985</v>
      </c>
      <c r="Q397" s="47" t="s">
        <v>986</v>
      </c>
      <c r="R397" s="47">
        <f t="shared" si="79"/>
        <v>540</v>
      </c>
      <c r="S397" s="47"/>
      <c r="T397" s="47"/>
      <c r="U397" s="47"/>
      <c r="V397" s="47" t="str">
        <f t="shared" si="83"/>
        <v>$$6/m2m2 LL</v>
      </c>
      <c r="W397" s="47"/>
      <c r="X397" s="47">
        <f t="shared" si="80"/>
        <v>3000</v>
      </c>
      <c r="Y397" s="47"/>
      <c r="Z397" s="47">
        <f t="shared" si="87"/>
        <v>4620</v>
      </c>
      <c r="AA397" s="47"/>
      <c r="AB397" s="47" t="s">
        <v>1001</v>
      </c>
      <c r="AC397" s="47"/>
      <c r="AD397" s="47"/>
      <c r="AE397" s="47" t="str">
        <f t="shared" si="84"/>
        <v>$5000 LL</v>
      </c>
      <c r="AF397" s="47">
        <f t="shared" si="85"/>
        <v>1485</v>
      </c>
      <c r="AG397" s="47"/>
      <c r="AH397" s="47">
        <f>IFERROR(_xlfn.XLOOKUP(Table6[[#This Row],[Suburb]],Table5[Travel Surcharge],Table5[$$]),"")</f>
        <v>1500</v>
      </c>
      <c r="AI397" s="47">
        <f t="shared" si="86"/>
        <v>1650.0000000000002</v>
      </c>
      <c r="AJ397" s="47"/>
      <c r="AL397" t="str">
        <v>Hillview Heights Estate</v>
      </c>
    </row>
    <row r="398" spans="1:38">
      <c r="A398" s="374" t="s">
        <v>979</v>
      </c>
      <c r="B398" s="374">
        <v>28</v>
      </c>
      <c r="C398" s="374" t="s">
        <v>281</v>
      </c>
      <c r="D398" s="375" t="str">
        <f t="shared" si="78"/>
        <v>Ashbury Estate28</v>
      </c>
      <c r="E398" s="375" t="s">
        <v>1004</v>
      </c>
      <c r="F398" s="375" t="s">
        <v>981</v>
      </c>
      <c r="G398" s="375" t="s">
        <v>982</v>
      </c>
      <c r="H398" s="375" t="s">
        <v>983</v>
      </c>
      <c r="I398" s="63" t="s">
        <v>984</v>
      </c>
      <c r="J398" s="47">
        <f t="shared" si="81"/>
        <v>3740</v>
      </c>
      <c r="K398" s="46" t="s">
        <v>7938</v>
      </c>
      <c r="L398" s="47"/>
      <c r="M398" s="47" t="str">
        <f t="shared" si="82"/>
        <v>$1430 LL</v>
      </c>
      <c r="N398" s="47" t="s">
        <v>1003</v>
      </c>
      <c r="O398" s="47"/>
      <c r="P398" s="47" t="s">
        <v>985</v>
      </c>
      <c r="Q398" s="47" t="s">
        <v>986</v>
      </c>
      <c r="R398" s="47">
        <f t="shared" si="79"/>
        <v>540</v>
      </c>
      <c r="S398" s="47"/>
      <c r="T398" s="47"/>
      <c r="U398" s="47"/>
      <c r="V398" s="47" t="str">
        <f t="shared" si="83"/>
        <v>$$6/m2m2 LL</v>
      </c>
      <c r="W398" s="47"/>
      <c r="X398" s="47">
        <f t="shared" si="80"/>
        <v>3000</v>
      </c>
      <c r="Y398" s="47"/>
      <c r="Z398" s="47">
        <f t="shared" si="87"/>
        <v>4620</v>
      </c>
      <c r="AA398" s="47"/>
      <c r="AB398" s="47" t="s">
        <v>1001</v>
      </c>
      <c r="AC398" s="47"/>
      <c r="AD398" s="47"/>
      <c r="AE398" s="47" t="str">
        <f t="shared" si="84"/>
        <v>$5000 LL</v>
      </c>
      <c r="AF398" s="47">
        <f t="shared" si="85"/>
        <v>1485</v>
      </c>
      <c r="AG398" s="47"/>
      <c r="AH398" s="47">
        <f>IFERROR(_xlfn.XLOOKUP(Table6[[#This Row],[Suburb]],Table5[Travel Surcharge],Table5[$$]),"")</f>
        <v>1500</v>
      </c>
      <c r="AI398" s="47">
        <f t="shared" si="86"/>
        <v>1650.0000000000002</v>
      </c>
      <c r="AJ398" s="47"/>
      <c r="AL398" t="str">
        <v>Hillview South</v>
      </c>
    </row>
    <row r="399" spans="1:38">
      <c r="A399" s="374" t="s">
        <v>979</v>
      </c>
      <c r="B399" s="374">
        <v>29</v>
      </c>
      <c r="C399" s="374" t="s">
        <v>281</v>
      </c>
      <c r="D399" s="375" t="str">
        <f t="shared" si="78"/>
        <v>Ashbury Estate29</v>
      </c>
      <c r="E399" s="375" t="s">
        <v>9966</v>
      </c>
      <c r="F399" s="375" t="s">
        <v>981</v>
      </c>
      <c r="G399" s="375" t="s">
        <v>982</v>
      </c>
      <c r="H399" s="375" t="s">
        <v>983</v>
      </c>
      <c r="I399" s="63" t="s">
        <v>984</v>
      </c>
      <c r="J399" s="47">
        <v>3740</v>
      </c>
      <c r="K399" s="46" t="s">
        <v>7938</v>
      </c>
      <c r="L399" s="47"/>
      <c r="M399" s="47" t="s">
        <v>9963</v>
      </c>
      <c r="N399" s="47" t="s">
        <v>1003</v>
      </c>
      <c r="O399" s="47"/>
      <c r="P399" s="47" t="s">
        <v>985</v>
      </c>
      <c r="Q399" s="47" t="s">
        <v>986</v>
      </c>
      <c r="R399" s="47">
        <v>540</v>
      </c>
      <c r="S399" s="47"/>
      <c r="T399" s="47"/>
      <c r="U399" s="47"/>
      <c r="V399" s="47" t="s">
        <v>9964</v>
      </c>
      <c r="W399" s="47"/>
      <c r="X399" s="47">
        <v>3000</v>
      </c>
      <c r="Y399" s="47"/>
      <c r="Z399" s="47">
        <v>4620</v>
      </c>
      <c r="AA399" s="47"/>
      <c r="AB399" s="47" t="s">
        <v>1001</v>
      </c>
      <c r="AC399" s="47"/>
      <c r="AD399" s="47"/>
      <c r="AE399" s="47" t="s">
        <v>9965</v>
      </c>
      <c r="AF399" s="47">
        <v>1485</v>
      </c>
      <c r="AG399" s="47"/>
      <c r="AH399" s="47">
        <f>IFERROR(_xlfn.XLOOKUP(Table6[[#This Row],[Suburb]],Table5[Travel Surcharge],Table5[$$]),"")</f>
        <v>1500</v>
      </c>
      <c r="AI399" s="47">
        <v>1650.0000000000002</v>
      </c>
      <c r="AJ399" s="47"/>
      <c r="AL399" t="str">
        <v>Holt</v>
      </c>
    </row>
    <row r="400" spans="1:38">
      <c r="A400" s="374" t="s">
        <v>979</v>
      </c>
      <c r="B400" s="374">
        <v>30</v>
      </c>
      <c r="C400" s="374" t="s">
        <v>281</v>
      </c>
      <c r="D400" s="375" t="str">
        <f t="shared" si="78"/>
        <v>Ashbury Estate30</v>
      </c>
      <c r="E400" s="375" t="s">
        <v>9967</v>
      </c>
      <c r="F400" s="375" t="s">
        <v>981</v>
      </c>
      <c r="G400" s="375" t="s">
        <v>982</v>
      </c>
      <c r="H400" s="375" t="s">
        <v>983</v>
      </c>
      <c r="I400" s="63" t="s">
        <v>984</v>
      </c>
      <c r="J400" s="47">
        <v>3740</v>
      </c>
      <c r="K400" s="46" t="s">
        <v>7938</v>
      </c>
      <c r="L400" s="47"/>
      <c r="M400" s="47" t="s">
        <v>9963</v>
      </c>
      <c r="N400" s="47" t="s">
        <v>1003</v>
      </c>
      <c r="O400" s="47"/>
      <c r="P400" s="47" t="s">
        <v>985</v>
      </c>
      <c r="Q400" s="47" t="s">
        <v>986</v>
      </c>
      <c r="R400" s="47">
        <v>540</v>
      </c>
      <c r="S400" s="47"/>
      <c r="T400" s="47"/>
      <c r="U400" s="47"/>
      <c r="V400" s="47" t="s">
        <v>9964</v>
      </c>
      <c r="W400" s="47"/>
      <c r="X400" s="47">
        <v>3000</v>
      </c>
      <c r="Y400" s="47"/>
      <c r="Z400" s="47">
        <v>4620</v>
      </c>
      <c r="AA400" s="47"/>
      <c r="AB400" s="47" t="s">
        <v>1001</v>
      </c>
      <c r="AC400" s="47"/>
      <c r="AD400" s="47"/>
      <c r="AE400" s="47" t="s">
        <v>9965</v>
      </c>
      <c r="AF400" s="47">
        <v>1485</v>
      </c>
      <c r="AG400" s="47"/>
      <c r="AH400" s="47">
        <f>IFERROR(_xlfn.XLOOKUP(Table6[[#This Row],[Suburb]],Table5[Travel Surcharge],Table5[$$]),"")</f>
        <v>1500</v>
      </c>
      <c r="AI400" s="47">
        <v>1650.0000000000002</v>
      </c>
      <c r="AJ400" s="47"/>
      <c r="AL400" t="str">
        <v>Homelea</v>
      </c>
    </row>
    <row r="401" spans="1:38">
      <c r="A401" s="374" t="s">
        <v>979</v>
      </c>
      <c r="B401" s="374">
        <v>31</v>
      </c>
      <c r="C401" s="374" t="s">
        <v>281</v>
      </c>
      <c r="D401" s="375" t="str">
        <f t="shared" si="78"/>
        <v>Ashbury Estate31</v>
      </c>
      <c r="E401" s="375" t="s">
        <v>9844</v>
      </c>
      <c r="F401" s="375" t="s">
        <v>981</v>
      </c>
      <c r="G401" s="375" t="s">
        <v>982</v>
      </c>
      <c r="H401" s="375" t="s">
        <v>983</v>
      </c>
      <c r="I401" s="63" t="s">
        <v>984</v>
      </c>
      <c r="J401" s="47">
        <f t="shared" si="81"/>
        <v>3740</v>
      </c>
      <c r="K401" s="46" t="s">
        <v>7938</v>
      </c>
      <c r="L401" s="47"/>
      <c r="M401" s="47" t="str">
        <f t="shared" si="82"/>
        <v>$1430 LL</v>
      </c>
      <c r="N401" s="47" t="s">
        <v>1003</v>
      </c>
      <c r="O401" s="47"/>
      <c r="P401" s="47" t="s">
        <v>985</v>
      </c>
      <c r="Q401" s="47" t="s">
        <v>986</v>
      </c>
      <c r="R401" s="47">
        <f t="shared" si="79"/>
        <v>540</v>
      </c>
      <c r="S401" s="47"/>
      <c r="T401" s="47"/>
      <c r="U401" s="47"/>
      <c r="V401" s="47" t="str">
        <f t="shared" si="83"/>
        <v>$$6/m2m2 LL</v>
      </c>
      <c r="W401" s="47"/>
      <c r="X401" s="47">
        <f t="shared" si="80"/>
        <v>3000</v>
      </c>
      <c r="Y401" s="47"/>
      <c r="Z401" s="47">
        <f t="shared" si="87"/>
        <v>4620</v>
      </c>
      <c r="AA401" s="47"/>
      <c r="AB401" s="47" t="s">
        <v>1001</v>
      </c>
      <c r="AC401" s="47"/>
      <c r="AD401" s="47"/>
      <c r="AE401" s="47" t="str">
        <f t="shared" si="84"/>
        <v>$5000 LL</v>
      </c>
      <c r="AF401" s="47">
        <f t="shared" si="85"/>
        <v>1485</v>
      </c>
      <c r="AG401" s="47"/>
      <c r="AH401" s="47">
        <f>IFERROR(_xlfn.XLOOKUP(Table6[[#This Row],[Suburb]],Table5[Travel Surcharge],Table5[$$]),"")</f>
        <v>1500</v>
      </c>
      <c r="AI401" s="47">
        <f t="shared" si="86"/>
        <v>1650.0000000000002</v>
      </c>
      <c r="AJ401" s="47"/>
      <c r="AL401" t="str">
        <v xml:space="preserve">Homestead Road (Saltwater Prom) </v>
      </c>
    </row>
    <row r="402" spans="1:38">
      <c r="A402" s="374" t="s">
        <v>979</v>
      </c>
      <c r="B402" s="374">
        <v>32</v>
      </c>
      <c r="C402" s="374" t="s">
        <v>281</v>
      </c>
      <c r="D402" s="375" t="str">
        <f t="shared" si="78"/>
        <v>Ashbury Estate32</v>
      </c>
      <c r="E402" s="375" t="s">
        <v>10215</v>
      </c>
      <c r="F402" s="375" t="s">
        <v>981</v>
      </c>
      <c r="G402" s="375" t="s">
        <v>982</v>
      </c>
      <c r="H402" s="375" t="s">
        <v>983</v>
      </c>
      <c r="I402" s="63" t="s">
        <v>984</v>
      </c>
      <c r="J402" s="47">
        <v>3740</v>
      </c>
      <c r="K402" s="46" t="s">
        <v>7938</v>
      </c>
      <c r="L402" s="47"/>
      <c r="M402" s="47" t="s">
        <v>9963</v>
      </c>
      <c r="N402" s="47" t="s">
        <v>1003</v>
      </c>
      <c r="O402" s="47"/>
      <c r="P402" s="47" t="s">
        <v>985</v>
      </c>
      <c r="Q402" s="47" t="s">
        <v>986</v>
      </c>
      <c r="R402" s="47">
        <v>540</v>
      </c>
      <c r="S402" s="47"/>
      <c r="T402" s="47"/>
      <c r="U402" s="47"/>
      <c r="V402" s="47" t="s">
        <v>9964</v>
      </c>
      <c r="W402" s="47"/>
      <c r="X402" s="47">
        <v>3000</v>
      </c>
      <c r="Y402" s="47"/>
      <c r="Z402" s="47">
        <v>4620</v>
      </c>
      <c r="AA402" s="47"/>
      <c r="AB402" s="47" t="s">
        <v>1001</v>
      </c>
      <c r="AC402" s="47"/>
      <c r="AD402" s="47"/>
      <c r="AE402" s="47" t="s">
        <v>9965</v>
      </c>
      <c r="AF402" s="47">
        <v>1485</v>
      </c>
      <c r="AG402" s="47"/>
      <c r="AH402" s="47">
        <v>1500</v>
      </c>
      <c r="AI402" s="47">
        <v>1650.0000000000002</v>
      </c>
      <c r="AJ402" s="47"/>
      <c r="AL402" t="str">
        <v xml:space="preserve">Horizon </v>
      </c>
    </row>
    <row r="403" spans="1:38">
      <c r="A403" s="374" t="s">
        <v>979</v>
      </c>
      <c r="B403" s="374">
        <v>33</v>
      </c>
      <c r="C403" s="374" t="s">
        <v>281</v>
      </c>
      <c r="D403" s="375" t="str">
        <f t="shared" si="78"/>
        <v>Ashbury Estate33</v>
      </c>
      <c r="E403" s="375" t="s">
        <v>11001</v>
      </c>
      <c r="F403" s="375" t="s">
        <v>981</v>
      </c>
      <c r="G403" s="375" t="s">
        <v>982</v>
      </c>
      <c r="H403" s="375" t="s">
        <v>983</v>
      </c>
      <c r="I403" s="63" t="s">
        <v>984</v>
      </c>
      <c r="J403" s="47">
        <v>3740</v>
      </c>
      <c r="K403" s="46" t="s">
        <v>7938</v>
      </c>
      <c r="L403" s="47"/>
      <c r="M403" s="47" t="s">
        <v>9963</v>
      </c>
      <c r="N403" s="47" t="s">
        <v>1003</v>
      </c>
      <c r="O403" s="47"/>
      <c r="P403" s="47" t="s">
        <v>985</v>
      </c>
      <c r="Q403" s="47" t="s">
        <v>986</v>
      </c>
      <c r="R403" s="47">
        <v>540</v>
      </c>
      <c r="S403" s="47"/>
      <c r="T403" s="47"/>
      <c r="U403" s="47"/>
      <c r="V403" s="47" t="s">
        <v>9964</v>
      </c>
      <c r="W403" s="47"/>
      <c r="X403" s="47">
        <v>3000</v>
      </c>
      <c r="Y403" s="47"/>
      <c r="Z403" s="47">
        <v>4620</v>
      </c>
      <c r="AA403" s="47"/>
      <c r="AB403" s="47" t="s">
        <v>1001</v>
      </c>
      <c r="AC403" s="47"/>
      <c r="AD403" s="47"/>
      <c r="AE403" s="47" t="s">
        <v>9965</v>
      </c>
      <c r="AF403" s="47">
        <v>1485</v>
      </c>
      <c r="AG403" s="47"/>
      <c r="AH403" s="47">
        <v>1500</v>
      </c>
      <c r="AI403" s="47">
        <v>1650.0000000000002</v>
      </c>
      <c r="AJ403" s="47"/>
      <c r="AL403" t="str">
        <v>Horizon Cove Estate</v>
      </c>
    </row>
    <row r="404" spans="1:38">
      <c r="A404" s="374" t="s">
        <v>979</v>
      </c>
      <c r="B404" s="374" t="s">
        <v>714</v>
      </c>
      <c r="C404" s="374" t="s">
        <v>281</v>
      </c>
      <c r="D404" s="375" t="str">
        <f t="shared" si="78"/>
        <v>Ashbury Estate11A</v>
      </c>
      <c r="E404" s="375" t="s">
        <v>1005</v>
      </c>
      <c r="F404" s="375" t="s">
        <v>981</v>
      </c>
      <c r="G404" s="375" t="s">
        <v>982</v>
      </c>
      <c r="H404" s="375" t="s">
        <v>983</v>
      </c>
      <c r="I404" s="63" t="s">
        <v>984</v>
      </c>
      <c r="J404" s="47">
        <f t="shared" si="81"/>
        <v>3740</v>
      </c>
      <c r="K404" s="46" t="s">
        <v>7938</v>
      </c>
      <c r="L404" s="47"/>
      <c r="M404" s="47" t="str">
        <f t="shared" si="82"/>
        <v>$1430 LL</v>
      </c>
      <c r="N404" s="47"/>
      <c r="O404" s="47"/>
      <c r="P404" s="47" t="s">
        <v>985</v>
      </c>
      <c r="Q404" s="47" t="s">
        <v>986</v>
      </c>
      <c r="R404" s="47">
        <f t="shared" si="79"/>
        <v>540</v>
      </c>
      <c r="S404" s="47"/>
      <c r="T404" s="47"/>
      <c r="U404" s="47"/>
      <c r="V404" s="47" t="str">
        <f t="shared" si="83"/>
        <v>$$6/m2m2 LL</v>
      </c>
      <c r="W404" s="47"/>
      <c r="X404" s="47">
        <f t="shared" si="80"/>
        <v>3000</v>
      </c>
      <c r="Y404" s="47"/>
      <c r="Z404" s="47">
        <f t="shared" si="87"/>
        <v>4620</v>
      </c>
      <c r="AA404" s="47"/>
      <c r="AB404" s="47"/>
      <c r="AC404" s="47"/>
      <c r="AD404" s="47"/>
      <c r="AE404" s="47" t="str">
        <f t="shared" si="84"/>
        <v>$5000 LL</v>
      </c>
      <c r="AF404" s="47">
        <f t="shared" si="85"/>
        <v>1485</v>
      </c>
      <c r="AG404" s="47"/>
      <c r="AH404" s="47">
        <f>IFERROR(_xlfn.XLOOKUP(Table6[[#This Row],[Suburb]],Table5[Travel Surcharge],Table5[$$]),"")</f>
        <v>1500</v>
      </c>
      <c r="AI404" s="47">
        <f t="shared" si="86"/>
        <v>1650.0000000000002</v>
      </c>
      <c r="AJ404" s="47"/>
      <c r="AL404" t="str">
        <v>Hunter Park Estate</v>
      </c>
    </row>
    <row r="405" spans="1:38">
      <c r="A405" s="374" t="s">
        <v>979</v>
      </c>
      <c r="B405" s="374" t="s">
        <v>1006</v>
      </c>
      <c r="C405" s="374" t="s">
        <v>281</v>
      </c>
      <c r="D405" s="375" t="str">
        <f t="shared" si="78"/>
        <v>Ashbury Estate9A</v>
      </c>
      <c r="E405" s="375" t="s">
        <v>1007</v>
      </c>
      <c r="F405" s="375" t="s">
        <v>981</v>
      </c>
      <c r="G405" s="375" t="s">
        <v>982</v>
      </c>
      <c r="H405" s="375" t="s">
        <v>983</v>
      </c>
      <c r="I405" s="63" t="s">
        <v>984</v>
      </c>
      <c r="J405" s="47">
        <f t="shared" si="81"/>
        <v>3740</v>
      </c>
      <c r="K405" s="46" t="s">
        <v>7938</v>
      </c>
      <c r="L405" s="47"/>
      <c r="M405" s="47" t="str">
        <f t="shared" si="82"/>
        <v>$1430 LL</v>
      </c>
      <c r="N405" s="47"/>
      <c r="O405" s="47"/>
      <c r="P405" s="47" t="s">
        <v>985</v>
      </c>
      <c r="Q405" s="47" t="s">
        <v>986</v>
      </c>
      <c r="R405" s="47">
        <f t="shared" si="79"/>
        <v>540</v>
      </c>
      <c r="S405" s="47"/>
      <c r="T405" s="47"/>
      <c r="U405" s="47"/>
      <c r="V405" s="47" t="str">
        <f t="shared" si="83"/>
        <v>$$6/m2m2 LL</v>
      </c>
      <c r="W405" s="47"/>
      <c r="X405" s="47">
        <f t="shared" si="80"/>
        <v>3000</v>
      </c>
      <c r="Y405" s="47"/>
      <c r="Z405" s="47">
        <f t="shared" si="87"/>
        <v>4620</v>
      </c>
      <c r="AA405" s="47"/>
      <c r="AB405" s="47"/>
      <c r="AC405" s="47"/>
      <c r="AD405" s="47"/>
      <c r="AE405" s="47" t="str">
        <f t="shared" si="84"/>
        <v>$5000 LL</v>
      </c>
      <c r="AF405" s="47">
        <f t="shared" si="85"/>
        <v>1485</v>
      </c>
      <c r="AG405" s="47"/>
      <c r="AH405" s="47">
        <f>IFERROR(_xlfn.XLOOKUP(Table6[[#This Row],[Suburb]],Table5[Travel Surcharge],Table5[$$]),"")</f>
        <v>1500</v>
      </c>
      <c r="AI405" s="47">
        <f t="shared" si="86"/>
        <v>1650.0000000000002</v>
      </c>
      <c r="AJ405" s="47"/>
      <c r="AL405" t="str">
        <v>Infinity Estate</v>
      </c>
    </row>
    <row r="406" spans="1:38">
      <c r="A406" s="374" t="s">
        <v>1008</v>
      </c>
      <c r="B406" s="374">
        <v>1</v>
      </c>
      <c r="C406" s="374" t="s">
        <v>688</v>
      </c>
      <c r="D406" s="375" t="str">
        <f t="shared" si="78"/>
        <v>Ashford Park Estate1</v>
      </c>
      <c r="E406" s="375" t="s">
        <v>1009</v>
      </c>
      <c r="F406" s="375" t="s">
        <v>1010</v>
      </c>
      <c r="G406" s="375" t="s">
        <v>1011</v>
      </c>
      <c r="H406" s="375" t="s">
        <v>1012</v>
      </c>
      <c r="I406" s="63" t="s">
        <v>1013</v>
      </c>
      <c r="J406" s="47">
        <f t="shared" si="81"/>
        <v>3740</v>
      </c>
      <c r="K406" s="46" t="s">
        <v>10735</v>
      </c>
      <c r="L406" s="47"/>
      <c r="M406" s="47"/>
      <c r="N406" s="47"/>
      <c r="O406" s="47"/>
      <c r="P406" s="47"/>
      <c r="Q406" s="47">
        <f t="shared" ref="Q406:Q411" si="88">Q$2</f>
        <v>0</v>
      </c>
      <c r="R406" s="47"/>
      <c r="S406" s="47"/>
      <c r="T406" s="47"/>
      <c r="U406" s="47"/>
      <c r="V406" s="47"/>
      <c r="W406" s="47"/>
      <c r="X406" s="47"/>
      <c r="Y406" s="47"/>
      <c r="Z406" s="47">
        <f t="shared" si="87"/>
        <v>4620</v>
      </c>
      <c r="AA406" s="47"/>
      <c r="AB406" s="47"/>
      <c r="AC406" s="47"/>
      <c r="AD406" s="47"/>
      <c r="AE406" s="47"/>
      <c r="AF406" s="47"/>
      <c r="AG406" s="47"/>
      <c r="AH406" s="47" t="str">
        <f>IFERROR(_xlfn.XLOOKUP(Table6[[#This Row],[Suburb]],Table5[Travel Surcharge],Table5[$$]),"")</f>
        <v/>
      </c>
      <c r="AI406" s="47"/>
      <c r="AJ406" s="47"/>
      <c r="AL406" t="str">
        <v>Ironwood</v>
      </c>
    </row>
    <row r="407" spans="1:38">
      <c r="A407" s="374" t="s">
        <v>1008</v>
      </c>
      <c r="B407" s="374">
        <v>2</v>
      </c>
      <c r="C407" s="374" t="s">
        <v>688</v>
      </c>
      <c r="D407" s="375" t="str">
        <f t="shared" si="78"/>
        <v>Ashford Park Estate2</v>
      </c>
      <c r="E407" s="375" t="s">
        <v>1014</v>
      </c>
      <c r="F407" s="375" t="s">
        <v>1010</v>
      </c>
      <c r="G407" s="375" t="s">
        <v>1011</v>
      </c>
      <c r="H407" s="375" t="s">
        <v>1012</v>
      </c>
      <c r="I407" s="63" t="s">
        <v>1013</v>
      </c>
      <c r="J407" s="47">
        <f t="shared" si="81"/>
        <v>3740</v>
      </c>
      <c r="K407" s="46" t="s">
        <v>10735</v>
      </c>
      <c r="L407" s="47"/>
      <c r="M407" s="47"/>
      <c r="N407" s="47"/>
      <c r="O407" s="47"/>
      <c r="P407" s="47"/>
      <c r="Q407" s="47">
        <f t="shared" si="88"/>
        <v>0</v>
      </c>
      <c r="R407" s="47"/>
      <c r="S407" s="47"/>
      <c r="T407" s="47"/>
      <c r="U407" s="47"/>
      <c r="V407" s="47"/>
      <c r="W407" s="47"/>
      <c r="X407" s="47"/>
      <c r="Y407" s="47"/>
      <c r="Z407" s="47">
        <f t="shared" si="87"/>
        <v>4620</v>
      </c>
      <c r="AA407" s="47"/>
      <c r="AB407" s="47"/>
      <c r="AC407" s="47"/>
      <c r="AD407" s="47"/>
      <c r="AE407" s="47"/>
      <c r="AF407" s="47"/>
      <c r="AG407" s="47"/>
      <c r="AH407" s="47" t="str">
        <f>IFERROR(_xlfn.XLOOKUP(Table6[[#This Row],[Suburb]],Table5[Travel Surcharge],Table5[$$]),"")</f>
        <v/>
      </c>
      <c r="AI407" s="47"/>
      <c r="AJ407" s="47"/>
      <c r="AL407" t="str">
        <v>Iverness</v>
      </c>
    </row>
    <row r="408" spans="1:38">
      <c r="A408" s="374" t="s">
        <v>1008</v>
      </c>
      <c r="B408" s="374">
        <v>3</v>
      </c>
      <c r="C408" s="374" t="s">
        <v>688</v>
      </c>
      <c r="D408" s="375" t="str">
        <f t="shared" si="78"/>
        <v>Ashford Park Estate3</v>
      </c>
      <c r="E408" s="375" t="s">
        <v>1015</v>
      </c>
      <c r="F408" s="375" t="s">
        <v>1010</v>
      </c>
      <c r="G408" s="375" t="s">
        <v>1011</v>
      </c>
      <c r="H408" s="375" t="s">
        <v>1012</v>
      </c>
      <c r="I408" s="63" t="s">
        <v>1013</v>
      </c>
      <c r="J408" s="47">
        <f t="shared" si="81"/>
        <v>3740</v>
      </c>
      <c r="K408" s="46" t="s">
        <v>10735</v>
      </c>
      <c r="L408" s="47"/>
      <c r="M408" s="47"/>
      <c r="N408" s="47"/>
      <c r="O408" s="47"/>
      <c r="P408" s="47"/>
      <c r="Q408" s="47">
        <f t="shared" si="88"/>
        <v>0</v>
      </c>
      <c r="R408" s="47"/>
      <c r="S408" s="47"/>
      <c r="T408" s="47"/>
      <c r="U408" s="47"/>
      <c r="V408" s="47"/>
      <c r="W408" s="47"/>
      <c r="X408" s="47"/>
      <c r="Y408" s="47"/>
      <c r="Z408" s="47">
        <f t="shared" si="87"/>
        <v>4620</v>
      </c>
      <c r="AA408" s="47"/>
      <c r="AB408" s="47"/>
      <c r="AC408" s="47"/>
      <c r="AD408" s="47"/>
      <c r="AE408" s="47"/>
      <c r="AF408" s="47"/>
      <c r="AG408" s="47"/>
      <c r="AH408" s="47" t="str">
        <f>IFERROR(_xlfn.XLOOKUP(Table6[[#This Row],[Suburb]],Table5[Travel Surcharge],Table5[$$]),"")</f>
        <v/>
      </c>
      <c r="AI408" s="47"/>
      <c r="AJ408" s="47"/>
      <c r="AL408" t="str">
        <v>Ivy</v>
      </c>
    </row>
    <row r="409" spans="1:38">
      <c r="A409" s="374" t="s">
        <v>1008</v>
      </c>
      <c r="B409" s="374">
        <v>4</v>
      </c>
      <c r="C409" s="374" t="s">
        <v>688</v>
      </c>
      <c r="D409" s="375" t="str">
        <f t="shared" si="78"/>
        <v>Ashford Park Estate4</v>
      </c>
      <c r="E409" s="375" t="s">
        <v>1016</v>
      </c>
      <c r="F409" s="375" t="s">
        <v>1010</v>
      </c>
      <c r="G409" s="375" t="s">
        <v>1011</v>
      </c>
      <c r="H409" s="375" t="s">
        <v>1012</v>
      </c>
      <c r="I409" s="63" t="s">
        <v>1013</v>
      </c>
      <c r="J409" s="47">
        <f t="shared" si="81"/>
        <v>3740</v>
      </c>
      <c r="K409" s="46" t="s">
        <v>10735</v>
      </c>
      <c r="L409" s="47"/>
      <c r="M409" s="47"/>
      <c r="N409" s="47"/>
      <c r="O409" s="47"/>
      <c r="P409" s="47"/>
      <c r="Q409" s="47">
        <f t="shared" si="88"/>
        <v>0</v>
      </c>
      <c r="R409" s="47"/>
      <c r="S409" s="47"/>
      <c r="T409" s="47"/>
      <c r="U409" s="47"/>
      <c r="V409" s="47"/>
      <c r="W409" s="47"/>
      <c r="X409" s="47"/>
      <c r="Y409" s="47"/>
      <c r="Z409" s="47">
        <f t="shared" si="87"/>
        <v>4620</v>
      </c>
      <c r="AA409" s="47"/>
      <c r="AB409" s="47"/>
      <c r="AC409" s="47"/>
      <c r="AD409" s="47"/>
      <c r="AE409" s="47"/>
      <c r="AF409" s="47"/>
      <c r="AG409" s="47"/>
      <c r="AH409" s="47" t="str">
        <f>IFERROR(_xlfn.XLOOKUP(Table6[[#This Row],[Suburb]],Table5[Travel Surcharge],Table5[$$]),"")</f>
        <v/>
      </c>
      <c r="AI409" s="47"/>
      <c r="AJ409" s="47"/>
      <c r="AL409" t="str">
        <v>Jackson's View Estate</v>
      </c>
    </row>
    <row r="410" spans="1:38">
      <c r="A410" s="374" t="s">
        <v>1008</v>
      </c>
      <c r="B410" s="374">
        <v>5</v>
      </c>
      <c r="C410" s="374" t="s">
        <v>688</v>
      </c>
      <c r="D410" s="375" t="str">
        <f t="shared" si="78"/>
        <v>Ashford Park Estate5</v>
      </c>
      <c r="E410" s="375" t="s">
        <v>1017</v>
      </c>
      <c r="F410" s="375" t="s">
        <v>1010</v>
      </c>
      <c r="G410" s="375" t="s">
        <v>1011</v>
      </c>
      <c r="H410" s="375" t="s">
        <v>1012</v>
      </c>
      <c r="I410" s="63" t="s">
        <v>1013</v>
      </c>
      <c r="J410" s="47">
        <f t="shared" si="81"/>
        <v>3740</v>
      </c>
      <c r="K410" s="46" t="s">
        <v>10735</v>
      </c>
      <c r="L410" s="47"/>
      <c r="M410" s="47"/>
      <c r="N410" s="47"/>
      <c r="O410" s="47"/>
      <c r="P410" s="47"/>
      <c r="Q410" s="47">
        <f t="shared" si="88"/>
        <v>0</v>
      </c>
      <c r="R410" s="47"/>
      <c r="S410" s="47"/>
      <c r="T410" s="47"/>
      <c r="U410" s="47"/>
      <c r="V410" s="47"/>
      <c r="W410" s="47"/>
      <c r="X410" s="47"/>
      <c r="Y410" s="47"/>
      <c r="Z410" s="47">
        <f t="shared" si="87"/>
        <v>4620</v>
      </c>
      <c r="AA410" s="47"/>
      <c r="AB410" s="47"/>
      <c r="AC410" s="47"/>
      <c r="AD410" s="47"/>
      <c r="AE410" s="47"/>
      <c r="AF410" s="47"/>
      <c r="AG410" s="47"/>
      <c r="AH410" s="47" t="str">
        <f>IFERROR(_xlfn.XLOOKUP(Table6[[#This Row],[Suburb]],Table5[Travel Surcharge],Table5[$$]),"")</f>
        <v/>
      </c>
      <c r="AI410" s="47"/>
      <c r="AJ410" s="47"/>
      <c r="AL410" t="str">
        <v>Janson Views Estate</v>
      </c>
    </row>
    <row r="411" spans="1:38">
      <c r="A411" s="374" t="s">
        <v>1018</v>
      </c>
      <c r="B411" s="374">
        <v>1</v>
      </c>
      <c r="C411" s="374" t="s">
        <v>1019</v>
      </c>
      <c r="D411" s="375" t="str">
        <f t="shared" si="78"/>
        <v>Ashwark1</v>
      </c>
      <c r="E411" s="375" t="s">
        <v>1020</v>
      </c>
      <c r="F411" s="375"/>
      <c r="G411" s="375"/>
      <c r="H411" s="375"/>
      <c r="I411" s="63"/>
      <c r="J411" s="47">
        <f t="shared" si="81"/>
        <v>3740</v>
      </c>
      <c r="K411" s="46" t="s">
        <v>10735</v>
      </c>
      <c r="L411" s="47"/>
      <c r="M411" s="47"/>
      <c r="N411" s="47"/>
      <c r="O411" s="47"/>
      <c r="P411" s="47"/>
      <c r="Q411" s="47">
        <f t="shared" si="88"/>
        <v>0</v>
      </c>
      <c r="R411" s="47"/>
      <c r="S411" s="47"/>
      <c r="T411" s="47"/>
      <c r="U411" s="47"/>
      <c r="V411" s="47"/>
      <c r="W411" s="47"/>
      <c r="X411" s="47"/>
      <c r="Y411" s="47"/>
      <c r="Z411" s="47">
        <f t="shared" si="87"/>
        <v>4620</v>
      </c>
      <c r="AA411" s="47"/>
      <c r="AB411" s="47"/>
      <c r="AC411" s="47"/>
      <c r="AD411" s="47"/>
      <c r="AE411" s="47"/>
      <c r="AF411" s="47"/>
      <c r="AG411" s="47"/>
      <c r="AH411" s="47" t="str">
        <f>IFERROR(_xlfn.XLOOKUP(Table6[[#This Row],[Suburb]],Table5[Travel Surcharge],Table5[$$]),"")</f>
        <v/>
      </c>
      <c r="AI411" s="47"/>
      <c r="AJ411" s="47"/>
      <c r="AL411" t="str">
        <v>Jawaid</v>
      </c>
    </row>
    <row r="412" spans="1:38" ht="15.75">
      <c r="A412" s="374" t="s">
        <v>10992</v>
      </c>
      <c r="B412" s="374">
        <v>1</v>
      </c>
      <c r="C412" s="374" t="s">
        <v>10993</v>
      </c>
      <c r="D412" s="375" t="str">
        <f>CONCATENATE(A412,B412)</f>
        <v>Ashwood1</v>
      </c>
      <c r="E412" s="375" t="s">
        <v>10994</v>
      </c>
      <c r="F412" s="375"/>
      <c r="G412" s="416" t="s">
        <v>10995</v>
      </c>
      <c r="H412" s="416" t="s">
        <v>10997</v>
      </c>
      <c r="I412" s="217" t="s">
        <v>10996</v>
      </c>
      <c r="J412" s="47"/>
      <c r="K412" s="46" t="s">
        <v>10986</v>
      </c>
      <c r="L412" s="47" t="s">
        <v>10999</v>
      </c>
      <c r="M412" s="47"/>
      <c r="N412" s="47" t="s">
        <v>10998</v>
      </c>
      <c r="O412" s="47">
        <v>4950</v>
      </c>
      <c r="P412" s="47"/>
      <c r="Q412" s="47">
        <v>0</v>
      </c>
      <c r="R412" s="47"/>
      <c r="S412" s="47">
        <f>S$2</f>
        <v>590</v>
      </c>
      <c r="T412" s="47"/>
      <c r="U412" s="47"/>
      <c r="V412" s="47"/>
      <c r="W412" s="47"/>
      <c r="X412" s="47"/>
      <c r="Y412" s="47"/>
      <c r="Z412" s="47">
        <f>Z$7</f>
        <v>4620</v>
      </c>
      <c r="AA412" s="47"/>
      <c r="AB412" s="47"/>
      <c r="AC412" s="47"/>
      <c r="AD412" s="47"/>
      <c r="AE412" s="47"/>
      <c r="AF412" s="47"/>
      <c r="AG412" s="47"/>
      <c r="AH412" s="47">
        <v>7000</v>
      </c>
      <c r="AI412" s="47"/>
      <c r="AJ412" s="47">
        <v>4000</v>
      </c>
      <c r="AL412" t="str">
        <v>Jefferson Estate</v>
      </c>
    </row>
    <row r="413" spans="1:38">
      <c r="A413" s="374" t="s">
        <v>1021</v>
      </c>
      <c r="B413" s="374">
        <v>1</v>
      </c>
      <c r="C413" s="374" t="s">
        <v>802</v>
      </c>
      <c r="D413" s="375" t="str">
        <f t="shared" si="78"/>
        <v>Aspect  - Officer1</v>
      </c>
      <c r="E413" s="375" t="s">
        <v>1022</v>
      </c>
      <c r="F413" s="375"/>
      <c r="G413" s="375"/>
      <c r="H413" s="375"/>
      <c r="I413" s="63"/>
      <c r="J413" s="47">
        <f t="shared" si="81"/>
        <v>3740</v>
      </c>
      <c r="K413" s="46" t="s">
        <v>10735</v>
      </c>
      <c r="L413" s="47"/>
      <c r="M413" s="47"/>
      <c r="N413" s="47"/>
      <c r="O413" s="47"/>
      <c r="P413" s="47"/>
      <c r="Q413" s="47"/>
      <c r="R413" s="47"/>
      <c r="S413" s="47"/>
      <c r="T413" s="47"/>
      <c r="U413" s="47">
        <f>U$2</f>
        <v>430</v>
      </c>
      <c r="V413" s="47"/>
      <c r="W413" s="47"/>
      <c r="X413" s="47"/>
      <c r="Y413" s="47"/>
      <c r="Z413" s="47">
        <f t="shared" si="87"/>
        <v>4620</v>
      </c>
      <c r="AA413" s="47">
        <f>AA$7</f>
        <v>1400</v>
      </c>
      <c r="AB413" s="47"/>
      <c r="AC413" s="47"/>
      <c r="AD413" s="47"/>
      <c r="AE413" s="47"/>
      <c r="AF413" s="47">
        <f t="shared" ref="AF413:AF419" si="89">AF$7</f>
        <v>1485</v>
      </c>
      <c r="AG413" s="47"/>
      <c r="AH413" s="47" t="str">
        <f>IFERROR(_xlfn.XLOOKUP(Table6[[#This Row],[Suburb]],Table5[Travel Surcharge],Table5[$$]),"")</f>
        <v/>
      </c>
      <c r="AI413" s="47"/>
      <c r="AJ413" s="47"/>
      <c r="AL413" t="str">
        <v>Jennifer Court</v>
      </c>
    </row>
    <row r="414" spans="1:38">
      <c r="A414" s="374" t="s">
        <v>1033</v>
      </c>
      <c r="B414" s="374">
        <v>1</v>
      </c>
      <c r="C414" s="374" t="s">
        <v>409</v>
      </c>
      <c r="D414" s="375" t="str">
        <f t="shared" si="78"/>
        <v>Aspect - Mernda1</v>
      </c>
      <c r="E414" s="375" t="s">
        <v>1034</v>
      </c>
      <c r="F414" s="375"/>
      <c r="G414" s="375"/>
      <c r="H414" s="375"/>
      <c r="I414" s="63"/>
      <c r="J414" s="47"/>
      <c r="K414" s="46" t="s">
        <v>10735</v>
      </c>
      <c r="L414" s="47" t="s">
        <v>1035</v>
      </c>
      <c r="M414" s="47">
        <f t="shared" ref="M414:M425" si="90">M$7</f>
        <v>1430.0000000000002</v>
      </c>
      <c r="N414" s="47" t="s">
        <v>1036</v>
      </c>
      <c r="O414" s="47" t="s">
        <v>1037</v>
      </c>
      <c r="P414" s="47" t="s">
        <v>1038</v>
      </c>
      <c r="Q414" s="47"/>
      <c r="R414" s="47">
        <f>R$2</f>
        <v>540</v>
      </c>
      <c r="S414" s="47" t="s">
        <v>1039</v>
      </c>
      <c r="T414" s="47"/>
      <c r="U414" s="47"/>
      <c r="V414" s="47"/>
      <c r="W414" s="47"/>
      <c r="X414" s="47"/>
      <c r="Y414" s="47"/>
      <c r="Z414" s="47">
        <f t="shared" si="87"/>
        <v>4620</v>
      </c>
      <c r="AA414" s="47">
        <f>AA$7</f>
        <v>1400</v>
      </c>
      <c r="AB414" s="47"/>
      <c r="AC414" s="47"/>
      <c r="AD414" s="47" t="s">
        <v>1</v>
      </c>
      <c r="AE414" s="47"/>
      <c r="AF414" s="47">
        <f t="shared" si="89"/>
        <v>1485</v>
      </c>
      <c r="AG414" s="47"/>
      <c r="AH414" s="47" t="str">
        <f>IFERROR(_xlfn.XLOOKUP(Table6[[#This Row],[Suburb]],Table5[Travel Surcharge],Table5[$$]),"")</f>
        <v/>
      </c>
      <c r="AI414" s="47"/>
      <c r="AJ414" s="47"/>
      <c r="AL414" t="str">
        <v>Jessefield Estate</v>
      </c>
    </row>
    <row r="415" spans="1:38">
      <c r="A415" s="374" t="s">
        <v>1033</v>
      </c>
      <c r="B415" s="374">
        <v>2</v>
      </c>
      <c r="C415" s="374" t="s">
        <v>409</v>
      </c>
      <c r="D415" s="375" t="str">
        <f t="shared" si="78"/>
        <v>Aspect - Mernda2</v>
      </c>
      <c r="E415" s="375" t="s">
        <v>1040</v>
      </c>
      <c r="F415" s="375"/>
      <c r="G415" s="375"/>
      <c r="H415" s="375"/>
      <c r="I415" s="63"/>
      <c r="J415" s="47"/>
      <c r="K415" s="46" t="s">
        <v>10735</v>
      </c>
      <c r="L415" s="47" t="s">
        <v>1035</v>
      </c>
      <c r="M415" s="47">
        <f t="shared" si="90"/>
        <v>1430.0000000000002</v>
      </c>
      <c r="N415" s="47" t="s">
        <v>1036</v>
      </c>
      <c r="O415" s="47" t="s">
        <v>1037</v>
      </c>
      <c r="P415" s="47" t="s">
        <v>1038</v>
      </c>
      <c r="Q415" s="47"/>
      <c r="R415" s="47">
        <f>R$2</f>
        <v>540</v>
      </c>
      <c r="S415" s="47" t="s">
        <v>1039</v>
      </c>
      <c r="T415" s="47"/>
      <c r="U415" s="47"/>
      <c r="V415" s="47"/>
      <c r="W415" s="47"/>
      <c r="X415" s="47"/>
      <c r="Y415" s="47"/>
      <c r="Z415" s="47">
        <f t="shared" si="87"/>
        <v>4620</v>
      </c>
      <c r="AA415" s="47">
        <f>AA$7</f>
        <v>1400</v>
      </c>
      <c r="AB415" s="47"/>
      <c r="AC415" s="47"/>
      <c r="AD415" s="47" t="s">
        <v>1</v>
      </c>
      <c r="AE415" s="47"/>
      <c r="AF415" s="47">
        <f t="shared" si="89"/>
        <v>1485</v>
      </c>
      <c r="AG415" s="47"/>
      <c r="AH415" s="47" t="str">
        <f>IFERROR(_xlfn.XLOOKUP(Table6[[#This Row],[Suburb]],Table5[Travel Surcharge],Table5[$$]),"")</f>
        <v/>
      </c>
      <c r="AI415" s="47"/>
      <c r="AJ415" s="47"/>
      <c r="AL415" t="str">
        <v>Jetty North</v>
      </c>
    </row>
    <row r="416" spans="1:38">
      <c r="A416" s="157" t="s">
        <v>1033</v>
      </c>
      <c r="B416" s="157">
        <v>3</v>
      </c>
      <c r="C416" s="157" t="s">
        <v>409</v>
      </c>
      <c r="D416" s="157" t="str">
        <f t="shared" si="78"/>
        <v>Aspect - Mernda3</v>
      </c>
      <c r="E416" s="157" t="s">
        <v>8062</v>
      </c>
      <c r="F416" s="157"/>
      <c r="G416" s="157"/>
      <c r="H416" s="157"/>
      <c r="I416" s="158"/>
      <c r="J416" s="47"/>
      <c r="K416" s="46" t="s">
        <v>10735</v>
      </c>
      <c r="L416" s="47" t="s">
        <v>1035</v>
      </c>
      <c r="M416" s="47">
        <f t="shared" si="90"/>
        <v>1430.0000000000002</v>
      </c>
      <c r="N416" s="47" t="s">
        <v>1036</v>
      </c>
      <c r="O416" s="47" t="s">
        <v>1037</v>
      </c>
      <c r="P416" s="47" t="s">
        <v>1038</v>
      </c>
      <c r="Q416" s="47"/>
      <c r="R416" s="47">
        <f>R$2</f>
        <v>540</v>
      </c>
      <c r="S416" s="47" t="s">
        <v>1039</v>
      </c>
      <c r="T416" s="47"/>
      <c r="U416" s="47"/>
      <c r="V416" s="47"/>
      <c r="W416" s="47"/>
      <c r="X416" s="47"/>
      <c r="Y416" s="47"/>
      <c r="Z416" s="47">
        <f t="shared" si="87"/>
        <v>4620</v>
      </c>
      <c r="AA416" s="47">
        <f>AA$7</f>
        <v>1400</v>
      </c>
      <c r="AB416" s="47"/>
      <c r="AC416" s="47"/>
      <c r="AD416" s="47" t="s">
        <v>1</v>
      </c>
      <c r="AE416" s="47"/>
      <c r="AF416" s="47">
        <f t="shared" si="89"/>
        <v>1485</v>
      </c>
      <c r="AG416" s="47"/>
      <c r="AH416" s="47" t="str">
        <f>IFERROR(_xlfn.XLOOKUP(Table6[[#This Row],[Suburb]],Table5[Travel Surcharge],Table5[$$]),"")</f>
        <v/>
      </c>
      <c r="AI416" s="47"/>
      <c r="AJ416" s="47"/>
      <c r="AL416" t="str">
        <v>Jubilee Estate</v>
      </c>
    </row>
    <row r="417" spans="1:38">
      <c r="A417" s="157" t="s">
        <v>1033</v>
      </c>
      <c r="B417" s="157">
        <v>5</v>
      </c>
      <c r="C417" s="157" t="s">
        <v>409</v>
      </c>
      <c r="D417" s="157" t="str">
        <f t="shared" si="78"/>
        <v>Aspect - Mernda5</v>
      </c>
      <c r="E417" s="157" t="s">
        <v>9042</v>
      </c>
      <c r="F417" s="157"/>
      <c r="G417" s="157"/>
      <c r="H417" s="157"/>
      <c r="I417" s="158"/>
      <c r="J417" s="47"/>
      <c r="K417" s="46" t="s">
        <v>10735</v>
      </c>
      <c r="L417" s="47" t="s">
        <v>1035</v>
      </c>
      <c r="M417" s="47">
        <f t="shared" si="90"/>
        <v>1430.0000000000002</v>
      </c>
      <c r="N417" s="47" t="s">
        <v>1036</v>
      </c>
      <c r="O417" s="47" t="s">
        <v>1037</v>
      </c>
      <c r="P417" s="47" t="s">
        <v>1038</v>
      </c>
      <c r="Q417" s="47"/>
      <c r="R417" s="47">
        <f>R$2</f>
        <v>540</v>
      </c>
      <c r="S417" s="47" t="s">
        <v>1039</v>
      </c>
      <c r="T417" s="47"/>
      <c r="U417" s="47"/>
      <c r="V417" s="47"/>
      <c r="W417" s="47"/>
      <c r="X417" s="47"/>
      <c r="Y417" s="47"/>
      <c r="Z417" s="47">
        <f t="shared" si="87"/>
        <v>4620</v>
      </c>
      <c r="AA417" s="47">
        <f>AA$7</f>
        <v>1400</v>
      </c>
      <c r="AB417" s="47"/>
      <c r="AC417" s="47"/>
      <c r="AD417" s="47" t="s">
        <v>1</v>
      </c>
      <c r="AE417" s="47"/>
      <c r="AF417" s="47">
        <f t="shared" si="89"/>
        <v>1485</v>
      </c>
      <c r="AG417" s="47"/>
      <c r="AH417" s="47" t="str">
        <f>IFERROR(_xlfn.XLOOKUP(Table6[[#This Row],[Suburb]],Table5[Travel Surcharge],Table5[$$]),"")</f>
        <v/>
      </c>
      <c r="AI417" s="47"/>
      <c r="AJ417" s="47"/>
      <c r="AL417" t="str">
        <v>Jubilee Estate Urban Square</v>
      </c>
    </row>
    <row r="418" spans="1:38">
      <c r="A418" s="374" t="s">
        <v>1031</v>
      </c>
      <c r="B418" s="374">
        <v>10</v>
      </c>
      <c r="C418" s="374" t="s">
        <v>1024</v>
      </c>
      <c r="D418" s="375" t="str">
        <f t="shared" si="78"/>
        <v>Aspect Estate10</v>
      </c>
      <c r="E418" s="375" t="s">
        <v>1032</v>
      </c>
      <c r="F418" s="375" t="s">
        <v>972</v>
      </c>
      <c r="G418" s="375" t="s">
        <v>1026</v>
      </c>
      <c r="H418" s="375" t="s">
        <v>1027</v>
      </c>
      <c r="I418" s="63" t="s">
        <v>1028</v>
      </c>
      <c r="J418" s="47">
        <f t="shared" ref="J418:J449" si="91">J$7</f>
        <v>3740</v>
      </c>
      <c r="K418" s="46" t="s">
        <v>10735</v>
      </c>
      <c r="L418" s="47" t="s">
        <v>1029</v>
      </c>
      <c r="M418" s="47">
        <f t="shared" si="90"/>
        <v>1430.0000000000002</v>
      </c>
      <c r="N418" s="47"/>
      <c r="O418" s="47"/>
      <c r="P418" s="47"/>
      <c r="Q418" s="47"/>
      <c r="R418" s="47"/>
      <c r="S418" s="47" t="s">
        <v>1030</v>
      </c>
      <c r="T418" s="47"/>
      <c r="U418" s="47"/>
      <c r="V418" s="47"/>
      <c r="W418" s="47"/>
      <c r="X418" s="47"/>
      <c r="Y418" s="47"/>
      <c r="Z418" s="47">
        <f t="shared" si="87"/>
        <v>4620</v>
      </c>
      <c r="AA418" s="47"/>
      <c r="AB418" s="47"/>
      <c r="AC418" s="47"/>
      <c r="AD418" s="47" t="s">
        <v>1</v>
      </c>
      <c r="AE418" s="47"/>
      <c r="AF418" s="47">
        <f t="shared" si="89"/>
        <v>1485</v>
      </c>
      <c r="AG418" s="47"/>
      <c r="AH418" s="47" t="str">
        <f>IFERROR(_xlfn.XLOOKUP(Table6[[#This Row],[Suburb]],Table5[Travel Surcharge],Table5[$$]),"")</f>
        <v/>
      </c>
      <c r="AI418" s="47"/>
      <c r="AJ418" s="47"/>
      <c r="AL418" t="str">
        <v>Kaduna Park Estate</v>
      </c>
    </row>
    <row r="419" spans="1:38">
      <c r="A419" s="374" t="s">
        <v>1023</v>
      </c>
      <c r="B419" s="374">
        <v>8</v>
      </c>
      <c r="C419" s="374" t="s">
        <v>1024</v>
      </c>
      <c r="D419" s="375" t="str">
        <f t="shared" si="78"/>
        <v>Aspect Estate - Greenvale8</v>
      </c>
      <c r="E419" s="375" t="s">
        <v>1025</v>
      </c>
      <c r="F419" s="375" t="s">
        <v>972</v>
      </c>
      <c r="G419" s="375" t="s">
        <v>1026</v>
      </c>
      <c r="H419" s="375" t="s">
        <v>1027</v>
      </c>
      <c r="I419" s="63" t="s">
        <v>1028</v>
      </c>
      <c r="J419" s="47">
        <f t="shared" si="91"/>
        <v>3740</v>
      </c>
      <c r="K419" s="46" t="s">
        <v>10735</v>
      </c>
      <c r="L419" s="47" t="s">
        <v>1029</v>
      </c>
      <c r="M419" s="47">
        <f t="shared" si="90"/>
        <v>1430.0000000000002</v>
      </c>
      <c r="N419" s="47"/>
      <c r="O419" s="47"/>
      <c r="P419" s="47"/>
      <c r="Q419" s="47"/>
      <c r="R419" s="47"/>
      <c r="S419" s="47" t="s">
        <v>1030</v>
      </c>
      <c r="T419" s="47"/>
      <c r="U419" s="47"/>
      <c r="V419" s="47"/>
      <c r="W419" s="47"/>
      <c r="X419" s="47"/>
      <c r="Y419" s="47"/>
      <c r="Z419" s="47">
        <f t="shared" si="87"/>
        <v>4620</v>
      </c>
      <c r="AA419" s="47"/>
      <c r="AB419" s="47"/>
      <c r="AC419" s="47"/>
      <c r="AD419" s="47" t="s">
        <v>1</v>
      </c>
      <c r="AE419" s="47"/>
      <c r="AF419" s="47">
        <f t="shared" si="89"/>
        <v>1485</v>
      </c>
      <c r="AG419" s="47"/>
      <c r="AH419" s="47" t="str">
        <f>IFERROR(_xlfn.XLOOKUP(Table6[[#This Row],[Suburb]],Table5[Travel Surcharge],Table5[$$]),"")</f>
        <v/>
      </c>
      <c r="AI419" s="47"/>
      <c r="AJ419" s="47"/>
      <c r="AL419" t="str">
        <v>Kala Estate</v>
      </c>
    </row>
    <row r="420" spans="1:38">
      <c r="A420" s="374" t="s">
        <v>1041</v>
      </c>
      <c r="B420" s="374">
        <v>4</v>
      </c>
      <c r="C420" s="374" t="s">
        <v>1042</v>
      </c>
      <c r="D420" s="375" t="str">
        <f t="shared" si="78"/>
        <v>Aspen Estate4</v>
      </c>
      <c r="E420" s="375" t="s">
        <v>1051</v>
      </c>
      <c r="F420" s="375" t="s">
        <v>1044</v>
      </c>
      <c r="G420" s="375" t="s">
        <v>1045</v>
      </c>
      <c r="H420" s="375" t="s">
        <v>1046</v>
      </c>
      <c r="I420" s="63" t="s">
        <v>1047</v>
      </c>
      <c r="J420" s="47">
        <f t="shared" si="91"/>
        <v>3740</v>
      </c>
      <c r="K420" s="46" t="s">
        <v>10735</v>
      </c>
      <c r="L420" s="47"/>
      <c r="M420" s="47">
        <f t="shared" si="90"/>
        <v>1430.0000000000002</v>
      </c>
      <c r="N420" s="47"/>
      <c r="O420" s="47"/>
      <c r="P420" s="47"/>
      <c r="Q420" s="47"/>
      <c r="R420" s="47"/>
      <c r="S420" s="47" t="s">
        <v>463</v>
      </c>
      <c r="T420" s="47"/>
      <c r="U420" s="47"/>
      <c r="V420" s="47"/>
      <c r="W420" s="47"/>
      <c r="X420" s="47"/>
      <c r="Y420" s="47"/>
      <c r="Z420" s="47">
        <f t="shared" si="87"/>
        <v>4620</v>
      </c>
      <c r="AA420" s="47">
        <f t="shared" ref="AA420:AA425" si="92">AA$7</f>
        <v>1400</v>
      </c>
      <c r="AB420" s="47"/>
      <c r="AC420" s="47"/>
      <c r="AD420" s="47" t="s">
        <v>1</v>
      </c>
      <c r="AE420" s="47" t="s">
        <v>1048</v>
      </c>
      <c r="AF420" s="47"/>
      <c r="AG420" s="47"/>
      <c r="AH420" s="47" t="str">
        <f>IFERROR(_xlfn.XLOOKUP(Table6[[#This Row],[Suburb]],Table5[Travel Surcharge],Table5[$$]),"")</f>
        <v/>
      </c>
      <c r="AI420" s="47"/>
      <c r="AJ420" s="47"/>
      <c r="AL420" t="str">
        <v>Kallo Estate</v>
      </c>
    </row>
    <row r="421" spans="1:38">
      <c r="A421" s="374" t="s">
        <v>1041</v>
      </c>
      <c r="B421" s="374">
        <v>5</v>
      </c>
      <c r="C421" s="374" t="s">
        <v>1042</v>
      </c>
      <c r="D421" s="375" t="str">
        <f t="shared" si="78"/>
        <v>Aspen Estate5</v>
      </c>
      <c r="E421" s="375" t="s">
        <v>1052</v>
      </c>
      <c r="F421" s="375" t="s">
        <v>1044</v>
      </c>
      <c r="G421" s="375" t="s">
        <v>1045</v>
      </c>
      <c r="H421" s="375" t="s">
        <v>1046</v>
      </c>
      <c r="I421" s="63" t="s">
        <v>1047</v>
      </c>
      <c r="J421" s="47">
        <f t="shared" si="91"/>
        <v>3740</v>
      </c>
      <c r="K421" s="46" t="s">
        <v>10735</v>
      </c>
      <c r="L421" s="47"/>
      <c r="M421" s="47">
        <f t="shared" si="90"/>
        <v>1430.0000000000002</v>
      </c>
      <c r="N421" s="47"/>
      <c r="O421" s="47"/>
      <c r="P421" s="47"/>
      <c r="Q421" s="47"/>
      <c r="R421" s="47"/>
      <c r="S421" s="47" t="s">
        <v>463</v>
      </c>
      <c r="T421" s="47"/>
      <c r="U421" s="47"/>
      <c r="V421" s="47"/>
      <c r="W421" s="47"/>
      <c r="X421" s="47"/>
      <c r="Y421" s="47"/>
      <c r="Z421" s="47">
        <f t="shared" si="87"/>
        <v>4620</v>
      </c>
      <c r="AA421" s="47">
        <f t="shared" si="92"/>
        <v>1400</v>
      </c>
      <c r="AB421" s="47"/>
      <c r="AC421" s="47"/>
      <c r="AD421" s="47" t="s">
        <v>1</v>
      </c>
      <c r="AE421" s="47" t="s">
        <v>1048</v>
      </c>
      <c r="AF421" s="47"/>
      <c r="AG421" s="47"/>
      <c r="AH421" s="47" t="str">
        <f>IFERROR(_xlfn.XLOOKUP(Table6[[#This Row],[Suburb]],Table5[Travel Surcharge],Table5[$$]),"")</f>
        <v/>
      </c>
      <c r="AI421" s="47"/>
      <c r="AJ421" s="47"/>
      <c r="AL421" t="str">
        <v>Katalia Estate</v>
      </c>
    </row>
    <row r="422" spans="1:38">
      <c r="A422" s="374" t="s">
        <v>1041</v>
      </c>
      <c r="B422" s="374">
        <v>6</v>
      </c>
      <c r="C422" s="374" t="s">
        <v>1042</v>
      </c>
      <c r="D422" s="375" t="str">
        <f t="shared" si="78"/>
        <v>Aspen Estate6</v>
      </c>
      <c r="E422" s="375" t="s">
        <v>1053</v>
      </c>
      <c r="F422" s="375" t="s">
        <v>1044</v>
      </c>
      <c r="G422" s="375" t="s">
        <v>1045</v>
      </c>
      <c r="H422" s="375" t="s">
        <v>1046</v>
      </c>
      <c r="I422" s="63" t="s">
        <v>1047</v>
      </c>
      <c r="J422" s="47">
        <f t="shared" si="91"/>
        <v>3740</v>
      </c>
      <c r="K422" s="46" t="s">
        <v>10735</v>
      </c>
      <c r="L422" s="47"/>
      <c r="M422" s="47">
        <f t="shared" si="90"/>
        <v>1430.0000000000002</v>
      </c>
      <c r="N422" s="47"/>
      <c r="O422" s="47"/>
      <c r="P422" s="47"/>
      <c r="Q422" s="47"/>
      <c r="R422" s="47"/>
      <c r="S422" s="47" t="s">
        <v>463</v>
      </c>
      <c r="T422" s="47"/>
      <c r="U422" s="47"/>
      <c r="V422" s="47"/>
      <c r="W422" s="47"/>
      <c r="X422" s="47"/>
      <c r="Y422" s="47"/>
      <c r="Z422" s="47">
        <f t="shared" si="87"/>
        <v>4620</v>
      </c>
      <c r="AA422" s="47">
        <f t="shared" si="92"/>
        <v>1400</v>
      </c>
      <c r="AB422" s="47"/>
      <c r="AC422" s="47"/>
      <c r="AD422" s="47" t="s">
        <v>1</v>
      </c>
      <c r="AE422" s="47" t="s">
        <v>1048</v>
      </c>
      <c r="AF422" s="47"/>
      <c r="AG422" s="47"/>
      <c r="AH422" s="47" t="str">
        <f>IFERROR(_xlfn.XLOOKUP(Table6[[#This Row],[Suburb]],Table5[Travel Surcharge],Table5[$$]),"")</f>
        <v/>
      </c>
      <c r="AI422" s="47"/>
      <c r="AJ422" s="47"/>
      <c r="AL422" t="str">
        <v>Katandra Rise Estate</v>
      </c>
    </row>
    <row r="423" spans="1:38">
      <c r="A423" s="374" t="s">
        <v>1041</v>
      </c>
      <c r="B423" s="374" t="s">
        <v>718</v>
      </c>
      <c r="C423" s="374" t="s">
        <v>1042</v>
      </c>
      <c r="D423" s="375" t="str">
        <f t="shared" si="78"/>
        <v>Aspen Estate2A</v>
      </c>
      <c r="E423" s="375" t="s">
        <v>1043</v>
      </c>
      <c r="F423" s="375" t="s">
        <v>1044</v>
      </c>
      <c r="G423" s="375" t="s">
        <v>1045</v>
      </c>
      <c r="H423" s="375" t="s">
        <v>1046</v>
      </c>
      <c r="I423" s="63" t="s">
        <v>1047</v>
      </c>
      <c r="J423" s="47">
        <f t="shared" si="91"/>
        <v>3740</v>
      </c>
      <c r="K423" s="46" t="s">
        <v>10735</v>
      </c>
      <c r="L423" s="47"/>
      <c r="M423" s="47">
        <f t="shared" si="90"/>
        <v>1430.0000000000002</v>
      </c>
      <c r="N423" s="47"/>
      <c r="O423" s="47"/>
      <c r="P423" s="47"/>
      <c r="Q423" s="47"/>
      <c r="R423" s="47"/>
      <c r="S423" s="47" t="s">
        <v>463</v>
      </c>
      <c r="T423" s="47"/>
      <c r="U423" s="47"/>
      <c r="V423" s="47"/>
      <c r="W423" s="47"/>
      <c r="X423" s="47"/>
      <c r="Y423" s="47"/>
      <c r="Z423" s="47">
        <f t="shared" si="87"/>
        <v>4620</v>
      </c>
      <c r="AA423" s="47">
        <f t="shared" si="92"/>
        <v>1400</v>
      </c>
      <c r="AB423" s="47"/>
      <c r="AC423" s="47"/>
      <c r="AD423" s="47" t="s">
        <v>1</v>
      </c>
      <c r="AE423" s="47" t="s">
        <v>1048</v>
      </c>
      <c r="AF423" s="47"/>
      <c r="AG423" s="47"/>
      <c r="AH423" s="47" t="str">
        <f>IFERROR(_xlfn.XLOOKUP(Table6[[#This Row],[Suburb]],Table5[Travel Surcharge],Table5[$$]),"")</f>
        <v/>
      </c>
      <c r="AI423" s="47"/>
      <c r="AJ423" s="47"/>
      <c r="AL423" t="str">
        <v>Kaylana</v>
      </c>
    </row>
    <row r="424" spans="1:38">
      <c r="A424" s="374" t="s">
        <v>1041</v>
      </c>
      <c r="B424" s="374" t="s">
        <v>604</v>
      </c>
      <c r="C424" s="374" t="s">
        <v>1042</v>
      </c>
      <c r="D424" s="375" t="str">
        <f t="shared" si="78"/>
        <v>Aspen Estate2B</v>
      </c>
      <c r="E424" s="375" t="s">
        <v>1049</v>
      </c>
      <c r="F424" s="375" t="s">
        <v>1044</v>
      </c>
      <c r="G424" s="375" t="s">
        <v>1045</v>
      </c>
      <c r="H424" s="375" t="s">
        <v>1046</v>
      </c>
      <c r="I424" s="63" t="s">
        <v>1047</v>
      </c>
      <c r="J424" s="47">
        <f t="shared" si="91"/>
        <v>3740</v>
      </c>
      <c r="K424" s="46" t="s">
        <v>10735</v>
      </c>
      <c r="L424" s="47"/>
      <c r="M424" s="47">
        <f t="shared" si="90"/>
        <v>1430.0000000000002</v>
      </c>
      <c r="N424" s="47"/>
      <c r="O424" s="47"/>
      <c r="P424" s="47"/>
      <c r="Q424" s="47"/>
      <c r="R424" s="47"/>
      <c r="S424" s="47" t="s">
        <v>463</v>
      </c>
      <c r="T424" s="47"/>
      <c r="U424" s="47"/>
      <c r="V424" s="47"/>
      <c r="W424" s="47"/>
      <c r="X424" s="47"/>
      <c r="Y424" s="47"/>
      <c r="Z424" s="47">
        <f t="shared" si="87"/>
        <v>4620</v>
      </c>
      <c r="AA424" s="47">
        <f t="shared" si="92"/>
        <v>1400</v>
      </c>
      <c r="AB424" s="47"/>
      <c r="AC424" s="47"/>
      <c r="AD424" s="47" t="s">
        <v>1</v>
      </c>
      <c r="AE424" s="47" t="s">
        <v>1048</v>
      </c>
      <c r="AF424" s="47"/>
      <c r="AG424" s="47"/>
      <c r="AH424" s="47" t="str">
        <f>IFERROR(_xlfn.XLOOKUP(Table6[[#This Row],[Suburb]],Table5[Travel Surcharge],Table5[$$]),"")</f>
        <v/>
      </c>
      <c r="AI424" s="47"/>
      <c r="AJ424" s="47"/>
      <c r="AL424" t="str">
        <v>KDRB</v>
      </c>
    </row>
    <row r="425" spans="1:38">
      <c r="A425" s="374" t="s">
        <v>1041</v>
      </c>
      <c r="B425" s="374" t="s">
        <v>1050</v>
      </c>
      <c r="C425" s="374" t="s">
        <v>1042</v>
      </c>
      <c r="D425" s="375" t="str">
        <f t="shared" si="78"/>
        <v>Aspen Estate2C</v>
      </c>
      <c r="E425" s="375" t="s">
        <v>1043</v>
      </c>
      <c r="F425" s="375" t="s">
        <v>1044</v>
      </c>
      <c r="G425" s="375" t="s">
        <v>1045</v>
      </c>
      <c r="H425" s="375" t="s">
        <v>1046</v>
      </c>
      <c r="I425" s="63" t="s">
        <v>1047</v>
      </c>
      <c r="J425" s="47">
        <f t="shared" si="91"/>
        <v>3740</v>
      </c>
      <c r="K425" s="46" t="s">
        <v>10735</v>
      </c>
      <c r="L425" s="47"/>
      <c r="M425" s="47">
        <f t="shared" si="90"/>
        <v>1430.0000000000002</v>
      </c>
      <c r="N425" s="47"/>
      <c r="O425" s="47"/>
      <c r="P425" s="47"/>
      <c r="Q425" s="47"/>
      <c r="R425" s="47"/>
      <c r="S425" s="47" t="s">
        <v>463</v>
      </c>
      <c r="T425" s="47"/>
      <c r="U425" s="47"/>
      <c r="V425" s="47"/>
      <c r="W425" s="47"/>
      <c r="X425" s="47"/>
      <c r="Y425" s="47"/>
      <c r="Z425" s="47">
        <f t="shared" si="87"/>
        <v>4620</v>
      </c>
      <c r="AA425" s="47">
        <f t="shared" si="92"/>
        <v>1400</v>
      </c>
      <c r="AB425" s="47"/>
      <c r="AC425" s="47"/>
      <c r="AD425" s="47" t="s">
        <v>1</v>
      </c>
      <c r="AE425" s="47" t="s">
        <v>1048</v>
      </c>
      <c r="AF425" s="47"/>
      <c r="AG425" s="47"/>
      <c r="AH425" s="47" t="str">
        <f>IFERROR(_xlfn.XLOOKUP(Table6[[#This Row],[Suburb]],Table5[Travel Surcharge],Table5[$$]),"")</f>
        <v/>
      </c>
      <c r="AI425" s="47"/>
      <c r="AJ425" s="47"/>
      <c r="AL425" t="str">
        <v>Kelly on Lithgow</v>
      </c>
    </row>
    <row r="426" spans="1:38">
      <c r="A426" s="374" t="s">
        <v>1054</v>
      </c>
      <c r="B426" s="374">
        <v>21</v>
      </c>
      <c r="C426" s="374" t="s">
        <v>862</v>
      </c>
      <c r="D426" s="375" t="str">
        <f t="shared" si="78"/>
        <v>Aspire Estate21</v>
      </c>
      <c r="E426" s="375" t="s">
        <v>1055</v>
      </c>
      <c r="F426" s="375" t="s">
        <v>1056</v>
      </c>
      <c r="G426" s="375" t="s">
        <v>1057</v>
      </c>
      <c r="H426" s="375" t="s">
        <v>1058</v>
      </c>
      <c r="I426" s="63" t="s">
        <v>1059</v>
      </c>
      <c r="J426" s="47">
        <f t="shared" si="91"/>
        <v>3740</v>
      </c>
      <c r="K426" s="46" t="s">
        <v>7938</v>
      </c>
      <c r="L426" s="47"/>
      <c r="M426" s="47"/>
      <c r="N426" s="47"/>
      <c r="O426" s="47"/>
      <c r="P426" s="47"/>
      <c r="Q426" s="47"/>
      <c r="R426" s="47"/>
      <c r="S426" s="47"/>
      <c r="T426" s="47">
        <f t="shared" ref="T426:T441" si="93">T$2</f>
        <v>780</v>
      </c>
      <c r="U426" s="47"/>
      <c r="V426" s="47"/>
      <c r="W426" s="47"/>
      <c r="X426" s="47"/>
      <c r="Y426" s="47"/>
      <c r="Z426" s="47">
        <f t="shared" si="87"/>
        <v>4620</v>
      </c>
      <c r="AA426" s="47"/>
      <c r="AB426" s="47"/>
      <c r="AC426" s="47"/>
      <c r="AD426" s="47"/>
      <c r="AE426" s="47"/>
      <c r="AF426" s="47">
        <f t="shared" ref="AF426:AF441" si="94">AF$7</f>
        <v>1485</v>
      </c>
      <c r="AG426" s="47"/>
      <c r="AH426" s="47" t="str">
        <f>IFERROR(_xlfn.XLOOKUP(Table6[[#This Row],[Suburb]],Table5[Travel Surcharge],Table5[$$]),"")</f>
        <v/>
      </c>
      <c r="AI426" s="47"/>
      <c r="AJ426" s="47"/>
      <c r="AL426" t="str">
        <v>Kendal Estate</v>
      </c>
    </row>
    <row r="427" spans="1:38">
      <c r="A427" s="374" t="s">
        <v>1054</v>
      </c>
      <c r="B427" s="374">
        <v>22</v>
      </c>
      <c r="C427" s="374" t="s">
        <v>862</v>
      </c>
      <c r="D427" s="375" t="str">
        <f t="shared" si="78"/>
        <v>Aspire Estate22</v>
      </c>
      <c r="E427" s="375" t="s">
        <v>1060</v>
      </c>
      <c r="F427" s="375" t="s">
        <v>1056</v>
      </c>
      <c r="G427" s="375" t="s">
        <v>1057</v>
      </c>
      <c r="H427" s="375" t="s">
        <v>1058</v>
      </c>
      <c r="I427" s="63" t="s">
        <v>1059</v>
      </c>
      <c r="J427" s="47">
        <f t="shared" si="91"/>
        <v>3740</v>
      </c>
      <c r="K427" s="46" t="s">
        <v>7938</v>
      </c>
      <c r="L427" s="47"/>
      <c r="M427" s="47"/>
      <c r="N427" s="47"/>
      <c r="O427" s="47"/>
      <c r="P427" s="47"/>
      <c r="Q427" s="47"/>
      <c r="R427" s="47"/>
      <c r="S427" s="47"/>
      <c r="T427" s="47">
        <f t="shared" si="93"/>
        <v>780</v>
      </c>
      <c r="U427" s="47"/>
      <c r="V427" s="47"/>
      <c r="W427" s="47"/>
      <c r="X427" s="47"/>
      <c r="Y427" s="47"/>
      <c r="Z427" s="47">
        <f t="shared" si="87"/>
        <v>4620</v>
      </c>
      <c r="AA427" s="47"/>
      <c r="AB427" s="47"/>
      <c r="AC427" s="47"/>
      <c r="AD427" s="47"/>
      <c r="AE427" s="47"/>
      <c r="AF427" s="47">
        <f t="shared" si="94"/>
        <v>1485</v>
      </c>
      <c r="AG427" s="47"/>
      <c r="AH427" s="47" t="str">
        <f>IFERROR(_xlfn.XLOOKUP(Table6[[#This Row],[Suburb]],Table5[Travel Surcharge],Table5[$$]),"")</f>
        <v/>
      </c>
      <c r="AI427" s="47"/>
      <c r="AJ427" s="47"/>
      <c r="AL427" t="str">
        <v>Kensington Estate</v>
      </c>
    </row>
    <row r="428" spans="1:38">
      <c r="A428" s="374" t="s">
        <v>1054</v>
      </c>
      <c r="B428" s="374">
        <v>24</v>
      </c>
      <c r="C428" s="374" t="s">
        <v>862</v>
      </c>
      <c r="D428" s="375" t="str">
        <f t="shared" si="78"/>
        <v>Aspire Estate24</v>
      </c>
      <c r="E428" s="375" t="s">
        <v>1061</v>
      </c>
      <c r="F428" s="375" t="s">
        <v>1056</v>
      </c>
      <c r="G428" s="375" t="s">
        <v>1057</v>
      </c>
      <c r="H428" s="375" t="s">
        <v>1058</v>
      </c>
      <c r="I428" s="63" t="s">
        <v>1059</v>
      </c>
      <c r="J428" s="47">
        <f t="shared" si="91"/>
        <v>3740</v>
      </c>
      <c r="K428" s="46" t="s">
        <v>7938</v>
      </c>
      <c r="L428" s="47"/>
      <c r="M428" s="47"/>
      <c r="N428" s="47"/>
      <c r="O428" s="47"/>
      <c r="P428" s="47"/>
      <c r="Q428" s="47"/>
      <c r="R428" s="47"/>
      <c r="S428" s="47"/>
      <c r="T428" s="47">
        <f t="shared" si="93"/>
        <v>780</v>
      </c>
      <c r="U428" s="47"/>
      <c r="V428" s="47"/>
      <c r="W428" s="47"/>
      <c r="X428" s="47"/>
      <c r="Y428" s="47"/>
      <c r="Z428" s="47">
        <f t="shared" si="87"/>
        <v>4620</v>
      </c>
      <c r="AA428" s="47"/>
      <c r="AB428" s="47"/>
      <c r="AC428" s="47"/>
      <c r="AD428" s="47"/>
      <c r="AE428" s="47"/>
      <c r="AF428" s="47">
        <f t="shared" si="94"/>
        <v>1485</v>
      </c>
      <c r="AG428" s="47"/>
      <c r="AH428" s="47" t="str">
        <f>IFERROR(_xlfn.XLOOKUP(Table6[[#This Row],[Suburb]],Table5[Travel Surcharge],Table5[$$]),"")</f>
        <v/>
      </c>
      <c r="AI428" s="47"/>
      <c r="AJ428" s="47"/>
      <c r="AL428" t="str">
        <v>Kerani Heights</v>
      </c>
    </row>
    <row r="429" spans="1:38">
      <c r="A429" s="374" t="s">
        <v>1054</v>
      </c>
      <c r="B429" s="374">
        <v>26</v>
      </c>
      <c r="C429" s="374" t="s">
        <v>862</v>
      </c>
      <c r="D429" s="375" t="str">
        <f t="shared" si="78"/>
        <v>Aspire Estate26</v>
      </c>
      <c r="E429" s="375" t="s">
        <v>1062</v>
      </c>
      <c r="F429" s="375" t="s">
        <v>1056</v>
      </c>
      <c r="G429" s="375" t="s">
        <v>1057</v>
      </c>
      <c r="H429" s="375" t="s">
        <v>1058</v>
      </c>
      <c r="I429" s="63" t="s">
        <v>1059</v>
      </c>
      <c r="J429" s="47">
        <f t="shared" si="91"/>
        <v>3740</v>
      </c>
      <c r="K429" s="46" t="s">
        <v>7938</v>
      </c>
      <c r="L429" s="47"/>
      <c r="M429" s="47"/>
      <c r="N429" s="47"/>
      <c r="O429" s="47"/>
      <c r="P429" s="47"/>
      <c r="Q429" s="47"/>
      <c r="R429" s="47"/>
      <c r="S429" s="47"/>
      <c r="T429" s="47">
        <f t="shared" si="93"/>
        <v>780</v>
      </c>
      <c r="U429" s="47"/>
      <c r="V429" s="47"/>
      <c r="W429" s="47"/>
      <c r="X429" s="47"/>
      <c r="Y429" s="47"/>
      <c r="Z429" s="47">
        <f t="shared" si="87"/>
        <v>4620</v>
      </c>
      <c r="AA429" s="47"/>
      <c r="AB429" s="47"/>
      <c r="AC429" s="47"/>
      <c r="AD429" s="47"/>
      <c r="AE429" s="47"/>
      <c r="AF429" s="47">
        <f t="shared" si="94"/>
        <v>1485</v>
      </c>
      <c r="AG429" s="47"/>
      <c r="AH429" s="47" t="str">
        <f>IFERROR(_xlfn.XLOOKUP(Table6[[#This Row],[Suburb]],Table5[Travel Surcharge],Table5[$$]),"")</f>
        <v/>
      </c>
      <c r="AI429" s="47"/>
      <c r="AJ429" s="47"/>
      <c r="AL429" t="str">
        <v>Key West</v>
      </c>
    </row>
    <row r="430" spans="1:38">
      <c r="A430" s="157" t="s">
        <v>1054</v>
      </c>
      <c r="B430" s="157">
        <v>27</v>
      </c>
      <c r="C430" s="157" t="s">
        <v>862</v>
      </c>
      <c r="D430" s="157" t="str">
        <f t="shared" si="78"/>
        <v>Aspire Estate27</v>
      </c>
      <c r="E430" s="157" t="s">
        <v>7505</v>
      </c>
      <c r="F430" s="157" t="s">
        <v>1056</v>
      </c>
      <c r="G430" s="157" t="s">
        <v>1057</v>
      </c>
      <c r="H430" s="157" t="s">
        <v>1058</v>
      </c>
      <c r="I430" s="158" t="s">
        <v>1059</v>
      </c>
      <c r="J430" s="47">
        <f t="shared" si="91"/>
        <v>3740</v>
      </c>
      <c r="K430" s="46" t="s">
        <v>7938</v>
      </c>
      <c r="L430" s="47"/>
      <c r="M430" s="47"/>
      <c r="N430" s="47"/>
      <c r="O430" s="47"/>
      <c r="P430" s="47"/>
      <c r="Q430" s="47"/>
      <c r="R430" s="47"/>
      <c r="S430" s="47"/>
      <c r="T430" s="47">
        <f t="shared" si="93"/>
        <v>780</v>
      </c>
      <c r="U430" s="47"/>
      <c r="V430" s="47"/>
      <c r="W430" s="47"/>
      <c r="X430" s="47"/>
      <c r="Y430" s="47"/>
      <c r="Z430" s="47">
        <f t="shared" si="87"/>
        <v>4620</v>
      </c>
      <c r="AA430" s="47"/>
      <c r="AB430" s="47"/>
      <c r="AC430" s="47"/>
      <c r="AD430" s="47"/>
      <c r="AE430" s="47"/>
      <c r="AF430" s="47">
        <f t="shared" si="94"/>
        <v>1485</v>
      </c>
      <c r="AG430" s="47"/>
      <c r="AH430" s="47" t="str">
        <f>IFERROR(_xlfn.XLOOKUP(Table6[[#This Row],[Suburb]],Table5[Travel Surcharge],Table5[$$]),"")</f>
        <v/>
      </c>
      <c r="AI430" s="47"/>
      <c r="AJ430" s="47"/>
      <c r="AL430" t="str">
        <v>Kilmore Fields Estate</v>
      </c>
    </row>
    <row r="431" spans="1:38">
      <c r="A431" s="374" t="s">
        <v>1054</v>
      </c>
      <c r="B431" s="374">
        <v>28</v>
      </c>
      <c r="C431" s="374" t="s">
        <v>862</v>
      </c>
      <c r="D431" s="375" t="str">
        <f t="shared" si="78"/>
        <v>Aspire Estate28</v>
      </c>
      <c r="E431" s="375" t="s">
        <v>1063</v>
      </c>
      <c r="F431" s="375" t="s">
        <v>1056</v>
      </c>
      <c r="G431" s="375" t="s">
        <v>1057</v>
      </c>
      <c r="H431" s="375" t="s">
        <v>1058</v>
      </c>
      <c r="I431" s="63" t="s">
        <v>1059</v>
      </c>
      <c r="J431" s="47">
        <f t="shared" si="91"/>
        <v>3740</v>
      </c>
      <c r="K431" s="46" t="s">
        <v>7938</v>
      </c>
      <c r="L431" s="47"/>
      <c r="M431" s="47"/>
      <c r="N431" s="47"/>
      <c r="O431" s="47"/>
      <c r="P431" s="47"/>
      <c r="Q431" s="47"/>
      <c r="R431" s="47"/>
      <c r="S431" s="47"/>
      <c r="T431" s="47">
        <f t="shared" si="93"/>
        <v>780</v>
      </c>
      <c r="U431" s="47"/>
      <c r="V431" s="47"/>
      <c r="W431" s="47"/>
      <c r="X431" s="47"/>
      <c r="Y431" s="47"/>
      <c r="Z431" s="47">
        <f t="shared" si="87"/>
        <v>4620</v>
      </c>
      <c r="AA431" s="47"/>
      <c r="AB431" s="47"/>
      <c r="AC431" s="47"/>
      <c r="AD431" s="47"/>
      <c r="AE431" s="47"/>
      <c r="AF431" s="47">
        <f t="shared" si="94"/>
        <v>1485</v>
      </c>
      <c r="AG431" s="47"/>
      <c r="AH431" s="47" t="str">
        <f>IFERROR(_xlfn.XLOOKUP(Table6[[#This Row],[Suburb]],Table5[Travel Surcharge],Table5[$$]),"")</f>
        <v/>
      </c>
      <c r="AI431" s="47"/>
      <c r="AJ431" s="47"/>
      <c r="AL431" t="str">
        <v>Kimberley - Keysborough</v>
      </c>
    </row>
    <row r="432" spans="1:38">
      <c r="A432" s="374" t="s">
        <v>1054</v>
      </c>
      <c r="B432" s="374">
        <v>29</v>
      </c>
      <c r="C432" s="374" t="s">
        <v>862</v>
      </c>
      <c r="D432" s="375" t="str">
        <f t="shared" si="78"/>
        <v>Aspire Estate29</v>
      </c>
      <c r="E432" s="375" t="s">
        <v>8014</v>
      </c>
      <c r="F432" s="375" t="s">
        <v>1056</v>
      </c>
      <c r="G432" s="375" t="s">
        <v>1057</v>
      </c>
      <c r="H432" s="375" t="s">
        <v>1058</v>
      </c>
      <c r="I432" s="63" t="s">
        <v>1059</v>
      </c>
      <c r="J432" s="47">
        <f t="shared" si="91"/>
        <v>3740</v>
      </c>
      <c r="K432" s="46" t="s">
        <v>7938</v>
      </c>
      <c r="L432" s="47"/>
      <c r="M432" s="47"/>
      <c r="N432" s="47"/>
      <c r="O432" s="47"/>
      <c r="P432" s="47"/>
      <c r="Q432" s="47"/>
      <c r="R432" s="47"/>
      <c r="S432" s="47"/>
      <c r="T432" s="47">
        <f t="shared" si="93"/>
        <v>780</v>
      </c>
      <c r="U432" s="47"/>
      <c r="V432" s="47"/>
      <c r="W432" s="47"/>
      <c r="X432" s="47"/>
      <c r="Y432" s="47"/>
      <c r="Z432" s="47">
        <f t="shared" ref="Z432:Z463" si="95">Z$7</f>
        <v>4620</v>
      </c>
      <c r="AA432" s="47"/>
      <c r="AB432" s="47"/>
      <c r="AC432" s="47"/>
      <c r="AD432" s="47"/>
      <c r="AE432" s="47"/>
      <c r="AF432" s="47">
        <f t="shared" si="94"/>
        <v>1485</v>
      </c>
      <c r="AG432" s="47"/>
      <c r="AH432" s="47" t="str">
        <f>IFERROR(_xlfn.XLOOKUP(Table6[[#This Row],[Suburb]],Table5[Travel Surcharge],Table5[$$]),"")</f>
        <v/>
      </c>
      <c r="AI432" s="47"/>
      <c r="AJ432" s="47"/>
      <c r="AL432" t="str">
        <v>Kimberley - Sunbury</v>
      </c>
    </row>
    <row r="433" spans="1:38">
      <c r="A433" s="374" t="s">
        <v>1054</v>
      </c>
      <c r="B433" s="374">
        <v>30</v>
      </c>
      <c r="C433" s="374" t="s">
        <v>862</v>
      </c>
      <c r="D433" s="375" t="str">
        <f t="shared" si="78"/>
        <v>Aspire Estate30</v>
      </c>
      <c r="E433" s="375" t="s">
        <v>1064</v>
      </c>
      <c r="F433" s="375" t="s">
        <v>1056</v>
      </c>
      <c r="G433" s="375" t="s">
        <v>1057</v>
      </c>
      <c r="H433" s="375" t="s">
        <v>1058</v>
      </c>
      <c r="I433" s="63" t="s">
        <v>1059</v>
      </c>
      <c r="J433" s="47">
        <f t="shared" si="91"/>
        <v>3740</v>
      </c>
      <c r="K433" s="46" t="s">
        <v>7938</v>
      </c>
      <c r="L433" s="47"/>
      <c r="M433" s="47"/>
      <c r="N433" s="47"/>
      <c r="O433" s="47"/>
      <c r="P433" s="47"/>
      <c r="Q433" s="47"/>
      <c r="R433" s="47"/>
      <c r="S433" s="47"/>
      <c r="T433" s="47">
        <f t="shared" si="93"/>
        <v>780</v>
      </c>
      <c r="U433" s="47"/>
      <c r="V433" s="47"/>
      <c r="W433" s="47"/>
      <c r="X433" s="47"/>
      <c r="Y433" s="47"/>
      <c r="Z433" s="47">
        <f t="shared" si="95"/>
        <v>4620</v>
      </c>
      <c r="AA433" s="47"/>
      <c r="AB433" s="47"/>
      <c r="AC433" s="47"/>
      <c r="AD433" s="47"/>
      <c r="AE433" s="47"/>
      <c r="AF433" s="47">
        <f t="shared" si="94"/>
        <v>1485</v>
      </c>
      <c r="AG433" s="47"/>
      <c r="AH433" s="47" t="str">
        <f>IFERROR(_xlfn.XLOOKUP(Table6[[#This Row],[Suburb]],Table5[Travel Surcharge],Table5[$$]),"")</f>
        <v/>
      </c>
      <c r="AI433" s="47"/>
      <c r="AJ433" s="47"/>
      <c r="AL433" t="str">
        <v>Kinbrook Estate</v>
      </c>
    </row>
    <row r="434" spans="1:38">
      <c r="A434" s="157" t="s">
        <v>1054</v>
      </c>
      <c r="B434" s="157" t="s">
        <v>2740</v>
      </c>
      <c r="C434" s="157" t="s">
        <v>862</v>
      </c>
      <c r="D434" s="157" t="str">
        <f t="shared" si="78"/>
        <v>Aspire Estate30A</v>
      </c>
      <c r="E434" s="157" t="s">
        <v>8110</v>
      </c>
      <c r="F434" s="157" t="s">
        <v>1056</v>
      </c>
      <c r="G434" s="157" t="s">
        <v>1057</v>
      </c>
      <c r="H434" s="157" t="s">
        <v>1058</v>
      </c>
      <c r="I434" s="158" t="s">
        <v>1059</v>
      </c>
      <c r="J434" s="47">
        <f t="shared" si="91"/>
        <v>3740</v>
      </c>
      <c r="K434" s="46" t="s">
        <v>7938</v>
      </c>
      <c r="L434" s="47"/>
      <c r="M434" s="47"/>
      <c r="N434" s="47"/>
      <c r="O434" s="47"/>
      <c r="P434" s="47"/>
      <c r="Q434" s="47"/>
      <c r="R434" s="47"/>
      <c r="S434" s="47"/>
      <c r="T434" s="47">
        <f t="shared" si="93"/>
        <v>780</v>
      </c>
      <c r="U434" s="47"/>
      <c r="V434" s="47"/>
      <c r="W434" s="47"/>
      <c r="X434" s="47"/>
      <c r="Y434" s="47"/>
      <c r="Z434" s="47">
        <f t="shared" si="95"/>
        <v>4620</v>
      </c>
      <c r="AA434" s="47"/>
      <c r="AB434" s="47"/>
      <c r="AC434" s="47"/>
      <c r="AD434" s="47"/>
      <c r="AE434" s="47"/>
      <c r="AF434" s="47">
        <f t="shared" si="94"/>
        <v>1485</v>
      </c>
      <c r="AG434" s="47"/>
      <c r="AH434" s="47" t="str">
        <f>IFERROR(_xlfn.XLOOKUP(Table6[[#This Row],[Suburb]],Table5[Travel Surcharge],Table5[$$]),"")</f>
        <v/>
      </c>
      <c r="AI434" s="47"/>
      <c r="AJ434" s="47"/>
      <c r="AL434" t="str">
        <v>Kingbird Estate</v>
      </c>
    </row>
    <row r="435" spans="1:38">
      <c r="A435" s="374" t="s">
        <v>1054</v>
      </c>
      <c r="B435" s="374">
        <v>31</v>
      </c>
      <c r="C435" s="374" t="s">
        <v>862</v>
      </c>
      <c r="D435" s="375" t="str">
        <f t="shared" si="78"/>
        <v>Aspire Estate31</v>
      </c>
      <c r="E435" s="375" t="s">
        <v>1065</v>
      </c>
      <c r="F435" s="375" t="s">
        <v>1056</v>
      </c>
      <c r="G435" s="375" t="s">
        <v>1057</v>
      </c>
      <c r="H435" s="375" t="s">
        <v>1058</v>
      </c>
      <c r="I435" s="63" t="s">
        <v>1059</v>
      </c>
      <c r="J435" s="47">
        <f t="shared" si="91"/>
        <v>3740</v>
      </c>
      <c r="K435" s="46" t="s">
        <v>7938</v>
      </c>
      <c r="L435" s="47"/>
      <c r="M435" s="47"/>
      <c r="N435" s="47"/>
      <c r="O435" s="47"/>
      <c r="P435" s="47"/>
      <c r="Q435" s="47"/>
      <c r="R435" s="47"/>
      <c r="S435" s="47"/>
      <c r="T435" s="47">
        <f t="shared" si="93"/>
        <v>780</v>
      </c>
      <c r="U435" s="47"/>
      <c r="V435" s="47"/>
      <c r="W435" s="47"/>
      <c r="X435" s="47"/>
      <c r="Y435" s="47"/>
      <c r="Z435" s="47">
        <f t="shared" si="95"/>
        <v>4620</v>
      </c>
      <c r="AA435" s="47"/>
      <c r="AB435" s="47"/>
      <c r="AC435" s="47"/>
      <c r="AD435" s="47"/>
      <c r="AE435" s="47"/>
      <c r="AF435" s="47">
        <f t="shared" si="94"/>
        <v>1485</v>
      </c>
      <c r="AG435" s="47"/>
      <c r="AH435" s="47" t="str">
        <f>IFERROR(_xlfn.XLOOKUP(Table6[[#This Row],[Suburb]],Table5[Travel Surcharge],Table5[$$]),"")</f>
        <v/>
      </c>
      <c r="AI435" s="47"/>
      <c r="AJ435" s="47"/>
      <c r="AL435" t="str">
        <v>Kings Leigh Estate</v>
      </c>
    </row>
    <row r="436" spans="1:38">
      <c r="A436" s="374" t="s">
        <v>1054</v>
      </c>
      <c r="B436" s="374">
        <v>33</v>
      </c>
      <c r="C436" s="374" t="s">
        <v>862</v>
      </c>
      <c r="D436" s="375" t="str">
        <f t="shared" si="78"/>
        <v>Aspire Estate33</v>
      </c>
      <c r="E436" s="375" t="s">
        <v>1066</v>
      </c>
      <c r="F436" s="375" t="s">
        <v>1056</v>
      </c>
      <c r="G436" s="375" t="s">
        <v>1057</v>
      </c>
      <c r="H436" s="375" t="s">
        <v>1058</v>
      </c>
      <c r="I436" s="63" t="s">
        <v>1059</v>
      </c>
      <c r="J436" s="47">
        <f t="shared" si="91"/>
        <v>3740</v>
      </c>
      <c r="K436" s="46" t="s">
        <v>7938</v>
      </c>
      <c r="L436" s="47"/>
      <c r="M436" s="47"/>
      <c r="N436" s="47"/>
      <c r="O436" s="47"/>
      <c r="P436" s="47"/>
      <c r="Q436" s="47"/>
      <c r="R436" s="47"/>
      <c r="S436" s="47"/>
      <c r="T436" s="47">
        <f t="shared" si="93"/>
        <v>780</v>
      </c>
      <c r="U436" s="47"/>
      <c r="V436" s="47"/>
      <c r="W436" s="47"/>
      <c r="X436" s="47"/>
      <c r="Y436" s="47"/>
      <c r="Z436" s="47">
        <f t="shared" si="95"/>
        <v>4620</v>
      </c>
      <c r="AA436" s="47"/>
      <c r="AB436" s="47"/>
      <c r="AC436" s="47"/>
      <c r="AD436" s="47"/>
      <c r="AE436" s="47"/>
      <c r="AF436" s="47">
        <f t="shared" si="94"/>
        <v>1485</v>
      </c>
      <c r="AG436" s="47"/>
      <c r="AH436" s="47" t="str">
        <f>IFERROR(_xlfn.XLOOKUP(Table6[[#This Row],[Suburb]],Table5[Travel Surcharge],Table5[$$]),"")</f>
        <v/>
      </c>
      <c r="AI436" s="47"/>
      <c r="AJ436" s="47"/>
      <c r="AL436" t="str">
        <v>Kingsfield</v>
      </c>
    </row>
    <row r="437" spans="1:38">
      <c r="A437" s="374" t="s">
        <v>1054</v>
      </c>
      <c r="B437" s="374">
        <v>35</v>
      </c>
      <c r="C437" s="374" t="s">
        <v>862</v>
      </c>
      <c r="D437" s="375" t="str">
        <f t="shared" si="78"/>
        <v>Aspire Estate35</v>
      </c>
      <c r="E437" s="375" t="s">
        <v>1067</v>
      </c>
      <c r="F437" s="375" t="s">
        <v>1056</v>
      </c>
      <c r="G437" s="375" t="s">
        <v>1057</v>
      </c>
      <c r="H437" s="375" t="s">
        <v>1058</v>
      </c>
      <c r="I437" s="63" t="s">
        <v>1059</v>
      </c>
      <c r="J437" s="47">
        <f t="shared" si="91"/>
        <v>3740</v>
      </c>
      <c r="K437" s="46" t="s">
        <v>7938</v>
      </c>
      <c r="L437" s="47"/>
      <c r="M437" s="47"/>
      <c r="N437" s="47"/>
      <c r="O437" s="47"/>
      <c r="P437" s="47"/>
      <c r="Q437" s="47"/>
      <c r="R437" s="47"/>
      <c r="S437" s="47"/>
      <c r="T437" s="47">
        <f t="shared" si="93"/>
        <v>780</v>
      </c>
      <c r="U437" s="47"/>
      <c r="V437" s="47"/>
      <c r="W437" s="47"/>
      <c r="X437" s="47"/>
      <c r="Y437" s="47"/>
      <c r="Z437" s="47">
        <f t="shared" si="95"/>
        <v>4620</v>
      </c>
      <c r="AA437" s="47"/>
      <c r="AB437" s="47"/>
      <c r="AC437" s="47"/>
      <c r="AD437" s="47"/>
      <c r="AE437" s="47"/>
      <c r="AF437" s="47">
        <f t="shared" si="94"/>
        <v>1485</v>
      </c>
      <c r="AG437" s="47"/>
      <c r="AH437" s="47" t="str">
        <f>IFERROR(_xlfn.XLOOKUP(Table6[[#This Row],[Suburb]],Table5[Travel Surcharge],Table5[$$]),"")</f>
        <v/>
      </c>
      <c r="AI437" s="47"/>
      <c r="AJ437" s="47"/>
      <c r="AL437" t="str">
        <v>Kingsley Place Estate</v>
      </c>
    </row>
    <row r="438" spans="1:38">
      <c r="A438" s="374" t="s">
        <v>1054</v>
      </c>
      <c r="B438" s="374" t="s">
        <v>1068</v>
      </c>
      <c r="C438" s="374" t="s">
        <v>862</v>
      </c>
      <c r="D438" s="375" t="str">
        <f t="shared" ref="D438:D503" si="96">CONCATENATE(A438,B438)</f>
        <v>Aspire Estate35B</v>
      </c>
      <c r="E438" s="375" t="s">
        <v>1069</v>
      </c>
      <c r="F438" s="375" t="s">
        <v>1056</v>
      </c>
      <c r="G438" s="375" t="s">
        <v>1057</v>
      </c>
      <c r="H438" s="375" t="s">
        <v>1058</v>
      </c>
      <c r="I438" s="63" t="s">
        <v>1059</v>
      </c>
      <c r="J438" s="47">
        <f t="shared" si="91"/>
        <v>3740</v>
      </c>
      <c r="K438" s="46" t="s">
        <v>7938</v>
      </c>
      <c r="L438" s="47"/>
      <c r="M438" s="47"/>
      <c r="N438" s="47"/>
      <c r="O438" s="47"/>
      <c r="P438" s="47"/>
      <c r="Q438" s="47"/>
      <c r="R438" s="47"/>
      <c r="S438" s="47"/>
      <c r="T438" s="47">
        <f t="shared" si="93"/>
        <v>780</v>
      </c>
      <c r="U438" s="47"/>
      <c r="V438" s="47"/>
      <c r="W438" s="47"/>
      <c r="X438" s="47"/>
      <c r="Y438" s="47"/>
      <c r="Z438" s="47">
        <f t="shared" si="95"/>
        <v>4620</v>
      </c>
      <c r="AA438" s="47"/>
      <c r="AB438" s="47"/>
      <c r="AC438" s="47"/>
      <c r="AD438" s="47"/>
      <c r="AE438" s="47"/>
      <c r="AF438" s="47">
        <f t="shared" si="94"/>
        <v>1485</v>
      </c>
      <c r="AG438" s="47"/>
      <c r="AH438" s="47" t="str">
        <f>IFERROR(_xlfn.XLOOKUP(Table6[[#This Row],[Suburb]],Table5[Travel Surcharge],Table5[$$]),"")</f>
        <v/>
      </c>
      <c r="AI438" s="47"/>
      <c r="AJ438" s="47"/>
      <c r="AL438" t="str">
        <v>Kingston Estate</v>
      </c>
    </row>
    <row r="439" spans="1:38">
      <c r="A439" s="374" t="s">
        <v>1054</v>
      </c>
      <c r="B439" s="374" t="s">
        <v>1070</v>
      </c>
      <c r="C439" s="374" t="s">
        <v>862</v>
      </c>
      <c r="D439" s="375" t="str">
        <f t="shared" si="96"/>
        <v>Aspire Estate36B</v>
      </c>
      <c r="E439" s="375" t="s">
        <v>1071</v>
      </c>
      <c r="F439" s="375" t="s">
        <v>1056</v>
      </c>
      <c r="G439" s="375" t="s">
        <v>1057</v>
      </c>
      <c r="H439" s="375" t="s">
        <v>1058</v>
      </c>
      <c r="I439" s="63" t="s">
        <v>1059</v>
      </c>
      <c r="J439" s="47">
        <f t="shared" si="91"/>
        <v>3740</v>
      </c>
      <c r="K439" s="46" t="s">
        <v>7938</v>
      </c>
      <c r="L439" s="47"/>
      <c r="M439" s="47"/>
      <c r="N439" s="47"/>
      <c r="O439" s="47"/>
      <c r="P439" s="47"/>
      <c r="Q439" s="47"/>
      <c r="R439" s="47"/>
      <c r="S439" s="47"/>
      <c r="T439" s="47">
        <f t="shared" si="93"/>
        <v>780</v>
      </c>
      <c r="U439" s="47"/>
      <c r="V439" s="47"/>
      <c r="W439" s="47"/>
      <c r="X439" s="47"/>
      <c r="Y439" s="47"/>
      <c r="Z439" s="47">
        <f t="shared" si="95"/>
        <v>4620</v>
      </c>
      <c r="AA439" s="47"/>
      <c r="AB439" s="47"/>
      <c r="AC439" s="47"/>
      <c r="AD439" s="47"/>
      <c r="AE439" s="47"/>
      <c r="AF439" s="47">
        <f t="shared" si="94"/>
        <v>1485</v>
      </c>
      <c r="AG439" s="47"/>
      <c r="AH439" s="47" t="str">
        <f>IFERROR(_xlfn.XLOOKUP(Table6[[#This Row],[Suburb]],Table5[Travel Surcharge],Table5[$$]),"")</f>
        <v/>
      </c>
      <c r="AI439" s="47"/>
      <c r="AJ439" s="47"/>
      <c r="AL439" t="str">
        <v>Kinley Estate</v>
      </c>
    </row>
    <row r="440" spans="1:38">
      <c r="A440" s="157" t="s">
        <v>1054</v>
      </c>
      <c r="B440" s="157">
        <v>37</v>
      </c>
      <c r="C440" s="157" t="s">
        <v>8380</v>
      </c>
      <c r="D440" s="157" t="str">
        <f t="shared" si="96"/>
        <v>Aspire Estate37</v>
      </c>
      <c r="E440" s="157" t="s">
        <v>8382</v>
      </c>
      <c r="F440" s="157" t="s">
        <v>1056</v>
      </c>
      <c r="G440" s="157" t="s">
        <v>1057</v>
      </c>
      <c r="H440" s="157" t="s">
        <v>8381</v>
      </c>
      <c r="I440" s="158" t="s">
        <v>1059</v>
      </c>
      <c r="J440" s="47">
        <f t="shared" si="91"/>
        <v>3740</v>
      </c>
      <c r="K440" s="46" t="s">
        <v>7938</v>
      </c>
      <c r="L440" s="47"/>
      <c r="M440" s="47"/>
      <c r="N440" s="47"/>
      <c r="O440" s="47"/>
      <c r="P440" s="47"/>
      <c r="Q440" s="47"/>
      <c r="R440" s="47"/>
      <c r="S440" s="47"/>
      <c r="T440" s="47">
        <f t="shared" si="93"/>
        <v>780</v>
      </c>
      <c r="U440" s="47"/>
      <c r="V440" s="47"/>
      <c r="W440" s="47"/>
      <c r="X440" s="47"/>
      <c r="Y440" s="47"/>
      <c r="Z440" s="47">
        <f t="shared" si="95"/>
        <v>4620</v>
      </c>
      <c r="AA440" s="47"/>
      <c r="AB440" s="47"/>
      <c r="AC440" s="47"/>
      <c r="AD440" s="47"/>
      <c r="AE440" s="47"/>
      <c r="AF440" s="47">
        <f t="shared" si="94"/>
        <v>1485</v>
      </c>
      <c r="AG440" s="47"/>
      <c r="AH440" s="47" t="str">
        <f>IFERROR(_xlfn.XLOOKUP(Table6[[#This Row],[Suburb]],Table5[Travel Surcharge],Table5[$$]),"")</f>
        <v/>
      </c>
      <c r="AI440" s="47"/>
      <c r="AJ440" s="47"/>
      <c r="AL440" t="str">
        <v>Kinship</v>
      </c>
    </row>
    <row r="441" spans="1:38">
      <c r="A441" s="374" t="s">
        <v>1054</v>
      </c>
      <c r="B441" s="374" t="s">
        <v>1072</v>
      </c>
      <c r="C441" s="374" t="s">
        <v>862</v>
      </c>
      <c r="D441" s="375" t="str">
        <f t="shared" si="96"/>
        <v>Aspire Estate3a</v>
      </c>
      <c r="E441" s="375" t="s">
        <v>1073</v>
      </c>
      <c r="F441" s="375" t="s">
        <v>1056</v>
      </c>
      <c r="G441" s="375" t="s">
        <v>1057</v>
      </c>
      <c r="H441" s="375" t="s">
        <v>1058</v>
      </c>
      <c r="I441" s="63" t="s">
        <v>1059</v>
      </c>
      <c r="J441" s="47">
        <f t="shared" si="91"/>
        <v>3740</v>
      </c>
      <c r="K441" s="46" t="s">
        <v>7938</v>
      </c>
      <c r="L441" s="47"/>
      <c r="M441" s="47"/>
      <c r="N441" s="47"/>
      <c r="O441" s="47"/>
      <c r="P441" s="47"/>
      <c r="Q441" s="47"/>
      <c r="R441" s="47"/>
      <c r="S441" s="47"/>
      <c r="T441" s="47">
        <f t="shared" si="93"/>
        <v>780</v>
      </c>
      <c r="U441" s="47"/>
      <c r="V441" s="47"/>
      <c r="W441" s="47"/>
      <c r="X441" s="47"/>
      <c r="Y441" s="47"/>
      <c r="Z441" s="47">
        <f t="shared" si="95"/>
        <v>4620</v>
      </c>
      <c r="AA441" s="47"/>
      <c r="AB441" s="47"/>
      <c r="AC441" s="47"/>
      <c r="AD441" s="47"/>
      <c r="AE441" s="47"/>
      <c r="AF441" s="47">
        <f t="shared" si="94"/>
        <v>1485</v>
      </c>
      <c r="AG441" s="47"/>
      <c r="AH441" s="47" t="str">
        <f>IFERROR(_xlfn.XLOOKUP(Table6[[#This Row],[Suburb]],Table5[Travel Surcharge],Table5[$$]),"")</f>
        <v/>
      </c>
      <c r="AI441" s="47"/>
      <c r="AJ441" s="47"/>
      <c r="AL441" t="str">
        <v>Kirkwood</v>
      </c>
    </row>
    <row r="442" spans="1:38">
      <c r="A442" s="374" t="s">
        <v>1074</v>
      </c>
      <c r="B442" s="374">
        <v>17</v>
      </c>
      <c r="C442" s="374" t="s">
        <v>1075</v>
      </c>
      <c r="D442" s="375" t="str">
        <f t="shared" si="96"/>
        <v>Aston Estate17</v>
      </c>
      <c r="E442" s="375" t="s">
        <v>1076</v>
      </c>
      <c r="F442" s="375" t="s">
        <v>444</v>
      </c>
      <c r="G442" s="375" t="s">
        <v>1077</v>
      </c>
      <c r="H442" s="375" t="s">
        <v>1078</v>
      </c>
      <c r="I442" s="63" t="s">
        <v>1079</v>
      </c>
      <c r="J442" s="47">
        <f t="shared" si="91"/>
        <v>3740</v>
      </c>
      <c r="K442" s="46" t="s">
        <v>10735</v>
      </c>
      <c r="L442" s="47"/>
      <c r="M442" s="47">
        <f t="shared" ref="M442:M486" si="97">M$7</f>
        <v>1430.0000000000002</v>
      </c>
      <c r="N442" s="47"/>
      <c r="O442" s="47"/>
      <c r="P442" s="47"/>
      <c r="Q442" s="47"/>
      <c r="R442" s="47"/>
      <c r="S442" s="47" t="s">
        <v>463</v>
      </c>
      <c r="T442" s="47"/>
      <c r="U442" s="47"/>
      <c r="V442" s="47"/>
      <c r="W442" s="47"/>
      <c r="X442" s="47"/>
      <c r="Y442" s="47"/>
      <c r="Z442" s="47">
        <f t="shared" si="95"/>
        <v>4620</v>
      </c>
      <c r="AA442" s="47"/>
      <c r="AB442" s="47"/>
      <c r="AC442" s="47"/>
      <c r="AD442" s="47"/>
      <c r="AE442" s="47"/>
      <c r="AF442" s="47"/>
      <c r="AG442" s="47"/>
      <c r="AH442" s="47" t="str">
        <f>IFERROR(_xlfn.XLOOKUP(Table6[[#This Row],[Suburb]],Table5[Travel Surcharge],Table5[$$]),"")</f>
        <v/>
      </c>
      <c r="AI442" s="47"/>
      <c r="AJ442" s="47"/>
      <c r="AL442" t="str">
        <v>Lakeland Estate</v>
      </c>
    </row>
    <row r="443" spans="1:38">
      <c r="A443" s="374" t="s">
        <v>1074</v>
      </c>
      <c r="B443" s="374">
        <v>18</v>
      </c>
      <c r="C443" s="374" t="s">
        <v>1075</v>
      </c>
      <c r="D443" s="375" t="str">
        <f t="shared" si="96"/>
        <v>Aston Estate18</v>
      </c>
      <c r="E443" s="375" t="s">
        <v>1080</v>
      </c>
      <c r="F443" s="375" t="s">
        <v>444</v>
      </c>
      <c r="G443" s="375" t="s">
        <v>1077</v>
      </c>
      <c r="H443" s="375" t="s">
        <v>1078</v>
      </c>
      <c r="I443" s="63" t="s">
        <v>1079</v>
      </c>
      <c r="J443" s="47">
        <f t="shared" si="91"/>
        <v>3740</v>
      </c>
      <c r="K443" s="46" t="s">
        <v>10735</v>
      </c>
      <c r="L443" s="47"/>
      <c r="M443" s="47">
        <f t="shared" si="97"/>
        <v>1430.0000000000002</v>
      </c>
      <c r="N443" s="47"/>
      <c r="O443" s="47"/>
      <c r="P443" s="47"/>
      <c r="Q443" s="47"/>
      <c r="R443" s="47"/>
      <c r="S443" s="47" t="s">
        <v>463</v>
      </c>
      <c r="T443" s="47"/>
      <c r="U443" s="47"/>
      <c r="V443" s="47"/>
      <c r="W443" s="47"/>
      <c r="X443" s="47"/>
      <c r="Y443" s="47"/>
      <c r="Z443" s="47">
        <f t="shared" si="95"/>
        <v>4620</v>
      </c>
      <c r="AA443" s="47"/>
      <c r="AB443" s="47"/>
      <c r="AC443" s="47"/>
      <c r="AD443" s="47"/>
      <c r="AE443" s="47"/>
      <c r="AF443" s="47"/>
      <c r="AG443" s="47"/>
      <c r="AH443" s="47" t="str">
        <f>IFERROR(_xlfn.XLOOKUP(Table6[[#This Row],[Suburb]],Table5[Travel Surcharge],Table5[$$]),"")</f>
        <v/>
      </c>
      <c r="AI443" s="47"/>
      <c r="AJ443" s="47"/>
      <c r="AL443" t="str">
        <v>Lakeside</v>
      </c>
    </row>
    <row r="444" spans="1:38">
      <c r="A444" s="374" t="s">
        <v>1074</v>
      </c>
      <c r="B444" s="374">
        <v>19</v>
      </c>
      <c r="C444" s="374" t="s">
        <v>1075</v>
      </c>
      <c r="D444" s="375" t="str">
        <f t="shared" si="96"/>
        <v>Aston Estate19</v>
      </c>
      <c r="E444" s="375" t="s">
        <v>1081</v>
      </c>
      <c r="F444" s="375" t="s">
        <v>444</v>
      </c>
      <c r="G444" s="375" t="s">
        <v>1077</v>
      </c>
      <c r="H444" s="375" t="s">
        <v>1078</v>
      </c>
      <c r="I444" s="63" t="s">
        <v>1079</v>
      </c>
      <c r="J444" s="47">
        <f t="shared" si="91"/>
        <v>3740</v>
      </c>
      <c r="K444" s="46" t="s">
        <v>10735</v>
      </c>
      <c r="L444" s="47"/>
      <c r="M444" s="47">
        <f t="shared" si="97"/>
        <v>1430.0000000000002</v>
      </c>
      <c r="N444" s="47"/>
      <c r="O444" s="47"/>
      <c r="P444" s="47"/>
      <c r="Q444" s="47"/>
      <c r="R444" s="47"/>
      <c r="S444" s="47" t="s">
        <v>463</v>
      </c>
      <c r="T444" s="47"/>
      <c r="U444" s="47"/>
      <c r="V444" s="47"/>
      <c r="W444" s="47"/>
      <c r="X444" s="47"/>
      <c r="Y444" s="47"/>
      <c r="Z444" s="47">
        <f t="shared" si="95"/>
        <v>4620</v>
      </c>
      <c r="AA444" s="47"/>
      <c r="AB444" s="47"/>
      <c r="AC444" s="47"/>
      <c r="AD444" s="47"/>
      <c r="AE444" s="47"/>
      <c r="AF444" s="47"/>
      <c r="AG444" s="47"/>
      <c r="AH444" s="47" t="str">
        <f>IFERROR(_xlfn.XLOOKUP(Table6[[#This Row],[Suburb]],Table5[Travel Surcharge],Table5[$$]),"")</f>
        <v/>
      </c>
      <c r="AI444" s="47"/>
      <c r="AJ444" s="47"/>
      <c r="AL444" t="str">
        <v>Lakeside Estate</v>
      </c>
    </row>
    <row r="445" spans="1:38">
      <c r="A445" s="374" t="s">
        <v>1074</v>
      </c>
      <c r="B445" s="374">
        <v>21</v>
      </c>
      <c r="C445" s="374" t="s">
        <v>1075</v>
      </c>
      <c r="D445" s="375" t="str">
        <f t="shared" si="96"/>
        <v>Aston Estate21</v>
      </c>
      <c r="E445" s="375" t="s">
        <v>1082</v>
      </c>
      <c r="F445" s="375" t="s">
        <v>444</v>
      </c>
      <c r="G445" s="375" t="s">
        <v>1077</v>
      </c>
      <c r="H445" s="375" t="s">
        <v>1078</v>
      </c>
      <c r="I445" s="63" t="s">
        <v>1079</v>
      </c>
      <c r="J445" s="47">
        <f t="shared" si="91"/>
        <v>3740</v>
      </c>
      <c r="K445" s="46" t="s">
        <v>10735</v>
      </c>
      <c r="L445" s="47"/>
      <c r="M445" s="47">
        <f t="shared" si="97"/>
        <v>1430.0000000000002</v>
      </c>
      <c r="N445" s="47"/>
      <c r="O445" s="47"/>
      <c r="P445" s="47"/>
      <c r="Q445" s="47"/>
      <c r="R445" s="47"/>
      <c r="S445" s="47" t="s">
        <v>463</v>
      </c>
      <c r="T445" s="47"/>
      <c r="U445" s="47"/>
      <c r="V445" s="47"/>
      <c r="W445" s="47"/>
      <c r="X445" s="47"/>
      <c r="Y445" s="47"/>
      <c r="Z445" s="47">
        <f t="shared" si="95"/>
        <v>4620</v>
      </c>
      <c r="AA445" s="47"/>
      <c r="AB445" s="47"/>
      <c r="AC445" s="47"/>
      <c r="AD445" s="47"/>
      <c r="AE445" s="47"/>
      <c r="AF445" s="47"/>
      <c r="AG445" s="47"/>
      <c r="AH445" s="47" t="str">
        <f>IFERROR(_xlfn.XLOOKUP(Table6[[#This Row],[Suburb]],Table5[Travel Surcharge],Table5[$$]),"")</f>
        <v/>
      </c>
      <c r="AI445" s="47"/>
      <c r="AJ445" s="47"/>
      <c r="AL445" t="str">
        <v>Langley Park</v>
      </c>
    </row>
    <row r="446" spans="1:38">
      <c r="A446" s="374" t="s">
        <v>1074</v>
      </c>
      <c r="B446" s="374">
        <v>22</v>
      </c>
      <c r="C446" s="374" t="s">
        <v>1075</v>
      </c>
      <c r="D446" s="375" t="str">
        <f t="shared" si="96"/>
        <v>Aston Estate22</v>
      </c>
      <c r="E446" s="375" t="s">
        <v>1083</v>
      </c>
      <c r="F446" s="375" t="s">
        <v>444</v>
      </c>
      <c r="G446" s="375" t="s">
        <v>1077</v>
      </c>
      <c r="H446" s="375" t="s">
        <v>1078</v>
      </c>
      <c r="I446" s="63" t="s">
        <v>1079</v>
      </c>
      <c r="J446" s="47">
        <f t="shared" si="91"/>
        <v>3740</v>
      </c>
      <c r="K446" s="46" t="s">
        <v>10735</v>
      </c>
      <c r="L446" s="47"/>
      <c r="M446" s="47">
        <f t="shared" si="97"/>
        <v>1430.0000000000002</v>
      </c>
      <c r="N446" s="47"/>
      <c r="O446" s="47"/>
      <c r="P446" s="47"/>
      <c r="Q446" s="47"/>
      <c r="R446" s="47"/>
      <c r="S446" s="47" t="s">
        <v>463</v>
      </c>
      <c r="T446" s="47"/>
      <c r="U446" s="47"/>
      <c r="V446" s="47"/>
      <c r="W446" s="47"/>
      <c r="X446" s="47"/>
      <c r="Y446" s="47"/>
      <c r="Z446" s="47">
        <f t="shared" si="95"/>
        <v>4620</v>
      </c>
      <c r="AA446" s="47"/>
      <c r="AB446" s="47"/>
      <c r="AC446" s="47"/>
      <c r="AD446" s="47"/>
      <c r="AE446" s="47"/>
      <c r="AF446" s="47"/>
      <c r="AG446" s="47"/>
      <c r="AH446" s="47" t="str">
        <f>IFERROR(_xlfn.XLOOKUP(Table6[[#This Row],[Suburb]],Table5[Travel Surcharge],Table5[$$]),"")</f>
        <v/>
      </c>
      <c r="AI446" s="47"/>
      <c r="AJ446" s="47"/>
      <c r="AL446" t="str">
        <v>Lantix</v>
      </c>
    </row>
    <row r="447" spans="1:38">
      <c r="A447" s="374" t="s">
        <v>1074</v>
      </c>
      <c r="B447" s="374">
        <v>25</v>
      </c>
      <c r="C447" s="374" t="s">
        <v>1075</v>
      </c>
      <c r="D447" s="375" t="str">
        <f t="shared" si="96"/>
        <v>Aston Estate25</v>
      </c>
      <c r="E447" s="375" t="s">
        <v>1084</v>
      </c>
      <c r="F447" s="375" t="s">
        <v>444</v>
      </c>
      <c r="G447" s="375" t="s">
        <v>1077</v>
      </c>
      <c r="H447" s="375" t="s">
        <v>1078</v>
      </c>
      <c r="I447" s="63" t="s">
        <v>1079</v>
      </c>
      <c r="J447" s="47">
        <f t="shared" si="91"/>
        <v>3740</v>
      </c>
      <c r="K447" s="46" t="s">
        <v>10735</v>
      </c>
      <c r="L447" s="47"/>
      <c r="M447" s="47">
        <f t="shared" si="97"/>
        <v>1430.0000000000002</v>
      </c>
      <c r="N447" s="47"/>
      <c r="O447" s="47"/>
      <c r="P447" s="47"/>
      <c r="Q447" s="47"/>
      <c r="R447" s="47"/>
      <c r="S447" s="47" t="s">
        <v>463</v>
      </c>
      <c r="T447" s="47"/>
      <c r="U447" s="47"/>
      <c r="V447" s="47"/>
      <c r="W447" s="47"/>
      <c r="X447" s="47"/>
      <c r="Y447" s="47"/>
      <c r="Z447" s="47">
        <f t="shared" si="95"/>
        <v>4620</v>
      </c>
      <c r="AA447" s="47"/>
      <c r="AB447" s="47"/>
      <c r="AC447" s="47"/>
      <c r="AD447" s="47"/>
      <c r="AE447" s="47"/>
      <c r="AF447" s="47"/>
      <c r="AG447" s="47"/>
      <c r="AH447" s="47" t="str">
        <f>IFERROR(_xlfn.XLOOKUP(Table6[[#This Row],[Suburb]],Table5[Travel Surcharge],Table5[$$]),"")</f>
        <v/>
      </c>
      <c r="AI447" s="47"/>
      <c r="AJ447" s="47"/>
      <c r="AL447" t="str">
        <v>Lara Lakes</v>
      </c>
    </row>
    <row r="448" spans="1:38">
      <c r="A448" s="374" t="s">
        <v>1074</v>
      </c>
      <c r="B448" s="374">
        <v>26</v>
      </c>
      <c r="C448" s="374" t="s">
        <v>1075</v>
      </c>
      <c r="D448" s="375" t="str">
        <f t="shared" si="96"/>
        <v>Aston Estate26</v>
      </c>
      <c r="E448" s="375" t="s">
        <v>1085</v>
      </c>
      <c r="F448" s="375" t="s">
        <v>444</v>
      </c>
      <c r="G448" s="375" t="s">
        <v>1077</v>
      </c>
      <c r="H448" s="375" t="s">
        <v>1078</v>
      </c>
      <c r="I448" s="63" t="s">
        <v>1079</v>
      </c>
      <c r="J448" s="47">
        <f t="shared" si="91"/>
        <v>3740</v>
      </c>
      <c r="K448" s="46" t="s">
        <v>10735</v>
      </c>
      <c r="L448" s="47"/>
      <c r="M448" s="47">
        <f t="shared" si="97"/>
        <v>1430.0000000000002</v>
      </c>
      <c r="N448" s="47"/>
      <c r="O448" s="47"/>
      <c r="P448" s="47"/>
      <c r="Q448" s="47"/>
      <c r="R448" s="47"/>
      <c r="S448" s="47" t="s">
        <v>463</v>
      </c>
      <c r="T448" s="47"/>
      <c r="U448" s="47"/>
      <c r="V448" s="47"/>
      <c r="W448" s="47"/>
      <c r="X448" s="47"/>
      <c r="Y448" s="47"/>
      <c r="Z448" s="47">
        <f t="shared" si="95"/>
        <v>4620</v>
      </c>
      <c r="AA448" s="47"/>
      <c r="AB448" s="47"/>
      <c r="AC448" s="47"/>
      <c r="AD448" s="47"/>
      <c r="AE448" s="47"/>
      <c r="AF448" s="47"/>
      <c r="AG448" s="47"/>
      <c r="AH448" s="47" t="str">
        <f>IFERROR(_xlfn.XLOOKUP(Table6[[#This Row],[Suburb]],Table5[Travel Surcharge],Table5[$$]),"")</f>
        <v/>
      </c>
      <c r="AI448" s="47"/>
      <c r="AJ448" s="47"/>
      <c r="AL448" t="str">
        <v>Lara Views Estate</v>
      </c>
    </row>
    <row r="449" spans="1:38">
      <c r="A449" s="374" t="s">
        <v>1074</v>
      </c>
      <c r="B449" s="374">
        <v>27</v>
      </c>
      <c r="C449" s="374" t="s">
        <v>1075</v>
      </c>
      <c r="D449" s="375" t="str">
        <f t="shared" si="96"/>
        <v>Aston Estate27</v>
      </c>
      <c r="E449" s="375" t="s">
        <v>1086</v>
      </c>
      <c r="F449" s="375" t="s">
        <v>444</v>
      </c>
      <c r="G449" s="375" t="s">
        <v>1077</v>
      </c>
      <c r="H449" s="375" t="s">
        <v>1078</v>
      </c>
      <c r="I449" s="63" t="s">
        <v>1079</v>
      </c>
      <c r="J449" s="47">
        <f t="shared" si="91"/>
        <v>3740</v>
      </c>
      <c r="K449" s="46" t="s">
        <v>10735</v>
      </c>
      <c r="L449" s="47"/>
      <c r="M449" s="47">
        <f t="shared" si="97"/>
        <v>1430.0000000000002</v>
      </c>
      <c r="N449" s="47"/>
      <c r="O449" s="47"/>
      <c r="P449" s="47"/>
      <c r="Q449" s="47"/>
      <c r="R449" s="47"/>
      <c r="S449" s="47" t="s">
        <v>463</v>
      </c>
      <c r="T449" s="47"/>
      <c r="U449" s="47"/>
      <c r="V449" s="47"/>
      <c r="W449" s="47"/>
      <c r="X449" s="47"/>
      <c r="Y449" s="47"/>
      <c r="Z449" s="47">
        <f t="shared" si="95"/>
        <v>4620</v>
      </c>
      <c r="AA449" s="47"/>
      <c r="AB449" s="47"/>
      <c r="AC449" s="47"/>
      <c r="AD449" s="47"/>
      <c r="AE449" s="47"/>
      <c r="AF449" s="47"/>
      <c r="AG449" s="47"/>
      <c r="AH449" s="47" t="str">
        <f>IFERROR(_xlfn.XLOOKUP(Table6[[#This Row],[Suburb]],Table5[Travel Surcharge],Table5[$$]),"")</f>
        <v/>
      </c>
      <c r="AI449" s="47"/>
      <c r="AJ449" s="47"/>
      <c r="AL449" t="str">
        <v>Laurier</v>
      </c>
    </row>
    <row r="450" spans="1:38">
      <c r="A450" s="374" t="s">
        <v>1074</v>
      </c>
      <c r="B450" s="374">
        <v>28</v>
      </c>
      <c r="C450" s="374" t="s">
        <v>1075</v>
      </c>
      <c r="D450" s="375" t="str">
        <f t="shared" si="96"/>
        <v>Aston Estate28</v>
      </c>
      <c r="E450" s="375" t="s">
        <v>1087</v>
      </c>
      <c r="F450" s="375" t="s">
        <v>444</v>
      </c>
      <c r="G450" s="375" t="s">
        <v>1077</v>
      </c>
      <c r="H450" s="375" t="s">
        <v>1078</v>
      </c>
      <c r="I450" s="63" t="s">
        <v>1079</v>
      </c>
      <c r="J450" s="47">
        <f t="shared" ref="J450:J486" si="98">J$7</f>
        <v>3740</v>
      </c>
      <c r="K450" s="46" t="s">
        <v>10735</v>
      </c>
      <c r="L450" s="47"/>
      <c r="M450" s="47">
        <f t="shared" si="97"/>
        <v>1430.0000000000002</v>
      </c>
      <c r="N450" s="47"/>
      <c r="O450" s="47"/>
      <c r="P450" s="47"/>
      <c r="Q450" s="47"/>
      <c r="R450" s="47"/>
      <c r="S450" s="47" t="s">
        <v>463</v>
      </c>
      <c r="T450" s="47"/>
      <c r="U450" s="47"/>
      <c r="V450" s="47"/>
      <c r="W450" s="47"/>
      <c r="X450" s="47"/>
      <c r="Y450" s="47"/>
      <c r="Z450" s="47">
        <f t="shared" si="95"/>
        <v>4620</v>
      </c>
      <c r="AA450" s="47"/>
      <c r="AB450" s="47"/>
      <c r="AC450" s="47"/>
      <c r="AD450" s="47"/>
      <c r="AE450" s="47"/>
      <c r="AF450" s="47"/>
      <c r="AG450" s="47"/>
      <c r="AH450" s="47" t="str">
        <f>IFERROR(_xlfn.XLOOKUP(Table6[[#This Row],[Suburb]],Table5[Travel Surcharge],Table5[$$]),"")</f>
        <v/>
      </c>
      <c r="AI450" s="47"/>
      <c r="AJ450" s="47"/>
      <c r="AL450" t="str">
        <v>Lavender Estate</v>
      </c>
    </row>
    <row r="451" spans="1:38">
      <c r="A451" s="374" t="s">
        <v>1074</v>
      </c>
      <c r="B451" s="374">
        <v>29</v>
      </c>
      <c r="C451" s="374" t="s">
        <v>1075</v>
      </c>
      <c r="D451" s="375" t="str">
        <f t="shared" si="96"/>
        <v>Aston Estate29</v>
      </c>
      <c r="E451" s="375" t="s">
        <v>1088</v>
      </c>
      <c r="F451" s="375" t="s">
        <v>444</v>
      </c>
      <c r="G451" s="375" t="s">
        <v>1077</v>
      </c>
      <c r="H451" s="375" t="s">
        <v>1078</v>
      </c>
      <c r="I451" s="63" t="s">
        <v>1079</v>
      </c>
      <c r="J451" s="47">
        <f t="shared" si="98"/>
        <v>3740</v>
      </c>
      <c r="K451" s="46" t="s">
        <v>10735</v>
      </c>
      <c r="L451" s="47"/>
      <c r="M451" s="47">
        <f t="shared" si="97"/>
        <v>1430.0000000000002</v>
      </c>
      <c r="N451" s="47"/>
      <c r="O451" s="47"/>
      <c r="P451" s="47"/>
      <c r="Q451" s="47"/>
      <c r="R451" s="47"/>
      <c r="S451" s="47" t="s">
        <v>463</v>
      </c>
      <c r="T451" s="47"/>
      <c r="U451" s="47"/>
      <c r="V451" s="47"/>
      <c r="W451" s="47"/>
      <c r="X451" s="47"/>
      <c r="Y451" s="47"/>
      <c r="Z451" s="47">
        <f t="shared" si="95"/>
        <v>4620</v>
      </c>
      <c r="AA451" s="47"/>
      <c r="AB451" s="47"/>
      <c r="AC451" s="47"/>
      <c r="AD451" s="47"/>
      <c r="AE451" s="47"/>
      <c r="AF451" s="47"/>
      <c r="AG451" s="47"/>
      <c r="AH451" s="47" t="str">
        <f>IFERROR(_xlfn.XLOOKUP(Table6[[#This Row],[Suburb]],Table5[Travel Surcharge],Table5[$$]),"")</f>
        <v/>
      </c>
      <c r="AI451" s="47"/>
      <c r="AJ451" s="47"/>
      <c r="AL451" t="str">
        <v>Lavinia Estate</v>
      </c>
    </row>
    <row r="452" spans="1:38">
      <c r="A452" s="374" t="s">
        <v>1074</v>
      </c>
      <c r="B452" s="374">
        <v>30</v>
      </c>
      <c r="C452" s="374" t="s">
        <v>1075</v>
      </c>
      <c r="D452" s="375" t="str">
        <f t="shared" si="96"/>
        <v>Aston Estate30</v>
      </c>
      <c r="E452" s="375" t="s">
        <v>1089</v>
      </c>
      <c r="F452" s="375" t="s">
        <v>444</v>
      </c>
      <c r="G452" s="375" t="s">
        <v>1077</v>
      </c>
      <c r="H452" s="375" t="s">
        <v>1078</v>
      </c>
      <c r="I452" s="63" t="s">
        <v>1079</v>
      </c>
      <c r="J452" s="47">
        <f t="shared" si="98"/>
        <v>3740</v>
      </c>
      <c r="K452" s="46" t="s">
        <v>10735</v>
      </c>
      <c r="L452" s="47"/>
      <c r="M452" s="47">
        <f t="shared" si="97"/>
        <v>1430.0000000000002</v>
      </c>
      <c r="N452" s="47"/>
      <c r="O452" s="47"/>
      <c r="P452" s="47"/>
      <c r="Q452" s="47"/>
      <c r="R452" s="47"/>
      <c r="S452" s="47" t="s">
        <v>463</v>
      </c>
      <c r="T452" s="47"/>
      <c r="U452" s="47"/>
      <c r="V452" s="47"/>
      <c r="W452" s="47"/>
      <c r="X452" s="47"/>
      <c r="Y452" s="47"/>
      <c r="Z452" s="47">
        <f t="shared" si="95"/>
        <v>4620</v>
      </c>
      <c r="AA452" s="47"/>
      <c r="AB452" s="47"/>
      <c r="AC452" s="47"/>
      <c r="AD452" s="47"/>
      <c r="AE452" s="47"/>
      <c r="AF452" s="47"/>
      <c r="AG452" s="47"/>
      <c r="AH452" s="47" t="str">
        <f>IFERROR(_xlfn.XLOOKUP(Table6[[#This Row],[Suburb]],Table5[Travel Surcharge],Table5[$$]),"")</f>
        <v/>
      </c>
      <c r="AI452" s="47"/>
      <c r="AJ452" s="47"/>
      <c r="AL452" t="str">
        <v>Layaland Estate</v>
      </c>
    </row>
    <row r="453" spans="1:38">
      <c r="A453" s="374" t="s">
        <v>1074</v>
      </c>
      <c r="B453" s="374">
        <v>31</v>
      </c>
      <c r="C453" s="374" t="s">
        <v>1075</v>
      </c>
      <c r="D453" s="375" t="str">
        <f t="shared" si="96"/>
        <v>Aston Estate31</v>
      </c>
      <c r="E453" s="375" t="s">
        <v>1090</v>
      </c>
      <c r="F453" s="375" t="s">
        <v>444</v>
      </c>
      <c r="G453" s="375" t="s">
        <v>1077</v>
      </c>
      <c r="H453" s="375" t="s">
        <v>1078</v>
      </c>
      <c r="I453" s="63" t="s">
        <v>1079</v>
      </c>
      <c r="J453" s="47">
        <f t="shared" si="98"/>
        <v>3740</v>
      </c>
      <c r="K453" s="46" t="s">
        <v>10735</v>
      </c>
      <c r="L453" s="47"/>
      <c r="M453" s="47">
        <f t="shared" si="97"/>
        <v>1430.0000000000002</v>
      </c>
      <c r="N453" s="47"/>
      <c r="O453" s="47"/>
      <c r="P453" s="47"/>
      <c r="Q453" s="47"/>
      <c r="R453" s="47"/>
      <c r="S453" s="47" t="s">
        <v>463</v>
      </c>
      <c r="T453" s="47"/>
      <c r="U453" s="47"/>
      <c r="V453" s="47"/>
      <c r="W453" s="47"/>
      <c r="X453" s="47"/>
      <c r="Y453" s="47"/>
      <c r="Z453" s="47">
        <f t="shared" si="95"/>
        <v>4620</v>
      </c>
      <c r="AA453" s="47"/>
      <c r="AB453" s="47"/>
      <c r="AC453" s="47"/>
      <c r="AD453" s="47"/>
      <c r="AE453" s="47"/>
      <c r="AF453" s="47"/>
      <c r="AG453" s="47"/>
      <c r="AH453" s="47" t="str">
        <f>IFERROR(_xlfn.XLOOKUP(Table6[[#This Row],[Suburb]],Table5[Travel Surcharge],Table5[$$]),"")</f>
        <v/>
      </c>
      <c r="AI453" s="47"/>
      <c r="AJ453" s="47"/>
      <c r="AL453" t="str">
        <v>Leafwood</v>
      </c>
    </row>
    <row r="454" spans="1:38">
      <c r="A454" s="374" t="s">
        <v>1074</v>
      </c>
      <c r="B454" s="374" t="s">
        <v>1091</v>
      </c>
      <c r="C454" s="374" t="s">
        <v>1075</v>
      </c>
      <c r="D454" s="375" t="str">
        <f t="shared" si="96"/>
        <v>Aston Estate17A</v>
      </c>
      <c r="E454" s="375" t="s">
        <v>1092</v>
      </c>
      <c r="F454" s="375" t="s">
        <v>444</v>
      </c>
      <c r="G454" s="375" t="s">
        <v>1077</v>
      </c>
      <c r="H454" s="375" t="s">
        <v>1078</v>
      </c>
      <c r="I454" s="63" t="s">
        <v>1079</v>
      </c>
      <c r="J454" s="47">
        <f t="shared" si="98"/>
        <v>3740</v>
      </c>
      <c r="K454" s="46" t="s">
        <v>10735</v>
      </c>
      <c r="L454" s="47"/>
      <c r="M454" s="47">
        <f t="shared" si="97"/>
        <v>1430.0000000000002</v>
      </c>
      <c r="N454" s="47"/>
      <c r="O454" s="47"/>
      <c r="P454" s="47"/>
      <c r="Q454" s="47"/>
      <c r="R454" s="47"/>
      <c r="S454" s="47" t="s">
        <v>463</v>
      </c>
      <c r="T454" s="47"/>
      <c r="U454" s="47"/>
      <c r="V454" s="47"/>
      <c r="W454" s="47"/>
      <c r="X454" s="47"/>
      <c r="Y454" s="47"/>
      <c r="Z454" s="47">
        <f t="shared" si="95"/>
        <v>4620</v>
      </c>
      <c r="AA454" s="47"/>
      <c r="AB454" s="47"/>
      <c r="AC454" s="47"/>
      <c r="AD454" s="47"/>
      <c r="AE454" s="47"/>
      <c r="AF454" s="47"/>
      <c r="AG454" s="47"/>
      <c r="AH454" s="47" t="str">
        <f>IFERROR(_xlfn.XLOOKUP(Table6[[#This Row],[Suburb]],Table5[Travel Surcharge],Table5[$$]),"")</f>
        <v/>
      </c>
      <c r="AI454" s="47"/>
      <c r="AJ454" s="47"/>
      <c r="AL454" t="str">
        <v>Leafy</v>
      </c>
    </row>
    <row r="455" spans="1:38">
      <c r="A455" s="374" t="s">
        <v>1093</v>
      </c>
      <c r="B455" s="374">
        <v>2</v>
      </c>
      <c r="C455" s="374" t="s">
        <v>404</v>
      </c>
      <c r="D455" s="375" t="str">
        <f t="shared" si="96"/>
        <v>Atherstone Estate2</v>
      </c>
      <c r="E455" s="375" t="s">
        <v>1094</v>
      </c>
      <c r="F455" s="375" t="s">
        <v>1095</v>
      </c>
      <c r="G455" s="375" t="s">
        <v>1096</v>
      </c>
      <c r="H455" s="375" t="s">
        <v>1097</v>
      </c>
      <c r="I455" s="63" t="s">
        <v>1098</v>
      </c>
      <c r="J455" s="47">
        <f t="shared" si="98"/>
        <v>3740</v>
      </c>
      <c r="K455" s="46" t="s">
        <v>7938</v>
      </c>
      <c r="L455" s="47"/>
      <c r="M455" s="47">
        <f t="shared" si="97"/>
        <v>1430.0000000000002</v>
      </c>
      <c r="N455" s="47"/>
      <c r="O455" s="47"/>
      <c r="P455" s="47"/>
      <c r="Q455" s="47"/>
      <c r="R455" s="47"/>
      <c r="S455" s="47" t="s">
        <v>463</v>
      </c>
      <c r="T455" s="47"/>
      <c r="U455" s="47" t="s">
        <v>1099</v>
      </c>
      <c r="V455" s="47"/>
      <c r="W455" s="47"/>
      <c r="X455" s="47"/>
      <c r="Y455" s="47"/>
      <c r="Z455" s="47">
        <f t="shared" si="95"/>
        <v>4620</v>
      </c>
      <c r="AA455" s="47"/>
      <c r="AB455" s="47">
        <f t="shared" ref="AB455:AB486" si="99">AB$7</f>
        <v>2800</v>
      </c>
      <c r="AC455" s="47"/>
      <c r="AD455" s="47"/>
      <c r="AE455" s="47"/>
      <c r="AF455" s="47">
        <f t="shared" ref="AF455:AF486" si="100">$AF$7</f>
        <v>1485</v>
      </c>
      <c r="AG455" s="47"/>
      <c r="AH455" s="47" t="str">
        <f>IFERROR(_xlfn.XLOOKUP(Table6[[#This Row],[Suburb]],Table5[Travel Surcharge],Table5[$$]),"")</f>
        <v/>
      </c>
      <c r="AI455" s="47"/>
      <c r="AJ455" s="47"/>
      <c r="AL455" t="str">
        <v>Leopold Estate</v>
      </c>
    </row>
    <row r="456" spans="1:38">
      <c r="A456" s="374" t="s">
        <v>1093</v>
      </c>
      <c r="B456" s="374">
        <v>3</v>
      </c>
      <c r="C456" s="374" t="s">
        <v>404</v>
      </c>
      <c r="D456" s="375" t="str">
        <f t="shared" si="96"/>
        <v>Atherstone Estate3</v>
      </c>
      <c r="E456" s="375" t="s">
        <v>1100</v>
      </c>
      <c r="F456" s="375" t="s">
        <v>1095</v>
      </c>
      <c r="G456" s="375" t="s">
        <v>1096</v>
      </c>
      <c r="H456" s="375" t="s">
        <v>1097</v>
      </c>
      <c r="I456" s="63" t="s">
        <v>1098</v>
      </c>
      <c r="J456" s="47">
        <f t="shared" si="98"/>
        <v>3740</v>
      </c>
      <c r="K456" s="46" t="s">
        <v>7938</v>
      </c>
      <c r="L456" s="47"/>
      <c r="M456" s="47">
        <f t="shared" si="97"/>
        <v>1430.0000000000002</v>
      </c>
      <c r="N456" s="47"/>
      <c r="O456" s="47"/>
      <c r="P456" s="47"/>
      <c r="Q456" s="47"/>
      <c r="R456" s="47"/>
      <c r="S456" s="47" t="s">
        <v>463</v>
      </c>
      <c r="T456" s="47"/>
      <c r="U456" s="47" t="s">
        <v>1099</v>
      </c>
      <c r="V456" s="47"/>
      <c r="W456" s="47"/>
      <c r="X456" s="47"/>
      <c r="Y456" s="47"/>
      <c r="Z456" s="47">
        <f t="shared" si="95"/>
        <v>4620</v>
      </c>
      <c r="AA456" s="47"/>
      <c r="AB456" s="47">
        <f t="shared" si="99"/>
        <v>2800</v>
      </c>
      <c r="AC456" s="47"/>
      <c r="AD456" s="47"/>
      <c r="AE456" s="47"/>
      <c r="AF456" s="47">
        <f t="shared" si="100"/>
        <v>1485</v>
      </c>
      <c r="AG456" s="47"/>
      <c r="AH456" s="47" t="str">
        <f>IFERROR(_xlfn.XLOOKUP(Table6[[#This Row],[Suburb]],Table5[Travel Surcharge],Table5[$$]),"")</f>
        <v/>
      </c>
      <c r="AI456" s="47"/>
      <c r="AJ456" s="47"/>
      <c r="AL456" t="str">
        <v>Leopold Green Estate</v>
      </c>
    </row>
    <row r="457" spans="1:38">
      <c r="A457" s="374" t="s">
        <v>1093</v>
      </c>
      <c r="B457" s="374">
        <v>4</v>
      </c>
      <c r="C457" s="374" t="s">
        <v>404</v>
      </c>
      <c r="D457" s="375" t="str">
        <f t="shared" si="96"/>
        <v>Atherstone Estate4</v>
      </c>
      <c r="E457" s="375" t="s">
        <v>1101</v>
      </c>
      <c r="F457" s="375" t="s">
        <v>1095</v>
      </c>
      <c r="G457" s="375" t="s">
        <v>1096</v>
      </c>
      <c r="H457" s="375" t="s">
        <v>1097</v>
      </c>
      <c r="I457" s="63" t="s">
        <v>1098</v>
      </c>
      <c r="J457" s="47">
        <f t="shared" si="98"/>
        <v>3740</v>
      </c>
      <c r="K457" s="46" t="s">
        <v>7938</v>
      </c>
      <c r="L457" s="47"/>
      <c r="M457" s="47">
        <f t="shared" si="97"/>
        <v>1430.0000000000002</v>
      </c>
      <c r="N457" s="47"/>
      <c r="O457" s="47"/>
      <c r="P457" s="47"/>
      <c r="Q457" s="47"/>
      <c r="R457" s="47"/>
      <c r="S457" s="47" t="s">
        <v>463</v>
      </c>
      <c r="T457" s="47"/>
      <c r="U457" s="47" t="s">
        <v>1099</v>
      </c>
      <c r="V457" s="47"/>
      <c r="W457" s="47"/>
      <c r="X457" s="47"/>
      <c r="Y457" s="47"/>
      <c r="Z457" s="47">
        <f t="shared" si="95"/>
        <v>4620</v>
      </c>
      <c r="AA457" s="47"/>
      <c r="AB457" s="47">
        <f t="shared" si="99"/>
        <v>2800</v>
      </c>
      <c r="AC457" s="47"/>
      <c r="AD457" s="47"/>
      <c r="AE457" s="47"/>
      <c r="AF457" s="47">
        <f t="shared" si="100"/>
        <v>1485</v>
      </c>
      <c r="AG457" s="47"/>
      <c r="AH457" s="47" t="str">
        <f>IFERROR(_xlfn.XLOOKUP(Table6[[#This Row],[Suburb]],Table5[Travel Surcharge],Table5[$$]),"")</f>
        <v/>
      </c>
      <c r="AI457" s="47"/>
      <c r="AJ457" s="47"/>
      <c r="AL457" t="str">
        <v>Lera Estate</v>
      </c>
    </row>
    <row r="458" spans="1:38">
      <c r="A458" s="374" t="s">
        <v>1093</v>
      </c>
      <c r="B458" s="374">
        <v>6</v>
      </c>
      <c r="C458" s="374" t="s">
        <v>404</v>
      </c>
      <c r="D458" s="375" t="str">
        <f t="shared" si="96"/>
        <v>Atherstone Estate6</v>
      </c>
      <c r="E458" s="375" t="s">
        <v>1102</v>
      </c>
      <c r="F458" s="375" t="s">
        <v>1095</v>
      </c>
      <c r="G458" s="375" t="s">
        <v>1096</v>
      </c>
      <c r="H458" s="375" t="s">
        <v>1097</v>
      </c>
      <c r="I458" s="63" t="s">
        <v>1098</v>
      </c>
      <c r="J458" s="47">
        <f t="shared" si="98"/>
        <v>3740</v>
      </c>
      <c r="K458" s="46" t="s">
        <v>7938</v>
      </c>
      <c r="L458" s="47"/>
      <c r="M458" s="47">
        <f t="shared" si="97"/>
        <v>1430.0000000000002</v>
      </c>
      <c r="N458" s="47"/>
      <c r="O458" s="47"/>
      <c r="P458" s="47"/>
      <c r="Q458" s="47"/>
      <c r="R458" s="47"/>
      <c r="S458" s="47" t="s">
        <v>463</v>
      </c>
      <c r="T458" s="47"/>
      <c r="U458" s="47" t="s">
        <v>1099</v>
      </c>
      <c r="V458" s="47"/>
      <c r="W458" s="47"/>
      <c r="X458" s="47"/>
      <c r="Y458" s="47"/>
      <c r="Z458" s="47">
        <f t="shared" si="95"/>
        <v>4620</v>
      </c>
      <c r="AA458" s="47"/>
      <c r="AB458" s="47">
        <f t="shared" si="99"/>
        <v>2800</v>
      </c>
      <c r="AC458" s="47"/>
      <c r="AD458" s="47"/>
      <c r="AE458" s="47"/>
      <c r="AF458" s="47">
        <f t="shared" si="100"/>
        <v>1485</v>
      </c>
      <c r="AG458" s="47"/>
      <c r="AH458" s="47" t="str">
        <f>IFERROR(_xlfn.XLOOKUP(Table6[[#This Row],[Suburb]],Table5[Travel Surcharge],Table5[$$]),"")</f>
        <v/>
      </c>
      <c r="AI458" s="47"/>
      <c r="AJ458" s="47"/>
      <c r="AL458" t="str">
        <v>Liberty Park</v>
      </c>
    </row>
    <row r="459" spans="1:38">
      <c r="A459" s="374" t="s">
        <v>1093</v>
      </c>
      <c r="B459" s="374">
        <v>7</v>
      </c>
      <c r="C459" s="374" t="s">
        <v>404</v>
      </c>
      <c r="D459" s="375" t="str">
        <f t="shared" si="96"/>
        <v>Atherstone Estate7</v>
      </c>
      <c r="E459" s="375" t="s">
        <v>1103</v>
      </c>
      <c r="F459" s="375" t="s">
        <v>1095</v>
      </c>
      <c r="G459" s="375" t="s">
        <v>1096</v>
      </c>
      <c r="H459" s="375" t="s">
        <v>1097</v>
      </c>
      <c r="I459" s="63" t="s">
        <v>1098</v>
      </c>
      <c r="J459" s="47">
        <f t="shared" si="98"/>
        <v>3740</v>
      </c>
      <c r="K459" s="46" t="s">
        <v>7938</v>
      </c>
      <c r="L459" s="47"/>
      <c r="M459" s="47">
        <f t="shared" si="97"/>
        <v>1430.0000000000002</v>
      </c>
      <c r="N459" s="47"/>
      <c r="O459" s="47"/>
      <c r="P459" s="47"/>
      <c r="Q459" s="47"/>
      <c r="R459" s="47"/>
      <c r="S459" s="47" t="s">
        <v>463</v>
      </c>
      <c r="T459" s="47"/>
      <c r="U459" s="47" t="s">
        <v>1099</v>
      </c>
      <c r="V459" s="47"/>
      <c r="W459" s="47"/>
      <c r="X459" s="47"/>
      <c r="Y459" s="47"/>
      <c r="Z459" s="47">
        <f t="shared" si="95"/>
        <v>4620</v>
      </c>
      <c r="AA459" s="47"/>
      <c r="AB459" s="47">
        <f t="shared" si="99"/>
        <v>2800</v>
      </c>
      <c r="AC459" s="47"/>
      <c r="AD459" s="47"/>
      <c r="AE459" s="47"/>
      <c r="AF459" s="47">
        <f t="shared" si="100"/>
        <v>1485</v>
      </c>
      <c r="AG459" s="47"/>
      <c r="AH459" s="47" t="str">
        <f>IFERROR(_xlfn.XLOOKUP(Table6[[#This Row],[Suburb]],Table5[Travel Surcharge],Table5[$$]),"")</f>
        <v/>
      </c>
      <c r="AI459" s="47"/>
      <c r="AJ459" s="47"/>
      <c r="AL459" t="str">
        <v>Life Estate</v>
      </c>
    </row>
    <row r="460" spans="1:38">
      <c r="A460" s="374" t="s">
        <v>1093</v>
      </c>
      <c r="B460" s="374">
        <v>8</v>
      </c>
      <c r="C460" s="374" t="s">
        <v>404</v>
      </c>
      <c r="D460" s="375" t="str">
        <f t="shared" si="96"/>
        <v>Atherstone Estate8</v>
      </c>
      <c r="E460" s="375" t="s">
        <v>1104</v>
      </c>
      <c r="F460" s="375" t="s">
        <v>1095</v>
      </c>
      <c r="G460" s="375" t="s">
        <v>1096</v>
      </c>
      <c r="H460" s="375" t="s">
        <v>1097</v>
      </c>
      <c r="I460" s="63" t="s">
        <v>1098</v>
      </c>
      <c r="J460" s="47">
        <f t="shared" si="98"/>
        <v>3740</v>
      </c>
      <c r="K460" s="46" t="s">
        <v>7938</v>
      </c>
      <c r="L460" s="47"/>
      <c r="M460" s="47">
        <f t="shared" si="97"/>
        <v>1430.0000000000002</v>
      </c>
      <c r="N460" s="47"/>
      <c r="O460" s="47"/>
      <c r="P460" s="47"/>
      <c r="Q460" s="47"/>
      <c r="R460" s="47"/>
      <c r="S460" s="47" t="s">
        <v>463</v>
      </c>
      <c r="T460" s="47"/>
      <c r="U460" s="47" t="s">
        <v>1099</v>
      </c>
      <c r="V460" s="47"/>
      <c r="W460" s="47"/>
      <c r="X460" s="47"/>
      <c r="Y460" s="47"/>
      <c r="Z460" s="47">
        <f t="shared" si="95"/>
        <v>4620</v>
      </c>
      <c r="AA460" s="47"/>
      <c r="AB460" s="47">
        <f t="shared" si="99"/>
        <v>2800</v>
      </c>
      <c r="AC460" s="47"/>
      <c r="AD460" s="47"/>
      <c r="AE460" s="47"/>
      <c r="AF460" s="47">
        <f t="shared" si="100"/>
        <v>1485</v>
      </c>
      <c r="AG460" s="47"/>
      <c r="AH460" s="47" t="str">
        <f>IFERROR(_xlfn.XLOOKUP(Table6[[#This Row],[Suburb]],Table5[Travel Surcharge],Table5[$$]),"")</f>
        <v/>
      </c>
      <c r="AI460" s="47"/>
      <c r="AJ460" s="47"/>
      <c r="AL460" t="str">
        <v>Lilium Estate</v>
      </c>
    </row>
    <row r="461" spans="1:38">
      <c r="A461" s="374" t="s">
        <v>1093</v>
      </c>
      <c r="B461" s="374">
        <v>9</v>
      </c>
      <c r="C461" s="374" t="s">
        <v>404</v>
      </c>
      <c r="D461" s="375" t="str">
        <f t="shared" si="96"/>
        <v>Atherstone Estate9</v>
      </c>
      <c r="E461" s="375" t="s">
        <v>1105</v>
      </c>
      <c r="F461" s="375" t="s">
        <v>1095</v>
      </c>
      <c r="G461" s="375" t="s">
        <v>1096</v>
      </c>
      <c r="H461" s="375" t="s">
        <v>1097</v>
      </c>
      <c r="I461" s="63" t="s">
        <v>1098</v>
      </c>
      <c r="J461" s="47">
        <f t="shared" si="98"/>
        <v>3740</v>
      </c>
      <c r="K461" s="46" t="s">
        <v>7938</v>
      </c>
      <c r="L461" s="47"/>
      <c r="M461" s="47">
        <f t="shared" si="97"/>
        <v>1430.0000000000002</v>
      </c>
      <c r="N461" s="47"/>
      <c r="O461" s="47"/>
      <c r="P461" s="47"/>
      <c r="Q461" s="47"/>
      <c r="R461" s="47"/>
      <c r="S461" s="47" t="s">
        <v>463</v>
      </c>
      <c r="T461" s="47"/>
      <c r="U461" s="47" t="s">
        <v>1099</v>
      </c>
      <c r="V461" s="47"/>
      <c r="W461" s="47"/>
      <c r="X461" s="47"/>
      <c r="Y461" s="47"/>
      <c r="Z461" s="47">
        <f t="shared" si="95"/>
        <v>4620</v>
      </c>
      <c r="AA461" s="47"/>
      <c r="AB461" s="47">
        <f t="shared" si="99"/>
        <v>2800</v>
      </c>
      <c r="AC461" s="47"/>
      <c r="AD461" s="47"/>
      <c r="AE461" s="47"/>
      <c r="AF461" s="47">
        <f t="shared" si="100"/>
        <v>1485</v>
      </c>
      <c r="AG461" s="47"/>
      <c r="AH461" s="47" t="str">
        <f>IFERROR(_xlfn.XLOOKUP(Table6[[#This Row],[Suburb]],Table5[Travel Surcharge],Table5[$$]),"")</f>
        <v/>
      </c>
      <c r="AI461" s="47"/>
      <c r="AJ461" s="47"/>
      <c r="AL461" t="str">
        <v>Lillifield</v>
      </c>
    </row>
    <row r="462" spans="1:38">
      <c r="A462" s="374" t="s">
        <v>1093</v>
      </c>
      <c r="B462" s="374">
        <v>10</v>
      </c>
      <c r="C462" s="374" t="s">
        <v>404</v>
      </c>
      <c r="D462" s="375" t="str">
        <f t="shared" si="96"/>
        <v>Atherstone Estate10</v>
      </c>
      <c r="E462" s="375" t="s">
        <v>1106</v>
      </c>
      <c r="F462" s="375" t="s">
        <v>1095</v>
      </c>
      <c r="G462" s="375" t="s">
        <v>1096</v>
      </c>
      <c r="H462" s="375" t="s">
        <v>1097</v>
      </c>
      <c r="I462" s="63" t="s">
        <v>1098</v>
      </c>
      <c r="J462" s="47">
        <f t="shared" si="98"/>
        <v>3740</v>
      </c>
      <c r="K462" s="46" t="s">
        <v>7938</v>
      </c>
      <c r="L462" s="47"/>
      <c r="M462" s="47">
        <f t="shared" si="97"/>
        <v>1430.0000000000002</v>
      </c>
      <c r="N462" s="47"/>
      <c r="O462" s="47"/>
      <c r="P462" s="47"/>
      <c r="Q462" s="47"/>
      <c r="R462" s="47"/>
      <c r="S462" s="47" t="s">
        <v>463</v>
      </c>
      <c r="T462" s="47"/>
      <c r="U462" s="47" t="s">
        <v>1099</v>
      </c>
      <c r="V462" s="47"/>
      <c r="W462" s="47"/>
      <c r="X462" s="47"/>
      <c r="Y462" s="47"/>
      <c r="Z462" s="47">
        <f t="shared" si="95"/>
        <v>4620</v>
      </c>
      <c r="AA462" s="47"/>
      <c r="AB462" s="47">
        <f t="shared" si="99"/>
        <v>2800</v>
      </c>
      <c r="AC462" s="47"/>
      <c r="AD462" s="47"/>
      <c r="AE462" s="47"/>
      <c r="AF462" s="47">
        <f t="shared" si="100"/>
        <v>1485</v>
      </c>
      <c r="AG462" s="47"/>
      <c r="AH462" s="47" t="str">
        <f>IFERROR(_xlfn.XLOOKUP(Table6[[#This Row],[Suburb]],Table5[Travel Surcharge],Table5[$$]),"")</f>
        <v/>
      </c>
      <c r="AI462" s="47"/>
      <c r="AJ462" s="47"/>
      <c r="AL462" t="str">
        <v>Lilydale Estate</v>
      </c>
    </row>
    <row r="463" spans="1:38">
      <c r="A463" s="374" t="s">
        <v>1093</v>
      </c>
      <c r="B463" s="374">
        <v>11</v>
      </c>
      <c r="C463" s="374" t="s">
        <v>404</v>
      </c>
      <c r="D463" s="375" t="str">
        <f t="shared" si="96"/>
        <v>Atherstone Estate11</v>
      </c>
      <c r="E463" s="375" t="s">
        <v>1107</v>
      </c>
      <c r="F463" s="375" t="s">
        <v>1095</v>
      </c>
      <c r="G463" s="375" t="s">
        <v>1096</v>
      </c>
      <c r="H463" s="375" t="s">
        <v>1097</v>
      </c>
      <c r="I463" s="63" t="s">
        <v>1098</v>
      </c>
      <c r="J463" s="47">
        <f t="shared" si="98"/>
        <v>3740</v>
      </c>
      <c r="K463" s="46" t="s">
        <v>7938</v>
      </c>
      <c r="L463" s="47"/>
      <c r="M463" s="47">
        <f t="shared" si="97"/>
        <v>1430.0000000000002</v>
      </c>
      <c r="N463" s="47"/>
      <c r="O463" s="47"/>
      <c r="P463" s="47"/>
      <c r="Q463" s="47"/>
      <c r="R463" s="47"/>
      <c r="S463" s="47" t="s">
        <v>463</v>
      </c>
      <c r="T463" s="47"/>
      <c r="U463" s="47" t="s">
        <v>1099</v>
      </c>
      <c r="V463" s="47"/>
      <c r="W463" s="47"/>
      <c r="X463" s="47"/>
      <c r="Y463" s="47"/>
      <c r="Z463" s="47">
        <f t="shared" si="95"/>
        <v>4620</v>
      </c>
      <c r="AA463" s="47"/>
      <c r="AB463" s="47">
        <f t="shared" si="99"/>
        <v>2800</v>
      </c>
      <c r="AC463" s="47"/>
      <c r="AD463" s="47"/>
      <c r="AE463" s="47"/>
      <c r="AF463" s="47">
        <f t="shared" si="100"/>
        <v>1485</v>
      </c>
      <c r="AG463" s="47"/>
      <c r="AH463" s="47" t="str">
        <f>IFERROR(_xlfn.XLOOKUP(Table6[[#This Row],[Suburb]],Table5[Travel Surcharge],Table5[$$]),"")</f>
        <v/>
      </c>
      <c r="AI463" s="47"/>
      <c r="AJ463" s="47"/>
      <c r="AL463" t="str">
        <v>Little Creek Estate</v>
      </c>
    </row>
    <row r="464" spans="1:38">
      <c r="A464" s="374" t="s">
        <v>1093</v>
      </c>
      <c r="B464" s="374">
        <v>12</v>
      </c>
      <c r="C464" s="374" t="s">
        <v>404</v>
      </c>
      <c r="D464" s="375" t="str">
        <f t="shared" si="96"/>
        <v>Atherstone Estate12</v>
      </c>
      <c r="E464" s="375" t="s">
        <v>1108</v>
      </c>
      <c r="F464" s="375" t="s">
        <v>1095</v>
      </c>
      <c r="G464" s="375" t="s">
        <v>1096</v>
      </c>
      <c r="H464" s="375" t="s">
        <v>1097</v>
      </c>
      <c r="I464" s="63" t="s">
        <v>1098</v>
      </c>
      <c r="J464" s="47">
        <f t="shared" si="98"/>
        <v>3740</v>
      </c>
      <c r="K464" s="46" t="s">
        <v>7938</v>
      </c>
      <c r="L464" s="47"/>
      <c r="M464" s="47">
        <f t="shared" si="97"/>
        <v>1430.0000000000002</v>
      </c>
      <c r="N464" s="47"/>
      <c r="O464" s="47"/>
      <c r="P464" s="47"/>
      <c r="Q464" s="47"/>
      <c r="R464" s="47"/>
      <c r="S464" s="47" t="s">
        <v>463</v>
      </c>
      <c r="T464" s="47"/>
      <c r="U464" s="47" t="s">
        <v>1099</v>
      </c>
      <c r="V464" s="47"/>
      <c r="W464" s="47"/>
      <c r="X464" s="47"/>
      <c r="Y464" s="47"/>
      <c r="Z464" s="47">
        <f t="shared" ref="Z464:Z486" si="101">Z$7</f>
        <v>4620</v>
      </c>
      <c r="AA464" s="47"/>
      <c r="AB464" s="47">
        <f t="shared" si="99"/>
        <v>2800</v>
      </c>
      <c r="AC464" s="47"/>
      <c r="AD464" s="47"/>
      <c r="AE464" s="47"/>
      <c r="AF464" s="47">
        <f t="shared" si="100"/>
        <v>1485</v>
      </c>
      <c r="AG464" s="47"/>
      <c r="AH464" s="47" t="str">
        <f>IFERROR(_xlfn.XLOOKUP(Table6[[#This Row],[Suburb]],Table5[Travel Surcharge],Table5[$$]),"")</f>
        <v/>
      </c>
      <c r="AI464" s="47"/>
      <c r="AJ464" s="47"/>
      <c r="AL464" t="str">
        <v>Little Green Estate</v>
      </c>
    </row>
    <row r="465" spans="1:38">
      <c r="A465" s="374" t="s">
        <v>1093</v>
      </c>
      <c r="B465" s="374">
        <v>13</v>
      </c>
      <c r="C465" s="374" t="s">
        <v>404</v>
      </c>
      <c r="D465" s="375" t="str">
        <f t="shared" si="96"/>
        <v>Atherstone Estate13</v>
      </c>
      <c r="E465" s="375" t="s">
        <v>1109</v>
      </c>
      <c r="F465" s="375" t="s">
        <v>1095</v>
      </c>
      <c r="G465" s="375" t="s">
        <v>1096</v>
      </c>
      <c r="H465" s="375" t="s">
        <v>1097</v>
      </c>
      <c r="I465" s="63" t="s">
        <v>1098</v>
      </c>
      <c r="J465" s="47">
        <f t="shared" si="98"/>
        <v>3740</v>
      </c>
      <c r="K465" s="46" t="s">
        <v>7938</v>
      </c>
      <c r="L465" s="47"/>
      <c r="M465" s="47">
        <f t="shared" si="97"/>
        <v>1430.0000000000002</v>
      </c>
      <c r="N465" s="47"/>
      <c r="O465" s="47"/>
      <c r="P465" s="47"/>
      <c r="Q465" s="47"/>
      <c r="R465" s="47"/>
      <c r="S465" s="47" t="s">
        <v>463</v>
      </c>
      <c r="T465" s="47"/>
      <c r="U465" s="47" t="s">
        <v>1099</v>
      </c>
      <c r="V465" s="47"/>
      <c r="W465" s="47"/>
      <c r="X465" s="47"/>
      <c r="Y465" s="47"/>
      <c r="Z465" s="47">
        <f t="shared" si="101"/>
        <v>4620</v>
      </c>
      <c r="AA465" s="47"/>
      <c r="AB465" s="47">
        <f t="shared" si="99"/>
        <v>2800</v>
      </c>
      <c r="AC465" s="47"/>
      <c r="AD465" s="47"/>
      <c r="AE465" s="47"/>
      <c r="AF465" s="47">
        <f t="shared" si="100"/>
        <v>1485</v>
      </c>
      <c r="AG465" s="47"/>
      <c r="AH465" s="47" t="str">
        <f>IFERROR(_xlfn.XLOOKUP(Table6[[#This Row],[Suburb]],Table5[Travel Surcharge],Table5[$$]),"")</f>
        <v/>
      </c>
      <c r="AI465" s="47"/>
      <c r="AJ465" s="47"/>
      <c r="AL465" t="str">
        <v>Little Hampton</v>
      </c>
    </row>
    <row r="466" spans="1:38">
      <c r="A466" s="374" t="s">
        <v>1093</v>
      </c>
      <c r="B466" s="374">
        <v>14</v>
      </c>
      <c r="C466" s="374" t="s">
        <v>404</v>
      </c>
      <c r="D466" s="375" t="str">
        <f t="shared" si="96"/>
        <v>Atherstone Estate14</v>
      </c>
      <c r="E466" s="375" t="s">
        <v>1110</v>
      </c>
      <c r="F466" s="375" t="s">
        <v>1095</v>
      </c>
      <c r="G466" s="375" t="s">
        <v>1096</v>
      </c>
      <c r="H466" s="375" t="s">
        <v>1097</v>
      </c>
      <c r="I466" s="63" t="s">
        <v>1098</v>
      </c>
      <c r="J466" s="47">
        <f t="shared" si="98"/>
        <v>3740</v>
      </c>
      <c r="K466" s="46" t="s">
        <v>7938</v>
      </c>
      <c r="L466" s="47"/>
      <c r="M466" s="47">
        <f t="shared" si="97"/>
        <v>1430.0000000000002</v>
      </c>
      <c r="N466" s="47"/>
      <c r="O466" s="47"/>
      <c r="P466" s="47"/>
      <c r="Q466" s="47"/>
      <c r="R466" s="47"/>
      <c r="S466" s="47" t="s">
        <v>463</v>
      </c>
      <c r="T466" s="47"/>
      <c r="U466" s="47" t="s">
        <v>1099</v>
      </c>
      <c r="V466" s="47"/>
      <c r="W466" s="47"/>
      <c r="X466" s="47"/>
      <c r="Y466" s="47"/>
      <c r="Z466" s="47">
        <f t="shared" si="101"/>
        <v>4620</v>
      </c>
      <c r="AA466" s="47"/>
      <c r="AB466" s="47">
        <f t="shared" si="99"/>
        <v>2800</v>
      </c>
      <c r="AC466" s="47"/>
      <c r="AD466" s="47"/>
      <c r="AE466" s="47"/>
      <c r="AF466" s="47">
        <f t="shared" si="100"/>
        <v>1485</v>
      </c>
      <c r="AG466" s="47"/>
      <c r="AH466" s="47" t="str">
        <f>IFERROR(_xlfn.XLOOKUP(Table6[[#This Row],[Suburb]],Table5[Travel Surcharge],Table5[$$]),"")</f>
        <v/>
      </c>
      <c r="AI466" s="47"/>
      <c r="AJ466" s="47"/>
      <c r="AL466" t="str">
        <v>Little Springs</v>
      </c>
    </row>
    <row r="467" spans="1:38">
      <c r="A467" s="374" t="s">
        <v>1093</v>
      </c>
      <c r="B467" s="374">
        <v>15</v>
      </c>
      <c r="C467" s="374" t="s">
        <v>404</v>
      </c>
      <c r="D467" s="375" t="str">
        <f t="shared" si="96"/>
        <v>Atherstone Estate15</v>
      </c>
      <c r="E467" s="375" t="s">
        <v>1111</v>
      </c>
      <c r="F467" s="375" t="s">
        <v>1095</v>
      </c>
      <c r="G467" s="375" t="s">
        <v>1096</v>
      </c>
      <c r="H467" s="375" t="s">
        <v>1097</v>
      </c>
      <c r="I467" s="63" t="s">
        <v>1098</v>
      </c>
      <c r="J467" s="47">
        <f t="shared" si="98"/>
        <v>3740</v>
      </c>
      <c r="K467" s="46" t="s">
        <v>7938</v>
      </c>
      <c r="L467" s="47"/>
      <c r="M467" s="47">
        <f t="shared" si="97"/>
        <v>1430.0000000000002</v>
      </c>
      <c r="N467" s="47"/>
      <c r="O467" s="47"/>
      <c r="P467" s="47"/>
      <c r="Q467" s="47"/>
      <c r="R467" s="47"/>
      <c r="S467" s="47" t="s">
        <v>463</v>
      </c>
      <c r="T467" s="47"/>
      <c r="U467" s="47" t="s">
        <v>1099</v>
      </c>
      <c r="V467" s="47"/>
      <c r="W467" s="47"/>
      <c r="X467" s="47"/>
      <c r="Y467" s="47"/>
      <c r="Z467" s="47">
        <f t="shared" si="101"/>
        <v>4620</v>
      </c>
      <c r="AA467" s="47"/>
      <c r="AB467" s="47">
        <f t="shared" si="99"/>
        <v>2800</v>
      </c>
      <c r="AC467" s="47"/>
      <c r="AD467" s="47"/>
      <c r="AE467" s="47"/>
      <c r="AF467" s="47">
        <f t="shared" si="100"/>
        <v>1485</v>
      </c>
      <c r="AG467" s="47"/>
      <c r="AH467" s="47" t="str">
        <f>IFERROR(_xlfn.XLOOKUP(Table6[[#This Row],[Suburb]],Table5[Travel Surcharge],Table5[$$]),"")</f>
        <v/>
      </c>
      <c r="AI467" s="47"/>
      <c r="AJ467" s="47"/>
      <c r="AL467" t="str">
        <v>Lochaven Estate</v>
      </c>
    </row>
    <row r="468" spans="1:38">
      <c r="A468" s="374" t="s">
        <v>1093</v>
      </c>
      <c r="B468" s="374">
        <v>16</v>
      </c>
      <c r="C468" s="374" t="s">
        <v>404</v>
      </c>
      <c r="D468" s="375" t="str">
        <f t="shared" si="96"/>
        <v>Atherstone Estate16</v>
      </c>
      <c r="E468" s="375" t="s">
        <v>1112</v>
      </c>
      <c r="F468" s="375" t="s">
        <v>1095</v>
      </c>
      <c r="G468" s="375" t="s">
        <v>1096</v>
      </c>
      <c r="H468" s="375" t="s">
        <v>1097</v>
      </c>
      <c r="I468" s="63" t="s">
        <v>1098</v>
      </c>
      <c r="J468" s="47">
        <f t="shared" si="98"/>
        <v>3740</v>
      </c>
      <c r="K468" s="46" t="s">
        <v>7938</v>
      </c>
      <c r="L468" s="47"/>
      <c r="M468" s="47">
        <f t="shared" si="97"/>
        <v>1430.0000000000002</v>
      </c>
      <c r="N468" s="47"/>
      <c r="O468" s="47"/>
      <c r="P468" s="47"/>
      <c r="Q468" s="47"/>
      <c r="R468" s="47"/>
      <c r="S468" s="47" t="s">
        <v>463</v>
      </c>
      <c r="T468" s="47"/>
      <c r="U468" s="47" t="s">
        <v>1099</v>
      </c>
      <c r="V468" s="47"/>
      <c r="W468" s="47"/>
      <c r="X468" s="47"/>
      <c r="Y468" s="47"/>
      <c r="Z468" s="47">
        <f t="shared" si="101"/>
        <v>4620</v>
      </c>
      <c r="AA468" s="47"/>
      <c r="AB468" s="47">
        <f t="shared" si="99"/>
        <v>2800</v>
      </c>
      <c r="AC468" s="47"/>
      <c r="AD468" s="47"/>
      <c r="AE468" s="47"/>
      <c r="AF468" s="47">
        <f t="shared" si="100"/>
        <v>1485</v>
      </c>
      <c r="AG468" s="47"/>
      <c r="AH468" s="47" t="str">
        <f>IFERROR(_xlfn.XLOOKUP(Table6[[#This Row],[Suburb]],Table5[Travel Surcharge],Table5[$$]),"")</f>
        <v/>
      </c>
      <c r="AI468" s="47"/>
      <c r="AJ468" s="47"/>
      <c r="AL468" t="str">
        <v>Loom Estate</v>
      </c>
    </row>
    <row r="469" spans="1:38">
      <c r="A469" s="374" t="s">
        <v>1093</v>
      </c>
      <c r="B469" s="374">
        <v>17</v>
      </c>
      <c r="C469" s="374" t="s">
        <v>404</v>
      </c>
      <c r="D469" s="375" t="str">
        <f t="shared" si="96"/>
        <v>Atherstone Estate17</v>
      </c>
      <c r="E469" s="375" t="s">
        <v>1113</v>
      </c>
      <c r="F469" s="375" t="s">
        <v>1095</v>
      </c>
      <c r="G469" s="375" t="s">
        <v>1096</v>
      </c>
      <c r="H469" s="375" t="s">
        <v>1097</v>
      </c>
      <c r="I469" s="63" t="s">
        <v>1098</v>
      </c>
      <c r="J469" s="47">
        <f t="shared" si="98"/>
        <v>3740</v>
      </c>
      <c r="K469" s="46" t="s">
        <v>7938</v>
      </c>
      <c r="L469" s="47"/>
      <c r="M469" s="47">
        <f t="shared" si="97"/>
        <v>1430.0000000000002</v>
      </c>
      <c r="N469" s="47"/>
      <c r="O469" s="47"/>
      <c r="P469" s="47"/>
      <c r="Q469" s="47"/>
      <c r="R469" s="47"/>
      <c r="S469" s="47" t="s">
        <v>463</v>
      </c>
      <c r="T469" s="47"/>
      <c r="U469" s="47" t="s">
        <v>1099</v>
      </c>
      <c r="V469" s="47"/>
      <c r="W469" s="47"/>
      <c r="X469" s="47"/>
      <c r="Y469" s="47"/>
      <c r="Z469" s="47">
        <f t="shared" si="101"/>
        <v>4620</v>
      </c>
      <c r="AA469" s="47"/>
      <c r="AB469" s="47">
        <f t="shared" si="99"/>
        <v>2800</v>
      </c>
      <c r="AC469" s="47"/>
      <c r="AD469" s="47"/>
      <c r="AE469" s="47"/>
      <c r="AF469" s="47">
        <f t="shared" si="100"/>
        <v>1485</v>
      </c>
      <c r="AG469" s="47"/>
      <c r="AH469" s="47" t="str">
        <f>IFERROR(_xlfn.XLOOKUP(Table6[[#This Row],[Suburb]],Table5[Travel Surcharge],Table5[$$]),"")</f>
        <v/>
      </c>
      <c r="AI469" s="47"/>
      <c r="AJ469" s="47"/>
      <c r="AL469" t="str">
        <v>Lord Place Estate</v>
      </c>
    </row>
    <row r="470" spans="1:38">
      <c r="A470" s="374" t="s">
        <v>1093</v>
      </c>
      <c r="B470" s="374">
        <v>18</v>
      </c>
      <c r="C470" s="374" t="s">
        <v>404</v>
      </c>
      <c r="D470" s="375" t="str">
        <f t="shared" si="96"/>
        <v>Atherstone Estate18</v>
      </c>
      <c r="E470" s="375" t="s">
        <v>1114</v>
      </c>
      <c r="F470" s="375" t="s">
        <v>1095</v>
      </c>
      <c r="G470" s="375" t="s">
        <v>1096</v>
      </c>
      <c r="H470" s="375" t="s">
        <v>1097</v>
      </c>
      <c r="I470" s="63" t="s">
        <v>1098</v>
      </c>
      <c r="J470" s="47">
        <f t="shared" si="98"/>
        <v>3740</v>
      </c>
      <c r="K470" s="46" t="s">
        <v>7938</v>
      </c>
      <c r="L470" s="47"/>
      <c r="M470" s="47">
        <f t="shared" si="97"/>
        <v>1430.0000000000002</v>
      </c>
      <c r="N470" s="47"/>
      <c r="O470" s="47"/>
      <c r="P470" s="47"/>
      <c r="Q470" s="47"/>
      <c r="R470" s="47"/>
      <c r="S470" s="47" t="s">
        <v>463</v>
      </c>
      <c r="T470" s="47"/>
      <c r="U470" s="47" t="s">
        <v>1099</v>
      </c>
      <c r="V470" s="47"/>
      <c r="W470" s="47"/>
      <c r="X470" s="47"/>
      <c r="Y470" s="47"/>
      <c r="Z470" s="47">
        <f t="shared" si="101"/>
        <v>4620</v>
      </c>
      <c r="AA470" s="47"/>
      <c r="AB470" s="47">
        <f t="shared" si="99"/>
        <v>2800</v>
      </c>
      <c r="AC470" s="47"/>
      <c r="AD470" s="47"/>
      <c r="AE470" s="47"/>
      <c r="AF470" s="47">
        <f t="shared" si="100"/>
        <v>1485</v>
      </c>
      <c r="AG470" s="47"/>
      <c r="AH470" s="47" t="str">
        <f>IFERROR(_xlfn.XLOOKUP(Table6[[#This Row],[Suburb]],Table5[Travel Surcharge],Table5[$$]),"")</f>
        <v/>
      </c>
      <c r="AI470" s="47"/>
      <c r="AJ470" s="47"/>
      <c r="AL470" t="str">
        <v>Lot 2 No. 60 Longley St</v>
      </c>
    </row>
    <row r="471" spans="1:38">
      <c r="A471" s="374" t="s">
        <v>1093</v>
      </c>
      <c r="B471" s="374">
        <v>19</v>
      </c>
      <c r="C471" s="374" t="s">
        <v>404</v>
      </c>
      <c r="D471" s="375" t="str">
        <f t="shared" si="96"/>
        <v>Atherstone Estate19</v>
      </c>
      <c r="E471" s="375" t="s">
        <v>1115</v>
      </c>
      <c r="F471" s="375" t="s">
        <v>1095</v>
      </c>
      <c r="G471" s="375" t="s">
        <v>1096</v>
      </c>
      <c r="H471" s="375" t="s">
        <v>1097</v>
      </c>
      <c r="I471" s="63" t="s">
        <v>1098</v>
      </c>
      <c r="J471" s="47">
        <f t="shared" si="98"/>
        <v>3740</v>
      </c>
      <c r="K471" s="46" t="s">
        <v>7938</v>
      </c>
      <c r="L471" s="47"/>
      <c r="M471" s="47">
        <f t="shared" si="97"/>
        <v>1430.0000000000002</v>
      </c>
      <c r="N471" s="47"/>
      <c r="O471" s="47"/>
      <c r="P471" s="47"/>
      <c r="Q471" s="47"/>
      <c r="R471" s="47"/>
      <c r="S471" s="47" t="s">
        <v>463</v>
      </c>
      <c r="T471" s="47"/>
      <c r="U471" s="47" t="s">
        <v>1099</v>
      </c>
      <c r="V471" s="47"/>
      <c r="W471" s="47"/>
      <c r="X471" s="47"/>
      <c r="Y471" s="47"/>
      <c r="Z471" s="47">
        <f t="shared" si="101"/>
        <v>4620</v>
      </c>
      <c r="AA471" s="47"/>
      <c r="AB471" s="47">
        <f t="shared" si="99"/>
        <v>2800</v>
      </c>
      <c r="AC471" s="47"/>
      <c r="AD471" s="47"/>
      <c r="AE471" s="47"/>
      <c r="AF471" s="47">
        <f t="shared" si="100"/>
        <v>1485</v>
      </c>
      <c r="AG471" s="47"/>
      <c r="AH471" s="47" t="str">
        <f>IFERROR(_xlfn.XLOOKUP(Table6[[#This Row],[Suburb]],Table5[Travel Surcharge],Table5[$$]),"")</f>
        <v/>
      </c>
      <c r="AI471" s="47"/>
      <c r="AJ471" s="47"/>
      <c r="AL471" t="str">
        <v xml:space="preserve">Lot 237 Woodcutters Way </v>
      </c>
    </row>
    <row r="472" spans="1:38">
      <c r="A472" s="157" t="s">
        <v>1093</v>
      </c>
      <c r="B472" s="157">
        <v>21</v>
      </c>
      <c r="C472" s="157" t="s">
        <v>7427</v>
      </c>
      <c r="D472" s="157" t="str">
        <f t="shared" si="96"/>
        <v>Atherstone Estate21</v>
      </c>
      <c r="E472" s="157" t="s">
        <v>1137</v>
      </c>
      <c r="F472" s="157" t="s">
        <v>1095</v>
      </c>
      <c r="G472" s="157" t="s">
        <v>1096</v>
      </c>
      <c r="H472" s="157" t="s">
        <v>7428</v>
      </c>
      <c r="I472" s="158" t="s">
        <v>1098</v>
      </c>
      <c r="J472" s="47">
        <f t="shared" si="98"/>
        <v>3740</v>
      </c>
      <c r="K472" s="46" t="s">
        <v>7938</v>
      </c>
      <c r="L472" s="47"/>
      <c r="M472" s="47">
        <f t="shared" si="97"/>
        <v>1430.0000000000002</v>
      </c>
      <c r="N472" s="47"/>
      <c r="O472" s="47"/>
      <c r="P472" s="47"/>
      <c r="Q472" s="47"/>
      <c r="R472" s="47"/>
      <c r="S472" s="47" t="s">
        <v>463</v>
      </c>
      <c r="T472" s="47"/>
      <c r="U472" s="47" t="s">
        <v>1099</v>
      </c>
      <c r="V472" s="47"/>
      <c r="W472" s="47"/>
      <c r="X472" s="47"/>
      <c r="Y472" s="47"/>
      <c r="Z472" s="47">
        <f t="shared" si="101"/>
        <v>4620</v>
      </c>
      <c r="AA472" s="47"/>
      <c r="AB472" s="47">
        <f t="shared" si="99"/>
        <v>2800</v>
      </c>
      <c r="AC472" s="47"/>
      <c r="AD472" s="47"/>
      <c r="AE472" s="47"/>
      <c r="AF472" s="47">
        <f t="shared" si="100"/>
        <v>1485</v>
      </c>
      <c r="AG472" s="47"/>
      <c r="AH472" s="47" t="str">
        <f>IFERROR(_xlfn.XLOOKUP(Table6[[#This Row],[Suburb]],Table5[Travel Surcharge],Table5[$$]),"")</f>
        <v/>
      </c>
      <c r="AI472" s="47"/>
      <c r="AJ472" s="47"/>
      <c r="AL472" t="str">
        <v xml:space="preserve">Lot 27 No. 12 Indra Street </v>
      </c>
    </row>
    <row r="473" spans="1:38">
      <c r="A473" s="374" t="s">
        <v>1093</v>
      </c>
      <c r="B473" s="374">
        <v>22</v>
      </c>
      <c r="C473" s="374" t="s">
        <v>404</v>
      </c>
      <c r="D473" s="375" t="str">
        <f t="shared" si="96"/>
        <v>Atherstone Estate22</v>
      </c>
      <c r="E473" s="375" t="s">
        <v>1116</v>
      </c>
      <c r="F473" s="375" t="s">
        <v>1095</v>
      </c>
      <c r="G473" s="375" t="s">
        <v>1096</v>
      </c>
      <c r="H473" s="375" t="s">
        <v>1097</v>
      </c>
      <c r="I473" s="63" t="s">
        <v>1098</v>
      </c>
      <c r="J473" s="47">
        <f t="shared" si="98"/>
        <v>3740</v>
      </c>
      <c r="K473" s="46" t="s">
        <v>7938</v>
      </c>
      <c r="L473" s="47"/>
      <c r="M473" s="47">
        <f t="shared" si="97"/>
        <v>1430.0000000000002</v>
      </c>
      <c r="N473" s="47"/>
      <c r="O473" s="47"/>
      <c r="P473" s="47"/>
      <c r="Q473" s="47"/>
      <c r="R473" s="47"/>
      <c r="S473" s="47" t="s">
        <v>463</v>
      </c>
      <c r="T473" s="47"/>
      <c r="U473" s="47" t="s">
        <v>1099</v>
      </c>
      <c r="V473" s="47"/>
      <c r="W473" s="47"/>
      <c r="X473" s="47"/>
      <c r="Y473" s="47"/>
      <c r="Z473" s="47">
        <f t="shared" si="101"/>
        <v>4620</v>
      </c>
      <c r="AA473" s="47"/>
      <c r="AB473" s="47">
        <f t="shared" si="99"/>
        <v>2800</v>
      </c>
      <c r="AC473" s="47"/>
      <c r="AD473" s="47"/>
      <c r="AE473" s="47"/>
      <c r="AF473" s="47">
        <f t="shared" si="100"/>
        <v>1485</v>
      </c>
      <c r="AG473" s="47"/>
      <c r="AH473" s="47" t="str">
        <f>IFERROR(_xlfn.XLOOKUP(Table6[[#This Row],[Suburb]],Table5[Travel Surcharge],Table5[$$]),"")</f>
        <v/>
      </c>
      <c r="AI473" s="47"/>
      <c r="AJ473" s="47"/>
      <c r="AL473" t="str">
        <v xml:space="preserve">Lot 54 No. 11 Castle Court </v>
      </c>
    </row>
    <row r="474" spans="1:38">
      <c r="A474" s="374" t="s">
        <v>1093</v>
      </c>
      <c r="B474" s="374">
        <v>23</v>
      </c>
      <c r="C474" s="374" t="s">
        <v>404</v>
      </c>
      <c r="D474" s="375" t="str">
        <f t="shared" si="96"/>
        <v>Atherstone Estate23</v>
      </c>
      <c r="E474" s="375" t="s">
        <v>1117</v>
      </c>
      <c r="F474" s="375" t="s">
        <v>1095</v>
      </c>
      <c r="G474" s="375" t="s">
        <v>1096</v>
      </c>
      <c r="H474" s="375" t="s">
        <v>1097</v>
      </c>
      <c r="I474" s="63" t="s">
        <v>1098</v>
      </c>
      <c r="J474" s="47">
        <f t="shared" si="98"/>
        <v>3740</v>
      </c>
      <c r="K474" s="46" t="s">
        <v>7938</v>
      </c>
      <c r="L474" s="47"/>
      <c r="M474" s="47">
        <f t="shared" si="97"/>
        <v>1430.0000000000002</v>
      </c>
      <c r="N474" s="47"/>
      <c r="O474" s="47"/>
      <c r="P474" s="47"/>
      <c r="Q474" s="47"/>
      <c r="R474" s="47"/>
      <c r="S474" s="47" t="s">
        <v>463</v>
      </c>
      <c r="T474" s="47"/>
      <c r="U474" s="47" t="s">
        <v>1099</v>
      </c>
      <c r="V474" s="47"/>
      <c r="W474" s="47"/>
      <c r="X474" s="47"/>
      <c r="Y474" s="47"/>
      <c r="Z474" s="47">
        <f t="shared" si="101"/>
        <v>4620</v>
      </c>
      <c r="AA474" s="47"/>
      <c r="AB474" s="47">
        <f t="shared" si="99"/>
        <v>2800</v>
      </c>
      <c r="AC474" s="47"/>
      <c r="AD474" s="47"/>
      <c r="AE474" s="47"/>
      <c r="AF474" s="47">
        <f t="shared" si="100"/>
        <v>1485</v>
      </c>
      <c r="AG474" s="47"/>
      <c r="AH474" s="47" t="str">
        <f>IFERROR(_xlfn.XLOOKUP(Table6[[#This Row],[Suburb]],Table5[Travel Surcharge],Table5[$$]),"")</f>
        <v/>
      </c>
      <c r="AI474" s="47"/>
      <c r="AJ474" s="47"/>
      <c r="AL474" t="str">
        <v>Lucas Central</v>
      </c>
    </row>
    <row r="475" spans="1:38">
      <c r="A475" s="374" t="s">
        <v>1093</v>
      </c>
      <c r="B475" s="374">
        <v>24</v>
      </c>
      <c r="C475" s="374" t="s">
        <v>404</v>
      </c>
      <c r="D475" s="375" t="str">
        <f t="shared" si="96"/>
        <v>Atherstone Estate24</v>
      </c>
      <c r="E475" s="375" t="s">
        <v>1118</v>
      </c>
      <c r="F475" s="375" t="s">
        <v>1095</v>
      </c>
      <c r="G475" s="375" t="s">
        <v>1096</v>
      </c>
      <c r="H475" s="375" t="s">
        <v>1097</v>
      </c>
      <c r="I475" s="63" t="s">
        <v>1098</v>
      </c>
      <c r="J475" s="47">
        <f t="shared" si="98"/>
        <v>3740</v>
      </c>
      <c r="K475" s="46" t="s">
        <v>7938</v>
      </c>
      <c r="L475" s="47"/>
      <c r="M475" s="47">
        <f t="shared" si="97"/>
        <v>1430.0000000000002</v>
      </c>
      <c r="N475" s="47"/>
      <c r="O475" s="47"/>
      <c r="P475" s="47"/>
      <c r="Q475" s="47"/>
      <c r="R475" s="47"/>
      <c r="S475" s="47" t="s">
        <v>463</v>
      </c>
      <c r="T475" s="47"/>
      <c r="U475" s="47" t="s">
        <v>1099</v>
      </c>
      <c r="V475" s="47"/>
      <c r="W475" s="47"/>
      <c r="X475" s="47"/>
      <c r="Y475" s="47"/>
      <c r="Z475" s="47">
        <f t="shared" si="101"/>
        <v>4620</v>
      </c>
      <c r="AA475" s="47"/>
      <c r="AB475" s="47">
        <f t="shared" si="99"/>
        <v>2800</v>
      </c>
      <c r="AC475" s="47"/>
      <c r="AD475" s="47"/>
      <c r="AE475" s="47"/>
      <c r="AF475" s="47">
        <f t="shared" si="100"/>
        <v>1485</v>
      </c>
      <c r="AG475" s="47"/>
      <c r="AH475" s="47" t="str">
        <f>IFERROR(_xlfn.XLOOKUP(Table6[[#This Row],[Suburb]],Table5[Travel Surcharge],Table5[$$]),"")</f>
        <v/>
      </c>
      <c r="AI475" s="47"/>
      <c r="AJ475" s="47"/>
      <c r="AL475" t="str">
        <v>Lucas Dawn Estate</v>
      </c>
    </row>
    <row r="476" spans="1:38">
      <c r="A476" s="374" t="s">
        <v>1093</v>
      </c>
      <c r="B476" s="374">
        <v>25</v>
      </c>
      <c r="C476" s="374" t="s">
        <v>404</v>
      </c>
      <c r="D476" s="375" t="str">
        <f t="shared" si="96"/>
        <v>Atherstone Estate25</v>
      </c>
      <c r="E476" s="375" t="s">
        <v>1119</v>
      </c>
      <c r="F476" s="375" t="s">
        <v>1095</v>
      </c>
      <c r="G476" s="375" t="s">
        <v>1096</v>
      </c>
      <c r="H476" s="375" t="s">
        <v>1097</v>
      </c>
      <c r="I476" s="63" t="s">
        <v>1098</v>
      </c>
      <c r="J476" s="47">
        <f t="shared" si="98"/>
        <v>3740</v>
      </c>
      <c r="K476" s="46" t="s">
        <v>7938</v>
      </c>
      <c r="L476" s="47"/>
      <c r="M476" s="47">
        <f t="shared" si="97"/>
        <v>1430.0000000000002</v>
      </c>
      <c r="N476" s="47"/>
      <c r="O476" s="47"/>
      <c r="P476" s="47"/>
      <c r="Q476" s="47"/>
      <c r="R476" s="47"/>
      <c r="S476" s="47" t="s">
        <v>463</v>
      </c>
      <c r="T476" s="47"/>
      <c r="U476" s="47" t="s">
        <v>1099</v>
      </c>
      <c r="V476" s="47"/>
      <c r="W476" s="47"/>
      <c r="X476" s="47"/>
      <c r="Y476" s="47"/>
      <c r="Z476" s="47">
        <f t="shared" si="101"/>
        <v>4620</v>
      </c>
      <c r="AA476" s="47"/>
      <c r="AB476" s="47">
        <f t="shared" si="99"/>
        <v>2800</v>
      </c>
      <c r="AC476" s="47"/>
      <c r="AD476" s="47"/>
      <c r="AE476" s="47"/>
      <c r="AF476" s="47">
        <f t="shared" si="100"/>
        <v>1485</v>
      </c>
      <c r="AG476" s="47"/>
      <c r="AH476" s="47" t="str">
        <f>IFERROR(_xlfn.XLOOKUP(Table6[[#This Row],[Suburb]],Table5[Travel Surcharge],Table5[$$]),"")</f>
        <v/>
      </c>
      <c r="AI476" s="47"/>
      <c r="AJ476" s="47"/>
      <c r="AL476" t="str">
        <v>Lucas Estate</v>
      </c>
    </row>
    <row r="477" spans="1:38">
      <c r="A477" s="374" t="s">
        <v>1093</v>
      </c>
      <c r="B477" s="374">
        <v>26</v>
      </c>
      <c r="C477" s="374" t="s">
        <v>404</v>
      </c>
      <c r="D477" s="375" t="str">
        <f t="shared" si="96"/>
        <v>Atherstone Estate26</v>
      </c>
      <c r="E477" s="375" t="s">
        <v>1120</v>
      </c>
      <c r="F477" s="375" t="s">
        <v>1095</v>
      </c>
      <c r="G477" s="375" t="s">
        <v>1096</v>
      </c>
      <c r="H477" s="375" t="s">
        <v>1097</v>
      </c>
      <c r="I477" s="63" t="s">
        <v>1098</v>
      </c>
      <c r="J477" s="47">
        <f t="shared" si="98"/>
        <v>3740</v>
      </c>
      <c r="K477" s="46" t="s">
        <v>7938</v>
      </c>
      <c r="L477" s="47"/>
      <c r="M477" s="47">
        <f t="shared" si="97"/>
        <v>1430.0000000000002</v>
      </c>
      <c r="N477" s="47"/>
      <c r="O477" s="47"/>
      <c r="P477" s="47"/>
      <c r="Q477" s="47"/>
      <c r="R477" s="47"/>
      <c r="S477" s="47" t="s">
        <v>463</v>
      </c>
      <c r="T477" s="47"/>
      <c r="U477" s="47" t="s">
        <v>1099</v>
      </c>
      <c r="V477" s="47"/>
      <c r="W477" s="47"/>
      <c r="X477" s="47"/>
      <c r="Y477" s="47"/>
      <c r="Z477" s="47">
        <f t="shared" si="101"/>
        <v>4620</v>
      </c>
      <c r="AA477" s="47"/>
      <c r="AB477" s="47">
        <f t="shared" si="99"/>
        <v>2800</v>
      </c>
      <c r="AC477" s="47"/>
      <c r="AD477" s="47"/>
      <c r="AE477" s="47"/>
      <c r="AF477" s="47">
        <f t="shared" si="100"/>
        <v>1485</v>
      </c>
      <c r="AG477" s="47"/>
      <c r="AH477" s="47" t="str">
        <f>IFERROR(_xlfn.XLOOKUP(Table6[[#This Row],[Suburb]],Table5[Travel Surcharge],Table5[$$]),"")</f>
        <v/>
      </c>
      <c r="AI477" s="47"/>
      <c r="AJ477" s="47"/>
      <c r="AL477" t="str">
        <v>Lucas Gibson</v>
      </c>
    </row>
    <row r="478" spans="1:38">
      <c r="A478" s="374" t="s">
        <v>1093</v>
      </c>
      <c r="B478" s="374">
        <v>27</v>
      </c>
      <c r="C478" s="374" t="s">
        <v>404</v>
      </c>
      <c r="D478" s="375" t="str">
        <f t="shared" si="96"/>
        <v>Atherstone Estate27</v>
      </c>
      <c r="E478" s="375" t="s">
        <v>1121</v>
      </c>
      <c r="F478" s="375" t="s">
        <v>1095</v>
      </c>
      <c r="G478" s="375" t="s">
        <v>1096</v>
      </c>
      <c r="H478" s="375" t="s">
        <v>1097</v>
      </c>
      <c r="I478" s="63" t="s">
        <v>1098</v>
      </c>
      <c r="J478" s="47">
        <f t="shared" si="98"/>
        <v>3740</v>
      </c>
      <c r="K478" s="46" t="s">
        <v>7938</v>
      </c>
      <c r="L478" s="47"/>
      <c r="M478" s="47">
        <f t="shared" si="97"/>
        <v>1430.0000000000002</v>
      </c>
      <c r="N478" s="47"/>
      <c r="O478" s="47"/>
      <c r="P478" s="47"/>
      <c r="Q478" s="47"/>
      <c r="R478" s="47"/>
      <c r="S478" s="47" t="s">
        <v>463</v>
      </c>
      <c r="T478" s="47"/>
      <c r="U478" s="47" t="s">
        <v>1099</v>
      </c>
      <c r="V478" s="47"/>
      <c r="W478" s="47"/>
      <c r="X478" s="47"/>
      <c r="Y478" s="47"/>
      <c r="Z478" s="47">
        <f t="shared" si="101"/>
        <v>4620</v>
      </c>
      <c r="AA478" s="47"/>
      <c r="AB478" s="47">
        <f t="shared" si="99"/>
        <v>2800</v>
      </c>
      <c r="AC478" s="47"/>
      <c r="AD478" s="47"/>
      <c r="AE478" s="47"/>
      <c r="AF478" s="47">
        <f t="shared" si="100"/>
        <v>1485</v>
      </c>
      <c r="AG478" s="47"/>
      <c r="AH478" s="47" t="str">
        <f>IFERROR(_xlfn.XLOOKUP(Table6[[#This Row],[Suburb]],Table5[Travel Surcharge],Table5[$$]),"")</f>
        <v/>
      </c>
      <c r="AI478" s="47"/>
      <c r="AJ478" s="47"/>
      <c r="AL478" t="str">
        <v>Lucas Grange Estate</v>
      </c>
    </row>
    <row r="479" spans="1:38">
      <c r="A479" s="374" t="s">
        <v>1093</v>
      </c>
      <c r="B479" s="374">
        <v>31</v>
      </c>
      <c r="C479" s="374" t="s">
        <v>404</v>
      </c>
      <c r="D479" s="375" t="str">
        <f t="shared" si="96"/>
        <v>Atherstone Estate31</v>
      </c>
      <c r="E479" s="375" t="s">
        <v>1122</v>
      </c>
      <c r="F479" s="375" t="s">
        <v>1095</v>
      </c>
      <c r="G479" s="375" t="s">
        <v>1096</v>
      </c>
      <c r="H479" s="375" t="s">
        <v>1097</v>
      </c>
      <c r="I479" s="63" t="s">
        <v>1098</v>
      </c>
      <c r="J479" s="47">
        <f t="shared" si="98"/>
        <v>3740</v>
      </c>
      <c r="K479" s="46" t="s">
        <v>7938</v>
      </c>
      <c r="L479" s="47"/>
      <c r="M479" s="47">
        <f t="shared" si="97"/>
        <v>1430.0000000000002</v>
      </c>
      <c r="N479" s="47"/>
      <c r="O479" s="47"/>
      <c r="P479" s="47"/>
      <c r="Q479" s="47"/>
      <c r="R479" s="47"/>
      <c r="S479" s="47" t="s">
        <v>463</v>
      </c>
      <c r="T479" s="47"/>
      <c r="U479" s="47" t="s">
        <v>1099</v>
      </c>
      <c r="V479" s="47"/>
      <c r="W479" s="47"/>
      <c r="X479" s="47"/>
      <c r="Y479" s="47"/>
      <c r="Z479" s="47">
        <f t="shared" si="101"/>
        <v>4620</v>
      </c>
      <c r="AA479" s="47"/>
      <c r="AB479" s="47">
        <f t="shared" si="99"/>
        <v>2800</v>
      </c>
      <c r="AC479" s="47"/>
      <c r="AD479" s="47"/>
      <c r="AE479" s="47"/>
      <c r="AF479" s="47">
        <f t="shared" si="100"/>
        <v>1485</v>
      </c>
      <c r="AG479" s="47"/>
      <c r="AH479" s="47" t="str">
        <f>IFERROR(_xlfn.XLOOKUP(Table6[[#This Row],[Suburb]],Table5[Travel Surcharge],Table5[$$]),"")</f>
        <v/>
      </c>
      <c r="AI479" s="47"/>
      <c r="AJ479" s="47"/>
      <c r="AL479" t="str">
        <v>Lucas Grange Estate (Butler Street Stage)</v>
      </c>
    </row>
    <row r="480" spans="1:38">
      <c r="A480" s="374" t="s">
        <v>1093</v>
      </c>
      <c r="B480" s="374">
        <v>32</v>
      </c>
      <c r="C480" s="374" t="s">
        <v>404</v>
      </c>
      <c r="D480" s="375" t="str">
        <f t="shared" si="96"/>
        <v>Atherstone Estate32</v>
      </c>
      <c r="E480" s="375" t="s">
        <v>1123</v>
      </c>
      <c r="F480" s="375" t="s">
        <v>1095</v>
      </c>
      <c r="G480" s="375" t="s">
        <v>1096</v>
      </c>
      <c r="H480" s="375" t="s">
        <v>1097</v>
      </c>
      <c r="I480" s="63" t="s">
        <v>1098</v>
      </c>
      <c r="J480" s="47">
        <f t="shared" si="98"/>
        <v>3740</v>
      </c>
      <c r="K480" s="46" t="s">
        <v>7938</v>
      </c>
      <c r="L480" s="47"/>
      <c r="M480" s="47">
        <f t="shared" si="97"/>
        <v>1430.0000000000002</v>
      </c>
      <c r="N480" s="47"/>
      <c r="O480" s="47"/>
      <c r="P480" s="47"/>
      <c r="Q480" s="47"/>
      <c r="R480" s="47"/>
      <c r="S480" s="47" t="s">
        <v>463</v>
      </c>
      <c r="T480" s="47"/>
      <c r="U480" s="47" t="s">
        <v>1099</v>
      </c>
      <c r="V480" s="47"/>
      <c r="W480" s="47"/>
      <c r="X480" s="47"/>
      <c r="Y480" s="47"/>
      <c r="Z480" s="47">
        <f t="shared" si="101"/>
        <v>4620</v>
      </c>
      <c r="AA480" s="47"/>
      <c r="AB480" s="47">
        <f t="shared" si="99"/>
        <v>2800</v>
      </c>
      <c r="AC480" s="47"/>
      <c r="AD480" s="47"/>
      <c r="AE480" s="47"/>
      <c r="AF480" s="47">
        <f t="shared" si="100"/>
        <v>1485</v>
      </c>
      <c r="AG480" s="47"/>
      <c r="AH480" s="47" t="str">
        <f>IFERROR(_xlfn.XLOOKUP(Table6[[#This Row],[Suburb]],Table5[Travel Surcharge],Table5[$$]),"")</f>
        <v/>
      </c>
      <c r="AI480" s="47"/>
      <c r="AJ480" s="47"/>
      <c r="AL480" t="str">
        <v>Lucas Landing Estate</v>
      </c>
    </row>
    <row r="481" spans="1:38">
      <c r="A481" s="374" t="s">
        <v>1093</v>
      </c>
      <c r="B481" s="374">
        <v>33</v>
      </c>
      <c r="C481" s="374" t="s">
        <v>404</v>
      </c>
      <c r="D481" s="375" t="str">
        <f t="shared" si="96"/>
        <v>Atherstone Estate33</v>
      </c>
      <c r="E481" s="375" t="s">
        <v>1124</v>
      </c>
      <c r="F481" s="375" t="s">
        <v>1095</v>
      </c>
      <c r="G481" s="375" t="s">
        <v>1096</v>
      </c>
      <c r="H481" s="375" t="s">
        <v>1097</v>
      </c>
      <c r="I481" s="63" t="s">
        <v>1098</v>
      </c>
      <c r="J481" s="47">
        <f t="shared" si="98"/>
        <v>3740</v>
      </c>
      <c r="K481" s="46" t="s">
        <v>7938</v>
      </c>
      <c r="L481" s="47"/>
      <c r="M481" s="47">
        <f t="shared" si="97"/>
        <v>1430.0000000000002</v>
      </c>
      <c r="N481" s="47"/>
      <c r="O481" s="47"/>
      <c r="P481" s="47"/>
      <c r="Q481" s="47"/>
      <c r="R481" s="47"/>
      <c r="S481" s="47" t="s">
        <v>463</v>
      </c>
      <c r="T481" s="47"/>
      <c r="U481" s="47" t="s">
        <v>1099</v>
      </c>
      <c r="V481" s="47"/>
      <c r="W481" s="47"/>
      <c r="X481" s="47"/>
      <c r="Y481" s="47"/>
      <c r="Z481" s="47">
        <f t="shared" si="101"/>
        <v>4620</v>
      </c>
      <c r="AA481" s="47"/>
      <c r="AB481" s="47">
        <f t="shared" si="99"/>
        <v>2800</v>
      </c>
      <c r="AC481" s="47"/>
      <c r="AD481" s="47"/>
      <c r="AE481" s="47"/>
      <c r="AF481" s="47">
        <f t="shared" si="100"/>
        <v>1485</v>
      </c>
      <c r="AG481" s="47"/>
      <c r="AH481" s="47" t="str">
        <f>IFERROR(_xlfn.XLOOKUP(Table6[[#This Row],[Suburb]],Table5[Travel Surcharge],Table5[$$]),"")</f>
        <v/>
      </c>
      <c r="AI481" s="47"/>
      <c r="AJ481" s="47"/>
      <c r="AL481" t="str">
        <v>Lucas Metro Estate</v>
      </c>
    </row>
    <row r="482" spans="1:38">
      <c r="A482" s="157" t="s">
        <v>1093</v>
      </c>
      <c r="B482" s="157">
        <v>34</v>
      </c>
      <c r="C482" s="157" t="s">
        <v>404</v>
      </c>
      <c r="D482" s="157" t="str">
        <f t="shared" si="96"/>
        <v>Atherstone Estate34</v>
      </c>
      <c r="E482" s="157" t="s">
        <v>7501</v>
      </c>
      <c r="F482" s="157" t="s">
        <v>1095</v>
      </c>
      <c r="G482" s="157" t="s">
        <v>1096</v>
      </c>
      <c r="H482" s="157" t="s">
        <v>1097</v>
      </c>
      <c r="I482" s="158" t="s">
        <v>1098</v>
      </c>
      <c r="J482" s="159">
        <f t="shared" si="98"/>
        <v>3740</v>
      </c>
      <c r="K482" s="46" t="s">
        <v>7938</v>
      </c>
      <c r="L482" s="159"/>
      <c r="M482" s="159">
        <f t="shared" si="97"/>
        <v>1430.0000000000002</v>
      </c>
      <c r="N482" s="159"/>
      <c r="O482" s="159"/>
      <c r="P482" s="159"/>
      <c r="Q482" s="159"/>
      <c r="R482" s="159"/>
      <c r="S482" s="159" t="s">
        <v>463</v>
      </c>
      <c r="T482" s="159"/>
      <c r="U482" s="159" t="s">
        <v>1099</v>
      </c>
      <c r="V482" s="159"/>
      <c r="W482" s="159"/>
      <c r="X482" s="159"/>
      <c r="Y482" s="159"/>
      <c r="Z482" s="159">
        <f t="shared" si="101"/>
        <v>4620</v>
      </c>
      <c r="AA482" s="159"/>
      <c r="AB482" s="159">
        <f t="shared" si="99"/>
        <v>2800</v>
      </c>
      <c r="AC482" s="159"/>
      <c r="AD482" s="159"/>
      <c r="AE482" s="159"/>
      <c r="AF482" s="47">
        <f t="shared" si="100"/>
        <v>1485</v>
      </c>
      <c r="AG482" s="159"/>
      <c r="AH482" s="47" t="str">
        <f>IFERROR(_xlfn.XLOOKUP(Table6[[#This Row],[Suburb]],Table5[Travel Surcharge],Table5[$$]),"")</f>
        <v/>
      </c>
      <c r="AI482" s="159"/>
      <c r="AJ482" s="159"/>
      <c r="AL482" t="str">
        <v>Lucas Parkside</v>
      </c>
    </row>
    <row r="483" spans="1:38">
      <c r="A483" s="374" t="s">
        <v>1093</v>
      </c>
      <c r="B483" s="374">
        <v>35</v>
      </c>
      <c r="C483" s="374" t="s">
        <v>404</v>
      </c>
      <c r="D483" s="375" t="str">
        <f t="shared" si="96"/>
        <v>Atherstone Estate35</v>
      </c>
      <c r="E483" s="375" t="s">
        <v>1125</v>
      </c>
      <c r="F483" s="375" t="s">
        <v>1095</v>
      </c>
      <c r="G483" s="375" t="s">
        <v>1096</v>
      </c>
      <c r="H483" s="375" t="s">
        <v>1097</v>
      </c>
      <c r="I483" s="63" t="s">
        <v>1098</v>
      </c>
      <c r="J483" s="47">
        <f t="shared" si="98"/>
        <v>3740</v>
      </c>
      <c r="K483" s="46" t="s">
        <v>7938</v>
      </c>
      <c r="L483" s="47"/>
      <c r="M483" s="47">
        <f t="shared" si="97"/>
        <v>1430.0000000000002</v>
      </c>
      <c r="N483" s="47"/>
      <c r="O483" s="47"/>
      <c r="P483" s="47"/>
      <c r="Q483" s="47"/>
      <c r="R483" s="47"/>
      <c r="S483" s="47" t="s">
        <v>463</v>
      </c>
      <c r="T483" s="47"/>
      <c r="U483" s="47" t="s">
        <v>1099</v>
      </c>
      <c r="V483" s="47"/>
      <c r="W483" s="47"/>
      <c r="X483" s="47"/>
      <c r="Y483" s="47"/>
      <c r="Z483" s="47">
        <f t="shared" si="101"/>
        <v>4620</v>
      </c>
      <c r="AA483" s="47"/>
      <c r="AB483" s="47">
        <f t="shared" si="99"/>
        <v>2800</v>
      </c>
      <c r="AC483" s="47"/>
      <c r="AD483" s="47"/>
      <c r="AE483" s="47"/>
      <c r="AF483" s="47">
        <f t="shared" si="100"/>
        <v>1485</v>
      </c>
      <c r="AG483" s="47"/>
      <c r="AH483" s="47" t="str">
        <f>IFERROR(_xlfn.XLOOKUP(Table6[[#This Row],[Suburb]],Table5[Travel Surcharge],Table5[$$]),"")</f>
        <v/>
      </c>
      <c r="AI483" s="47"/>
      <c r="AJ483" s="47"/>
      <c r="AL483" t="str">
        <v>Lucas Platinum</v>
      </c>
    </row>
    <row r="484" spans="1:38">
      <c r="A484" s="374" t="s">
        <v>1093</v>
      </c>
      <c r="B484" s="374">
        <v>36</v>
      </c>
      <c r="C484" s="374" t="s">
        <v>404</v>
      </c>
      <c r="D484" s="375" t="str">
        <f t="shared" si="96"/>
        <v>Atherstone Estate36</v>
      </c>
      <c r="E484" s="375" t="s">
        <v>1126</v>
      </c>
      <c r="F484" s="375" t="s">
        <v>1095</v>
      </c>
      <c r="G484" s="375" t="s">
        <v>1096</v>
      </c>
      <c r="H484" s="375" t="s">
        <v>1097</v>
      </c>
      <c r="I484" s="63" t="s">
        <v>1098</v>
      </c>
      <c r="J484" s="47">
        <f t="shared" si="98"/>
        <v>3740</v>
      </c>
      <c r="K484" s="46" t="s">
        <v>7938</v>
      </c>
      <c r="L484" s="47"/>
      <c r="M484" s="47">
        <f t="shared" si="97"/>
        <v>1430.0000000000002</v>
      </c>
      <c r="N484" s="47"/>
      <c r="O484" s="47"/>
      <c r="P484" s="47"/>
      <c r="Q484" s="47"/>
      <c r="R484" s="47"/>
      <c r="S484" s="47" t="s">
        <v>463</v>
      </c>
      <c r="T484" s="47"/>
      <c r="U484" s="47" t="s">
        <v>1099</v>
      </c>
      <c r="V484" s="47"/>
      <c r="W484" s="47"/>
      <c r="X484" s="47"/>
      <c r="Y484" s="47"/>
      <c r="Z484" s="47">
        <f t="shared" si="101"/>
        <v>4620</v>
      </c>
      <c r="AA484" s="47"/>
      <c r="AB484" s="47">
        <f t="shared" si="99"/>
        <v>2800</v>
      </c>
      <c r="AC484" s="47"/>
      <c r="AD484" s="47"/>
      <c r="AE484" s="47"/>
      <c r="AF484" s="47">
        <f t="shared" si="100"/>
        <v>1485</v>
      </c>
      <c r="AG484" s="47"/>
      <c r="AH484" s="47" t="str">
        <f>IFERROR(_xlfn.XLOOKUP(Table6[[#This Row],[Suburb]],Table5[Travel Surcharge],Table5[$$]),"")</f>
        <v/>
      </c>
      <c r="AI484" s="47"/>
      <c r="AJ484" s="47"/>
      <c r="AL484" t="str">
        <v>Lucas Rise Estate</v>
      </c>
    </row>
    <row r="485" spans="1:38">
      <c r="A485" s="374" t="s">
        <v>1093</v>
      </c>
      <c r="B485" s="374">
        <v>37</v>
      </c>
      <c r="C485" s="374" t="s">
        <v>404</v>
      </c>
      <c r="D485" s="375" t="str">
        <f t="shared" si="96"/>
        <v>Atherstone Estate37</v>
      </c>
      <c r="E485" s="375" t="s">
        <v>1127</v>
      </c>
      <c r="F485" s="375" t="s">
        <v>1095</v>
      </c>
      <c r="G485" s="375" t="s">
        <v>1096</v>
      </c>
      <c r="H485" s="375" t="s">
        <v>1097</v>
      </c>
      <c r="I485" s="63" t="s">
        <v>1098</v>
      </c>
      <c r="J485" s="47">
        <f t="shared" si="98"/>
        <v>3740</v>
      </c>
      <c r="K485" s="46" t="s">
        <v>7938</v>
      </c>
      <c r="L485" s="47"/>
      <c r="M485" s="47">
        <f t="shared" si="97"/>
        <v>1430.0000000000002</v>
      </c>
      <c r="N485" s="47"/>
      <c r="O485" s="47"/>
      <c r="P485" s="47"/>
      <c r="Q485" s="47"/>
      <c r="R485" s="47"/>
      <c r="S485" s="47" t="s">
        <v>463</v>
      </c>
      <c r="T485" s="47"/>
      <c r="U485" s="47" t="s">
        <v>1099</v>
      </c>
      <c r="V485" s="47"/>
      <c r="W485" s="47"/>
      <c r="X485" s="47"/>
      <c r="Y485" s="47"/>
      <c r="Z485" s="47">
        <f t="shared" si="101"/>
        <v>4620</v>
      </c>
      <c r="AA485" s="47"/>
      <c r="AB485" s="47">
        <f t="shared" si="99"/>
        <v>2800</v>
      </c>
      <c r="AC485" s="47"/>
      <c r="AD485" s="47"/>
      <c r="AE485" s="47"/>
      <c r="AF485" s="47">
        <f t="shared" si="100"/>
        <v>1485</v>
      </c>
      <c r="AG485" s="47"/>
      <c r="AH485" s="47" t="str">
        <f>IFERROR(_xlfn.XLOOKUP(Table6[[#This Row],[Suburb]],Table5[Travel Surcharge],Table5[$$]),"")</f>
        <v/>
      </c>
      <c r="AI485" s="47"/>
      <c r="AJ485" s="47"/>
      <c r="AL485" t="str">
        <v>Lucas Sanctuary</v>
      </c>
    </row>
    <row r="486" spans="1:38">
      <c r="A486" s="374" t="s">
        <v>1093</v>
      </c>
      <c r="B486" s="374">
        <v>38</v>
      </c>
      <c r="C486" s="374" t="s">
        <v>404</v>
      </c>
      <c r="D486" s="375" t="str">
        <f t="shared" si="96"/>
        <v>Atherstone Estate38</v>
      </c>
      <c r="E486" s="375" t="s">
        <v>1128</v>
      </c>
      <c r="F486" s="375" t="s">
        <v>1095</v>
      </c>
      <c r="G486" s="375" t="s">
        <v>1096</v>
      </c>
      <c r="H486" s="375" t="s">
        <v>1097</v>
      </c>
      <c r="I486" s="63" t="s">
        <v>1098</v>
      </c>
      <c r="J486" s="47">
        <f t="shared" si="98"/>
        <v>3740</v>
      </c>
      <c r="K486" s="46" t="s">
        <v>7938</v>
      </c>
      <c r="L486" s="47"/>
      <c r="M486" s="47">
        <f t="shared" si="97"/>
        <v>1430.0000000000002</v>
      </c>
      <c r="N486" s="47"/>
      <c r="O486" s="47"/>
      <c r="P486" s="47"/>
      <c r="Q486" s="47"/>
      <c r="R486" s="47"/>
      <c r="S486" s="47" t="s">
        <v>463</v>
      </c>
      <c r="T486" s="47"/>
      <c r="U486" s="47" t="s">
        <v>1099</v>
      </c>
      <c r="V486" s="47"/>
      <c r="W486" s="47"/>
      <c r="X486" s="47"/>
      <c r="Y486" s="47"/>
      <c r="Z486" s="47">
        <f t="shared" si="101"/>
        <v>4620</v>
      </c>
      <c r="AA486" s="47"/>
      <c r="AB486" s="47">
        <f t="shared" si="99"/>
        <v>2800</v>
      </c>
      <c r="AC486" s="47"/>
      <c r="AD486" s="47"/>
      <c r="AE486" s="47"/>
      <c r="AF486" s="47">
        <f t="shared" si="100"/>
        <v>1485</v>
      </c>
      <c r="AG486" s="47"/>
      <c r="AH486" s="47" t="str">
        <f>IFERROR(_xlfn.XLOOKUP(Table6[[#This Row],[Suburb]],Table5[Travel Surcharge],Table5[$$]),"")</f>
        <v/>
      </c>
      <c r="AI486" s="47"/>
      <c r="AJ486" s="47"/>
      <c r="AL486" t="str">
        <v>Lucio</v>
      </c>
    </row>
    <row r="487" spans="1:38">
      <c r="A487" s="374" t="s">
        <v>1093</v>
      </c>
      <c r="B487" s="374">
        <v>39</v>
      </c>
      <c r="C487" s="374" t="s">
        <v>404</v>
      </c>
      <c r="D487" s="375" t="str">
        <f t="shared" si="96"/>
        <v>Atherstone Estate39</v>
      </c>
      <c r="E487" s="375" t="s">
        <v>1129</v>
      </c>
      <c r="F487" s="375" t="s">
        <v>1095</v>
      </c>
      <c r="G487" s="375" t="s">
        <v>1096</v>
      </c>
      <c r="H487" s="375" t="s">
        <v>1097</v>
      </c>
      <c r="I487" s="63" t="s">
        <v>1098</v>
      </c>
      <c r="J487" s="47">
        <v>3740</v>
      </c>
      <c r="K487" s="46" t="s">
        <v>7938</v>
      </c>
      <c r="L487" s="47"/>
      <c r="M487" s="47">
        <v>1430.0000000000002</v>
      </c>
      <c r="N487" s="47"/>
      <c r="O487" s="47"/>
      <c r="P487" s="47"/>
      <c r="Q487" s="47"/>
      <c r="R487" s="47"/>
      <c r="S487" s="47" t="s">
        <v>463</v>
      </c>
      <c r="T487" s="47"/>
      <c r="U487" s="47" t="s">
        <v>1099</v>
      </c>
      <c r="V487" s="47"/>
      <c r="W487" s="47"/>
      <c r="X487" s="47"/>
      <c r="Y487" s="47"/>
      <c r="Z487" s="47">
        <v>4620</v>
      </c>
      <c r="AA487" s="47"/>
      <c r="AB487" s="47">
        <v>2800</v>
      </c>
      <c r="AC487" s="47"/>
      <c r="AD487" s="47"/>
      <c r="AE487" s="47"/>
      <c r="AF487" s="47">
        <f t="shared" ref="AF487:AF506" si="102">$AF$7</f>
        <v>1485</v>
      </c>
      <c r="AG487" s="47"/>
      <c r="AH487" s="47" t="str">
        <f>IFERROR(_xlfn.XLOOKUP(Table6[[#This Row],[Suburb]],Table5[Travel Surcharge],Table5[$$]),"")</f>
        <v/>
      </c>
      <c r="AI487" s="47"/>
      <c r="AJ487" s="47"/>
      <c r="AL487" t="str">
        <v>Lyall Park Estate</v>
      </c>
    </row>
    <row r="488" spans="1:38">
      <c r="A488" s="374" t="s">
        <v>1093</v>
      </c>
      <c r="B488" s="374">
        <v>40</v>
      </c>
      <c r="C488" s="374" t="s">
        <v>404</v>
      </c>
      <c r="D488" s="375" t="str">
        <f t="shared" si="96"/>
        <v>Atherstone Estate40</v>
      </c>
      <c r="E488" s="375" t="s">
        <v>1130</v>
      </c>
      <c r="F488" s="375" t="s">
        <v>1095</v>
      </c>
      <c r="G488" s="375" t="s">
        <v>1096</v>
      </c>
      <c r="H488" s="375" t="s">
        <v>1097</v>
      </c>
      <c r="I488" s="63" t="s">
        <v>1098</v>
      </c>
      <c r="J488" s="47">
        <f t="shared" ref="J488:J506" si="103">J$7</f>
        <v>3740</v>
      </c>
      <c r="K488" s="46" t="s">
        <v>7938</v>
      </c>
      <c r="L488" s="47"/>
      <c r="M488" s="47">
        <f t="shared" ref="M488:M512" si="104">M$7</f>
        <v>1430.0000000000002</v>
      </c>
      <c r="N488" s="47"/>
      <c r="O488" s="47"/>
      <c r="P488" s="47"/>
      <c r="Q488" s="47"/>
      <c r="R488" s="47"/>
      <c r="S488" s="47" t="s">
        <v>463</v>
      </c>
      <c r="T488" s="47"/>
      <c r="U488" s="47" t="s">
        <v>1099</v>
      </c>
      <c r="V488" s="47"/>
      <c r="W488" s="47"/>
      <c r="X488" s="47"/>
      <c r="Y488" s="47"/>
      <c r="Z488" s="47">
        <f t="shared" ref="Z488:Z512" si="105">Z$7</f>
        <v>4620</v>
      </c>
      <c r="AA488" s="47"/>
      <c r="AB488" s="47">
        <f t="shared" ref="AB488:AB506" si="106">AB$7</f>
        <v>2800</v>
      </c>
      <c r="AC488" s="47"/>
      <c r="AD488" s="47"/>
      <c r="AE488" s="47"/>
      <c r="AF488" s="47">
        <f t="shared" si="102"/>
        <v>1485</v>
      </c>
      <c r="AG488" s="47"/>
      <c r="AH488" s="47" t="str">
        <f>IFERROR(_xlfn.XLOOKUP(Table6[[#This Row],[Suburb]],Table5[Travel Surcharge],Table5[$$]),"")</f>
        <v/>
      </c>
      <c r="AI488" s="47"/>
      <c r="AJ488" s="47"/>
      <c r="AL488" t="str">
        <v>Lynbrook Estate</v>
      </c>
    </row>
    <row r="489" spans="1:38">
      <c r="A489" s="374" t="s">
        <v>1093</v>
      </c>
      <c r="B489" s="374">
        <v>41</v>
      </c>
      <c r="C489" s="374" t="s">
        <v>404</v>
      </c>
      <c r="D489" s="375" t="str">
        <f t="shared" si="96"/>
        <v>Atherstone Estate41</v>
      </c>
      <c r="E489" s="375" t="s">
        <v>1131</v>
      </c>
      <c r="F489" s="375" t="s">
        <v>1095</v>
      </c>
      <c r="G489" s="375" t="s">
        <v>1096</v>
      </c>
      <c r="H489" s="375" t="s">
        <v>1097</v>
      </c>
      <c r="I489" s="63" t="s">
        <v>1098</v>
      </c>
      <c r="J489" s="47">
        <f t="shared" si="103"/>
        <v>3740</v>
      </c>
      <c r="K489" s="46" t="s">
        <v>7938</v>
      </c>
      <c r="L489" s="47"/>
      <c r="M489" s="47">
        <f t="shared" si="104"/>
        <v>1430.0000000000002</v>
      </c>
      <c r="N489" s="47"/>
      <c r="O489" s="47"/>
      <c r="P489" s="47"/>
      <c r="Q489" s="47"/>
      <c r="R489" s="47"/>
      <c r="S489" s="47" t="s">
        <v>463</v>
      </c>
      <c r="T489" s="47"/>
      <c r="U489" s="47" t="s">
        <v>1099</v>
      </c>
      <c r="V489" s="47"/>
      <c r="W489" s="47"/>
      <c r="X489" s="47"/>
      <c r="Y489" s="47"/>
      <c r="Z489" s="47">
        <f t="shared" si="105"/>
        <v>4620</v>
      </c>
      <c r="AA489" s="47"/>
      <c r="AB489" s="47">
        <f t="shared" si="106"/>
        <v>2800</v>
      </c>
      <c r="AC489" s="47"/>
      <c r="AD489" s="47"/>
      <c r="AE489" s="47"/>
      <c r="AF489" s="47">
        <f t="shared" si="102"/>
        <v>1485</v>
      </c>
      <c r="AG489" s="47"/>
      <c r="AH489" s="47" t="str">
        <f>IFERROR(_xlfn.XLOOKUP(Table6[[#This Row],[Suburb]],Table5[Travel Surcharge],Table5[$$]),"")</f>
        <v/>
      </c>
      <c r="AI489" s="47"/>
      <c r="AJ489" s="47"/>
      <c r="AL489" t="str">
        <v>Lyndale</v>
      </c>
    </row>
    <row r="490" spans="1:38">
      <c r="A490" s="374" t="s">
        <v>1093</v>
      </c>
      <c r="B490" s="374">
        <v>42</v>
      </c>
      <c r="C490" s="374" t="s">
        <v>404</v>
      </c>
      <c r="D490" s="375" t="str">
        <f t="shared" si="96"/>
        <v>Atherstone Estate42</v>
      </c>
      <c r="E490" s="375" t="s">
        <v>1132</v>
      </c>
      <c r="F490" s="375" t="s">
        <v>1095</v>
      </c>
      <c r="G490" s="375" t="s">
        <v>1096</v>
      </c>
      <c r="H490" s="375" t="s">
        <v>1097</v>
      </c>
      <c r="I490" s="63" t="s">
        <v>1098</v>
      </c>
      <c r="J490" s="47">
        <f t="shared" si="103"/>
        <v>3740</v>
      </c>
      <c r="K490" s="46" t="s">
        <v>7938</v>
      </c>
      <c r="L490" s="47"/>
      <c r="M490" s="47">
        <f t="shared" si="104"/>
        <v>1430.0000000000002</v>
      </c>
      <c r="N490" s="47"/>
      <c r="O490" s="47"/>
      <c r="P490" s="47"/>
      <c r="Q490" s="47"/>
      <c r="R490" s="47"/>
      <c r="S490" s="47" t="s">
        <v>463</v>
      </c>
      <c r="T490" s="47"/>
      <c r="U490" s="47" t="s">
        <v>1099</v>
      </c>
      <c r="V490" s="47"/>
      <c r="W490" s="47"/>
      <c r="X490" s="47"/>
      <c r="Y490" s="47"/>
      <c r="Z490" s="47">
        <f t="shared" si="105"/>
        <v>4620</v>
      </c>
      <c r="AA490" s="47"/>
      <c r="AB490" s="47">
        <f t="shared" si="106"/>
        <v>2800</v>
      </c>
      <c r="AC490" s="47"/>
      <c r="AD490" s="47"/>
      <c r="AE490" s="47"/>
      <c r="AF490" s="47">
        <f t="shared" si="102"/>
        <v>1485</v>
      </c>
      <c r="AG490" s="47"/>
      <c r="AH490" s="47" t="str">
        <f>IFERROR(_xlfn.XLOOKUP(Table6[[#This Row],[Suburb]],Table5[Travel Surcharge],Table5[$$]),"")</f>
        <v/>
      </c>
      <c r="AI490" s="47"/>
      <c r="AJ490" s="47"/>
      <c r="AL490" t="str">
        <v>Lyndarum North</v>
      </c>
    </row>
    <row r="491" spans="1:38">
      <c r="A491" s="157" t="s">
        <v>1093</v>
      </c>
      <c r="B491" s="157">
        <v>51</v>
      </c>
      <c r="C491" s="157" t="s">
        <v>7427</v>
      </c>
      <c r="D491" s="157" t="str">
        <f t="shared" si="96"/>
        <v>Atherstone Estate51</v>
      </c>
      <c r="E491" s="157" t="s">
        <v>8296</v>
      </c>
      <c r="F491" s="157" t="s">
        <v>1095</v>
      </c>
      <c r="G491" s="157" t="s">
        <v>1096</v>
      </c>
      <c r="H491" s="157" t="s">
        <v>7428</v>
      </c>
      <c r="I491" s="158" t="s">
        <v>1098</v>
      </c>
      <c r="J491" s="47">
        <f t="shared" si="103"/>
        <v>3740</v>
      </c>
      <c r="K491" s="46" t="s">
        <v>7938</v>
      </c>
      <c r="L491" s="47"/>
      <c r="M491" s="47">
        <f t="shared" si="104"/>
        <v>1430.0000000000002</v>
      </c>
      <c r="N491" s="47"/>
      <c r="O491" s="47"/>
      <c r="P491" s="47"/>
      <c r="Q491" s="47"/>
      <c r="R491" s="47"/>
      <c r="S491" s="47" t="s">
        <v>463</v>
      </c>
      <c r="T491" s="47"/>
      <c r="U491" s="47" t="s">
        <v>1099</v>
      </c>
      <c r="V491" s="47"/>
      <c r="W491" s="47"/>
      <c r="X491" s="47"/>
      <c r="Y491" s="47"/>
      <c r="Z491" s="47">
        <f t="shared" si="105"/>
        <v>4620</v>
      </c>
      <c r="AA491" s="47"/>
      <c r="AB491" s="47">
        <f t="shared" si="106"/>
        <v>2800</v>
      </c>
      <c r="AC491" s="47"/>
      <c r="AD491" s="47"/>
      <c r="AE491" s="47"/>
      <c r="AF491" s="47">
        <f t="shared" si="102"/>
        <v>1485</v>
      </c>
      <c r="AG491" s="47"/>
      <c r="AH491" s="47" t="str">
        <f>IFERROR(_xlfn.XLOOKUP(Table6[[#This Row],[Suburb]],Table5[Travel Surcharge],Table5[$$]),"")</f>
        <v/>
      </c>
      <c r="AI491" s="47"/>
      <c r="AJ491" s="47"/>
      <c r="AL491" t="str">
        <v>Lyra</v>
      </c>
    </row>
    <row r="492" spans="1:38">
      <c r="A492" s="374" t="s">
        <v>1093</v>
      </c>
      <c r="B492" s="374">
        <v>52</v>
      </c>
      <c r="C492" s="374" t="s">
        <v>404</v>
      </c>
      <c r="D492" s="375" t="str">
        <f t="shared" si="96"/>
        <v>Atherstone Estate52</v>
      </c>
      <c r="E492" s="375" t="s">
        <v>10834</v>
      </c>
      <c r="F492" s="375" t="s">
        <v>1095</v>
      </c>
      <c r="G492" s="375" t="s">
        <v>1096</v>
      </c>
      <c r="H492" s="375" t="s">
        <v>1097</v>
      </c>
      <c r="I492" s="63" t="s">
        <v>1098</v>
      </c>
      <c r="J492" s="47">
        <v>3740</v>
      </c>
      <c r="K492" s="46" t="s">
        <v>7938</v>
      </c>
      <c r="L492" s="47"/>
      <c r="M492" s="47">
        <v>1430.0000000000002</v>
      </c>
      <c r="N492" s="47"/>
      <c r="O492" s="47"/>
      <c r="P492" s="47"/>
      <c r="Q492" s="47"/>
      <c r="R492" s="47"/>
      <c r="S492" s="47" t="s">
        <v>463</v>
      </c>
      <c r="T492" s="47"/>
      <c r="U492" s="47" t="s">
        <v>1099</v>
      </c>
      <c r="V492" s="47"/>
      <c r="W492" s="47"/>
      <c r="X492" s="47"/>
      <c r="Y492" s="47"/>
      <c r="Z492" s="47">
        <v>4620</v>
      </c>
      <c r="AA492" s="47"/>
      <c r="AB492" s="47">
        <v>2800</v>
      </c>
      <c r="AC492" s="47"/>
      <c r="AD492" s="47"/>
      <c r="AE492" s="47"/>
      <c r="AF492" s="47">
        <v>1485</v>
      </c>
      <c r="AG492" s="47"/>
      <c r="AH492" s="47" t="s">
        <v>9976</v>
      </c>
      <c r="AI492" s="47"/>
      <c r="AJ492" s="47"/>
      <c r="AL492" t="str">
        <v>M Estate</v>
      </c>
    </row>
    <row r="493" spans="1:38">
      <c r="A493" s="157" t="s">
        <v>1093</v>
      </c>
      <c r="B493" s="157">
        <v>61</v>
      </c>
      <c r="C493" s="157" t="s">
        <v>404</v>
      </c>
      <c r="D493" s="157" t="str">
        <f t="shared" si="96"/>
        <v>Atherstone Estate61</v>
      </c>
      <c r="E493" s="157" t="s">
        <v>8018</v>
      </c>
      <c r="F493" s="157" t="s">
        <v>1095</v>
      </c>
      <c r="G493" s="157" t="s">
        <v>1096</v>
      </c>
      <c r="H493" s="157" t="s">
        <v>1097</v>
      </c>
      <c r="I493" s="158" t="s">
        <v>1098</v>
      </c>
      <c r="J493" s="47">
        <f t="shared" si="103"/>
        <v>3740</v>
      </c>
      <c r="K493" s="46" t="s">
        <v>7938</v>
      </c>
      <c r="L493" s="47"/>
      <c r="M493" s="47">
        <f t="shared" si="104"/>
        <v>1430.0000000000002</v>
      </c>
      <c r="N493" s="47"/>
      <c r="O493" s="47"/>
      <c r="P493" s="47"/>
      <c r="Q493" s="47"/>
      <c r="R493" s="47"/>
      <c r="S493" s="47" t="s">
        <v>463</v>
      </c>
      <c r="T493" s="47"/>
      <c r="U493" s="47" t="s">
        <v>1099</v>
      </c>
      <c r="V493" s="47"/>
      <c r="W493" s="47"/>
      <c r="X493" s="47"/>
      <c r="Y493" s="47"/>
      <c r="Z493" s="47">
        <f t="shared" si="105"/>
        <v>4620</v>
      </c>
      <c r="AA493" s="47"/>
      <c r="AB493" s="47">
        <f t="shared" si="106"/>
        <v>2800</v>
      </c>
      <c r="AC493" s="47"/>
      <c r="AD493" s="47"/>
      <c r="AE493" s="47"/>
      <c r="AF493" s="47">
        <f t="shared" si="102"/>
        <v>1485</v>
      </c>
      <c r="AG493" s="47"/>
      <c r="AH493" s="47" t="str">
        <f>IFERROR(_xlfn.XLOOKUP(Table6[[#This Row],[Suburb]],Table5[Travel Surcharge],Table5[$$]),"")</f>
        <v/>
      </c>
      <c r="AI493" s="47"/>
      <c r="AJ493" s="47"/>
      <c r="AL493" t="str">
        <v>Madison Hill</v>
      </c>
    </row>
    <row r="494" spans="1:38">
      <c r="A494" s="374" t="s">
        <v>1093</v>
      </c>
      <c r="B494" s="374">
        <v>63</v>
      </c>
      <c r="C494" s="374" t="s">
        <v>404</v>
      </c>
      <c r="D494" s="157" t="str">
        <f t="shared" si="96"/>
        <v>Atherstone Estate63</v>
      </c>
      <c r="E494" s="375" t="s">
        <v>9998</v>
      </c>
      <c r="F494" s="375" t="s">
        <v>1095</v>
      </c>
      <c r="G494" s="375" t="s">
        <v>1096</v>
      </c>
      <c r="H494" s="375" t="s">
        <v>1097</v>
      </c>
      <c r="I494" s="63" t="s">
        <v>1098</v>
      </c>
      <c r="J494" s="47">
        <v>3740</v>
      </c>
      <c r="K494" s="46" t="s">
        <v>7938</v>
      </c>
      <c r="L494" s="47"/>
      <c r="M494" s="47">
        <v>1430.0000000000002</v>
      </c>
      <c r="N494" s="47"/>
      <c r="O494" s="47"/>
      <c r="P494" s="47"/>
      <c r="Q494" s="47"/>
      <c r="R494" s="47"/>
      <c r="S494" s="47" t="s">
        <v>463</v>
      </c>
      <c r="T494" s="47"/>
      <c r="U494" s="47" t="s">
        <v>1099</v>
      </c>
      <c r="V494" s="47"/>
      <c r="W494" s="47"/>
      <c r="X494" s="47"/>
      <c r="Y494" s="47"/>
      <c r="Z494" s="47">
        <v>4620</v>
      </c>
      <c r="AA494" s="47"/>
      <c r="AB494" s="47">
        <v>2800</v>
      </c>
      <c r="AC494" s="47"/>
      <c r="AD494" s="47"/>
      <c r="AE494" s="47"/>
      <c r="AF494" s="47">
        <v>1485</v>
      </c>
      <c r="AG494" s="47"/>
      <c r="AH494" s="47" t="s">
        <v>9976</v>
      </c>
      <c r="AI494" s="47"/>
      <c r="AJ494" s="47"/>
      <c r="AL494" t="str">
        <v>Mail Run Estate</v>
      </c>
    </row>
    <row r="495" spans="1:38">
      <c r="A495" s="374" t="s">
        <v>1093</v>
      </c>
      <c r="B495" s="374" t="s">
        <v>507</v>
      </c>
      <c r="C495" s="374" t="s">
        <v>404</v>
      </c>
      <c r="D495" s="375" t="str">
        <f t="shared" si="96"/>
        <v>Atherstone Estate1B</v>
      </c>
      <c r="E495" s="375" t="s">
        <v>1133</v>
      </c>
      <c r="F495" s="375" t="s">
        <v>1095</v>
      </c>
      <c r="G495" s="375" t="s">
        <v>1096</v>
      </c>
      <c r="H495" s="375" t="s">
        <v>1097</v>
      </c>
      <c r="I495" s="63" t="s">
        <v>1098</v>
      </c>
      <c r="J495" s="47">
        <f t="shared" si="103"/>
        <v>3740</v>
      </c>
      <c r="K495" s="46" t="s">
        <v>7938</v>
      </c>
      <c r="L495" s="47"/>
      <c r="M495" s="47">
        <f t="shared" si="104"/>
        <v>1430.0000000000002</v>
      </c>
      <c r="N495" s="47"/>
      <c r="O495" s="47"/>
      <c r="P495" s="47"/>
      <c r="Q495" s="47"/>
      <c r="R495" s="47"/>
      <c r="S495" s="47" t="s">
        <v>463</v>
      </c>
      <c r="T495" s="47"/>
      <c r="U495" s="47" t="s">
        <v>1099</v>
      </c>
      <c r="V495" s="47"/>
      <c r="W495" s="47"/>
      <c r="X495" s="47"/>
      <c r="Y495" s="47"/>
      <c r="Z495" s="47">
        <f t="shared" si="105"/>
        <v>4620</v>
      </c>
      <c r="AA495" s="47"/>
      <c r="AB495" s="47">
        <f t="shared" si="106"/>
        <v>2800</v>
      </c>
      <c r="AC495" s="47"/>
      <c r="AD495" s="47"/>
      <c r="AE495" s="47"/>
      <c r="AF495" s="47">
        <f t="shared" si="102"/>
        <v>1485</v>
      </c>
      <c r="AG495" s="47"/>
      <c r="AH495" s="47" t="str">
        <f>IFERROR(_xlfn.XLOOKUP(Table6[[#This Row],[Suburb]],Table5[Travel Surcharge],Table5[$$]),"")</f>
        <v/>
      </c>
      <c r="AI495" s="47"/>
      <c r="AJ495" s="47"/>
      <c r="AL495" t="str">
        <v>Majesty</v>
      </c>
    </row>
    <row r="496" spans="1:38">
      <c r="A496" s="374" t="s">
        <v>1134</v>
      </c>
      <c r="B496" s="374">
        <v>13</v>
      </c>
      <c r="C496" s="374" t="s">
        <v>404</v>
      </c>
      <c r="D496" s="375" t="str">
        <f t="shared" si="96"/>
        <v>Atherstone Estate - Middle Park13</v>
      </c>
      <c r="E496" s="375" t="s">
        <v>1135</v>
      </c>
      <c r="F496" s="375" t="s">
        <v>1095</v>
      </c>
      <c r="G496" s="375" t="s">
        <v>1096</v>
      </c>
      <c r="H496" s="375" t="s">
        <v>1097</v>
      </c>
      <c r="I496" s="63" t="s">
        <v>1098</v>
      </c>
      <c r="J496" s="47">
        <f t="shared" si="103"/>
        <v>3740</v>
      </c>
      <c r="K496" s="46" t="s">
        <v>7938</v>
      </c>
      <c r="L496" s="47"/>
      <c r="M496" s="47">
        <f t="shared" si="104"/>
        <v>1430.0000000000002</v>
      </c>
      <c r="N496" s="47"/>
      <c r="O496" s="47"/>
      <c r="P496" s="47"/>
      <c r="Q496" s="47"/>
      <c r="R496" s="47"/>
      <c r="S496" s="47" t="s">
        <v>463</v>
      </c>
      <c r="T496" s="47"/>
      <c r="U496" s="47" t="s">
        <v>1099</v>
      </c>
      <c r="V496" s="47"/>
      <c r="W496" s="47"/>
      <c r="X496" s="47"/>
      <c r="Y496" s="47"/>
      <c r="Z496" s="47">
        <f t="shared" si="105"/>
        <v>4620</v>
      </c>
      <c r="AA496" s="47"/>
      <c r="AB496" s="47">
        <f t="shared" si="106"/>
        <v>2800</v>
      </c>
      <c r="AC496" s="47"/>
      <c r="AD496" s="47"/>
      <c r="AE496" s="47"/>
      <c r="AF496" s="47">
        <f t="shared" si="102"/>
        <v>1485</v>
      </c>
      <c r="AG496" s="47"/>
      <c r="AH496" s="47" t="str">
        <f>IFERROR(_xlfn.XLOOKUP(Table6[[#This Row],[Suburb]],Table5[Travel Surcharge],Table5[$$]),"")</f>
        <v/>
      </c>
      <c r="AI496" s="47"/>
      <c r="AJ496" s="47"/>
      <c r="AL496" t="str">
        <v>Mambourin Estate</v>
      </c>
    </row>
    <row r="497" spans="1:38">
      <c r="A497" s="374" t="s">
        <v>1134</v>
      </c>
      <c r="B497" s="374">
        <v>20</v>
      </c>
      <c r="C497" s="374" t="s">
        <v>404</v>
      </c>
      <c r="D497" s="375" t="str">
        <f t="shared" si="96"/>
        <v>Atherstone Estate - Middle Park20</v>
      </c>
      <c r="E497" s="375" t="s">
        <v>1136</v>
      </c>
      <c r="F497" s="375" t="s">
        <v>1095</v>
      </c>
      <c r="G497" s="375" t="s">
        <v>1096</v>
      </c>
      <c r="H497" s="375" t="s">
        <v>1097</v>
      </c>
      <c r="I497" s="63" t="s">
        <v>1098</v>
      </c>
      <c r="J497" s="47">
        <f t="shared" si="103"/>
        <v>3740</v>
      </c>
      <c r="K497" s="46" t="s">
        <v>7938</v>
      </c>
      <c r="L497" s="47"/>
      <c r="M497" s="47">
        <f t="shared" si="104"/>
        <v>1430.0000000000002</v>
      </c>
      <c r="N497" s="47"/>
      <c r="O497" s="47"/>
      <c r="P497" s="47"/>
      <c r="Q497" s="47"/>
      <c r="R497" s="47"/>
      <c r="S497" s="47" t="s">
        <v>463</v>
      </c>
      <c r="T497" s="47"/>
      <c r="U497" s="47" t="s">
        <v>1099</v>
      </c>
      <c r="V497" s="47"/>
      <c r="W497" s="47"/>
      <c r="X497" s="47"/>
      <c r="Y497" s="47"/>
      <c r="Z497" s="47">
        <f t="shared" si="105"/>
        <v>4620</v>
      </c>
      <c r="AA497" s="47"/>
      <c r="AB497" s="47">
        <f t="shared" si="106"/>
        <v>2800</v>
      </c>
      <c r="AC497" s="47"/>
      <c r="AD497" s="47"/>
      <c r="AE497" s="47"/>
      <c r="AF497" s="47">
        <f t="shared" si="102"/>
        <v>1485</v>
      </c>
      <c r="AG497" s="47"/>
      <c r="AH497" s="47" t="str">
        <f>IFERROR(_xlfn.XLOOKUP(Table6[[#This Row],[Suburb]],Table5[Travel Surcharge],Table5[$$]),"")</f>
        <v/>
      </c>
      <c r="AI497" s="47"/>
      <c r="AJ497" s="47"/>
      <c r="AL497" t="str">
        <v>Mambourin Green</v>
      </c>
    </row>
    <row r="498" spans="1:38">
      <c r="A498" s="374" t="s">
        <v>1134</v>
      </c>
      <c r="B498" s="374">
        <v>21</v>
      </c>
      <c r="C498" s="374" t="s">
        <v>404</v>
      </c>
      <c r="D498" s="375" t="str">
        <f t="shared" si="96"/>
        <v>Atherstone Estate - Middle Park21</v>
      </c>
      <c r="E498" s="375" t="s">
        <v>1137</v>
      </c>
      <c r="F498" s="375" t="s">
        <v>1095</v>
      </c>
      <c r="G498" s="375" t="s">
        <v>1096</v>
      </c>
      <c r="H498" s="375" t="s">
        <v>1097</v>
      </c>
      <c r="I498" s="63" t="s">
        <v>1098</v>
      </c>
      <c r="J498" s="47">
        <f t="shared" si="103"/>
        <v>3740</v>
      </c>
      <c r="K498" s="46" t="s">
        <v>7938</v>
      </c>
      <c r="L498" s="47"/>
      <c r="M498" s="47">
        <f t="shared" si="104"/>
        <v>1430.0000000000002</v>
      </c>
      <c r="N498" s="47"/>
      <c r="O498" s="47"/>
      <c r="P498" s="47"/>
      <c r="Q498" s="47"/>
      <c r="R498" s="47"/>
      <c r="S498" s="47" t="s">
        <v>463</v>
      </c>
      <c r="T498" s="47"/>
      <c r="U498" s="47" t="s">
        <v>1099</v>
      </c>
      <c r="V498" s="47"/>
      <c r="W498" s="47"/>
      <c r="X498" s="47"/>
      <c r="Y498" s="47"/>
      <c r="Z498" s="47">
        <f t="shared" si="105"/>
        <v>4620</v>
      </c>
      <c r="AA498" s="47"/>
      <c r="AB498" s="47">
        <f t="shared" si="106"/>
        <v>2800</v>
      </c>
      <c r="AC498" s="47"/>
      <c r="AD498" s="47"/>
      <c r="AE498" s="47"/>
      <c r="AF498" s="47">
        <f t="shared" si="102"/>
        <v>1485</v>
      </c>
      <c r="AG498" s="47"/>
      <c r="AH498" s="47" t="str">
        <f>IFERROR(_xlfn.XLOOKUP(Table6[[#This Row],[Suburb]],Table5[Travel Surcharge],Table5[$$]),"")</f>
        <v/>
      </c>
      <c r="AI498" s="47"/>
      <c r="AJ498" s="47"/>
      <c r="AL498" t="str">
        <v>Mandalay Estate</v>
      </c>
    </row>
    <row r="499" spans="1:38">
      <c r="A499" s="374" t="s">
        <v>1144</v>
      </c>
      <c r="B499" s="374">
        <v>8</v>
      </c>
      <c r="C499" s="374" t="s">
        <v>404</v>
      </c>
      <c r="D499" s="375" t="str">
        <f t="shared" si="96"/>
        <v>Atherstone Estate - Settlers Creek8</v>
      </c>
      <c r="E499" s="375" t="s">
        <v>1145</v>
      </c>
      <c r="F499" s="375" t="s">
        <v>1095</v>
      </c>
      <c r="G499" s="375" t="s">
        <v>1096</v>
      </c>
      <c r="H499" s="375" t="s">
        <v>1097</v>
      </c>
      <c r="I499" s="63" t="s">
        <v>1098</v>
      </c>
      <c r="J499" s="47">
        <f t="shared" si="103"/>
        <v>3740</v>
      </c>
      <c r="K499" s="46" t="s">
        <v>7938</v>
      </c>
      <c r="L499" s="47"/>
      <c r="M499" s="47">
        <f t="shared" si="104"/>
        <v>1430.0000000000002</v>
      </c>
      <c r="N499" s="47"/>
      <c r="O499" s="47"/>
      <c r="P499" s="47"/>
      <c r="Q499" s="47"/>
      <c r="R499" s="47"/>
      <c r="S499" s="47" t="s">
        <v>463</v>
      </c>
      <c r="T499" s="47"/>
      <c r="U499" s="47" t="s">
        <v>1099</v>
      </c>
      <c r="V499" s="47"/>
      <c r="W499" s="47"/>
      <c r="X499" s="47"/>
      <c r="Y499" s="47"/>
      <c r="Z499" s="47">
        <f t="shared" si="105"/>
        <v>4620</v>
      </c>
      <c r="AA499" s="47"/>
      <c r="AB499" s="47">
        <f t="shared" si="106"/>
        <v>2800</v>
      </c>
      <c r="AC499" s="47"/>
      <c r="AD499" s="47"/>
      <c r="AE499" s="47"/>
      <c r="AF499" s="47">
        <f t="shared" si="102"/>
        <v>1485</v>
      </c>
      <c r="AG499" s="47"/>
      <c r="AH499" s="47" t="str">
        <f>IFERROR(_xlfn.XLOOKUP(Table6[[#This Row],[Suburb]],Table5[Travel Surcharge],Table5[$$]),"")</f>
        <v/>
      </c>
      <c r="AI499" s="47"/>
      <c r="AJ499" s="47"/>
      <c r="AL499" t="str">
        <v>Manhatten Place</v>
      </c>
    </row>
    <row r="500" spans="1:38">
      <c r="A500" s="374" t="s">
        <v>1144</v>
      </c>
      <c r="B500" s="374">
        <v>10</v>
      </c>
      <c r="C500" s="374" t="s">
        <v>404</v>
      </c>
      <c r="D500" s="375" t="str">
        <f t="shared" si="96"/>
        <v>Atherstone Estate - Settlers Creek10</v>
      </c>
      <c r="E500" s="375" t="s">
        <v>1146</v>
      </c>
      <c r="F500" s="375" t="s">
        <v>1095</v>
      </c>
      <c r="G500" s="375" t="s">
        <v>1096</v>
      </c>
      <c r="H500" s="375" t="s">
        <v>1097</v>
      </c>
      <c r="I500" s="63" t="s">
        <v>1098</v>
      </c>
      <c r="J500" s="47">
        <f t="shared" si="103"/>
        <v>3740</v>
      </c>
      <c r="K500" s="46" t="s">
        <v>7938</v>
      </c>
      <c r="L500" s="47"/>
      <c r="M500" s="47">
        <f t="shared" si="104"/>
        <v>1430.0000000000002</v>
      </c>
      <c r="N500" s="47"/>
      <c r="O500" s="47"/>
      <c r="P500" s="47"/>
      <c r="Q500" s="47"/>
      <c r="R500" s="47"/>
      <c r="S500" s="47" t="s">
        <v>463</v>
      </c>
      <c r="T500" s="47"/>
      <c r="U500" s="47" t="s">
        <v>1099</v>
      </c>
      <c r="V500" s="47"/>
      <c r="W500" s="47"/>
      <c r="X500" s="47"/>
      <c r="Y500" s="47"/>
      <c r="Z500" s="47">
        <f t="shared" si="105"/>
        <v>4620</v>
      </c>
      <c r="AA500" s="47"/>
      <c r="AB500" s="47">
        <f t="shared" si="106"/>
        <v>2800</v>
      </c>
      <c r="AC500" s="47"/>
      <c r="AD500" s="47"/>
      <c r="AE500" s="47"/>
      <c r="AF500" s="47">
        <f t="shared" si="102"/>
        <v>1485</v>
      </c>
      <c r="AG500" s="47"/>
      <c r="AH500" s="47" t="str">
        <f>IFERROR(_xlfn.XLOOKUP(Table6[[#This Row],[Suburb]],Table5[Travel Surcharge],Table5[$$]),"")</f>
        <v/>
      </c>
      <c r="AI500" s="47"/>
      <c r="AJ500" s="47"/>
      <c r="AL500" t="str">
        <v>Mannagum View</v>
      </c>
    </row>
    <row r="501" spans="1:38">
      <c r="A501" s="374" t="s">
        <v>1144</v>
      </c>
      <c r="B501" s="374">
        <v>11</v>
      </c>
      <c r="C501" s="374" t="s">
        <v>404</v>
      </c>
      <c r="D501" s="375" t="str">
        <f t="shared" si="96"/>
        <v>Atherstone Estate - Settlers Creek11</v>
      </c>
      <c r="E501" s="375" t="s">
        <v>1147</v>
      </c>
      <c r="F501" s="375" t="s">
        <v>1095</v>
      </c>
      <c r="G501" s="375" t="s">
        <v>1096</v>
      </c>
      <c r="H501" s="375" t="s">
        <v>1097</v>
      </c>
      <c r="I501" s="63" t="s">
        <v>1098</v>
      </c>
      <c r="J501" s="47">
        <f t="shared" si="103"/>
        <v>3740</v>
      </c>
      <c r="K501" s="46" t="s">
        <v>7938</v>
      </c>
      <c r="L501" s="47"/>
      <c r="M501" s="47">
        <f t="shared" si="104"/>
        <v>1430.0000000000002</v>
      </c>
      <c r="N501" s="47"/>
      <c r="O501" s="47"/>
      <c r="P501" s="47"/>
      <c r="Q501" s="47"/>
      <c r="R501" s="47"/>
      <c r="S501" s="47" t="s">
        <v>463</v>
      </c>
      <c r="T501" s="47"/>
      <c r="U501" s="47" t="s">
        <v>1099</v>
      </c>
      <c r="V501" s="47"/>
      <c r="W501" s="47"/>
      <c r="X501" s="47"/>
      <c r="Y501" s="47"/>
      <c r="Z501" s="47">
        <f t="shared" si="105"/>
        <v>4620</v>
      </c>
      <c r="AA501" s="47"/>
      <c r="AB501" s="47">
        <f t="shared" si="106"/>
        <v>2800</v>
      </c>
      <c r="AC501" s="47"/>
      <c r="AD501" s="47"/>
      <c r="AE501" s="47"/>
      <c r="AF501" s="47">
        <f t="shared" si="102"/>
        <v>1485</v>
      </c>
      <c r="AG501" s="47"/>
      <c r="AH501" s="47" t="str">
        <f>IFERROR(_xlfn.XLOOKUP(Table6[[#This Row],[Suburb]],Table5[Travel Surcharge],Table5[$$]),"")</f>
        <v/>
      </c>
      <c r="AI501" s="47"/>
      <c r="AJ501" s="47"/>
      <c r="AL501" t="str">
        <v>Manor Lakes - Lollipop Hill Estate</v>
      </c>
    </row>
    <row r="502" spans="1:38">
      <c r="A502" s="374" t="s">
        <v>1138</v>
      </c>
      <c r="B502" s="374">
        <v>9</v>
      </c>
      <c r="C502" s="374" t="s">
        <v>404</v>
      </c>
      <c r="D502" s="375" t="str">
        <f t="shared" si="96"/>
        <v>Atherstone Estate - Stone Ridge9</v>
      </c>
      <c r="E502" s="375" t="s">
        <v>1139</v>
      </c>
      <c r="F502" s="375" t="s">
        <v>1095</v>
      </c>
      <c r="G502" s="375" t="s">
        <v>1096</v>
      </c>
      <c r="H502" s="375" t="s">
        <v>1097</v>
      </c>
      <c r="I502" s="63" t="s">
        <v>1098</v>
      </c>
      <c r="J502" s="47">
        <f t="shared" si="103"/>
        <v>3740</v>
      </c>
      <c r="K502" s="46" t="s">
        <v>7938</v>
      </c>
      <c r="L502" s="47"/>
      <c r="M502" s="47">
        <f t="shared" si="104"/>
        <v>1430.0000000000002</v>
      </c>
      <c r="N502" s="47" t="s">
        <v>1140</v>
      </c>
      <c r="O502" s="47"/>
      <c r="P502" s="47"/>
      <c r="Q502" s="47"/>
      <c r="R502" s="47"/>
      <c r="S502" s="47" t="s">
        <v>463</v>
      </c>
      <c r="T502" s="47"/>
      <c r="U502" s="47" t="s">
        <v>1099</v>
      </c>
      <c r="V502" s="47"/>
      <c r="W502" s="47"/>
      <c r="X502" s="47"/>
      <c r="Y502" s="47"/>
      <c r="Z502" s="47">
        <f t="shared" si="105"/>
        <v>4620</v>
      </c>
      <c r="AA502" s="47"/>
      <c r="AB502" s="47">
        <f t="shared" si="106"/>
        <v>2800</v>
      </c>
      <c r="AC502" s="47"/>
      <c r="AD502" s="47"/>
      <c r="AE502" s="47"/>
      <c r="AF502" s="47">
        <f t="shared" si="102"/>
        <v>1485</v>
      </c>
      <c r="AG502" s="47"/>
      <c r="AH502" s="47" t="str">
        <f>IFERROR(_xlfn.XLOOKUP(Table6[[#This Row],[Suburb]],Table5[Travel Surcharge],Table5[$$]),"")</f>
        <v/>
      </c>
      <c r="AI502" s="47"/>
      <c r="AJ502" s="47"/>
      <c r="AL502" t="str">
        <v>Manor Lakes - The Village</v>
      </c>
    </row>
    <row r="503" spans="1:38">
      <c r="A503" s="374" t="s">
        <v>1141</v>
      </c>
      <c r="B503" s="374">
        <v>7</v>
      </c>
      <c r="C503" s="374" t="s">
        <v>404</v>
      </c>
      <c r="D503" s="375" t="str">
        <f t="shared" si="96"/>
        <v>Atherstone Estate - Wilton7</v>
      </c>
      <c r="E503" s="375" t="s">
        <v>1142</v>
      </c>
      <c r="F503" s="375" t="s">
        <v>1095</v>
      </c>
      <c r="G503" s="375" t="s">
        <v>1096</v>
      </c>
      <c r="H503" s="375" t="s">
        <v>1097</v>
      </c>
      <c r="I503" s="63" t="s">
        <v>1098</v>
      </c>
      <c r="J503" s="47">
        <f t="shared" si="103"/>
        <v>3740</v>
      </c>
      <c r="K503" s="46" t="s">
        <v>7938</v>
      </c>
      <c r="L503" s="47"/>
      <c r="M503" s="47">
        <f t="shared" si="104"/>
        <v>1430.0000000000002</v>
      </c>
      <c r="N503" s="47"/>
      <c r="O503" s="47"/>
      <c r="P503" s="47"/>
      <c r="Q503" s="47"/>
      <c r="R503" s="47"/>
      <c r="S503" s="47" t="s">
        <v>463</v>
      </c>
      <c r="T503" s="47"/>
      <c r="U503" s="47" t="s">
        <v>1099</v>
      </c>
      <c r="V503" s="47"/>
      <c r="W503" s="47"/>
      <c r="X503" s="47"/>
      <c r="Y503" s="47"/>
      <c r="Z503" s="47">
        <f t="shared" si="105"/>
        <v>4620</v>
      </c>
      <c r="AA503" s="47"/>
      <c r="AB503" s="47">
        <f t="shared" si="106"/>
        <v>2800</v>
      </c>
      <c r="AC503" s="47"/>
      <c r="AD503" s="47"/>
      <c r="AE503" s="47"/>
      <c r="AF503" s="47">
        <f t="shared" si="102"/>
        <v>1485</v>
      </c>
      <c r="AG503" s="47"/>
      <c r="AH503" s="47" t="str">
        <f>IFERROR(_xlfn.XLOOKUP(Table6[[#This Row],[Suburb]],Table5[Travel Surcharge],Table5[$$]),"")</f>
        <v/>
      </c>
      <c r="AI503" s="47"/>
      <c r="AJ503" s="47"/>
      <c r="AL503" t="str">
        <v>Manor Lakes Estate - Lakeside</v>
      </c>
    </row>
    <row r="504" spans="1:38">
      <c r="A504" s="374" t="s">
        <v>1141</v>
      </c>
      <c r="B504" s="374">
        <v>8</v>
      </c>
      <c r="C504" s="374" t="s">
        <v>404</v>
      </c>
      <c r="D504" s="375" t="str">
        <f t="shared" ref="D504:D572" si="107">CONCATENATE(A504,B504)</f>
        <v>Atherstone Estate - Wilton8</v>
      </c>
      <c r="E504" s="375" t="s">
        <v>1143</v>
      </c>
      <c r="F504" s="375" t="s">
        <v>1095</v>
      </c>
      <c r="G504" s="375" t="s">
        <v>1096</v>
      </c>
      <c r="H504" s="375" t="s">
        <v>1097</v>
      </c>
      <c r="I504" s="63" t="s">
        <v>1098</v>
      </c>
      <c r="J504" s="47">
        <f t="shared" si="103"/>
        <v>3740</v>
      </c>
      <c r="K504" s="46" t="s">
        <v>7938</v>
      </c>
      <c r="L504" s="47"/>
      <c r="M504" s="47">
        <f t="shared" si="104"/>
        <v>1430.0000000000002</v>
      </c>
      <c r="N504" s="47"/>
      <c r="O504" s="47"/>
      <c r="P504" s="47"/>
      <c r="Q504" s="47"/>
      <c r="R504" s="47"/>
      <c r="S504" s="47" t="s">
        <v>463</v>
      </c>
      <c r="T504" s="47"/>
      <c r="U504" s="47" t="s">
        <v>1099</v>
      </c>
      <c r="V504" s="47"/>
      <c r="W504" s="47"/>
      <c r="X504" s="47"/>
      <c r="Y504" s="47"/>
      <c r="Z504" s="47">
        <f t="shared" si="105"/>
        <v>4620</v>
      </c>
      <c r="AA504" s="47"/>
      <c r="AB504" s="47">
        <f t="shared" si="106"/>
        <v>2800</v>
      </c>
      <c r="AC504" s="47"/>
      <c r="AD504" s="47"/>
      <c r="AE504" s="47"/>
      <c r="AF504" s="47">
        <f t="shared" si="102"/>
        <v>1485</v>
      </c>
      <c r="AG504" s="47"/>
      <c r="AH504" s="47" t="str">
        <f>IFERROR(_xlfn.XLOOKUP(Table6[[#This Row],[Suburb]],Table5[Travel Surcharge],Table5[$$]),"")</f>
        <v/>
      </c>
      <c r="AI504" s="47"/>
      <c r="AJ504" s="47"/>
      <c r="AL504" t="str">
        <v>Manzeene Village Estate</v>
      </c>
    </row>
    <row r="505" spans="1:38">
      <c r="A505" s="374" t="s">
        <v>1141</v>
      </c>
      <c r="B505" s="374">
        <v>10</v>
      </c>
      <c r="C505" s="374" t="s">
        <v>404</v>
      </c>
      <c r="D505" s="375" t="str">
        <f t="shared" si="107"/>
        <v>Atherstone Estate - Wilton10</v>
      </c>
      <c r="E505" s="375" t="s">
        <v>1106</v>
      </c>
      <c r="F505" s="375" t="s">
        <v>1095</v>
      </c>
      <c r="G505" s="375" t="s">
        <v>1096</v>
      </c>
      <c r="H505" s="375" t="s">
        <v>1097</v>
      </c>
      <c r="I505" s="63" t="s">
        <v>1098</v>
      </c>
      <c r="J505" s="47">
        <f t="shared" si="103"/>
        <v>3740</v>
      </c>
      <c r="K505" s="46" t="s">
        <v>7938</v>
      </c>
      <c r="L505" s="47"/>
      <c r="M505" s="47">
        <f t="shared" si="104"/>
        <v>1430.0000000000002</v>
      </c>
      <c r="N505" s="47"/>
      <c r="O505" s="47"/>
      <c r="P505" s="47"/>
      <c r="Q505" s="47"/>
      <c r="R505" s="47"/>
      <c r="S505" s="47" t="s">
        <v>463</v>
      </c>
      <c r="T505" s="47"/>
      <c r="U505" s="47" t="s">
        <v>1099</v>
      </c>
      <c r="V505" s="47"/>
      <c r="W505" s="47"/>
      <c r="X505" s="47"/>
      <c r="Y505" s="47"/>
      <c r="Z505" s="47">
        <f t="shared" si="105"/>
        <v>4620</v>
      </c>
      <c r="AA505" s="47"/>
      <c r="AB505" s="47">
        <f t="shared" si="106"/>
        <v>2800</v>
      </c>
      <c r="AC505" s="47"/>
      <c r="AD505" s="47"/>
      <c r="AE505" s="47"/>
      <c r="AF505" s="47">
        <f t="shared" si="102"/>
        <v>1485</v>
      </c>
      <c r="AG505" s="47"/>
      <c r="AH505" s="47" t="str">
        <f>IFERROR(_xlfn.XLOOKUP(Table6[[#This Row],[Suburb]],Table5[Travel Surcharge],Table5[$$]),"")</f>
        <v/>
      </c>
      <c r="AI505" s="47"/>
      <c r="AJ505" s="47"/>
      <c r="AL505" t="str">
        <v>Maple Grove</v>
      </c>
    </row>
    <row r="506" spans="1:38">
      <c r="A506" s="374" t="s">
        <v>1141</v>
      </c>
      <c r="B506" s="374">
        <v>12</v>
      </c>
      <c r="C506" s="374" t="s">
        <v>404</v>
      </c>
      <c r="D506" s="375" t="str">
        <f t="shared" si="107"/>
        <v>Atherstone Estate - Wilton12</v>
      </c>
      <c r="E506" s="375" t="s">
        <v>1107</v>
      </c>
      <c r="F506" s="375" t="s">
        <v>1095</v>
      </c>
      <c r="G506" s="375" t="s">
        <v>1096</v>
      </c>
      <c r="H506" s="375" t="s">
        <v>1097</v>
      </c>
      <c r="I506" s="63" t="s">
        <v>1098</v>
      </c>
      <c r="J506" s="47">
        <f t="shared" si="103"/>
        <v>3740</v>
      </c>
      <c r="K506" s="46" t="s">
        <v>7938</v>
      </c>
      <c r="L506" s="47"/>
      <c r="M506" s="47">
        <f t="shared" si="104"/>
        <v>1430.0000000000002</v>
      </c>
      <c r="N506" s="47"/>
      <c r="O506" s="47"/>
      <c r="P506" s="47"/>
      <c r="Q506" s="47"/>
      <c r="R506" s="47"/>
      <c r="S506" s="47" t="s">
        <v>463</v>
      </c>
      <c r="T506" s="47"/>
      <c r="U506" s="47" t="s">
        <v>1099</v>
      </c>
      <c r="V506" s="47"/>
      <c r="W506" s="47"/>
      <c r="X506" s="47"/>
      <c r="Y506" s="47"/>
      <c r="Z506" s="47">
        <f t="shared" si="105"/>
        <v>4620</v>
      </c>
      <c r="AA506" s="47"/>
      <c r="AB506" s="47">
        <f t="shared" si="106"/>
        <v>2800</v>
      </c>
      <c r="AC506" s="47"/>
      <c r="AD506" s="47"/>
      <c r="AE506" s="47"/>
      <c r="AF506" s="47">
        <f t="shared" si="102"/>
        <v>1485</v>
      </c>
      <c r="AG506" s="47"/>
      <c r="AH506" s="47" t="str">
        <f>IFERROR(_xlfn.XLOOKUP(Table6[[#This Row],[Suburb]],Table5[Travel Surcharge],Table5[$$]),"")</f>
        <v/>
      </c>
      <c r="AI506" s="47"/>
      <c r="AJ506" s="47"/>
      <c r="AL506" t="str">
        <v xml:space="preserve">Maple Lane </v>
      </c>
    </row>
    <row r="507" spans="1:38">
      <c r="A507" s="374" t="s">
        <v>1148</v>
      </c>
      <c r="B507" s="374">
        <v>1</v>
      </c>
      <c r="C507" s="374" t="s">
        <v>538</v>
      </c>
      <c r="D507" s="375" t="str">
        <f t="shared" si="107"/>
        <v>Atkinson Place1</v>
      </c>
      <c r="E507" s="375" t="s">
        <v>1149</v>
      </c>
      <c r="F507" s="375"/>
      <c r="G507" s="375"/>
      <c r="H507" s="375"/>
      <c r="I507" s="63"/>
      <c r="J507" s="47"/>
      <c r="K507" s="46" t="s">
        <v>10735</v>
      </c>
      <c r="L507" s="47" t="s">
        <v>1150</v>
      </c>
      <c r="M507" s="47">
        <f t="shared" si="104"/>
        <v>1430.0000000000002</v>
      </c>
      <c r="N507" s="47" t="s">
        <v>1151</v>
      </c>
      <c r="O507" s="47">
        <f>O$7</f>
        <v>4950</v>
      </c>
      <c r="P507" s="47"/>
      <c r="Q507" s="47"/>
      <c r="R507" s="47"/>
      <c r="S507" s="47"/>
      <c r="T507" s="47"/>
      <c r="U507" s="47">
        <f>U$2</f>
        <v>430</v>
      </c>
      <c r="V507" s="47"/>
      <c r="W507" s="47"/>
      <c r="X507" s="47"/>
      <c r="Y507" s="47"/>
      <c r="Z507" s="47">
        <f t="shared" si="105"/>
        <v>4620</v>
      </c>
      <c r="AA507" s="47">
        <f>AA$7</f>
        <v>1400</v>
      </c>
      <c r="AB507" s="47"/>
      <c r="AC507" s="47"/>
      <c r="AD507" s="47"/>
      <c r="AE507" s="47"/>
      <c r="AF507" s="47">
        <f>AF$7</f>
        <v>1485</v>
      </c>
      <c r="AG507" s="47"/>
      <c r="AH507" s="47" t="str">
        <f>IFERROR(_xlfn.XLOOKUP(Table6[[#This Row],[Suburb]],Table5[Travel Surcharge],Table5[$$]),"")</f>
        <v/>
      </c>
      <c r="AI507" s="47"/>
      <c r="AJ507" s="47"/>
      <c r="AL507" t="str">
        <v>Maple Lane Rise</v>
      </c>
    </row>
    <row r="508" spans="1:38">
      <c r="A508" s="374" t="s">
        <v>1148</v>
      </c>
      <c r="B508" s="374">
        <v>1</v>
      </c>
      <c r="C508" s="374" t="s">
        <v>538</v>
      </c>
      <c r="D508" s="375" t="str">
        <f t="shared" si="107"/>
        <v>Atkinson Place1</v>
      </c>
      <c r="E508" s="375" t="s">
        <v>1149</v>
      </c>
      <c r="F508" s="375"/>
      <c r="G508" s="375"/>
      <c r="H508" s="375"/>
      <c r="I508" s="63"/>
      <c r="J508" s="47"/>
      <c r="K508" s="46" t="s">
        <v>10735</v>
      </c>
      <c r="L508" s="47"/>
      <c r="M508" s="47">
        <f t="shared" si="104"/>
        <v>1430.0000000000002</v>
      </c>
      <c r="N508" s="47" t="s">
        <v>1151</v>
      </c>
      <c r="O508" s="47">
        <f>O$7</f>
        <v>4950</v>
      </c>
      <c r="P508" s="47"/>
      <c r="Q508" s="47"/>
      <c r="R508" s="47"/>
      <c r="S508" s="47"/>
      <c r="T508" s="47" t="s">
        <v>7396</v>
      </c>
      <c r="U508" s="47">
        <f>U$2</f>
        <v>430</v>
      </c>
      <c r="V508" s="47"/>
      <c r="W508" s="47"/>
      <c r="X508" s="47"/>
      <c r="Y508" s="47"/>
      <c r="Z508" s="47">
        <f t="shared" si="105"/>
        <v>4620</v>
      </c>
      <c r="AA508" s="47">
        <f>AA$7</f>
        <v>1400</v>
      </c>
      <c r="AB508" s="47"/>
      <c r="AC508" s="47"/>
      <c r="AD508" s="47"/>
      <c r="AE508" s="47"/>
      <c r="AF508" s="47">
        <f>AF$7</f>
        <v>1485</v>
      </c>
      <c r="AG508" s="47"/>
      <c r="AH508" s="47" t="str">
        <f>IFERROR(_xlfn.XLOOKUP(Table6[[#This Row],[Suburb]],Table5[Travel Surcharge],Table5[$$]),"")</f>
        <v/>
      </c>
      <c r="AI508" s="47"/>
      <c r="AJ508" s="47"/>
      <c r="AL508" t="str">
        <v>Maplestone</v>
      </c>
    </row>
    <row r="509" spans="1:38">
      <c r="A509" s="374" t="s">
        <v>10234</v>
      </c>
      <c r="B509" s="374">
        <v>1</v>
      </c>
      <c r="C509" s="374" t="s">
        <v>468</v>
      </c>
      <c r="D509" s="375" t="str">
        <f>CONCATENATE(A509,B509)</f>
        <v>Atlas  Rockbank1</v>
      </c>
      <c r="E509" s="375" t="s">
        <v>10235</v>
      </c>
      <c r="F509" s="375"/>
      <c r="G509" s="375"/>
      <c r="H509" s="375"/>
      <c r="I509" s="63"/>
      <c r="J509" s="47" t="s">
        <v>10236</v>
      </c>
      <c r="K509" s="46" t="s">
        <v>10735</v>
      </c>
      <c r="L509" s="47"/>
      <c r="M509" s="47"/>
      <c r="N509" s="47"/>
      <c r="O509" s="47">
        <f>O$7</f>
        <v>4950</v>
      </c>
      <c r="P509" s="47"/>
      <c r="Q509" s="47">
        <v>0</v>
      </c>
      <c r="R509" s="47"/>
      <c r="S509" s="47"/>
      <c r="T509" s="47"/>
      <c r="U509" s="47"/>
      <c r="V509" s="47"/>
      <c r="W509" s="47"/>
      <c r="X509" s="47"/>
      <c r="Y509" s="47"/>
      <c r="Z509" s="47">
        <f>Z$7</f>
        <v>4620</v>
      </c>
      <c r="AA509" s="47"/>
      <c r="AB509" s="47"/>
      <c r="AC509" s="47" t="s">
        <v>10238</v>
      </c>
      <c r="AD509" s="47"/>
      <c r="AE509" s="47" t="s">
        <v>10237</v>
      </c>
      <c r="AF509" s="47">
        <v>1485</v>
      </c>
      <c r="AG509" s="47"/>
      <c r="AH509" s="47" t="e">
        <f>IF((COUNTIF(#REF!,C509)&gt;0),(IF('Pricing Sheet'!$C$3&lt;&gt;"",(VLOOKUP(C509,AQ:AQ,2,FALSE)),(VLOOKUP(C509,AQ:AQ,3,FALSE)))),"")</f>
        <v>#REF!</v>
      </c>
      <c r="AI509" s="47"/>
      <c r="AJ509" s="47"/>
      <c r="AL509" t="str">
        <v>Maplewood</v>
      </c>
    </row>
    <row r="510" spans="1:38">
      <c r="A510" s="374" t="s">
        <v>1152</v>
      </c>
      <c r="B510" s="374">
        <v>1</v>
      </c>
      <c r="C510" s="374" t="s">
        <v>1153</v>
      </c>
      <c r="D510" s="375" t="str">
        <f t="shared" si="107"/>
        <v>Atticus Estate1</v>
      </c>
      <c r="E510" s="375" t="s">
        <v>1154</v>
      </c>
      <c r="F510" s="375" t="s">
        <v>1155</v>
      </c>
      <c r="G510" s="375" t="s">
        <v>1156</v>
      </c>
      <c r="H510" s="375" t="s">
        <v>1157</v>
      </c>
      <c r="I510" s="63" t="s">
        <v>1158</v>
      </c>
      <c r="J510" s="47">
        <f>J$7</f>
        <v>3740</v>
      </c>
      <c r="K510" s="46" t="s">
        <v>10735</v>
      </c>
      <c r="L510" s="47" t="s">
        <v>504</v>
      </c>
      <c r="M510" s="47">
        <f t="shared" si="104"/>
        <v>1430.0000000000002</v>
      </c>
      <c r="N510" s="47" t="s">
        <v>1159</v>
      </c>
      <c r="O510" s="47" t="s">
        <v>1160</v>
      </c>
      <c r="P510" s="47" t="s">
        <v>1161</v>
      </c>
      <c r="Q510" s="47"/>
      <c r="R510" s="47"/>
      <c r="S510" s="47"/>
      <c r="T510" s="47"/>
      <c r="U510" s="47">
        <f>U$2</f>
        <v>430</v>
      </c>
      <c r="V510" s="47" t="s">
        <v>1162</v>
      </c>
      <c r="W510" s="47"/>
      <c r="X510" s="47"/>
      <c r="Y510" s="47"/>
      <c r="Z510" s="47">
        <f t="shared" si="105"/>
        <v>4620</v>
      </c>
      <c r="AA510" s="47">
        <f t="shared" ref="AA510:AB512" si="108">AA$7</f>
        <v>1400</v>
      </c>
      <c r="AB510" s="47">
        <f t="shared" si="108"/>
        <v>2800</v>
      </c>
      <c r="AC510" s="47"/>
      <c r="AD510" s="47" t="s">
        <v>1</v>
      </c>
      <c r="AE510" s="47"/>
      <c r="AF510" s="47">
        <f>AF$7</f>
        <v>1485</v>
      </c>
      <c r="AG510" s="47"/>
      <c r="AH510" s="47" t="str">
        <f>IFERROR(_xlfn.XLOOKUP(Table6[[#This Row],[Suburb]],Table5[Travel Surcharge],Table5[$$]),"")</f>
        <v/>
      </c>
      <c r="AI510" s="47"/>
      <c r="AJ510" s="47"/>
      <c r="AL510" t="str">
        <v>Marigold Estate</v>
      </c>
    </row>
    <row r="511" spans="1:38">
      <c r="A511" s="374" t="s">
        <v>1152</v>
      </c>
      <c r="B511" s="374">
        <v>2</v>
      </c>
      <c r="C511" s="374" t="s">
        <v>1153</v>
      </c>
      <c r="D511" s="375" t="str">
        <f t="shared" si="107"/>
        <v>Atticus Estate2</v>
      </c>
      <c r="E511" s="375" t="s">
        <v>1163</v>
      </c>
      <c r="F511" s="375" t="s">
        <v>1155</v>
      </c>
      <c r="G511" s="375" t="s">
        <v>1156</v>
      </c>
      <c r="H511" s="375" t="s">
        <v>1157</v>
      </c>
      <c r="I511" s="63" t="s">
        <v>1158</v>
      </c>
      <c r="J511" s="47">
        <f>J$7</f>
        <v>3740</v>
      </c>
      <c r="K511" s="46" t="s">
        <v>10735</v>
      </c>
      <c r="L511" s="47" t="s">
        <v>504</v>
      </c>
      <c r="M511" s="47">
        <f t="shared" si="104"/>
        <v>1430.0000000000002</v>
      </c>
      <c r="N511" s="47" t="s">
        <v>1159</v>
      </c>
      <c r="O511" s="47" t="s">
        <v>1160</v>
      </c>
      <c r="P511" s="47" t="s">
        <v>1161</v>
      </c>
      <c r="Q511" s="47"/>
      <c r="R511" s="47"/>
      <c r="S511" s="47"/>
      <c r="T511" s="47"/>
      <c r="U511" s="47">
        <f>U$2</f>
        <v>430</v>
      </c>
      <c r="V511" s="47" t="s">
        <v>1162</v>
      </c>
      <c r="W511" s="47"/>
      <c r="X511" s="47"/>
      <c r="Y511" s="47"/>
      <c r="Z511" s="47">
        <f t="shared" si="105"/>
        <v>4620</v>
      </c>
      <c r="AA511" s="47">
        <f t="shared" si="108"/>
        <v>1400</v>
      </c>
      <c r="AB511" s="47">
        <f t="shared" si="108"/>
        <v>2800</v>
      </c>
      <c r="AC511" s="47"/>
      <c r="AD511" s="47" t="s">
        <v>1</v>
      </c>
      <c r="AE511" s="47"/>
      <c r="AF511" s="47">
        <f>AF$7</f>
        <v>1485</v>
      </c>
      <c r="AG511" s="47"/>
      <c r="AH511" s="47" t="str">
        <f>IFERROR(_xlfn.XLOOKUP(Table6[[#This Row],[Suburb]],Table5[Travel Surcharge],Table5[$$]),"")</f>
        <v/>
      </c>
      <c r="AI511" s="47"/>
      <c r="AJ511" s="47"/>
      <c r="AL511" t="str">
        <v>Marran Run</v>
      </c>
    </row>
    <row r="512" spans="1:38">
      <c r="A512" s="157" t="s">
        <v>1152</v>
      </c>
      <c r="B512" s="157">
        <v>3</v>
      </c>
      <c r="C512" s="157" t="s">
        <v>8588</v>
      </c>
      <c r="D512" s="157" t="str">
        <f t="shared" si="107"/>
        <v>Atticus Estate3</v>
      </c>
      <c r="E512" s="157" t="s">
        <v>8590</v>
      </c>
      <c r="F512" s="157" t="s">
        <v>1155</v>
      </c>
      <c r="G512" s="157" t="s">
        <v>1156</v>
      </c>
      <c r="H512" s="157" t="s">
        <v>8589</v>
      </c>
      <c r="I512" s="158" t="s">
        <v>1158</v>
      </c>
      <c r="J512" s="47">
        <f>J$7</f>
        <v>3740</v>
      </c>
      <c r="K512" s="46" t="s">
        <v>10735</v>
      </c>
      <c r="L512" s="47" t="s">
        <v>7430</v>
      </c>
      <c r="M512" s="47">
        <f t="shared" si="104"/>
        <v>1430.0000000000002</v>
      </c>
      <c r="N512" s="47" t="s">
        <v>1159</v>
      </c>
      <c r="O512" s="47" t="s">
        <v>1160</v>
      </c>
      <c r="P512" s="47" t="s">
        <v>1161</v>
      </c>
      <c r="Q512" s="47"/>
      <c r="R512" s="47"/>
      <c r="S512" s="47"/>
      <c r="T512" s="47"/>
      <c r="U512" s="47">
        <f>U$2</f>
        <v>430</v>
      </c>
      <c r="V512" s="47" t="s">
        <v>1162</v>
      </c>
      <c r="W512" s="47"/>
      <c r="X512" s="47"/>
      <c r="Y512" s="47"/>
      <c r="Z512" s="47">
        <f t="shared" si="105"/>
        <v>4620</v>
      </c>
      <c r="AA512" s="47">
        <f t="shared" si="108"/>
        <v>1400</v>
      </c>
      <c r="AB512" s="47">
        <f t="shared" si="108"/>
        <v>2800</v>
      </c>
      <c r="AC512" s="47"/>
      <c r="AD512" s="47" t="s">
        <v>1</v>
      </c>
      <c r="AE512" s="47"/>
      <c r="AF512" s="47">
        <f>AF$7</f>
        <v>1485</v>
      </c>
      <c r="AG512" s="47"/>
      <c r="AH512" s="47" t="str">
        <f>IFERROR(_xlfn.XLOOKUP(Table6[[#This Row],[Suburb]],Table5[Travel Surcharge],Table5[$$]),"")</f>
        <v/>
      </c>
      <c r="AI512" s="47"/>
      <c r="AJ512" s="47"/>
      <c r="AL512" t="str">
        <v>Marriot Waters</v>
      </c>
    </row>
    <row r="513" spans="1:38">
      <c r="A513" s="374" t="s">
        <v>1152</v>
      </c>
      <c r="B513" s="374">
        <v>4</v>
      </c>
      <c r="C513" s="374" t="s">
        <v>8588</v>
      </c>
      <c r="D513" s="375" t="str">
        <f t="shared" si="107"/>
        <v>Atticus Estate4</v>
      </c>
      <c r="E513" s="375" t="s">
        <v>8762</v>
      </c>
      <c r="F513" s="375" t="s">
        <v>1155</v>
      </c>
      <c r="G513" s="375" t="s">
        <v>1156</v>
      </c>
      <c r="H513" s="375" t="s">
        <v>8589</v>
      </c>
      <c r="I513" s="63" t="s">
        <v>1158</v>
      </c>
      <c r="J513" s="47">
        <v>3740</v>
      </c>
      <c r="K513" s="46" t="s">
        <v>10735</v>
      </c>
      <c r="L513" s="47" t="s">
        <v>7430</v>
      </c>
      <c r="M513" s="47">
        <v>1430.0000000000002</v>
      </c>
      <c r="N513" s="47" t="s">
        <v>1159</v>
      </c>
      <c r="O513" s="47" t="s">
        <v>1160</v>
      </c>
      <c r="P513" s="47" t="s">
        <v>1161</v>
      </c>
      <c r="Q513" s="47"/>
      <c r="R513" s="47"/>
      <c r="S513" s="47"/>
      <c r="T513" s="47"/>
      <c r="U513" s="47">
        <v>540</v>
      </c>
      <c r="V513" s="47" t="s">
        <v>1162</v>
      </c>
      <c r="W513" s="47"/>
      <c r="X513" s="47"/>
      <c r="Y513" s="47"/>
      <c r="Z513" s="47">
        <v>4620</v>
      </c>
      <c r="AA513" s="47">
        <v>1400</v>
      </c>
      <c r="AB513" s="47">
        <v>2800</v>
      </c>
      <c r="AC513" s="47"/>
      <c r="AD513" s="47" t="s">
        <v>1</v>
      </c>
      <c r="AE513" s="47"/>
      <c r="AF513" s="47">
        <v>1650.0000000000002</v>
      </c>
      <c r="AG513" s="47"/>
      <c r="AH513" s="47" t="str">
        <f>IFERROR(_xlfn.XLOOKUP(Table6[[#This Row],[Suburb]],Table5[Travel Surcharge],Table5[$$]),"")</f>
        <v/>
      </c>
      <c r="AI513" s="47"/>
      <c r="AJ513" s="47"/>
      <c r="AL513" t="str">
        <v>Marshal Place</v>
      </c>
    </row>
    <row r="514" spans="1:38">
      <c r="A514" s="374" t="s">
        <v>1152</v>
      </c>
      <c r="B514" s="374">
        <v>7</v>
      </c>
      <c r="C514" s="374" t="s">
        <v>1153</v>
      </c>
      <c r="D514" s="375" t="str">
        <f t="shared" si="107"/>
        <v>Atticus Estate7</v>
      </c>
      <c r="E514" s="375" t="s">
        <v>1166</v>
      </c>
      <c r="F514" s="375" t="s">
        <v>1155</v>
      </c>
      <c r="G514" s="375" t="s">
        <v>1156</v>
      </c>
      <c r="H514" s="375" t="s">
        <v>1157</v>
      </c>
      <c r="I514" s="63" t="s">
        <v>1158</v>
      </c>
      <c r="J514" s="47">
        <f>J$7</f>
        <v>3740</v>
      </c>
      <c r="K514" s="46" t="s">
        <v>10735</v>
      </c>
      <c r="L514" s="47" t="s">
        <v>504</v>
      </c>
      <c r="M514" s="47">
        <f t="shared" ref="M514:M527" si="109">M$7</f>
        <v>1430.0000000000002</v>
      </c>
      <c r="N514" s="47" t="s">
        <v>1159</v>
      </c>
      <c r="O514" s="47" t="s">
        <v>1160</v>
      </c>
      <c r="P514" s="47" t="s">
        <v>1161</v>
      </c>
      <c r="Q514" s="47"/>
      <c r="R514" s="47"/>
      <c r="S514" s="47"/>
      <c r="T514" s="47"/>
      <c r="U514" s="47">
        <f t="shared" ref="U514:U527" si="110">U$2</f>
        <v>430</v>
      </c>
      <c r="V514" s="47" t="s">
        <v>1162</v>
      </c>
      <c r="W514" s="47"/>
      <c r="X514" s="47"/>
      <c r="Y514" s="47"/>
      <c r="Z514" s="47">
        <f t="shared" ref="Z514:AB516" si="111">Z$7</f>
        <v>4620</v>
      </c>
      <c r="AA514" s="47">
        <f t="shared" si="111"/>
        <v>1400</v>
      </c>
      <c r="AB514" s="47">
        <f t="shared" si="111"/>
        <v>2800</v>
      </c>
      <c r="AC514" s="47"/>
      <c r="AD514" s="47" t="s">
        <v>1</v>
      </c>
      <c r="AE514" s="47"/>
      <c r="AF514" s="47">
        <f>AF$7</f>
        <v>1485</v>
      </c>
      <c r="AG514" s="47"/>
      <c r="AH514" s="47" t="str">
        <f>IFERROR(_xlfn.XLOOKUP(Table6[[#This Row],[Suburb]],Table5[Travel Surcharge],Table5[$$]),"")</f>
        <v/>
      </c>
      <c r="AI514" s="47"/>
      <c r="AJ514" s="47"/>
      <c r="AL514" t="str">
        <v>Martin Place Estate</v>
      </c>
    </row>
    <row r="515" spans="1:38">
      <c r="A515" s="374" t="s">
        <v>1152</v>
      </c>
      <c r="B515" s="374" t="s">
        <v>617</v>
      </c>
      <c r="C515" s="374" t="s">
        <v>1153</v>
      </c>
      <c r="D515" s="375" t="str">
        <f t="shared" si="107"/>
        <v>Atticus Estate5A</v>
      </c>
      <c r="E515" s="375" t="s">
        <v>1164</v>
      </c>
      <c r="F515" s="375" t="s">
        <v>1155</v>
      </c>
      <c r="G515" s="375" t="s">
        <v>1156</v>
      </c>
      <c r="H515" s="375" t="s">
        <v>1157</v>
      </c>
      <c r="I515" s="63" t="s">
        <v>1158</v>
      </c>
      <c r="J515" s="47">
        <f>J$7</f>
        <v>3740</v>
      </c>
      <c r="K515" s="46" t="s">
        <v>10735</v>
      </c>
      <c r="L515" s="47" t="s">
        <v>504</v>
      </c>
      <c r="M515" s="47">
        <f t="shared" si="109"/>
        <v>1430.0000000000002</v>
      </c>
      <c r="N515" s="47" t="s">
        <v>1159</v>
      </c>
      <c r="O515" s="47" t="s">
        <v>1160</v>
      </c>
      <c r="P515" s="47" t="s">
        <v>1161</v>
      </c>
      <c r="Q515" s="47"/>
      <c r="R515" s="47"/>
      <c r="S515" s="47"/>
      <c r="T515" s="47"/>
      <c r="U515" s="47">
        <f t="shared" si="110"/>
        <v>430</v>
      </c>
      <c r="V515" s="47" t="s">
        <v>1162</v>
      </c>
      <c r="W515" s="47"/>
      <c r="X515" s="47"/>
      <c r="Y515" s="47"/>
      <c r="Z515" s="47">
        <f t="shared" si="111"/>
        <v>4620</v>
      </c>
      <c r="AA515" s="47">
        <f t="shared" si="111"/>
        <v>1400</v>
      </c>
      <c r="AB515" s="47">
        <f t="shared" si="111"/>
        <v>2800</v>
      </c>
      <c r="AC515" s="47"/>
      <c r="AD515" s="47" t="s">
        <v>1</v>
      </c>
      <c r="AE515" s="47"/>
      <c r="AF515" s="47">
        <f>AF$7</f>
        <v>1485</v>
      </c>
      <c r="AG515" s="47"/>
      <c r="AH515" s="47" t="str">
        <f>IFERROR(_xlfn.XLOOKUP(Table6[[#This Row],[Suburb]],Table5[Travel Surcharge],Table5[$$]),"")</f>
        <v/>
      </c>
      <c r="AI515" s="47"/>
      <c r="AJ515" s="47"/>
      <c r="AL515" t="str">
        <v>Masall Estate</v>
      </c>
    </row>
    <row r="516" spans="1:38">
      <c r="A516" s="374" t="s">
        <v>1152</v>
      </c>
      <c r="B516" s="374" t="s">
        <v>626</v>
      </c>
      <c r="C516" s="374" t="s">
        <v>1153</v>
      </c>
      <c r="D516" s="375" t="str">
        <f t="shared" si="107"/>
        <v>Atticus Estate6C</v>
      </c>
      <c r="E516" s="375" t="s">
        <v>1165</v>
      </c>
      <c r="F516" s="375" t="s">
        <v>1155</v>
      </c>
      <c r="G516" s="375" t="s">
        <v>1156</v>
      </c>
      <c r="H516" s="375" t="s">
        <v>1157</v>
      </c>
      <c r="I516" s="63" t="s">
        <v>1158</v>
      </c>
      <c r="J516" s="47">
        <f>J$7</f>
        <v>3740</v>
      </c>
      <c r="K516" s="46" t="s">
        <v>10735</v>
      </c>
      <c r="L516" s="47" t="s">
        <v>504</v>
      </c>
      <c r="M516" s="47">
        <f t="shared" si="109"/>
        <v>1430.0000000000002</v>
      </c>
      <c r="N516" s="47" t="s">
        <v>1159</v>
      </c>
      <c r="O516" s="47" t="s">
        <v>1160</v>
      </c>
      <c r="P516" s="47" t="s">
        <v>1161</v>
      </c>
      <c r="Q516" s="47"/>
      <c r="R516" s="47"/>
      <c r="S516" s="47"/>
      <c r="T516" s="47"/>
      <c r="U516" s="47">
        <f t="shared" si="110"/>
        <v>430</v>
      </c>
      <c r="V516" s="47" t="s">
        <v>1162</v>
      </c>
      <c r="W516" s="47"/>
      <c r="X516" s="47"/>
      <c r="Y516" s="47"/>
      <c r="Z516" s="47">
        <f t="shared" si="111"/>
        <v>4620</v>
      </c>
      <c r="AA516" s="47">
        <f t="shared" si="111"/>
        <v>1400</v>
      </c>
      <c r="AB516" s="47">
        <f t="shared" si="111"/>
        <v>2800</v>
      </c>
      <c r="AC516" s="47"/>
      <c r="AD516" s="47" t="s">
        <v>1</v>
      </c>
      <c r="AE516" s="47"/>
      <c r="AF516" s="47">
        <f>AF$7</f>
        <v>1485</v>
      </c>
      <c r="AG516" s="47"/>
      <c r="AH516" s="47" t="str">
        <f>IFERROR(_xlfn.XLOOKUP(Table6[[#This Row],[Suburb]],Table5[Travel Surcharge],Table5[$$]),"")</f>
        <v/>
      </c>
      <c r="AI516" s="47"/>
      <c r="AJ516" s="47"/>
      <c r="AL516" t="str">
        <v>Mason Quarter Estate</v>
      </c>
    </row>
    <row r="517" spans="1:38">
      <c r="A517" s="374" t="s">
        <v>1167</v>
      </c>
      <c r="B517" s="374">
        <v>3</v>
      </c>
      <c r="C517" s="374" t="s">
        <v>862</v>
      </c>
      <c r="D517" s="375" t="str">
        <f t="shared" si="107"/>
        <v>Attwell Estate3</v>
      </c>
      <c r="E517" s="375" t="s">
        <v>1168</v>
      </c>
      <c r="F517" s="375"/>
      <c r="G517" s="375"/>
      <c r="H517" s="375"/>
      <c r="I517" s="63"/>
      <c r="J517" s="47"/>
      <c r="K517" s="46" t="s">
        <v>10735</v>
      </c>
      <c r="L517" s="47" t="s">
        <v>807</v>
      </c>
      <c r="M517" s="47">
        <f t="shared" si="109"/>
        <v>1430.0000000000002</v>
      </c>
      <c r="N517" s="47" t="s">
        <v>1169</v>
      </c>
      <c r="O517" s="47" t="s">
        <v>1170</v>
      </c>
      <c r="P517" s="47"/>
      <c r="Q517" s="47"/>
      <c r="R517" s="47"/>
      <c r="S517" s="47"/>
      <c r="T517" s="47"/>
      <c r="U517" s="47">
        <f t="shared" si="110"/>
        <v>430</v>
      </c>
      <c r="V517" s="47"/>
      <c r="W517" s="47"/>
      <c r="X517" s="47"/>
      <c r="Y517" s="47"/>
      <c r="Z517" s="47">
        <f t="shared" ref="Z517:Z563" si="112">Z$7</f>
        <v>4620</v>
      </c>
      <c r="AA517" s="47">
        <v>1400</v>
      </c>
      <c r="AB517" s="47" t="s">
        <v>1171</v>
      </c>
      <c r="AC517" s="47"/>
      <c r="AD517" s="47"/>
      <c r="AE517" s="47"/>
      <c r="AF517" s="47">
        <v>1650.0000000000002</v>
      </c>
      <c r="AG517" s="47"/>
      <c r="AH517" s="47" t="str">
        <f>IFERROR(_xlfn.XLOOKUP(Table6[[#This Row],[Suburb]],Table5[Travel Surcharge],Table5[$$]),"")</f>
        <v/>
      </c>
      <c r="AI517" s="47"/>
      <c r="AJ517" s="47"/>
      <c r="AL517" t="str">
        <v>Matilda</v>
      </c>
    </row>
    <row r="518" spans="1:38">
      <c r="A518" s="374" t="s">
        <v>1167</v>
      </c>
      <c r="B518" s="374">
        <v>4</v>
      </c>
      <c r="C518" s="374" t="s">
        <v>862</v>
      </c>
      <c r="D518" s="375" t="str">
        <f t="shared" si="107"/>
        <v>Attwell Estate4</v>
      </c>
      <c r="E518" s="375" t="s">
        <v>1172</v>
      </c>
      <c r="F518" s="375"/>
      <c r="G518" s="375"/>
      <c r="H518" s="375"/>
      <c r="I518" s="63"/>
      <c r="J518" s="47"/>
      <c r="K518" s="46" t="s">
        <v>10735</v>
      </c>
      <c r="L518" s="47" t="s">
        <v>807</v>
      </c>
      <c r="M518" s="47">
        <f t="shared" si="109"/>
        <v>1430.0000000000002</v>
      </c>
      <c r="N518" s="47" t="s">
        <v>1169</v>
      </c>
      <c r="O518" s="47" t="s">
        <v>1170</v>
      </c>
      <c r="P518" s="47"/>
      <c r="Q518" s="47"/>
      <c r="R518" s="47"/>
      <c r="S518" s="47"/>
      <c r="T518" s="47"/>
      <c r="U518" s="47">
        <f t="shared" si="110"/>
        <v>430</v>
      </c>
      <c r="V518" s="47"/>
      <c r="W518" s="47"/>
      <c r="X518" s="47"/>
      <c r="Y518" s="47"/>
      <c r="Z518" s="47">
        <f t="shared" si="112"/>
        <v>4620</v>
      </c>
      <c r="AA518" s="47">
        <v>1400</v>
      </c>
      <c r="AB518" s="47" t="s">
        <v>1171</v>
      </c>
      <c r="AC518" s="47"/>
      <c r="AD518" s="47"/>
      <c r="AE518" s="47"/>
      <c r="AF518" s="47">
        <v>1650.0000000000002</v>
      </c>
      <c r="AG518" s="47"/>
      <c r="AH518" s="47" t="str">
        <f>IFERROR(_xlfn.XLOOKUP(Table6[[#This Row],[Suburb]],Table5[Travel Surcharge],Table5[$$]),"")</f>
        <v/>
      </c>
      <c r="AI518" s="47"/>
      <c r="AJ518" s="47"/>
      <c r="AL518" t="str">
        <v>Mattana</v>
      </c>
    </row>
    <row r="519" spans="1:38">
      <c r="A519" s="374" t="s">
        <v>1167</v>
      </c>
      <c r="B519" s="374">
        <v>5</v>
      </c>
      <c r="C519" s="374" t="s">
        <v>862</v>
      </c>
      <c r="D519" s="375" t="str">
        <f t="shared" si="107"/>
        <v>Attwell Estate5</v>
      </c>
      <c r="E519" s="375" t="s">
        <v>1173</v>
      </c>
      <c r="F519" s="375"/>
      <c r="G519" s="375"/>
      <c r="H519" s="375"/>
      <c r="I519" s="63"/>
      <c r="J519" s="47"/>
      <c r="K519" s="46" t="s">
        <v>10735</v>
      </c>
      <c r="L519" s="47" t="s">
        <v>807</v>
      </c>
      <c r="M519" s="47">
        <f t="shared" si="109"/>
        <v>1430.0000000000002</v>
      </c>
      <c r="N519" s="47" t="s">
        <v>1169</v>
      </c>
      <c r="O519" s="47" t="s">
        <v>1170</v>
      </c>
      <c r="P519" s="47"/>
      <c r="Q519" s="47"/>
      <c r="R519" s="47"/>
      <c r="S519" s="47"/>
      <c r="T519" s="47"/>
      <c r="U519" s="47">
        <f t="shared" si="110"/>
        <v>430</v>
      </c>
      <c r="V519" s="47"/>
      <c r="W519" s="47"/>
      <c r="X519" s="47"/>
      <c r="Y519" s="47"/>
      <c r="Z519" s="47">
        <f t="shared" si="112"/>
        <v>4620</v>
      </c>
      <c r="AA519" s="47">
        <v>1400</v>
      </c>
      <c r="AB519" s="47" t="s">
        <v>1171</v>
      </c>
      <c r="AC519" s="47"/>
      <c r="AD519" s="47"/>
      <c r="AE519" s="47"/>
      <c r="AF519" s="47">
        <v>1650.0000000000002</v>
      </c>
      <c r="AG519" s="47"/>
      <c r="AH519" s="47" t="str">
        <f>IFERROR(_xlfn.XLOOKUP(Table6[[#This Row],[Suburb]],Table5[Travel Surcharge],Table5[$$]),"")</f>
        <v/>
      </c>
      <c r="AI519" s="47"/>
      <c r="AJ519" s="47"/>
      <c r="AL519" t="str">
        <v>Mayfair Park</v>
      </c>
    </row>
    <row r="520" spans="1:38">
      <c r="A520" s="374" t="s">
        <v>1167</v>
      </c>
      <c r="B520" s="374">
        <v>6</v>
      </c>
      <c r="C520" s="374" t="s">
        <v>862</v>
      </c>
      <c r="D520" s="375" t="str">
        <f t="shared" si="107"/>
        <v>Attwell Estate6</v>
      </c>
      <c r="E520" s="375" t="s">
        <v>1174</v>
      </c>
      <c r="F520" s="375"/>
      <c r="G520" s="375"/>
      <c r="H520" s="375"/>
      <c r="I520" s="63"/>
      <c r="J520" s="47"/>
      <c r="K520" s="46" t="s">
        <v>10735</v>
      </c>
      <c r="L520" s="47" t="s">
        <v>807</v>
      </c>
      <c r="M520" s="47">
        <f t="shared" si="109"/>
        <v>1430.0000000000002</v>
      </c>
      <c r="N520" s="47" t="s">
        <v>1169</v>
      </c>
      <c r="O520" s="47" t="s">
        <v>1170</v>
      </c>
      <c r="P520" s="47"/>
      <c r="Q520" s="47"/>
      <c r="R520" s="47"/>
      <c r="S520" s="47"/>
      <c r="T520" s="47"/>
      <c r="U520" s="47">
        <f t="shared" si="110"/>
        <v>430</v>
      </c>
      <c r="V520" s="47"/>
      <c r="W520" s="47"/>
      <c r="X520" s="47"/>
      <c r="Y520" s="47"/>
      <c r="Z520" s="47">
        <f t="shared" si="112"/>
        <v>4620</v>
      </c>
      <c r="AA520" s="47">
        <v>1400</v>
      </c>
      <c r="AB520" s="47" t="s">
        <v>1171</v>
      </c>
      <c r="AC520" s="47"/>
      <c r="AD520" s="47"/>
      <c r="AE520" s="47"/>
      <c r="AF520" s="47">
        <v>1650.0000000000002</v>
      </c>
      <c r="AG520" s="47"/>
      <c r="AH520" s="47" t="str">
        <f>IFERROR(_xlfn.XLOOKUP(Table6[[#This Row],[Suburb]],Table5[Travel Surcharge],Table5[$$]),"")</f>
        <v/>
      </c>
      <c r="AI520" s="47"/>
      <c r="AJ520" s="47"/>
      <c r="AL520" t="str">
        <v>Mayfield</v>
      </c>
    </row>
    <row r="521" spans="1:38">
      <c r="A521" s="374" t="s">
        <v>1167</v>
      </c>
      <c r="B521" s="374">
        <v>7</v>
      </c>
      <c r="C521" s="374" t="s">
        <v>862</v>
      </c>
      <c r="D521" s="375" t="str">
        <f t="shared" si="107"/>
        <v>Attwell Estate7</v>
      </c>
      <c r="E521" s="375" t="s">
        <v>1176</v>
      </c>
      <c r="F521" s="375"/>
      <c r="G521" s="375"/>
      <c r="H521" s="375"/>
      <c r="I521" s="63"/>
      <c r="J521" s="47"/>
      <c r="K521" s="46" t="s">
        <v>10735</v>
      </c>
      <c r="L521" s="47" t="s">
        <v>807</v>
      </c>
      <c r="M521" s="47">
        <f t="shared" si="109"/>
        <v>1430.0000000000002</v>
      </c>
      <c r="N521" s="47" t="s">
        <v>1169</v>
      </c>
      <c r="O521" s="47" t="s">
        <v>1170</v>
      </c>
      <c r="P521" s="47"/>
      <c r="Q521" s="47"/>
      <c r="R521" s="47"/>
      <c r="S521" s="47"/>
      <c r="T521" s="47"/>
      <c r="U521" s="47">
        <f t="shared" si="110"/>
        <v>430</v>
      </c>
      <c r="V521" s="47"/>
      <c r="W521" s="47"/>
      <c r="X521" s="47"/>
      <c r="Y521" s="47"/>
      <c r="Z521" s="47">
        <f t="shared" si="112"/>
        <v>4620</v>
      </c>
      <c r="AA521" s="47">
        <v>1400</v>
      </c>
      <c r="AB521" s="47" t="s">
        <v>1171</v>
      </c>
      <c r="AC521" s="47"/>
      <c r="AD521" s="47"/>
      <c r="AE521" s="47"/>
      <c r="AF521" s="47">
        <v>1650.0000000000002</v>
      </c>
      <c r="AG521" s="47"/>
      <c r="AH521" s="47" t="str">
        <f>IFERROR(_xlfn.XLOOKUP(Table6[[#This Row],[Suburb]],Table5[Travel Surcharge],Table5[$$]),"")</f>
        <v/>
      </c>
      <c r="AI521" s="47"/>
      <c r="AJ521" s="47"/>
      <c r="AL521" t="str">
        <v>Mayfield Estate</v>
      </c>
    </row>
    <row r="522" spans="1:38">
      <c r="A522" s="374" t="s">
        <v>1167</v>
      </c>
      <c r="B522" s="374">
        <v>8</v>
      </c>
      <c r="C522" s="374" t="s">
        <v>862</v>
      </c>
      <c r="D522" s="375" t="str">
        <f t="shared" si="107"/>
        <v>Attwell Estate8</v>
      </c>
      <c r="E522" s="375" t="s">
        <v>1177</v>
      </c>
      <c r="F522" s="375"/>
      <c r="G522" s="375"/>
      <c r="H522" s="375"/>
      <c r="I522" s="63"/>
      <c r="J522" s="47"/>
      <c r="K522" s="46" t="s">
        <v>10735</v>
      </c>
      <c r="L522" s="47" t="s">
        <v>807</v>
      </c>
      <c r="M522" s="47">
        <f t="shared" si="109"/>
        <v>1430.0000000000002</v>
      </c>
      <c r="N522" s="47" t="s">
        <v>1169</v>
      </c>
      <c r="O522" s="47" t="s">
        <v>1170</v>
      </c>
      <c r="P522" s="47"/>
      <c r="Q522" s="47"/>
      <c r="R522" s="47"/>
      <c r="S522" s="47"/>
      <c r="T522" s="47"/>
      <c r="U522" s="47">
        <f t="shared" si="110"/>
        <v>430</v>
      </c>
      <c r="V522" s="47"/>
      <c r="W522" s="47"/>
      <c r="X522" s="47"/>
      <c r="Y522" s="47"/>
      <c r="Z522" s="47">
        <f t="shared" si="112"/>
        <v>4620</v>
      </c>
      <c r="AA522" s="47">
        <v>1400</v>
      </c>
      <c r="AB522" s="47" t="s">
        <v>1171</v>
      </c>
      <c r="AC522" s="47"/>
      <c r="AD522" s="47"/>
      <c r="AE522" s="47"/>
      <c r="AF522" s="47">
        <v>1650.0000000000002</v>
      </c>
      <c r="AG522" s="47"/>
      <c r="AH522" s="47" t="str">
        <f>IFERROR(_xlfn.XLOOKUP(Table6[[#This Row],[Suburb]],Table5[Travel Surcharge],Table5[$$]),"")</f>
        <v/>
      </c>
      <c r="AI522" s="47"/>
      <c r="AJ522" s="47"/>
      <c r="AL522" t="str">
        <v>Melrose Terrace</v>
      </c>
    </row>
    <row r="523" spans="1:38">
      <c r="A523" s="374" t="s">
        <v>1167</v>
      </c>
      <c r="B523" s="374">
        <v>9</v>
      </c>
      <c r="C523" s="374" t="s">
        <v>862</v>
      </c>
      <c r="D523" s="375" t="str">
        <f t="shared" si="107"/>
        <v>Attwell Estate9</v>
      </c>
      <c r="E523" s="375" t="s">
        <v>1178</v>
      </c>
      <c r="F523" s="375"/>
      <c r="G523" s="375"/>
      <c r="H523" s="375"/>
      <c r="I523" s="63"/>
      <c r="J523" s="47"/>
      <c r="K523" s="46" t="s">
        <v>10735</v>
      </c>
      <c r="L523" s="47" t="s">
        <v>807</v>
      </c>
      <c r="M523" s="47">
        <f t="shared" si="109"/>
        <v>1430.0000000000002</v>
      </c>
      <c r="N523" s="47" t="s">
        <v>1169</v>
      </c>
      <c r="O523" s="47" t="s">
        <v>1170</v>
      </c>
      <c r="P523" s="47"/>
      <c r="Q523" s="47"/>
      <c r="R523" s="47"/>
      <c r="S523" s="47"/>
      <c r="T523" s="47"/>
      <c r="U523" s="47">
        <f t="shared" si="110"/>
        <v>430</v>
      </c>
      <c r="V523" s="47"/>
      <c r="W523" s="47"/>
      <c r="X523" s="47"/>
      <c r="Y523" s="47"/>
      <c r="Z523" s="47">
        <f t="shared" si="112"/>
        <v>4620</v>
      </c>
      <c r="AA523" s="47">
        <v>1400</v>
      </c>
      <c r="AB523" s="47" t="s">
        <v>1171</v>
      </c>
      <c r="AC523" s="47"/>
      <c r="AD523" s="47"/>
      <c r="AE523" s="47"/>
      <c r="AF523" s="47">
        <v>1650.0000000000002</v>
      </c>
      <c r="AG523" s="47"/>
      <c r="AH523" s="47" t="str">
        <f>IFERROR(_xlfn.XLOOKUP(Table6[[#This Row],[Suburb]],Table5[Travel Surcharge],Table5[$$]),"")</f>
        <v/>
      </c>
      <c r="AI523" s="47"/>
      <c r="AJ523" s="47"/>
      <c r="AL523" t="str">
        <v>Meridian Estate</v>
      </c>
    </row>
    <row r="524" spans="1:38">
      <c r="A524" s="374" t="s">
        <v>1167</v>
      </c>
      <c r="B524" s="374">
        <v>10</v>
      </c>
      <c r="C524" s="374" t="s">
        <v>862</v>
      </c>
      <c r="D524" s="375" t="str">
        <f t="shared" si="107"/>
        <v>Attwell Estate10</v>
      </c>
      <c r="E524" s="375" t="s">
        <v>1179</v>
      </c>
      <c r="F524" s="375"/>
      <c r="G524" s="375"/>
      <c r="H524" s="375"/>
      <c r="I524" s="63"/>
      <c r="J524" s="47"/>
      <c r="K524" s="46" t="s">
        <v>10735</v>
      </c>
      <c r="L524" s="47" t="s">
        <v>807</v>
      </c>
      <c r="M524" s="47">
        <f t="shared" si="109"/>
        <v>1430.0000000000002</v>
      </c>
      <c r="N524" s="47" t="s">
        <v>1169</v>
      </c>
      <c r="O524" s="47" t="s">
        <v>1170</v>
      </c>
      <c r="P524" s="47"/>
      <c r="Q524" s="47"/>
      <c r="R524" s="47"/>
      <c r="S524" s="47"/>
      <c r="T524" s="47"/>
      <c r="U524" s="47">
        <f t="shared" si="110"/>
        <v>430</v>
      </c>
      <c r="V524" s="47"/>
      <c r="W524" s="47"/>
      <c r="X524" s="47"/>
      <c r="Y524" s="47"/>
      <c r="Z524" s="47">
        <f t="shared" si="112"/>
        <v>4620</v>
      </c>
      <c r="AA524" s="47">
        <v>1400</v>
      </c>
      <c r="AB524" s="47" t="s">
        <v>1171</v>
      </c>
      <c r="AC524" s="47"/>
      <c r="AD524" s="47"/>
      <c r="AE524" s="47"/>
      <c r="AF524" s="47">
        <v>1650.0000000000002</v>
      </c>
      <c r="AG524" s="47"/>
      <c r="AH524" s="47" t="str">
        <f>IFERROR(_xlfn.XLOOKUP(Table6[[#This Row],[Suburb]],Table5[Travel Surcharge],Table5[$$]),"")</f>
        <v/>
      </c>
      <c r="AI524" s="47"/>
      <c r="AJ524" s="47"/>
      <c r="AL524" t="str">
        <v>Merindah Estate</v>
      </c>
    </row>
    <row r="525" spans="1:38">
      <c r="A525" s="374" t="s">
        <v>1167</v>
      </c>
      <c r="B525" s="374">
        <v>11</v>
      </c>
      <c r="C525" s="374" t="s">
        <v>862</v>
      </c>
      <c r="D525" s="375" t="str">
        <f t="shared" si="107"/>
        <v>Attwell Estate11</v>
      </c>
      <c r="E525" s="375" t="s">
        <v>1180</v>
      </c>
      <c r="F525" s="375"/>
      <c r="G525" s="375"/>
      <c r="H525" s="375"/>
      <c r="I525" s="63"/>
      <c r="J525" s="47"/>
      <c r="K525" s="46" t="s">
        <v>10735</v>
      </c>
      <c r="L525" s="47" t="s">
        <v>807</v>
      </c>
      <c r="M525" s="47">
        <f t="shared" si="109"/>
        <v>1430.0000000000002</v>
      </c>
      <c r="N525" s="47" t="s">
        <v>1169</v>
      </c>
      <c r="O525" s="47" t="s">
        <v>1170</v>
      </c>
      <c r="P525" s="47"/>
      <c r="Q525" s="47"/>
      <c r="R525" s="47"/>
      <c r="S525" s="47"/>
      <c r="T525" s="47"/>
      <c r="U525" s="47">
        <f t="shared" si="110"/>
        <v>430</v>
      </c>
      <c r="V525" s="47"/>
      <c r="W525" s="47"/>
      <c r="X525" s="47"/>
      <c r="Y525" s="47"/>
      <c r="Z525" s="47">
        <f t="shared" si="112"/>
        <v>4620</v>
      </c>
      <c r="AA525" s="47">
        <v>1400</v>
      </c>
      <c r="AB525" s="47" t="s">
        <v>1171</v>
      </c>
      <c r="AC525" s="47"/>
      <c r="AD525" s="47"/>
      <c r="AE525" s="47"/>
      <c r="AF525" s="47">
        <v>1650.0000000000002</v>
      </c>
      <c r="AG525" s="47"/>
      <c r="AH525" s="47" t="str">
        <f>IFERROR(_xlfn.XLOOKUP(Table6[[#This Row],[Suburb]],Table5[Travel Surcharge],Table5[$$]),"")</f>
        <v/>
      </c>
      <c r="AI525" s="47"/>
      <c r="AJ525" s="47"/>
      <c r="AL525" t="str">
        <v>Mernda On The Park Estate</v>
      </c>
    </row>
    <row r="526" spans="1:38">
      <c r="A526" s="157" t="s">
        <v>1167</v>
      </c>
      <c r="B526" s="157">
        <v>12</v>
      </c>
      <c r="C526" s="157" t="s">
        <v>862</v>
      </c>
      <c r="D526" s="157" t="str">
        <f t="shared" si="107"/>
        <v>Attwell Estate12</v>
      </c>
      <c r="E526" s="157" t="s">
        <v>7965</v>
      </c>
      <c r="F526" s="157"/>
      <c r="G526" s="157"/>
      <c r="H526" s="157"/>
      <c r="I526" s="158"/>
      <c r="J526" s="47"/>
      <c r="K526" s="46" t="s">
        <v>10735</v>
      </c>
      <c r="L526" s="47" t="s">
        <v>807</v>
      </c>
      <c r="M526" s="47">
        <f t="shared" si="109"/>
        <v>1430.0000000000002</v>
      </c>
      <c r="N526" s="47" t="s">
        <v>1169</v>
      </c>
      <c r="O526" s="47" t="s">
        <v>1170</v>
      </c>
      <c r="P526" s="47"/>
      <c r="Q526" s="47"/>
      <c r="R526" s="47"/>
      <c r="S526" s="47"/>
      <c r="T526" s="47"/>
      <c r="U526" s="47">
        <f t="shared" si="110"/>
        <v>430</v>
      </c>
      <c r="V526" s="47"/>
      <c r="W526" s="47"/>
      <c r="X526" s="47"/>
      <c r="Y526" s="47"/>
      <c r="Z526" s="47">
        <f t="shared" si="112"/>
        <v>4620</v>
      </c>
      <c r="AA526" s="47">
        <v>1400</v>
      </c>
      <c r="AB526" s="47" t="s">
        <v>1171</v>
      </c>
      <c r="AC526" s="47"/>
      <c r="AD526" s="47"/>
      <c r="AE526" s="47"/>
      <c r="AF526" s="47">
        <v>1650.0000000000002</v>
      </c>
      <c r="AG526" s="47"/>
      <c r="AH526" s="47" t="str">
        <f>IFERROR(_xlfn.XLOOKUP(Table6[[#This Row],[Suburb]],Table5[Travel Surcharge],Table5[$$]),"")</f>
        <v/>
      </c>
      <c r="AI526" s="47"/>
      <c r="AJ526" s="47"/>
      <c r="AL526" t="str">
        <v>Mernda Villages Estate</v>
      </c>
    </row>
    <row r="527" spans="1:38">
      <c r="A527" s="374" t="s">
        <v>1167</v>
      </c>
      <c r="B527" s="374" t="s">
        <v>624</v>
      </c>
      <c r="C527" s="374" t="s">
        <v>862</v>
      </c>
      <c r="D527" s="375" t="str">
        <f t="shared" si="107"/>
        <v>Attwell Estate6B</v>
      </c>
      <c r="E527" s="375" t="s">
        <v>1175</v>
      </c>
      <c r="F527" s="375"/>
      <c r="G527" s="375"/>
      <c r="H527" s="375"/>
      <c r="I527" s="63"/>
      <c r="J527" s="47"/>
      <c r="K527" s="46" t="s">
        <v>10735</v>
      </c>
      <c r="L527" s="47" t="s">
        <v>807</v>
      </c>
      <c r="M527" s="47">
        <f t="shared" si="109"/>
        <v>1430.0000000000002</v>
      </c>
      <c r="N527" s="47" t="s">
        <v>1169</v>
      </c>
      <c r="O527" s="47" t="s">
        <v>1170</v>
      </c>
      <c r="P527" s="47"/>
      <c r="Q527" s="47"/>
      <c r="R527" s="47"/>
      <c r="S527" s="47"/>
      <c r="T527" s="47"/>
      <c r="U527" s="47">
        <f t="shared" si="110"/>
        <v>430</v>
      </c>
      <c r="V527" s="47"/>
      <c r="W527" s="47"/>
      <c r="X527" s="47"/>
      <c r="Y527" s="47"/>
      <c r="Z527" s="47">
        <f t="shared" si="112"/>
        <v>4620</v>
      </c>
      <c r="AA527" s="47">
        <v>1400</v>
      </c>
      <c r="AB527" s="47" t="s">
        <v>1171</v>
      </c>
      <c r="AC527" s="47"/>
      <c r="AD527" s="47"/>
      <c r="AE527" s="47"/>
      <c r="AF527" s="47">
        <v>1650.0000000000002</v>
      </c>
      <c r="AG527" s="47"/>
      <c r="AH527" s="47" t="str">
        <f>IFERROR(_xlfn.XLOOKUP(Table6[[#This Row],[Suburb]],Table5[Travel Surcharge],Table5[$$]),"")</f>
        <v/>
      </c>
      <c r="AI527" s="47"/>
      <c r="AJ527" s="47"/>
      <c r="AL527" t="str">
        <v>Merrifield Estate</v>
      </c>
    </row>
    <row r="528" spans="1:38">
      <c r="A528" s="374" t="s">
        <v>1181</v>
      </c>
      <c r="B528" s="374">
        <v>1</v>
      </c>
      <c r="C528" s="374" t="s">
        <v>862</v>
      </c>
      <c r="D528" s="375" t="str">
        <f t="shared" si="107"/>
        <v>Auburn Estate1</v>
      </c>
      <c r="E528" s="375" t="s">
        <v>1182</v>
      </c>
      <c r="F528" s="375" t="s">
        <v>1155</v>
      </c>
      <c r="G528" s="375" t="s">
        <v>1183</v>
      </c>
      <c r="H528" s="375" t="s">
        <v>1184</v>
      </c>
      <c r="I528" s="63" t="s">
        <v>1185</v>
      </c>
      <c r="J528" s="47"/>
      <c r="K528" s="46" t="s">
        <v>10735</v>
      </c>
      <c r="L528" s="47">
        <f t="shared" ref="L528:L558" si="113">L$7</f>
        <v>1210</v>
      </c>
      <c r="M528" s="47"/>
      <c r="N528" s="47"/>
      <c r="O528" s="47"/>
      <c r="P528" s="47"/>
      <c r="Q528" s="47"/>
      <c r="R528" s="47"/>
      <c r="S528" s="47"/>
      <c r="T528" s="47">
        <f>T$2</f>
        <v>780</v>
      </c>
      <c r="U528" s="47"/>
      <c r="V528" s="47"/>
      <c r="W528" s="47"/>
      <c r="X528" s="47"/>
      <c r="Y528" s="47"/>
      <c r="Z528" s="47">
        <f t="shared" si="112"/>
        <v>4620</v>
      </c>
      <c r="AA528" s="47"/>
      <c r="AB528" s="47"/>
      <c r="AC528" s="47"/>
      <c r="AD528" s="47"/>
      <c r="AE528" s="47"/>
      <c r="AF528" s="47"/>
      <c r="AG528" s="47"/>
      <c r="AH528" s="47" t="str">
        <f>IFERROR(_xlfn.XLOOKUP(Table6[[#This Row],[Suburb]],Table5[Travel Surcharge],Table5[$$]),"")</f>
        <v/>
      </c>
      <c r="AI528" s="47">
        <f t="shared" ref="AI528:AI548" si="114">AI$7</f>
        <v>1650.0000000000002</v>
      </c>
      <c r="AJ528" s="47"/>
      <c r="AL528" t="str">
        <v>Merrifield Estate - Aitkin Release</v>
      </c>
    </row>
    <row r="529" spans="1:43" s="376" customFormat="1">
      <c r="A529" s="374" t="s">
        <v>1181</v>
      </c>
      <c r="B529" s="374">
        <v>2</v>
      </c>
      <c r="C529" s="374" t="s">
        <v>862</v>
      </c>
      <c r="D529" s="375" t="str">
        <f t="shared" si="107"/>
        <v>Auburn Estate2</v>
      </c>
      <c r="E529" s="375" t="s">
        <v>1186</v>
      </c>
      <c r="F529" s="375" t="s">
        <v>1155</v>
      </c>
      <c r="G529" s="375" t="s">
        <v>1183</v>
      </c>
      <c r="H529" s="375" t="s">
        <v>1184</v>
      </c>
      <c r="I529" s="63" t="s">
        <v>1185</v>
      </c>
      <c r="J529" s="47"/>
      <c r="K529" s="46" t="s">
        <v>10735</v>
      </c>
      <c r="L529" s="47">
        <f t="shared" si="113"/>
        <v>1210</v>
      </c>
      <c r="M529" s="47"/>
      <c r="N529" s="47"/>
      <c r="O529" s="47"/>
      <c r="P529" s="47"/>
      <c r="Q529" s="47"/>
      <c r="R529" s="47"/>
      <c r="S529" s="47"/>
      <c r="T529" s="47">
        <f>T$2</f>
        <v>780</v>
      </c>
      <c r="U529" s="47"/>
      <c r="V529" s="47"/>
      <c r="W529" s="47"/>
      <c r="X529" s="47"/>
      <c r="Y529" s="47"/>
      <c r="Z529" s="47">
        <f t="shared" si="112"/>
        <v>4620</v>
      </c>
      <c r="AA529" s="47"/>
      <c r="AB529" s="47"/>
      <c r="AC529" s="47"/>
      <c r="AD529" s="47"/>
      <c r="AE529" s="47"/>
      <c r="AF529" s="47"/>
      <c r="AG529" s="47"/>
      <c r="AH529" s="47" t="str">
        <f>IFERROR(_xlfn.XLOOKUP(Table6[[#This Row],[Suburb]],Table5[Travel Surcharge],Table5[$$]),"")</f>
        <v/>
      </c>
      <c r="AI529" s="47">
        <f t="shared" si="114"/>
        <v>1650.0000000000002</v>
      </c>
      <c r="AJ529" s="47"/>
      <c r="AL529" s="376" t="str">
        <v>Michaels Place Estate</v>
      </c>
      <c r="AM529" s="300"/>
      <c r="AO529"/>
      <c r="AP529"/>
      <c r="AQ529"/>
    </row>
    <row r="530" spans="1:43" s="376" customFormat="1">
      <c r="A530" s="374" t="s">
        <v>1187</v>
      </c>
      <c r="B530" s="374">
        <v>3</v>
      </c>
      <c r="C530" s="374" t="s">
        <v>455</v>
      </c>
      <c r="D530" s="375" t="str">
        <f t="shared" si="107"/>
        <v>Aurora Estate3</v>
      </c>
      <c r="E530" s="375" t="s">
        <v>1188</v>
      </c>
      <c r="F530" s="375" t="s">
        <v>1095</v>
      </c>
      <c r="G530" s="375" t="s">
        <v>1189</v>
      </c>
      <c r="H530" s="375" t="s">
        <v>1190</v>
      </c>
      <c r="I530" s="63" t="s">
        <v>1191</v>
      </c>
      <c r="J530" s="47">
        <f t="shared" ref="J530:J563" si="115">J$7</f>
        <v>3740</v>
      </c>
      <c r="K530" s="46" t="s">
        <v>7938</v>
      </c>
      <c r="L530" s="47">
        <f t="shared" si="113"/>
        <v>1210</v>
      </c>
      <c r="M530" s="47"/>
      <c r="N530" s="47"/>
      <c r="O530" s="47"/>
      <c r="P530" s="47"/>
      <c r="Q530" s="47"/>
      <c r="R530" s="47">
        <f t="shared" ref="R530:R561" si="116">R$2</f>
        <v>540</v>
      </c>
      <c r="S530" s="47"/>
      <c r="T530" s="47" t="s">
        <v>1192</v>
      </c>
      <c r="U530" s="47"/>
      <c r="V530" s="47"/>
      <c r="W530" s="47"/>
      <c r="X530" s="47">
        <f t="shared" ref="X530:X548" si="117">X$7</f>
        <v>3000</v>
      </c>
      <c r="Y530" s="47"/>
      <c r="Z530" s="47">
        <f t="shared" si="112"/>
        <v>4620</v>
      </c>
      <c r="AA530" s="47" t="s">
        <v>1193</v>
      </c>
      <c r="AB530" s="47"/>
      <c r="AC530" s="47"/>
      <c r="AD530" s="47"/>
      <c r="AE530" s="47"/>
      <c r="AF530" s="47">
        <f t="shared" ref="AF530:AF561" si="118">AF$7</f>
        <v>1485</v>
      </c>
      <c r="AG530" s="47"/>
      <c r="AH530" s="47" t="str">
        <f>IFERROR(_xlfn.XLOOKUP(Table6[[#This Row],[Suburb]],Table5[Travel Surcharge],Table5[$$]),"")</f>
        <v/>
      </c>
      <c r="AI530" s="47">
        <f t="shared" si="114"/>
        <v>1650.0000000000002</v>
      </c>
      <c r="AJ530" s="47"/>
      <c r="AL530" s="376" t="str">
        <v>Millstone Estate</v>
      </c>
      <c r="AM530" s="300"/>
    </row>
    <row r="531" spans="1:43">
      <c r="A531" s="374" t="s">
        <v>1187</v>
      </c>
      <c r="B531" s="374">
        <v>6</v>
      </c>
      <c r="C531" s="374" t="s">
        <v>455</v>
      </c>
      <c r="D531" s="375" t="str">
        <f t="shared" si="107"/>
        <v>Aurora Estate6</v>
      </c>
      <c r="E531" s="375" t="s">
        <v>1194</v>
      </c>
      <c r="F531" s="375" t="s">
        <v>1095</v>
      </c>
      <c r="G531" s="375" t="s">
        <v>1189</v>
      </c>
      <c r="H531" s="375" t="s">
        <v>1190</v>
      </c>
      <c r="I531" s="63" t="s">
        <v>1191</v>
      </c>
      <c r="J531" s="47">
        <f t="shared" si="115"/>
        <v>3740</v>
      </c>
      <c r="K531" s="46" t="s">
        <v>7938</v>
      </c>
      <c r="L531" s="47">
        <f t="shared" si="113"/>
        <v>1210</v>
      </c>
      <c r="M531" s="47"/>
      <c r="N531" s="47"/>
      <c r="O531" s="47"/>
      <c r="P531" s="47"/>
      <c r="Q531" s="47"/>
      <c r="R531" s="47">
        <f t="shared" si="116"/>
        <v>540</v>
      </c>
      <c r="S531" s="47"/>
      <c r="T531" s="47" t="s">
        <v>1192</v>
      </c>
      <c r="U531" s="47"/>
      <c r="V531" s="47"/>
      <c r="W531" s="47"/>
      <c r="X531" s="47">
        <f t="shared" si="117"/>
        <v>3000</v>
      </c>
      <c r="Y531" s="47"/>
      <c r="Z531" s="47">
        <f t="shared" si="112"/>
        <v>4620</v>
      </c>
      <c r="AA531" s="47" t="s">
        <v>1193</v>
      </c>
      <c r="AB531" s="47"/>
      <c r="AC531" s="47"/>
      <c r="AD531" s="47"/>
      <c r="AE531" s="47"/>
      <c r="AF531" s="47">
        <f t="shared" si="118"/>
        <v>1485</v>
      </c>
      <c r="AG531" s="47"/>
      <c r="AH531" s="47" t="str">
        <f>IFERROR(_xlfn.XLOOKUP(Table6[[#This Row],[Suburb]],Table5[Travel Surcharge],Table5[$$]),"")</f>
        <v/>
      </c>
      <c r="AI531" s="47">
        <f t="shared" si="114"/>
        <v>1650.0000000000002</v>
      </c>
      <c r="AJ531" s="47"/>
      <c r="AL531" t="str">
        <v>Minta Estate</v>
      </c>
      <c r="AO531" s="376"/>
      <c r="AP531" s="376"/>
      <c r="AQ531" s="376"/>
    </row>
    <row r="532" spans="1:43">
      <c r="A532" s="374" t="s">
        <v>1187</v>
      </c>
      <c r="B532" s="374">
        <v>7</v>
      </c>
      <c r="C532" s="374" t="s">
        <v>455</v>
      </c>
      <c r="D532" s="375" t="str">
        <f t="shared" si="107"/>
        <v>Aurora Estate7</v>
      </c>
      <c r="E532" s="375" t="s">
        <v>1195</v>
      </c>
      <c r="F532" s="375" t="s">
        <v>1095</v>
      </c>
      <c r="G532" s="375" t="s">
        <v>1189</v>
      </c>
      <c r="H532" s="375" t="s">
        <v>1190</v>
      </c>
      <c r="I532" s="63" t="s">
        <v>1191</v>
      </c>
      <c r="J532" s="47">
        <f t="shared" si="115"/>
        <v>3740</v>
      </c>
      <c r="K532" s="46" t="s">
        <v>7938</v>
      </c>
      <c r="L532" s="47">
        <f t="shared" si="113"/>
        <v>1210</v>
      </c>
      <c r="M532" s="47"/>
      <c r="N532" s="47"/>
      <c r="O532" s="47"/>
      <c r="P532" s="47"/>
      <c r="Q532" s="47"/>
      <c r="R532" s="47">
        <f t="shared" si="116"/>
        <v>540</v>
      </c>
      <c r="S532" s="47"/>
      <c r="T532" s="47" t="s">
        <v>1192</v>
      </c>
      <c r="U532" s="47"/>
      <c r="V532" s="47"/>
      <c r="W532" s="47"/>
      <c r="X532" s="47">
        <f t="shared" si="117"/>
        <v>3000</v>
      </c>
      <c r="Y532" s="47"/>
      <c r="Z532" s="47">
        <f t="shared" si="112"/>
        <v>4620</v>
      </c>
      <c r="AA532" s="47" t="s">
        <v>1193</v>
      </c>
      <c r="AB532" s="47"/>
      <c r="AC532" s="47"/>
      <c r="AD532" s="47"/>
      <c r="AE532" s="47"/>
      <c r="AF532" s="47">
        <f t="shared" si="118"/>
        <v>1485</v>
      </c>
      <c r="AG532" s="47"/>
      <c r="AH532" s="47" t="str">
        <f>IFERROR(_xlfn.XLOOKUP(Table6[[#This Row],[Suburb]],Table5[Travel Surcharge],Table5[$$]),"")</f>
        <v/>
      </c>
      <c r="AI532" s="47">
        <f t="shared" si="114"/>
        <v>1650.0000000000002</v>
      </c>
      <c r="AJ532" s="47"/>
      <c r="AL532" t="str">
        <v>Minton Place Estate</v>
      </c>
    </row>
    <row r="533" spans="1:43">
      <c r="A533" s="374" t="s">
        <v>1187</v>
      </c>
      <c r="B533" s="374">
        <v>9</v>
      </c>
      <c r="C533" s="374" t="s">
        <v>455</v>
      </c>
      <c r="D533" s="375" t="str">
        <f t="shared" si="107"/>
        <v>Aurora Estate9</v>
      </c>
      <c r="E533" s="375" t="s">
        <v>1196</v>
      </c>
      <c r="F533" s="375" t="s">
        <v>1095</v>
      </c>
      <c r="G533" s="375" t="s">
        <v>1189</v>
      </c>
      <c r="H533" s="375" t="s">
        <v>1190</v>
      </c>
      <c r="I533" s="63" t="s">
        <v>1191</v>
      </c>
      <c r="J533" s="47">
        <f t="shared" si="115"/>
        <v>3740</v>
      </c>
      <c r="K533" s="46" t="s">
        <v>7938</v>
      </c>
      <c r="L533" s="47">
        <f t="shared" si="113"/>
        <v>1210</v>
      </c>
      <c r="M533" s="47"/>
      <c r="N533" s="47"/>
      <c r="O533" s="47"/>
      <c r="P533" s="47"/>
      <c r="Q533" s="47"/>
      <c r="R533" s="47">
        <f t="shared" si="116"/>
        <v>540</v>
      </c>
      <c r="S533" s="47"/>
      <c r="T533" s="47" t="s">
        <v>1192</v>
      </c>
      <c r="U533" s="47" t="s">
        <v>1197</v>
      </c>
      <c r="V533" s="47"/>
      <c r="W533" s="47"/>
      <c r="X533" s="47">
        <f t="shared" si="117"/>
        <v>3000</v>
      </c>
      <c r="Y533" s="47"/>
      <c r="Z533" s="47">
        <f t="shared" si="112"/>
        <v>4620</v>
      </c>
      <c r="AA533" s="47" t="s">
        <v>1193</v>
      </c>
      <c r="AB533" s="47"/>
      <c r="AC533" s="47"/>
      <c r="AD533" s="47"/>
      <c r="AE533" s="47"/>
      <c r="AF533" s="47">
        <f t="shared" si="118"/>
        <v>1485</v>
      </c>
      <c r="AG533" s="47"/>
      <c r="AH533" s="47" t="str">
        <f>IFERROR(_xlfn.XLOOKUP(Table6[[#This Row],[Suburb]],Table5[Travel Surcharge],Table5[$$]),"")</f>
        <v/>
      </c>
      <c r="AI533" s="47">
        <f t="shared" si="114"/>
        <v>1650.0000000000002</v>
      </c>
      <c r="AJ533" s="47"/>
      <c r="AL533" t="str">
        <v>Mirage Park</v>
      </c>
    </row>
    <row r="534" spans="1:43">
      <c r="A534" s="374" t="s">
        <v>1187</v>
      </c>
      <c r="B534" s="374">
        <v>10</v>
      </c>
      <c r="C534" s="374" t="s">
        <v>455</v>
      </c>
      <c r="D534" s="375" t="str">
        <f t="shared" si="107"/>
        <v>Aurora Estate10</v>
      </c>
      <c r="E534" s="375" t="s">
        <v>1198</v>
      </c>
      <c r="F534" s="375" t="s">
        <v>1095</v>
      </c>
      <c r="G534" s="375" t="s">
        <v>1189</v>
      </c>
      <c r="H534" s="375" t="s">
        <v>1190</v>
      </c>
      <c r="I534" s="63" t="s">
        <v>1191</v>
      </c>
      <c r="J534" s="47">
        <f t="shared" si="115"/>
        <v>3740</v>
      </c>
      <c r="K534" s="46" t="s">
        <v>7938</v>
      </c>
      <c r="L534" s="47">
        <f t="shared" si="113"/>
        <v>1210</v>
      </c>
      <c r="M534" s="47"/>
      <c r="N534" s="47"/>
      <c r="O534" s="47"/>
      <c r="P534" s="47"/>
      <c r="Q534" s="47"/>
      <c r="R534" s="47">
        <f t="shared" si="116"/>
        <v>540</v>
      </c>
      <c r="S534" s="47"/>
      <c r="T534" s="47" t="s">
        <v>1192</v>
      </c>
      <c r="U534" s="47"/>
      <c r="V534" s="47"/>
      <c r="W534" s="47"/>
      <c r="X534" s="47">
        <f t="shared" si="117"/>
        <v>3000</v>
      </c>
      <c r="Y534" s="47"/>
      <c r="Z534" s="47">
        <f t="shared" si="112"/>
        <v>4620</v>
      </c>
      <c r="AA534" s="47" t="s">
        <v>1193</v>
      </c>
      <c r="AB534" s="47"/>
      <c r="AC534" s="47"/>
      <c r="AD534" s="47"/>
      <c r="AE534" s="47"/>
      <c r="AF534" s="47">
        <f t="shared" si="118"/>
        <v>1485</v>
      </c>
      <c r="AG534" s="47"/>
      <c r="AH534" s="47" t="str">
        <f>IFERROR(_xlfn.XLOOKUP(Table6[[#This Row],[Suburb]],Table5[Travel Surcharge],Table5[$$]),"")</f>
        <v/>
      </c>
      <c r="AI534" s="47">
        <f t="shared" si="114"/>
        <v>1650.0000000000002</v>
      </c>
      <c r="AJ534" s="47"/>
      <c r="AL534" t="str">
        <v>Mitchell Grove Estate</v>
      </c>
    </row>
    <row r="535" spans="1:43">
      <c r="A535" s="374" t="s">
        <v>1187</v>
      </c>
      <c r="B535" s="374">
        <v>11</v>
      </c>
      <c r="C535" s="374" t="s">
        <v>455</v>
      </c>
      <c r="D535" s="375" t="str">
        <f t="shared" si="107"/>
        <v>Aurora Estate11</v>
      </c>
      <c r="E535" s="375" t="s">
        <v>1199</v>
      </c>
      <c r="F535" s="375" t="s">
        <v>1095</v>
      </c>
      <c r="G535" s="375" t="s">
        <v>1189</v>
      </c>
      <c r="H535" s="375" t="s">
        <v>1190</v>
      </c>
      <c r="I535" s="63" t="s">
        <v>1191</v>
      </c>
      <c r="J535" s="47">
        <f t="shared" si="115"/>
        <v>3740</v>
      </c>
      <c r="K535" s="46" t="s">
        <v>7938</v>
      </c>
      <c r="L535" s="47">
        <f t="shared" si="113"/>
        <v>1210</v>
      </c>
      <c r="M535" s="47"/>
      <c r="N535" s="47"/>
      <c r="O535" s="47"/>
      <c r="P535" s="47"/>
      <c r="Q535" s="47"/>
      <c r="R535" s="47">
        <f t="shared" si="116"/>
        <v>540</v>
      </c>
      <c r="S535" s="47"/>
      <c r="T535" s="47" t="s">
        <v>1192</v>
      </c>
      <c r="U535" s="47"/>
      <c r="V535" s="47"/>
      <c r="W535" s="47"/>
      <c r="X535" s="47">
        <f t="shared" si="117"/>
        <v>3000</v>
      </c>
      <c r="Y535" s="47"/>
      <c r="Z535" s="47">
        <f t="shared" si="112"/>
        <v>4620</v>
      </c>
      <c r="AA535" s="47" t="s">
        <v>1193</v>
      </c>
      <c r="AB535" s="47"/>
      <c r="AC535" s="47"/>
      <c r="AD535" s="47"/>
      <c r="AE535" s="47"/>
      <c r="AF535" s="47">
        <f t="shared" si="118"/>
        <v>1485</v>
      </c>
      <c r="AG535" s="47"/>
      <c r="AH535" s="47" t="str">
        <f>IFERROR(_xlfn.XLOOKUP(Table6[[#This Row],[Suburb]],Table5[Travel Surcharge],Table5[$$]),"")</f>
        <v/>
      </c>
      <c r="AI535" s="47">
        <f t="shared" si="114"/>
        <v>1650.0000000000002</v>
      </c>
      <c r="AJ535" s="47"/>
      <c r="AL535" t="str">
        <v>Modeina Estate</v>
      </c>
    </row>
    <row r="536" spans="1:43">
      <c r="A536" s="374" t="s">
        <v>1187</v>
      </c>
      <c r="B536" s="374">
        <v>14</v>
      </c>
      <c r="C536" s="374" t="s">
        <v>455</v>
      </c>
      <c r="D536" s="375" t="str">
        <f t="shared" si="107"/>
        <v>Aurora Estate14</v>
      </c>
      <c r="E536" s="375" t="s">
        <v>1200</v>
      </c>
      <c r="F536" s="375" t="s">
        <v>1095</v>
      </c>
      <c r="G536" s="375" t="s">
        <v>1189</v>
      </c>
      <c r="H536" s="375" t="s">
        <v>1190</v>
      </c>
      <c r="I536" s="63" t="s">
        <v>1191</v>
      </c>
      <c r="J536" s="47">
        <f t="shared" si="115"/>
        <v>3740</v>
      </c>
      <c r="K536" s="46" t="s">
        <v>7938</v>
      </c>
      <c r="L536" s="47">
        <f t="shared" si="113"/>
        <v>1210</v>
      </c>
      <c r="M536" s="47"/>
      <c r="N536" s="47"/>
      <c r="O536" s="47"/>
      <c r="P536" s="47"/>
      <c r="Q536" s="47"/>
      <c r="R536" s="47">
        <f t="shared" si="116"/>
        <v>540</v>
      </c>
      <c r="S536" s="47"/>
      <c r="T536" s="47" t="s">
        <v>1192</v>
      </c>
      <c r="U536" s="47"/>
      <c r="V536" s="47"/>
      <c r="W536" s="47"/>
      <c r="X536" s="47">
        <f t="shared" si="117"/>
        <v>3000</v>
      </c>
      <c r="Y536" s="47"/>
      <c r="Z536" s="47">
        <f t="shared" si="112"/>
        <v>4620</v>
      </c>
      <c r="AA536" s="47" t="s">
        <v>1193</v>
      </c>
      <c r="AB536" s="47"/>
      <c r="AC536" s="47"/>
      <c r="AD536" s="47"/>
      <c r="AE536" s="47"/>
      <c r="AF536" s="47">
        <f t="shared" si="118"/>
        <v>1485</v>
      </c>
      <c r="AG536" s="47"/>
      <c r="AH536" s="47" t="str">
        <f>IFERROR(_xlfn.XLOOKUP(Table6[[#This Row],[Suburb]],Table5[Travel Surcharge],Table5[$$]),"")</f>
        <v/>
      </c>
      <c r="AI536" s="47">
        <f t="shared" si="114"/>
        <v>1650.0000000000002</v>
      </c>
      <c r="AJ536" s="47"/>
      <c r="AL536" t="str">
        <v>Monarch</v>
      </c>
    </row>
    <row r="537" spans="1:43">
      <c r="A537" s="374" t="s">
        <v>1187</v>
      </c>
      <c r="B537" s="374">
        <v>15</v>
      </c>
      <c r="C537" s="374" t="s">
        <v>455</v>
      </c>
      <c r="D537" s="375" t="str">
        <f t="shared" si="107"/>
        <v>Aurora Estate15</v>
      </c>
      <c r="E537" s="375" t="s">
        <v>1201</v>
      </c>
      <c r="F537" s="375" t="s">
        <v>1095</v>
      </c>
      <c r="G537" s="375" t="s">
        <v>1189</v>
      </c>
      <c r="H537" s="375" t="s">
        <v>1190</v>
      </c>
      <c r="I537" s="63" t="s">
        <v>1191</v>
      </c>
      <c r="J537" s="47">
        <f t="shared" si="115"/>
        <v>3740</v>
      </c>
      <c r="K537" s="46" t="s">
        <v>7938</v>
      </c>
      <c r="L537" s="47">
        <f t="shared" si="113"/>
        <v>1210</v>
      </c>
      <c r="M537" s="47"/>
      <c r="N537" s="47"/>
      <c r="O537" s="47"/>
      <c r="P537" s="47"/>
      <c r="Q537" s="47"/>
      <c r="R537" s="47">
        <f t="shared" si="116"/>
        <v>540</v>
      </c>
      <c r="S537" s="47"/>
      <c r="T537" s="47" t="s">
        <v>1192</v>
      </c>
      <c r="U537" s="47"/>
      <c r="V537" s="47"/>
      <c r="W537" s="47"/>
      <c r="X537" s="47">
        <f t="shared" si="117"/>
        <v>3000</v>
      </c>
      <c r="Y537" s="47"/>
      <c r="Z537" s="47">
        <f t="shared" si="112"/>
        <v>4620</v>
      </c>
      <c r="AA537" s="47" t="s">
        <v>1193</v>
      </c>
      <c r="AB537" s="47"/>
      <c r="AC537" s="47"/>
      <c r="AD537" s="47"/>
      <c r="AE537" s="47"/>
      <c r="AF537" s="47">
        <f t="shared" si="118"/>
        <v>1485</v>
      </c>
      <c r="AG537" s="47"/>
      <c r="AH537" s="47" t="str">
        <f>IFERROR(_xlfn.XLOOKUP(Table6[[#This Row],[Suburb]],Table5[Travel Surcharge],Table5[$$]),"")</f>
        <v/>
      </c>
      <c r="AI537" s="47">
        <f t="shared" si="114"/>
        <v>1650.0000000000002</v>
      </c>
      <c r="AJ537" s="47"/>
      <c r="AL537" t="str">
        <v>Monash Views Estate</v>
      </c>
    </row>
    <row r="538" spans="1:43">
      <c r="A538" s="374" t="s">
        <v>1187</v>
      </c>
      <c r="B538" s="374">
        <v>16</v>
      </c>
      <c r="C538" s="374" t="s">
        <v>455</v>
      </c>
      <c r="D538" s="375" t="str">
        <f t="shared" si="107"/>
        <v>Aurora Estate16</v>
      </c>
      <c r="E538" s="375" t="s">
        <v>1202</v>
      </c>
      <c r="F538" s="375" t="s">
        <v>1095</v>
      </c>
      <c r="G538" s="375" t="s">
        <v>1189</v>
      </c>
      <c r="H538" s="375" t="s">
        <v>1190</v>
      </c>
      <c r="I538" s="63" t="s">
        <v>1191</v>
      </c>
      <c r="J538" s="47">
        <f t="shared" si="115"/>
        <v>3740</v>
      </c>
      <c r="K538" s="46" t="s">
        <v>7938</v>
      </c>
      <c r="L538" s="47">
        <f t="shared" si="113"/>
        <v>1210</v>
      </c>
      <c r="M538" s="47"/>
      <c r="N538" s="47"/>
      <c r="O538" s="47"/>
      <c r="P538" s="47"/>
      <c r="Q538" s="47"/>
      <c r="R538" s="47">
        <f t="shared" si="116"/>
        <v>540</v>
      </c>
      <c r="S538" s="47"/>
      <c r="T538" s="47" t="s">
        <v>1192</v>
      </c>
      <c r="U538" s="47"/>
      <c r="V538" s="47"/>
      <c r="W538" s="47"/>
      <c r="X538" s="47">
        <f t="shared" si="117"/>
        <v>3000</v>
      </c>
      <c r="Y538" s="47"/>
      <c r="Z538" s="47">
        <f t="shared" si="112"/>
        <v>4620</v>
      </c>
      <c r="AA538" s="47" t="s">
        <v>1193</v>
      </c>
      <c r="AB538" s="47"/>
      <c r="AC538" s="47"/>
      <c r="AD538" s="47"/>
      <c r="AE538" s="47"/>
      <c r="AF538" s="47">
        <f t="shared" si="118"/>
        <v>1485</v>
      </c>
      <c r="AG538" s="47"/>
      <c r="AH538" s="47" t="str">
        <f>IFERROR(_xlfn.XLOOKUP(Table6[[#This Row],[Suburb]],Table5[Travel Surcharge],Table5[$$]),"")</f>
        <v/>
      </c>
      <c r="AI538" s="47">
        <f t="shared" si="114"/>
        <v>1650.0000000000002</v>
      </c>
      <c r="AJ538" s="47"/>
      <c r="AL538" t="str">
        <v>Montana</v>
      </c>
    </row>
    <row r="539" spans="1:43">
      <c r="A539" s="374" t="s">
        <v>1187</v>
      </c>
      <c r="B539" s="374">
        <v>18</v>
      </c>
      <c r="C539" s="374" t="s">
        <v>455</v>
      </c>
      <c r="D539" s="375" t="str">
        <f t="shared" si="107"/>
        <v>Aurora Estate18</v>
      </c>
      <c r="E539" s="375" t="s">
        <v>1203</v>
      </c>
      <c r="F539" s="375" t="s">
        <v>1095</v>
      </c>
      <c r="G539" s="375" t="s">
        <v>1189</v>
      </c>
      <c r="H539" s="375" t="s">
        <v>1190</v>
      </c>
      <c r="I539" s="63" t="s">
        <v>1191</v>
      </c>
      <c r="J539" s="47">
        <f t="shared" si="115"/>
        <v>3740</v>
      </c>
      <c r="K539" s="46" t="s">
        <v>7938</v>
      </c>
      <c r="L539" s="47">
        <f t="shared" si="113"/>
        <v>1210</v>
      </c>
      <c r="M539" s="47"/>
      <c r="N539" s="47"/>
      <c r="O539" s="47"/>
      <c r="P539" s="47"/>
      <c r="Q539" s="47"/>
      <c r="R539" s="47">
        <f t="shared" si="116"/>
        <v>540</v>
      </c>
      <c r="S539" s="47"/>
      <c r="T539" s="47" t="s">
        <v>1192</v>
      </c>
      <c r="U539" s="47"/>
      <c r="V539" s="47"/>
      <c r="W539" s="47"/>
      <c r="X539" s="47">
        <f t="shared" si="117"/>
        <v>3000</v>
      </c>
      <c r="Y539" s="47"/>
      <c r="Z539" s="47">
        <f t="shared" si="112"/>
        <v>4620</v>
      </c>
      <c r="AA539" s="47" t="s">
        <v>1193</v>
      </c>
      <c r="AB539" s="47"/>
      <c r="AC539" s="47"/>
      <c r="AD539" s="47"/>
      <c r="AE539" s="47"/>
      <c r="AF539" s="47">
        <f t="shared" si="118"/>
        <v>1485</v>
      </c>
      <c r="AG539" s="47"/>
      <c r="AH539" s="47" t="str">
        <f>IFERROR(_xlfn.XLOOKUP(Table6[[#This Row],[Suburb]],Table5[Travel Surcharge],Table5[$$]),"")</f>
        <v/>
      </c>
      <c r="AI539" s="47">
        <f t="shared" si="114"/>
        <v>1650.0000000000002</v>
      </c>
      <c r="AJ539" s="47"/>
      <c r="AL539" t="str">
        <v>Montview Estate</v>
      </c>
    </row>
    <row r="540" spans="1:43">
      <c r="A540" s="374" t="s">
        <v>1187</v>
      </c>
      <c r="B540" s="374">
        <v>19</v>
      </c>
      <c r="C540" s="374" t="s">
        <v>455</v>
      </c>
      <c r="D540" s="375" t="str">
        <f t="shared" si="107"/>
        <v>Aurora Estate19</v>
      </c>
      <c r="E540" s="375" t="s">
        <v>1204</v>
      </c>
      <c r="F540" s="375" t="s">
        <v>1095</v>
      </c>
      <c r="G540" s="375" t="s">
        <v>1189</v>
      </c>
      <c r="H540" s="375" t="s">
        <v>1190</v>
      </c>
      <c r="I540" s="63" t="s">
        <v>1191</v>
      </c>
      <c r="J540" s="47">
        <f t="shared" si="115"/>
        <v>3740</v>
      </c>
      <c r="K540" s="46" t="s">
        <v>7938</v>
      </c>
      <c r="L540" s="47">
        <f t="shared" si="113"/>
        <v>1210</v>
      </c>
      <c r="M540" s="47"/>
      <c r="N540" s="47"/>
      <c r="O540" s="47"/>
      <c r="P540" s="47"/>
      <c r="Q540" s="47"/>
      <c r="R540" s="47">
        <f t="shared" si="116"/>
        <v>540</v>
      </c>
      <c r="S540" s="47"/>
      <c r="T540" s="47" t="s">
        <v>1192</v>
      </c>
      <c r="U540" s="47"/>
      <c r="V540" s="47"/>
      <c r="W540" s="47"/>
      <c r="X540" s="47">
        <f t="shared" si="117"/>
        <v>3000</v>
      </c>
      <c r="Y540" s="47"/>
      <c r="Z540" s="47">
        <f t="shared" si="112"/>
        <v>4620</v>
      </c>
      <c r="AA540" s="47" t="s">
        <v>1193</v>
      </c>
      <c r="AB540" s="47"/>
      <c r="AC540" s="47"/>
      <c r="AD540" s="47"/>
      <c r="AE540" s="47"/>
      <c r="AF540" s="47">
        <f t="shared" si="118"/>
        <v>1485</v>
      </c>
      <c r="AG540" s="47"/>
      <c r="AH540" s="47" t="str">
        <f>IFERROR(_xlfn.XLOOKUP(Table6[[#This Row],[Suburb]],Table5[Travel Surcharge],Table5[$$]),"")</f>
        <v/>
      </c>
      <c r="AI540" s="47">
        <f t="shared" si="114"/>
        <v>1650.0000000000002</v>
      </c>
      <c r="AJ540" s="47"/>
      <c r="AL540" t="str">
        <v>Monument Estate</v>
      </c>
    </row>
    <row r="541" spans="1:43">
      <c r="A541" s="374" t="s">
        <v>1187</v>
      </c>
      <c r="B541" s="374">
        <v>26</v>
      </c>
      <c r="C541" s="374" t="s">
        <v>455</v>
      </c>
      <c r="D541" s="375" t="str">
        <f t="shared" si="107"/>
        <v>Aurora Estate26</v>
      </c>
      <c r="E541" s="375" t="s">
        <v>1205</v>
      </c>
      <c r="F541" s="375" t="s">
        <v>1095</v>
      </c>
      <c r="G541" s="375" t="s">
        <v>1189</v>
      </c>
      <c r="H541" s="375" t="s">
        <v>1190</v>
      </c>
      <c r="I541" s="63" t="s">
        <v>1191</v>
      </c>
      <c r="J541" s="47">
        <f t="shared" si="115"/>
        <v>3740</v>
      </c>
      <c r="K541" s="46" t="s">
        <v>7938</v>
      </c>
      <c r="L541" s="47">
        <f t="shared" si="113"/>
        <v>1210</v>
      </c>
      <c r="M541" s="47"/>
      <c r="N541" s="47"/>
      <c r="O541" s="47"/>
      <c r="P541" s="47"/>
      <c r="Q541" s="47"/>
      <c r="R541" s="47">
        <f t="shared" si="116"/>
        <v>540</v>
      </c>
      <c r="S541" s="47"/>
      <c r="T541" s="47" t="s">
        <v>1192</v>
      </c>
      <c r="U541" s="47"/>
      <c r="V541" s="47"/>
      <c r="W541" s="47"/>
      <c r="X541" s="47">
        <f t="shared" si="117"/>
        <v>3000</v>
      </c>
      <c r="Y541" s="47"/>
      <c r="Z541" s="47">
        <f t="shared" si="112"/>
        <v>4620</v>
      </c>
      <c r="AA541" s="47" t="s">
        <v>1193</v>
      </c>
      <c r="AB541" s="47"/>
      <c r="AC541" s="47"/>
      <c r="AD541" s="47"/>
      <c r="AE541" s="47"/>
      <c r="AF541" s="47">
        <f t="shared" si="118"/>
        <v>1485</v>
      </c>
      <c r="AG541" s="47"/>
      <c r="AH541" s="47" t="str">
        <f>IFERROR(_xlfn.XLOOKUP(Table6[[#This Row],[Suburb]],Table5[Travel Surcharge],Table5[$$]),"")</f>
        <v/>
      </c>
      <c r="AI541" s="47">
        <f t="shared" si="114"/>
        <v>1650.0000000000002</v>
      </c>
      <c r="AJ541" s="47"/>
      <c r="AL541" t="str">
        <v>Moonstone</v>
      </c>
    </row>
    <row r="542" spans="1:43">
      <c r="A542" s="374" t="s">
        <v>1187</v>
      </c>
      <c r="B542" s="374">
        <v>30</v>
      </c>
      <c r="C542" s="374" t="s">
        <v>455</v>
      </c>
      <c r="D542" s="375" t="str">
        <f t="shared" si="107"/>
        <v>Aurora Estate30</v>
      </c>
      <c r="E542" s="375" t="s">
        <v>1206</v>
      </c>
      <c r="F542" s="375" t="s">
        <v>1095</v>
      </c>
      <c r="G542" s="375" t="s">
        <v>1189</v>
      </c>
      <c r="H542" s="375" t="s">
        <v>1190</v>
      </c>
      <c r="I542" s="63" t="s">
        <v>1191</v>
      </c>
      <c r="J542" s="47">
        <f t="shared" si="115"/>
        <v>3740</v>
      </c>
      <c r="K542" s="46" t="s">
        <v>7938</v>
      </c>
      <c r="L542" s="47">
        <f t="shared" si="113"/>
        <v>1210</v>
      </c>
      <c r="M542" s="47"/>
      <c r="N542" s="47"/>
      <c r="O542" s="47"/>
      <c r="P542" s="47"/>
      <c r="Q542" s="47"/>
      <c r="R542" s="47">
        <f t="shared" si="116"/>
        <v>540</v>
      </c>
      <c r="S542" s="47"/>
      <c r="T542" s="47" t="s">
        <v>1192</v>
      </c>
      <c r="U542" s="47"/>
      <c r="V542" s="47"/>
      <c r="W542" s="47"/>
      <c r="X542" s="47">
        <f t="shared" si="117"/>
        <v>3000</v>
      </c>
      <c r="Y542" s="47"/>
      <c r="Z542" s="47">
        <f t="shared" si="112"/>
        <v>4620</v>
      </c>
      <c r="AA542" s="47" t="s">
        <v>1193</v>
      </c>
      <c r="AB542" s="47"/>
      <c r="AC542" s="47"/>
      <c r="AD542" s="47"/>
      <c r="AE542" s="47"/>
      <c r="AF542" s="47">
        <f t="shared" si="118"/>
        <v>1485</v>
      </c>
      <c r="AG542" s="47"/>
      <c r="AH542" s="47" t="str">
        <f>IFERROR(_xlfn.XLOOKUP(Table6[[#This Row],[Suburb]],Table5[Travel Surcharge],Table5[$$]),"")</f>
        <v/>
      </c>
      <c r="AI542" s="47">
        <f t="shared" si="114"/>
        <v>1650.0000000000002</v>
      </c>
      <c r="AJ542" s="47"/>
      <c r="AL542" t="str">
        <v>Mount Aliza</v>
      </c>
    </row>
    <row r="543" spans="1:43">
      <c r="A543" s="374" t="s">
        <v>1187</v>
      </c>
      <c r="B543" s="374">
        <v>31</v>
      </c>
      <c r="C543" s="374" t="s">
        <v>455</v>
      </c>
      <c r="D543" s="375" t="str">
        <f t="shared" si="107"/>
        <v>Aurora Estate31</v>
      </c>
      <c r="E543" s="375" t="s">
        <v>1207</v>
      </c>
      <c r="F543" s="375" t="s">
        <v>1095</v>
      </c>
      <c r="G543" s="375" t="s">
        <v>1189</v>
      </c>
      <c r="H543" s="375" t="s">
        <v>1190</v>
      </c>
      <c r="I543" s="63" t="s">
        <v>1191</v>
      </c>
      <c r="J543" s="47">
        <f t="shared" si="115"/>
        <v>3740</v>
      </c>
      <c r="K543" s="46" t="s">
        <v>7938</v>
      </c>
      <c r="L543" s="47">
        <f t="shared" si="113"/>
        <v>1210</v>
      </c>
      <c r="M543" s="47"/>
      <c r="N543" s="47"/>
      <c r="O543" s="47"/>
      <c r="P543" s="47"/>
      <c r="Q543" s="47"/>
      <c r="R543" s="47">
        <f t="shared" si="116"/>
        <v>540</v>
      </c>
      <c r="S543" s="47"/>
      <c r="T543" s="47" t="s">
        <v>1192</v>
      </c>
      <c r="U543" s="47"/>
      <c r="V543" s="47"/>
      <c r="W543" s="47"/>
      <c r="X543" s="47">
        <f t="shared" si="117"/>
        <v>3000</v>
      </c>
      <c r="Y543" s="47"/>
      <c r="Z543" s="47">
        <f t="shared" si="112"/>
        <v>4620</v>
      </c>
      <c r="AA543" s="47" t="s">
        <v>1193</v>
      </c>
      <c r="AB543" s="47"/>
      <c r="AC543" s="47"/>
      <c r="AD543" s="47"/>
      <c r="AE543" s="47"/>
      <c r="AF543" s="47">
        <f t="shared" si="118"/>
        <v>1485</v>
      </c>
      <c r="AG543" s="47"/>
      <c r="AH543" s="47" t="str">
        <f>IFERROR(_xlfn.XLOOKUP(Table6[[#This Row],[Suburb]],Table5[Travel Surcharge],Table5[$$]),"")</f>
        <v/>
      </c>
      <c r="AI543" s="47">
        <f t="shared" si="114"/>
        <v>1650.0000000000002</v>
      </c>
      <c r="AJ543" s="47"/>
      <c r="AL543" t="str">
        <v>Mount Atkinsons</v>
      </c>
    </row>
    <row r="544" spans="1:43">
      <c r="A544" s="374" t="s">
        <v>1187</v>
      </c>
      <c r="B544" s="374">
        <v>40</v>
      </c>
      <c r="C544" s="374" t="s">
        <v>455</v>
      </c>
      <c r="D544" s="375" t="str">
        <f t="shared" si="107"/>
        <v>Aurora Estate40</v>
      </c>
      <c r="E544" s="375" t="s">
        <v>1208</v>
      </c>
      <c r="F544" s="375" t="s">
        <v>1095</v>
      </c>
      <c r="G544" s="375" t="s">
        <v>1189</v>
      </c>
      <c r="H544" s="375" t="s">
        <v>1190</v>
      </c>
      <c r="I544" s="63" t="s">
        <v>1191</v>
      </c>
      <c r="J544" s="47">
        <f t="shared" si="115"/>
        <v>3740</v>
      </c>
      <c r="K544" s="46" t="s">
        <v>7938</v>
      </c>
      <c r="L544" s="47">
        <f t="shared" si="113"/>
        <v>1210</v>
      </c>
      <c r="M544" s="47"/>
      <c r="N544" s="47"/>
      <c r="O544" s="47"/>
      <c r="P544" s="47"/>
      <c r="Q544" s="47"/>
      <c r="R544" s="47">
        <f t="shared" si="116"/>
        <v>540</v>
      </c>
      <c r="S544" s="47"/>
      <c r="T544" s="47" t="s">
        <v>1192</v>
      </c>
      <c r="U544" s="47"/>
      <c r="V544" s="47"/>
      <c r="W544" s="47"/>
      <c r="X544" s="47">
        <f t="shared" si="117"/>
        <v>3000</v>
      </c>
      <c r="Y544" s="47"/>
      <c r="Z544" s="47">
        <f t="shared" si="112"/>
        <v>4620</v>
      </c>
      <c r="AA544" s="47" t="s">
        <v>1193</v>
      </c>
      <c r="AB544" s="47"/>
      <c r="AC544" s="47"/>
      <c r="AD544" s="47"/>
      <c r="AE544" s="47"/>
      <c r="AF544" s="47">
        <f t="shared" si="118"/>
        <v>1485</v>
      </c>
      <c r="AG544" s="47"/>
      <c r="AH544" s="47" t="str">
        <f>IFERROR(_xlfn.XLOOKUP(Table6[[#This Row],[Suburb]],Table5[Travel Surcharge],Table5[$$]),"")</f>
        <v/>
      </c>
      <c r="AI544" s="47">
        <f t="shared" si="114"/>
        <v>1650.0000000000002</v>
      </c>
      <c r="AJ544" s="47"/>
      <c r="AL544" t="str">
        <v>Mount Holden</v>
      </c>
    </row>
    <row r="545" spans="1:38">
      <c r="A545" s="374" t="s">
        <v>1187</v>
      </c>
      <c r="B545" s="374">
        <v>42</v>
      </c>
      <c r="C545" s="374" t="s">
        <v>455</v>
      </c>
      <c r="D545" s="375" t="str">
        <f t="shared" si="107"/>
        <v>Aurora Estate42</v>
      </c>
      <c r="E545" s="375" t="s">
        <v>1209</v>
      </c>
      <c r="F545" s="375" t="s">
        <v>1095</v>
      </c>
      <c r="G545" s="375" t="s">
        <v>1189</v>
      </c>
      <c r="H545" s="375" t="s">
        <v>1190</v>
      </c>
      <c r="I545" s="63" t="s">
        <v>1191</v>
      </c>
      <c r="J545" s="47">
        <f t="shared" si="115"/>
        <v>3740</v>
      </c>
      <c r="K545" s="46" t="s">
        <v>7938</v>
      </c>
      <c r="L545" s="47">
        <f t="shared" si="113"/>
        <v>1210</v>
      </c>
      <c r="M545" s="47"/>
      <c r="N545" s="47"/>
      <c r="O545" s="47"/>
      <c r="P545" s="47"/>
      <c r="Q545" s="47"/>
      <c r="R545" s="47">
        <f t="shared" si="116"/>
        <v>540</v>
      </c>
      <c r="S545" s="47"/>
      <c r="T545" s="47" t="s">
        <v>1192</v>
      </c>
      <c r="U545" s="47"/>
      <c r="V545" s="47"/>
      <c r="W545" s="47"/>
      <c r="X545" s="47">
        <f t="shared" si="117"/>
        <v>3000</v>
      </c>
      <c r="Y545" s="47"/>
      <c r="Z545" s="47">
        <f t="shared" si="112"/>
        <v>4620</v>
      </c>
      <c r="AA545" s="47" t="s">
        <v>1193</v>
      </c>
      <c r="AB545" s="47"/>
      <c r="AC545" s="47"/>
      <c r="AD545" s="47"/>
      <c r="AE545" s="47"/>
      <c r="AF545" s="47">
        <f t="shared" si="118"/>
        <v>1485</v>
      </c>
      <c r="AG545" s="47"/>
      <c r="AH545" s="47" t="str">
        <f>IFERROR(_xlfn.XLOOKUP(Table6[[#This Row],[Suburb]],Table5[Travel Surcharge],Table5[$$]),"")</f>
        <v/>
      </c>
      <c r="AI545" s="47">
        <f t="shared" si="114"/>
        <v>1650.0000000000002</v>
      </c>
      <c r="AJ545" s="47"/>
      <c r="AL545" t="str">
        <v>Mount Pleasant Estate</v>
      </c>
    </row>
    <row r="546" spans="1:38">
      <c r="A546" s="374" t="s">
        <v>1187</v>
      </c>
      <c r="B546" s="374">
        <v>43</v>
      </c>
      <c r="C546" s="374" t="s">
        <v>455</v>
      </c>
      <c r="D546" s="375" t="str">
        <f t="shared" si="107"/>
        <v>Aurora Estate43</v>
      </c>
      <c r="E546" s="375" t="s">
        <v>1210</v>
      </c>
      <c r="F546" s="375" t="s">
        <v>1095</v>
      </c>
      <c r="G546" s="375" t="s">
        <v>1189</v>
      </c>
      <c r="H546" s="375" t="s">
        <v>1190</v>
      </c>
      <c r="I546" s="63" t="s">
        <v>1191</v>
      </c>
      <c r="J546" s="47">
        <f t="shared" si="115"/>
        <v>3740</v>
      </c>
      <c r="K546" s="46" t="s">
        <v>7938</v>
      </c>
      <c r="L546" s="47">
        <f t="shared" si="113"/>
        <v>1210</v>
      </c>
      <c r="M546" s="47"/>
      <c r="N546" s="47"/>
      <c r="O546" s="47"/>
      <c r="P546" s="47"/>
      <c r="Q546" s="47"/>
      <c r="R546" s="47">
        <f t="shared" si="116"/>
        <v>540</v>
      </c>
      <c r="S546" s="47"/>
      <c r="T546" s="47" t="s">
        <v>1192</v>
      </c>
      <c r="U546" s="47"/>
      <c r="V546" s="47"/>
      <c r="W546" s="47"/>
      <c r="X546" s="47">
        <f t="shared" si="117"/>
        <v>3000</v>
      </c>
      <c r="Y546" s="47"/>
      <c r="Z546" s="47">
        <f t="shared" si="112"/>
        <v>4620</v>
      </c>
      <c r="AA546" s="47" t="s">
        <v>1193</v>
      </c>
      <c r="AB546" s="47"/>
      <c r="AC546" s="47"/>
      <c r="AD546" s="47"/>
      <c r="AE546" s="47"/>
      <c r="AF546" s="47">
        <f t="shared" si="118"/>
        <v>1485</v>
      </c>
      <c r="AG546" s="47"/>
      <c r="AH546" s="47" t="str">
        <f>IFERROR(_xlfn.XLOOKUP(Table6[[#This Row],[Suburb]],Table5[Travel Surcharge],Table5[$$]),"")</f>
        <v/>
      </c>
      <c r="AI546" s="47">
        <f t="shared" si="114"/>
        <v>1650.0000000000002</v>
      </c>
      <c r="AJ546" s="47"/>
      <c r="AL546" t="str">
        <v>Mount Pleasant Estate - Minton Release</v>
      </c>
    </row>
    <row r="547" spans="1:38">
      <c r="A547" s="374" t="s">
        <v>1187</v>
      </c>
      <c r="B547" s="374">
        <v>44</v>
      </c>
      <c r="C547" s="374" t="s">
        <v>455</v>
      </c>
      <c r="D547" s="375" t="str">
        <f t="shared" si="107"/>
        <v>Aurora Estate44</v>
      </c>
      <c r="E547" s="375" t="s">
        <v>1211</v>
      </c>
      <c r="F547" s="375" t="s">
        <v>1095</v>
      </c>
      <c r="G547" s="375" t="s">
        <v>1189</v>
      </c>
      <c r="H547" s="375" t="s">
        <v>1190</v>
      </c>
      <c r="I547" s="63" t="s">
        <v>1191</v>
      </c>
      <c r="J547" s="47">
        <f t="shared" si="115"/>
        <v>3740</v>
      </c>
      <c r="K547" s="46" t="s">
        <v>7938</v>
      </c>
      <c r="L547" s="47">
        <f t="shared" si="113"/>
        <v>1210</v>
      </c>
      <c r="M547" s="47"/>
      <c r="N547" s="47"/>
      <c r="O547" s="47"/>
      <c r="P547" s="47"/>
      <c r="Q547" s="47"/>
      <c r="R547" s="47">
        <f t="shared" si="116"/>
        <v>540</v>
      </c>
      <c r="S547" s="47"/>
      <c r="T547" s="47" t="s">
        <v>1192</v>
      </c>
      <c r="U547" s="47"/>
      <c r="V547" s="47"/>
      <c r="W547" s="47"/>
      <c r="X547" s="47">
        <f t="shared" si="117"/>
        <v>3000</v>
      </c>
      <c r="Y547" s="47"/>
      <c r="Z547" s="47">
        <f t="shared" si="112"/>
        <v>4620</v>
      </c>
      <c r="AA547" s="47" t="s">
        <v>1193</v>
      </c>
      <c r="AB547" s="47"/>
      <c r="AC547" s="47"/>
      <c r="AD547" s="47"/>
      <c r="AE547" s="47"/>
      <c r="AF547" s="47">
        <f t="shared" si="118"/>
        <v>1485</v>
      </c>
      <c r="AG547" s="47"/>
      <c r="AH547" s="47" t="str">
        <f>IFERROR(_xlfn.XLOOKUP(Table6[[#This Row],[Suburb]],Table5[Travel Surcharge],Table5[$$]),"")</f>
        <v/>
      </c>
      <c r="AI547" s="47">
        <f t="shared" si="114"/>
        <v>1650.0000000000002</v>
      </c>
      <c r="AJ547" s="47"/>
      <c r="AL547" t="str">
        <v>Mountain Views</v>
      </c>
    </row>
    <row r="548" spans="1:38">
      <c r="A548" s="374" t="s">
        <v>1187</v>
      </c>
      <c r="B548" s="374">
        <v>46</v>
      </c>
      <c r="C548" s="374" t="s">
        <v>455</v>
      </c>
      <c r="D548" s="375" t="str">
        <f t="shared" si="107"/>
        <v>Aurora Estate46</v>
      </c>
      <c r="E548" s="375" t="s">
        <v>1216</v>
      </c>
      <c r="F548" s="375" t="s">
        <v>1095</v>
      </c>
      <c r="G548" s="375" t="s">
        <v>1189</v>
      </c>
      <c r="H548" s="375" t="s">
        <v>1190</v>
      </c>
      <c r="I548" s="63" t="s">
        <v>1191</v>
      </c>
      <c r="J548" s="47">
        <f t="shared" si="115"/>
        <v>3740</v>
      </c>
      <c r="K548" s="46" t="s">
        <v>7938</v>
      </c>
      <c r="L548" s="47">
        <f t="shared" si="113"/>
        <v>1210</v>
      </c>
      <c r="M548" s="47"/>
      <c r="N548" s="47"/>
      <c r="O548" s="47"/>
      <c r="P548" s="47"/>
      <c r="Q548" s="47"/>
      <c r="R548" s="47">
        <f t="shared" si="116"/>
        <v>540</v>
      </c>
      <c r="S548" s="47"/>
      <c r="T548" s="47" t="s">
        <v>1192</v>
      </c>
      <c r="U548" s="47"/>
      <c r="V548" s="47"/>
      <c r="W548" s="47"/>
      <c r="X548" s="47">
        <f t="shared" si="117"/>
        <v>3000</v>
      </c>
      <c r="Y548" s="47"/>
      <c r="Z548" s="47">
        <f t="shared" si="112"/>
        <v>4620</v>
      </c>
      <c r="AA548" s="47" t="s">
        <v>1193</v>
      </c>
      <c r="AB548" s="47"/>
      <c r="AC548" s="47"/>
      <c r="AD548" s="47"/>
      <c r="AE548" s="47"/>
      <c r="AF548" s="47">
        <f t="shared" si="118"/>
        <v>1485</v>
      </c>
      <c r="AG548" s="47"/>
      <c r="AH548" s="47" t="str">
        <f>IFERROR(_xlfn.XLOOKUP(Table6[[#This Row],[Suburb]],Table5[Travel Surcharge],Table5[$$]),"")</f>
        <v/>
      </c>
      <c r="AI548" s="47">
        <f t="shared" si="114"/>
        <v>1650.0000000000002</v>
      </c>
      <c r="AJ548" s="47"/>
      <c r="AL548" t="str">
        <v>Mystique Estate</v>
      </c>
    </row>
    <row r="549" spans="1:38">
      <c r="A549" s="374" t="s">
        <v>1187</v>
      </c>
      <c r="B549" s="374">
        <v>50</v>
      </c>
      <c r="C549" s="374" t="s">
        <v>455</v>
      </c>
      <c r="D549" s="375" t="str">
        <f t="shared" si="107"/>
        <v>Aurora Estate50</v>
      </c>
      <c r="E549" s="375" t="s">
        <v>1217</v>
      </c>
      <c r="F549" s="375" t="s">
        <v>1095</v>
      </c>
      <c r="G549" s="375" t="s">
        <v>1189</v>
      </c>
      <c r="H549" s="375" t="s">
        <v>1190</v>
      </c>
      <c r="I549" s="63" t="s">
        <v>1191</v>
      </c>
      <c r="J549" s="47">
        <f t="shared" si="115"/>
        <v>3740</v>
      </c>
      <c r="K549" s="46" t="s">
        <v>7938</v>
      </c>
      <c r="L549" s="47">
        <f t="shared" si="113"/>
        <v>1210</v>
      </c>
      <c r="M549" s="47"/>
      <c r="N549" s="47"/>
      <c r="O549" s="47"/>
      <c r="P549" s="47"/>
      <c r="Q549" s="47"/>
      <c r="R549" s="47">
        <f t="shared" si="116"/>
        <v>540</v>
      </c>
      <c r="S549" s="47"/>
      <c r="T549" s="47" t="s">
        <v>1192</v>
      </c>
      <c r="U549" s="47"/>
      <c r="V549" s="47"/>
      <c r="W549" s="47"/>
      <c r="X549" s="47"/>
      <c r="Y549" s="47"/>
      <c r="Z549" s="47">
        <f t="shared" si="112"/>
        <v>4620</v>
      </c>
      <c r="AA549" s="47" t="s">
        <v>1193</v>
      </c>
      <c r="AB549" s="47"/>
      <c r="AC549" s="47"/>
      <c r="AD549" s="47"/>
      <c r="AE549" s="47"/>
      <c r="AF549" s="47">
        <f t="shared" si="118"/>
        <v>1485</v>
      </c>
      <c r="AG549" s="47"/>
      <c r="AH549" s="47" t="str">
        <f>IFERROR(_xlfn.XLOOKUP(Table6[[#This Row],[Suburb]],Table5[Travel Surcharge],Table5[$$]),"")</f>
        <v/>
      </c>
      <c r="AI549" s="47"/>
      <c r="AJ549" s="47"/>
      <c r="AL549" t="str">
        <v>Narracan Lakes Estate</v>
      </c>
    </row>
    <row r="550" spans="1:38">
      <c r="A550" s="374" t="s">
        <v>1187</v>
      </c>
      <c r="B550" s="374">
        <v>51</v>
      </c>
      <c r="C550" s="374" t="s">
        <v>455</v>
      </c>
      <c r="D550" s="375" t="str">
        <f t="shared" si="107"/>
        <v>Aurora Estate51</v>
      </c>
      <c r="E550" s="375" t="s">
        <v>1218</v>
      </c>
      <c r="F550" s="375" t="s">
        <v>1095</v>
      </c>
      <c r="G550" s="375" t="s">
        <v>1189</v>
      </c>
      <c r="H550" s="375" t="s">
        <v>1190</v>
      </c>
      <c r="I550" s="63" t="s">
        <v>1191</v>
      </c>
      <c r="J550" s="47">
        <f t="shared" si="115"/>
        <v>3740</v>
      </c>
      <c r="K550" s="46" t="s">
        <v>7938</v>
      </c>
      <c r="L550" s="47">
        <f t="shared" si="113"/>
        <v>1210</v>
      </c>
      <c r="M550" s="47"/>
      <c r="N550" s="47"/>
      <c r="O550" s="47"/>
      <c r="P550" s="47"/>
      <c r="Q550" s="47"/>
      <c r="R550" s="47">
        <f t="shared" si="116"/>
        <v>540</v>
      </c>
      <c r="S550" s="47"/>
      <c r="T550" s="47" t="s">
        <v>1192</v>
      </c>
      <c r="U550" s="47"/>
      <c r="V550" s="47"/>
      <c r="W550" s="47"/>
      <c r="X550" s="47"/>
      <c r="Y550" s="47"/>
      <c r="Z550" s="47">
        <f t="shared" si="112"/>
        <v>4620</v>
      </c>
      <c r="AA550" s="47" t="s">
        <v>1193</v>
      </c>
      <c r="AB550" s="47"/>
      <c r="AC550" s="47"/>
      <c r="AD550" s="47"/>
      <c r="AE550" s="47"/>
      <c r="AF550" s="47">
        <f t="shared" si="118"/>
        <v>1485</v>
      </c>
      <c r="AG550" s="47"/>
      <c r="AH550" s="47" t="str">
        <f>IFERROR(_xlfn.XLOOKUP(Table6[[#This Row],[Suburb]],Table5[Travel Surcharge],Table5[$$]),"")</f>
        <v/>
      </c>
      <c r="AI550" s="47"/>
      <c r="AJ550" s="47"/>
      <c r="AL550" t="str">
        <v>Nature's Run</v>
      </c>
    </row>
    <row r="551" spans="1:38">
      <c r="A551" s="374" t="s">
        <v>1187</v>
      </c>
      <c r="B551" s="374">
        <v>63</v>
      </c>
      <c r="C551" s="374" t="s">
        <v>455</v>
      </c>
      <c r="D551" s="375" t="str">
        <f t="shared" si="107"/>
        <v>Aurora Estate63</v>
      </c>
      <c r="E551" s="375" t="s">
        <v>1219</v>
      </c>
      <c r="F551" s="375" t="s">
        <v>1095</v>
      </c>
      <c r="G551" s="375" t="s">
        <v>1189</v>
      </c>
      <c r="H551" s="375" t="s">
        <v>1190</v>
      </c>
      <c r="I551" s="63" t="s">
        <v>1191</v>
      </c>
      <c r="J551" s="47">
        <f t="shared" si="115"/>
        <v>3740</v>
      </c>
      <c r="K551" s="46" t="s">
        <v>7938</v>
      </c>
      <c r="L551" s="47">
        <f t="shared" si="113"/>
        <v>1210</v>
      </c>
      <c r="M551" s="47"/>
      <c r="N551" s="47"/>
      <c r="O551" s="47"/>
      <c r="P551" s="47"/>
      <c r="Q551" s="47"/>
      <c r="R551" s="47">
        <f t="shared" si="116"/>
        <v>540</v>
      </c>
      <c r="S551" s="47"/>
      <c r="T551" s="47" t="s">
        <v>1192</v>
      </c>
      <c r="U551" s="47"/>
      <c r="V551" s="47"/>
      <c r="W551" s="47"/>
      <c r="X551" s="47">
        <f>X$7</f>
        <v>3000</v>
      </c>
      <c r="Y551" s="47"/>
      <c r="Z551" s="47">
        <f t="shared" si="112"/>
        <v>4620</v>
      </c>
      <c r="AA551" s="47" t="s">
        <v>1193</v>
      </c>
      <c r="AB551" s="47"/>
      <c r="AC551" s="47"/>
      <c r="AD551" s="47"/>
      <c r="AE551" s="47"/>
      <c r="AF551" s="47">
        <f t="shared" si="118"/>
        <v>1485</v>
      </c>
      <c r="AG551" s="47"/>
      <c r="AH551" s="47" t="str">
        <f>IFERROR(_xlfn.XLOOKUP(Table6[[#This Row],[Suburb]],Table5[Travel Surcharge],Table5[$$]),"")</f>
        <v/>
      </c>
      <c r="AI551" s="47">
        <f>AI$7</f>
        <v>1650.0000000000002</v>
      </c>
      <c r="AJ551" s="47"/>
      <c r="AL551" t="str">
        <v>Nelson Village</v>
      </c>
    </row>
    <row r="552" spans="1:38">
      <c r="A552" s="374" t="s">
        <v>1187</v>
      </c>
      <c r="B552" s="374">
        <v>64</v>
      </c>
      <c r="C552" s="374" t="s">
        <v>455</v>
      </c>
      <c r="D552" s="375" t="str">
        <f t="shared" si="107"/>
        <v>Aurora Estate64</v>
      </c>
      <c r="E552" s="375" t="s">
        <v>1220</v>
      </c>
      <c r="F552" s="375" t="s">
        <v>1095</v>
      </c>
      <c r="G552" s="375" t="s">
        <v>1189</v>
      </c>
      <c r="H552" s="375" t="s">
        <v>1190</v>
      </c>
      <c r="I552" s="63" t="s">
        <v>1191</v>
      </c>
      <c r="J552" s="47">
        <f t="shared" si="115"/>
        <v>3740</v>
      </c>
      <c r="K552" s="46" t="s">
        <v>7938</v>
      </c>
      <c r="L552" s="47">
        <f t="shared" si="113"/>
        <v>1210</v>
      </c>
      <c r="M552" s="47"/>
      <c r="N552" s="47"/>
      <c r="O552" s="47"/>
      <c r="P552" s="47"/>
      <c r="Q552" s="47"/>
      <c r="R552" s="47">
        <f t="shared" si="116"/>
        <v>540</v>
      </c>
      <c r="S552" s="47"/>
      <c r="T552" s="47" t="s">
        <v>1192</v>
      </c>
      <c r="U552" s="47"/>
      <c r="V552" s="47"/>
      <c r="W552" s="47"/>
      <c r="X552" s="47">
        <f>X$7</f>
        <v>3000</v>
      </c>
      <c r="Y552" s="47"/>
      <c r="Z552" s="47">
        <f t="shared" si="112"/>
        <v>4620</v>
      </c>
      <c r="AA552" s="47" t="s">
        <v>1193</v>
      </c>
      <c r="AB552" s="47"/>
      <c r="AC552" s="47"/>
      <c r="AD552" s="47"/>
      <c r="AE552" s="47"/>
      <c r="AF552" s="47">
        <f t="shared" si="118"/>
        <v>1485</v>
      </c>
      <c r="AG552" s="47"/>
      <c r="AH552" s="47" t="str">
        <f>IFERROR(_xlfn.XLOOKUP(Table6[[#This Row],[Suburb]],Table5[Travel Surcharge],Table5[$$]),"")</f>
        <v/>
      </c>
      <c r="AI552" s="47">
        <f>AI$7</f>
        <v>1650.0000000000002</v>
      </c>
      <c r="AJ552" s="47"/>
      <c r="AL552" t="str">
        <v>Nelsons Place</v>
      </c>
    </row>
    <row r="553" spans="1:38">
      <c r="A553" s="374" t="s">
        <v>1187</v>
      </c>
      <c r="B553" s="374">
        <v>65</v>
      </c>
      <c r="C553" s="374" t="s">
        <v>455</v>
      </c>
      <c r="D553" s="375" t="str">
        <f t="shared" si="107"/>
        <v>Aurora Estate65</v>
      </c>
      <c r="E553" s="375" t="s">
        <v>9992</v>
      </c>
      <c r="F553" s="375" t="s">
        <v>1095</v>
      </c>
      <c r="G553" s="375" t="s">
        <v>1189</v>
      </c>
      <c r="H553" s="375" t="s">
        <v>1190</v>
      </c>
      <c r="I553" s="63" t="s">
        <v>1191</v>
      </c>
      <c r="J553" s="47">
        <v>3740</v>
      </c>
      <c r="K553" s="46" t="s">
        <v>7938</v>
      </c>
      <c r="L553" s="47">
        <v>1210</v>
      </c>
      <c r="M553" s="47"/>
      <c r="N553" s="47"/>
      <c r="O553" s="47"/>
      <c r="P553" s="47"/>
      <c r="Q553" s="47"/>
      <c r="R553" s="47">
        <v>540</v>
      </c>
      <c r="S553" s="47"/>
      <c r="T553" s="47" t="s">
        <v>1192</v>
      </c>
      <c r="U553" s="47"/>
      <c r="V553" s="47"/>
      <c r="W553" s="47"/>
      <c r="X553" s="47">
        <v>3000</v>
      </c>
      <c r="Y553" s="47"/>
      <c r="Z553" s="47">
        <v>4620</v>
      </c>
      <c r="AA553" s="47" t="s">
        <v>1193</v>
      </c>
      <c r="AB553" s="47"/>
      <c r="AC553" s="47"/>
      <c r="AD553" s="47"/>
      <c r="AE553" s="47"/>
      <c r="AF553" s="47">
        <v>1485</v>
      </c>
      <c r="AG553" s="47"/>
      <c r="AH553" s="47" t="s">
        <v>9976</v>
      </c>
      <c r="AI553" s="47">
        <v>1650.0000000000002</v>
      </c>
      <c r="AJ553" s="47"/>
      <c r="AL553" t="str">
        <v>New Gardens</v>
      </c>
    </row>
    <row r="554" spans="1:38">
      <c r="A554" s="374" t="s">
        <v>1187</v>
      </c>
      <c r="B554" s="374">
        <v>68</v>
      </c>
      <c r="C554" s="374" t="s">
        <v>455</v>
      </c>
      <c r="D554" s="375" t="str">
        <f t="shared" si="107"/>
        <v>Aurora Estate68</v>
      </c>
      <c r="E554" s="375" t="s">
        <v>10643</v>
      </c>
      <c r="F554" s="375" t="s">
        <v>1095</v>
      </c>
      <c r="G554" s="375" t="s">
        <v>1189</v>
      </c>
      <c r="H554" s="375" t="s">
        <v>1190</v>
      </c>
      <c r="I554" s="63" t="s">
        <v>1191</v>
      </c>
      <c r="J554" s="47">
        <v>3740</v>
      </c>
      <c r="K554" s="46" t="s">
        <v>7938</v>
      </c>
      <c r="L554" s="47">
        <v>1210</v>
      </c>
      <c r="M554" s="47"/>
      <c r="N554" s="47"/>
      <c r="O554" s="47"/>
      <c r="P554" s="47"/>
      <c r="Q554" s="47"/>
      <c r="R554" s="47">
        <v>540</v>
      </c>
      <c r="S554" s="47"/>
      <c r="T554" s="47" t="s">
        <v>1192</v>
      </c>
      <c r="U554" s="47"/>
      <c r="V554" s="47"/>
      <c r="W554" s="47"/>
      <c r="X554" s="47">
        <v>3000</v>
      </c>
      <c r="Y554" s="47"/>
      <c r="Z554" s="47">
        <v>4620</v>
      </c>
      <c r="AA554" s="47" t="s">
        <v>1193</v>
      </c>
      <c r="AB554" s="47"/>
      <c r="AC554" s="47"/>
      <c r="AD554" s="47"/>
      <c r="AE554" s="47"/>
      <c r="AF554" s="47">
        <v>1485</v>
      </c>
      <c r="AG554" s="47"/>
      <c r="AH554" s="47" t="s">
        <v>9976</v>
      </c>
      <c r="AI554" s="47">
        <v>1650.0000000000002</v>
      </c>
      <c r="AJ554" s="47"/>
      <c r="AL554" t="str">
        <v>Newbridge South</v>
      </c>
    </row>
    <row r="555" spans="1:38">
      <c r="A555" s="374" t="s">
        <v>1187</v>
      </c>
      <c r="B555" s="374" t="s">
        <v>1212</v>
      </c>
      <c r="C555" s="374" t="s">
        <v>455</v>
      </c>
      <c r="D555" s="375" t="str">
        <f t="shared" si="107"/>
        <v>Aurora Estate45A</v>
      </c>
      <c r="E555" s="375" t="s">
        <v>1213</v>
      </c>
      <c r="F555" s="375" t="s">
        <v>1095</v>
      </c>
      <c r="G555" s="375" t="s">
        <v>1189</v>
      </c>
      <c r="H555" s="375" t="s">
        <v>1190</v>
      </c>
      <c r="I555" s="63" t="s">
        <v>1191</v>
      </c>
      <c r="J555" s="47">
        <f t="shared" si="115"/>
        <v>3740</v>
      </c>
      <c r="K555" s="46" t="s">
        <v>7938</v>
      </c>
      <c r="L555" s="47">
        <f t="shared" si="113"/>
        <v>1210</v>
      </c>
      <c r="M555" s="47"/>
      <c r="N555" s="47"/>
      <c r="O555" s="47"/>
      <c r="P555" s="47"/>
      <c r="Q555" s="47"/>
      <c r="R555" s="47">
        <f t="shared" si="116"/>
        <v>540</v>
      </c>
      <c r="S555" s="47"/>
      <c r="T555" s="47" t="s">
        <v>1192</v>
      </c>
      <c r="U555" s="47"/>
      <c r="V555" s="47"/>
      <c r="W555" s="47"/>
      <c r="X555" s="47">
        <f>X$7</f>
        <v>3000</v>
      </c>
      <c r="Y555" s="47"/>
      <c r="Z555" s="47">
        <f t="shared" si="112"/>
        <v>4620</v>
      </c>
      <c r="AA555" s="47" t="s">
        <v>1193</v>
      </c>
      <c r="AB555" s="47"/>
      <c r="AC555" s="47"/>
      <c r="AD555" s="47"/>
      <c r="AE555" s="47"/>
      <c r="AF555" s="47">
        <f t="shared" si="118"/>
        <v>1485</v>
      </c>
      <c r="AG555" s="47"/>
      <c r="AH555" s="47" t="str">
        <f>IFERROR(_xlfn.XLOOKUP(Table6[[#This Row],[Suburb]],Table5[Travel Surcharge],Table5[$$]),"")</f>
        <v/>
      </c>
      <c r="AI555" s="47">
        <f>AI$7</f>
        <v>1650.0000000000002</v>
      </c>
      <c r="AJ555" s="47"/>
      <c r="AL555" t="str">
        <v>Newgate Estate</v>
      </c>
    </row>
    <row r="556" spans="1:38">
      <c r="A556" s="374" t="s">
        <v>1187</v>
      </c>
      <c r="B556" s="374" t="s">
        <v>1214</v>
      </c>
      <c r="C556" s="374" t="s">
        <v>455</v>
      </c>
      <c r="D556" s="375" t="str">
        <f t="shared" si="107"/>
        <v>Aurora Estate45B</v>
      </c>
      <c r="E556" s="375" t="s">
        <v>1215</v>
      </c>
      <c r="F556" s="375" t="s">
        <v>1095</v>
      </c>
      <c r="G556" s="375" t="s">
        <v>1189</v>
      </c>
      <c r="H556" s="375" t="s">
        <v>1190</v>
      </c>
      <c r="I556" s="63" t="s">
        <v>1191</v>
      </c>
      <c r="J556" s="47">
        <f t="shared" si="115"/>
        <v>3740</v>
      </c>
      <c r="K556" s="46" t="s">
        <v>7938</v>
      </c>
      <c r="L556" s="47">
        <f t="shared" si="113"/>
        <v>1210</v>
      </c>
      <c r="M556" s="47"/>
      <c r="N556" s="47"/>
      <c r="O556" s="47"/>
      <c r="P556" s="47"/>
      <c r="Q556" s="47"/>
      <c r="R556" s="47">
        <f t="shared" si="116"/>
        <v>540</v>
      </c>
      <c r="S556" s="47"/>
      <c r="T556" s="47" t="s">
        <v>1192</v>
      </c>
      <c r="U556" s="47"/>
      <c r="V556" s="47"/>
      <c r="W556" s="47"/>
      <c r="X556" s="47">
        <f>X$7</f>
        <v>3000</v>
      </c>
      <c r="Y556" s="47"/>
      <c r="Z556" s="47">
        <f t="shared" si="112"/>
        <v>4620</v>
      </c>
      <c r="AA556" s="47" t="s">
        <v>1193</v>
      </c>
      <c r="AB556" s="47"/>
      <c r="AC556" s="47"/>
      <c r="AD556" s="47"/>
      <c r="AE556" s="47"/>
      <c r="AF556" s="47">
        <f t="shared" si="118"/>
        <v>1485</v>
      </c>
      <c r="AG556" s="47"/>
      <c r="AH556" s="47" t="str">
        <f>IFERROR(_xlfn.XLOOKUP(Table6[[#This Row],[Suburb]],Table5[Travel Surcharge],Table5[$$]),"")</f>
        <v/>
      </c>
      <c r="AI556" s="47">
        <f>AI$7</f>
        <v>1650.0000000000002</v>
      </c>
      <c r="AJ556" s="47"/>
      <c r="AL556" t="str">
        <v>Newhaven Estate</v>
      </c>
    </row>
    <row r="557" spans="1:38">
      <c r="A557" s="374" t="s">
        <v>1187</v>
      </c>
      <c r="B557" s="374" t="s">
        <v>617</v>
      </c>
      <c r="C557" s="374" t="s">
        <v>455</v>
      </c>
      <c r="D557" s="375" t="str">
        <f t="shared" si="107"/>
        <v>Aurora Estate5A</v>
      </c>
      <c r="E557" s="375" t="s">
        <v>1221</v>
      </c>
      <c r="F557" s="375" t="s">
        <v>1095</v>
      </c>
      <c r="G557" s="375" t="s">
        <v>1189</v>
      </c>
      <c r="H557" s="375" t="s">
        <v>1190</v>
      </c>
      <c r="I557" s="63" t="s">
        <v>1191</v>
      </c>
      <c r="J557" s="47">
        <f t="shared" si="115"/>
        <v>3740</v>
      </c>
      <c r="K557" s="46" t="s">
        <v>7938</v>
      </c>
      <c r="L557" s="47">
        <f t="shared" si="113"/>
        <v>1210</v>
      </c>
      <c r="M557" s="47"/>
      <c r="N557" s="47"/>
      <c r="O557" s="47"/>
      <c r="P557" s="47"/>
      <c r="Q557" s="47"/>
      <c r="R557" s="47">
        <f t="shared" si="116"/>
        <v>540</v>
      </c>
      <c r="S557" s="47"/>
      <c r="T557" s="47" t="s">
        <v>1192</v>
      </c>
      <c r="U557" s="47"/>
      <c r="V557" s="47"/>
      <c r="W557" s="47"/>
      <c r="X557" s="47"/>
      <c r="Y557" s="47"/>
      <c r="Z557" s="47">
        <f t="shared" si="112"/>
        <v>4620</v>
      </c>
      <c r="AA557" s="47" t="s">
        <v>1193</v>
      </c>
      <c r="AB557" s="47"/>
      <c r="AC557" s="47"/>
      <c r="AD557" s="47"/>
      <c r="AE557" s="47"/>
      <c r="AF557" s="47">
        <f t="shared" si="118"/>
        <v>1485</v>
      </c>
      <c r="AG557" s="47"/>
      <c r="AH557" s="47" t="str">
        <f>IFERROR(_xlfn.XLOOKUP(Table6[[#This Row],[Suburb]],Table5[Travel Surcharge],Table5[$$]),"")</f>
        <v/>
      </c>
      <c r="AI557" s="47"/>
      <c r="AJ557" s="47"/>
      <c r="AL557" t="str">
        <v>Newmarque Estate</v>
      </c>
    </row>
    <row r="558" spans="1:38">
      <c r="A558" s="374" t="s">
        <v>1187</v>
      </c>
      <c r="B558" s="374" t="s">
        <v>619</v>
      </c>
      <c r="C558" s="374" t="s">
        <v>455</v>
      </c>
      <c r="D558" s="375" t="str">
        <f t="shared" si="107"/>
        <v>Aurora Estate5C</v>
      </c>
      <c r="E558" s="375" t="s">
        <v>1221</v>
      </c>
      <c r="F558" s="375" t="s">
        <v>1095</v>
      </c>
      <c r="G558" s="375" t="s">
        <v>1189</v>
      </c>
      <c r="H558" s="375" t="s">
        <v>1190</v>
      </c>
      <c r="I558" s="63" t="s">
        <v>1191</v>
      </c>
      <c r="J558" s="47">
        <f t="shared" si="115"/>
        <v>3740</v>
      </c>
      <c r="K558" s="46" t="s">
        <v>7938</v>
      </c>
      <c r="L558" s="47">
        <f t="shared" si="113"/>
        <v>1210</v>
      </c>
      <c r="M558" s="47"/>
      <c r="N558" s="47"/>
      <c r="O558" s="47"/>
      <c r="P558" s="47"/>
      <c r="Q558" s="47"/>
      <c r="R558" s="47">
        <f t="shared" si="116"/>
        <v>540</v>
      </c>
      <c r="S558" s="47"/>
      <c r="T558" s="47" t="s">
        <v>1192</v>
      </c>
      <c r="U558" s="47"/>
      <c r="V558" s="47"/>
      <c r="W558" s="47"/>
      <c r="X558" s="47"/>
      <c r="Y558" s="47"/>
      <c r="Z558" s="47">
        <f t="shared" si="112"/>
        <v>4620</v>
      </c>
      <c r="AA558" s="47" t="s">
        <v>1193</v>
      </c>
      <c r="AB558" s="47"/>
      <c r="AC558" s="47"/>
      <c r="AD558" s="47"/>
      <c r="AE558" s="47"/>
      <c r="AF558" s="47">
        <f t="shared" si="118"/>
        <v>1485</v>
      </c>
      <c r="AG558" s="47"/>
      <c r="AH558" s="47" t="str">
        <f>IFERROR(_xlfn.XLOOKUP(Table6[[#This Row],[Suburb]],Table5[Travel Surcharge],Table5[$$]),"")</f>
        <v/>
      </c>
      <c r="AI558" s="47"/>
      <c r="AJ558" s="47"/>
      <c r="AL558" t="str">
        <v>No Estate</v>
      </c>
    </row>
    <row r="559" spans="1:38">
      <c r="A559" s="374" t="s">
        <v>1222</v>
      </c>
      <c r="B559" s="374">
        <v>1</v>
      </c>
      <c r="C559" s="374" t="s">
        <v>1223</v>
      </c>
      <c r="D559" s="375" t="str">
        <f t="shared" si="107"/>
        <v>Aurum Estate1</v>
      </c>
      <c r="E559" s="375" t="s">
        <v>1224</v>
      </c>
      <c r="F559" s="375"/>
      <c r="G559" s="375" t="s">
        <v>1225</v>
      </c>
      <c r="H559" s="375" t="s">
        <v>1226</v>
      </c>
      <c r="I559" s="63" t="s">
        <v>1227</v>
      </c>
      <c r="J559" s="47">
        <f t="shared" si="115"/>
        <v>3740</v>
      </c>
      <c r="K559" s="46" t="s">
        <v>10735</v>
      </c>
      <c r="L559" s="47" t="s">
        <v>1228</v>
      </c>
      <c r="M559" s="47">
        <f>M$7</f>
        <v>1430.0000000000002</v>
      </c>
      <c r="N559" s="47" t="s">
        <v>1229</v>
      </c>
      <c r="O559" s="47"/>
      <c r="P559" s="47"/>
      <c r="Q559" s="47"/>
      <c r="R559" s="47">
        <f t="shared" si="116"/>
        <v>540</v>
      </c>
      <c r="S559" s="47"/>
      <c r="T559" s="47">
        <f>T$2</f>
        <v>780</v>
      </c>
      <c r="U559" s="47"/>
      <c r="V559" s="47"/>
      <c r="W559" s="47"/>
      <c r="X559" s="47"/>
      <c r="Y559" s="47"/>
      <c r="Z559" s="47">
        <f t="shared" si="112"/>
        <v>4620</v>
      </c>
      <c r="AA559" s="47">
        <f>AA$7</f>
        <v>1400</v>
      </c>
      <c r="AB559" s="47"/>
      <c r="AC559" s="47"/>
      <c r="AD559" s="47"/>
      <c r="AE559" s="47"/>
      <c r="AF559" s="47">
        <f t="shared" si="118"/>
        <v>1485</v>
      </c>
      <c r="AG559" s="47"/>
      <c r="AH559" s="47" t="str">
        <f>IFERROR(_xlfn.XLOOKUP(Table6[[#This Row],[Suburb]],Table5[Travel Surcharge],Table5[$$]),"")</f>
        <v/>
      </c>
      <c r="AI559" s="47"/>
      <c r="AJ559" s="47"/>
      <c r="AL559" t="str">
        <v>No. 8 Lot 1843 Biota Way Mambourin</v>
      </c>
    </row>
    <row r="560" spans="1:38">
      <c r="A560" s="374" t="s">
        <v>1222</v>
      </c>
      <c r="B560" s="374">
        <v>2</v>
      </c>
      <c r="C560" s="374" t="s">
        <v>1223</v>
      </c>
      <c r="D560" s="375" t="str">
        <f t="shared" si="107"/>
        <v>Aurum Estate2</v>
      </c>
      <c r="E560" s="375" t="s">
        <v>1230</v>
      </c>
      <c r="F560" s="375"/>
      <c r="G560" s="375" t="s">
        <v>1225</v>
      </c>
      <c r="H560" s="375" t="s">
        <v>1226</v>
      </c>
      <c r="I560" s="63" t="s">
        <v>1227</v>
      </c>
      <c r="J560" s="47">
        <f t="shared" si="115"/>
        <v>3740</v>
      </c>
      <c r="K560" s="46" t="s">
        <v>10735</v>
      </c>
      <c r="L560" s="47" t="s">
        <v>1228</v>
      </c>
      <c r="M560" s="47">
        <f>M$7</f>
        <v>1430.0000000000002</v>
      </c>
      <c r="N560" s="47" t="s">
        <v>1229</v>
      </c>
      <c r="O560" s="47"/>
      <c r="P560" s="47"/>
      <c r="Q560" s="47"/>
      <c r="R560" s="47">
        <f t="shared" si="116"/>
        <v>540</v>
      </c>
      <c r="S560" s="47"/>
      <c r="T560" s="47">
        <f>T$2</f>
        <v>780</v>
      </c>
      <c r="U560" s="47"/>
      <c r="V560" s="47"/>
      <c r="W560" s="47"/>
      <c r="X560" s="47"/>
      <c r="Y560" s="47"/>
      <c r="Z560" s="47">
        <f t="shared" si="112"/>
        <v>4620</v>
      </c>
      <c r="AA560" s="47">
        <f>AA$7</f>
        <v>1400</v>
      </c>
      <c r="AB560" s="47"/>
      <c r="AC560" s="47"/>
      <c r="AD560" s="47"/>
      <c r="AE560" s="47"/>
      <c r="AF560" s="47">
        <f t="shared" si="118"/>
        <v>1485</v>
      </c>
      <c r="AG560" s="47"/>
      <c r="AH560" s="47" t="str">
        <f>IFERROR(_xlfn.XLOOKUP(Table6[[#This Row],[Suburb]],Table5[Travel Surcharge],Table5[$$]),"")</f>
        <v/>
      </c>
      <c r="AI560" s="47"/>
      <c r="AJ560" s="47"/>
      <c r="AL560" t="str">
        <v>North Quarter</v>
      </c>
    </row>
    <row r="561" spans="1:38">
      <c r="A561" s="374" t="s">
        <v>1222</v>
      </c>
      <c r="B561" s="374">
        <v>3</v>
      </c>
      <c r="C561" s="374" t="s">
        <v>1223</v>
      </c>
      <c r="D561" s="375" t="str">
        <f t="shared" si="107"/>
        <v>Aurum Estate3</v>
      </c>
      <c r="E561" s="375" t="s">
        <v>1231</v>
      </c>
      <c r="F561" s="375"/>
      <c r="G561" s="375" t="s">
        <v>1225</v>
      </c>
      <c r="H561" s="375" t="s">
        <v>1226</v>
      </c>
      <c r="I561" s="63" t="s">
        <v>1227</v>
      </c>
      <c r="J561" s="47">
        <f t="shared" si="115"/>
        <v>3740</v>
      </c>
      <c r="K561" s="46" t="s">
        <v>10735</v>
      </c>
      <c r="L561" s="47" t="s">
        <v>1228</v>
      </c>
      <c r="M561" s="47">
        <f>M$7</f>
        <v>1430.0000000000002</v>
      </c>
      <c r="N561" s="47" t="s">
        <v>1229</v>
      </c>
      <c r="O561" s="47"/>
      <c r="P561" s="47"/>
      <c r="Q561" s="47"/>
      <c r="R561" s="47">
        <f t="shared" si="116"/>
        <v>540</v>
      </c>
      <c r="S561" s="47"/>
      <c r="T561" s="47">
        <f>T$2</f>
        <v>780</v>
      </c>
      <c r="U561" s="47"/>
      <c r="V561" s="47"/>
      <c r="W561" s="47"/>
      <c r="X561" s="47"/>
      <c r="Y561" s="47"/>
      <c r="Z561" s="47">
        <f t="shared" si="112"/>
        <v>4620</v>
      </c>
      <c r="AA561" s="47">
        <f>AA$7</f>
        <v>1400</v>
      </c>
      <c r="AB561" s="47"/>
      <c r="AC561" s="47"/>
      <c r="AD561" s="47"/>
      <c r="AE561" s="47"/>
      <c r="AF561" s="47">
        <f t="shared" si="118"/>
        <v>1485</v>
      </c>
      <c r="AG561" s="47"/>
      <c r="AH561" s="47" t="str">
        <f>IFERROR(_xlfn.XLOOKUP(Table6[[#This Row],[Suburb]],Table5[Travel Surcharge],Table5[$$]),"")</f>
        <v/>
      </c>
      <c r="AI561" s="47"/>
      <c r="AJ561" s="47"/>
      <c r="AL561" t="str">
        <v>Northgate</v>
      </c>
    </row>
    <row r="562" spans="1:38">
      <c r="A562" s="374" t="s">
        <v>1232</v>
      </c>
      <c r="B562" s="374" t="s">
        <v>8353</v>
      </c>
      <c r="C562" s="374"/>
      <c r="D562" s="375" t="str">
        <f t="shared" si="107"/>
        <v>Austin EstateLochnaben B</v>
      </c>
      <c r="E562" s="375" t="s">
        <v>8354</v>
      </c>
      <c r="F562" s="375" t="s">
        <v>869</v>
      </c>
      <c r="G562" s="375" t="s">
        <v>1234</v>
      </c>
      <c r="H562" s="375" t="s">
        <v>1235</v>
      </c>
      <c r="I562" s="63" t="s">
        <v>1236</v>
      </c>
      <c r="J562" s="47">
        <f t="shared" si="115"/>
        <v>3740</v>
      </c>
      <c r="K562" s="46" t="s">
        <v>7938</v>
      </c>
      <c r="L562" s="47"/>
      <c r="M562" s="47"/>
      <c r="N562" s="47" t="s">
        <v>1237</v>
      </c>
      <c r="O562" s="47" t="s">
        <v>1238</v>
      </c>
      <c r="P562" s="47"/>
      <c r="Q562" s="47"/>
      <c r="R562" s="47"/>
      <c r="S562" s="47"/>
      <c r="T562" s="47">
        <f>T$2</f>
        <v>780</v>
      </c>
      <c r="U562" s="47"/>
      <c r="V562" s="47"/>
      <c r="W562" s="47"/>
      <c r="X562" s="47"/>
      <c r="Y562" s="47"/>
      <c r="Z562" s="47">
        <f t="shared" si="112"/>
        <v>4620</v>
      </c>
      <c r="AA562" s="47"/>
      <c r="AB562" s="47"/>
      <c r="AC562" s="47"/>
      <c r="AD562" s="47"/>
      <c r="AE562" s="47"/>
      <c r="AF562" s="47"/>
      <c r="AG562" s="47"/>
      <c r="AH562" s="47" t="str">
        <f>IFERROR(_xlfn.XLOOKUP(Table6[[#This Row],[Suburb]],Table5[Travel Surcharge],Table5[$$]),"")</f>
        <v/>
      </c>
      <c r="AI562" s="47">
        <f>AI$7</f>
        <v>1650.0000000000002</v>
      </c>
      <c r="AJ562" s="47"/>
      <c r="AL562" t="str">
        <v>Northridge</v>
      </c>
    </row>
    <row r="563" spans="1:38">
      <c r="A563" s="374" t="s">
        <v>1232</v>
      </c>
      <c r="B563" s="374" t="s">
        <v>9840</v>
      </c>
      <c r="C563" s="374" t="s">
        <v>9841</v>
      </c>
      <c r="D563" s="375" t="str">
        <f t="shared" si="107"/>
        <v>Austin Estate31C</v>
      </c>
      <c r="E563" s="375" t="s">
        <v>7424</v>
      </c>
      <c r="F563" s="375" t="s">
        <v>869</v>
      </c>
      <c r="G563" s="375" t="s">
        <v>1234</v>
      </c>
      <c r="H563" s="375" t="s">
        <v>1235</v>
      </c>
      <c r="I563" s="63" t="s">
        <v>1236</v>
      </c>
      <c r="J563" s="47">
        <f t="shared" si="115"/>
        <v>3740</v>
      </c>
      <c r="K563" s="46" t="s">
        <v>7938</v>
      </c>
      <c r="L563" s="47"/>
      <c r="M563" s="47"/>
      <c r="N563" s="47" t="s">
        <v>1237</v>
      </c>
      <c r="O563" s="47" t="s">
        <v>1238</v>
      </c>
      <c r="P563" s="47"/>
      <c r="Q563" s="47"/>
      <c r="R563" s="47"/>
      <c r="S563" s="47"/>
      <c r="T563" s="47">
        <f>T$2</f>
        <v>780</v>
      </c>
      <c r="U563" s="47"/>
      <c r="V563" s="47"/>
      <c r="W563" s="47"/>
      <c r="X563" s="47"/>
      <c r="Y563" s="47"/>
      <c r="Z563" s="47">
        <f t="shared" si="112"/>
        <v>4620</v>
      </c>
      <c r="AA563" s="47"/>
      <c r="AB563" s="47"/>
      <c r="AC563" s="47"/>
      <c r="AD563" s="47"/>
      <c r="AE563" s="47"/>
      <c r="AF563" s="47"/>
      <c r="AG563" s="47"/>
      <c r="AH563" s="47" t="str">
        <f>IFERROR(_xlfn.XLOOKUP(Table6[[#This Row],[Suburb]],Table5[Travel Surcharge],Table5[$$]),"")</f>
        <v/>
      </c>
      <c r="AI563" s="47">
        <f>AI$7</f>
        <v>1650.0000000000002</v>
      </c>
      <c r="AJ563" s="47"/>
      <c r="AL563" t="str">
        <v xml:space="preserve">Northside </v>
      </c>
    </row>
    <row r="564" spans="1:38">
      <c r="A564" s="374" t="s">
        <v>1232</v>
      </c>
      <c r="B564" s="374" t="s">
        <v>9733</v>
      </c>
      <c r="C564" s="374" t="s">
        <v>794</v>
      </c>
      <c r="D564" s="375" t="str">
        <f t="shared" si="107"/>
        <v>Austin Estate32A</v>
      </c>
      <c r="E564" s="375" t="s">
        <v>9734</v>
      </c>
      <c r="F564" s="375" t="s">
        <v>869</v>
      </c>
      <c r="G564" s="375" t="s">
        <v>1234</v>
      </c>
      <c r="H564" s="375" t="s">
        <v>1235</v>
      </c>
      <c r="I564" s="63" t="s">
        <v>1236</v>
      </c>
      <c r="J564" s="47"/>
      <c r="K564" s="46" t="s">
        <v>7938</v>
      </c>
      <c r="L564" s="47"/>
      <c r="M564" s="47"/>
      <c r="N564" s="47" t="s">
        <v>1237</v>
      </c>
      <c r="O564" s="47" t="s">
        <v>1238</v>
      </c>
      <c r="P564" s="47"/>
      <c r="Q564" s="47"/>
      <c r="R564" s="47"/>
      <c r="S564" s="47"/>
      <c r="T564" s="47">
        <v>1420</v>
      </c>
      <c r="U564" s="47"/>
      <c r="V564" s="47"/>
      <c r="W564" s="47"/>
      <c r="X564" s="47"/>
      <c r="Y564" s="47"/>
      <c r="Z564" s="47">
        <v>4620</v>
      </c>
      <c r="AA564" s="47"/>
      <c r="AB564" s="47"/>
      <c r="AC564" s="47"/>
      <c r="AD564" s="47"/>
      <c r="AE564" s="47"/>
      <c r="AF564" s="47"/>
      <c r="AG564" s="47"/>
      <c r="AH564" s="47" t="str">
        <f>IFERROR(_xlfn.XLOOKUP(Table6[[#This Row],[Suburb]],Table5[Travel Surcharge],Table5[$$]),"")</f>
        <v/>
      </c>
      <c r="AI564" s="47">
        <v>1650.0000000000002</v>
      </c>
      <c r="AJ564" s="47"/>
      <c r="AL564" t="str">
        <v>Oak Grove</v>
      </c>
    </row>
    <row r="565" spans="1:38">
      <c r="A565" s="374" t="s">
        <v>1232</v>
      </c>
      <c r="B565" s="374">
        <v>1</v>
      </c>
      <c r="C565" s="374" t="s">
        <v>794</v>
      </c>
      <c r="D565" s="375" t="str">
        <f t="shared" si="107"/>
        <v>Austin Estate1</v>
      </c>
      <c r="E565" s="375" t="s">
        <v>10746</v>
      </c>
      <c r="F565" s="375" t="s">
        <v>869</v>
      </c>
      <c r="G565" s="375" t="s">
        <v>1234</v>
      </c>
      <c r="H565" s="375" t="s">
        <v>1235</v>
      </c>
      <c r="I565" s="63" t="s">
        <v>1236</v>
      </c>
      <c r="J565" s="47"/>
      <c r="K565" s="46" t="s">
        <v>7938</v>
      </c>
      <c r="L565" s="47"/>
      <c r="M565" s="47"/>
      <c r="N565" s="47" t="s">
        <v>1237</v>
      </c>
      <c r="O565" s="47" t="s">
        <v>1238</v>
      </c>
      <c r="P565" s="47"/>
      <c r="Q565" s="47"/>
      <c r="R565" s="47"/>
      <c r="S565" s="47"/>
      <c r="T565" s="47">
        <v>1420</v>
      </c>
      <c r="U565" s="47"/>
      <c r="V565" s="47"/>
      <c r="W565" s="47"/>
      <c r="X565" s="47"/>
      <c r="Y565" s="47"/>
      <c r="Z565" s="47">
        <v>4620</v>
      </c>
      <c r="AA565" s="47"/>
      <c r="AB565" s="47"/>
      <c r="AC565" s="47"/>
      <c r="AD565" s="47"/>
      <c r="AE565" s="47"/>
      <c r="AF565" s="47"/>
      <c r="AG565" s="47"/>
      <c r="AH565" s="47" t="s">
        <v>9976</v>
      </c>
      <c r="AI565" s="47">
        <v>1650.0000000000002</v>
      </c>
      <c r="AJ565" s="47"/>
      <c r="AL565" t="str">
        <v>Oak Hill Estate</v>
      </c>
    </row>
    <row r="566" spans="1:38">
      <c r="A566" s="374" t="s">
        <v>1232</v>
      </c>
      <c r="B566" s="374">
        <v>2</v>
      </c>
      <c r="C566" s="374" t="s">
        <v>794</v>
      </c>
      <c r="D566" s="375" t="str">
        <f t="shared" si="107"/>
        <v>Austin Estate2</v>
      </c>
      <c r="E566" s="375" t="s">
        <v>1233</v>
      </c>
      <c r="F566" s="375" t="s">
        <v>869</v>
      </c>
      <c r="G566" s="375" t="s">
        <v>1234</v>
      </c>
      <c r="H566" s="375" t="s">
        <v>1235</v>
      </c>
      <c r="I566" s="63" t="s">
        <v>1236</v>
      </c>
      <c r="J566" s="47"/>
      <c r="K566" s="46" t="s">
        <v>7938</v>
      </c>
      <c r="L566" s="47"/>
      <c r="M566" s="47"/>
      <c r="N566" s="47" t="s">
        <v>1237</v>
      </c>
      <c r="O566" s="47" t="s">
        <v>1238</v>
      </c>
      <c r="P566" s="47"/>
      <c r="Q566" s="47"/>
      <c r="R566" s="47"/>
      <c r="S566" s="47"/>
      <c r="T566" s="47">
        <f t="shared" ref="T566:T579" si="119">T$2</f>
        <v>780</v>
      </c>
      <c r="U566" s="47"/>
      <c r="V566" s="47"/>
      <c r="W566" s="47"/>
      <c r="X566" s="47"/>
      <c r="Y566" s="47"/>
      <c r="Z566" s="47">
        <f t="shared" ref="Z566:Z579" si="120">Z$7</f>
        <v>4620</v>
      </c>
      <c r="AA566" s="47"/>
      <c r="AB566" s="47"/>
      <c r="AC566" s="47"/>
      <c r="AD566" s="47"/>
      <c r="AE566" s="47"/>
      <c r="AF566" s="47"/>
      <c r="AG566" s="47"/>
      <c r="AH566" s="47" t="str">
        <f>IFERROR(_xlfn.XLOOKUP(Table6[[#This Row],[Suburb]],Table5[Travel Surcharge],Table5[$$]),"")</f>
        <v/>
      </c>
      <c r="AI566" s="47">
        <f t="shared" ref="AI566:AI579" si="121">AI$7</f>
        <v>1650.0000000000002</v>
      </c>
      <c r="AJ566" s="47"/>
      <c r="AL566" t="str">
        <v>Oakdene Estate</v>
      </c>
    </row>
    <row r="567" spans="1:38">
      <c r="A567" s="374" t="s">
        <v>1232</v>
      </c>
      <c r="B567" s="374">
        <v>3</v>
      </c>
      <c r="C567" s="374" t="s">
        <v>794</v>
      </c>
      <c r="D567" s="375" t="str">
        <f t="shared" si="107"/>
        <v>Austin Estate3</v>
      </c>
      <c r="E567" s="375" t="s">
        <v>10969</v>
      </c>
      <c r="F567" s="375" t="s">
        <v>869</v>
      </c>
      <c r="G567" s="375" t="s">
        <v>1234</v>
      </c>
      <c r="H567" s="375" t="s">
        <v>1235</v>
      </c>
      <c r="I567" s="63" t="s">
        <v>1236</v>
      </c>
      <c r="J567" s="47"/>
      <c r="K567" s="46" t="s">
        <v>7938</v>
      </c>
      <c r="L567" s="47"/>
      <c r="M567" s="47"/>
      <c r="N567" s="47" t="s">
        <v>1237</v>
      </c>
      <c r="O567" s="47" t="s">
        <v>1238</v>
      </c>
      <c r="P567" s="47"/>
      <c r="Q567" s="47"/>
      <c r="R567" s="47"/>
      <c r="S567" s="47"/>
      <c r="T567" s="47">
        <v>780</v>
      </c>
      <c r="U567" s="47"/>
      <c r="V567" s="47"/>
      <c r="W567" s="47"/>
      <c r="X567" s="47"/>
      <c r="Y567" s="47"/>
      <c r="Z567" s="47">
        <v>4620</v>
      </c>
      <c r="AA567" s="47"/>
      <c r="AB567" s="47"/>
      <c r="AC567" s="47"/>
      <c r="AD567" s="47"/>
      <c r="AE567" s="47"/>
      <c r="AF567" s="47"/>
      <c r="AG567" s="47"/>
      <c r="AH567" s="47" t="s">
        <v>9976</v>
      </c>
      <c r="AI567" s="47">
        <v>1650.0000000000002</v>
      </c>
      <c r="AJ567" s="47"/>
      <c r="AL567" t="str">
        <v xml:space="preserve">Oaklands Estate </v>
      </c>
    </row>
    <row r="568" spans="1:38">
      <c r="A568" s="374" t="s">
        <v>1232</v>
      </c>
      <c r="B568" s="374">
        <v>4</v>
      </c>
      <c r="C568" s="374" t="s">
        <v>794</v>
      </c>
      <c r="D568" s="375" t="str">
        <f t="shared" si="107"/>
        <v>Austin Estate4</v>
      </c>
      <c r="E568" s="375" t="s">
        <v>1239</v>
      </c>
      <c r="F568" s="375" t="s">
        <v>869</v>
      </c>
      <c r="G568" s="375" t="s">
        <v>1234</v>
      </c>
      <c r="H568" s="375" t="s">
        <v>1235</v>
      </c>
      <c r="I568" s="63" t="s">
        <v>1236</v>
      </c>
      <c r="J568" s="47"/>
      <c r="K568" s="46" t="s">
        <v>7938</v>
      </c>
      <c r="L568" s="47"/>
      <c r="M568" s="47"/>
      <c r="N568" s="47" t="s">
        <v>1237</v>
      </c>
      <c r="O568" s="47" t="s">
        <v>1238</v>
      </c>
      <c r="P568" s="47"/>
      <c r="Q568" s="47"/>
      <c r="R568" s="47"/>
      <c r="S568" s="47"/>
      <c r="T568" s="47">
        <f t="shared" si="119"/>
        <v>780</v>
      </c>
      <c r="U568" s="47"/>
      <c r="V568" s="47"/>
      <c r="W568" s="47"/>
      <c r="X568" s="47"/>
      <c r="Y568" s="47"/>
      <c r="Z568" s="47">
        <f t="shared" si="120"/>
        <v>4620</v>
      </c>
      <c r="AA568" s="47"/>
      <c r="AB568" s="47"/>
      <c r="AC568" s="47"/>
      <c r="AD568" s="47"/>
      <c r="AE568" s="47"/>
      <c r="AF568" s="47"/>
      <c r="AG568" s="47"/>
      <c r="AH568" s="47" t="str">
        <f>IFERROR(_xlfn.XLOOKUP(Table6[[#This Row],[Suburb]],Table5[Travel Surcharge],Table5[$$]),"")</f>
        <v/>
      </c>
      <c r="AI568" s="47">
        <f t="shared" si="121"/>
        <v>1650.0000000000002</v>
      </c>
      <c r="AJ568" s="47"/>
      <c r="AL568" t="str">
        <v>Ocean Grand</v>
      </c>
    </row>
    <row r="569" spans="1:38">
      <c r="A569" s="374" t="s">
        <v>1232</v>
      </c>
      <c r="B569" s="374">
        <v>5</v>
      </c>
      <c r="C569" s="374" t="s">
        <v>794</v>
      </c>
      <c r="D569" s="375" t="str">
        <f t="shared" si="107"/>
        <v>Austin Estate5</v>
      </c>
      <c r="E569" s="375" t="s">
        <v>9015</v>
      </c>
      <c r="F569" s="375" t="s">
        <v>869</v>
      </c>
      <c r="G569" s="375" t="s">
        <v>1234</v>
      </c>
      <c r="H569" s="375" t="s">
        <v>1235</v>
      </c>
      <c r="I569" s="63" t="s">
        <v>1236</v>
      </c>
      <c r="J569" s="47"/>
      <c r="K569" s="46" t="s">
        <v>7938</v>
      </c>
      <c r="L569" s="47"/>
      <c r="M569" s="47"/>
      <c r="N569" s="47" t="s">
        <v>1237</v>
      </c>
      <c r="O569" s="47" t="s">
        <v>1238</v>
      </c>
      <c r="P569" s="47"/>
      <c r="Q569" s="47"/>
      <c r="R569" s="47"/>
      <c r="S569" s="47"/>
      <c r="T569" s="47">
        <f t="shared" si="119"/>
        <v>780</v>
      </c>
      <c r="U569" s="47"/>
      <c r="V569" s="47"/>
      <c r="W569" s="47"/>
      <c r="X569" s="47"/>
      <c r="Y569" s="47"/>
      <c r="Z569" s="47">
        <f t="shared" si="120"/>
        <v>4620</v>
      </c>
      <c r="AA569" s="47"/>
      <c r="AB569" s="47"/>
      <c r="AC569" s="47"/>
      <c r="AD569" s="47"/>
      <c r="AE569" s="47"/>
      <c r="AF569" s="47"/>
      <c r="AG569" s="47"/>
      <c r="AH569" s="47" t="str">
        <f>IFERROR(_xlfn.XLOOKUP(Table6[[#This Row],[Suburb]],Table5[Travel Surcharge],Table5[$$]),"")</f>
        <v/>
      </c>
      <c r="AI569" s="47">
        <f t="shared" si="121"/>
        <v>1650.0000000000002</v>
      </c>
      <c r="AJ569" s="47"/>
      <c r="AL569" t="str">
        <v>Oceana</v>
      </c>
    </row>
    <row r="570" spans="1:38">
      <c r="A570" s="374" t="s">
        <v>1232</v>
      </c>
      <c r="B570" s="374">
        <v>6</v>
      </c>
      <c r="C570" s="374" t="s">
        <v>794</v>
      </c>
      <c r="D570" s="375" t="str">
        <f t="shared" si="107"/>
        <v>Austin Estate6</v>
      </c>
      <c r="E570" s="375" t="s">
        <v>1233</v>
      </c>
      <c r="F570" s="375" t="s">
        <v>869</v>
      </c>
      <c r="G570" s="375" t="s">
        <v>1234</v>
      </c>
      <c r="H570" s="375" t="s">
        <v>1235</v>
      </c>
      <c r="I570" s="63" t="s">
        <v>1236</v>
      </c>
      <c r="J570" s="47"/>
      <c r="K570" s="46" t="s">
        <v>7938</v>
      </c>
      <c r="L570" s="47"/>
      <c r="M570" s="47"/>
      <c r="N570" s="47" t="s">
        <v>1237</v>
      </c>
      <c r="O570" s="47" t="s">
        <v>1238</v>
      </c>
      <c r="P570" s="47"/>
      <c r="Q570" s="47"/>
      <c r="R570" s="47"/>
      <c r="S570" s="47"/>
      <c r="T570" s="47">
        <f t="shared" si="119"/>
        <v>780</v>
      </c>
      <c r="U570" s="47"/>
      <c r="V570" s="47"/>
      <c r="W570" s="47"/>
      <c r="X570" s="47"/>
      <c r="Y570" s="47"/>
      <c r="Z570" s="47">
        <f t="shared" si="120"/>
        <v>4620</v>
      </c>
      <c r="AA570" s="47"/>
      <c r="AB570" s="47"/>
      <c r="AC570" s="47"/>
      <c r="AD570" s="47"/>
      <c r="AE570" s="47"/>
      <c r="AF570" s="47"/>
      <c r="AG570" s="47"/>
      <c r="AH570" s="47" t="str">
        <f>IFERROR(_xlfn.XLOOKUP(Table6[[#This Row],[Suburb]],Table5[Travel Surcharge],Table5[$$]),"")</f>
        <v/>
      </c>
      <c r="AI570" s="47">
        <f t="shared" si="121"/>
        <v>1650.0000000000002</v>
      </c>
      <c r="AJ570" s="47"/>
      <c r="AL570" t="str">
        <v>Octave</v>
      </c>
    </row>
    <row r="571" spans="1:38">
      <c r="A571" s="374" t="s">
        <v>1232</v>
      </c>
      <c r="B571" s="374">
        <v>7</v>
      </c>
      <c r="C571" s="374" t="s">
        <v>794</v>
      </c>
      <c r="D571" s="375" t="str">
        <f t="shared" si="107"/>
        <v>Austin Estate7</v>
      </c>
      <c r="E571" s="375" t="s">
        <v>1233</v>
      </c>
      <c r="F571" s="375" t="s">
        <v>869</v>
      </c>
      <c r="G571" s="375" t="s">
        <v>1234</v>
      </c>
      <c r="H571" s="375" t="s">
        <v>1235</v>
      </c>
      <c r="I571" s="63" t="s">
        <v>1236</v>
      </c>
      <c r="J571" s="47"/>
      <c r="K571" s="46" t="s">
        <v>7938</v>
      </c>
      <c r="L571" s="47"/>
      <c r="M571" s="47"/>
      <c r="N571" s="47" t="s">
        <v>1237</v>
      </c>
      <c r="O571" s="47" t="s">
        <v>1238</v>
      </c>
      <c r="P571" s="47"/>
      <c r="Q571" s="47"/>
      <c r="R571" s="47"/>
      <c r="S571" s="47"/>
      <c r="T571" s="47">
        <f t="shared" si="119"/>
        <v>780</v>
      </c>
      <c r="U571" s="47"/>
      <c r="V571" s="47"/>
      <c r="W571" s="47"/>
      <c r="X571" s="47"/>
      <c r="Y571" s="47"/>
      <c r="Z571" s="47">
        <f t="shared" si="120"/>
        <v>4620</v>
      </c>
      <c r="AA571" s="47"/>
      <c r="AB571" s="47"/>
      <c r="AC571" s="47"/>
      <c r="AD571" s="47"/>
      <c r="AE571" s="47"/>
      <c r="AF571" s="47"/>
      <c r="AG571" s="47"/>
      <c r="AH571" s="47" t="str">
        <f>IFERROR(_xlfn.XLOOKUP(Table6[[#This Row],[Suburb]],Table5[Travel Surcharge],Table5[$$]),"")</f>
        <v/>
      </c>
      <c r="AI571" s="47">
        <f t="shared" si="121"/>
        <v>1650.0000000000002</v>
      </c>
      <c r="AJ571" s="47"/>
      <c r="AL571" t="str">
        <v>Officer Central</v>
      </c>
    </row>
    <row r="572" spans="1:38">
      <c r="A572" s="157" t="s">
        <v>1232</v>
      </c>
      <c r="B572" s="157">
        <v>9</v>
      </c>
      <c r="C572" s="157" t="s">
        <v>794</v>
      </c>
      <c r="D572" s="157" t="str">
        <f t="shared" si="107"/>
        <v>Austin Estate9</v>
      </c>
      <c r="E572" s="157" t="s">
        <v>1241</v>
      </c>
      <c r="F572" s="157" t="s">
        <v>869</v>
      </c>
      <c r="G572" s="157" t="s">
        <v>1234</v>
      </c>
      <c r="H572" s="157" t="s">
        <v>1235</v>
      </c>
      <c r="I572" s="158" t="s">
        <v>1236</v>
      </c>
      <c r="J572" s="47"/>
      <c r="K572" s="46" t="s">
        <v>7938</v>
      </c>
      <c r="L572" s="47"/>
      <c r="M572" s="47"/>
      <c r="N572" s="47" t="s">
        <v>1237</v>
      </c>
      <c r="O572" s="47" t="s">
        <v>1238</v>
      </c>
      <c r="P572" s="47"/>
      <c r="Q572" s="47"/>
      <c r="R572" s="47"/>
      <c r="S572" s="47"/>
      <c r="T572" s="47">
        <f t="shared" si="119"/>
        <v>780</v>
      </c>
      <c r="U572" s="47"/>
      <c r="V572" s="47"/>
      <c r="W572" s="47"/>
      <c r="X572" s="47"/>
      <c r="Y572" s="47"/>
      <c r="Z572" s="47">
        <f t="shared" si="120"/>
        <v>4620</v>
      </c>
      <c r="AA572" s="47"/>
      <c r="AB572" s="47"/>
      <c r="AC572" s="47"/>
      <c r="AD572" s="47"/>
      <c r="AE572" s="47"/>
      <c r="AF572" s="47"/>
      <c r="AG572" s="47"/>
      <c r="AH572" s="47" t="str">
        <f>IFERROR(_xlfn.XLOOKUP(Table6[[#This Row],[Suburb]],Table5[Travel Surcharge],Table5[$$]),"")</f>
        <v/>
      </c>
      <c r="AI572" s="47">
        <f t="shared" si="121"/>
        <v>1650.0000000000002</v>
      </c>
      <c r="AJ572" s="47"/>
      <c r="AL572" t="str">
        <v>Officer Fields</v>
      </c>
    </row>
    <row r="573" spans="1:38">
      <c r="A573" s="157" t="s">
        <v>1232</v>
      </c>
      <c r="B573" s="157">
        <v>10</v>
      </c>
      <c r="C573" s="157" t="s">
        <v>794</v>
      </c>
      <c r="D573" s="157" t="str">
        <f t="shared" ref="D573:D650" si="122">CONCATENATE(A573,B573)</f>
        <v>Austin Estate10</v>
      </c>
      <c r="E573" s="157" t="s">
        <v>1241</v>
      </c>
      <c r="F573" s="157" t="s">
        <v>869</v>
      </c>
      <c r="G573" s="157" t="s">
        <v>1234</v>
      </c>
      <c r="H573" s="157" t="s">
        <v>1235</v>
      </c>
      <c r="I573" s="158" t="s">
        <v>1236</v>
      </c>
      <c r="J573" s="47"/>
      <c r="K573" s="46" t="s">
        <v>7938</v>
      </c>
      <c r="L573" s="47"/>
      <c r="M573" s="47"/>
      <c r="N573" s="47" t="s">
        <v>1237</v>
      </c>
      <c r="O573" s="47" t="s">
        <v>1238</v>
      </c>
      <c r="P573" s="47"/>
      <c r="Q573" s="47"/>
      <c r="R573" s="47"/>
      <c r="S573" s="47"/>
      <c r="T573" s="47">
        <f t="shared" si="119"/>
        <v>780</v>
      </c>
      <c r="U573" s="47"/>
      <c r="V573" s="47"/>
      <c r="W573" s="47"/>
      <c r="X573" s="47"/>
      <c r="Y573" s="47"/>
      <c r="Z573" s="47">
        <f t="shared" si="120"/>
        <v>4620</v>
      </c>
      <c r="AA573" s="47"/>
      <c r="AB573" s="47"/>
      <c r="AC573" s="47"/>
      <c r="AD573" s="47"/>
      <c r="AE573" s="47"/>
      <c r="AF573" s="47"/>
      <c r="AG573" s="47"/>
      <c r="AH573" s="47" t="str">
        <f>IFERROR(_xlfn.XLOOKUP(Table6[[#This Row],[Suburb]],Table5[Travel Surcharge],Table5[$$]),"")</f>
        <v/>
      </c>
      <c r="AI573" s="47">
        <f t="shared" si="121"/>
        <v>1650.0000000000002</v>
      </c>
      <c r="AJ573" s="47"/>
      <c r="AL573" t="str">
        <v>Olearia</v>
      </c>
    </row>
    <row r="574" spans="1:38">
      <c r="A574" s="157" t="s">
        <v>1232</v>
      </c>
      <c r="B574" s="157">
        <v>11</v>
      </c>
      <c r="C574" s="157" t="s">
        <v>794</v>
      </c>
      <c r="D574" s="157" t="str">
        <f t="shared" si="122"/>
        <v>Austin Estate11</v>
      </c>
      <c r="E574" s="157" t="s">
        <v>1243</v>
      </c>
      <c r="F574" s="157" t="s">
        <v>869</v>
      </c>
      <c r="G574" s="157" t="s">
        <v>1234</v>
      </c>
      <c r="H574" s="157" t="s">
        <v>1235</v>
      </c>
      <c r="I574" s="158" t="s">
        <v>1236</v>
      </c>
      <c r="J574" s="47"/>
      <c r="K574" s="46" t="s">
        <v>7938</v>
      </c>
      <c r="L574" s="47"/>
      <c r="M574" s="47"/>
      <c r="N574" s="47" t="s">
        <v>1237</v>
      </c>
      <c r="O574" s="47" t="s">
        <v>1238</v>
      </c>
      <c r="P574" s="47"/>
      <c r="Q574" s="47"/>
      <c r="R574" s="47"/>
      <c r="S574" s="47"/>
      <c r="T574" s="47">
        <f t="shared" si="119"/>
        <v>780</v>
      </c>
      <c r="U574" s="47"/>
      <c r="V574" s="47"/>
      <c r="W574" s="47"/>
      <c r="X574" s="47"/>
      <c r="Y574" s="47"/>
      <c r="Z574" s="47">
        <f t="shared" si="120"/>
        <v>4620</v>
      </c>
      <c r="AA574" s="47"/>
      <c r="AB574" s="47"/>
      <c r="AC574" s="47"/>
      <c r="AD574" s="47"/>
      <c r="AE574" s="47"/>
      <c r="AF574" s="47"/>
      <c r="AG574" s="47"/>
      <c r="AH574" s="47" t="str">
        <f>IFERROR(_xlfn.XLOOKUP(Table6[[#This Row],[Suburb]],Table5[Travel Surcharge],Table5[$$]),"")</f>
        <v/>
      </c>
      <c r="AI574" s="47">
        <f t="shared" si="121"/>
        <v>1650.0000000000002</v>
      </c>
      <c r="AJ574" s="47"/>
      <c r="AL574" t="str">
        <v>Olive Court</v>
      </c>
    </row>
    <row r="575" spans="1:38">
      <c r="A575" s="374" t="s">
        <v>1232</v>
      </c>
      <c r="B575" s="374">
        <v>12</v>
      </c>
      <c r="C575" s="374" t="s">
        <v>794</v>
      </c>
      <c r="D575" s="375" t="str">
        <f t="shared" si="122"/>
        <v>Austin Estate12</v>
      </c>
      <c r="E575" s="375" t="s">
        <v>1240</v>
      </c>
      <c r="F575" s="375" t="s">
        <v>869</v>
      </c>
      <c r="G575" s="375" t="s">
        <v>1234</v>
      </c>
      <c r="H575" s="375" t="s">
        <v>1235</v>
      </c>
      <c r="I575" s="63" t="s">
        <v>1236</v>
      </c>
      <c r="J575" s="47"/>
      <c r="K575" s="46" t="s">
        <v>7938</v>
      </c>
      <c r="L575" s="47"/>
      <c r="M575" s="47"/>
      <c r="N575" s="47" t="s">
        <v>1237</v>
      </c>
      <c r="O575" s="47" t="s">
        <v>1238</v>
      </c>
      <c r="P575" s="47"/>
      <c r="Q575" s="47"/>
      <c r="R575" s="47"/>
      <c r="S575" s="47"/>
      <c r="T575" s="47">
        <f t="shared" si="119"/>
        <v>780</v>
      </c>
      <c r="U575" s="47"/>
      <c r="V575" s="47"/>
      <c r="W575" s="47"/>
      <c r="X575" s="47"/>
      <c r="Y575" s="47"/>
      <c r="Z575" s="47">
        <f t="shared" si="120"/>
        <v>4620</v>
      </c>
      <c r="AA575" s="47"/>
      <c r="AB575" s="47"/>
      <c r="AC575" s="47"/>
      <c r="AD575" s="47"/>
      <c r="AE575" s="47"/>
      <c r="AF575" s="47"/>
      <c r="AG575" s="47"/>
      <c r="AH575" s="47" t="str">
        <f>IFERROR(_xlfn.XLOOKUP(Table6[[#This Row],[Suburb]],Table5[Travel Surcharge],Table5[$$]),"")</f>
        <v/>
      </c>
      <c r="AI575" s="47">
        <f t="shared" si="121"/>
        <v>1650.0000000000002</v>
      </c>
      <c r="AJ575" s="47"/>
      <c r="AL575" t="str">
        <v>Olivia Estate</v>
      </c>
    </row>
    <row r="576" spans="1:38">
      <c r="A576" s="374" t="s">
        <v>1232</v>
      </c>
      <c r="B576" s="374">
        <v>13</v>
      </c>
      <c r="C576" s="374" t="s">
        <v>794</v>
      </c>
      <c r="D576" s="375" t="str">
        <f t="shared" si="122"/>
        <v>Austin Estate13</v>
      </c>
      <c r="E576" s="375" t="s">
        <v>1241</v>
      </c>
      <c r="F576" s="375" t="s">
        <v>869</v>
      </c>
      <c r="G576" s="375" t="s">
        <v>1234</v>
      </c>
      <c r="H576" s="375" t="s">
        <v>1235</v>
      </c>
      <c r="I576" s="63" t="s">
        <v>1236</v>
      </c>
      <c r="J576" s="47"/>
      <c r="K576" s="46" t="s">
        <v>7938</v>
      </c>
      <c r="L576" s="47"/>
      <c r="M576" s="47"/>
      <c r="N576" s="47" t="s">
        <v>1237</v>
      </c>
      <c r="O576" s="47" t="s">
        <v>1238</v>
      </c>
      <c r="P576" s="47"/>
      <c r="Q576" s="47"/>
      <c r="R576" s="47"/>
      <c r="S576" s="47"/>
      <c r="T576" s="47">
        <f t="shared" si="119"/>
        <v>780</v>
      </c>
      <c r="U576" s="47"/>
      <c r="V576" s="47"/>
      <c r="W576" s="47"/>
      <c r="X576" s="47"/>
      <c r="Y576" s="47"/>
      <c r="Z576" s="47">
        <f t="shared" si="120"/>
        <v>4620</v>
      </c>
      <c r="AA576" s="47"/>
      <c r="AB576" s="47"/>
      <c r="AC576" s="47"/>
      <c r="AD576" s="47"/>
      <c r="AE576" s="47"/>
      <c r="AF576" s="47"/>
      <c r="AG576" s="47"/>
      <c r="AH576" s="47" t="str">
        <f>IFERROR(_xlfn.XLOOKUP(Table6[[#This Row],[Suburb]],Table5[Travel Surcharge],Table5[$$]),"")</f>
        <v/>
      </c>
      <c r="AI576" s="47">
        <f t="shared" si="121"/>
        <v>1650.0000000000002</v>
      </c>
      <c r="AJ576" s="47"/>
      <c r="AL576" t="str">
        <v>Olivine Estate</v>
      </c>
    </row>
    <row r="577" spans="1:38">
      <c r="A577" s="374" t="s">
        <v>1232</v>
      </c>
      <c r="B577" s="374">
        <v>14</v>
      </c>
      <c r="C577" s="374" t="s">
        <v>794</v>
      </c>
      <c r="D577" s="375" t="str">
        <f t="shared" si="122"/>
        <v>Austin Estate14</v>
      </c>
      <c r="E577" s="375" t="s">
        <v>1242</v>
      </c>
      <c r="F577" s="375" t="s">
        <v>869</v>
      </c>
      <c r="G577" s="375" t="s">
        <v>1234</v>
      </c>
      <c r="H577" s="375" t="s">
        <v>1235</v>
      </c>
      <c r="I577" s="63" t="s">
        <v>1236</v>
      </c>
      <c r="J577" s="47"/>
      <c r="K577" s="46" t="s">
        <v>7938</v>
      </c>
      <c r="L577" s="47"/>
      <c r="M577" s="47"/>
      <c r="N577" s="47" t="s">
        <v>1237</v>
      </c>
      <c r="O577" s="47" t="s">
        <v>1238</v>
      </c>
      <c r="P577" s="47"/>
      <c r="Q577" s="47"/>
      <c r="R577" s="47"/>
      <c r="S577" s="47"/>
      <c r="T577" s="47">
        <f t="shared" si="119"/>
        <v>780</v>
      </c>
      <c r="U577" s="47"/>
      <c r="V577" s="47"/>
      <c r="W577" s="47"/>
      <c r="X577" s="47"/>
      <c r="Y577" s="47"/>
      <c r="Z577" s="47">
        <f t="shared" si="120"/>
        <v>4620</v>
      </c>
      <c r="AA577" s="47"/>
      <c r="AB577" s="47"/>
      <c r="AC577" s="47"/>
      <c r="AD577" s="47"/>
      <c r="AE577" s="47"/>
      <c r="AF577" s="47"/>
      <c r="AG577" s="47"/>
      <c r="AH577" s="47" t="str">
        <f>IFERROR(_xlfn.XLOOKUP(Table6[[#This Row],[Suburb]],Table5[Travel Surcharge],Table5[$$]),"")</f>
        <v/>
      </c>
      <c r="AI577" s="47">
        <f t="shared" si="121"/>
        <v>1650.0000000000002</v>
      </c>
      <c r="AJ577" s="47"/>
      <c r="AL577" t="str">
        <v>One</v>
      </c>
    </row>
    <row r="578" spans="1:38">
      <c r="A578" s="374" t="s">
        <v>1232</v>
      </c>
      <c r="B578" s="374">
        <v>15</v>
      </c>
      <c r="C578" s="377" t="s">
        <v>794</v>
      </c>
      <c r="D578" s="375" t="str">
        <f t="shared" si="122"/>
        <v>Austin Estate15</v>
      </c>
      <c r="E578" s="375" t="s">
        <v>1243</v>
      </c>
      <c r="F578" s="375" t="s">
        <v>869</v>
      </c>
      <c r="G578" s="375" t="s">
        <v>1234</v>
      </c>
      <c r="H578" s="375" t="s">
        <v>1235</v>
      </c>
      <c r="I578" s="63" t="s">
        <v>1236</v>
      </c>
      <c r="J578" s="47"/>
      <c r="K578" s="46" t="s">
        <v>7938</v>
      </c>
      <c r="L578" s="47"/>
      <c r="M578" s="47"/>
      <c r="N578" s="47" t="s">
        <v>1237</v>
      </c>
      <c r="O578" s="47" t="s">
        <v>1238</v>
      </c>
      <c r="P578" s="47"/>
      <c r="Q578" s="47"/>
      <c r="R578" s="47"/>
      <c r="S578" s="47"/>
      <c r="T578" s="47">
        <f t="shared" si="119"/>
        <v>780</v>
      </c>
      <c r="U578" s="47"/>
      <c r="V578" s="47"/>
      <c r="W578" s="47"/>
      <c r="X578" s="47"/>
      <c r="Y578" s="47"/>
      <c r="Z578" s="47">
        <f t="shared" si="120"/>
        <v>4620</v>
      </c>
      <c r="AA578" s="47"/>
      <c r="AB578" s="47"/>
      <c r="AC578" s="47"/>
      <c r="AD578" s="47"/>
      <c r="AE578" s="47"/>
      <c r="AF578" s="47"/>
      <c r="AG578" s="47"/>
      <c r="AH578" s="47" t="str">
        <f>IFERROR(_xlfn.XLOOKUP(Table6[[#This Row],[Suburb]],Table5[Travel Surcharge],Table5[$$]),"")</f>
        <v/>
      </c>
      <c r="AI578" s="47">
        <f t="shared" si="121"/>
        <v>1650.0000000000002</v>
      </c>
      <c r="AJ578" s="47"/>
      <c r="AL578" t="str">
        <v xml:space="preserve">One  </v>
      </c>
    </row>
    <row r="579" spans="1:38">
      <c r="A579" s="374" t="s">
        <v>1232</v>
      </c>
      <c r="B579" s="374">
        <v>16</v>
      </c>
      <c r="C579" s="374" t="s">
        <v>794</v>
      </c>
      <c r="D579" s="375" t="str">
        <f t="shared" si="122"/>
        <v>Austin Estate16</v>
      </c>
      <c r="E579" s="375" t="s">
        <v>1244</v>
      </c>
      <c r="F579" s="375" t="s">
        <v>869</v>
      </c>
      <c r="G579" s="375" t="s">
        <v>1234</v>
      </c>
      <c r="H579" s="375" t="s">
        <v>1235</v>
      </c>
      <c r="I579" s="63" t="s">
        <v>1236</v>
      </c>
      <c r="J579" s="47"/>
      <c r="K579" s="46" t="s">
        <v>7938</v>
      </c>
      <c r="L579" s="47"/>
      <c r="M579" s="47"/>
      <c r="N579" s="47" t="s">
        <v>1237</v>
      </c>
      <c r="O579" s="47" t="s">
        <v>1238</v>
      </c>
      <c r="P579" s="47"/>
      <c r="Q579" s="47"/>
      <c r="R579" s="47"/>
      <c r="S579" s="47"/>
      <c r="T579" s="47">
        <f t="shared" si="119"/>
        <v>780</v>
      </c>
      <c r="U579" s="47"/>
      <c r="V579" s="47"/>
      <c r="W579" s="47"/>
      <c r="X579" s="47"/>
      <c r="Y579" s="47"/>
      <c r="Z579" s="47">
        <f t="shared" si="120"/>
        <v>4620</v>
      </c>
      <c r="AA579" s="47"/>
      <c r="AB579" s="47"/>
      <c r="AC579" s="47"/>
      <c r="AD579" s="47"/>
      <c r="AE579" s="47"/>
      <c r="AF579" s="47"/>
      <c r="AG579" s="47"/>
      <c r="AH579" s="47" t="str">
        <f>IFERROR(_xlfn.XLOOKUP(Table6[[#This Row],[Suburb]],Table5[Travel Surcharge],Table5[$$]),"")</f>
        <v/>
      </c>
      <c r="AI579" s="47">
        <f t="shared" si="121"/>
        <v>1650.0000000000002</v>
      </c>
      <c r="AJ579" s="47"/>
      <c r="AL579" t="str">
        <v>One Bells Estate</v>
      </c>
    </row>
    <row r="580" spans="1:38">
      <c r="A580" s="374" t="s">
        <v>1232</v>
      </c>
      <c r="B580" s="374">
        <v>17</v>
      </c>
      <c r="C580" s="374" t="s">
        <v>794</v>
      </c>
      <c r="D580" s="375" t="str">
        <f t="shared" si="122"/>
        <v>Austin Estate17</v>
      </c>
      <c r="E580" s="375" t="s">
        <v>1246</v>
      </c>
      <c r="F580" s="375" t="s">
        <v>869</v>
      </c>
      <c r="G580" s="375" t="s">
        <v>1234</v>
      </c>
      <c r="H580" s="375" t="s">
        <v>1235</v>
      </c>
      <c r="I580" s="63" t="s">
        <v>1236</v>
      </c>
      <c r="J580" s="47"/>
      <c r="K580" s="46" t="s">
        <v>7938</v>
      </c>
      <c r="L580" s="47"/>
      <c r="M580" s="47"/>
      <c r="N580" s="47" t="s">
        <v>1237</v>
      </c>
      <c r="O580" s="47" t="s">
        <v>1238</v>
      </c>
      <c r="P580" s="47"/>
      <c r="Q580" s="47"/>
      <c r="R580" s="47"/>
      <c r="S580" s="47"/>
      <c r="T580" s="47">
        <v>1420</v>
      </c>
      <c r="U580" s="47"/>
      <c r="V580" s="47"/>
      <c r="W580" s="47"/>
      <c r="X580" s="47"/>
      <c r="Y580" s="47"/>
      <c r="Z580" s="47">
        <v>4620</v>
      </c>
      <c r="AA580" s="47"/>
      <c r="AB580" s="47"/>
      <c r="AC580" s="47"/>
      <c r="AD580" s="47"/>
      <c r="AE580" s="47"/>
      <c r="AF580" s="47"/>
      <c r="AG580" s="47"/>
      <c r="AH580" s="47" t="str">
        <f>IFERROR(_xlfn.XLOOKUP(Table6[[#This Row],[Suburb]],Table5[Travel Surcharge],Table5[$$]),"")</f>
        <v/>
      </c>
      <c r="AI580" s="47">
        <v>1650.0000000000002</v>
      </c>
      <c r="AJ580" s="47"/>
      <c r="AL580" t="str">
        <v>One Village Estate</v>
      </c>
    </row>
    <row r="581" spans="1:38">
      <c r="A581" s="374" t="s">
        <v>1232</v>
      </c>
      <c r="B581" s="374" t="s">
        <v>1245</v>
      </c>
      <c r="C581" s="374" t="s">
        <v>794</v>
      </c>
      <c r="D581" s="375" t="str">
        <f t="shared" si="122"/>
        <v>Austin Estate17D</v>
      </c>
      <c r="E581" s="375" t="s">
        <v>1246</v>
      </c>
      <c r="F581" s="375" t="s">
        <v>869</v>
      </c>
      <c r="G581" s="375" t="s">
        <v>1234</v>
      </c>
      <c r="H581" s="375" t="s">
        <v>1235</v>
      </c>
      <c r="I581" s="63" t="s">
        <v>1236</v>
      </c>
      <c r="J581" s="47"/>
      <c r="K581" s="46" t="s">
        <v>7938</v>
      </c>
      <c r="L581" s="47"/>
      <c r="M581" s="47"/>
      <c r="N581" s="47" t="s">
        <v>1237</v>
      </c>
      <c r="O581" s="47" t="s">
        <v>1238</v>
      </c>
      <c r="P581" s="47"/>
      <c r="Q581" s="47"/>
      <c r="R581" s="47"/>
      <c r="S581" s="47"/>
      <c r="T581" s="47">
        <f>T$2</f>
        <v>780</v>
      </c>
      <c r="U581" s="47"/>
      <c r="V581" s="47"/>
      <c r="W581" s="47"/>
      <c r="X581" s="47"/>
      <c r="Y581" s="47"/>
      <c r="Z581" s="47">
        <f>Z$7</f>
        <v>4620</v>
      </c>
      <c r="AA581" s="47"/>
      <c r="AB581" s="47"/>
      <c r="AC581" s="47"/>
      <c r="AD581" s="47"/>
      <c r="AE581" s="47"/>
      <c r="AF581" s="47"/>
      <c r="AG581" s="47"/>
      <c r="AH581" s="47" t="str">
        <f>IFERROR(_xlfn.XLOOKUP(Table6[[#This Row],[Suburb]],Table5[Travel Surcharge],Table5[$$]),"")</f>
        <v/>
      </c>
      <c r="AI581" s="47">
        <f>AI$7</f>
        <v>1650.0000000000002</v>
      </c>
      <c r="AJ581" s="47"/>
      <c r="AL581" t="str">
        <v>Ooranya</v>
      </c>
    </row>
    <row r="582" spans="1:38">
      <c r="A582" s="157" t="s">
        <v>1232</v>
      </c>
      <c r="B582" s="157" t="s">
        <v>7781</v>
      </c>
      <c r="C582" s="157" t="s">
        <v>794</v>
      </c>
      <c r="D582" s="157" t="str">
        <f t="shared" si="122"/>
        <v>Austin Estate30B</v>
      </c>
      <c r="E582" s="157" t="s">
        <v>1248</v>
      </c>
      <c r="F582" s="157" t="s">
        <v>869</v>
      </c>
      <c r="G582" s="157" t="s">
        <v>1234</v>
      </c>
      <c r="H582" s="157" t="s">
        <v>1235</v>
      </c>
      <c r="I582" s="158" t="s">
        <v>1236</v>
      </c>
      <c r="J582" s="47"/>
      <c r="K582" s="46" t="s">
        <v>7938</v>
      </c>
      <c r="L582" s="47"/>
      <c r="M582" s="47"/>
      <c r="N582" s="47" t="s">
        <v>1237</v>
      </c>
      <c r="O582" s="47" t="s">
        <v>1238</v>
      </c>
      <c r="P582" s="47"/>
      <c r="Q582" s="47"/>
      <c r="R582" s="47"/>
      <c r="S582" s="47"/>
      <c r="T582" s="47">
        <f>T$2</f>
        <v>780</v>
      </c>
      <c r="U582" s="47"/>
      <c r="V582" s="47"/>
      <c r="W582" s="47"/>
      <c r="X582" s="47"/>
      <c r="Y582" s="47"/>
      <c r="Z582" s="47">
        <f>Z$7</f>
        <v>4620</v>
      </c>
      <c r="AA582" s="47"/>
      <c r="AB582" s="47"/>
      <c r="AC582" s="47"/>
      <c r="AD582" s="47"/>
      <c r="AE582" s="47"/>
      <c r="AF582" s="47"/>
      <c r="AG582" s="47"/>
      <c r="AH582" s="47" t="str">
        <f>IFERROR(_xlfn.XLOOKUP(Table6[[#This Row],[Suburb]],Table5[Travel Surcharge],Table5[$$]),"")</f>
        <v/>
      </c>
      <c r="AI582" s="47">
        <f>AI$7</f>
        <v>1650.0000000000002</v>
      </c>
      <c r="AJ582" s="47"/>
      <c r="AL582" t="str">
        <v>Opalia</v>
      </c>
    </row>
    <row r="583" spans="1:38">
      <c r="A583" s="374" t="s">
        <v>1232</v>
      </c>
      <c r="B583" s="374" t="s">
        <v>1247</v>
      </c>
      <c r="C583" s="374" t="s">
        <v>794</v>
      </c>
      <c r="D583" s="375" t="str">
        <f t="shared" si="122"/>
        <v>Austin Estate30D</v>
      </c>
      <c r="E583" s="375" t="s">
        <v>1248</v>
      </c>
      <c r="F583" s="375" t="s">
        <v>869</v>
      </c>
      <c r="G583" s="375" t="s">
        <v>1234</v>
      </c>
      <c r="H583" s="375" t="s">
        <v>1235</v>
      </c>
      <c r="I583" s="63" t="s">
        <v>1236</v>
      </c>
      <c r="J583" s="47"/>
      <c r="K583" s="46" t="s">
        <v>7938</v>
      </c>
      <c r="L583" s="47"/>
      <c r="M583" s="47"/>
      <c r="N583" s="47" t="s">
        <v>1237</v>
      </c>
      <c r="O583" s="47" t="s">
        <v>1238</v>
      </c>
      <c r="P583" s="47"/>
      <c r="Q583" s="47"/>
      <c r="R583" s="47"/>
      <c r="S583" s="47"/>
      <c r="T583" s="47">
        <v>1420</v>
      </c>
      <c r="U583" s="47"/>
      <c r="V583" s="47"/>
      <c r="W583" s="47"/>
      <c r="X583" s="47"/>
      <c r="Y583" s="47"/>
      <c r="Z583" s="47">
        <v>4620</v>
      </c>
      <c r="AA583" s="47"/>
      <c r="AB583" s="47"/>
      <c r="AC583" s="47"/>
      <c r="AD583" s="47"/>
      <c r="AE583" s="47"/>
      <c r="AF583" s="47"/>
      <c r="AG583" s="47"/>
      <c r="AH583" s="47" t="str">
        <f>IFERROR(_xlfn.XLOOKUP(Table6[[#This Row],[Suburb]],Table5[Travel Surcharge],Table5[$$]),"")</f>
        <v/>
      </c>
      <c r="AI583" s="47">
        <f>AI$7</f>
        <v>1650.0000000000002</v>
      </c>
      <c r="AJ583" s="47"/>
      <c r="AL583" t="str">
        <v>Ora</v>
      </c>
    </row>
    <row r="584" spans="1:38">
      <c r="A584" s="157" t="s">
        <v>1232</v>
      </c>
      <c r="B584" s="157" t="s">
        <v>7423</v>
      </c>
      <c r="C584" s="374" t="s">
        <v>794</v>
      </c>
      <c r="D584" s="157" t="str">
        <f t="shared" si="122"/>
        <v>Austin Estate31A</v>
      </c>
      <c r="E584" s="157" t="s">
        <v>7424</v>
      </c>
      <c r="F584" s="157" t="s">
        <v>869</v>
      </c>
      <c r="G584" s="157" t="s">
        <v>1234</v>
      </c>
      <c r="H584" s="375" t="s">
        <v>1235</v>
      </c>
      <c r="I584" s="158" t="s">
        <v>1236</v>
      </c>
      <c r="J584" s="47"/>
      <c r="K584" s="46" t="s">
        <v>7938</v>
      </c>
      <c r="L584" s="47"/>
      <c r="M584" s="47"/>
      <c r="N584" s="47" t="s">
        <v>1237</v>
      </c>
      <c r="O584" s="47" t="s">
        <v>1238</v>
      </c>
      <c r="P584" s="47"/>
      <c r="Q584" s="47"/>
      <c r="R584" s="47"/>
      <c r="S584" s="47"/>
      <c r="T584" s="47">
        <v>1420</v>
      </c>
      <c r="U584" s="47"/>
      <c r="V584" s="47"/>
      <c r="W584" s="47"/>
      <c r="X584" s="47"/>
      <c r="Y584" s="47"/>
      <c r="Z584" s="47">
        <v>4620</v>
      </c>
      <c r="AA584" s="47"/>
      <c r="AB584" s="47"/>
      <c r="AC584" s="47"/>
      <c r="AD584" s="47"/>
      <c r="AE584" s="47"/>
      <c r="AF584" s="47"/>
      <c r="AG584" s="47"/>
      <c r="AH584" s="47" t="str">
        <f>IFERROR(_xlfn.XLOOKUP(Table6[[#This Row],[Suburb]],Table5[Travel Surcharge],Table5[$$]),"")</f>
        <v/>
      </c>
      <c r="AI584" s="47">
        <f>AI$7</f>
        <v>1650.0000000000002</v>
      </c>
      <c r="AJ584" s="47"/>
      <c r="AL584" t="str">
        <v>Orana</v>
      </c>
    </row>
    <row r="585" spans="1:38">
      <c r="A585" s="157" t="s">
        <v>1232</v>
      </c>
      <c r="B585" s="157" t="s">
        <v>8960</v>
      </c>
      <c r="C585" s="374" t="s">
        <v>794</v>
      </c>
      <c r="D585" s="157" t="str">
        <f t="shared" si="122"/>
        <v>Austin Estate31B</v>
      </c>
      <c r="E585" s="157" t="s">
        <v>8961</v>
      </c>
      <c r="F585" s="157" t="s">
        <v>869</v>
      </c>
      <c r="G585" s="157" t="s">
        <v>1234</v>
      </c>
      <c r="H585" s="375" t="s">
        <v>1235</v>
      </c>
      <c r="I585" s="158" t="s">
        <v>1236</v>
      </c>
      <c r="J585" s="47"/>
      <c r="K585" s="46" t="s">
        <v>7938</v>
      </c>
      <c r="L585" s="47"/>
      <c r="M585" s="47"/>
      <c r="N585" s="47" t="s">
        <v>1237</v>
      </c>
      <c r="O585" s="47" t="s">
        <v>1238</v>
      </c>
      <c r="P585" s="47"/>
      <c r="Q585" s="47"/>
      <c r="R585" s="47"/>
      <c r="S585" s="47"/>
      <c r="T585" s="47">
        <v>1420</v>
      </c>
      <c r="U585" s="47"/>
      <c r="V585" s="47"/>
      <c r="W585" s="47"/>
      <c r="X585" s="47"/>
      <c r="Y585" s="47"/>
      <c r="Z585" s="47">
        <v>4620</v>
      </c>
      <c r="AA585" s="47"/>
      <c r="AB585" s="47"/>
      <c r="AC585" s="47"/>
      <c r="AD585" s="47"/>
      <c r="AE585" s="47"/>
      <c r="AF585" s="47"/>
      <c r="AG585" s="47"/>
      <c r="AH585" s="47" t="str">
        <f>IFERROR(_xlfn.XLOOKUP(Table6[[#This Row],[Suburb]],Table5[Travel Surcharge],Table5[$$]),"")</f>
        <v/>
      </c>
      <c r="AI585" s="47">
        <f>AI$7</f>
        <v>1650.0000000000002</v>
      </c>
      <c r="AJ585" s="47"/>
      <c r="AL585" t="str">
        <v>Orchard Estate</v>
      </c>
    </row>
    <row r="586" spans="1:38">
      <c r="A586" s="376" t="s">
        <v>9623</v>
      </c>
      <c r="B586" s="376">
        <v>6</v>
      </c>
      <c r="C586" s="376" t="s">
        <v>7568</v>
      </c>
      <c r="D586" s="376" t="str">
        <f t="shared" si="122"/>
        <v>Avenue Hill Estimate 6</v>
      </c>
      <c r="E586" s="376" t="s">
        <v>9627</v>
      </c>
      <c r="F586" s="376" t="s">
        <v>9624</v>
      </c>
      <c r="G586" s="376" t="s">
        <v>9625</v>
      </c>
      <c r="H586" s="375" t="s">
        <v>9426</v>
      </c>
      <c r="I586" s="298" t="s">
        <v>9427</v>
      </c>
      <c r="J586" s="299"/>
      <c r="K586" s="46" t="s">
        <v>10735</v>
      </c>
      <c r="L586" s="299"/>
      <c r="M586" s="299"/>
      <c r="N586" s="299"/>
      <c r="O586" s="299">
        <f>O7</f>
        <v>4950</v>
      </c>
      <c r="P586" s="299"/>
      <c r="Q586" s="299"/>
      <c r="R586" s="299"/>
      <c r="S586" s="299"/>
      <c r="T586" s="299"/>
      <c r="U586" s="299"/>
      <c r="V586" s="299" t="s">
        <v>9628</v>
      </c>
      <c r="W586" s="299"/>
      <c r="X586" s="299"/>
      <c r="Y586" s="299"/>
      <c r="Z586" s="299">
        <v>4620</v>
      </c>
      <c r="AA586" s="299"/>
      <c r="AB586" s="299"/>
      <c r="AC586" s="299"/>
      <c r="AD586" s="299"/>
      <c r="AE586" s="299"/>
      <c r="AF586" s="299"/>
      <c r="AG586" s="299"/>
      <c r="AH586" s="47">
        <f>IFERROR(_xlfn.XLOOKUP(Table6[[#This Row],[Suburb]],Table5[Travel Surcharge],Table5[$$]),"")</f>
        <v>8000</v>
      </c>
      <c r="AI586" s="299"/>
      <c r="AJ586" s="299"/>
      <c r="AL586" t="str">
        <v>Orchard Green Estate</v>
      </c>
    </row>
    <row r="587" spans="1:38">
      <c r="A587" s="376" t="s">
        <v>9623</v>
      </c>
      <c r="B587" s="376">
        <v>7</v>
      </c>
      <c r="C587" s="376" t="s">
        <v>7568</v>
      </c>
      <c r="D587" s="376" t="str">
        <f t="shared" si="122"/>
        <v>Avenue Hill Estimate 7</v>
      </c>
      <c r="E587" s="376" t="s">
        <v>9626</v>
      </c>
      <c r="F587" s="376" t="s">
        <v>9624</v>
      </c>
      <c r="G587" s="376" t="s">
        <v>9625</v>
      </c>
      <c r="H587" s="375" t="s">
        <v>9426</v>
      </c>
      <c r="I587" s="298" t="s">
        <v>9427</v>
      </c>
      <c r="J587" s="299"/>
      <c r="K587" s="46" t="s">
        <v>10735</v>
      </c>
      <c r="L587" s="299"/>
      <c r="M587" s="299"/>
      <c r="N587" s="299"/>
      <c r="O587" s="299">
        <f>O7</f>
        <v>4950</v>
      </c>
      <c r="P587" s="299"/>
      <c r="Q587" s="299"/>
      <c r="R587" s="299"/>
      <c r="S587" s="299"/>
      <c r="T587" s="299"/>
      <c r="U587" s="299"/>
      <c r="V587" s="299" t="s">
        <v>9628</v>
      </c>
      <c r="W587" s="299"/>
      <c r="X587" s="299"/>
      <c r="Y587" s="299"/>
      <c r="Z587" s="299">
        <v>4620</v>
      </c>
      <c r="AA587" s="299"/>
      <c r="AB587" s="299"/>
      <c r="AC587" s="299"/>
      <c r="AD587" s="299"/>
      <c r="AE587" s="299"/>
      <c r="AF587" s="299"/>
      <c r="AG587" s="299"/>
      <c r="AH587" s="47">
        <f>IFERROR(_xlfn.XLOOKUP(Table6[[#This Row],[Suburb]],Table5[Travel Surcharge],Table5[$$]),"")</f>
        <v>8000</v>
      </c>
      <c r="AI587" s="299"/>
      <c r="AJ587" s="299"/>
      <c r="AL587" t="str">
        <v>Orchard Rise Estate</v>
      </c>
    </row>
    <row r="588" spans="1:38">
      <c r="A588" s="374" t="s">
        <v>1249</v>
      </c>
      <c r="B588" s="374">
        <v>1</v>
      </c>
      <c r="C588" s="374" t="s">
        <v>9332</v>
      </c>
      <c r="D588" s="375" t="str">
        <f t="shared" si="122"/>
        <v>Averley Estate1</v>
      </c>
      <c r="E588" s="375" t="s">
        <v>1250</v>
      </c>
      <c r="F588" s="375"/>
      <c r="G588" s="375"/>
      <c r="H588" s="375"/>
      <c r="I588" s="63"/>
      <c r="J588" s="47">
        <v>3740</v>
      </c>
      <c r="K588" s="46" t="s">
        <v>7938</v>
      </c>
      <c r="L588" s="47"/>
      <c r="M588" s="47">
        <f t="shared" ref="M588:M599" si="123">M$7</f>
        <v>1430.0000000000002</v>
      </c>
      <c r="N588" s="47" t="s">
        <v>1251</v>
      </c>
      <c r="O588" s="47"/>
      <c r="P588" s="47"/>
      <c r="Q588" s="47"/>
      <c r="R588" s="47">
        <f t="shared" ref="R588:R599" si="124">R$2</f>
        <v>540</v>
      </c>
      <c r="S588" s="47"/>
      <c r="T588" s="47"/>
      <c r="U588" s="47"/>
      <c r="V588" s="47"/>
      <c r="W588" s="47"/>
      <c r="X588" s="47"/>
      <c r="Y588" s="47"/>
      <c r="Z588" s="47">
        <f t="shared" ref="Z588:Z614" si="125">Z$7</f>
        <v>4620</v>
      </c>
      <c r="AA588" s="47"/>
      <c r="AB588" s="47"/>
      <c r="AC588" s="47"/>
      <c r="AD588" s="47"/>
      <c r="AE588" s="47"/>
      <c r="AF588" s="47">
        <f t="shared" ref="AF588:AF599" si="126">AF$7</f>
        <v>1485</v>
      </c>
      <c r="AG588" s="47"/>
      <c r="AH588" s="47" t="str">
        <f>IFERROR(_xlfn.XLOOKUP(Table6[[#This Row],[Suburb]],Table5[Travel Surcharge],Table5[$$]),"")</f>
        <v/>
      </c>
      <c r="AI588" s="47" t="s">
        <v>1252</v>
      </c>
      <c r="AJ588" s="47"/>
      <c r="AL588" t="str">
        <v>Orchard Square</v>
      </c>
    </row>
    <row r="589" spans="1:38">
      <c r="A589" s="374" t="s">
        <v>1249</v>
      </c>
      <c r="B589" s="276" t="s">
        <v>501</v>
      </c>
      <c r="C589" s="374" t="s">
        <v>9332</v>
      </c>
      <c r="D589" s="375" t="str">
        <f t="shared" si="122"/>
        <v>Averley Estate1A</v>
      </c>
      <c r="E589" s="375" t="s">
        <v>9860</v>
      </c>
      <c r="F589" s="375"/>
      <c r="G589" s="375"/>
      <c r="H589" s="375"/>
      <c r="I589" s="63"/>
      <c r="J589" s="47">
        <v>3740</v>
      </c>
      <c r="K589" s="46" t="s">
        <v>7938</v>
      </c>
      <c r="L589" s="47"/>
      <c r="M589" s="47">
        <v>1430.0000000000002</v>
      </c>
      <c r="N589" s="47" t="s">
        <v>1251</v>
      </c>
      <c r="O589" s="47"/>
      <c r="P589" s="47"/>
      <c r="Q589" s="47"/>
      <c r="R589" s="47">
        <v>540</v>
      </c>
      <c r="S589" s="47"/>
      <c r="T589" s="47"/>
      <c r="U589" s="47"/>
      <c r="V589" s="47"/>
      <c r="W589" s="47"/>
      <c r="X589" s="47"/>
      <c r="Y589" s="47"/>
      <c r="Z589" s="47">
        <v>4620</v>
      </c>
      <c r="AA589" s="47"/>
      <c r="AB589" s="47"/>
      <c r="AC589" s="47"/>
      <c r="AD589" s="47"/>
      <c r="AE589" s="47"/>
      <c r="AF589" s="47">
        <v>1485</v>
      </c>
      <c r="AG589" s="47"/>
      <c r="AH589" s="47" t="str">
        <f>IFERROR(_xlfn.XLOOKUP(Table6[[#This Row],[Suburb]],Table5[Travel Surcharge],Table5[$$]),"")</f>
        <v/>
      </c>
      <c r="AI589" s="47" t="s">
        <v>1252</v>
      </c>
      <c r="AJ589" s="47"/>
      <c r="AL589" t="str">
        <v>Orison</v>
      </c>
    </row>
    <row r="590" spans="1:38">
      <c r="A590" s="374" t="s">
        <v>1249</v>
      </c>
      <c r="B590" s="374">
        <v>2</v>
      </c>
      <c r="C590" s="374" t="s">
        <v>9332</v>
      </c>
      <c r="D590" s="375" t="str">
        <f t="shared" si="122"/>
        <v>Averley Estate2</v>
      </c>
      <c r="E590" s="375" t="s">
        <v>1255</v>
      </c>
      <c r="F590" s="375"/>
      <c r="G590" s="375"/>
      <c r="H590" s="375"/>
      <c r="I590" s="63"/>
      <c r="J590" s="47">
        <v>3740</v>
      </c>
      <c r="K590" s="46" t="s">
        <v>7938</v>
      </c>
      <c r="L590" s="47"/>
      <c r="M590" s="47">
        <f t="shared" si="123"/>
        <v>1430.0000000000002</v>
      </c>
      <c r="N590" s="47" t="s">
        <v>1251</v>
      </c>
      <c r="O590" s="47"/>
      <c r="P590" s="47"/>
      <c r="Q590" s="47"/>
      <c r="R590" s="47">
        <f t="shared" si="124"/>
        <v>540</v>
      </c>
      <c r="S590" s="47"/>
      <c r="T590" s="47"/>
      <c r="U590" s="47"/>
      <c r="V590" s="47"/>
      <c r="W590" s="47"/>
      <c r="X590" s="47"/>
      <c r="Y590" s="47"/>
      <c r="Z590" s="47">
        <f t="shared" si="125"/>
        <v>4620</v>
      </c>
      <c r="AA590" s="47"/>
      <c r="AB590" s="47"/>
      <c r="AC590" s="47"/>
      <c r="AD590" s="47"/>
      <c r="AE590" s="47"/>
      <c r="AF590" s="47">
        <f t="shared" si="126"/>
        <v>1485</v>
      </c>
      <c r="AG590" s="47"/>
      <c r="AH590" s="47" t="str">
        <f>IFERROR(_xlfn.XLOOKUP(Table6[[#This Row],[Suburb]],Table5[Travel Surcharge],Table5[$$]),"")</f>
        <v/>
      </c>
      <c r="AI590" s="47" t="s">
        <v>1252</v>
      </c>
      <c r="AJ590" s="47"/>
      <c r="AL590" t="str">
        <v>Ortus</v>
      </c>
    </row>
    <row r="591" spans="1:38">
      <c r="A591" s="374" t="s">
        <v>1249</v>
      </c>
      <c r="B591" s="276" t="s">
        <v>604</v>
      </c>
      <c r="C591" s="374" t="s">
        <v>9332</v>
      </c>
      <c r="D591" s="375" t="str">
        <f t="shared" si="122"/>
        <v>Averley Estate2B</v>
      </c>
      <c r="E591" s="375" t="s">
        <v>1255</v>
      </c>
      <c r="F591" s="375"/>
      <c r="G591" s="375"/>
      <c r="H591" s="375"/>
      <c r="I591" s="63"/>
      <c r="J591" s="47">
        <v>3740</v>
      </c>
      <c r="K591" s="46" t="s">
        <v>7938</v>
      </c>
      <c r="L591" s="47"/>
      <c r="M591" s="47">
        <v>1430.0000000000002</v>
      </c>
      <c r="N591" s="47" t="s">
        <v>1251</v>
      </c>
      <c r="O591" s="47"/>
      <c r="P591" s="47"/>
      <c r="Q591" s="47"/>
      <c r="R591" s="47">
        <v>540</v>
      </c>
      <c r="S591" s="47"/>
      <c r="T591" s="47"/>
      <c r="U591" s="47"/>
      <c r="V591" s="47"/>
      <c r="W591" s="47"/>
      <c r="X591" s="47"/>
      <c r="Y591" s="47"/>
      <c r="Z591" s="47">
        <v>4620</v>
      </c>
      <c r="AA591" s="47"/>
      <c r="AB591" s="47"/>
      <c r="AC591" s="47"/>
      <c r="AD591" s="47"/>
      <c r="AE591" s="47"/>
      <c r="AF591" s="47">
        <v>1485</v>
      </c>
      <c r="AG591" s="47"/>
      <c r="AH591" s="47" t="str">
        <f>IFERROR(_xlfn.XLOOKUP(Table6[[#This Row],[Suburb]],Table5[Travel Surcharge],Table5[$$]),"")</f>
        <v/>
      </c>
      <c r="AI591" s="47" t="s">
        <v>1252</v>
      </c>
      <c r="AJ591" s="47"/>
      <c r="AL591" t="str">
        <v>Oskar Court</v>
      </c>
    </row>
    <row r="592" spans="1:38">
      <c r="A592" s="374" t="s">
        <v>1249</v>
      </c>
      <c r="B592" s="276" t="s">
        <v>606</v>
      </c>
      <c r="C592" s="374" t="s">
        <v>9332</v>
      </c>
      <c r="D592" s="375" t="str">
        <f t="shared" si="122"/>
        <v>Averley Estate3A</v>
      </c>
      <c r="E592" s="375" t="s">
        <v>10295</v>
      </c>
      <c r="F592" s="375"/>
      <c r="G592" s="375"/>
      <c r="H592" s="375"/>
      <c r="I592" s="63"/>
      <c r="J592" s="47">
        <v>3740</v>
      </c>
      <c r="K592" s="46" t="s">
        <v>7938</v>
      </c>
      <c r="L592" s="47"/>
      <c r="M592" s="47">
        <v>1430.0000000000002</v>
      </c>
      <c r="N592" s="47" t="s">
        <v>1251</v>
      </c>
      <c r="O592" s="47"/>
      <c r="P592" s="47"/>
      <c r="Q592" s="47"/>
      <c r="R592" s="47">
        <v>540</v>
      </c>
      <c r="S592" s="47"/>
      <c r="T592" s="47"/>
      <c r="U592" s="47"/>
      <c r="V592" s="47"/>
      <c r="W592" s="47"/>
      <c r="X592" s="47"/>
      <c r="Y592" s="47"/>
      <c r="Z592" s="47">
        <v>4620</v>
      </c>
      <c r="AA592" s="47"/>
      <c r="AB592" s="47"/>
      <c r="AC592" s="47"/>
      <c r="AD592" s="47"/>
      <c r="AE592" s="47"/>
      <c r="AF592" s="47">
        <v>1485</v>
      </c>
      <c r="AG592" s="47"/>
      <c r="AH592" s="47" t="s">
        <v>9976</v>
      </c>
      <c r="AI592" s="47" t="s">
        <v>1252</v>
      </c>
      <c r="AJ592" s="47"/>
      <c r="AL592" t="str">
        <v>Pakenham Rise Estate</v>
      </c>
    </row>
    <row r="593" spans="1:38">
      <c r="A593" s="374" t="s">
        <v>1249</v>
      </c>
      <c r="B593" s="276" t="s">
        <v>610</v>
      </c>
      <c r="C593" s="374" t="s">
        <v>9332</v>
      </c>
      <c r="D593" s="375" t="str">
        <f t="shared" si="122"/>
        <v>Averley Estate3C</v>
      </c>
      <c r="E593" s="375" t="s">
        <v>10220</v>
      </c>
      <c r="F593" s="375"/>
      <c r="G593" s="375"/>
      <c r="H593" s="375"/>
      <c r="I593" s="63"/>
      <c r="J593" s="47">
        <v>3740</v>
      </c>
      <c r="K593" s="46" t="s">
        <v>7938</v>
      </c>
      <c r="L593" s="47"/>
      <c r="M593" s="47">
        <v>1430.0000000000002</v>
      </c>
      <c r="N593" s="47" t="s">
        <v>1251</v>
      </c>
      <c r="O593" s="47"/>
      <c r="P593" s="47"/>
      <c r="Q593" s="47"/>
      <c r="R593" s="47">
        <v>540</v>
      </c>
      <c r="S593" s="47"/>
      <c r="T593" s="47"/>
      <c r="U593" s="47"/>
      <c r="V593" s="47"/>
      <c r="W593" s="47"/>
      <c r="X593" s="47"/>
      <c r="Y593" s="47"/>
      <c r="Z593" s="47">
        <v>4620</v>
      </c>
      <c r="AA593" s="47"/>
      <c r="AB593" s="47"/>
      <c r="AC593" s="47"/>
      <c r="AD593" s="47"/>
      <c r="AE593" s="47"/>
      <c r="AF593" s="47">
        <v>1485</v>
      </c>
      <c r="AG593" s="47"/>
      <c r="AH593" s="47" t="s">
        <v>9976</v>
      </c>
      <c r="AI593" s="47" t="s">
        <v>1252</v>
      </c>
      <c r="AJ593" s="47"/>
      <c r="AL593" t="str">
        <v>Palomino</v>
      </c>
    </row>
    <row r="594" spans="1:38">
      <c r="A594" s="374" t="s">
        <v>1249</v>
      </c>
      <c r="B594" s="276" t="s">
        <v>507</v>
      </c>
      <c r="C594" s="374" t="s">
        <v>9332</v>
      </c>
      <c r="D594" s="375" t="str">
        <f t="shared" si="122"/>
        <v>Averley Estate1B</v>
      </c>
      <c r="E594" s="375" t="s">
        <v>1250</v>
      </c>
      <c r="F594" s="375"/>
      <c r="G594" s="375"/>
      <c r="H594" s="375"/>
      <c r="I594" s="63"/>
      <c r="J594" s="47">
        <v>3740</v>
      </c>
      <c r="K594" s="46" t="s">
        <v>7938</v>
      </c>
      <c r="L594" s="47"/>
      <c r="M594" s="47">
        <f t="shared" si="123"/>
        <v>1430.0000000000002</v>
      </c>
      <c r="N594" s="47" t="s">
        <v>1251</v>
      </c>
      <c r="O594" s="47"/>
      <c r="P594" s="47"/>
      <c r="Q594" s="47"/>
      <c r="R594" s="47">
        <f t="shared" si="124"/>
        <v>540</v>
      </c>
      <c r="S594" s="47"/>
      <c r="T594" s="47"/>
      <c r="U594" s="47"/>
      <c r="V594" s="47"/>
      <c r="W594" s="47"/>
      <c r="X594" s="47"/>
      <c r="Y594" s="47"/>
      <c r="Z594" s="47">
        <f t="shared" si="125"/>
        <v>4620</v>
      </c>
      <c r="AA594" s="47"/>
      <c r="AB594" s="47"/>
      <c r="AC594" s="47"/>
      <c r="AD594" s="47"/>
      <c r="AE594" s="47"/>
      <c r="AF594" s="47">
        <f t="shared" si="126"/>
        <v>1485</v>
      </c>
      <c r="AG594" s="47"/>
      <c r="AH594" s="47" t="str">
        <f>IFERROR(_xlfn.XLOOKUP(Table6[[#This Row],[Suburb]],Table5[Travel Surcharge],Table5[$$]),"")</f>
        <v/>
      </c>
      <c r="AI594" s="47" t="s">
        <v>1252</v>
      </c>
      <c r="AJ594" s="47"/>
      <c r="AL594" t="str">
        <v>Panorama Estate DO NOT PACKAGE</v>
      </c>
    </row>
    <row r="595" spans="1:38">
      <c r="A595" s="374" t="s">
        <v>1249</v>
      </c>
      <c r="B595" s="276" t="s">
        <v>1253</v>
      </c>
      <c r="C595" s="374" t="s">
        <v>9332</v>
      </c>
      <c r="D595" s="375" t="str">
        <f t="shared" si="122"/>
        <v>Averley Estate1C</v>
      </c>
      <c r="E595" s="375" t="s">
        <v>1254</v>
      </c>
      <c r="F595" s="375"/>
      <c r="G595" s="375"/>
      <c r="H595" s="375"/>
      <c r="I595" s="63"/>
      <c r="J595" s="47">
        <v>3740</v>
      </c>
      <c r="K595" s="46" t="s">
        <v>7938</v>
      </c>
      <c r="L595" s="47"/>
      <c r="M595" s="47">
        <f t="shared" si="123"/>
        <v>1430.0000000000002</v>
      </c>
      <c r="N595" s="47" t="s">
        <v>1251</v>
      </c>
      <c r="O595" s="47"/>
      <c r="P595" s="47"/>
      <c r="Q595" s="47"/>
      <c r="R595" s="47">
        <f t="shared" si="124"/>
        <v>540</v>
      </c>
      <c r="S595" s="47"/>
      <c r="T595" s="47"/>
      <c r="U595" s="47"/>
      <c r="V595" s="47"/>
      <c r="W595" s="47"/>
      <c r="X595" s="47"/>
      <c r="Y595" s="47"/>
      <c r="Z595" s="47">
        <f t="shared" si="125"/>
        <v>4620</v>
      </c>
      <c r="AA595" s="47"/>
      <c r="AB595" s="47"/>
      <c r="AC595" s="47"/>
      <c r="AD595" s="47"/>
      <c r="AE595" s="47"/>
      <c r="AF595" s="47">
        <f t="shared" si="126"/>
        <v>1485</v>
      </c>
      <c r="AG595" s="47"/>
      <c r="AH595" s="47" t="str">
        <f>IFERROR(_xlfn.XLOOKUP(Table6[[#This Row],[Suburb]],Table5[Travel Surcharge],Table5[$$]),"")</f>
        <v/>
      </c>
      <c r="AI595" s="47" t="s">
        <v>1252</v>
      </c>
      <c r="AJ595" s="47"/>
      <c r="AL595" t="str">
        <v>Panorama Estate Morwell</v>
      </c>
    </row>
    <row r="596" spans="1:38">
      <c r="A596" s="374" t="s">
        <v>1249</v>
      </c>
      <c r="B596" s="276">
        <v>8</v>
      </c>
      <c r="C596" s="374" t="s">
        <v>9332</v>
      </c>
      <c r="D596" s="375" t="str">
        <f t="shared" si="122"/>
        <v>Averley Estate8</v>
      </c>
      <c r="E596" s="375"/>
      <c r="F596" s="375"/>
      <c r="G596" s="375"/>
      <c r="H596" s="375"/>
      <c r="I596" s="63"/>
      <c r="J596" s="47">
        <v>3740</v>
      </c>
      <c r="K596" s="46" t="s">
        <v>7938</v>
      </c>
      <c r="L596" s="47"/>
      <c r="M596" s="47">
        <v>1430.0000000000002</v>
      </c>
      <c r="N596" s="47" t="s">
        <v>1251</v>
      </c>
      <c r="O596" s="47"/>
      <c r="P596" s="47"/>
      <c r="Q596" s="47"/>
      <c r="R596" s="47">
        <v>540</v>
      </c>
      <c r="S596" s="47"/>
      <c r="T596" s="47"/>
      <c r="U596" s="47"/>
      <c r="V596" s="47"/>
      <c r="W596" s="47"/>
      <c r="X596" s="47"/>
      <c r="Y596" s="47"/>
      <c r="Z596" s="47">
        <v>4620</v>
      </c>
      <c r="AA596" s="47"/>
      <c r="AB596" s="47"/>
      <c r="AC596" s="47"/>
      <c r="AD596" s="47"/>
      <c r="AE596" s="47"/>
      <c r="AF596" s="47">
        <v>1485</v>
      </c>
      <c r="AG596" s="47"/>
      <c r="AH596" s="47" t="s">
        <v>9976</v>
      </c>
      <c r="AI596" s="47" t="s">
        <v>1252</v>
      </c>
      <c r="AJ596" s="47"/>
      <c r="AL596" t="str">
        <v>Paragon Estate</v>
      </c>
    </row>
    <row r="597" spans="1:38">
      <c r="A597" s="157" t="s">
        <v>1249</v>
      </c>
      <c r="B597" s="157">
        <v>11</v>
      </c>
      <c r="C597" s="157" t="s">
        <v>9332</v>
      </c>
      <c r="D597" s="157" t="str">
        <f t="shared" si="122"/>
        <v>Averley Estate11</v>
      </c>
      <c r="E597" s="157" t="s">
        <v>7739</v>
      </c>
      <c r="F597" s="157"/>
      <c r="G597" s="157"/>
      <c r="H597" s="157"/>
      <c r="I597" s="158"/>
      <c r="J597" s="47">
        <v>3740</v>
      </c>
      <c r="K597" s="46" t="s">
        <v>7938</v>
      </c>
      <c r="L597" s="47"/>
      <c r="M597" s="47">
        <f t="shared" si="123"/>
        <v>1430.0000000000002</v>
      </c>
      <c r="N597" s="47" t="s">
        <v>1251</v>
      </c>
      <c r="O597" s="47"/>
      <c r="P597" s="47"/>
      <c r="Q597" s="47"/>
      <c r="R597" s="47">
        <f t="shared" si="124"/>
        <v>540</v>
      </c>
      <c r="S597" s="47"/>
      <c r="T597" s="47"/>
      <c r="U597" s="47"/>
      <c r="V597" s="47"/>
      <c r="W597" s="47"/>
      <c r="X597" s="47"/>
      <c r="Y597" s="47"/>
      <c r="Z597" s="47">
        <f t="shared" si="125"/>
        <v>4620</v>
      </c>
      <c r="AA597" s="47"/>
      <c r="AB597" s="47"/>
      <c r="AC597" s="47"/>
      <c r="AD597" s="47"/>
      <c r="AE597" s="47"/>
      <c r="AF597" s="47">
        <f t="shared" si="126"/>
        <v>1485</v>
      </c>
      <c r="AG597" s="47"/>
      <c r="AH597" s="47" t="str">
        <f>IFERROR(_xlfn.XLOOKUP(Table6[[#This Row],[Suburb]],Table5[Travel Surcharge],Table5[$$]),"")</f>
        <v/>
      </c>
      <c r="AI597" s="47" t="s">
        <v>1252</v>
      </c>
      <c r="AJ597" s="47"/>
      <c r="AL597" t="str">
        <v>Parc On Plymount</v>
      </c>
    </row>
    <row r="598" spans="1:38">
      <c r="A598" s="374" t="s">
        <v>1249</v>
      </c>
      <c r="B598" s="374">
        <v>13</v>
      </c>
      <c r="C598" s="374" t="s">
        <v>9332</v>
      </c>
      <c r="D598" s="375" t="str">
        <f t="shared" si="122"/>
        <v>Averley Estate13</v>
      </c>
      <c r="E598" s="375" t="s">
        <v>10488</v>
      </c>
      <c r="F598" s="375"/>
      <c r="G598" s="375"/>
      <c r="H598" s="375"/>
      <c r="I598" s="63"/>
      <c r="J598" s="47">
        <v>3740</v>
      </c>
      <c r="K598" s="46" t="s">
        <v>7938</v>
      </c>
      <c r="L598" s="47"/>
      <c r="M598" s="47">
        <v>1430.0000000000002</v>
      </c>
      <c r="N598" s="47" t="s">
        <v>1251</v>
      </c>
      <c r="O598" s="47"/>
      <c r="P598" s="47"/>
      <c r="Q598" s="47"/>
      <c r="R598" s="47">
        <v>540</v>
      </c>
      <c r="S598" s="47"/>
      <c r="T598" s="47"/>
      <c r="U598" s="47"/>
      <c r="V598" s="47"/>
      <c r="W598" s="47"/>
      <c r="X598" s="47"/>
      <c r="Y598" s="47"/>
      <c r="Z598" s="47">
        <v>4620</v>
      </c>
      <c r="AA598" s="47"/>
      <c r="AB598" s="47"/>
      <c r="AC598" s="47"/>
      <c r="AD598" s="47"/>
      <c r="AE598" s="47"/>
      <c r="AF598" s="47">
        <v>1485</v>
      </c>
      <c r="AG598" s="47"/>
      <c r="AH598" s="47" t="s">
        <v>9976</v>
      </c>
      <c r="AI598" s="47" t="s">
        <v>1252</v>
      </c>
      <c r="AJ598" s="47"/>
      <c r="AL598" t="str">
        <v>Park Central Estate</v>
      </c>
    </row>
    <row r="599" spans="1:38">
      <c r="A599" s="157" t="s">
        <v>1249</v>
      </c>
      <c r="B599" s="157">
        <v>17</v>
      </c>
      <c r="C599" s="157" t="s">
        <v>9332</v>
      </c>
      <c r="D599" s="157" t="str">
        <f t="shared" si="122"/>
        <v>Averley Estate17</v>
      </c>
      <c r="E599" s="157" t="s">
        <v>7739</v>
      </c>
      <c r="F599" s="157"/>
      <c r="G599" s="157"/>
      <c r="H599" s="157"/>
      <c r="I599" s="158"/>
      <c r="J599" s="47">
        <v>3740</v>
      </c>
      <c r="K599" s="46" t="s">
        <v>7938</v>
      </c>
      <c r="L599" s="47"/>
      <c r="M599" s="47">
        <f t="shared" si="123"/>
        <v>1430.0000000000002</v>
      </c>
      <c r="N599" s="47" t="s">
        <v>1251</v>
      </c>
      <c r="O599" s="47"/>
      <c r="P599" s="47"/>
      <c r="Q599" s="47"/>
      <c r="R599" s="47">
        <f t="shared" si="124"/>
        <v>540</v>
      </c>
      <c r="S599" s="47"/>
      <c r="T599" s="47"/>
      <c r="U599" s="47"/>
      <c r="V599" s="47"/>
      <c r="W599" s="47"/>
      <c r="X599" s="47"/>
      <c r="Y599" s="47"/>
      <c r="Z599" s="47">
        <f t="shared" si="125"/>
        <v>4620</v>
      </c>
      <c r="AA599" s="47"/>
      <c r="AB599" s="47"/>
      <c r="AC599" s="47"/>
      <c r="AD599" s="47"/>
      <c r="AE599" s="47"/>
      <c r="AF599" s="47">
        <f t="shared" si="126"/>
        <v>1485</v>
      </c>
      <c r="AG599" s="47"/>
      <c r="AH599" s="47" t="str">
        <f>IFERROR(_xlfn.XLOOKUP(Table6[[#This Row],[Suburb]],Table5[Travel Surcharge],Table5[$$]),"")</f>
        <v/>
      </c>
      <c r="AI599" s="47" t="s">
        <v>1252</v>
      </c>
      <c r="AJ599" s="47"/>
      <c r="AL599" t="str">
        <v>Parkbrook Estate</v>
      </c>
    </row>
    <row r="600" spans="1:38">
      <c r="A600" s="374" t="s">
        <v>1260</v>
      </c>
      <c r="B600" s="374">
        <v>1</v>
      </c>
      <c r="C600" s="374" t="s">
        <v>1261</v>
      </c>
      <c r="D600" s="375" t="str">
        <f t="shared" si="122"/>
        <v>Bacchus Mews1</v>
      </c>
      <c r="E600" s="375" t="s">
        <v>1262</v>
      </c>
      <c r="F600" s="375"/>
      <c r="G600" s="375"/>
      <c r="H600" s="375"/>
      <c r="I600" s="63"/>
      <c r="J600" s="47"/>
      <c r="K600" s="46" t="s">
        <v>10735</v>
      </c>
      <c r="L600" s="47"/>
      <c r="M600" s="47"/>
      <c r="N600" s="47">
        <f>N7</f>
        <v>2640</v>
      </c>
      <c r="O600" s="47"/>
      <c r="P600" s="47"/>
      <c r="Q600" s="47">
        <f>Q$2</f>
        <v>0</v>
      </c>
      <c r="R600" s="47"/>
      <c r="S600" s="47"/>
      <c r="T600" s="47"/>
      <c r="U600" s="47"/>
      <c r="V600" s="47"/>
      <c r="W600" s="47"/>
      <c r="X600" s="47"/>
      <c r="Y600" s="47"/>
      <c r="Z600" s="47">
        <f t="shared" si="125"/>
        <v>4620</v>
      </c>
      <c r="AA600" s="47"/>
      <c r="AB600" s="47"/>
      <c r="AC600" s="47"/>
      <c r="AD600" s="47"/>
      <c r="AE600" s="47"/>
      <c r="AF600" s="47"/>
      <c r="AG600" s="47"/>
      <c r="AH600" s="47" t="str">
        <f>IFERROR(_xlfn.XLOOKUP(Table6[[#This Row],[Suburb]],Table5[Travel Surcharge],Table5[$$]),"")</f>
        <v/>
      </c>
      <c r="AI600" s="47"/>
      <c r="AJ600" s="47">
        <v>4400</v>
      </c>
      <c r="AL600" t="str">
        <v>Parklane Estate</v>
      </c>
    </row>
    <row r="601" spans="1:38">
      <c r="A601" s="374" t="s">
        <v>1269</v>
      </c>
      <c r="B601" s="374">
        <v>1</v>
      </c>
      <c r="C601" s="374" t="s">
        <v>385</v>
      </c>
      <c r="D601" s="375" t="str">
        <f t="shared" si="122"/>
        <v>Ballarto Place1</v>
      </c>
      <c r="E601" s="375" t="s">
        <v>1270</v>
      </c>
      <c r="F601" s="375"/>
      <c r="G601" s="375" t="s">
        <v>1271</v>
      </c>
      <c r="H601" s="375" t="s">
        <v>1272</v>
      </c>
      <c r="I601" s="63" t="s">
        <v>1273</v>
      </c>
      <c r="J601" s="47">
        <v>3740</v>
      </c>
      <c r="K601" s="46" t="s">
        <v>10735</v>
      </c>
      <c r="L601" s="47"/>
      <c r="M601" s="47"/>
      <c r="N601" s="47"/>
      <c r="O601" s="47"/>
      <c r="P601" s="47"/>
      <c r="Q601" s="47">
        <f>Q$2</f>
        <v>0</v>
      </c>
      <c r="R601" s="47"/>
      <c r="S601" s="47"/>
      <c r="T601" s="47"/>
      <c r="U601" s="47"/>
      <c r="V601" s="47"/>
      <c r="W601" s="47"/>
      <c r="X601" s="47"/>
      <c r="Y601" s="47"/>
      <c r="Z601" s="47">
        <f t="shared" si="125"/>
        <v>4620</v>
      </c>
      <c r="AA601" s="47"/>
      <c r="AB601" s="47"/>
      <c r="AC601" s="47"/>
      <c r="AD601" s="47"/>
      <c r="AE601" s="47"/>
      <c r="AF601" s="47"/>
      <c r="AG601" s="47"/>
      <c r="AH601" s="47" t="str">
        <f>IFERROR(_xlfn.XLOOKUP(Table6[[#This Row],[Suburb]],Table5[Travel Surcharge],Table5[$$]),"")</f>
        <v/>
      </c>
      <c r="AI601" s="47"/>
      <c r="AJ601" s="47"/>
      <c r="AL601" t="str">
        <v>Parklane Garden</v>
      </c>
    </row>
    <row r="602" spans="1:38">
      <c r="A602" s="374" t="s">
        <v>1256</v>
      </c>
      <c r="B602" s="374">
        <v>1</v>
      </c>
      <c r="C602" s="374" t="s">
        <v>294</v>
      </c>
      <c r="D602" s="375" t="str">
        <f t="shared" si="122"/>
        <v>Ballaway1</v>
      </c>
      <c r="E602" s="375" t="s">
        <v>1257</v>
      </c>
      <c r="F602" s="375"/>
      <c r="G602" s="375" t="s">
        <v>576</v>
      </c>
      <c r="H602" s="375" t="s">
        <v>577</v>
      </c>
      <c r="I602" s="63" t="s">
        <v>683</v>
      </c>
      <c r="J602" s="47">
        <v>3740</v>
      </c>
      <c r="K602" s="46" t="s">
        <v>10735</v>
      </c>
      <c r="L602" s="47"/>
      <c r="M602" s="47"/>
      <c r="N602" s="47" t="s">
        <v>1258</v>
      </c>
      <c r="O602" s="47">
        <f t="shared" ref="O602:O611" si="127">O$7</f>
        <v>4950</v>
      </c>
      <c r="P602" s="47" t="s">
        <v>8788</v>
      </c>
      <c r="Q602" s="47"/>
      <c r="R602" s="47"/>
      <c r="S602" s="47" t="s">
        <v>1259</v>
      </c>
      <c r="T602" s="47"/>
      <c r="U602" s="47"/>
      <c r="V602" s="47"/>
      <c r="W602" s="47"/>
      <c r="X602" s="47"/>
      <c r="Y602" s="47"/>
      <c r="Z602" s="47">
        <f t="shared" si="125"/>
        <v>4620</v>
      </c>
      <c r="AA602" s="47"/>
      <c r="AB602" s="47"/>
      <c r="AC602" s="47"/>
      <c r="AD602" s="47"/>
      <c r="AE602" s="47"/>
      <c r="AF602" s="47"/>
      <c r="AG602" s="47"/>
      <c r="AH602" s="47">
        <f>IFERROR(_xlfn.XLOOKUP(Table6[[#This Row],[Suburb]],Table5[Travel Surcharge],Table5[$$]),"")</f>
        <v>8000</v>
      </c>
      <c r="AI602" s="47"/>
      <c r="AJ602" s="47">
        <f t="shared" ref="AJ602:AJ611" si="128">AJ$7</f>
        <v>4400</v>
      </c>
      <c r="AL602" t="str">
        <v>Parks Edge Estate</v>
      </c>
    </row>
    <row r="603" spans="1:38">
      <c r="A603" s="374" t="s">
        <v>1292</v>
      </c>
      <c r="B603" s="374">
        <v>1</v>
      </c>
      <c r="C603" s="374" t="s">
        <v>295</v>
      </c>
      <c r="D603" s="375" t="str">
        <f t="shared" si="122"/>
        <v>Ballymanus Estate1</v>
      </c>
      <c r="E603" s="375" t="s">
        <v>10175</v>
      </c>
      <c r="F603" s="375" t="s">
        <v>1294</v>
      </c>
      <c r="G603" s="375" t="s">
        <v>1295</v>
      </c>
      <c r="H603" s="375" t="s">
        <v>1296</v>
      </c>
      <c r="I603" s="63" t="s">
        <v>1297</v>
      </c>
      <c r="J603" s="47">
        <v>3740</v>
      </c>
      <c r="K603" s="46" t="s">
        <v>10735</v>
      </c>
      <c r="L603" s="47"/>
      <c r="M603" s="47">
        <v>1300</v>
      </c>
      <c r="N603" s="47"/>
      <c r="O603" s="47">
        <v>4950</v>
      </c>
      <c r="P603" s="47" t="s">
        <v>8788</v>
      </c>
      <c r="Q603" s="47"/>
      <c r="R603" s="47"/>
      <c r="S603" s="47"/>
      <c r="T603" s="47">
        <v>1190</v>
      </c>
      <c r="U603" s="47"/>
      <c r="V603" s="47"/>
      <c r="W603" s="47"/>
      <c r="X603" s="47"/>
      <c r="Y603" s="47"/>
      <c r="Z603" s="47">
        <v>4620</v>
      </c>
      <c r="AA603" s="47"/>
      <c r="AB603" s="47"/>
      <c r="AC603" s="47"/>
      <c r="AD603" s="47"/>
      <c r="AE603" s="47"/>
      <c r="AF603" s="47"/>
      <c r="AG603" s="47"/>
      <c r="AH603" s="47" t="s">
        <v>9976</v>
      </c>
      <c r="AI603" s="47"/>
      <c r="AJ603" s="47">
        <v>4400</v>
      </c>
      <c r="AL603" t="str">
        <v>Parkside Berwick</v>
      </c>
    </row>
    <row r="604" spans="1:38">
      <c r="A604" s="374" t="s">
        <v>1292</v>
      </c>
      <c r="B604" s="374">
        <v>9</v>
      </c>
      <c r="C604" s="374" t="s">
        <v>295</v>
      </c>
      <c r="D604" s="375" t="str">
        <f t="shared" si="122"/>
        <v>Ballymanus Estate9</v>
      </c>
      <c r="E604" s="375" t="s">
        <v>1293</v>
      </c>
      <c r="F604" s="375" t="s">
        <v>1294</v>
      </c>
      <c r="G604" s="375" t="s">
        <v>1295</v>
      </c>
      <c r="H604" s="375" t="s">
        <v>1296</v>
      </c>
      <c r="I604" s="63" t="s">
        <v>1297</v>
      </c>
      <c r="J604" s="47">
        <v>3740</v>
      </c>
      <c r="K604" s="46" t="s">
        <v>10735</v>
      </c>
      <c r="L604" s="47"/>
      <c r="M604" s="47">
        <v>1300</v>
      </c>
      <c r="N604" s="47"/>
      <c r="O604" s="47">
        <f t="shared" si="127"/>
        <v>4950</v>
      </c>
      <c r="P604" s="47" t="s">
        <v>8788</v>
      </c>
      <c r="Q604" s="47"/>
      <c r="R604" s="47"/>
      <c r="S604" s="47"/>
      <c r="T604" s="47">
        <v>1190</v>
      </c>
      <c r="U604" s="47"/>
      <c r="V604" s="47"/>
      <c r="W604" s="47"/>
      <c r="X604" s="47"/>
      <c r="Y604" s="47"/>
      <c r="Z604" s="47">
        <f t="shared" si="125"/>
        <v>4620</v>
      </c>
      <c r="AA604" s="47"/>
      <c r="AB604" s="47"/>
      <c r="AC604" s="47"/>
      <c r="AD604" s="47"/>
      <c r="AE604" s="47"/>
      <c r="AF604" s="47"/>
      <c r="AG604" s="47"/>
      <c r="AH604" s="47" t="str">
        <f>IFERROR(_xlfn.XLOOKUP(Table6[[#This Row],[Suburb]],Table5[Travel Surcharge],Table5[$$]),"")</f>
        <v/>
      </c>
      <c r="AI604" s="47"/>
      <c r="AJ604" s="47">
        <f t="shared" si="128"/>
        <v>4400</v>
      </c>
      <c r="AL604" t="str">
        <v>Parkside Estate</v>
      </c>
    </row>
    <row r="605" spans="1:38">
      <c r="A605" s="374" t="s">
        <v>1292</v>
      </c>
      <c r="B605" s="374">
        <v>10</v>
      </c>
      <c r="C605" s="374" t="s">
        <v>295</v>
      </c>
      <c r="D605" s="375" t="str">
        <f t="shared" si="122"/>
        <v>Ballymanus Estate10</v>
      </c>
      <c r="E605" s="375" t="s">
        <v>1298</v>
      </c>
      <c r="F605" s="375" t="s">
        <v>1294</v>
      </c>
      <c r="G605" s="375" t="s">
        <v>1295</v>
      </c>
      <c r="H605" s="375" t="s">
        <v>1296</v>
      </c>
      <c r="I605" s="63" t="s">
        <v>1297</v>
      </c>
      <c r="J605" s="47">
        <v>3740</v>
      </c>
      <c r="K605" s="46" t="s">
        <v>10735</v>
      </c>
      <c r="L605" s="47"/>
      <c r="M605" s="47">
        <v>1300</v>
      </c>
      <c r="N605" s="47"/>
      <c r="O605" s="47">
        <f t="shared" si="127"/>
        <v>4950</v>
      </c>
      <c r="P605" s="47" t="s">
        <v>8788</v>
      </c>
      <c r="Q605" s="47"/>
      <c r="R605" s="47"/>
      <c r="S605" s="47"/>
      <c r="T605" s="47">
        <v>1190</v>
      </c>
      <c r="U605" s="47"/>
      <c r="V605" s="47"/>
      <c r="W605" s="47"/>
      <c r="X605" s="47"/>
      <c r="Y605" s="47"/>
      <c r="Z605" s="47">
        <f t="shared" si="125"/>
        <v>4620</v>
      </c>
      <c r="AA605" s="47"/>
      <c r="AB605" s="47"/>
      <c r="AC605" s="47"/>
      <c r="AD605" s="47"/>
      <c r="AE605" s="47"/>
      <c r="AF605" s="47"/>
      <c r="AG605" s="47"/>
      <c r="AH605" s="47" t="str">
        <f>IFERROR(_xlfn.XLOOKUP(Table6[[#This Row],[Suburb]],Table5[Travel Surcharge],Table5[$$]),"")</f>
        <v/>
      </c>
      <c r="AI605" s="47"/>
      <c r="AJ605" s="47">
        <f t="shared" si="128"/>
        <v>4400</v>
      </c>
      <c r="AL605" t="str">
        <v xml:space="preserve">Parkview </v>
      </c>
    </row>
    <row r="606" spans="1:38">
      <c r="A606" s="374" t="s">
        <v>1292</v>
      </c>
      <c r="B606" s="374">
        <v>12</v>
      </c>
      <c r="C606" s="374" t="s">
        <v>295</v>
      </c>
      <c r="D606" s="375" t="str">
        <f t="shared" si="122"/>
        <v>Ballymanus Estate12</v>
      </c>
      <c r="E606" s="375" t="s">
        <v>1299</v>
      </c>
      <c r="F606" s="375" t="s">
        <v>1294</v>
      </c>
      <c r="G606" s="375" t="s">
        <v>1295</v>
      </c>
      <c r="H606" s="375" t="s">
        <v>1296</v>
      </c>
      <c r="I606" s="63" t="s">
        <v>1297</v>
      </c>
      <c r="J606" s="47">
        <v>3740</v>
      </c>
      <c r="K606" s="46" t="s">
        <v>10735</v>
      </c>
      <c r="L606" s="47"/>
      <c r="M606" s="47">
        <v>1300</v>
      </c>
      <c r="N606" s="47"/>
      <c r="O606" s="47">
        <f t="shared" si="127"/>
        <v>4950</v>
      </c>
      <c r="P606" s="47" t="s">
        <v>8788</v>
      </c>
      <c r="Q606" s="47"/>
      <c r="R606" s="47"/>
      <c r="S606" s="47"/>
      <c r="T606" s="47">
        <v>1190</v>
      </c>
      <c r="U606" s="47"/>
      <c r="V606" s="47"/>
      <c r="W606" s="47"/>
      <c r="X606" s="47"/>
      <c r="Y606" s="47"/>
      <c r="Z606" s="47">
        <f t="shared" si="125"/>
        <v>4620</v>
      </c>
      <c r="AA606" s="47"/>
      <c r="AB606" s="47"/>
      <c r="AC606" s="47"/>
      <c r="AD606" s="47"/>
      <c r="AE606" s="47"/>
      <c r="AF606" s="47"/>
      <c r="AG606" s="47"/>
      <c r="AH606" s="47" t="str">
        <f>IFERROR(_xlfn.XLOOKUP(Table6[[#This Row],[Suburb]],Table5[Travel Surcharge],Table5[$$]),"")</f>
        <v/>
      </c>
      <c r="AI606" s="47"/>
      <c r="AJ606" s="47">
        <f t="shared" si="128"/>
        <v>4400</v>
      </c>
      <c r="AL606" t="str">
        <v>Parkview - Kilmore</v>
      </c>
    </row>
    <row r="607" spans="1:38">
      <c r="A607" s="374" t="s">
        <v>1292</v>
      </c>
      <c r="B607" s="374">
        <v>13</v>
      </c>
      <c r="C607" s="374" t="s">
        <v>295</v>
      </c>
      <c r="D607" s="375" t="str">
        <f t="shared" si="122"/>
        <v>Ballymanus Estate13</v>
      </c>
      <c r="E607" s="375" t="s">
        <v>1300</v>
      </c>
      <c r="F607" s="375" t="s">
        <v>1294</v>
      </c>
      <c r="G607" s="375" t="s">
        <v>1295</v>
      </c>
      <c r="H607" s="375" t="s">
        <v>1296</v>
      </c>
      <c r="I607" s="63" t="s">
        <v>1297</v>
      </c>
      <c r="J607" s="47">
        <v>3740</v>
      </c>
      <c r="K607" s="46" t="s">
        <v>10735</v>
      </c>
      <c r="L607" s="47"/>
      <c r="M607" s="47">
        <v>1300</v>
      </c>
      <c r="N607" s="47"/>
      <c r="O607" s="47">
        <f t="shared" si="127"/>
        <v>4950</v>
      </c>
      <c r="P607" s="47" t="s">
        <v>8788</v>
      </c>
      <c r="Q607" s="47"/>
      <c r="R607" s="47"/>
      <c r="S607" s="47"/>
      <c r="T607" s="47">
        <v>1190</v>
      </c>
      <c r="U607" s="47"/>
      <c r="V607" s="47"/>
      <c r="W607" s="47"/>
      <c r="X607" s="47"/>
      <c r="Y607" s="47"/>
      <c r="Z607" s="47">
        <f t="shared" si="125"/>
        <v>4620</v>
      </c>
      <c r="AA607" s="47"/>
      <c r="AB607" s="47"/>
      <c r="AC607" s="47"/>
      <c r="AD607" s="47"/>
      <c r="AE607" s="47"/>
      <c r="AF607" s="47"/>
      <c r="AG607" s="47"/>
      <c r="AH607" s="47" t="str">
        <f>IFERROR(_xlfn.XLOOKUP(Table6[[#This Row],[Suburb]],Table5[Travel Surcharge],Table5[$$]),"")</f>
        <v/>
      </c>
      <c r="AI607" s="47"/>
      <c r="AJ607" s="47">
        <f t="shared" si="128"/>
        <v>4400</v>
      </c>
      <c r="AL607" t="str">
        <v>Parkview - Lara</v>
      </c>
    </row>
    <row r="608" spans="1:38">
      <c r="A608" s="374" t="s">
        <v>1292</v>
      </c>
      <c r="B608" s="374">
        <v>16</v>
      </c>
      <c r="C608" s="374" t="s">
        <v>295</v>
      </c>
      <c r="D608" s="375" t="str">
        <f t="shared" si="122"/>
        <v>Ballymanus Estate16</v>
      </c>
      <c r="E608" s="375" t="s">
        <v>1301</v>
      </c>
      <c r="F608" s="375" t="s">
        <v>1294</v>
      </c>
      <c r="G608" s="375" t="s">
        <v>1295</v>
      </c>
      <c r="H608" s="375" t="s">
        <v>1296</v>
      </c>
      <c r="I608" s="63" t="s">
        <v>1297</v>
      </c>
      <c r="J608" s="47">
        <v>3740</v>
      </c>
      <c r="K608" s="46" t="s">
        <v>10735</v>
      </c>
      <c r="L608" s="47"/>
      <c r="M608" s="47">
        <v>1300</v>
      </c>
      <c r="N608" s="47"/>
      <c r="O608" s="47">
        <f t="shared" si="127"/>
        <v>4950</v>
      </c>
      <c r="P608" s="47" t="s">
        <v>8788</v>
      </c>
      <c r="Q608" s="47"/>
      <c r="R608" s="47"/>
      <c r="S608" s="47"/>
      <c r="T608" s="47">
        <v>1190</v>
      </c>
      <c r="U608" s="47"/>
      <c r="V608" s="47"/>
      <c r="W608" s="47"/>
      <c r="X608" s="47"/>
      <c r="Y608" s="47"/>
      <c r="Z608" s="47">
        <f t="shared" si="125"/>
        <v>4620</v>
      </c>
      <c r="AA608" s="47"/>
      <c r="AB608" s="47"/>
      <c r="AC608" s="47"/>
      <c r="AD608" s="47"/>
      <c r="AE608" s="47"/>
      <c r="AF608" s="47"/>
      <c r="AG608" s="47"/>
      <c r="AH608" s="47" t="str">
        <f>IFERROR(_xlfn.XLOOKUP(Table6[[#This Row],[Suburb]],Table5[Travel Surcharge],Table5[$$]),"")</f>
        <v/>
      </c>
      <c r="AI608" s="47"/>
      <c r="AJ608" s="47">
        <f t="shared" si="128"/>
        <v>4400</v>
      </c>
      <c r="AL608" t="str">
        <v>Pavilion Estate</v>
      </c>
    </row>
    <row r="609" spans="1:38">
      <c r="A609" s="374" t="s">
        <v>1292</v>
      </c>
      <c r="B609" s="374">
        <v>17</v>
      </c>
      <c r="C609" s="374" t="s">
        <v>295</v>
      </c>
      <c r="D609" s="375" t="str">
        <f t="shared" si="122"/>
        <v>Ballymanus Estate17</v>
      </c>
      <c r="E609" s="375" t="s">
        <v>1302</v>
      </c>
      <c r="F609" s="375" t="s">
        <v>1294</v>
      </c>
      <c r="G609" s="375" t="s">
        <v>1295</v>
      </c>
      <c r="H609" s="375" t="s">
        <v>1296</v>
      </c>
      <c r="I609" s="63" t="s">
        <v>1297</v>
      </c>
      <c r="J609" s="47">
        <v>3740</v>
      </c>
      <c r="K609" s="46" t="s">
        <v>10735</v>
      </c>
      <c r="L609" s="47"/>
      <c r="M609" s="47">
        <v>1300</v>
      </c>
      <c r="N609" s="47"/>
      <c r="O609" s="47">
        <f t="shared" si="127"/>
        <v>4950</v>
      </c>
      <c r="P609" s="47" t="s">
        <v>8788</v>
      </c>
      <c r="Q609" s="47"/>
      <c r="R609" s="47"/>
      <c r="S609" s="47"/>
      <c r="T609" s="47">
        <v>1190</v>
      </c>
      <c r="U609" s="47"/>
      <c r="V609" s="47"/>
      <c r="W609" s="47"/>
      <c r="X609" s="47"/>
      <c r="Y609" s="47"/>
      <c r="Z609" s="47">
        <f t="shared" si="125"/>
        <v>4620</v>
      </c>
      <c r="AA609" s="47"/>
      <c r="AB609" s="47"/>
      <c r="AC609" s="47"/>
      <c r="AD609" s="47"/>
      <c r="AE609" s="47"/>
      <c r="AF609" s="47"/>
      <c r="AG609" s="47"/>
      <c r="AH609" s="47" t="str">
        <f>IFERROR(_xlfn.XLOOKUP(Table6[[#This Row],[Suburb]],Table5[Travel Surcharge],Table5[$$]),"")</f>
        <v/>
      </c>
      <c r="AI609" s="47"/>
      <c r="AJ609" s="47">
        <f t="shared" si="128"/>
        <v>4400</v>
      </c>
      <c r="AL609" t="str">
        <v>Pearland Estate</v>
      </c>
    </row>
    <row r="610" spans="1:38">
      <c r="A610" s="374" t="s">
        <v>1292</v>
      </c>
      <c r="B610" s="374">
        <v>20</v>
      </c>
      <c r="C610" s="374" t="s">
        <v>295</v>
      </c>
      <c r="D610" s="375" t="str">
        <f t="shared" si="122"/>
        <v>Ballymanus Estate20</v>
      </c>
      <c r="E610" s="375" t="s">
        <v>1303</v>
      </c>
      <c r="F610" s="375" t="s">
        <v>1294</v>
      </c>
      <c r="G610" s="375" t="s">
        <v>1295</v>
      </c>
      <c r="H610" s="375" t="s">
        <v>1296</v>
      </c>
      <c r="I610" s="63" t="s">
        <v>1297</v>
      </c>
      <c r="J610" s="47">
        <v>3740</v>
      </c>
      <c r="K610" s="46" t="s">
        <v>10735</v>
      </c>
      <c r="L610" s="47"/>
      <c r="M610" s="47">
        <v>1300</v>
      </c>
      <c r="N610" s="47"/>
      <c r="O610" s="47">
        <f t="shared" si="127"/>
        <v>4950</v>
      </c>
      <c r="P610" s="47" t="s">
        <v>8788</v>
      </c>
      <c r="Q610" s="47"/>
      <c r="R610" s="47"/>
      <c r="S610" s="47"/>
      <c r="T610" s="47">
        <v>1190</v>
      </c>
      <c r="U610" s="47"/>
      <c r="V610" s="47"/>
      <c r="W610" s="47"/>
      <c r="X610" s="47"/>
      <c r="Y610" s="47"/>
      <c r="Z610" s="47">
        <f t="shared" si="125"/>
        <v>4620</v>
      </c>
      <c r="AA610" s="47"/>
      <c r="AB610" s="47"/>
      <c r="AC610" s="47"/>
      <c r="AD610" s="47"/>
      <c r="AE610" s="47"/>
      <c r="AF610" s="47"/>
      <c r="AG610" s="47"/>
      <c r="AH610" s="47" t="str">
        <f>IFERROR(_xlfn.XLOOKUP(Table6[[#This Row],[Suburb]],Table5[Travel Surcharge],Table5[$$]),"")</f>
        <v/>
      </c>
      <c r="AI610" s="47"/>
      <c r="AJ610" s="47">
        <f t="shared" si="128"/>
        <v>4400</v>
      </c>
      <c r="AL610" t="str">
        <v>Pelican Place Estate</v>
      </c>
    </row>
    <row r="611" spans="1:38">
      <c r="A611" s="374" t="s">
        <v>1292</v>
      </c>
      <c r="B611" s="374">
        <v>21</v>
      </c>
      <c r="C611" s="374" t="s">
        <v>295</v>
      </c>
      <c r="D611" s="375" t="str">
        <f t="shared" si="122"/>
        <v>Ballymanus Estate21</v>
      </c>
      <c r="E611" s="375" t="s">
        <v>1304</v>
      </c>
      <c r="F611" s="375" t="s">
        <v>1294</v>
      </c>
      <c r="G611" s="375" t="s">
        <v>1295</v>
      </c>
      <c r="H611" s="375" t="s">
        <v>1296</v>
      </c>
      <c r="I611" s="63" t="s">
        <v>1297</v>
      </c>
      <c r="J611" s="47">
        <v>3740</v>
      </c>
      <c r="K611" s="46" t="s">
        <v>10735</v>
      </c>
      <c r="L611" s="47"/>
      <c r="M611" s="47">
        <v>1300</v>
      </c>
      <c r="N611" s="47"/>
      <c r="O611" s="47">
        <f t="shared" si="127"/>
        <v>4950</v>
      </c>
      <c r="P611" s="47" t="s">
        <v>8788</v>
      </c>
      <c r="Q611" s="47"/>
      <c r="R611" s="47"/>
      <c r="S611" s="47"/>
      <c r="T611" s="47">
        <v>1190</v>
      </c>
      <c r="U611" s="47"/>
      <c r="V611" s="47"/>
      <c r="W611" s="47"/>
      <c r="X611" s="47"/>
      <c r="Y611" s="47"/>
      <c r="Z611" s="47">
        <f t="shared" si="125"/>
        <v>4620</v>
      </c>
      <c r="AA611" s="47"/>
      <c r="AB611" s="47"/>
      <c r="AC611" s="47"/>
      <c r="AD611" s="47"/>
      <c r="AE611" s="47"/>
      <c r="AF611" s="47"/>
      <c r="AG611" s="47"/>
      <c r="AH611" s="47" t="str">
        <f>IFERROR(_xlfn.XLOOKUP(Table6[[#This Row],[Suburb]],Table5[Travel Surcharge],Table5[$$]),"")</f>
        <v/>
      </c>
      <c r="AI611" s="47"/>
      <c r="AJ611" s="47">
        <f t="shared" si="128"/>
        <v>4400</v>
      </c>
      <c r="AL611" t="str">
        <v>Penny Royal Estate</v>
      </c>
    </row>
    <row r="612" spans="1:38">
      <c r="A612" s="374" t="s">
        <v>1263</v>
      </c>
      <c r="B612" s="374">
        <v>1</v>
      </c>
      <c r="C612" s="374" t="s">
        <v>1264</v>
      </c>
      <c r="D612" s="375" t="str">
        <f t="shared" si="122"/>
        <v>Balmain1</v>
      </c>
      <c r="E612" s="375" t="s">
        <v>9809</v>
      </c>
      <c r="F612" s="375"/>
      <c r="G612" s="375" t="s">
        <v>531</v>
      </c>
      <c r="H612" s="375" t="s">
        <v>532</v>
      </c>
      <c r="I612" s="63" t="s">
        <v>533</v>
      </c>
      <c r="J612" s="47">
        <f>J$7</f>
        <v>3740</v>
      </c>
      <c r="K612" s="46" t="s">
        <v>7938</v>
      </c>
      <c r="L612" s="47">
        <f>L$7</f>
        <v>1210</v>
      </c>
      <c r="M612" s="47"/>
      <c r="N612" s="47" t="s">
        <v>1266</v>
      </c>
      <c r="O612" s="47" t="s">
        <v>1267</v>
      </c>
      <c r="P612" s="47" t="s">
        <v>1268</v>
      </c>
      <c r="Q612" s="47"/>
      <c r="R612" s="47"/>
      <c r="S612" s="47"/>
      <c r="T612" s="47"/>
      <c r="U612" s="47">
        <f>U$2</f>
        <v>430</v>
      </c>
      <c r="V612" s="47"/>
      <c r="W612" s="47"/>
      <c r="X612" s="47"/>
      <c r="Y612" s="47"/>
      <c r="Z612" s="47">
        <f t="shared" si="125"/>
        <v>4620</v>
      </c>
      <c r="AA612" s="47"/>
      <c r="AB612" s="47"/>
      <c r="AC612" s="47"/>
      <c r="AD612" s="47"/>
      <c r="AE612" s="47"/>
      <c r="AF612" s="47">
        <f>AF$7</f>
        <v>1485</v>
      </c>
      <c r="AG612" s="47"/>
      <c r="AH612" s="47" t="str">
        <f>IFERROR(_xlfn.XLOOKUP(Table6[[#This Row],[Suburb]],Table5[Travel Surcharge],Table5[$$]),"")</f>
        <v/>
      </c>
      <c r="AI612" s="47">
        <v>1650.0000000000002</v>
      </c>
      <c r="AJ612" s="47"/>
      <c r="AL612" t="str">
        <v>Peppercorn Hill</v>
      </c>
    </row>
    <row r="613" spans="1:38">
      <c r="A613" s="374" t="s">
        <v>1263</v>
      </c>
      <c r="B613" s="374">
        <v>2</v>
      </c>
      <c r="C613" s="374" t="s">
        <v>1264</v>
      </c>
      <c r="D613" s="375" t="str">
        <f t="shared" si="122"/>
        <v>Balmain2</v>
      </c>
      <c r="E613" s="375" t="s">
        <v>9906</v>
      </c>
      <c r="F613" s="375"/>
      <c r="G613" s="375" t="s">
        <v>531</v>
      </c>
      <c r="H613" s="375" t="s">
        <v>532</v>
      </c>
      <c r="I613" s="63" t="s">
        <v>533</v>
      </c>
      <c r="J613" s="47">
        <v>3740</v>
      </c>
      <c r="K613" s="46" t="s">
        <v>7938</v>
      </c>
      <c r="L613" s="47">
        <v>1210</v>
      </c>
      <c r="M613" s="47"/>
      <c r="N613" s="47" t="s">
        <v>1266</v>
      </c>
      <c r="O613" s="47" t="s">
        <v>1267</v>
      </c>
      <c r="P613" s="47" t="s">
        <v>1268</v>
      </c>
      <c r="Q613" s="47"/>
      <c r="R613" s="47"/>
      <c r="S613" s="47"/>
      <c r="T613" s="47"/>
      <c r="U613" s="47">
        <v>540</v>
      </c>
      <c r="V613" s="47"/>
      <c r="W613" s="47"/>
      <c r="X613" s="47"/>
      <c r="Y613" s="47"/>
      <c r="Z613" s="47">
        <v>4620</v>
      </c>
      <c r="AA613" s="47"/>
      <c r="AB613" s="47"/>
      <c r="AC613" s="47"/>
      <c r="AD613" s="47"/>
      <c r="AE613" s="47"/>
      <c r="AF613" s="47">
        <v>1485</v>
      </c>
      <c r="AG613" s="47"/>
      <c r="AH613" s="47" t="str">
        <f>IFERROR(_xlfn.XLOOKUP(Table6[[#This Row],[Suburb]],Table5[Travel Surcharge],Table5[$$]),"")</f>
        <v/>
      </c>
      <c r="AI613" s="47">
        <v>1650.0000000000002</v>
      </c>
      <c r="AJ613" s="47"/>
      <c r="AL613" t="str">
        <v>Peppermint Grove Estate</v>
      </c>
    </row>
    <row r="614" spans="1:38">
      <c r="A614" s="374" t="s">
        <v>1263</v>
      </c>
      <c r="B614" s="374">
        <v>3</v>
      </c>
      <c r="C614" s="374" t="s">
        <v>1264</v>
      </c>
      <c r="D614" s="375" t="str">
        <f t="shared" si="122"/>
        <v>Balmain3</v>
      </c>
      <c r="E614" s="375" t="s">
        <v>1265</v>
      </c>
      <c r="F614" s="375"/>
      <c r="G614" s="375" t="s">
        <v>531</v>
      </c>
      <c r="H614" s="375" t="s">
        <v>532</v>
      </c>
      <c r="I614" s="63" t="s">
        <v>533</v>
      </c>
      <c r="J614" s="47">
        <f>J$7</f>
        <v>3740</v>
      </c>
      <c r="K614" s="46" t="s">
        <v>7938</v>
      </c>
      <c r="L614" s="47">
        <f>L$7</f>
        <v>1210</v>
      </c>
      <c r="M614" s="47"/>
      <c r="N614" s="47" t="s">
        <v>1266</v>
      </c>
      <c r="O614" s="47" t="s">
        <v>1267</v>
      </c>
      <c r="P614" s="47" t="s">
        <v>1268</v>
      </c>
      <c r="Q614" s="47"/>
      <c r="R614" s="47"/>
      <c r="S614" s="47"/>
      <c r="T614" s="47"/>
      <c r="U614" s="47">
        <f>U$2</f>
        <v>430</v>
      </c>
      <c r="V614" s="47"/>
      <c r="W614" s="47"/>
      <c r="X614" s="47"/>
      <c r="Y614" s="47"/>
      <c r="Z614" s="47">
        <f t="shared" si="125"/>
        <v>4620</v>
      </c>
      <c r="AA614" s="47"/>
      <c r="AB614" s="47"/>
      <c r="AC614" s="47"/>
      <c r="AD614" s="47"/>
      <c r="AE614" s="47"/>
      <c r="AF614" s="47">
        <f>AF$7</f>
        <v>1485</v>
      </c>
      <c r="AG614" s="47"/>
      <c r="AH614" s="47" t="str">
        <f>IFERROR(_xlfn.XLOOKUP(Table6[[#This Row],[Suburb]],Table5[Travel Surcharge],Table5[$$]),"")</f>
        <v/>
      </c>
      <c r="AI614" s="47">
        <v>1650.0000000000002</v>
      </c>
      <c r="AJ614" s="47"/>
      <c r="AL614" t="str">
        <v>Perch</v>
      </c>
    </row>
    <row r="615" spans="1:38">
      <c r="A615" s="374" t="s">
        <v>1263</v>
      </c>
      <c r="B615" s="374">
        <v>6</v>
      </c>
      <c r="C615" s="374" t="s">
        <v>1264</v>
      </c>
      <c r="D615" s="375" t="str">
        <f t="shared" si="122"/>
        <v>Balmain6</v>
      </c>
      <c r="E615" s="375" t="s">
        <v>9892</v>
      </c>
      <c r="F615" s="375"/>
      <c r="G615" s="375" t="s">
        <v>531</v>
      </c>
      <c r="H615" s="375" t="s">
        <v>532</v>
      </c>
      <c r="I615" s="63" t="s">
        <v>533</v>
      </c>
      <c r="J615" s="47">
        <v>3740</v>
      </c>
      <c r="K615" s="46" t="s">
        <v>7938</v>
      </c>
      <c r="L615" s="47">
        <v>1210</v>
      </c>
      <c r="M615" s="47"/>
      <c r="N615" s="47" t="s">
        <v>1266</v>
      </c>
      <c r="O615" s="47" t="s">
        <v>1267</v>
      </c>
      <c r="P615" s="47" t="s">
        <v>1268</v>
      </c>
      <c r="Q615" s="47"/>
      <c r="R615" s="47"/>
      <c r="S615" s="47"/>
      <c r="T615" s="47"/>
      <c r="U615" s="47">
        <v>540</v>
      </c>
      <c r="V615" s="47"/>
      <c r="W615" s="47"/>
      <c r="X615" s="47"/>
      <c r="Y615" s="47"/>
      <c r="Z615" s="47">
        <v>4620</v>
      </c>
      <c r="AA615" s="47"/>
      <c r="AB615" s="47"/>
      <c r="AC615" s="47"/>
      <c r="AD615" s="47"/>
      <c r="AE615" s="47"/>
      <c r="AF615" s="47">
        <v>1650.0000000000002</v>
      </c>
      <c r="AG615" s="47"/>
      <c r="AH615" s="47" t="str">
        <f>IFERROR(_xlfn.XLOOKUP(Table6[[#This Row],[Suburb]],Table5[Travel Surcharge],Table5[$$]),"")</f>
        <v/>
      </c>
      <c r="AI615" s="47">
        <v>1650.0000000000002</v>
      </c>
      <c r="AJ615" s="47"/>
      <c r="AL615" t="str">
        <v>Phalaris Park</v>
      </c>
    </row>
    <row r="616" spans="1:38">
      <c r="A616" s="374" t="s">
        <v>1263</v>
      </c>
      <c r="B616" s="374">
        <v>7</v>
      </c>
      <c r="C616" s="374" t="s">
        <v>1264</v>
      </c>
      <c r="D616" s="375" t="str">
        <f t="shared" si="122"/>
        <v>Balmain7</v>
      </c>
      <c r="E616" s="375" t="s">
        <v>9509</v>
      </c>
      <c r="F616" s="375"/>
      <c r="G616" s="375" t="s">
        <v>531</v>
      </c>
      <c r="H616" s="375" t="s">
        <v>532</v>
      </c>
      <c r="I616" s="63" t="s">
        <v>533</v>
      </c>
      <c r="J616" s="47">
        <v>3740</v>
      </c>
      <c r="K616" s="46" t="s">
        <v>7938</v>
      </c>
      <c r="L616" s="47">
        <v>1210</v>
      </c>
      <c r="M616" s="47"/>
      <c r="N616" s="47" t="s">
        <v>1266</v>
      </c>
      <c r="O616" s="47" t="s">
        <v>1267</v>
      </c>
      <c r="P616" s="47" t="s">
        <v>1268</v>
      </c>
      <c r="Q616" s="47"/>
      <c r="R616" s="47"/>
      <c r="S616" s="47"/>
      <c r="T616" s="47"/>
      <c r="U616" s="47">
        <v>540</v>
      </c>
      <c r="V616" s="47"/>
      <c r="W616" s="47"/>
      <c r="X616" s="47"/>
      <c r="Y616" s="47"/>
      <c r="Z616" s="47">
        <v>4620</v>
      </c>
      <c r="AA616" s="47"/>
      <c r="AB616" s="47"/>
      <c r="AC616" s="47"/>
      <c r="AD616" s="47"/>
      <c r="AE616" s="47"/>
      <c r="AF616" s="47">
        <v>1650.0000000000002</v>
      </c>
      <c r="AG616" s="47"/>
      <c r="AH616" s="47" t="str">
        <f>IFERROR(_xlfn.XLOOKUP(Table6[[#This Row],[Suburb]],Table5[Travel Surcharge],Table5[$$]),"")</f>
        <v/>
      </c>
      <c r="AI616" s="47">
        <v>1650.0000000000002</v>
      </c>
      <c r="AJ616" s="47"/>
      <c r="AL616" t="str">
        <v>Pinnacle Estate</v>
      </c>
    </row>
    <row r="617" spans="1:38">
      <c r="A617" s="374" t="s">
        <v>1263</v>
      </c>
      <c r="B617" s="374">
        <v>8</v>
      </c>
      <c r="C617" s="374" t="s">
        <v>1264</v>
      </c>
      <c r="D617" s="375" t="str">
        <f t="shared" si="122"/>
        <v>Balmain8</v>
      </c>
      <c r="E617" s="375" t="s">
        <v>10791</v>
      </c>
      <c r="F617" s="375"/>
      <c r="G617" s="375" t="s">
        <v>531</v>
      </c>
      <c r="H617" s="375" t="s">
        <v>532</v>
      </c>
      <c r="I617" s="63" t="s">
        <v>533</v>
      </c>
      <c r="J617" s="47">
        <v>3740</v>
      </c>
      <c r="K617" s="46" t="s">
        <v>7938</v>
      </c>
      <c r="L617" s="47">
        <v>1210</v>
      </c>
      <c r="M617" s="47"/>
      <c r="N617" s="47" t="s">
        <v>1266</v>
      </c>
      <c r="O617" s="47" t="s">
        <v>1267</v>
      </c>
      <c r="P617" s="47" t="s">
        <v>1268</v>
      </c>
      <c r="Q617" s="47"/>
      <c r="R617" s="47"/>
      <c r="S617" s="47"/>
      <c r="T617" s="47"/>
      <c r="U617" s="47">
        <v>540</v>
      </c>
      <c r="V617" s="47"/>
      <c r="W617" s="47"/>
      <c r="X617" s="47"/>
      <c r="Y617" s="47"/>
      <c r="Z617" s="47">
        <v>4620</v>
      </c>
      <c r="AA617" s="47"/>
      <c r="AB617" s="47"/>
      <c r="AC617" s="47"/>
      <c r="AD617" s="47"/>
      <c r="AE617" s="47"/>
      <c r="AF617" s="47">
        <v>1650.0000000000002</v>
      </c>
      <c r="AG617" s="47"/>
      <c r="AH617" s="47" t="s">
        <v>9976</v>
      </c>
      <c r="AI617" s="47">
        <v>1650.0000000000002</v>
      </c>
      <c r="AJ617" s="47"/>
      <c r="AL617" t="str">
        <v>Platform Estate</v>
      </c>
    </row>
    <row r="618" spans="1:38">
      <c r="A618" s="157" t="s">
        <v>1263</v>
      </c>
      <c r="B618" s="157">
        <v>5</v>
      </c>
      <c r="C618" s="157" t="s">
        <v>1264</v>
      </c>
      <c r="D618" s="157" t="str">
        <f t="shared" si="122"/>
        <v>Balmain5</v>
      </c>
      <c r="E618" s="157" t="s">
        <v>8055</v>
      </c>
      <c r="F618" s="157"/>
      <c r="G618" s="157" t="s">
        <v>531</v>
      </c>
      <c r="H618" s="157" t="s">
        <v>532</v>
      </c>
      <c r="I618" s="158" t="s">
        <v>533</v>
      </c>
      <c r="J618" s="47">
        <f>J$7</f>
        <v>3740</v>
      </c>
      <c r="K618" s="46" t="s">
        <v>7938</v>
      </c>
      <c r="L618" s="47">
        <f>L$7</f>
        <v>1210</v>
      </c>
      <c r="M618" s="47"/>
      <c r="N618" s="47" t="s">
        <v>1266</v>
      </c>
      <c r="O618" s="47" t="s">
        <v>1267</v>
      </c>
      <c r="P618" s="47" t="s">
        <v>1268</v>
      </c>
      <c r="Q618" s="47"/>
      <c r="R618" s="47"/>
      <c r="S618" s="47"/>
      <c r="T618" s="47"/>
      <c r="U618" s="47">
        <f>U$2</f>
        <v>430</v>
      </c>
      <c r="V618" s="47"/>
      <c r="W618" s="47"/>
      <c r="X618" s="47"/>
      <c r="Y618" s="47"/>
      <c r="Z618" s="47">
        <f t="shared" ref="Z618:Z659" si="129">Z$7</f>
        <v>4620</v>
      </c>
      <c r="AA618" s="47"/>
      <c r="AB618" s="47"/>
      <c r="AC618" s="47"/>
      <c r="AD618" s="47"/>
      <c r="AE618" s="47"/>
      <c r="AF618" s="47">
        <f t="shared" ref="AF618:AF625" si="130">AF$7</f>
        <v>1485</v>
      </c>
      <c r="AG618" s="47"/>
      <c r="AH618" s="47" t="str">
        <f>IFERROR(_xlfn.XLOOKUP(Table6[[#This Row],[Suburb]],Table5[Travel Surcharge],Table5[$$]),"")</f>
        <v/>
      </c>
      <c r="AI618" s="47">
        <v>1650.0000000000002</v>
      </c>
      <c r="AJ618" s="47"/>
      <c r="AL618" t="str">
        <v>Platinum Rise</v>
      </c>
    </row>
    <row r="619" spans="1:38">
      <c r="A619" s="374" t="s">
        <v>1274</v>
      </c>
      <c r="B619" s="374">
        <v>1</v>
      </c>
      <c r="C619" s="374" t="s">
        <v>1275</v>
      </c>
      <c r="D619" s="375" t="str">
        <f t="shared" si="122"/>
        <v>Balmoral1</v>
      </c>
      <c r="E619" s="375" t="s">
        <v>1276</v>
      </c>
      <c r="F619" s="375"/>
      <c r="G619" s="375" t="s">
        <v>1277</v>
      </c>
      <c r="H619" s="375" t="s">
        <v>1278</v>
      </c>
      <c r="I619" s="63" t="s">
        <v>1279</v>
      </c>
      <c r="J619" s="47"/>
      <c r="K619" s="46" t="s">
        <v>10735</v>
      </c>
      <c r="L619" s="47"/>
      <c r="M619" s="47">
        <f t="shared" ref="M619:M638" si="131">M$7</f>
        <v>1430.0000000000002</v>
      </c>
      <c r="N619" s="47"/>
      <c r="O619" s="47" t="s">
        <v>1280</v>
      </c>
      <c r="P619" s="47"/>
      <c r="Q619" s="47"/>
      <c r="R619" s="47"/>
      <c r="S619" s="47" t="s">
        <v>637</v>
      </c>
      <c r="T619" s="47"/>
      <c r="U619" s="47"/>
      <c r="V619" s="47" t="s">
        <v>1281</v>
      </c>
      <c r="W619" s="47" t="s">
        <v>1282</v>
      </c>
      <c r="X619" s="47" t="s">
        <v>1283</v>
      </c>
      <c r="Y619" s="47" t="s">
        <v>1284</v>
      </c>
      <c r="Z619" s="47">
        <f t="shared" si="129"/>
        <v>4620</v>
      </c>
      <c r="AA619" s="47">
        <f t="shared" ref="AA619:AA627" si="132">AA$7</f>
        <v>1400</v>
      </c>
      <c r="AB619" s="47"/>
      <c r="AC619" s="47"/>
      <c r="AD619" s="47"/>
      <c r="AE619" s="47"/>
      <c r="AF619" s="47">
        <f t="shared" si="130"/>
        <v>1485</v>
      </c>
      <c r="AG619" s="47"/>
      <c r="AH619" s="47" t="str">
        <f>IFERROR(_xlfn.XLOOKUP(Table6[[#This Row],[Suburb]],Table5[Travel Surcharge],Table5[$$]),"")</f>
        <v/>
      </c>
      <c r="AI619" s="47"/>
      <c r="AJ619" s="47"/>
      <c r="AL619" t="str">
        <v>Plenty Valley Views</v>
      </c>
    </row>
    <row r="620" spans="1:38">
      <c r="A620" s="374" t="s">
        <v>1274</v>
      </c>
      <c r="B620" s="374">
        <v>2</v>
      </c>
      <c r="C620" s="374" t="s">
        <v>1275</v>
      </c>
      <c r="D620" s="375" t="str">
        <f t="shared" si="122"/>
        <v>Balmoral2</v>
      </c>
      <c r="E620" s="375" t="s">
        <v>1285</v>
      </c>
      <c r="F620" s="375"/>
      <c r="G620" s="375" t="s">
        <v>1277</v>
      </c>
      <c r="H620" s="375" t="s">
        <v>1278</v>
      </c>
      <c r="I620" s="63" t="s">
        <v>1279</v>
      </c>
      <c r="J620" s="47"/>
      <c r="K620" s="46" t="s">
        <v>10735</v>
      </c>
      <c r="L620" s="47"/>
      <c r="M620" s="47">
        <f t="shared" si="131"/>
        <v>1430.0000000000002</v>
      </c>
      <c r="N620" s="47"/>
      <c r="O620" s="47" t="s">
        <v>1280</v>
      </c>
      <c r="P620" s="47"/>
      <c r="Q620" s="47"/>
      <c r="R620" s="47"/>
      <c r="S620" s="47" t="s">
        <v>637</v>
      </c>
      <c r="T620" s="47"/>
      <c r="U620" s="47"/>
      <c r="V620" s="47" t="s">
        <v>1281</v>
      </c>
      <c r="W620" s="47" t="s">
        <v>1282</v>
      </c>
      <c r="X620" s="47" t="s">
        <v>1283</v>
      </c>
      <c r="Y620" s="47" t="s">
        <v>1284</v>
      </c>
      <c r="Z620" s="47">
        <f t="shared" si="129"/>
        <v>4620</v>
      </c>
      <c r="AA620" s="47">
        <f t="shared" si="132"/>
        <v>1400</v>
      </c>
      <c r="AB620" s="47"/>
      <c r="AC620" s="47"/>
      <c r="AD620" s="47"/>
      <c r="AE620" s="47"/>
      <c r="AF620" s="47">
        <f t="shared" si="130"/>
        <v>1485</v>
      </c>
      <c r="AG620" s="47"/>
      <c r="AH620" s="47" t="str">
        <f>IFERROR(_xlfn.XLOOKUP(Table6[[#This Row],[Suburb]],Table5[Travel Surcharge],Table5[$$]),"")</f>
        <v/>
      </c>
      <c r="AI620" s="47"/>
      <c r="AJ620" s="47"/>
      <c r="AL620" t="str">
        <v>Ploughmans Arms Estate</v>
      </c>
    </row>
    <row r="621" spans="1:38">
      <c r="A621" s="374" t="s">
        <v>1274</v>
      </c>
      <c r="B621" s="374">
        <v>4</v>
      </c>
      <c r="C621" s="374" t="s">
        <v>1275</v>
      </c>
      <c r="D621" s="375" t="str">
        <f t="shared" si="122"/>
        <v>Balmoral4</v>
      </c>
      <c r="E621" s="375" t="s">
        <v>1286</v>
      </c>
      <c r="F621" s="375"/>
      <c r="G621" s="375" t="s">
        <v>1277</v>
      </c>
      <c r="H621" s="375" t="s">
        <v>1278</v>
      </c>
      <c r="I621" s="63" t="s">
        <v>1279</v>
      </c>
      <c r="J621" s="47"/>
      <c r="K621" s="46" t="s">
        <v>10735</v>
      </c>
      <c r="L621" s="47"/>
      <c r="M621" s="47">
        <f t="shared" si="131"/>
        <v>1430.0000000000002</v>
      </c>
      <c r="N621" s="47"/>
      <c r="O621" s="47" t="s">
        <v>1280</v>
      </c>
      <c r="P621" s="47"/>
      <c r="Q621" s="47"/>
      <c r="R621" s="47"/>
      <c r="S621" s="47" t="s">
        <v>637</v>
      </c>
      <c r="T621" s="47"/>
      <c r="U621" s="47"/>
      <c r="V621" s="47" t="s">
        <v>1281</v>
      </c>
      <c r="W621" s="47" t="s">
        <v>1282</v>
      </c>
      <c r="X621" s="47" t="s">
        <v>1283</v>
      </c>
      <c r="Y621" s="47" t="s">
        <v>1284</v>
      </c>
      <c r="Z621" s="47">
        <f t="shared" si="129"/>
        <v>4620</v>
      </c>
      <c r="AA621" s="47">
        <f t="shared" si="132"/>
        <v>1400</v>
      </c>
      <c r="AB621" s="47"/>
      <c r="AC621" s="47"/>
      <c r="AD621" s="47"/>
      <c r="AE621" s="47"/>
      <c r="AF621" s="47">
        <f t="shared" si="130"/>
        <v>1485</v>
      </c>
      <c r="AG621" s="47"/>
      <c r="AH621" s="47" t="str">
        <f>IFERROR(_xlfn.XLOOKUP(Table6[[#This Row],[Suburb]],Table5[Travel Surcharge],Table5[$$]),"")</f>
        <v/>
      </c>
      <c r="AI621" s="47"/>
      <c r="AJ621" s="47"/>
      <c r="AL621" t="str">
        <v>Primrose Park</v>
      </c>
    </row>
    <row r="622" spans="1:38">
      <c r="A622" s="374" t="s">
        <v>1274</v>
      </c>
      <c r="B622" s="374">
        <v>5</v>
      </c>
      <c r="C622" s="374" t="s">
        <v>1275</v>
      </c>
      <c r="D622" s="375" t="str">
        <f t="shared" si="122"/>
        <v>Balmoral5</v>
      </c>
      <c r="E622" s="375" t="s">
        <v>1287</v>
      </c>
      <c r="F622" s="375"/>
      <c r="G622" s="375" t="s">
        <v>1277</v>
      </c>
      <c r="H622" s="375" t="s">
        <v>1278</v>
      </c>
      <c r="I622" s="63" t="s">
        <v>1279</v>
      </c>
      <c r="J622" s="47"/>
      <c r="K622" s="46" t="s">
        <v>10735</v>
      </c>
      <c r="L622" s="47"/>
      <c r="M622" s="47">
        <f t="shared" si="131"/>
        <v>1430.0000000000002</v>
      </c>
      <c r="N622" s="47"/>
      <c r="O622" s="47" t="s">
        <v>1280</v>
      </c>
      <c r="P622" s="47"/>
      <c r="Q622" s="47"/>
      <c r="R622" s="47"/>
      <c r="S622" s="47" t="s">
        <v>637</v>
      </c>
      <c r="T622" s="47"/>
      <c r="U622" s="47"/>
      <c r="V622" s="47" t="s">
        <v>1281</v>
      </c>
      <c r="W622" s="47" t="s">
        <v>1282</v>
      </c>
      <c r="X622" s="47" t="s">
        <v>1283</v>
      </c>
      <c r="Y622" s="47" t="s">
        <v>1284</v>
      </c>
      <c r="Z622" s="47">
        <f t="shared" si="129"/>
        <v>4620</v>
      </c>
      <c r="AA622" s="47">
        <f t="shared" si="132"/>
        <v>1400</v>
      </c>
      <c r="AB622" s="47"/>
      <c r="AC622" s="47"/>
      <c r="AD622" s="47"/>
      <c r="AE622" s="47"/>
      <c r="AF622" s="47">
        <f t="shared" si="130"/>
        <v>1485</v>
      </c>
      <c r="AG622" s="47"/>
      <c r="AH622" s="47" t="str">
        <f>IFERROR(_xlfn.XLOOKUP(Table6[[#This Row],[Suburb]],Table5[Travel Surcharge],Table5[$$]),"")</f>
        <v/>
      </c>
      <c r="AI622" s="47"/>
      <c r="AJ622" s="47"/>
      <c r="AL622" t="str">
        <v>Prominence Estate</v>
      </c>
    </row>
    <row r="623" spans="1:38">
      <c r="A623" s="374" t="s">
        <v>1274</v>
      </c>
      <c r="B623" s="374">
        <v>6</v>
      </c>
      <c r="C623" s="374" t="s">
        <v>1275</v>
      </c>
      <c r="D623" s="375" t="str">
        <f t="shared" si="122"/>
        <v>Balmoral6</v>
      </c>
      <c r="E623" s="375" t="s">
        <v>1288</v>
      </c>
      <c r="F623" s="375"/>
      <c r="G623" s="375" t="s">
        <v>1277</v>
      </c>
      <c r="H623" s="375" t="s">
        <v>1278</v>
      </c>
      <c r="I623" s="63" t="s">
        <v>1279</v>
      </c>
      <c r="J623" s="47"/>
      <c r="K623" s="46" t="s">
        <v>10735</v>
      </c>
      <c r="L623" s="47"/>
      <c r="M623" s="47">
        <f t="shared" si="131"/>
        <v>1430.0000000000002</v>
      </c>
      <c r="N623" s="47"/>
      <c r="O623" s="47" t="s">
        <v>1280</v>
      </c>
      <c r="P623" s="47"/>
      <c r="Q623" s="47"/>
      <c r="R623" s="47"/>
      <c r="S623" s="47" t="s">
        <v>637</v>
      </c>
      <c r="T623" s="47"/>
      <c r="U623" s="47"/>
      <c r="V623" s="47" t="s">
        <v>1281</v>
      </c>
      <c r="W623" s="47" t="s">
        <v>1282</v>
      </c>
      <c r="X623" s="47" t="s">
        <v>1283</v>
      </c>
      <c r="Y623" s="47" t="s">
        <v>1284</v>
      </c>
      <c r="Z623" s="47">
        <f t="shared" si="129"/>
        <v>4620</v>
      </c>
      <c r="AA623" s="47">
        <f t="shared" si="132"/>
        <v>1400</v>
      </c>
      <c r="AB623" s="47"/>
      <c r="AC623" s="47"/>
      <c r="AD623" s="47"/>
      <c r="AE623" s="47"/>
      <c r="AF623" s="47">
        <f t="shared" si="130"/>
        <v>1485</v>
      </c>
      <c r="AG623" s="47"/>
      <c r="AH623" s="47" t="str">
        <f>IFERROR(_xlfn.XLOOKUP(Table6[[#This Row],[Suburb]],Table5[Travel Surcharge],Table5[$$]),"")</f>
        <v/>
      </c>
      <c r="AI623" s="47"/>
      <c r="AJ623" s="47"/>
      <c r="AL623" t="str">
        <v>Prospect Views Estate</v>
      </c>
    </row>
    <row r="624" spans="1:38">
      <c r="A624" s="374" t="s">
        <v>1274</v>
      </c>
      <c r="B624" s="374">
        <v>7</v>
      </c>
      <c r="C624" s="374" t="s">
        <v>1275</v>
      </c>
      <c r="D624" s="375" t="str">
        <f t="shared" si="122"/>
        <v>Balmoral7</v>
      </c>
      <c r="E624" s="375" t="s">
        <v>1289</v>
      </c>
      <c r="F624" s="375"/>
      <c r="G624" s="375" t="s">
        <v>1277</v>
      </c>
      <c r="H624" s="375" t="s">
        <v>1278</v>
      </c>
      <c r="I624" s="63" t="s">
        <v>1279</v>
      </c>
      <c r="J624" s="47"/>
      <c r="K624" s="46" t="s">
        <v>10735</v>
      </c>
      <c r="L624" s="47"/>
      <c r="M624" s="47">
        <f t="shared" si="131"/>
        <v>1430.0000000000002</v>
      </c>
      <c r="N624" s="47"/>
      <c r="O624" s="47" t="s">
        <v>1280</v>
      </c>
      <c r="P624" s="47"/>
      <c r="Q624" s="47"/>
      <c r="R624" s="47"/>
      <c r="S624" s="47" t="s">
        <v>637</v>
      </c>
      <c r="T624" s="47"/>
      <c r="U624" s="47"/>
      <c r="V624" s="47" t="s">
        <v>1281</v>
      </c>
      <c r="W624" s="47" t="s">
        <v>1282</v>
      </c>
      <c r="X624" s="47" t="s">
        <v>1283</v>
      </c>
      <c r="Y624" s="47" t="s">
        <v>1284</v>
      </c>
      <c r="Z624" s="47">
        <f t="shared" si="129"/>
        <v>4620</v>
      </c>
      <c r="AA624" s="47">
        <f t="shared" si="132"/>
        <v>1400</v>
      </c>
      <c r="AB624" s="47"/>
      <c r="AC624" s="47"/>
      <c r="AD624" s="47"/>
      <c r="AE624" s="47"/>
      <c r="AF624" s="47">
        <f t="shared" si="130"/>
        <v>1485</v>
      </c>
      <c r="AG624" s="47"/>
      <c r="AH624" s="47" t="str">
        <f>IFERROR(_xlfn.XLOOKUP(Table6[[#This Row],[Suburb]],Table5[Travel Surcharge],Table5[$$]),"")</f>
        <v/>
      </c>
      <c r="AI624" s="47"/>
      <c r="AJ624" s="47"/>
      <c r="AL624" t="str">
        <v>Prosper</v>
      </c>
    </row>
    <row r="625" spans="1:38">
      <c r="A625" s="374" t="s">
        <v>1274</v>
      </c>
      <c r="B625" s="374">
        <v>8</v>
      </c>
      <c r="C625" s="374" t="s">
        <v>1275</v>
      </c>
      <c r="D625" s="375" t="str">
        <f t="shared" si="122"/>
        <v>Balmoral8</v>
      </c>
      <c r="E625" s="375" t="s">
        <v>1290</v>
      </c>
      <c r="F625" s="375"/>
      <c r="G625" s="375" t="s">
        <v>1277</v>
      </c>
      <c r="H625" s="375" t="s">
        <v>1278</v>
      </c>
      <c r="I625" s="63" t="s">
        <v>1279</v>
      </c>
      <c r="J625" s="47"/>
      <c r="K625" s="46" t="s">
        <v>10735</v>
      </c>
      <c r="L625" s="47"/>
      <c r="M625" s="47">
        <f t="shared" si="131"/>
        <v>1430.0000000000002</v>
      </c>
      <c r="N625" s="47"/>
      <c r="O625" s="47" t="s">
        <v>1280</v>
      </c>
      <c r="P625" s="47"/>
      <c r="Q625" s="47"/>
      <c r="R625" s="47"/>
      <c r="S625" s="47" t="s">
        <v>637</v>
      </c>
      <c r="T625" s="47"/>
      <c r="U625" s="47"/>
      <c r="V625" s="47" t="s">
        <v>1281</v>
      </c>
      <c r="W625" s="47" t="s">
        <v>1282</v>
      </c>
      <c r="X625" s="47" t="s">
        <v>1283</v>
      </c>
      <c r="Y625" s="47" t="s">
        <v>1284</v>
      </c>
      <c r="Z625" s="47">
        <f t="shared" si="129"/>
        <v>4620</v>
      </c>
      <c r="AA625" s="47">
        <f t="shared" si="132"/>
        <v>1400</v>
      </c>
      <c r="AB625" s="47"/>
      <c r="AC625" s="47"/>
      <c r="AD625" s="47"/>
      <c r="AE625" s="47"/>
      <c r="AF625" s="47">
        <f t="shared" si="130"/>
        <v>1485</v>
      </c>
      <c r="AG625" s="47"/>
      <c r="AH625" s="47" t="str">
        <f>IFERROR(_xlfn.XLOOKUP(Table6[[#This Row],[Suburb]],Table5[Travel Surcharge],Table5[$$]),"")</f>
        <v/>
      </c>
      <c r="AI625" s="47"/>
      <c r="AJ625" s="47"/>
      <c r="AL625" t="str">
        <v>Providence</v>
      </c>
    </row>
    <row r="626" spans="1:38">
      <c r="A626" s="374" t="s">
        <v>1274</v>
      </c>
      <c r="B626" s="374">
        <v>9</v>
      </c>
      <c r="C626" s="374" t="s">
        <v>1275</v>
      </c>
      <c r="D626" s="375" t="str">
        <f t="shared" si="122"/>
        <v>Balmoral9</v>
      </c>
      <c r="E626" s="375" t="s">
        <v>1291</v>
      </c>
      <c r="F626" s="375"/>
      <c r="G626" s="375" t="s">
        <v>1277</v>
      </c>
      <c r="H626" s="375" t="s">
        <v>1278</v>
      </c>
      <c r="I626" s="63" t="s">
        <v>1279</v>
      </c>
      <c r="J626" s="47"/>
      <c r="K626" s="46" t="s">
        <v>10735</v>
      </c>
      <c r="L626" s="47"/>
      <c r="M626" s="47">
        <f t="shared" si="131"/>
        <v>1430.0000000000002</v>
      </c>
      <c r="N626" s="47"/>
      <c r="O626" s="47" t="s">
        <v>1280</v>
      </c>
      <c r="P626" s="47"/>
      <c r="Q626" s="47"/>
      <c r="R626" s="47"/>
      <c r="S626" s="47" t="s">
        <v>637</v>
      </c>
      <c r="T626" s="47"/>
      <c r="U626" s="47"/>
      <c r="V626" s="47" t="s">
        <v>1281</v>
      </c>
      <c r="W626" s="47" t="s">
        <v>1282</v>
      </c>
      <c r="X626" s="47" t="s">
        <v>1283</v>
      </c>
      <c r="Y626" s="47" t="s">
        <v>1284</v>
      </c>
      <c r="Z626" s="47">
        <f t="shared" si="129"/>
        <v>4620</v>
      </c>
      <c r="AA626" s="47">
        <f t="shared" si="132"/>
        <v>1400</v>
      </c>
      <c r="AB626" s="47"/>
      <c r="AC626" s="47"/>
      <c r="AD626" s="47"/>
      <c r="AE626" s="47"/>
      <c r="AF626" s="47">
        <v>1650.0000000000002</v>
      </c>
      <c r="AG626" s="47"/>
      <c r="AH626" s="47" t="str">
        <f>IFERROR(_xlfn.XLOOKUP(Table6[[#This Row],[Suburb]],Table5[Travel Surcharge],Table5[$$]),"")</f>
        <v/>
      </c>
      <c r="AI626" s="47"/>
      <c r="AJ626" s="47"/>
      <c r="AL626" t="str">
        <v>Providence - Officer</v>
      </c>
    </row>
    <row r="627" spans="1:38">
      <c r="A627" s="157" t="s">
        <v>1274</v>
      </c>
      <c r="B627" s="157">
        <v>10</v>
      </c>
      <c r="C627" s="157" t="s">
        <v>1275</v>
      </c>
      <c r="D627" s="157" t="str">
        <f t="shared" si="122"/>
        <v>Balmoral10</v>
      </c>
      <c r="E627" s="157" t="s">
        <v>7654</v>
      </c>
      <c r="F627" s="157"/>
      <c r="G627" s="157" t="s">
        <v>1277</v>
      </c>
      <c r="H627" s="157" t="s">
        <v>1278</v>
      </c>
      <c r="I627" s="158" t="s">
        <v>1279</v>
      </c>
      <c r="J627" s="47"/>
      <c r="K627" s="46" t="s">
        <v>10735</v>
      </c>
      <c r="L627" s="47"/>
      <c r="M627" s="47">
        <f t="shared" si="131"/>
        <v>1430.0000000000002</v>
      </c>
      <c r="N627" s="47"/>
      <c r="O627" s="47" t="s">
        <v>1280</v>
      </c>
      <c r="P627" s="47"/>
      <c r="Q627" s="47"/>
      <c r="R627" s="47"/>
      <c r="S627" s="47" t="s">
        <v>637</v>
      </c>
      <c r="T627" s="47"/>
      <c r="U627" s="47"/>
      <c r="V627" s="47" t="s">
        <v>1281</v>
      </c>
      <c r="W627" s="47" t="s">
        <v>1282</v>
      </c>
      <c r="X627" s="47" t="s">
        <v>1283</v>
      </c>
      <c r="Y627" s="47" t="s">
        <v>1284</v>
      </c>
      <c r="Z627" s="47">
        <f t="shared" si="129"/>
        <v>4620</v>
      </c>
      <c r="AA627" s="47">
        <f t="shared" si="132"/>
        <v>1400</v>
      </c>
      <c r="AB627" s="47"/>
      <c r="AC627" s="47"/>
      <c r="AD627" s="47"/>
      <c r="AE627" s="47"/>
      <c r="AF627" s="47">
        <v>1650.0000000000002</v>
      </c>
      <c r="AG627" s="47"/>
      <c r="AH627" s="47" t="str">
        <f>IFERROR(_xlfn.XLOOKUP(Table6[[#This Row],[Suburb]],Table5[Travel Surcharge],Table5[$$]),"")</f>
        <v/>
      </c>
      <c r="AI627" s="47"/>
      <c r="AJ627" s="47"/>
      <c r="AL627" t="str">
        <v>Province  Estate</v>
      </c>
    </row>
    <row r="628" spans="1:38">
      <c r="A628" s="157" t="s">
        <v>7966</v>
      </c>
      <c r="B628" s="157">
        <v>2</v>
      </c>
      <c r="C628" s="157" t="s">
        <v>281</v>
      </c>
      <c r="D628" s="157" t="str">
        <f t="shared" si="122"/>
        <v>Banksia - Armstrong Creek2</v>
      </c>
      <c r="E628" s="157" t="s">
        <v>9006</v>
      </c>
      <c r="F628" s="157"/>
      <c r="G628" s="157"/>
      <c r="H628" s="157"/>
      <c r="I628" s="158"/>
      <c r="J628" s="47">
        <f t="shared" ref="J628:J638" si="133">J$7</f>
        <v>3740</v>
      </c>
      <c r="K628" s="46" t="s">
        <v>10735</v>
      </c>
      <c r="L628" s="47" t="s">
        <v>7650</v>
      </c>
      <c r="M628" s="47">
        <f t="shared" si="131"/>
        <v>1430.0000000000002</v>
      </c>
      <c r="N628" s="47" t="s">
        <v>7968</v>
      </c>
      <c r="O628" s="47" t="s">
        <v>7969</v>
      </c>
      <c r="P628" s="47"/>
      <c r="Q628" s="47">
        <f t="shared" ref="Q628:Q634" si="134">$Q$2</f>
        <v>0</v>
      </c>
      <c r="R628" s="47"/>
      <c r="S628" s="47"/>
      <c r="T628" s="47"/>
      <c r="U628" s="47"/>
      <c r="V628" s="47"/>
      <c r="W628" s="47"/>
      <c r="X628" s="47"/>
      <c r="Y628" s="47"/>
      <c r="Z628" s="47">
        <f t="shared" si="129"/>
        <v>4620</v>
      </c>
      <c r="AA628" s="47"/>
      <c r="AB628" s="47"/>
      <c r="AC628" s="47"/>
      <c r="AD628" s="47" t="s">
        <v>1</v>
      </c>
      <c r="AE628" s="47"/>
      <c r="AF628" s="47">
        <f t="shared" ref="AF628:AF634" si="135">AF$7</f>
        <v>1485</v>
      </c>
      <c r="AG628" s="47"/>
      <c r="AH628" s="47">
        <f>IFERROR(_xlfn.XLOOKUP(Table6[[#This Row],[Suburb]],Table5[Travel Surcharge],Table5[$$]),"")</f>
        <v>1500</v>
      </c>
      <c r="AI628" s="47"/>
      <c r="AJ628" s="47"/>
      <c r="AL628" t="str">
        <v>Quarters Estate</v>
      </c>
    </row>
    <row r="629" spans="1:38">
      <c r="A629" s="157" t="s">
        <v>7966</v>
      </c>
      <c r="B629" s="157">
        <v>3</v>
      </c>
      <c r="C629" s="157" t="s">
        <v>281</v>
      </c>
      <c r="D629" s="157" t="str">
        <f t="shared" si="122"/>
        <v>Banksia - Armstrong Creek3</v>
      </c>
      <c r="E629" s="157" t="s">
        <v>7967</v>
      </c>
      <c r="F629" s="157"/>
      <c r="G629" s="157"/>
      <c r="H629" s="157"/>
      <c r="I629" s="158"/>
      <c r="J629" s="47">
        <f t="shared" si="133"/>
        <v>3740</v>
      </c>
      <c r="K629" s="46" t="s">
        <v>10735</v>
      </c>
      <c r="L629" s="47" t="s">
        <v>7650</v>
      </c>
      <c r="M629" s="47">
        <f t="shared" si="131"/>
        <v>1430.0000000000002</v>
      </c>
      <c r="N629" s="47" t="s">
        <v>7968</v>
      </c>
      <c r="O629" s="47" t="s">
        <v>7969</v>
      </c>
      <c r="P629" s="47"/>
      <c r="Q629" s="47">
        <f t="shared" si="134"/>
        <v>0</v>
      </c>
      <c r="R629" s="47"/>
      <c r="S629" s="47"/>
      <c r="T629" s="47"/>
      <c r="U629" s="47"/>
      <c r="V629" s="47"/>
      <c r="W629" s="47"/>
      <c r="X629" s="47"/>
      <c r="Y629" s="47"/>
      <c r="Z629" s="47">
        <f t="shared" si="129"/>
        <v>4620</v>
      </c>
      <c r="AA629" s="47"/>
      <c r="AB629" s="47"/>
      <c r="AC629" s="47"/>
      <c r="AD629" s="47" t="s">
        <v>1</v>
      </c>
      <c r="AE629" s="47"/>
      <c r="AF629" s="47">
        <f t="shared" si="135"/>
        <v>1485</v>
      </c>
      <c r="AG629" s="47"/>
      <c r="AH629" s="47">
        <f>IFERROR(_xlfn.XLOOKUP(Table6[[#This Row],[Suburb]],Table5[Travel Surcharge],Table5[$$]),"")</f>
        <v>1500</v>
      </c>
      <c r="AI629" s="47"/>
      <c r="AJ629" s="47"/>
      <c r="AL629" t="str">
        <v>Quay Estate</v>
      </c>
    </row>
    <row r="630" spans="1:38">
      <c r="A630" s="157" t="s">
        <v>7966</v>
      </c>
      <c r="B630" s="157">
        <v>4</v>
      </c>
      <c r="C630" s="157" t="s">
        <v>281</v>
      </c>
      <c r="D630" s="157" t="str">
        <f t="shared" si="122"/>
        <v>Banksia - Armstrong Creek4</v>
      </c>
      <c r="E630" s="157" t="s">
        <v>9062</v>
      </c>
      <c r="F630" s="157"/>
      <c r="G630" s="157"/>
      <c r="H630" s="157"/>
      <c r="I630" s="158"/>
      <c r="J630" s="47">
        <f t="shared" si="133"/>
        <v>3740</v>
      </c>
      <c r="K630" s="46" t="s">
        <v>10735</v>
      </c>
      <c r="L630" s="47" t="s">
        <v>7650</v>
      </c>
      <c r="M630" s="47">
        <f t="shared" si="131"/>
        <v>1430.0000000000002</v>
      </c>
      <c r="N630" s="47" t="s">
        <v>7968</v>
      </c>
      <c r="O630" s="47" t="s">
        <v>7969</v>
      </c>
      <c r="P630" s="47"/>
      <c r="Q630" s="47">
        <f t="shared" si="134"/>
        <v>0</v>
      </c>
      <c r="R630" s="47"/>
      <c r="S630" s="47"/>
      <c r="T630" s="47"/>
      <c r="U630" s="47"/>
      <c r="V630" s="47"/>
      <c r="W630" s="47"/>
      <c r="X630" s="47"/>
      <c r="Y630" s="47"/>
      <c r="Z630" s="47">
        <f t="shared" si="129"/>
        <v>4620</v>
      </c>
      <c r="AA630" s="47"/>
      <c r="AB630" s="47"/>
      <c r="AC630" s="47"/>
      <c r="AD630" s="47" t="s">
        <v>1</v>
      </c>
      <c r="AE630" s="47"/>
      <c r="AF630" s="47">
        <f t="shared" si="135"/>
        <v>1485</v>
      </c>
      <c r="AG630" s="47"/>
      <c r="AH630" s="47">
        <f>IFERROR(_xlfn.XLOOKUP(Table6[[#This Row],[Suburb]],Table5[Travel Surcharge],Table5[$$]),"")</f>
        <v>1500</v>
      </c>
      <c r="AI630" s="47"/>
      <c r="AJ630" s="47"/>
      <c r="AL630" t="str">
        <v>Queens Brook</v>
      </c>
    </row>
    <row r="631" spans="1:38">
      <c r="A631" s="157" t="s">
        <v>7966</v>
      </c>
      <c r="B631" s="157">
        <v>5</v>
      </c>
      <c r="C631" s="157" t="s">
        <v>281</v>
      </c>
      <c r="D631" s="157" t="str">
        <f t="shared" si="122"/>
        <v>Banksia - Armstrong Creek5</v>
      </c>
      <c r="E631" s="157" t="s">
        <v>9064</v>
      </c>
      <c r="F631" s="157"/>
      <c r="G631" s="157"/>
      <c r="H631" s="157"/>
      <c r="I631" s="158"/>
      <c r="J631" s="47">
        <f t="shared" si="133"/>
        <v>3740</v>
      </c>
      <c r="K631" s="46" t="s">
        <v>10735</v>
      </c>
      <c r="L631" s="47" t="s">
        <v>7650</v>
      </c>
      <c r="M631" s="47">
        <f t="shared" si="131"/>
        <v>1430.0000000000002</v>
      </c>
      <c r="N631" s="47" t="s">
        <v>7968</v>
      </c>
      <c r="O631" s="47" t="s">
        <v>7969</v>
      </c>
      <c r="P631" s="47"/>
      <c r="Q631" s="47">
        <f t="shared" si="134"/>
        <v>0</v>
      </c>
      <c r="R631" s="47"/>
      <c r="S631" s="47"/>
      <c r="T631" s="47"/>
      <c r="U631" s="47"/>
      <c r="V631" s="47"/>
      <c r="W631" s="47"/>
      <c r="X631" s="47"/>
      <c r="Y631" s="47"/>
      <c r="Z631" s="47">
        <f t="shared" si="129"/>
        <v>4620</v>
      </c>
      <c r="AA631" s="47"/>
      <c r="AB631" s="47"/>
      <c r="AC631" s="47"/>
      <c r="AD631" s="47" t="s">
        <v>1</v>
      </c>
      <c r="AE631" s="47"/>
      <c r="AF631" s="47">
        <f t="shared" si="135"/>
        <v>1485</v>
      </c>
      <c r="AG631" s="47"/>
      <c r="AH631" s="47">
        <f>IFERROR(_xlfn.XLOOKUP(Table6[[#This Row],[Suburb]],Table5[Travel Surcharge],Table5[$$]),"")</f>
        <v>1500</v>
      </c>
      <c r="AI631" s="47"/>
      <c r="AJ631" s="47"/>
      <c r="AL631" t="str">
        <v>Radison</v>
      </c>
    </row>
    <row r="632" spans="1:38">
      <c r="A632" s="157" t="s">
        <v>7966</v>
      </c>
      <c r="B632" s="157">
        <v>6</v>
      </c>
      <c r="C632" s="157" t="s">
        <v>281</v>
      </c>
      <c r="D632" s="157" t="str">
        <f t="shared" si="122"/>
        <v>Banksia - Armstrong Creek6</v>
      </c>
      <c r="E632" s="157" t="s">
        <v>8699</v>
      </c>
      <c r="F632" s="157"/>
      <c r="G632" s="157"/>
      <c r="H632" s="157"/>
      <c r="I632" s="158"/>
      <c r="J632" s="47">
        <f t="shared" si="133"/>
        <v>3740</v>
      </c>
      <c r="K632" s="46" t="s">
        <v>10735</v>
      </c>
      <c r="L632" s="47" t="s">
        <v>7650</v>
      </c>
      <c r="M632" s="47">
        <f t="shared" si="131"/>
        <v>1430.0000000000002</v>
      </c>
      <c r="N632" s="47" t="s">
        <v>7968</v>
      </c>
      <c r="O632" s="47" t="s">
        <v>7969</v>
      </c>
      <c r="P632" s="47"/>
      <c r="Q632" s="47">
        <f t="shared" si="134"/>
        <v>0</v>
      </c>
      <c r="R632" s="47"/>
      <c r="S632" s="47"/>
      <c r="T632" s="47"/>
      <c r="U632" s="47"/>
      <c r="V632" s="47"/>
      <c r="W632" s="47"/>
      <c r="X632" s="47"/>
      <c r="Y632" s="47"/>
      <c r="Z632" s="47">
        <f t="shared" si="129"/>
        <v>4620</v>
      </c>
      <c r="AA632" s="47"/>
      <c r="AB632" s="47"/>
      <c r="AC632" s="47"/>
      <c r="AD632" s="47" t="s">
        <v>1</v>
      </c>
      <c r="AE632" s="47"/>
      <c r="AF632" s="47">
        <f t="shared" si="135"/>
        <v>1485</v>
      </c>
      <c r="AG632" s="47"/>
      <c r="AH632" s="47">
        <f>IFERROR(_xlfn.XLOOKUP(Table6[[#This Row],[Suburb]],Table5[Travel Surcharge],Table5[$$]),"")</f>
        <v>1500</v>
      </c>
      <c r="AI632" s="47"/>
      <c r="AJ632" s="47"/>
      <c r="AL632" t="str">
        <v>Ramlegh Springs Estate</v>
      </c>
    </row>
    <row r="633" spans="1:38">
      <c r="A633" s="157" t="s">
        <v>7966</v>
      </c>
      <c r="B633" s="157">
        <v>7</v>
      </c>
      <c r="C633" s="157" t="s">
        <v>8126</v>
      </c>
      <c r="D633" s="157" t="str">
        <f t="shared" si="122"/>
        <v>Banksia - Armstrong Creek7</v>
      </c>
      <c r="E633" s="157" t="s">
        <v>8454</v>
      </c>
      <c r="F633" s="157"/>
      <c r="G633" s="157"/>
      <c r="H633" s="157"/>
      <c r="I633" s="158"/>
      <c r="J633" s="47">
        <f t="shared" si="133"/>
        <v>3740</v>
      </c>
      <c r="K633" s="46" t="s">
        <v>10735</v>
      </c>
      <c r="L633" s="47" t="s">
        <v>8453</v>
      </c>
      <c r="M633" s="47">
        <f t="shared" si="131"/>
        <v>1430.0000000000002</v>
      </c>
      <c r="N633" s="47" t="s">
        <v>7968</v>
      </c>
      <c r="O633" s="47" t="s">
        <v>7969</v>
      </c>
      <c r="P633" s="47"/>
      <c r="Q633" s="47">
        <f t="shared" si="134"/>
        <v>0</v>
      </c>
      <c r="R633" s="47"/>
      <c r="S633" s="47"/>
      <c r="T633" s="47"/>
      <c r="U633" s="47"/>
      <c r="V633" s="47"/>
      <c r="W633" s="47"/>
      <c r="X633" s="47"/>
      <c r="Y633" s="47"/>
      <c r="Z633" s="47">
        <f t="shared" si="129"/>
        <v>4620</v>
      </c>
      <c r="AA633" s="47"/>
      <c r="AB633" s="47"/>
      <c r="AC633" s="47"/>
      <c r="AD633" s="47" t="s">
        <v>1</v>
      </c>
      <c r="AE633" s="47"/>
      <c r="AF633" s="47">
        <f t="shared" si="135"/>
        <v>1485</v>
      </c>
      <c r="AG633" s="47"/>
      <c r="AH633" s="47" t="str">
        <f>IFERROR(_xlfn.XLOOKUP(Table6[[#This Row],[Suburb]],Table5[Travel Surcharge],Table5[$$]),"")</f>
        <v/>
      </c>
      <c r="AI633" s="47"/>
      <c r="AJ633" s="47"/>
      <c r="AL633" t="str">
        <v>Rathdowne Estate</v>
      </c>
    </row>
    <row r="634" spans="1:38">
      <c r="A634" s="157" t="s">
        <v>7966</v>
      </c>
      <c r="B634" s="157">
        <v>8</v>
      </c>
      <c r="C634" s="157" t="s">
        <v>8126</v>
      </c>
      <c r="D634" s="157" t="str">
        <f t="shared" si="122"/>
        <v>Banksia - Armstrong Creek8</v>
      </c>
      <c r="E634" s="157" t="s">
        <v>9353</v>
      </c>
      <c r="F634" s="157"/>
      <c r="G634" s="157"/>
      <c r="H634" s="157"/>
      <c r="I634" s="158"/>
      <c r="J634" s="47">
        <f t="shared" si="133"/>
        <v>3740</v>
      </c>
      <c r="K634" s="46" t="s">
        <v>10735</v>
      </c>
      <c r="L634" s="47" t="s">
        <v>8453</v>
      </c>
      <c r="M634" s="47">
        <f t="shared" si="131"/>
        <v>1430.0000000000002</v>
      </c>
      <c r="N634" s="47" t="s">
        <v>7968</v>
      </c>
      <c r="O634" s="47" t="s">
        <v>7969</v>
      </c>
      <c r="P634" s="47"/>
      <c r="Q634" s="47">
        <f t="shared" si="134"/>
        <v>0</v>
      </c>
      <c r="R634" s="47"/>
      <c r="S634" s="47"/>
      <c r="T634" s="47"/>
      <c r="U634" s="47"/>
      <c r="V634" s="47"/>
      <c r="W634" s="47"/>
      <c r="X634" s="47"/>
      <c r="Y634" s="47"/>
      <c r="Z634" s="47">
        <f t="shared" si="129"/>
        <v>4620</v>
      </c>
      <c r="AA634" s="47"/>
      <c r="AB634" s="47"/>
      <c r="AC634" s="47"/>
      <c r="AD634" s="47" t="s">
        <v>1</v>
      </c>
      <c r="AE634" s="47"/>
      <c r="AF634" s="47">
        <f t="shared" si="135"/>
        <v>1485</v>
      </c>
      <c r="AG634" s="47"/>
      <c r="AH634" s="47" t="str">
        <f>IFERROR(_xlfn.XLOOKUP(Table6[[#This Row],[Suburb]],Table5[Travel Surcharge],Table5[$$]),"")</f>
        <v/>
      </c>
      <c r="AI634" s="47"/>
      <c r="AJ634" s="47"/>
      <c r="AL634" t="str">
        <v>Redlands Estate</v>
      </c>
    </row>
    <row r="635" spans="1:38">
      <c r="A635" s="374" t="s">
        <v>7966</v>
      </c>
      <c r="B635" s="374">
        <v>9</v>
      </c>
      <c r="C635" s="374" t="s">
        <v>8126</v>
      </c>
      <c r="D635" s="157" t="str">
        <f t="shared" si="122"/>
        <v>Banksia - Armstrong Creek9</v>
      </c>
      <c r="E635" s="375" t="s">
        <v>10202</v>
      </c>
      <c r="F635" s="375"/>
      <c r="G635" s="375"/>
      <c r="H635" s="375"/>
      <c r="I635" s="63"/>
      <c r="J635" s="47">
        <v>3740</v>
      </c>
      <c r="K635" s="46" t="s">
        <v>10735</v>
      </c>
      <c r="L635" s="47" t="s">
        <v>8453</v>
      </c>
      <c r="M635" s="47">
        <v>1430.0000000000002</v>
      </c>
      <c r="N635" s="47" t="s">
        <v>7968</v>
      </c>
      <c r="O635" s="47" t="s">
        <v>7969</v>
      </c>
      <c r="P635" s="47"/>
      <c r="Q635" s="47">
        <v>0</v>
      </c>
      <c r="R635" s="47"/>
      <c r="S635" s="47"/>
      <c r="T635" s="47"/>
      <c r="U635" s="47"/>
      <c r="V635" s="47"/>
      <c r="W635" s="47"/>
      <c r="X635" s="47"/>
      <c r="Y635" s="47"/>
      <c r="Z635" s="47">
        <v>4620</v>
      </c>
      <c r="AA635" s="47"/>
      <c r="AB635" s="47"/>
      <c r="AC635" s="47"/>
      <c r="AD635" s="47" t="s">
        <v>1</v>
      </c>
      <c r="AE635" s="47"/>
      <c r="AF635" s="47">
        <v>1485</v>
      </c>
      <c r="AG635" s="47"/>
      <c r="AH635" s="47" t="s">
        <v>9976</v>
      </c>
      <c r="AI635" s="47"/>
      <c r="AJ635" s="47"/>
      <c r="AL635" t="str">
        <v>Redstone Eastvale Estate</v>
      </c>
    </row>
    <row r="636" spans="1:38">
      <c r="A636" s="374" t="s">
        <v>7966</v>
      </c>
      <c r="B636" s="374">
        <v>12</v>
      </c>
      <c r="C636" s="374" t="s">
        <v>8126</v>
      </c>
      <c r="D636" s="375" t="str">
        <f t="shared" si="122"/>
        <v>Banksia - Armstrong Creek12</v>
      </c>
      <c r="E636" s="375" t="s">
        <v>10865</v>
      </c>
      <c r="F636" s="375"/>
      <c r="G636" s="375"/>
      <c r="H636" s="375"/>
      <c r="I636" s="63"/>
      <c r="J636" s="47">
        <v>3740</v>
      </c>
      <c r="K636" s="46" t="s">
        <v>10735</v>
      </c>
      <c r="L636" s="47" t="s">
        <v>8453</v>
      </c>
      <c r="M636" s="47">
        <v>1430.0000000000002</v>
      </c>
      <c r="N636" s="47" t="s">
        <v>7968</v>
      </c>
      <c r="O636" s="47" t="s">
        <v>7969</v>
      </c>
      <c r="P636" s="47"/>
      <c r="Q636" s="47">
        <v>0</v>
      </c>
      <c r="R636" s="47"/>
      <c r="S636" s="47"/>
      <c r="T636" s="47"/>
      <c r="U636" s="47"/>
      <c r="V636" s="47"/>
      <c r="W636" s="47"/>
      <c r="X636" s="47"/>
      <c r="Y636" s="47"/>
      <c r="Z636" s="47">
        <v>4620</v>
      </c>
      <c r="AA636" s="47"/>
      <c r="AB636" s="47"/>
      <c r="AC636" s="47"/>
      <c r="AD636" s="47" t="s">
        <v>1</v>
      </c>
      <c r="AE636" s="47"/>
      <c r="AF636" s="47">
        <v>1485</v>
      </c>
      <c r="AG636" s="47"/>
      <c r="AH636" s="47" t="s">
        <v>9976</v>
      </c>
      <c r="AI636" s="47"/>
      <c r="AJ636" s="47"/>
      <c r="AL636" t="str">
        <v>Redstone Estate</v>
      </c>
    </row>
    <row r="637" spans="1:38">
      <c r="A637" s="374" t="s">
        <v>7966</v>
      </c>
      <c r="B637" s="374">
        <v>13</v>
      </c>
      <c r="C637" s="374" t="s">
        <v>8126</v>
      </c>
      <c r="D637" s="157" t="str">
        <f t="shared" ref="D637" si="136">CONCATENATE(A637,B637)</f>
        <v>Banksia - Armstrong Creek13</v>
      </c>
      <c r="E637" s="375" t="s">
        <v>10690</v>
      </c>
      <c r="F637" s="375"/>
      <c r="G637" s="375"/>
      <c r="H637" s="375"/>
      <c r="I637" s="63"/>
      <c r="J637" s="47">
        <v>3740</v>
      </c>
      <c r="K637" s="46" t="s">
        <v>10735</v>
      </c>
      <c r="L637" s="47" t="s">
        <v>8453</v>
      </c>
      <c r="M637" s="47">
        <v>1430.0000000000002</v>
      </c>
      <c r="N637" s="47" t="s">
        <v>7968</v>
      </c>
      <c r="O637" s="47" t="s">
        <v>7969</v>
      </c>
      <c r="P637" s="47"/>
      <c r="Q637" s="47">
        <v>0</v>
      </c>
      <c r="R637" s="47"/>
      <c r="S637" s="47"/>
      <c r="T637" s="47"/>
      <c r="U637" s="47"/>
      <c r="V637" s="47"/>
      <c r="W637" s="47"/>
      <c r="X637" s="47"/>
      <c r="Y637" s="47"/>
      <c r="Z637" s="47">
        <v>4620</v>
      </c>
      <c r="AA637" s="47"/>
      <c r="AB637" s="47"/>
      <c r="AC637" s="47"/>
      <c r="AD637" s="47" t="s">
        <v>1</v>
      </c>
      <c r="AE637" s="47"/>
      <c r="AF637" s="47">
        <v>1485</v>
      </c>
      <c r="AG637" s="47"/>
      <c r="AH637" s="47" t="s">
        <v>9976</v>
      </c>
      <c r="AI637" s="47"/>
      <c r="AJ637" s="47"/>
      <c r="AL637" t="str">
        <v>Redstone Macedon Views Estate</v>
      </c>
    </row>
    <row r="638" spans="1:38">
      <c r="A638" s="374" t="s">
        <v>1305</v>
      </c>
      <c r="B638" s="374">
        <v>1</v>
      </c>
      <c r="C638" s="374" t="s">
        <v>802</v>
      </c>
      <c r="D638" s="375" t="str">
        <f t="shared" si="122"/>
        <v>Banksia  Estate1</v>
      </c>
      <c r="E638" s="375" t="s">
        <v>1306</v>
      </c>
      <c r="F638" s="375" t="s">
        <v>1307</v>
      </c>
      <c r="G638" s="375" t="s">
        <v>1308</v>
      </c>
      <c r="H638" s="375" t="s">
        <v>1309</v>
      </c>
      <c r="I638" s="63" t="s">
        <v>1310</v>
      </c>
      <c r="J638" s="47">
        <f t="shared" si="133"/>
        <v>3740</v>
      </c>
      <c r="K638" s="46" t="s">
        <v>10735</v>
      </c>
      <c r="L638" s="47"/>
      <c r="M638" s="47">
        <f t="shared" si="131"/>
        <v>1430.0000000000002</v>
      </c>
      <c r="N638" s="47"/>
      <c r="O638" s="47"/>
      <c r="P638" s="47"/>
      <c r="Q638" s="47"/>
      <c r="R638" s="47"/>
      <c r="S638" s="47"/>
      <c r="T638" s="47">
        <f>T$2</f>
        <v>780</v>
      </c>
      <c r="U638" s="47"/>
      <c r="V638" s="47"/>
      <c r="W638" s="47"/>
      <c r="X638" s="47"/>
      <c r="Y638" s="47"/>
      <c r="Z638" s="47">
        <f t="shared" si="129"/>
        <v>4620</v>
      </c>
      <c r="AA638" s="47"/>
      <c r="AB638" s="47"/>
      <c r="AC638" s="47"/>
      <c r="AD638" s="47"/>
      <c r="AE638" s="47"/>
      <c r="AF638" s="47"/>
      <c r="AG638" s="47"/>
      <c r="AH638" s="47" t="str">
        <f>IFERROR(_xlfn.XLOOKUP(Table6[[#This Row],[Suburb]],Table5[Travel Surcharge],Table5[$$]),"")</f>
        <v/>
      </c>
      <c r="AI638" s="47"/>
      <c r="AJ638" s="47"/>
      <c r="AL638" t="str">
        <v>Redstone Northvale Estate</v>
      </c>
    </row>
    <row r="639" spans="1:38">
      <c r="A639" s="157" t="s">
        <v>7477</v>
      </c>
      <c r="B639" s="157">
        <v>9</v>
      </c>
      <c r="C639" s="157" t="s">
        <v>3036</v>
      </c>
      <c r="D639" s="157" t="str">
        <f t="shared" si="122"/>
        <v>Banksia Rise9</v>
      </c>
      <c r="E639" s="157" t="s">
        <v>7478</v>
      </c>
      <c r="F639" s="157"/>
      <c r="G639" s="157"/>
      <c r="H639" s="157"/>
      <c r="I639" s="158"/>
      <c r="J639" s="47"/>
      <c r="K639" s="46" t="s">
        <v>10735</v>
      </c>
      <c r="L639" s="47"/>
      <c r="M639" s="47"/>
      <c r="N639" s="47"/>
      <c r="O639" s="47"/>
      <c r="P639" s="47"/>
      <c r="Q639" s="47">
        <f>Q$2</f>
        <v>0</v>
      </c>
      <c r="R639" s="47"/>
      <c r="S639" s="47" t="s">
        <v>7999</v>
      </c>
      <c r="T639" s="47"/>
      <c r="U639" s="47"/>
      <c r="V639" s="47"/>
      <c r="W639" s="47"/>
      <c r="X639" s="47"/>
      <c r="Y639" s="47"/>
      <c r="Z639" s="47">
        <f t="shared" si="129"/>
        <v>4620</v>
      </c>
      <c r="AA639" s="47"/>
      <c r="AB639" s="47"/>
      <c r="AC639" s="47"/>
      <c r="AD639" s="47"/>
      <c r="AE639" s="47"/>
      <c r="AF639" s="47"/>
      <c r="AG639" s="47"/>
      <c r="AH639" s="47">
        <f>IFERROR(_xlfn.XLOOKUP(Table6[[#This Row],[Suburb]],Table5[Travel Surcharge],Table5[$$]),"")</f>
        <v>7000</v>
      </c>
      <c r="AI639" s="47"/>
      <c r="AJ639" s="47"/>
      <c r="AL639" t="str">
        <v>Redstone Panorama Estate</v>
      </c>
    </row>
    <row r="640" spans="1:38">
      <c r="A640" s="374" t="s">
        <v>1311</v>
      </c>
      <c r="B640" s="374">
        <v>1</v>
      </c>
      <c r="C640" s="374" t="s">
        <v>1312</v>
      </c>
      <c r="D640" s="375" t="str">
        <f t="shared" si="122"/>
        <v>Bankside Estate1</v>
      </c>
      <c r="E640" s="375" t="s">
        <v>7374</v>
      </c>
      <c r="F640" s="375"/>
      <c r="G640" s="375"/>
      <c r="H640" s="375"/>
      <c r="I640" s="63"/>
      <c r="J640" s="47" t="s">
        <v>10462</v>
      </c>
      <c r="K640" s="46" t="s">
        <v>10735</v>
      </c>
      <c r="L640" s="47"/>
      <c r="M640" s="47"/>
      <c r="N640" s="47" t="s">
        <v>1314</v>
      </c>
      <c r="O640" s="47" t="s">
        <v>1315</v>
      </c>
      <c r="P640" s="47" t="s">
        <v>1316</v>
      </c>
      <c r="Q640" s="47"/>
      <c r="R640" s="47" t="s">
        <v>1317</v>
      </c>
      <c r="S640" s="47" t="s">
        <v>1318</v>
      </c>
      <c r="T640" s="47" t="s">
        <v>1319</v>
      </c>
      <c r="U640" s="47"/>
      <c r="V640" s="47" t="s">
        <v>1320</v>
      </c>
      <c r="W640" s="47"/>
      <c r="X640" s="47"/>
      <c r="Y640" s="47"/>
      <c r="Z640" s="47">
        <f t="shared" si="129"/>
        <v>4620</v>
      </c>
      <c r="AA640" s="47" t="s">
        <v>1321</v>
      </c>
      <c r="AB640" s="47"/>
      <c r="AC640" s="47">
        <f t="shared" ref="AC640:AC646" si="137">AC$7</f>
        <v>5200</v>
      </c>
      <c r="AD640" s="47"/>
      <c r="AE640" s="47"/>
      <c r="AF640" s="47">
        <f t="shared" ref="AF640:AF659" si="138">AF$7</f>
        <v>1485</v>
      </c>
      <c r="AG640" s="47"/>
      <c r="AH640" s="47" t="str">
        <f>IFERROR(_xlfn.XLOOKUP(Table6[[#This Row],[Suburb]],Table5[Travel Surcharge],Table5[$$]),"")</f>
        <v/>
      </c>
      <c r="AI640" s="47"/>
      <c r="AJ640" s="47"/>
      <c r="AL640" t="str">
        <v xml:space="preserve">Redstone The Sanctuary </v>
      </c>
    </row>
    <row r="641" spans="1:38">
      <c r="A641" s="374" t="s">
        <v>1311</v>
      </c>
      <c r="B641" s="374">
        <v>2</v>
      </c>
      <c r="C641" s="374" t="s">
        <v>1312</v>
      </c>
      <c r="D641" s="375" t="str">
        <f t="shared" si="122"/>
        <v>Bankside Estate2</v>
      </c>
      <c r="E641" s="375" t="s">
        <v>1313</v>
      </c>
      <c r="F641" s="375"/>
      <c r="G641" s="375"/>
      <c r="H641" s="375"/>
      <c r="I641" s="63"/>
      <c r="J641" s="47" t="s">
        <v>10462</v>
      </c>
      <c r="K641" s="46" t="s">
        <v>10735</v>
      </c>
      <c r="L641" s="47"/>
      <c r="M641" s="47"/>
      <c r="N641" s="47" t="s">
        <v>1314</v>
      </c>
      <c r="O641" s="47" t="s">
        <v>1315</v>
      </c>
      <c r="P641" s="47" t="s">
        <v>1316</v>
      </c>
      <c r="Q641" s="47"/>
      <c r="R641" s="47" t="s">
        <v>1317</v>
      </c>
      <c r="S641" s="47" t="s">
        <v>1318</v>
      </c>
      <c r="T641" s="47" t="s">
        <v>1319</v>
      </c>
      <c r="U641" s="47"/>
      <c r="V641" s="47" t="s">
        <v>1320</v>
      </c>
      <c r="W641" s="47"/>
      <c r="X641" s="47"/>
      <c r="Y641" s="47"/>
      <c r="Z641" s="47">
        <f t="shared" si="129"/>
        <v>4620</v>
      </c>
      <c r="AA641" s="47" t="s">
        <v>1321</v>
      </c>
      <c r="AB641" s="47"/>
      <c r="AC641" s="47">
        <f t="shared" si="137"/>
        <v>5200</v>
      </c>
      <c r="AD641" s="47"/>
      <c r="AE641" s="47"/>
      <c r="AF641" s="47">
        <f t="shared" si="138"/>
        <v>1485</v>
      </c>
      <c r="AG641" s="47"/>
      <c r="AH641" s="47" t="str">
        <f>IFERROR(_xlfn.XLOOKUP(Table6[[#This Row],[Suburb]],Table5[Travel Surcharge],Table5[$$]),"")</f>
        <v/>
      </c>
      <c r="AI641" s="47"/>
      <c r="AJ641" s="47"/>
      <c r="AL641" t="str">
        <v>Redstone Town Centre Estate</v>
      </c>
    </row>
    <row r="642" spans="1:38">
      <c r="A642" s="374" t="s">
        <v>1311</v>
      </c>
      <c r="B642" s="374">
        <v>3</v>
      </c>
      <c r="C642" s="374" t="s">
        <v>1312</v>
      </c>
      <c r="D642" s="375" t="str">
        <f t="shared" si="122"/>
        <v>Bankside Estate3</v>
      </c>
      <c r="E642" s="375" t="s">
        <v>1322</v>
      </c>
      <c r="F642" s="375"/>
      <c r="G642" s="375"/>
      <c r="H642" s="375"/>
      <c r="I642" s="63"/>
      <c r="J642" s="47" t="s">
        <v>10462</v>
      </c>
      <c r="K642" s="46" t="s">
        <v>10735</v>
      </c>
      <c r="L642" s="47"/>
      <c r="M642" s="47"/>
      <c r="N642" s="47" t="s">
        <v>1314</v>
      </c>
      <c r="O642" s="47" t="s">
        <v>1315</v>
      </c>
      <c r="P642" s="47" t="s">
        <v>1316</v>
      </c>
      <c r="Q642" s="47"/>
      <c r="R642" s="47" t="s">
        <v>1317</v>
      </c>
      <c r="S642" s="47" t="s">
        <v>1318</v>
      </c>
      <c r="T642" s="47" t="s">
        <v>1319</v>
      </c>
      <c r="U642" s="47"/>
      <c r="V642" s="47" t="s">
        <v>1320</v>
      </c>
      <c r="W642" s="47"/>
      <c r="X642" s="47"/>
      <c r="Y642" s="47"/>
      <c r="Z642" s="47">
        <f t="shared" si="129"/>
        <v>4620</v>
      </c>
      <c r="AA642" s="47" t="s">
        <v>1321</v>
      </c>
      <c r="AB642" s="47"/>
      <c r="AC642" s="47">
        <f t="shared" si="137"/>
        <v>5200</v>
      </c>
      <c r="AD642" s="47"/>
      <c r="AE642" s="47"/>
      <c r="AF642" s="47">
        <f t="shared" si="138"/>
        <v>1485</v>
      </c>
      <c r="AG642" s="47"/>
      <c r="AH642" s="47" t="str">
        <f>IFERROR(_xlfn.XLOOKUP(Table6[[#This Row],[Suburb]],Table5[Travel Surcharge],Table5[$$]),"")</f>
        <v/>
      </c>
      <c r="AI642" s="47"/>
      <c r="AJ642" s="47"/>
      <c r="AL642" t="str">
        <v>Redstone Valleyview Estate</v>
      </c>
    </row>
    <row r="643" spans="1:38">
      <c r="A643" s="157" t="s">
        <v>1311</v>
      </c>
      <c r="B643" s="157">
        <v>4</v>
      </c>
      <c r="C643" s="157" t="s">
        <v>1312</v>
      </c>
      <c r="D643" s="157" t="str">
        <f t="shared" si="122"/>
        <v>Bankside Estate4</v>
      </c>
      <c r="E643" s="157" t="s">
        <v>7504</v>
      </c>
      <c r="F643" s="157"/>
      <c r="G643" s="157"/>
      <c r="H643" s="157"/>
      <c r="I643" s="158"/>
      <c r="J643" s="47" t="s">
        <v>10462</v>
      </c>
      <c r="K643" s="46" t="s">
        <v>10735</v>
      </c>
      <c r="L643" s="47"/>
      <c r="M643" s="47"/>
      <c r="N643" s="47" t="s">
        <v>1314</v>
      </c>
      <c r="O643" s="47" t="s">
        <v>1315</v>
      </c>
      <c r="P643" s="47" t="s">
        <v>1316</v>
      </c>
      <c r="Q643" s="47"/>
      <c r="R643" s="47" t="s">
        <v>1317</v>
      </c>
      <c r="S643" s="47" t="s">
        <v>1318</v>
      </c>
      <c r="T643" s="47" t="s">
        <v>1319</v>
      </c>
      <c r="U643" s="47"/>
      <c r="V643" s="47" t="s">
        <v>1320</v>
      </c>
      <c r="W643" s="47"/>
      <c r="X643" s="47"/>
      <c r="Y643" s="47"/>
      <c r="Z643" s="47">
        <f t="shared" si="129"/>
        <v>4620</v>
      </c>
      <c r="AA643" s="47" t="s">
        <v>1321</v>
      </c>
      <c r="AB643" s="47"/>
      <c r="AC643" s="47">
        <f t="shared" si="137"/>
        <v>5200</v>
      </c>
      <c r="AD643" s="47"/>
      <c r="AE643" s="47"/>
      <c r="AF643" s="47">
        <f t="shared" si="138"/>
        <v>1485</v>
      </c>
      <c r="AG643" s="47"/>
      <c r="AH643" s="47" t="str">
        <f>IFERROR(_xlfn.XLOOKUP(Table6[[#This Row],[Suburb]],Table5[Travel Surcharge],Table5[$$]),"")</f>
        <v/>
      </c>
      <c r="AI643" s="47"/>
      <c r="AJ643" s="47"/>
      <c r="AL643" t="str">
        <v>Reeves Place</v>
      </c>
    </row>
    <row r="644" spans="1:38">
      <c r="A644" s="157" t="s">
        <v>1311</v>
      </c>
      <c r="B644" s="157">
        <v>5</v>
      </c>
      <c r="C644" s="157" t="s">
        <v>8224</v>
      </c>
      <c r="D644" s="157" t="str">
        <f t="shared" si="122"/>
        <v>Bankside Estate5</v>
      </c>
      <c r="E644" s="157" t="s">
        <v>8226</v>
      </c>
      <c r="F644" s="157"/>
      <c r="G644" s="157"/>
      <c r="H644" s="157"/>
      <c r="I644" s="158"/>
      <c r="J644" s="47" t="s">
        <v>10462</v>
      </c>
      <c r="K644" s="46" t="s">
        <v>10735</v>
      </c>
      <c r="L644" s="47"/>
      <c r="M644" s="47"/>
      <c r="N644" s="47" t="s">
        <v>1314</v>
      </c>
      <c r="O644" s="47" t="s">
        <v>1315</v>
      </c>
      <c r="P644" s="47" t="s">
        <v>1316</v>
      </c>
      <c r="Q644" s="47"/>
      <c r="R644" s="47" t="s">
        <v>1317</v>
      </c>
      <c r="S644" s="47" t="s">
        <v>8225</v>
      </c>
      <c r="T644" s="47" t="s">
        <v>1319</v>
      </c>
      <c r="U644" s="47"/>
      <c r="V644" s="47" t="s">
        <v>1320</v>
      </c>
      <c r="W644" s="47"/>
      <c r="X644" s="47"/>
      <c r="Y644" s="47"/>
      <c r="Z644" s="47">
        <f t="shared" si="129"/>
        <v>4620</v>
      </c>
      <c r="AA644" s="47" t="s">
        <v>1321</v>
      </c>
      <c r="AB644" s="47"/>
      <c r="AC644" s="47">
        <f t="shared" si="137"/>
        <v>5200</v>
      </c>
      <c r="AD644" s="47"/>
      <c r="AE644" s="47"/>
      <c r="AF644" s="47">
        <f t="shared" si="138"/>
        <v>1485</v>
      </c>
      <c r="AG644" s="47"/>
      <c r="AH644" s="47" t="str">
        <f>IFERROR(_xlfn.XLOOKUP(Table6[[#This Row],[Suburb]],Table5[Travel Surcharge],Table5[$$]),"")</f>
        <v/>
      </c>
      <c r="AI644" s="47"/>
      <c r="AJ644" s="47"/>
      <c r="AL644" t="str">
        <v>Regency Views Estate</v>
      </c>
    </row>
    <row r="645" spans="1:38">
      <c r="A645" s="374" t="s">
        <v>1311</v>
      </c>
      <c r="B645" s="374" t="s">
        <v>1821</v>
      </c>
      <c r="C645" s="374" t="s">
        <v>1312</v>
      </c>
      <c r="D645" s="375" t="str">
        <f t="shared" si="122"/>
        <v>Bankside Estate6a</v>
      </c>
      <c r="E645" s="375" t="s">
        <v>10463</v>
      </c>
      <c r="F645" s="375"/>
      <c r="G645" s="375"/>
      <c r="H645" s="375"/>
      <c r="I645" s="63"/>
      <c r="J645" s="47" t="s">
        <v>10462</v>
      </c>
      <c r="K645" s="46" t="s">
        <v>10735</v>
      </c>
      <c r="L645" s="47"/>
      <c r="M645" s="47"/>
      <c r="N645" s="47" t="s">
        <v>1314</v>
      </c>
      <c r="O645" s="47" t="s">
        <v>1315</v>
      </c>
      <c r="P645" s="47" t="s">
        <v>1316</v>
      </c>
      <c r="Q645" s="47"/>
      <c r="R645" s="47" t="s">
        <v>1317</v>
      </c>
      <c r="S645" s="47" t="s">
        <v>1318</v>
      </c>
      <c r="T645" s="47" t="s">
        <v>1319</v>
      </c>
      <c r="U645" s="47"/>
      <c r="V645" s="47" t="s">
        <v>1320</v>
      </c>
      <c r="W645" s="47"/>
      <c r="X645" s="47"/>
      <c r="Y645" s="47"/>
      <c r="Z645" s="47">
        <v>4620</v>
      </c>
      <c r="AA645" s="47" t="s">
        <v>1321</v>
      </c>
      <c r="AB645" s="47"/>
      <c r="AC645" s="47">
        <v>5200</v>
      </c>
      <c r="AD645" s="47"/>
      <c r="AE645" s="47"/>
      <c r="AF645" s="47">
        <v>1485</v>
      </c>
      <c r="AG645" s="47"/>
      <c r="AH645" s="47" t="s">
        <v>9976</v>
      </c>
      <c r="AI645" s="47"/>
      <c r="AJ645" s="47"/>
      <c r="AL645" t="str">
        <v>Regent Views Estate</v>
      </c>
    </row>
    <row r="646" spans="1:38">
      <c r="A646" s="374" t="s">
        <v>1311</v>
      </c>
      <c r="B646" s="374" t="s">
        <v>610</v>
      </c>
      <c r="C646" s="374" t="s">
        <v>1312</v>
      </c>
      <c r="D646" s="375" t="str">
        <f t="shared" si="122"/>
        <v>Bankside Estate3C</v>
      </c>
      <c r="E646" s="375" t="s">
        <v>1322</v>
      </c>
      <c r="F646" s="375"/>
      <c r="G646" s="375"/>
      <c r="H646" s="375"/>
      <c r="I646" s="63"/>
      <c r="J646" s="47" t="s">
        <v>10462</v>
      </c>
      <c r="K646" s="46" t="s">
        <v>10735</v>
      </c>
      <c r="L646" s="47"/>
      <c r="M646" s="47"/>
      <c r="N646" s="47" t="s">
        <v>1314</v>
      </c>
      <c r="O646" s="47" t="s">
        <v>1315</v>
      </c>
      <c r="P646" s="47" t="s">
        <v>1316</v>
      </c>
      <c r="Q646" s="47"/>
      <c r="R646" s="47" t="s">
        <v>1317</v>
      </c>
      <c r="S646" s="47" t="s">
        <v>1318</v>
      </c>
      <c r="T646" s="47" t="s">
        <v>1319</v>
      </c>
      <c r="U646" s="47"/>
      <c r="V646" s="47" t="s">
        <v>1320</v>
      </c>
      <c r="W646" s="47"/>
      <c r="X646" s="47"/>
      <c r="Y646" s="47"/>
      <c r="Z646" s="47">
        <f t="shared" si="129"/>
        <v>4620</v>
      </c>
      <c r="AA646" s="47" t="s">
        <v>1321</v>
      </c>
      <c r="AB646" s="47"/>
      <c r="AC646" s="47">
        <f t="shared" si="137"/>
        <v>5200</v>
      </c>
      <c r="AD646" s="47"/>
      <c r="AE646" s="47"/>
      <c r="AF646" s="47">
        <f t="shared" si="138"/>
        <v>1485</v>
      </c>
      <c r="AG646" s="47"/>
      <c r="AH646" s="47" t="str">
        <f>IFERROR(_xlfn.XLOOKUP(Table6[[#This Row],[Suburb]],Table5[Travel Surcharge],Table5[$$]),"")</f>
        <v/>
      </c>
      <c r="AI646" s="47"/>
      <c r="AJ646" s="47"/>
      <c r="AL646" t="str">
        <v>Renaissance Rise</v>
      </c>
    </row>
    <row r="647" spans="1:38">
      <c r="A647" s="374" t="s">
        <v>1323</v>
      </c>
      <c r="B647" s="374">
        <v>1</v>
      </c>
      <c r="C647" s="374" t="s">
        <v>802</v>
      </c>
      <c r="D647" s="375" t="str">
        <f t="shared" si="122"/>
        <v>Banyan Place1</v>
      </c>
      <c r="E647" s="375" t="s">
        <v>1324</v>
      </c>
      <c r="F647" s="375"/>
      <c r="G647" s="375" t="s">
        <v>1325</v>
      </c>
      <c r="H647" s="375" t="s">
        <v>1326</v>
      </c>
      <c r="I647" s="63" t="s">
        <v>1327</v>
      </c>
      <c r="J647" s="47">
        <f t="shared" ref="J647:J655" si="139">J$7</f>
        <v>3740</v>
      </c>
      <c r="K647" s="46" t="s">
        <v>7938</v>
      </c>
      <c r="L647" s="47">
        <f t="shared" ref="L647:L655" si="140">L$7</f>
        <v>1210</v>
      </c>
      <c r="M647" s="47" t="s">
        <v>1328</v>
      </c>
      <c r="N647" s="47" t="s">
        <v>1329</v>
      </c>
      <c r="O647" s="47" t="s">
        <v>1267</v>
      </c>
      <c r="P647" s="47" t="s">
        <v>1330</v>
      </c>
      <c r="Q647" s="47"/>
      <c r="R647" s="47"/>
      <c r="S647" s="47"/>
      <c r="T647" s="47"/>
      <c r="U647" s="47">
        <f t="shared" ref="U647:U659" si="141">U$2</f>
        <v>430</v>
      </c>
      <c r="V647" s="47"/>
      <c r="W647" s="47"/>
      <c r="X647" s="47"/>
      <c r="Y647" s="47"/>
      <c r="Z647" s="47">
        <f t="shared" si="129"/>
        <v>4620</v>
      </c>
      <c r="AA647" s="47">
        <f t="shared" ref="AA647:AA655" si="142">AA$7</f>
        <v>1400</v>
      </c>
      <c r="AB647" s="47"/>
      <c r="AC647" s="47"/>
      <c r="AD647" s="47" t="s">
        <v>1</v>
      </c>
      <c r="AE647" s="47"/>
      <c r="AF647" s="47">
        <f t="shared" si="138"/>
        <v>1485</v>
      </c>
      <c r="AG647" s="47"/>
      <c r="AH647" s="47" t="str">
        <f>IFERROR(_xlfn.XLOOKUP(Table6[[#This Row],[Suburb]],Table5[Travel Surcharge],Table5[$$]),"")</f>
        <v/>
      </c>
      <c r="AI647" s="47">
        <v>1650.0000000000002</v>
      </c>
      <c r="AJ647" s="47"/>
      <c r="AL647" t="str">
        <v>Ridgelea</v>
      </c>
    </row>
    <row r="648" spans="1:38">
      <c r="A648" s="374" t="s">
        <v>1323</v>
      </c>
      <c r="B648" s="374">
        <v>2</v>
      </c>
      <c r="C648" s="374" t="s">
        <v>802</v>
      </c>
      <c r="D648" s="375" t="str">
        <f t="shared" si="122"/>
        <v>Banyan Place2</v>
      </c>
      <c r="E648" s="375" t="s">
        <v>1331</v>
      </c>
      <c r="F648" s="375"/>
      <c r="G648" s="375" t="s">
        <v>1325</v>
      </c>
      <c r="H648" s="375" t="s">
        <v>1326</v>
      </c>
      <c r="I648" s="63" t="s">
        <v>1327</v>
      </c>
      <c r="J648" s="47">
        <f t="shared" si="139"/>
        <v>3740</v>
      </c>
      <c r="K648" s="46" t="s">
        <v>7938</v>
      </c>
      <c r="L648" s="47">
        <f t="shared" si="140"/>
        <v>1210</v>
      </c>
      <c r="M648" s="47" t="s">
        <v>1328</v>
      </c>
      <c r="N648" s="47" t="s">
        <v>1329</v>
      </c>
      <c r="O648" s="47" t="s">
        <v>1267</v>
      </c>
      <c r="P648" s="47" t="s">
        <v>1330</v>
      </c>
      <c r="Q648" s="47"/>
      <c r="R648" s="47"/>
      <c r="S648" s="47"/>
      <c r="T648" s="47"/>
      <c r="U648" s="47">
        <f t="shared" si="141"/>
        <v>430</v>
      </c>
      <c r="V648" s="47"/>
      <c r="W648" s="47"/>
      <c r="X648" s="47"/>
      <c r="Y648" s="47"/>
      <c r="Z648" s="47">
        <f t="shared" si="129"/>
        <v>4620</v>
      </c>
      <c r="AA648" s="47">
        <f t="shared" si="142"/>
        <v>1400</v>
      </c>
      <c r="AB648" s="47"/>
      <c r="AC648" s="47"/>
      <c r="AD648" s="47" t="s">
        <v>1</v>
      </c>
      <c r="AE648" s="47"/>
      <c r="AF648" s="47">
        <f t="shared" si="138"/>
        <v>1485</v>
      </c>
      <c r="AG648" s="47"/>
      <c r="AH648" s="47" t="str">
        <f>IFERROR(_xlfn.XLOOKUP(Table6[[#This Row],[Suburb]],Table5[Travel Surcharge],Table5[$$]),"")</f>
        <v/>
      </c>
      <c r="AI648" s="47">
        <v>1650.0000000000002</v>
      </c>
      <c r="AJ648" s="47"/>
      <c r="AL648" t="str">
        <v>Rivendell Heights  Estate</v>
      </c>
    </row>
    <row r="649" spans="1:38">
      <c r="A649" s="374" t="s">
        <v>1323</v>
      </c>
      <c r="B649" s="374">
        <v>3</v>
      </c>
      <c r="C649" s="374" t="s">
        <v>802</v>
      </c>
      <c r="D649" s="375" t="str">
        <f t="shared" si="122"/>
        <v>Banyan Place3</v>
      </c>
      <c r="E649" s="375" t="s">
        <v>1332</v>
      </c>
      <c r="F649" s="375"/>
      <c r="G649" s="375" t="s">
        <v>1325</v>
      </c>
      <c r="H649" s="375" t="s">
        <v>1326</v>
      </c>
      <c r="I649" s="63" t="s">
        <v>1327</v>
      </c>
      <c r="J649" s="47">
        <f t="shared" si="139"/>
        <v>3740</v>
      </c>
      <c r="K649" s="46" t="s">
        <v>7938</v>
      </c>
      <c r="L649" s="47">
        <f t="shared" si="140"/>
        <v>1210</v>
      </c>
      <c r="M649" s="47" t="s">
        <v>1328</v>
      </c>
      <c r="N649" s="47" t="s">
        <v>1329</v>
      </c>
      <c r="O649" s="47" t="s">
        <v>1267</v>
      </c>
      <c r="P649" s="47" t="s">
        <v>1330</v>
      </c>
      <c r="Q649" s="47"/>
      <c r="R649" s="47"/>
      <c r="S649" s="47"/>
      <c r="T649" s="47"/>
      <c r="U649" s="47">
        <f t="shared" si="141"/>
        <v>430</v>
      </c>
      <c r="V649" s="47"/>
      <c r="W649" s="47"/>
      <c r="X649" s="47"/>
      <c r="Y649" s="47"/>
      <c r="Z649" s="47">
        <f t="shared" si="129"/>
        <v>4620</v>
      </c>
      <c r="AA649" s="47">
        <f t="shared" si="142"/>
        <v>1400</v>
      </c>
      <c r="AB649" s="47"/>
      <c r="AC649" s="47"/>
      <c r="AD649" s="47" t="s">
        <v>1</v>
      </c>
      <c r="AE649" s="47"/>
      <c r="AF649" s="47">
        <f t="shared" si="138"/>
        <v>1485</v>
      </c>
      <c r="AG649" s="47"/>
      <c r="AH649" s="47" t="str">
        <f>IFERROR(_xlfn.XLOOKUP(Table6[[#This Row],[Suburb]],Table5[Travel Surcharge],Table5[$$]),"")</f>
        <v/>
      </c>
      <c r="AI649" s="47">
        <v>1650.0000000000002</v>
      </c>
      <c r="AJ649" s="47"/>
      <c r="AL649" t="str">
        <v>River Garden Estate</v>
      </c>
    </row>
    <row r="650" spans="1:38">
      <c r="A650" s="374" t="s">
        <v>1323</v>
      </c>
      <c r="B650" s="374">
        <v>4</v>
      </c>
      <c r="C650" s="374" t="s">
        <v>802</v>
      </c>
      <c r="D650" s="375" t="str">
        <f t="shared" si="122"/>
        <v>Banyan Place4</v>
      </c>
      <c r="E650" s="375" t="s">
        <v>1333</v>
      </c>
      <c r="F650" s="375"/>
      <c r="G650" s="375" t="s">
        <v>1325</v>
      </c>
      <c r="H650" s="375" t="s">
        <v>1326</v>
      </c>
      <c r="I650" s="63" t="s">
        <v>1327</v>
      </c>
      <c r="J650" s="47">
        <f t="shared" si="139"/>
        <v>3740</v>
      </c>
      <c r="K650" s="46" t="s">
        <v>7938</v>
      </c>
      <c r="L650" s="47">
        <f t="shared" si="140"/>
        <v>1210</v>
      </c>
      <c r="M650" s="47" t="s">
        <v>1328</v>
      </c>
      <c r="N650" s="47" t="s">
        <v>1329</v>
      </c>
      <c r="O650" s="47" t="s">
        <v>1267</v>
      </c>
      <c r="P650" s="47" t="s">
        <v>1330</v>
      </c>
      <c r="Q650" s="47"/>
      <c r="R650" s="47"/>
      <c r="S650" s="47"/>
      <c r="T650" s="47"/>
      <c r="U650" s="47">
        <f t="shared" si="141"/>
        <v>430</v>
      </c>
      <c r="V650" s="47"/>
      <c r="W650" s="47"/>
      <c r="X650" s="47"/>
      <c r="Y650" s="47"/>
      <c r="Z650" s="47">
        <f t="shared" si="129"/>
        <v>4620</v>
      </c>
      <c r="AA650" s="47">
        <f t="shared" si="142"/>
        <v>1400</v>
      </c>
      <c r="AB650" s="47"/>
      <c r="AC650" s="47"/>
      <c r="AD650" s="47" t="s">
        <v>1</v>
      </c>
      <c r="AE650" s="47"/>
      <c r="AF650" s="47">
        <f t="shared" si="138"/>
        <v>1485</v>
      </c>
      <c r="AG650" s="47"/>
      <c r="AH650" s="47" t="str">
        <f>IFERROR(_xlfn.XLOOKUP(Table6[[#This Row],[Suburb]],Table5[Travel Surcharge],Table5[$$]),"")</f>
        <v/>
      </c>
      <c r="AI650" s="47">
        <v>1650.0000000000002</v>
      </c>
      <c r="AJ650" s="47"/>
      <c r="AL650" t="str">
        <v>River Valley</v>
      </c>
    </row>
    <row r="651" spans="1:38">
      <c r="A651" s="157" t="s">
        <v>1323</v>
      </c>
      <c r="B651" s="157">
        <v>5</v>
      </c>
      <c r="C651" s="157" t="s">
        <v>8203</v>
      </c>
      <c r="D651" s="157" t="str">
        <f t="shared" ref="D651:D716" si="143">CONCATENATE(A651,B651)</f>
        <v>Banyan Place5</v>
      </c>
      <c r="E651" s="157" t="s">
        <v>8206</v>
      </c>
      <c r="F651" s="157"/>
      <c r="G651" s="157" t="s">
        <v>1325</v>
      </c>
      <c r="H651" s="157" t="s">
        <v>8204</v>
      </c>
      <c r="I651" s="158" t="s">
        <v>1327</v>
      </c>
      <c r="J651" s="47">
        <f t="shared" si="139"/>
        <v>3740</v>
      </c>
      <c r="K651" s="46" t="s">
        <v>7938</v>
      </c>
      <c r="L651" s="47">
        <f t="shared" si="140"/>
        <v>1210</v>
      </c>
      <c r="M651" s="47" t="s">
        <v>8205</v>
      </c>
      <c r="N651" s="47" t="s">
        <v>1329</v>
      </c>
      <c r="O651" s="47" t="s">
        <v>1267</v>
      </c>
      <c r="P651" s="47" t="s">
        <v>1330</v>
      </c>
      <c r="Q651" s="47"/>
      <c r="R651" s="47"/>
      <c r="S651" s="47"/>
      <c r="T651" s="47"/>
      <c r="U651" s="47">
        <f t="shared" si="141"/>
        <v>430</v>
      </c>
      <c r="V651" s="47"/>
      <c r="W651" s="47"/>
      <c r="X651" s="47"/>
      <c r="Y651" s="47"/>
      <c r="Z651" s="47">
        <f t="shared" si="129"/>
        <v>4620</v>
      </c>
      <c r="AA651" s="47">
        <f t="shared" si="142"/>
        <v>1400</v>
      </c>
      <c r="AB651" s="47"/>
      <c r="AC651" s="47"/>
      <c r="AD651" s="47" t="s">
        <v>1</v>
      </c>
      <c r="AE651" s="47"/>
      <c r="AF651" s="47">
        <f t="shared" si="138"/>
        <v>1485</v>
      </c>
      <c r="AG651" s="47"/>
      <c r="AH651" s="47" t="str">
        <f>IFERROR(_xlfn.XLOOKUP(Table6[[#This Row],[Suburb]],Table5[Travel Surcharge],Table5[$$]),"")</f>
        <v/>
      </c>
      <c r="AI651" s="47">
        <v>1651</v>
      </c>
      <c r="AJ651" s="47"/>
      <c r="AL651" t="str">
        <v>Riverbank Gardens Estate</v>
      </c>
    </row>
    <row r="652" spans="1:38">
      <c r="A652" s="374" t="s">
        <v>1323</v>
      </c>
      <c r="B652" s="374">
        <v>6</v>
      </c>
      <c r="C652" s="374" t="s">
        <v>802</v>
      </c>
      <c r="D652" s="375" t="str">
        <f t="shared" si="143"/>
        <v>Banyan Place6</v>
      </c>
      <c r="E652" s="375" t="s">
        <v>1334</v>
      </c>
      <c r="F652" s="375"/>
      <c r="G652" s="375" t="s">
        <v>1325</v>
      </c>
      <c r="H652" s="375" t="s">
        <v>1326</v>
      </c>
      <c r="I652" s="63" t="s">
        <v>1327</v>
      </c>
      <c r="J652" s="47">
        <f t="shared" si="139"/>
        <v>3740</v>
      </c>
      <c r="K652" s="46" t="s">
        <v>7938</v>
      </c>
      <c r="L652" s="47">
        <f t="shared" si="140"/>
        <v>1210</v>
      </c>
      <c r="M652" s="47" t="s">
        <v>1328</v>
      </c>
      <c r="N652" s="47" t="s">
        <v>1329</v>
      </c>
      <c r="O652" s="47" t="s">
        <v>1267</v>
      </c>
      <c r="P652" s="47" t="s">
        <v>1330</v>
      </c>
      <c r="Q652" s="47"/>
      <c r="R652" s="47"/>
      <c r="S652" s="47"/>
      <c r="T652" s="47"/>
      <c r="U652" s="47">
        <f t="shared" si="141"/>
        <v>430</v>
      </c>
      <c r="V652" s="47"/>
      <c r="W652" s="47"/>
      <c r="X652" s="47"/>
      <c r="Y652" s="47"/>
      <c r="Z652" s="47">
        <f t="shared" si="129"/>
        <v>4620</v>
      </c>
      <c r="AA652" s="47">
        <f t="shared" si="142"/>
        <v>1400</v>
      </c>
      <c r="AB652" s="47"/>
      <c r="AC652" s="47"/>
      <c r="AD652" s="47" t="s">
        <v>1</v>
      </c>
      <c r="AE652" s="47"/>
      <c r="AF652" s="47">
        <f t="shared" si="138"/>
        <v>1485</v>
      </c>
      <c r="AG652" s="47"/>
      <c r="AH652" s="47" t="str">
        <f>IFERROR(_xlfn.XLOOKUP(Table6[[#This Row],[Suburb]],Table5[Travel Surcharge],Table5[$$]),"")</f>
        <v/>
      </c>
      <c r="AI652" s="47">
        <v>1650.0000000000002</v>
      </c>
      <c r="AJ652" s="47"/>
      <c r="AL652" t="str">
        <v>Riverdale Village Estate</v>
      </c>
    </row>
    <row r="653" spans="1:38">
      <c r="A653" s="157" t="s">
        <v>1323</v>
      </c>
      <c r="B653" s="157">
        <v>7</v>
      </c>
      <c r="C653" s="157" t="s">
        <v>802</v>
      </c>
      <c r="D653" s="157" t="str">
        <f t="shared" si="143"/>
        <v>Banyan Place7</v>
      </c>
      <c r="E653" s="157" t="s">
        <v>7769</v>
      </c>
      <c r="F653" s="157"/>
      <c r="G653" s="157" t="s">
        <v>1325</v>
      </c>
      <c r="H653" s="157" t="s">
        <v>1326</v>
      </c>
      <c r="I653" s="158" t="s">
        <v>1327</v>
      </c>
      <c r="J653" s="47">
        <f t="shared" si="139"/>
        <v>3740</v>
      </c>
      <c r="K653" s="46" t="s">
        <v>7938</v>
      </c>
      <c r="L653" s="47">
        <f t="shared" si="140"/>
        <v>1210</v>
      </c>
      <c r="M653" s="47" t="s">
        <v>1328</v>
      </c>
      <c r="N653" s="47" t="s">
        <v>1329</v>
      </c>
      <c r="O653" s="47" t="s">
        <v>1267</v>
      </c>
      <c r="P653" s="47" t="s">
        <v>1330</v>
      </c>
      <c r="Q653" s="47"/>
      <c r="R653" s="47"/>
      <c r="S653" s="47"/>
      <c r="T653" s="47"/>
      <c r="U653" s="47">
        <f t="shared" si="141"/>
        <v>430</v>
      </c>
      <c r="V653" s="47"/>
      <c r="W653" s="47"/>
      <c r="X653" s="47"/>
      <c r="Y653" s="47"/>
      <c r="Z653" s="47">
        <f t="shared" si="129"/>
        <v>4620</v>
      </c>
      <c r="AA653" s="47">
        <f t="shared" si="142"/>
        <v>1400</v>
      </c>
      <c r="AB653" s="47"/>
      <c r="AC653" s="47"/>
      <c r="AD653" s="47" t="s">
        <v>1</v>
      </c>
      <c r="AE653" s="47"/>
      <c r="AF653" s="47">
        <f t="shared" si="138"/>
        <v>1485</v>
      </c>
      <c r="AG653" s="47"/>
      <c r="AH653" s="47" t="str">
        <f>IFERROR(_xlfn.XLOOKUP(Table6[[#This Row],[Suburb]],Table5[Travel Surcharge],Table5[$$]),"")</f>
        <v/>
      </c>
      <c r="AI653" s="47">
        <v>1650.0000000000002</v>
      </c>
      <c r="AJ653" s="47"/>
      <c r="AL653" t="str">
        <v>Riverfield</v>
      </c>
    </row>
    <row r="654" spans="1:38">
      <c r="A654" s="157" t="s">
        <v>1323</v>
      </c>
      <c r="B654" s="157">
        <v>8</v>
      </c>
      <c r="C654" s="157" t="s">
        <v>802</v>
      </c>
      <c r="D654" s="157" t="str">
        <f t="shared" si="143"/>
        <v>Banyan Place8</v>
      </c>
      <c r="E654" s="157" t="s">
        <v>9510</v>
      </c>
      <c r="F654" s="157"/>
      <c r="G654" s="157" t="s">
        <v>1325</v>
      </c>
      <c r="H654" s="157" t="s">
        <v>1326</v>
      </c>
      <c r="I654" s="158" t="s">
        <v>1327</v>
      </c>
      <c r="J654" s="47">
        <f t="shared" si="139"/>
        <v>3740</v>
      </c>
      <c r="K654" s="46" t="s">
        <v>7938</v>
      </c>
      <c r="L654" s="47">
        <f t="shared" si="140"/>
        <v>1210</v>
      </c>
      <c r="M654" s="47" t="s">
        <v>1328</v>
      </c>
      <c r="N654" s="47" t="s">
        <v>1329</v>
      </c>
      <c r="O654" s="47" t="s">
        <v>1267</v>
      </c>
      <c r="P654" s="47" t="s">
        <v>1330</v>
      </c>
      <c r="Q654" s="47"/>
      <c r="R654" s="47"/>
      <c r="S654" s="47"/>
      <c r="T654" s="47"/>
      <c r="U654" s="47">
        <f t="shared" si="141"/>
        <v>430</v>
      </c>
      <c r="V654" s="47"/>
      <c r="W654" s="47"/>
      <c r="X654" s="47"/>
      <c r="Y654" s="47"/>
      <c r="Z654" s="47">
        <f t="shared" si="129"/>
        <v>4620</v>
      </c>
      <c r="AA654" s="47">
        <f t="shared" si="142"/>
        <v>1400</v>
      </c>
      <c r="AB654" s="47"/>
      <c r="AC654" s="47"/>
      <c r="AD654" s="47" t="s">
        <v>1</v>
      </c>
      <c r="AE654" s="47"/>
      <c r="AF654" s="47">
        <f t="shared" si="138"/>
        <v>1485</v>
      </c>
      <c r="AG654" s="47"/>
      <c r="AH654" s="47" t="str">
        <f>IFERROR(_xlfn.XLOOKUP(Table6[[#This Row],[Suburb]],Table5[Travel Surcharge],Table5[$$]),"")</f>
        <v/>
      </c>
      <c r="AI654" s="47">
        <v>1650.0000000000002</v>
      </c>
      <c r="AJ654" s="47"/>
      <c r="AL654" t="str">
        <v>Riverhills Estate</v>
      </c>
    </row>
    <row r="655" spans="1:38">
      <c r="A655" s="157" t="s">
        <v>1323</v>
      </c>
      <c r="B655" s="157">
        <v>9</v>
      </c>
      <c r="C655" s="157" t="s">
        <v>802</v>
      </c>
      <c r="D655" s="157" t="str">
        <f t="shared" si="143"/>
        <v>Banyan Place9</v>
      </c>
      <c r="E655" s="157" t="s">
        <v>9038</v>
      </c>
      <c r="F655" s="157"/>
      <c r="G655" s="157" t="s">
        <v>1325</v>
      </c>
      <c r="H655" s="157" t="s">
        <v>1326</v>
      </c>
      <c r="I655" s="158" t="s">
        <v>1327</v>
      </c>
      <c r="J655" s="47">
        <f t="shared" si="139"/>
        <v>3740</v>
      </c>
      <c r="K655" s="46" t="s">
        <v>7938</v>
      </c>
      <c r="L655" s="47">
        <f t="shared" si="140"/>
        <v>1210</v>
      </c>
      <c r="M655" s="47" t="s">
        <v>1328</v>
      </c>
      <c r="N655" s="47" t="s">
        <v>1329</v>
      </c>
      <c r="O655" s="47" t="s">
        <v>1267</v>
      </c>
      <c r="P655" s="47" t="s">
        <v>1330</v>
      </c>
      <c r="Q655" s="47"/>
      <c r="R655" s="47"/>
      <c r="S655" s="47"/>
      <c r="T655" s="47"/>
      <c r="U655" s="47">
        <f t="shared" si="141"/>
        <v>430</v>
      </c>
      <c r="V655" s="47"/>
      <c r="W655" s="47"/>
      <c r="X655" s="47"/>
      <c r="Y655" s="47"/>
      <c r="Z655" s="47">
        <f t="shared" si="129"/>
        <v>4620</v>
      </c>
      <c r="AA655" s="47">
        <f t="shared" si="142"/>
        <v>1400</v>
      </c>
      <c r="AB655" s="47"/>
      <c r="AC655" s="47"/>
      <c r="AD655" s="47" t="s">
        <v>1</v>
      </c>
      <c r="AE655" s="47"/>
      <c r="AF655" s="47">
        <f t="shared" si="138"/>
        <v>1485</v>
      </c>
      <c r="AG655" s="47"/>
      <c r="AH655" s="47" t="str">
        <f>IFERROR(_xlfn.XLOOKUP(Table6[[#This Row],[Suburb]],Table5[Travel Surcharge],Table5[$$]),"")</f>
        <v/>
      </c>
      <c r="AI655" s="47">
        <v>1650.0000000000002</v>
      </c>
      <c r="AJ655" s="47"/>
      <c r="AL655" t="str">
        <v>Riverina Rise Estate</v>
      </c>
    </row>
    <row r="656" spans="1:38">
      <c r="A656" s="374" t="s">
        <v>1323</v>
      </c>
      <c r="B656" s="374">
        <v>10</v>
      </c>
      <c r="C656" s="374" t="s">
        <v>802</v>
      </c>
      <c r="D656" s="157" t="str">
        <f t="shared" si="143"/>
        <v>Banyan Place10</v>
      </c>
      <c r="E656" s="375" t="s">
        <v>9913</v>
      </c>
      <c r="F656" s="375"/>
      <c r="G656" s="375" t="s">
        <v>1325</v>
      </c>
      <c r="H656" s="375" t="s">
        <v>1326</v>
      </c>
      <c r="I656" s="63" t="s">
        <v>1327</v>
      </c>
      <c r="J656" s="47">
        <v>3740</v>
      </c>
      <c r="K656" s="46" t="s">
        <v>7938</v>
      </c>
      <c r="L656" s="47">
        <v>1210</v>
      </c>
      <c r="M656" s="47" t="s">
        <v>1328</v>
      </c>
      <c r="N656" s="47" t="s">
        <v>1329</v>
      </c>
      <c r="O656" s="47" t="s">
        <v>1267</v>
      </c>
      <c r="P656" s="47" t="s">
        <v>1330</v>
      </c>
      <c r="Q656" s="47"/>
      <c r="R656" s="47"/>
      <c r="S656" s="47"/>
      <c r="T656" s="47"/>
      <c r="U656" s="47">
        <v>540</v>
      </c>
      <c r="V656" s="47"/>
      <c r="W656" s="47"/>
      <c r="X656" s="47"/>
      <c r="Y656" s="47"/>
      <c r="Z656" s="47">
        <v>4620</v>
      </c>
      <c r="AA656" s="47">
        <v>1400</v>
      </c>
      <c r="AB656" s="47"/>
      <c r="AC656" s="47"/>
      <c r="AD656" s="47" t="s">
        <v>1</v>
      </c>
      <c r="AE656" s="47"/>
      <c r="AF656" s="47">
        <v>1485</v>
      </c>
      <c r="AG656" s="47"/>
      <c r="AH656" s="47" t="str">
        <f>IFERROR(_xlfn.XLOOKUP(Table6[[#This Row],[Suburb]],Table5[Travel Surcharge],Table5[$$]),"")</f>
        <v/>
      </c>
      <c r="AI656" s="47">
        <v>1650.0000000000002</v>
      </c>
      <c r="AJ656" s="47"/>
      <c r="AL656" t="str">
        <v>Riverstone Estate</v>
      </c>
    </row>
    <row r="657" spans="1:38">
      <c r="A657" s="374" t="s">
        <v>9707</v>
      </c>
      <c r="B657" s="374">
        <v>1</v>
      </c>
      <c r="C657" s="374" t="s">
        <v>9708</v>
      </c>
      <c r="D657" s="375" t="str">
        <f t="shared" si="143"/>
        <v>Barrabool Views1</v>
      </c>
      <c r="E657" s="375" t="s">
        <v>10734</v>
      </c>
      <c r="F657" s="375"/>
      <c r="G657" s="375"/>
      <c r="H657" s="375" t="s">
        <v>9710</v>
      </c>
      <c r="I657" s="63"/>
      <c r="J657" s="47"/>
      <c r="K657" s="46" t="s">
        <v>10735</v>
      </c>
      <c r="L657" s="47"/>
      <c r="M657" s="47" t="s">
        <v>9711</v>
      </c>
      <c r="N657" s="47"/>
      <c r="O657" s="47"/>
      <c r="P657" s="47"/>
      <c r="Q657" s="47"/>
      <c r="R657" s="47"/>
      <c r="S657" s="47"/>
      <c r="T657" s="47"/>
      <c r="U657" s="47">
        <v>540</v>
      </c>
      <c r="V657" s="47"/>
      <c r="W657" s="47"/>
      <c r="X657" s="47"/>
      <c r="Y657" s="47"/>
      <c r="Z657" s="47">
        <v>4620</v>
      </c>
      <c r="AA657" s="47"/>
      <c r="AB657" s="47"/>
      <c r="AC657" s="47"/>
      <c r="AD657" s="47" t="s">
        <v>1</v>
      </c>
      <c r="AE657" s="47"/>
      <c r="AF657" s="47">
        <v>1485</v>
      </c>
      <c r="AG657" s="47"/>
      <c r="AH657" s="47" t="s">
        <v>9976</v>
      </c>
      <c r="AI657" s="47"/>
      <c r="AJ657" s="47">
        <v>4400</v>
      </c>
      <c r="AL657" t="str">
        <v>Riverview Winchelsea</v>
      </c>
    </row>
    <row r="658" spans="1:38">
      <c r="A658" s="157" t="s">
        <v>9707</v>
      </c>
      <c r="B658" s="157">
        <v>6</v>
      </c>
      <c r="C658" s="157" t="s">
        <v>9708</v>
      </c>
      <c r="D658" s="157" t="str">
        <f t="shared" si="143"/>
        <v>Barrabool Views6</v>
      </c>
      <c r="E658" s="157" t="s">
        <v>9709</v>
      </c>
      <c r="F658" s="157"/>
      <c r="G658" s="157"/>
      <c r="H658" s="157" t="s">
        <v>9710</v>
      </c>
      <c r="I658" s="158"/>
      <c r="J658" s="47"/>
      <c r="K658" s="46" t="s">
        <v>10735</v>
      </c>
      <c r="L658" s="47"/>
      <c r="M658" s="47" t="s">
        <v>9711</v>
      </c>
      <c r="N658" s="47"/>
      <c r="O658" s="47"/>
      <c r="P658" s="47"/>
      <c r="Q658" s="47"/>
      <c r="R658" s="47"/>
      <c r="S658" s="47"/>
      <c r="T658" s="47"/>
      <c r="U658" s="47">
        <f t="shared" si="141"/>
        <v>430</v>
      </c>
      <c r="V658" s="47"/>
      <c r="W658" s="47"/>
      <c r="X658" s="47"/>
      <c r="Y658" s="47"/>
      <c r="Z658" s="47">
        <f t="shared" si="129"/>
        <v>4620</v>
      </c>
      <c r="AA658" s="47"/>
      <c r="AB658" s="47"/>
      <c r="AC658" s="47"/>
      <c r="AD658" s="47" t="s">
        <v>1</v>
      </c>
      <c r="AE658" s="47"/>
      <c r="AF658" s="47">
        <f t="shared" si="138"/>
        <v>1485</v>
      </c>
      <c r="AG658" s="47"/>
      <c r="AH658" s="47" t="str">
        <f>IFERROR(_xlfn.XLOOKUP(Table6[[#This Row],[Suburb]],Table5[Travel Surcharge],Table5[$$]),"")</f>
        <v/>
      </c>
      <c r="AI658" s="47"/>
      <c r="AJ658" s="47">
        <v>4400</v>
      </c>
      <c r="AL658" t="str">
        <v>Riverviews Estate</v>
      </c>
    </row>
    <row r="659" spans="1:38">
      <c r="A659" s="157" t="s">
        <v>9707</v>
      </c>
      <c r="B659" s="157">
        <v>7</v>
      </c>
      <c r="C659" s="157" t="s">
        <v>9708</v>
      </c>
      <c r="D659" s="157" t="str">
        <f t="shared" si="143"/>
        <v>Barrabool Views7</v>
      </c>
      <c r="E659" s="157" t="s">
        <v>9709</v>
      </c>
      <c r="F659" s="157"/>
      <c r="G659" s="157"/>
      <c r="H659" s="157" t="s">
        <v>9710</v>
      </c>
      <c r="I659" s="158"/>
      <c r="J659" s="47"/>
      <c r="K659" s="46" t="s">
        <v>10735</v>
      </c>
      <c r="L659" s="47"/>
      <c r="M659" s="47" t="s">
        <v>9711</v>
      </c>
      <c r="N659" s="47"/>
      <c r="O659" s="47"/>
      <c r="P659" s="47"/>
      <c r="Q659" s="47"/>
      <c r="R659" s="47"/>
      <c r="S659" s="47"/>
      <c r="T659" s="47"/>
      <c r="U659" s="47">
        <f t="shared" si="141"/>
        <v>430</v>
      </c>
      <c r="V659" s="47"/>
      <c r="W659" s="47"/>
      <c r="X659" s="47"/>
      <c r="Y659" s="47"/>
      <c r="Z659" s="47">
        <f t="shared" si="129"/>
        <v>4620</v>
      </c>
      <c r="AA659" s="47"/>
      <c r="AB659" s="47"/>
      <c r="AC659" s="47"/>
      <c r="AD659" s="47" t="s">
        <v>1</v>
      </c>
      <c r="AE659" s="47"/>
      <c r="AF659" s="47">
        <f t="shared" si="138"/>
        <v>1485</v>
      </c>
      <c r="AG659" s="47"/>
      <c r="AH659" s="47" t="str">
        <f>IFERROR(_xlfn.XLOOKUP(Table6[[#This Row],[Suburb]],Table5[Travel Surcharge],Table5[$$]),"")</f>
        <v/>
      </c>
      <c r="AI659" s="47"/>
      <c r="AJ659" s="47">
        <v>4400</v>
      </c>
      <c r="AL659" t="str">
        <v>Riverwalk Estate</v>
      </c>
    </row>
    <row r="660" spans="1:38">
      <c r="A660" s="374" t="s">
        <v>1335</v>
      </c>
      <c r="B660" s="374">
        <v>20</v>
      </c>
      <c r="C660" s="374" t="s">
        <v>1336</v>
      </c>
      <c r="D660" s="375" t="str">
        <f t="shared" si="143"/>
        <v>Baybreeze Estate20</v>
      </c>
      <c r="E660" s="375" t="s">
        <v>9810</v>
      </c>
      <c r="F660" s="375" t="s">
        <v>1338</v>
      </c>
      <c r="G660" s="375"/>
      <c r="H660" s="375" t="s">
        <v>1339</v>
      </c>
      <c r="I660" s="63" t="s">
        <v>1340</v>
      </c>
      <c r="J660" s="47"/>
      <c r="K660" s="46" t="s">
        <v>10735</v>
      </c>
      <c r="L660" s="47"/>
      <c r="M660" s="47">
        <v>1430.0000000000002</v>
      </c>
      <c r="N660" s="47"/>
      <c r="O660" s="47"/>
      <c r="P660" s="47"/>
      <c r="Q660" s="47">
        <v>0</v>
      </c>
      <c r="R660" s="47"/>
      <c r="S660" s="47"/>
      <c r="T660" s="47"/>
      <c r="U660" s="47"/>
      <c r="V660" s="47"/>
      <c r="W660" s="47"/>
      <c r="X660" s="47"/>
      <c r="Y660" s="47"/>
      <c r="Z660" s="47">
        <v>4620</v>
      </c>
      <c r="AA660" s="47"/>
      <c r="AB660" s="47"/>
      <c r="AC660" s="47"/>
      <c r="AD660" s="47"/>
      <c r="AE660" s="47"/>
      <c r="AF660" s="47"/>
      <c r="AG660" s="47"/>
      <c r="AH660" s="47" t="str">
        <f>IFERROR(_xlfn.XLOOKUP(Table6[[#This Row],[Suburb]],Table5[Travel Surcharge],Table5[$$]),"")</f>
        <v/>
      </c>
      <c r="AI660" s="47"/>
      <c r="AJ660" s="47">
        <v>4400</v>
      </c>
      <c r="AL660" t="str">
        <v>Rivulet Estate</v>
      </c>
    </row>
    <row r="661" spans="1:38">
      <c r="A661" s="374" t="s">
        <v>1335</v>
      </c>
      <c r="B661" s="374">
        <v>1</v>
      </c>
      <c r="C661" s="374" t="s">
        <v>1336</v>
      </c>
      <c r="D661" s="375" t="str">
        <f t="shared" si="143"/>
        <v>Baybreeze Estate1</v>
      </c>
      <c r="E661" s="375" t="s">
        <v>1337</v>
      </c>
      <c r="F661" s="375" t="s">
        <v>1338</v>
      </c>
      <c r="G661" s="375"/>
      <c r="H661" s="375" t="s">
        <v>1339</v>
      </c>
      <c r="I661" s="63" t="s">
        <v>1340</v>
      </c>
      <c r="J661" s="47"/>
      <c r="K661" s="46" t="s">
        <v>10735</v>
      </c>
      <c r="L661" s="47"/>
      <c r="M661" s="47">
        <f>M$7</f>
        <v>1430.0000000000002</v>
      </c>
      <c r="N661" s="47"/>
      <c r="O661" s="47"/>
      <c r="P661" s="47"/>
      <c r="Q661" s="47">
        <f>Q$2</f>
        <v>0</v>
      </c>
      <c r="R661" s="47"/>
      <c r="S661" s="47"/>
      <c r="T661" s="47"/>
      <c r="U661" s="47"/>
      <c r="V661" s="47"/>
      <c r="W661" s="47"/>
      <c r="X661" s="47"/>
      <c r="Y661" s="47"/>
      <c r="Z661" s="47">
        <f>Z$7</f>
        <v>4620</v>
      </c>
      <c r="AA661" s="47"/>
      <c r="AB661" s="47"/>
      <c r="AC661" s="47"/>
      <c r="AD661" s="47"/>
      <c r="AE661" s="47"/>
      <c r="AF661" s="47"/>
      <c r="AG661" s="47"/>
      <c r="AH661" s="47" t="str">
        <f>IFERROR(_xlfn.XLOOKUP(Table6[[#This Row],[Suburb]],Table5[Travel Surcharge],Table5[$$]),"")</f>
        <v/>
      </c>
      <c r="AI661" s="47"/>
      <c r="AJ661" s="47">
        <f>AJ$7</f>
        <v>4400</v>
      </c>
      <c r="AL661" t="str">
        <v>Robinsons Rise Estate</v>
      </c>
    </row>
    <row r="662" spans="1:38">
      <c r="A662" s="374" t="s">
        <v>1335</v>
      </c>
      <c r="B662" s="374">
        <v>2</v>
      </c>
      <c r="C662" s="374" t="s">
        <v>1336</v>
      </c>
      <c r="D662" s="375" t="str">
        <f t="shared" si="143"/>
        <v>Baybreeze Estate2</v>
      </c>
      <c r="E662" s="375" t="s">
        <v>1341</v>
      </c>
      <c r="F662" s="375" t="s">
        <v>1338</v>
      </c>
      <c r="G662" s="375"/>
      <c r="H662" s="375" t="s">
        <v>1339</v>
      </c>
      <c r="I662" s="63" t="s">
        <v>1340</v>
      </c>
      <c r="J662" s="47"/>
      <c r="K662" s="46" t="s">
        <v>10735</v>
      </c>
      <c r="L662" s="47"/>
      <c r="M662" s="47">
        <f>M$7</f>
        <v>1430.0000000000002</v>
      </c>
      <c r="N662" s="47"/>
      <c r="O662" s="47"/>
      <c r="P662" s="47"/>
      <c r="Q662" s="47">
        <f>Q$2</f>
        <v>0</v>
      </c>
      <c r="R662" s="47"/>
      <c r="S662" s="47"/>
      <c r="T662" s="47"/>
      <c r="U662" s="47"/>
      <c r="V662" s="47"/>
      <c r="W662" s="47"/>
      <c r="X662" s="47"/>
      <c r="Y662" s="47"/>
      <c r="Z662" s="47">
        <f>Z$7</f>
        <v>4620</v>
      </c>
      <c r="AA662" s="47"/>
      <c r="AB662" s="47"/>
      <c r="AC662" s="47"/>
      <c r="AD662" s="47"/>
      <c r="AE662" s="47"/>
      <c r="AF662" s="47"/>
      <c r="AG662" s="47"/>
      <c r="AH662" s="47" t="str">
        <f>IFERROR(_xlfn.XLOOKUP(Table6[[#This Row],[Suburb]],Table5[Travel Surcharge],Table5[$$]),"")</f>
        <v/>
      </c>
      <c r="AI662" s="47"/>
      <c r="AJ662" s="47">
        <f>AJ$7</f>
        <v>4400</v>
      </c>
      <c r="AL662" t="str">
        <v>Rockcliffe</v>
      </c>
    </row>
    <row r="663" spans="1:38">
      <c r="A663" s="157" t="s">
        <v>1335</v>
      </c>
      <c r="B663" s="157">
        <v>3</v>
      </c>
      <c r="C663" s="157" t="s">
        <v>1336</v>
      </c>
      <c r="D663" s="157" t="str">
        <f t="shared" si="143"/>
        <v>Baybreeze Estate3</v>
      </c>
      <c r="E663" s="157" t="s">
        <v>8505</v>
      </c>
      <c r="F663" s="157" t="s">
        <v>1338</v>
      </c>
      <c r="G663" s="157"/>
      <c r="H663" s="157" t="s">
        <v>1339</v>
      </c>
      <c r="I663" s="158" t="s">
        <v>1340</v>
      </c>
      <c r="J663" s="47"/>
      <c r="K663" s="46" t="s">
        <v>10735</v>
      </c>
      <c r="L663" s="47"/>
      <c r="M663" s="47">
        <f>M$7</f>
        <v>1430.0000000000002</v>
      </c>
      <c r="N663" s="47"/>
      <c r="O663" s="47"/>
      <c r="P663" s="47"/>
      <c r="Q663" s="47">
        <f>Q$2</f>
        <v>0</v>
      </c>
      <c r="R663" s="47"/>
      <c r="S663" s="47"/>
      <c r="T663" s="47"/>
      <c r="U663" s="47"/>
      <c r="V663" s="47"/>
      <c r="W663" s="47"/>
      <c r="X663" s="47"/>
      <c r="Y663" s="47"/>
      <c r="Z663" s="47">
        <f>Z$7</f>
        <v>4620</v>
      </c>
      <c r="AA663" s="47"/>
      <c r="AB663" s="47"/>
      <c r="AC663" s="47"/>
      <c r="AD663" s="47"/>
      <c r="AE663" s="47"/>
      <c r="AF663" s="47"/>
      <c r="AG663" s="47"/>
      <c r="AH663" s="47" t="str">
        <f>IFERROR(_xlfn.XLOOKUP(Table6[[#This Row],[Suburb]],Table5[Travel Surcharge],Table5[$$]),"")</f>
        <v/>
      </c>
      <c r="AI663" s="47"/>
      <c r="AJ663" s="47">
        <f>AJ$7</f>
        <v>4400</v>
      </c>
      <c r="AL663" t="str">
        <v xml:space="preserve">Rockdale Estate </v>
      </c>
    </row>
    <row r="664" spans="1:38">
      <c r="A664" s="374" t="s">
        <v>1335</v>
      </c>
      <c r="B664" s="374">
        <v>4</v>
      </c>
      <c r="C664" s="374" t="s">
        <v>1336</v>
      </c>
      <c r="D664" s="375" t="str">
        <f t="shared" si="143"/>
        <v>Baybreeze Estate4</v>
      </c>
      <c r="E664" s="375" t="s">
        <v>1343</v>
      </c>
      <c r="F664" s="375" t="s">
        <v>1338</v>
      </c>
      <c r="G664" s="375"/>
      <c r="H664" s="375" t="s">
        <v>1339</v>
      </c>
      <c r="I664" s="63" t="s">
        <v>1340</v>
      </c>
      <c r="J664" s="47"/>
      <c r="K664" s="46" t="s">
        <v>10735</v>
      </c>
      <c r="L664" s="47"/>
      <c r="M664" s="47">
        <f>M$7</f>
        <v>1430.0000000000002</v>
      </c>
      <c r="N664" s="47"/>
      <c r="O664" s="47"/>
      <c r="P664" s="47"/>
      <c r="Q664" s="47">
        <f>Q$2</f>
        <v>0</v>
      </c>
      <c r="R664" s="47"/>
      <c r="S664" s="47"/>
      <c r="T664" s="47"/>
      <c r="U664" s="47"/>
      <c r="V664" s="47"/>
      <c r="W664" s="47"/>
      <c r="X664" s="47"/>
      <c r="Y664" s="47"/>
      <c r="Z664" s="47">
        <f>Z$7</f>
        <v>4620</v>
      </c>
      <c r="AA664" s="47"/>
      <c r="AB664" s="47"/>
      <c r="AC664" s="47"/>
      <c r="AD664" s="47"/>
      <c r="AE664" s="47"/>
      <c r="AF664" s="47"/>
      <c r="AG664" s="47"/>
      <c r="AH664" s="47" t="str">
        <f>IFERROR(_xlfn.XLOOKUP(Table6[[#This Row],[Suburb]],Table5[Travel Surcharge],Table5[$$]),"")</f>
        <v/>
      </c>
      <c r="AI664" s="47"/>
      <c r="AJ664" s="47">
        <f>AJ$7</f>
        <v>4400</v>
      </c>
      <c r="AL664" t="str">
        <v>Rosalia</v>
      </c>
    </row>
    <row r="665" spans="1:38">
      <c r="A665" s="374" t="s">
        <v>1335</v>
      </c>
      <c r="B665" s="374">
        <v>10</v>
      </c>
      <c r="C665" s="374" t="s">
        <v>1336</v>
      </c>
      <c r="D665" s="375" t="str">
        <f t="shared" si="143"/>
        <v>Baybreeze Estate10</v>
      </c>
      <c r="E665" s="375" t="s">
        <v>1342</v>
      </c>
      <c r="F665" s="375" t="s">
        <v>1338</v>
      </c>
      <c r="G665" s="375"/>
      <c r="H665" s="375" t="s">
        <v>1339</v>
      </c>
      <c r="I665" s="63" t="s">
        <v>1340</v>
      </c>
      <c r="J665" s="47"/>
      <c r="K665" s="46" t="s">
        <v>10735</v>
      </c>
      <c r="L665" s="47"/>
      <c r="M665" s="47">
        <v>1430.0000000000002</v>
      </c>
      <c r="N665" s="47"/>
      <c r="O665" s="47"/>
      <c r="P665" s="47"/>
      <c r="Q665" s="47">
        <v>0</v>
      </c>
      <c r="R665" s="47"/>
      <c r="S665" s="47"/>
      <c r="T665" s="47"/>
      <c r="U665" s="47"/>
      <c r="V665" s="47"/>
      <c r="W665" s="47"/>
      <c r="X665" s="47"/>
      <c r="Y665" s="47"/>
      <c r="Z665" s="47">
        <v>4620</v>
      </c>
      <c r="AA665" s="47"/>
      <c r="AB665" s="47"/>
      <c r="AC665" s="47"/>
      <c r="AD665" s="47"/>
      <c r="AE665" s="47"/>
      <c r="AF665" s="47"/>
      <c r="AG665" s="47"/>
      <c r="AH665" s="47" t="str">
        <f>IFERROR(_xlfn.XLOOKUP(Table6[[#This Row],[Suburb]],Table5[Travel Surcharge],Table5[$$]),"")</f>
        <v/>
      </c>
      <c r="AI665" s="47"/>
      <c r="AJ665" s="47">
        <v>4000</v>
      </c>
      <c r="AL665" t="str">
        <v>Rosehill</v>
      </c>
    </row>
    <row r="666" spans="1:38">
      <c r="A666" s="374" t="s">
        <v>1335</v>
      </c>
      <c r="B666" s="374">
        <v>12</v>
      </c>
      <c r="C666" s="374" t="s">
        <v>1336</v>
      </c>
      <c r="D666" s="375" t="str">
        <f t="shared" si="143"/>
        <v>Baybreeze Estate12</v>
      </c>
      <c r="E666" s="375" t="s">
        <v>1344</v>
      </c>
      <c r="F666" s="375" t="s">
        <v>1338</v>
      </c>
      <c r="G666" s="375"/>
      <c r="H666" s="375" t="s">
        <v>1339</v>
      </c>
      <c r="I666" s="63" t="s">
        <v>1340</v>
      </c>
      <c r="J666" s="47"/>
      <c r="K666" s="46" t="s">
        <v>10735</v>
      </c>
      <c r="L666" s="47"/>
      <c r="M666" s="47">
        <f>M$7</f>
        <v>1430.0000000000002</v>
      </c>
      <c r="N666" s="47"/>
      <c r="O666" s="47"/>
      <c r="P666" s="47"/>
      <c r="Q666" s="47">
        <f>Q$2</f>
        <v>0</v>
      </c>
      <c r="R666" s="47"/>
      <c r="S666" s="47"/>
      <c r="T666" s="47"/>
      <c r="U666" s="47"/>
      <c r="V666" s="47"/>
      <c r="W666" s="47"/>
      <c r="X666" s="47"/>
      <c r="Y666" s="47"/>
      <c r="Z666" s="47">
        <f t="shared" ref="Z666:Z693" si="144">Z$7</f>
        <v>4620</v>
      </c>
      <c r="AA666" s="47"/>
      <c r="AB666" s="47"/>
      <c r="AC666" s="47"/>
      <c r="AD666" s="47"/>
      <c r="AE666" s="47"/>
      <c r="AF666" s="47"/>
      <c r="AG666" s="47"/>
      <c r="AH666" s="47" t="str">
        <f>IFERROR(_xlfn.XLOOKUP(Table6[[#This Row],[Suburb]],Table5[Travel Surcharge],Table5[$$]),"")</f>
        <v/>
      </c>
      <c r="AI666" s="47"/>
      <c r="AJ666" s="47">
        <f>AJ$7</f>
        <v>4400</v>
      </c>
      <c r="AL666" t="str">
        <v>Rosenthal Estate</v>
      </c>
    </row>
    <row r="667" spans="1:38">
      <c r="A667" s="374" t="s">
        <v>1335</v>
      </c>
      <c r="B667" s="374">
        <v>14</v>
      </c>
      <c r="C667" s="374" t="s">
        <v>1336</v>
      </c>
      <c r="D667" s="375" t="str">
        <f t="shared" si="143"/>
        <v>Baybreeze Estate14</v>
      </c>
      <c r="E667" s="375" t="s">
        <v>1345</v>
      </c>
      <c r="F667" s="375" t="s">
        <v>1338</v>
      </c>
      <c r="G667" s="375"/>
      <c r="H667" s="375" t="s">
        <v>1339</v>
      </c>
      <c r="I667" s="63" t="s">
        <v>1340</v>
      </c>
      <c r="J667" s="47"/>
      <c r="K667" s="46" t="s">
        <v>10735</v>
      </c>
      <c r="L667" s="47"/>
      <c r="M667" s="47">
        <f>M$7</f>
        <v>1430.0000000000002</v>
      </c>
      <c r="N667" s="47"/>
      <c r="O667" s="47"/>
      <c r="P667" s="47"/>
      <c r="Q667" s="47">
        <f>Q$2</f>
        <v>0</v>
      </c>
      <c r="R667" s="47"/>
      <c r="S667" s="47"/>
      <c r="T667" s="47"/>
      <c r="U667" s="47"/>
      <c r="V667" s="47"/>
      <c r="W667" s="47"/>
      <c r="X667" s="47"/>
      <c r="Y667" s="47"/>
      <c r="Z667" s="47">
        <f t="shared" si="144"/>
        <v>4620</v>
      </c>
      <c r="AA667" s="47"/>
      <c r="AB667" s="47"/>
      <c r="AC667" s="47"/>
      <c r="AD667" s="47"/>
      <c r="AE667" s="47"/>
      <c r="AF667" s="47"/>
      <c r="AG667" s="47"/>
      <c r="AH667" s="47" t="str">
        <f>IFERROR(_xlfn.XLOOKUP(Table6[[#This Row],[Suburb]],Table5[Travel Surcharge],Table5[$$]),"")</f>
        <v/>
      </c>
      <c r="AI667" s="47"/>
      <c r="AJ667" s="47">
        <f>AJ$7</f>
        <v>4400</v>
      </c>
      <c r="AL667" t="str">
        <v>Roses Estate</v>
      </c>
    </row>
    <row r="668" spans="1:38">
      <c r="A668" s="374" t="s">
        <v>1335</v>
      </c>
      <c r="B668" s="374">
        <v>15</v>
      </c>
      <c r="C668" s="374" t="s">
        <v>1336</v>
      </c>
      <c r="D668" s="375" t="str">
        <f t="shared" si="143"/>
        <v>Baybreeze Estate15</v>
      </c>
      <c r="E668" s="375" t="s">
        <v>1346</v>
      </c>
      <c r="F668" s="375" t="s">
        <v>1338</v>
      </c>
      <c r="G668" s="375"/>
      <c r="H668" s="375" t="s">
        <v>1339</v>
      </c>
      <c r="I668" s="63" t="s">
        <v>1340</v>
      </c>
      <c r="J668" s="47"/>
      <c r="K668" s="46" t="s">
        <v>10735</v>
      </c>
      <c r="L668" s="47"/>
      <c r="M668" s="47">
        <f>M$7</f>
        <v>1430.0000000000002</v>
      </c>
      <c r="N668" s="47"/>
      <c r="O668" s="47"/>
      <c r="P668" s="47"/>
      <c r="Q668" s="47">
        <f>Q$2</f>
        <v>0</v>
      </c>
      <c r="R668" s="47"/>
      <c r="S668" s="47"/>
      <c r="T668" s="47"/>
      <c r="U668" s="47"/>
      <c r="V668" s="47"/>
      <c r="W668" s="47"/>
      <c r="X668" s="47"/>
      <c r="Y668" s="47"/>
      <c r="Z668" s="47">
        <f t="shared" si="144"/>
        <v>4620</v>
      </c>
      <c r="AA668" s="47"/>
      <c r="AB668" s="47"/>
      <c r="AC668" s="47"/>
      <c r="AD668" s="47"/>
      <c r="AE668" s="47"/>
      <c r="AF668" s="47"/>
      <c r="AG668" s="47"/>
      <c r="AH668" s="47" t="str">
        <f>IFERROR(_xlfn.XLOOKUP(Table6[[#This Row],[Suburb]],Table5[Travel Surcharge],Table5[$$]),"")</f>
        <v/>
      </c>
      <c r="AI668" s="47"/>
      <c r="AJ668" s="47">
        <f>AJ$7</f>
        <v>4400</v>
      </c>
      <c r="AL668" t="str">
        <v>Rosewood Estate</v>
      </c>
    </row>
    <row r="669" spans="1:38">
      <c r="A669" s="374" t="s">
        <v>1335</v>
      </c>
      <c r="B669" s="374">
        <v>17</v>
      </c>
      <c r="C669" s="374" t="s">
        <v>1336</v>
      </c>
      <c r="D669" s="375" t="str">
        <f t="shared" si="143"/>
        <v>Baybreeze Estate17</v>
      </c>
      <c r="E669" s="375" t="s">
        <v>1347</v>
      </c>
      <c r="F669" s="375" t="s">
        <v>1338</v>
      </c>
      <c r="G669" s="375"/>
      <c r="H669" s="375" t="s">
        <v>1339</v>
      </c>
      <c r="I669" s="63" t="s">
        <v>1340</v>
      </c>
      <c r="J669" s="47"/>
      <c r="K669" s="46" t="s">
        <v>10735</v>
      </c>
      <c r="L669" s="47"/>
      <c r="M669" s="47">
        <f>M$7</f>
        <v>1430.0000000000002</v>
      </c>
      <c r="N669" s="47"/>
      <c r="O669" s="47"/>
      <c r="P669" s="47"/>
      <c r="Q669" s="47">
        <f>Q$2</f>
        <v>0</v>
      </c>
      <c r="R669" s="47"/>
      <c r="S669" s="47"/>
      <c r="T669" s="47"/>
      <c r="U669" s="47"/>
      <c r="V669" s="47"/>
      <c r="W669" s="47"/>
      <c r="X669" s="47"/>
      <c r="Y669" s="47"/>
      <c r="Z669" s="47">
        <f t="shared" si="144"/>
        <v>4620</v>
      </c>
      <c r="AA669" s="47"/>
      <c r="AB669" s="47"/>
      <c r="AC669" s="47"/>
      <c r="AD669" s="47"/>
      <c r="AE669" s="47"/>
      <c r="AF669" s="47"/>
      <c r="AG669" s="47"/>
      <c r="AH669" s="47" t="str">
        <f>IFERROR(_xlfn.XLOOKUP(Table6[[#This Row],[Suburb]],Table5[Travel Surcharge],Table5[$$]),"")</f>
        <v/>
      </c>
      <c r="AI669" s="47"/>
      <c r="AJ669" s="47">
        <f>AJ$7</f>
        <v>4400</v>
      </c>
      <c r="AL669" t="str">
        <v>Rothwell Estate</v>
      </c>
    </row>
    <row r="670" spans="1:38">
      <c r="A670" s="374" t="s">
        <v>1335</v>
      </c>
      <c r="B670" s="374">
        <v>19</v>
      </c>
      <c r="C670" s="374" t="s">
        <v>1336</v>
      </c>
      <c r="D670" s="375" t="str">
        <f t="shared" si="143"/>
        <v>Baybreeze Estate19</v>
      </c>
      <c r="E670" s="375" t="s">
        <v>1348</v>
      </c>
      <c r="F670" s="375" t="s">
        <v>1338</v>
      </c>
      <c r="G670" s="375"/>
      <c r="H670" s="375" t="s">
        <v>1339</v>
      </c>
      <c r="I670" s="63" t="s">
        <v>1340</v>
      </c>
      <c r="J670" s="47"/>
      <c r="K670" s="46" t="s">
        <v>10735</v>
      </c>
      <c r="L670" s="47"/>
      <c r="M670" s="47">
        <f>M$7</f>
        <v>1430.0000000000002</v>
      </c>
      <c r="N670" s="47"/>
      <c r="O670" s="47"/>
      <c r="P670" s="47"/>
      <c r="Q670" s="47">
        <f>Q$2</f>
        <v>0</v>
      </c>
      <c r="R670" s="47"/>
      <c r="S670" s="47"/>
      <c r="T670" s="47"/>
      <c r="U670" s="47"/>
      <c r="V670" s="47"/>
      <c r="W670" s="47"/>
      <c r="X670" s="47"/>
      <c r="Y670" s="47"/>
      <c r="Z670" s="47">
        <f t="shared" si="144"/>
        <v>4620</v>
      </c>
      <c r="AA670" s="47">
        <f>AA7</f>
        <v>1400</v>
      </c>
      <c r="AB670" s="47"/>
      <c r="AC670" s="47"/>
      <c r="AD670" s="47"/>
      <c r="AE670" s="47"/>
      <c r="AF670" s="47"/>
      <c r="AG670" s="47"/>
      <c r="AH670" s="47" t="str">
        <f>IFERROR(_xlfn.XLOOKUP(Table6[[#This Row],[Suburb]],Table5[Travel Surcharge],Table5[$$]),"")</f>
        <v/>
      </c>
      <c r="AI670" s="47"/>
      <c r="AJ670" s="47">
        <f>AJ$7</f>
        <v>4400</v>
      </c>
      <c r="AL670" t="str">
        <v>Saffron Estate</v>
      </c>
    </row>
    <row r="671" spans="1:38">
      <c r="A671" s="374" t="s">
        <v>1349</v>
      </c>
      <c r="B671" s="374">
        <v>3</v>
      </c>
      <c r="C671" s="374" t="s">
        <v>279</v>
      </c>
      <c r="D671" s="375" t="str">
        <f t="shared" si="143"/>
        <v>Bayview Estate3</v>
      </c>
      <c r="E671" s="375" t="s">
        <v>1350</v>
      </c>
      <c r="F671" s="375" t="s">
        <v>1351</v>
      </c>
      <c r="G671" s="375" t="s">
        <v>1352</v>
      </c>
      <c r="H671" s="375" t="s">
        <v>1353</v>
      </c>
      <c r="I671" s="63"/>
      <c r="J671" s="47"/>
      <c r="K671" s="46" t="s">
        <v>10735</v>
      </c>
      <c r="L671" s="47"/>
      <c r="M671" s="47"/>
      <c r="N671" s="47"/>
      <c r="O671" s="47"/>
      <c r="P671" s="47" t="s">
        <v>1354</v>
      </c>
      <c r="Q671" s="47"/>
      <c r="R671" s="47"/>
      <c r="S671" s="47"/>
      <c r="T671" s="47"/>
      <c r="U671" s="47">
        <f t="shared" ref="U671:U679" si="145">U$2</f>
        <v>430</v>
      </c>
      <c r="V671" s="47" t="s">
        <v>1355</v>
      </c>
      <c r="W671" s="47"/>
      <c r="X671" s="47"/>
      <c r="Y671" s="47"/>
      <c r="Z671" s="47">
        <f t="shared" si="144"/>
        <v>4620</v>
      </c>
      <c r="AA671" s="47"/>
      <c r="AB671" s="47"/>
      <c r="AC671" s="47"/>
      <c r="AD671" s="47"/>
      <c r="AE671" s="47"/>
      <c r="AF671" s="47"/>
      <c r="AG671" s="47"/>
      <c r="AH671" s="47">
        <f>IFERROR(_xlfn.XLOOKUP(Table6[[#This Row],[Suburb]],Table5[Travel Surcharge],Table5[$$]),"")</f>
        <v>1500</v>
      </c>
      <c r="AI671" s="47">
        <f t="shared" ref="AI671:AI679" si="146">AI$7</f>
        <v>1650.0000000000002</v>
      </c>
      <c r="AJ671" s="47"/>
      <c r="AL671" t="str">
        <v>Saltwater Coast Estate</v>
      </c>
    </row>
    <row r="672" spans="1:38">
      <c r="A672" s="374" t="s">
        <v>1349</v>
      </c>
      <c r="B672" s="374">
        <v>5</v>
      </c>
      <c r="C672" s="374" t="s">
        <v>279</v>
      </c>
      <c r="D672" s="375" t="str">
        <f t="shared" si="143"/>
        <v>Bayview Estate5</v>
      </c>
      <c r="E672" s="375" t="s">
        <v>1356</v>
      </c>
      <c r="F672" s="375" t="s">
        <v>1351</v>
      </c>
      <c r="G672" s="375" t="s">
        <v>1352</v>
      </c>
      <c r="H672" s="375" t="s">
        <v>1353</v>
      </c>
      <c r="I672" s="63"/>
      <c r="J672" s="47"/>
      <c r="K672" s="46" t="s">
        <v>10735</v>
      </c>
      <c r="L672" s="47"/>
      <c r="M672" s="47"/>
      <c r="N672" s="47"/>
      <c r="O672" s="47"/>
      <c r="P672" s="47" t="s">
        <v>1354</v>
      </c>
      <c r="Q672" s="47"/>
      <c r="R672" s="47"/>
      <c r="S672" s="47"/>
      <c r="T672" s="47"/>
      <c r="U672" s="47">
        <f t="shared" si="145"/>
        <v>430</v>
      </c>
      <c r="V672" s="47" t="s">
        <v>1355</v>
      </c>
      <c r="W672" s="47"/>
      <c r="X672" s="47"/>
      <c r="Y672" s="47"/>
      <c r="Z672" s="47">
        <f t="shared" si="144"/>
        <v>4620</v>
      </c>
      <c r="AA672" s="47"/>
      <c r="AB672" s="47"/>
      <c r="AC672" s="47"/>
      <c r="AD672" s="47"/>
      <c r="AE672" s="47"/>
      <c r="AF672" s="47"/>
      <c r="AG672" s="47"/>
      <c r="AH672" s="47">
        <f>IFERROR(_xlfn.XLOOKUP(Table6[[#This Row],[Suburb]],Table5[Travel Surcharge],Table5[$$]),"")</f>
        <v>1500</v>
      </c>
      <c r="AI672" s="47">
        <f t="shared" si="146"/>
        <v>1650.0000000000002</v>
      </c>
      <c r="AJ672" s="47"/>
      <c r="AL672" t="str">
        <v xml:space="preserve">Samara </v>
      </c>
    </row>
    <row r="673" spans="1:38">
      <c r="A673" s="374" t="s">
        <v>1349</v>
      </c>
      <c r="B673" s="374">
        <v>6</v>
      </c>
      <c r="C673" s="374" t="s">
        <v>279</v>
      </c>
      <c r="D673" s="375" t="str">
        <f t="shared" si="143"/>
        <v>Bayview Estate6</v>
      </c>
      <c r="E673" s="375" t="s">
        <v>1357</v>
      </c>
      <c r="F673" s="375" t="s">
        <v>1351</v>
      </c>
      <c r="G673" s="375" t="s">
        <v>1352</v>
      </c>
      <c r="H673" s="375" t="s">
        <v>1353</v>
      </c>
      <c r="I673" s="63"/>
      <c r="J673" s="47"/>
      <c r="K673" s="46" t="s">
        <v>10735</v>
      </c>
      <c r="L673" s="47"/>
      <c r="M673" s="47"/>
      <c r="N673" s="47"/>
      <c r="O673" s="47"/>
      <c r="P673" s="47" t="s">
        <v>1354</v>
      </c>
      <c r="Q673" s="47"/>
      <c r="R673" s="47"/>
      <c r="S673" s="47"/>
      <c r="T673" s="47"/>
      <c r="U673" s="47">
        <f t="shared" si="145"/>
        <v>430</v>
      </c>
      <c r="V673" s="47" t="s">
        <v>1355</v>
      </c>
      <c r="W673" s="47"/>
      <c r="X673" s="47"/>
      <c r="Y673" s="47"/>
      <c r="Z673" s="47">
        <f t="shared" si="144"/>
        <v>4620</v>
      </c>
      <c r="AA673" s="47"/>
      <c r="AB673" s="47"/>
      <c r="AC673" s="47"/>
      <c r="AD673" s="47"/>
      <c r="AE673" s="47"/>
      <c r="AF673" s="47"/>
      <c r="AG673" s="47"/>
      <c r="AH673" s="47">
        <f>IFERROR(_xlfn.XLOOKUP(Table6[[#This Row],[Suburb]],Table5[Travel Surcharge],Table5[$$]),"")</f>
        <v>1500</v>
      </c>
      <c r="AI673" s="47">
        <f t="shared" si="146"/>
        <v>1650.0000000000002</v>
      </c>
      <c r="AJ673" s="47"/>
      <c r="AL673" t="str">
        <v>Sanctuary Estate</v>
      </c>
    </row>
    <row r="674" spans="1:38">
      <c r="A674" s="374" t="s">
        <v>1349</v>
      </c>
      <c r="B674" s="374">
        <v>7</v>
      </c>
      <c r="C674" s="374" t="s">
        <v>279</v>
      </c>
      <c r="D674" s="375" t="str">
        <f t="shared" si="143"/>
        <v>Bayview Estate7</v>
      </c>
      <c r="E674" s="375" t="s">
        <v>1358</v>
      </c>
      <c r="F674" s="375" t="s">
        <v>1351</v>
      </c>
      <c r="G674" s="375" t="s">
        <v>1352</v>
      </c>
      <c r="H674" s="375" t="s">
        <v>1353</v>
      </c>
      <c r="I674" s="63"/>
      <c r="J674" s="47"/>
      <c r="K674" s="46" t="s">
        <v>10735</v>
      </c>
      <c r="L674" s="47"/>
      <c r="M674" s="47"/>
      <c r="N674" s="47"/>
      <c r="O674" s="47"/>
      <c r="P674" s="47" t="s">
        <v>1354</v>
      </c>
      <c r="Q674" s="47"/>
      <c r="R674" s="47"/>
      <c r="S674" s="47"/>
      <c r="T674" s="47"/>
      <c r="U674" s="47">
        <f t="shared" si="145"/>
        <v>430</v>
      </c>
      <c r="V674" s="47" t="s">
        <v>1355</v>
      </c>
      <c r="W674" s="47"/>
      <c r="X674" s="47"/>
      <c r="Y674" s="47"/>
      <c r="Z674" s="47">
        <f t="shared" si="144"/>
        <v>4620</v>
      </c>
      <c r="AA674" s="47"/>
      <c r="AB674" s="47"/>
      <c r="AC674" s="47"/>
      <c r="AD674" s="47"/>
      <c r="AE674" s="47"/>
      <c r="AF674" s="47"/>
      <c r="AG674" s="47"/>
      <c r="AH674" s="47">
        <f>IFERROR(_xlfn.XLOOKUP(Table6[[#This Row],[Suburb]],Table5[Travel Surcharge],Table5[$$]),"")</f>
        <v>1500</v>
      </c>
      <c r="AI674" s="47">
        <f t="shared" si="146"/>
        <v>1650.0000000000002</v>
      </c>
      <c r="AJ674" s="47"/>
      <c r="AL674" t="str">
        <v>Sanctuary Lakes Estate</v>
      </c>
    </row>
    <row r="675" spans="1:38">
      <c r="A675" s="374" t="s">
        <v>1349</v>
      </c>
      <c r="B675" s="374">
        <v>8</v>
      </c>
      <c r="C675" s="374" t="s">
        <v>279</v>
      </c>
      <c r="D675" s="375" t="str">
        <f t="shared" si="143"/>
        <v>Bayview Estate8</v>
      </c>
      <c r="E675" s="375" t="s">
        <v>1359</v>
      </c>
      <c r="F675" s="375" t="s">
        <v>1351</v>
      </c>
      <c r="G675" s="375" t="s">
        <v>1352</v>
      </c>
      <c r="H675" s="375" t="s">
        <v>1353</v>
      </c>
      <c r="I675" s="63"/>
      <c r="J675" s="47"/>
      <c r="K675" s="46" t="s">
        <v>10735</v>
      </c>
      <c r="L675" s="47"/>
      <c r="M675" s="47"/>
      <c r="N675" s="47"/>
      <c r="O675" s="47"/>
      <c r="P675" s="47" t="s">
        <v>1354</v>
      </c>
      <c r="Q675" s="47"/>
      <c r="R675" s="47"/>
      <c r="S675" s="47"/>
      <c r="T675" s="47"/>
      <c r="U675" s="47">
        <f t="shared" si="145"/>
        <v>430</v>
      </c>
      <c r="V675" s="47" t="s">
        <v>1355</v>
      </c>
      <c r="W675" s="47"/>
      <c r="X675" s="47"/>
      <c r="Y675" s="47"/>
      <c r="Z675" s="47">
        <f t="shared" si="144"/>
        <v>4620</v>
      </c>
      <c r="AA675" s="47"/>
      <c r="AB675" s="47"/>
      <c r="AC675" s="47"/>
      <c r="AD675" s="47"/>
      <c r="AE675" s="47"/>
      <c r="AF675" s="47"/>
      <c r="AG675" s="47"/>
      <c r="AH675" s="47">
        <f>IFERROR(_xlfn.XLOOKUP(Table6[[#This Row],[Suburb]],Table5[Travel Surcharge],Table5[$$]),"")</f>
        <v>1500</v>
      </c>
      <c r="AI675" s="47">
        <f t="shared" si="146"/>
        <v>1650.0000000000002</v>
      </c>
      <c r="AJ675" s="47"/>
      <c r="AL675" t="str">
        <v>Sanctuary Springs</v>
      </c>
    </row>
    <row r="676" spans="1:38">
      <c r="A676" s="374" t="s">
        <v>1349</v>
      </c>
      <c r="B676" s="374">
        <v>9</v>
      </c>
      <c r="C676" s="374" t="s">
        <v>279</v>
      </c>
      <c r="D676" s="375" t="str">
        <f t="shared" si="143"/>
        <v>Bayview Estate9</v>
      </c>
      <c r="E676" s="375" t="s">
        <v>1360</v>
      </c>
      <c r="F676" s="375" t="s">
        <v>1351</v>
      </c>
      <c r="G676" s="375" t="s">
        <v>1352</v>
      </c>
      <c r="H676" s="375" t="s">
        <v>1353</v>
      </c>
      <c r="I676" s="63"/>
      <c r="J676" s="47"/>
      <c r="K676" s="46" t="s">
        <v>10735</v>
      </c>
      <c r="L676" s="47"/>
      <c r="M676" s="47"/>
      <c r="N676" s="47"/>
      <c r="O676" s="47"/>
      <c r="P676" s="47" t="s">
        <v>1354</v>
      </c>
      <c r="Q676" s="47"/>
      <c r="R676" s="47"/>
      <c r="S676" s="47"/>
      <c r="T676" s="47"/>
      <c r="U676" s="47">
        <f t="shared" si="145"/>
        <v>430</v>
      </c>
      <c r="V676" s="47" t="s">
        <v>1355</v>
      </c>
      <c r="W676" s="47"/>
      <c r="X676" s="47"/>
      <c r="Y676" s="47"/>
      <c r="Z676" s="47">
        <f t="shared" si="144"/>
        <v>4620</v>
      </c>
      <c r="AA676" s="47"/>
      <c r="AB676" s="47"/>
      <c r="AC676" s="47"/>
      <c r="AD676" s="47"/>
      <c r="AE676" s="47"/>
      <c r="AF676" s="47"/>
      <c r="AG676" s="47"/>
      <c r="AH676" s="47">
        <f>IFERROR(_xlfn.XLOOKUP(Table6[[#This Row],[Suburb]],Table5[Travel Surcharge],Table5[$$]),"")</f>
        <v>1500</v>
      </c>
      <c r="AI676" s="47">
        <f t="shared" si="146"/>
        <v>1650.0000000000002</v>
      </c>
      <c r="AJ676" s="47"/>
      <c r="AL676" t="str">
        <v>Sapphire</v>
      </c>
    </row>
    <row r="677" spans="1:38">
      <c r="A677" s="374" t="s">
        <v>1349</v>
      </c>
      <c r="B677" s="374">
        <v>11</v>
      </c>
      <c r="C677" s="374" t="s">
        <v>279</v>
      </c>
      <c r="D677" s="375" t="str">
        <f t="shared" si="143"/>
        <v>Bayview Estate11</v>
      </c>
      <c r="E677" s="375" t="s">
        <v>1361</v>
      </c>
      <c r="F677" s="375" t="s">
        <v>1351</v>
      </c>
      <c r="G677" s="375" t="s">
        <v>1352</v>
      </c>
      <c r="H677" s="375" t="s">
        <v>1353</v>
      </c>
      <c r="I677" s="63"/>
      <c r="J677" s="47"/>
      <c r="K677" s="46" t="s">
        <v>10735</v>
      </c>
      <c r="L677" s="47"/>
      <c r="M677" s="47"/>
      <c r="N677" s="47"/>
      <c r="O677" s="47"/>
      <c r="P677" s="47" t="s">
        <v>1354</v>
      </c>
      <c r="Q677" s="47"/>
      <c r="R677" s="47"/>
      <c r="S677" s="47"/>
      <c r="T677" s="47"/>
      <c r="U677" s="47">
        <f t="shared" si="145"/>
        <v>430</v>
      </c>
      <c r="V677" s="47" t="s">
        <v>1355</v>
      </c>
      <c r="W677" s="47"/>
      <c r="X677" s="47"/>
      <c r="Y677" s="47"/>
      <c r="Z677" s="47">
        <f t="shared" si="144"/>
        <v>4620</v>
      </c>
      <c r="AA677" s="47"/>
      <c r="AB677" s="47"/>
      <c r="AC677" s="47"/>
      <c r="AD677" s="47"/>
      <c r="AE677" s="47"/>
      <c r="AF677" s="47"/>
      <c r="AG677" s="47"/>
      <c r="AH677" s="47">
        <f>IFERROR(_xlfn.XLOOKUP(Table6[[#This Row],[Suburb]],Table5[Travel Surcharge],Table5[$$]),"")</f>
        <v>1500</v>
      </c>
      <c r="AI677" s="47">
        <f t="shared" si="146"/>
        <v>1650.0000000000002</v>
      </c>
      <c r="AJ677" s="47"/>
      <c r="AL677" t="str">
        <v xml:space="preserve">Saratoga Estate </v>
      </c>
    </row>
    <row r="678" spans="1:38">
      <c r="A678" s="374" t="s">
        <v>1349</v>
      </c>
      <c r="B678" s="374" t="s">
        <v>528</v>
      </c>
      <c r="C678" s="374" t="s">
        <v>279</v>
      </c>
      <c r="D678" s="375" t="str">
        <f t="shared" si="143"/>
        <v>Bayview Estate4A</v>
      </c>
      <c r="E678" s="375" t="s">
        <v>1362</v>
      </c>
      <c r="F678" s="375" t="s">
        <v>1351</v>
      </c>
      <c r="G678" s="375" t="s">
        <v>1352</v>
      </c>
      <c r="H678" s="375" t="s">
        <v>1353</v>
      </c>
      <c r="I678" s="63"/>
      <c r="J678" s="47"/>
      <c r="K678" s="46" t="s">
        <v>10735</v>
      </c>
      <c r="L678" s="47"/>
      <c r="M678" s="47"/>
      <c r="N678" s="47"/>
      <c r="O678" s="47"/>
      <c r="P678" s="47" t="s">
        <v>1354</v>
      </c>
      <c r="Q678" s="47"/>
      <c r="R678" s="47"/>
      <c r="S678" s="47"/>
      <c r="T678" s="47"/>
      <c r="U678" s="47">
        <f t="shared" si="145"/>
        <v>430</v>
      </c>
      <c r="V678" s="47" t="s">
        <v>1355</v>
      </c>
      <c r="W678" s="47"/>
      <c r="X678" s="47"/>
      <c r="Y678" s="47"/>
      <c r="Z678" s="47">
        <f t="shared" si="144"/>
        <v>4620</v>
      </c>
      <c r="AA678" s="47"/>
      <c r="AB678" s="47"/>
      <c r="AC678" s="47"/>
      <c r="AD678" s="47"/>
      <c r="AE678" s="47"/>
      <c r="AF678" s="47"/>
      <c r="AG678" s="47"/>
      <c r="AH678" s="47">
        <f>IFERROR(_xlfn.XLOOKUP(Table6[[#This Row],[Suburb]],Table5[Travel Surcharge],Table5[$$]),"")</f>
        <v>1500</v>
      </c>
      <c r="AI678" s="47">
        <f t="shared" si="146"/>
        <v>1650.0000000000002</v>
      </c>
      <c r="AJ678" s="47"/>
      <c r="AL678" t="str">
        <v>Savana Estate</v>
      </c>
    </row>
    <row r="679" spans="1:38">
      <c r="A679" s="374" t="s">
        <v>1349</v>
      </c>
      <c r="B679" s="374" t="s">
        <v>613</v>
      </c>
      <c r="C679" s="374" t="s">
        <v>279</v>
      </c>
      <c r="D679" s="375" t="str">
        <f t="shared" si="143"/>
        <v>Bayview Estate4B</v>
      </c>
      <c r="E679" s="375" t="s">
        <v>1363</v>
      </c>
      <c r="F679" s="375" t="s">
        <v>1351</v>
      </c>
      <c r="G679" s="375" t="s">
        <v>1352</v>
      </c>
      <c r="H679" s="375" t="s">
        <v>1353</v>
      </c>
      <c r="I679" s="63"/>
      <c r="J679" s="47"/>
      <c r="K679" s="46" t="s">
        <v>10735</v>
      </c>
      <c r="L679" s="47"/>
      <c r="M679" s="47"/>
      <c r="N679" s="47"/>
      <c r="O679" s="47"/>
      <c r="P679" s="47" t="s">
        <v>1354</v>
      </c>
      <c r="Q679" s="47"/>
      <c r="R679" s="47"/>
      <c r="S679" s="47"/>
      <c r="T679" s="47"/>
      <c r="U679" s="47">
        <f t="shared" si="145"/>
        <v>430</v>
      </c>
      <c r="V679" s="47" t="s">
        <v>1355</v>
      </c>
      <c r="W679" s="47"/>
      <c r="X679" s="47"/>
      <c r="Y679" s="47"/>
      <c r="Z679" s="47">
        <f t="shared" si="144"/>
        <v>4620</v>
      </c>
      <c r="AA679" s="47"/>
      <c r="AB679" s="47"/>
      <c r="AC679" s="47"/>
      <c r="AD679" s="47"/>
      <c r="AE679" s="47"/>
      <c r="AF679" s="47"/>
      <c r="AG679" s="47"/>
      <c r="AH679" s="47">
        <f>IFERROR(_xlfn.XLOOKUP(Table6[[#This Row],[Suburb]],Table5[Travel Surcharge],Table5[$$]),"")</f>
        <v>1500</v>
      </c>
      <c r="AI679" s="47">
        <f t="shared" si="146"/>
        <v>1650.0000000000002</v>
      </c>
      <c r="AJ679" s="47"/>
      <c r="AL679" t="str">
        <v>Scenic Botanica</v>
      </c>
    </row>
    <row r="680" spans="1:38">
      <c r="A680" s="374" t="s">
        <v>1364</v>
      </c>
      <c r="B680" s="374">
        <v>6</v>
      </c>
      <c r="C680" s="374" t="s">
        <v>279</v>
      </c>
      <c r="D680" s="375" t="str">
        <f t="shared" si="143"/>
        <v>Baywater Estate6</v>
      </c>
      <c r="E680" s="375" t="s">
        <v>1365</v>
      </c>
      <c r="F680" s="375" t="s">
        <v>1366</v>
      </c>
      <c r="G680" s="375" t="s">
        <v>1367</v>
      </c>
      <c r="H680" s="375">
        <v>52741643</v>
      </c>
      <c r="I680" s="63" t="s">
        <v>1368</v>
      </c>
      <c r="J680" s="47">
        <v>3740</v>
      </c>
      <c r="K680" s="46" t="s">
        <v>10735</v>
      </c>
      <c r="L680" s="47" t="s">
        <v>1369</v>
      </c>
      <c r="M680" s="47" t="s">
        <v>1370</v>
      </c>
      <c r="N680" s="47"/>
      <c r="O680" s="47" t="s">
        <v>1371</v>
      </c>
      <c r="P680" s="47"/>
      <c r="Q680" s="47"/>
      <c r="R680" s="47"/>
      <c r="S680" s="47"/>
      <c r="T680" s="47"/>
      <c r="U680" s="47"/>
      <c r="V680" s="47"/>
      <c r="W680" s="47"/>
      <c r="X680" s="47"/>
      <c r="Y680" s="47"/>
      <c r="Z680" s="47">
        <f t="shared" si="144"/>
        <v>4620</v>
      </c>
      <c r="AA680" s="47"/>
      <c r="AB680" s="47"/>
      <c r="AC680" s="47"/>
      <c r="AD680" s="47"/>
      <c r="AE680" s="47"/>
      <c r="AF680" s="47"/>
      <c r="AG680" s="47"/>
      <c r="AH680" s="47">
        <f>IFERROR(_xlfn.XLOOKUP(Table6[[#This Row],[Suburb]],Table5[Travel Surcharge],Table5[$$]),"")</f>
        <v>1500</v>
      </c>
      <c r="AI680" s="47"/>
      <c r="AJ680" s="47"/>
      <c r="AL680" t="str">
        <v>Sea Spray Estate</v>
      </c>
    </row>
    <row r="681" spans="1:38">
      <c r="A681" s="374" t="s">
        <v>1364</v>
      </c>
      <c r="B681" s="374">
        <v>9</v>
      </c>
      <c r="C681" s="374" t="s">
        <v>279</v>
      </c>
      <c r="D681" s="375" t="str">
        <f t="shared" si="143"/>
        <v>Baywater Estate9</v>
      </c>
      <c r="E681" s="375" t="s">
        <v>1372</v>
      </c>
      <c r="F681" s="375" t="s">
        <v>1366</v>
      </c>
      <c r="G681" s="375" t="s">
        <v>1367</v>
      </c>
      <c r="H681" s="375">
        <v>52741643</v>
      </c>
      <c r="I681" s="63" t="s">
        <v>1368</v>
      </c>
      <c r="J681" s="47">
        <v>3740</v>
      </c>
      <c r="K681" s="46" t="s">
        <v>10735</v>
      </c>
      <c r="L681" s="47" t="s">
        <v>1369</v>
      </c>
      <c r="M681" s="47" t="s">
        <v>1373</v>
      </c>
      <c r="N681" s="47"/>
      <c r="O681" s="47" t="s">
        <v>1371</v>
      </c>
      <c r="P681" s="47"/>
      <c r="Q681" s="47"/>
      <c r="R681" s="47"/>
      <c r="S681" s="47"/>
      <c r="T681" s="47"/>
      <c r="U681" s="47"/>
      <c r="V681" s="47"/>
      <c r="W681" s="47"/>
      <c r="X681" s="47"/>
      <c r="Y681" s="47"/>
      <c r="Z681" s="47">
        <f t="shared" si="144"/>
        <v>4620</v>
      </c>
      <c r="AA681" s="47"/>
      <c r="AB681" s="47"/>
      <c r="AC681" s="47"/>
      <c r="AD681" s="47"/>
      <c r="AE681" s="47"/>
      <c r="AF681" s="47"/>
      <c r="AG681" s="47"/>
      <c r="AH681" s="47">
        <f>IFERROR(_xlfn.XLOOKUP(Table6[[#This Row],[Suburb]],Table5[Travel Surcharge],Table5[$$]),"")</f>
        <v>1500</v>
      </c>
      <c r="AI681" s="47"/>
      <c r="AJ681" s="47"/>
      <c r="AL681" t="str">
        <v>Seabreeze Estate</v>
      </c>
    </row>
    <row r="682" spans="1:38">
      <c r="A682" s="374" t="s">
        <v>1364</v>
      </c>
      <c r="B682" s="374">
        <v>10</v>
      </c>
      <c r="C682" s="374" t="s">
        <v>279</v>
      </c>
      <c r="D682" s="375" t="str">
        <f t="shared" si="143"/>
        <v>Baywater Estate10</v>
      </c>
      <c r="E682" s="375" t="s">
        <v>1374</v>
      </c>
      <c r="F682" s="375" t="s">
        <v>1366</v>
      </c>
      <c r="G682" s="375" t="s">
        <v>1367</v>
      </c>
      <c r="H682" s="375">
        <v>52741643</v>
      </c>
      <c r="I682" s="63" t="s">
        <v>1368</v>
      </c>
      <c r="J682" s="47">
        <v>3740</v>
      </c>
      <c r="K682" s="46" t="s">
        <v>10735</v>
      </c>
      <c r="L682" s="47" t="s">
        <v>1369</v>
      </c>
      <c r="M682" s="47" t="s">
        <v>1375</v>
      </c>
      <c r="N682" s="47"/>
      <c r="O682" s="47" t="s">
        <v>1371</v>
      </c>
      <c r="P682" s="47"/>
      <c r="Q682" s="47"/>
      <c r="R682" s="47"/>
      <c r="S682" s="47"/>
      <c r="T682" s="47"/>
      <c r="U682" s="47"/>
      <c r="V682" s="47"/>
      <c r="W682" s="47"/>
      <c r="X682" s="47"/>
      <c r="Y682" s="47"/>
      <c r="Z682" s="47">
        <f t="shared" si="144"/>
        <v>4620</v>
      </c>
      <c r="AA682" s="47"/>
      <c r="AB682" s="47"/>
      <c r="AC682" s="47"/>
      <c r="AD682" s="47"/>
      <c r="AE682" s="47"/>
      <c r="AF682" s="47"/>
      <c r="AG682" s="47"/>
      <c r="AH682" s="47">
        <f>IFERROR(_xlfn.XLOOKUP(Table6[[#This Row],[Suburb]],Table5[Travel Surcharge],Table5[$$]),"")</f>
        <v>1500</v>
      </c>
      <c r="AI682" s="47"/>
      <c r="AJ682" s="47"/>
      <c r="AL682" t="str">
        <v>Seachange</v>
      </c>
    </row>
    <row r="683" spans="1:38">
      <c r="A683" s="374" t="s">
        <v>1364</v>
      </c>
      <c r="B683" s="374">
        <v>12</v>
      </c>
      <c r="C683" s="374" t="s">
        <v>279</v>
      </c>
      <c r="D683" s="375" t="str">
        <f t="shared" si="143"/>
        <v>Baywater Estate12</v>
      </c>
      <c r="E683" s="375" t="s">
        <v>1376</v>
      </c>
      <c r="F683" s="375" t="s">
        <v>1366</v>
      </c>
      <c r="G683" s="375" t="s">
        <v>1367</v>
      </c>
      <c r="H683" s="375">
        <v>52741643</v>
      </c>
      <c r="I683" s="63" t="s">
        <v>1368</v>
      </c>
      <c r="J683" s="47">
        <v>3740</v>
      </c>
      <c r="K683" s="46" t="s">
        <v>10735</v>
      </c>
      <c r="L683" s="47" t="s">
        <v>1369</v>
      </c>
      <c r="M683" s="47" t="s">
        <v>1377</v>
      </c>
      <c r="N683" s="47"/>
      <c r="O683" s="47" t="s">
        <v>1371</v>
      </c>
      <c r="P683" s="47"/>
      <c r="Q683" s="47"/>
      <c r="R683" s="47"/>
      <c r="S683" s="47"/>
      <c r="T683" s="47"/>
      <c r="U683" s="47"/>
      <c r="V683" s="47"/>
      <c r="W683" s="47"/>
      <c r="X683" s="47"/>
      <c r="Y683" s="47"/>
      <c r="Z683" s="47">
        <f t="shared" si="144"/>
        <v>4620</v>
      </c>
      <c r="AA683" s="47"/>
      <c r="AB683" s="47"/>
      <c r="AC683" s="47"/>
      <c r="AD683" s="47"/>
      <c r="AE683" s="47"/>
      <c r="AF683" s="47"/>
      <c r="AG683" s="47"/>
      <c r="AH683" s="47">
        <f>IFERROR(_xlfn.XLOOKUP(Table6[[#This Row],[Suburb]],Table5[Travel Surcharge],Table5[$$]),"")</f>
        <v>1500</v>
      </c>
      <c r="AI683" s="47"/>
      <c r="AJ683" s="47"/>
      <c r="AL683" t="str">
        <v>Seaside Estate</v>
      </c>
    </row>
    <row r="684" spans="1:38">
      <c r="A684" s="374" t="s">
        <v>1364</v>
      </c>
      <c r="B684" s="374">
        <v>13</v>
      </c>
      <c r="C684" s="374" t="s">
        <v>279</v>
      </c>
      <c r="D684" s="375" t="str">
        <f t="shared" si="143"/>
        <v>Baywater Estate13</v>
      </c>
      <c r="E684" s="375" t="s">
        <v>1378</v>
      </c>
      <c r="F684" s="375" t="s">
        <v>1366</v>
      </c>
      <c r="G684" s="375" t="s">
        <v>1367</v>
      </c>
      <c r="H684" s="375">
        <v>52741643</v>
      </c>
      <c r="I684" s="63" t="s">
        <v>1368</v>
      </c>
      <c r="J684" s="47">
        <v>3740</v>
      </c>
      <c r="K684" s="46" t="s">
        <v>10735</v>
      </c>
      <c r="L684" s="47" t="s">
        <v>1369</v>
      </c>
      <c r="M684" s="47" t="s">
        <v>1377</v>
      </c>
      <c r="N684" s="47"/>
      <c r="O684" s="47" t="s">
        <v>1371</v>
      </c>
      <c r="P684" s="47"/>
      <c r="Q684" s="47"/>
      <c r="R684" s="47"/>
      <c r="S684" s="47"/>
      <c r="T684" s="47"/>
      <c r="U684" s="47"/>
      <c r="V684" s="47"/>
      <c r="W684" s="47"/>
      <c r="X684" s="47"/>
      <c r="Y684" s="47"/>
      <c r="Z684" s="47">
        <f t="shared" si="144"/>
        <v>4620</v>
      </c>
      <c r="AA684" s="47"/>
      <c r="AB684" s="47"/>
      <c r="AC684" s="47"/>
      <c r="AD684" s="47"/>
      <c r="AE684" s="47"/>
      <c r="AF684" s="47"/>
      <c r="AG684" s="47"/>
      <c r="AH684" s="47">
        <f>IFERROR(_xlfn.XLOOKUP(Table6[[#This Row],[Suburb]],Table5[Travel Surcharge],Table5[$$]),"")</f>
        <v>1500</v>
      </c>
      <c r="AI684" s="47"/>
      <c r="AJ684" s="47"/>
      <c r="AL684" t="str">
        <v>Seaton Estate</v>
      </c>
    </row>
    <row r="685" spans="1:38">
      <c r="A685" s="374" t="s">
        <v>1364</v>
      </c>
      <c r="B685" s="374">
        <v>14</v>
      </c>
      <c r="C685" s="374" t="s">
        <v>279</v>
      </c>
      <c r="D685" s="375" t="str">
        <f t="shared" si="143"/>
        <v>Baywater Estate14</v>
      </c>
      <c r="E685" s="375" t="s">
        <v>1379</v>
      </c>
      <c r="F685" s="375" t="s">
        <v>1366</v>
      </c>
      <c r="G685" s="375" t="s">
        <v>1367</v>
      </c>
      <c r="H685" s="375">
        <v>52741643</v>
      </c>
      <c r="I685" s="63" t="s">
        <v>1368</v>
      </c>
      <c r="J685" s="47">
        <v>3740</v>
      </c>
      <c r="K685" s="46" t="s">
        <v>10735</v>
      </c>
      <c r="L685" s="47" t="s">
        <v>1369</v>
      </c>
      <c r="M685" s="47" t="s">
        <v>1377</v>
      </c>
      <c r="N685" s="47"/>
      <c r="O685" s="47" t="s">
        <v>1371</v>
      </c>
      <c r="P685" s="47"/>
      <c r="Q685" s="47"/>
      <c r="R685" s="47"/>
      <c r="S685" s="47"/>
      <c r="T685" s="47"/>
      <c r="U685" s="47"/>
      <c r="V685" s="47"/>
      <c r="W685" s="47"/>
      <c r="X685" s="47"/>
      <c r="Y685" s="47"/>
      <c r="Z685" s="47">
        <f t="shared" si="144"/>
        <v>4620</v>
      </c>
      <c r="AA685" s="47"/>
      <c r="AB685" s="47"/>
      <c r="AC685" s="47"/>
      <c r="AD685" s="47"/>
      <c r="AE685" s="47"/>
      <c r="AF685" s="47"/>
      <c r="AG685" s="47"/>
      <c r="AH685" s="47">
        <f>IFERROR(_xlfn.XLOOKUP(Table6[[#This Row],[Suburb]],Table5[Travel Surcharge],Table5[$$]),"")</f>
        <v>1500</v>
      </c>
      <c r="AI685" s="47"/>
      <c r="AJ685" s="47"/>
      <c r="AL685" t="str">
        <v>Serenity Estate</v>
      </c>
    </row>
    <row r="686" spans="1:38">
      <c r="A686" s="374" t="s">
        <v>1380</v>
      </c>
      <c r="B686" s="374">
        <v>1</v>
      </c>
      <c r="C686" s="374" t="s">
        <v>1381</v>
      </c>
      <c r="D686" s="375" t="str">
        <f t="shared" si="143"/>
        <v>Beaconsfield Estate1</v>
      </c>
      <c r="E686" s="375" t="s">
        <v>1382</v>
      </c>
      <c r="F686" s="375"/>
      <c r="G686" s="375"/>
      <c r="H686" s="375"/>
      <c r="I686" s="63"/>
      <c r="J686" s="47"/>
      <c r="K686" s="46" t="s">
        <v>10735</v>
      </c>
      <c r="L686" s="47"/>
      <c r="M686" s="47"/>
      <c r="N686" s="47"/>
      <c r="O686" s="47"/>
      <c r="P686" s="47"/>
      <c r="Q686" s="47">
        <f>Q$2</f>
        <v>0</v>
      </c>
      <c r="R686" s="47"/>
      <c r="S686" s="47"/>
      <c r="T686" s="47"/>
      <c r="U686" s="47"/>
      <c r="V686" s="47"/>
      <c r="W686" s="47"/>
      <c r="X686" s="47"/>
      <c r="Y686" s="47"/>
      <c r="Z686" s="47">
        <f t="shared" si="144"/>
        <v>4620</v>
      </c>
      <c r="AA686" s="47"/>
      <c r="AB686" s="47"/>
      <c r="AC686" s="47"/>
      <c r="AD686" s="47"/>
      <c r="AE686" s="47"/>
      <c r="AF686" s="47"/>
      <c r="AG686" s="47"/>
      <c r="AH686" s="47" t="str">
        <f>IFERROR(_xlfn.XLOOKUP(Table6[[#This Row],[Suburb]],Table5[Travel Surcharge],Table5[$$]),"")</f>
        <v/>
      </c>
      <c r="AI686" s="47"/>
      <c r="AJ686" s="47"/>
      <c r="AL686" t="str">
        <v>Settlers Hill Estate</v>
      </c>
    </row>
    <row r="687" spans="1:38">
      <c r="A687" s="374" t="s">
        <v>1383</v>
      </c>
      <c r="B687" s="374">
        <v>1</v>
      </c>
      <c r="C687" s="374" t="s">
        <v>1042</v>
      </c>
      <c r="D687" s="375" t="str">
        <f t="shared" si="143"/>
        <v>Bella Estate1</v>
      </c>
      <c r="E687" s="375" t="s">
        <v>1384</v>
      </c>
      <c r="F687" s="375"/>
      <c r="G687" s="375"/>
      <c r="H687" s="375"/>
      <c r="I687" s="63"/>
      <c r="J687" s="47">
        <v>3740</v>
      </c>
      <c r="K687" s="46" t="s">
        <v>10735</v>
      </c>
      <c r="L687" s="47">
        <f t="shared" ref="L687:L694" si="147">L$7</f>
        <v>1210</v>
      </c>
      <c r="M687" s="47" t="s">
        <v>1385</v>
      </c>
      <c r="N687" s="47" t="s">
        <v>1386</v>
      </c>
      <c r="O687" s="47"/>
      <c r="P687" s="47"/>
      <c r="Q687" s="47"/>
      <c r="R687" s="47"/>
      <c r="S687" s="47"/>
      <c r="T687" s="47"/>
      <c r="U687" s="47">
        <f t="shared" ref="U687:U695" si="148">U$2</f>
        <v>430</v>
      </c>
      <c r="V687" s="47"/>
      <c r="W687" s="47"/>
      <c r="X687" s="47"/>
      <c r="Y687" s="47"/>
      <c r="Z687" s="47">
        <f t="shared" si="144"/>
        <v>4620</v>
      </c>
      <c r="AA687" s="47"/>
      <c r="AB687" s="47"/>
      <c r="AC687" s="47"/>
      <c r="AD687" s="47"/>
      <c r="AE687" s="47"/>
      <c r="AF687" s="47">
        <f t="shared" ref="AF687:AF695" si="149">AF$7</f>
        <v>1485</v>
      </c>
      <c r="AG687" s="47"/>
      <c r="AH687" s="47" t="str">
        <f>IFERROR(_xlfn.XLOOKUP(Table6[[#This Row],[Suburb]],Table5[Travel Surcharge],Table5[$$]),"")</f>
        <v/>
      </c>
      <c r="AI687" s="47"/>
      <c r="AJ687" s="47"/>
      <c r="AL687" t="str">
        <v>Seventh Bend Estate</v>
      </c>
    </row>
    <row r="688" spans="1:38">
      <c r="A688" s="374" t="s">
        <v>1383</v>
      </c>
      <c r="B688" s="374">
        <v>2</v>
      </c>
      <c r="C688" s="374" t="s">
        <v>1042</v>
      </c>
      <c r="D688" s="375" t="str">
        <f t="shared" si="143"/>
        <v>Bella Estate2</v>
      </c>
      <c r="E688" s="375" t="s">
        <v>1387</v>
      </c>
      <c r="F688" s="375"/>
      <c r="G688" s="375"/>
      <c r="H688" s="375"/>
      <c r="I688" s="63"/>
      <c r="J688" s="47">
        <v>3740</v>
      </c>
      <c r="K688" s="46" t="s">
        <v>10735</v>
      </c>
      <c r="L688" s="47">
        <f t="shared" si="147"/>
        <v>1210</v>
      </c>
      <c r="M688" s="47" t="s">
        <v>1385</v>
      </c>
      <c r="N688" s="47" t="s">
        <v>1386</v>
      </c>
      <c r="O688" s="47"/>
      <c r="P688" s="47"/>
      <c r="Q688" s="47"/>
      <c r="R688" s="47"/>
      <c r="S688" s="47"/>
      <c r="T688" s="47"/>
      <c r="U688" s="47">
        <f t="shared" si="148"/>
        <v>430</v>
      </c>
      <c r="V688" s="47"/>
      <c r="W688" s="47"/>
      <c r="X688" s="47"/>
      <c r="Y688" s="47"/>
      <c r="Z688" s="47">
        <f t="shared" si="144"/>
        <v>4620</v>
      </c>
      <c r="AA688" s="47"/>
      <c r="AB688" s="47"/>
      <c r="AC688" s="47"/>
      <c r="AD688" s="47"/>
      <c r="AE688" s="47"/>
      <c r="AF688" s="47">
        <f t="shared" si="149"/>
        <v>1485</v>
      </c>
      <c r="AG688" s="47"/>
      <c r="AH688" s="47" t="str">
        <f>IFERROR(_xlfn.XLOOKUP(Table6[[#This Row],[Suburb]],Table5[Travel Surcharge],Table5[$$]),"")</f>
        <v/>
      </c>
      <c r="AI688" s="47"/>
      <c r="AJ688" s="47"/>
      <c r="AL688" t="str">
        <v>Sherwood Grange</v>
      </c>
    </row>
    <row r="689" spans="1:38">
      <c r="A689" s="374" t="s">
        <v>1383</v>
      </c>
      <c r="B689" s="374">
        <v>3</v>
      </c>
      <c r="C689" s="374" t="s">
        <v>1042</v>
      </c>
      <c r="D689" s="375" t="str">
        <f t="shared" si="143"/>
        <v>Bella Estate3</v>
      </c>
      <c r="E689" s="375" t="s">
        <v>1388</v>
      </c>
      <c r="F689" s="375"/>
      <c r="G689" s="375"/>
      <c r="H689" s="375"/>
      <c r="I689" s="63"/>
      <c r="J689" s="47">
        <v>3740</v>
      </c>
      <c r="K689" s="46" t="s">
        <v>10735</v>
      </c>
      <c r="L689" s="47">
        <f t="shared" si="147"/>
        <v>1210</v>
      </c>
      <c r="M689" s="47" t="s">
        <v>1385</v>
      </c>
      <c r="N689" s="47" t="s">
        <v>1386</v>
      </c>
      <c r="O689" s="47"/>
      <c r="P689" s="47"/>
      <c r="Q689" s="47"/>
      <c r="R689" s="47"/>
      <c r="S689" s="47"/>
      <c r="T689" s="47"/>
      <c r="U689" s="47">
        <f t="shared" si="148"/>
        <v>430</v>
      </c>
      <c r="V689" s="47"/>
      <c r="W689" s="47"/>
      <c r="X689" s="47"/>
      <c r="Y689" s="47"/>
      <c r="Z689" s="47">
        <f t="shared" si="144"/>
        <v>4620</v>
      </c>
      <c r="AA689" s="47"/>
      <c r="AB689" s="47"/>
      <c r="AC689" s="47"/>
      <c r="AD689" s="47"/>
      <c r="AE689" s="47"/>
      <c r="AF689" s="47">
        <f t="shared" si="149"/>
        <v>1485</v>
      </c>
      <c r="AG689" s="47"/>
      <c r="AH689" s="47" t="str">
        <f>IFERROR(_xlfn.XLOOKUP(Table6[[#This Row],[Suburb]],Table5[Travel Surcharge],Table5[$$]),"")</f>
        <v/>
      </c>
      <c r="AI689" s="47"/>
      <c r="AJ689" s="47"/>
      <c r="AL689" t="str">
        <v>Sienna Estate</v>
      </c>
    </row>
    <row r="690" spans="1:38">
      <c r="A690" s="374" t="s">
        <v>1383</v>
      </c>
      <c r="B690" s="374">
        <v>4</v>
      </c>
      <c r="C690" s="374" t="s">
        <v>1042</v>
      </c>
      <c r="D690" s="375" t="str">
        <f t="shared" si="143"/>
        <v>Bella Estate4</v>
      </c>
      <c r="E690" s="375" t="s">
        <v>1389</v>
      </c>
      <c r="F690" s="375"/>
      <c r="G690" s="375"/>
      <c r="H690" s="375"/>
      <c r="I690" s="63"/>
      <c r="J690" s="47">
        <v>3740</v>
      </c>
      <c r="K690" s="46" t="s">
        <v>10735</v>
      </c>
      <c r="L690" s="47">
        <f t="shared" si="147"/>
        <v>1210</v>
      </c>
      <c r="M690" s="47" t="s">
        <v>1385</v>
      </c>
      <c r="N690" s="47" t="s">
        <v>1386</v>
      </c>
      <c r="O690" s="47"/>
      <c r="P690" s="47"/>
      <c r="Q690" s="47"/>
      <c r="R690" s="47"/>
      <c r="S690" s="47"/>
      <c r="T690" s="47"/>
      <c r="U690" s="47">
        <f t="shared" si="148"/>
        <v>430</v>
      </c>
      <c r="V690" s="47"/>
      <c r="W690" s="47"/>
      <c r="X690" s="47"/>
      <c r="Y690" s="47"/>
      <c r="Z690" s="47">
        <f t="shared" si="144"/>
        <v>4620</v>
      </c>
      <c r="AA690" s="47"/>
      <c r="AB690" s="47"/>
      <c r="AC690" s="47"/>
      <c r="AD690" s="47"/>
      <c r="AE690" s="47"/>
      <c r="AF690" s="47">
        <f t="shared" si="149"/>
        <v>1485</v>
      </c>
      <c r="AG690" s="47"/>
      <c r="AH690" s="47" t="str">
        <f>IFERROR(_xlfn.XLOOKUP(Table6[[#This Row],[Suburb]],Table5[Travel Surcharge],Table5[$$]),"")</f>
        <v/>
      </c>
      <c r="AI690" s="47"/>
      <c r="AJ690" s="47"/>
      <c r="AL690" t="str">
        <v>Sienna North Estate</v>
      </c>
    </row>
    <row r="691" spans="1:38">
      <c r="A691" s="374" t="s">
        <v>1383</v>
      </c>
      <c r="B691" s="374">
        <v>5</v>
      </c>
      <c r="C691" s="374" t="s">
        <v>1042</v>
      </c>
      <c r="D691" s="375" t="str">
        <f t="shared" si="143"/>
        <v>Bella Estate5</v>
      </c>
      <c r="E691" s="375" t="s">
        <v>1390</v>
      </c>
      <c r="F691" s="375"/>
      <c r="G691" s="375"/>
      <c r="H691" s="375"/>
      <c r="I691" s="63"/>
      <c r="J691" s="47">
        <v>3740</v>
      </c>
      <c r="K691" s="46" t="s">
        <v>10735</v>
      </c>
      <c r="L691" s="47">
        <f t="shared" si="147"/>
        <v>1210</v>
      </c>
      <c r="M691" s="47" t="s">
        <v>1385</v>
      </c>
      <c r="N691" s="47" t="s">
        <v>1386</v>
      </c>
      <c r="O691" s="47"/>
      <c r="P691" s="47"/>
      <c r="Q691" s="47"/>
      <c r="R691" s="47"/>
      <c r="S691" s="47"/>
      <c r="T691" s="47"/>
      <c r="U691" s="47">
        <f t="shared" si="148"/>
        <v>430</v>
      </c>
      <c r="V691" s="47"/>
      <c r="W691" s="47"/>
      <c r="X691" s="47"/>
      <c r="Y691" s="47"/>
      <c r="Z691" s="47">
        <f t="shared" si="144"/>
        <v>4620</v>
      </c>
      <c r="AA691" s="47"/>
      <c r="AB691" s="47"/>
      <c r="AC691" s="47"/>
      <c r="AD691" s="47"/>
      <c r="AE691" s="47"/>
      <c r="AF691" s="47">
        <f t="shared" si="149"/>
        <v>1485</v>
      </c>
      <c r="AG691" s="47"/>
      <c r="AH691" s="47" t="str">
        <f>IFERROR(_xlfn.XLOOKUP(Table6[[#This Row],[Suburb]],Table5[Travel Surcharge],Table5[$$]),"")</f>
        <v/>
      </c>
      <c r="AI691" s="47"/>
      <c r="AJ691" s="47"/>
      <c r="AL691" t="str">
        <v>Sienna Rise Estate</v>
      </c>
    </row>
    <row r="692" spans="1:38">
      <c r="A692" s="374" t="s">
        <v>1383</v>
      </c>
      <c r="B692" s="374">
        <v>6</v>
      </c>
      <c r="C692" s="374" t="s">
        <v>1042</v>
      </c>
      <c r="D692" s="375" t="str">
        <f t="shared" si="143"/>
        <v>Bella Estate6</v>
      </c>
      <c r="E692" s="375" t="s">
        <v>1391</v>
      </c>
      <c r="F692" s="375"/>
      <c r="G692" s="375"/>
      <c r="H692" s="375"/>
      <c r="I692" s="63"/>
      <c r="J692" s="47">
        <v>3740</v>
      </c>
      <c r="K692" s="46" t="s">
        <v>10735</v>
      </c>
      <c r="L692" s="47">
        <f t="shared" si="147"/>
        <v>1210</v>
      </c>
      <c r="M692" s="47" t="s">
        <v>1385</v>
      </c>
      <c r="N692" s="47" t="s">
        <v>1386</v>
      </c>
      <c r="O692" s="47"/>
      <c r="P692" s="47"/>
      <c r="Q692" s="47"/>
      <c r="R692" s="47"/>
      <c r="S692" s="47"/>
      <c r="T692" s="47"/>
      <c r="U692" s="47">
        <f t="shared" si="148"/>
        <v>430</v>
      </c>
      <c r="V692" s="47"/>
      <c r="W692" s="47"/>
      <c r="X692" s="47"/>
      <c r="Y692" s="47"/>
      <c r="Z692" s="47">
        <f t="shared" si="144"/>
        <v>4620</v>
      </c>
      <c r="AA692" s="47"/>
      <c r="AB692" s="47"/>
      <c r="AC692" s="47"/>
      <c r="AD692" s="47"/>
      <c r="AE692" s="47"/>
      <c r="AF692" s="47">
        <f t="shared" si="149"/>
        <v>1485</v>
      </c>
      <c r="AG692" s="47"/>
      <c r="AH692" s="47" t="str">
        <f>IFERROR(_xlfn.XLOOKUP(Table6[[#This Row],[Suburb]],Table5[Travel Surcharge],Table5[$$]),"")</f>
        <v/>
      </c>
      <c r="AI692" s="47"/>
      <c r="AJ692" s="47"/>
      <c r="AL692" t="str">
        <v>Silk Estate</v>
      </c>
    </row>
    <row r="693" spans="1:38">
      <c r="A693" s="374" t="s">
        <v>1383</v>
      </c>
      <c r="B693" s="374">
        <v>7</v>
      </c>
      <c r="C693" s="374" t="s">
        <v>1042</v>
      </c>
      <c r="D693" s="375" t="str">
        <f t="shared" si="143"/>
        <v>Bella Estate7</v>
      </c>
      <c r="E693" s="375" t="s">
        <v>1392</v>
      </c>
      <c r="F693" s="375"/>
      <c r="G693" s="375"/>
      <c r="H693" s="375"/>
      <c r="I693" s="63"/>
      <c r="J693" s="47">
        <v>3740</v>
      </c>
      <c r="K693" s="46" t="s">
        <v>10735</v>
      </c>
      <c r="L693" s="47">
        <f t="shared" si="147"/>
        <v>1210</v>
      </c>
      <c r="M693" s="47" t="s">
        <v>1385</v>
      </c>
      <c r="N693" s="47" t="s">
        <v>1386</v>
      </c>
      <c r="O693" s="47"/>
      <c r="P693" s="47"/>
      <c r="Q693" s="47"/>
      <c r="R693" s="47"/>
      <c r="S693" s="47"/>
      <c r="T693" s="47"/>
      <c r="U693" s="47">
        <f t="shared" si="148"/>
        <v>430</v>
      </c>
      <c r="V693" s="47"/>
      <c r="W693" s="47"/>
      <c r="X693" s="47"/>
      <c r="Y693" s="47"/>
      <c r="Z693" s="47">
        <f t="shared" si="144"/>
        <v>4620</v>
      </c>
      <c r="AA693" s="47"/>
      <c r="AB693" s="47"/>
      <c r="AC693" s="47"/>
      <c r="AD693" s="47"/>
      <c r="AE693" s="47"/>
      <c r="AF693" s="47">
        <f t="shared" si="149"/>
        <v>1485</v>
      </c>
      <c r="AG693" s="47"/>
      <c r="AH693" s="47" t="str">
        <f>IFERROR(_xlfn.XLOOKUP(Table6[[#This Row],[Suburb]],Table5[Travel Surcharge],Table5[$$]),"")</f>
        <v/>
      </c>
      <c r="AI693" s="47"/>
      <c r="AJ693" s="47"/>
      <c r="AL693" t="str">
        <v>Silverwood Estate</v>
      </c>
    </row>
    <row r="694" spans="1:38">
      <c r="A694" s="374" t="s">
        <v>1383</v>
      </c>
      <c r="B694" s="374">
        <v>8</v>
      </c>
      <c r="C694" s="374" t="s">
        <v>1042</v>
      </c>
      <c r="D694" s="375" t="str">
        <f t="shared" si="143"/>
        <v>Bella Estate8</v>
      </c>
      <c r="E694" s="375" t="s">
        <v>1393</v>
      </c>
      <c r="F694" s="375"/>
      <c r="G694" s="375"/>
      <c r="H694" s="375"/>
      <c r="I694" s="63"/>
      <c r="J694" s="47">
        <v>3740</v>
      </c>
      <c r="K694" s="46" t="s">
        <v>10735</v>
      </c>
      <c r="L694" s="47">
        <f t="shared" si="147"/>
        <v>1210</v>
      </c>
      <c r="M694" s="47" t="s">
        <v>1385</v>
      </c>
      <c r="N694" s="47" t="s">
        <v>1386</v>
      </c>
      <c r="O694" s="47"/>
      <c r="P694" s="47"/>
      <c r="Q694" s="47"/>
      <c r="R694" s="47"/>
      <c r="S694" s="47"/>
      <c r="T694" s="47"/>
      <c r="U694" s="47">
        <f t="shared" si="148"/>
        <v>430</v>
      </c>
      <c r="V694" s="47"/>
      <c r="W694" s="47"/>
      <c r="X694" s="47"/>
      <c r="Y694" s="47"/>
      <c r="Z694" s="47"/>
      <c r="AA694" s="47"/>
      <c r="AB694" s="47"/>
      <c r="AC694" s="47"/>
      <c r="AD694" s="47"/>
      <c r="AE694" s="47"/>
      <c r="AF694" s="47">
        <f t="shared" si="149"/>
        <v>1485</v>
      </c>
      <c r="AG694" s="47"/>
      <c r="AH694" s="47" t="str">
        <f>IFERROR(_xlfn.XLOOKUP(Table6[[#This Row],[Suburb]],Table5[Travel Surcharge],Table5[$$]),"")</f>
        <v/>
      </c>
      <c r="AI694" s="47"/>
      <c r="AJ694" s="47"/>
      <c r="AL694" t="str">
        <v>Sinclair Heights Estate</v>
      </c>
    </row>
    <row r="695" spans="1:38">
      <c r="A695" s="374" t="s">
        <v>1394</v>
      </c>
      <c r="B695" s="374">
        <v>1</v>
      </c>
      <c r="C695" s="374" t="s">
        <v>802</v>
      </c>
      <c r="D695" s="375" t="str">
        <f t="shared" si="143"/>
        <v>Bella Vista1</v>
      </c>
      <c r="E695" s="375" t="s">
        <v>1395</v>
      </c>
      <c r="F695" s="375"/>
      <c r="G695" s="375"/>
      <c r="H695" s="375"/>
      <c r="I695" s="63"/>
      <c r="J695" s="47">
        <v>3740</v>
      </c>
      <c r="K695" s="46" t="s">
        <v>10735</v>
      </c>
      <c r="L695" s="47" t="s">
        <v>1396</v>
      </c>
      <c r="M695" s="47"/>
      <c r="N695" s="47"/>
      <c r="O695" s="47"/>
      <c r="P695" s="47"/>
      <c r="Q695" s="47"/>
      <c r="R695" s="47"/>
      <c r="S695" s="47"/>
      <c r="T695" s="47"/>
      <c r="U695" s="47">
        <f t="shared" si="148"/>
        <v>430</v>
      </c>
      <c r="V695" s="47"/>
      <c r="W695" s="47"/>
      <c r="X695" s="47"/>
      <c r="Y695" s="47"/>
      <c r="Z695" s="47">
        <f t="shared" ref="Z695:Z731" si="150">Z$7</f>
        <v>4620</v>
      </c>
      <c r="AA695" s="47"/>
      <c r="AB695" s="47" t="s">
        <v>1397</v>
      </c>
      <c r="AC695" s="47" t="s">
        <v>1398</v>
      </c>
      <c r="AD695" s="47" t="s">
        <v>1399</v>
      </c>
      <c r="AE695" s="47"/>
      <c r="AF695" s="47">
        <f t="shared" si="149"/>
        <v>1485</v>
      </c>
      <c r="AG695" s="47"/>
      <c r="AH695" s="47" t="str">
        <f>IFERROR(_xlfn.XLOOKUP(Table6[[#This Row],[Suburb]],Table5[Travel Surcharge],Table5[$$]),"")</f>
        <v/>
      </c>
      <c r="AI695" s="47"/>
      <c r="AJ695" s="47"/>
      <c r="AL695" t="str">
        <v>Skylark</v>
      </c>
    </row>
    <row r="696" spans="1:38">
      <c r="A696" s="374" t="s">
        <v>1400</v>
      </c>
      <c r="B696" s="374">
        <v>1</v>
      </c>
      <c r="C696" s="374" t="s">
        <v>394</v>
      </c>
      <c r="D696" s="375" t="str">
        <f t="shared" si="143"/>
        <v>Bella Vista Estate1</v>
      </c>
      <c r="E696" s="375" t="s">
        <v>1401</v>
      </c>
      <c r="F696" s="375" t="s">
        <v>1402</v>
      </c>
      <c r="G696" s="375"/>
      <c r="H696" s="375" t="s">
        <v>1403</v>
      </c>
      <c r="I696" s="63" t="s">
        <v>1404</v>
      </c>
      <c r="J696" s="47"/>
      <c r="K696" s="46" t="s">
        <v>10735</v>
      </c>
      <c r="L696" s="47"/>
      <c r="M696" s="47"/>
      <c r="N696" s="47" t="s">
        <v>1405</v>
      </c>
      <c r="O696" s="47"/>
      <c r="P696" s="47"/>
      <c r="Q696" s="47"/>
      <c r="R696" s="47">
        <f>R$2</f>
        <v>540</v>
      </c>
      <c r="S696" s="47"/>
      <c r="T696" s="47"/>
      <c r="U696" s="47"/>
      <c r="V696" s="47"/>
      <c r="W696" s="47"/>
      <c r="X696" s="47"/>
      <c r="Y696" s="47"/>
      <c r="Z696" s="47">
        <f t="shared" si="150"/>
        <v>4620</v>
      </c>
      <c r="AA696" s="47"/>
      <c r="AB696" s="47"/>
      <c r="AC696" s="47"/>
      <c r="AD696" s="47"/>
      <c r="AE696" s="47"/>
      <c r="AF696" s="47"/>
      <c r="AG696" s="47"/>
      <c r="AH696" s="47" t="str">
        <f>IFERROR(_xlfn.XLOOKUP(Table6[[#This Row],[Suburb]],Table5[Travel Surcharge],Table5[$$]),"")</f>
        <v/>
      </c>
      <c r="AI696" s="47"/>
      <c r="AJ696" s="47"/>
      <c r="AL696" t="str">
        <v>Skyline Vista</v>
      </c>
    </row>
    <row r="697" spans="1:38">
      <c r="A697" s="374" t="s">
        <v>1400</v>
      </c>
      <c r="B697" s="374">
        <v>3</v>
      </c>
      <c r="C697" s="374" t="s">
        <v>394</v>
      </c>
      <c r="D697" s="375" t="str">
        <f t="shared" si="143"/>
        <v>Bella Vista Estate3</v>
      </c>
      <c r="E697" s="375" t="s">
        <v>1406</v>
      </c>
      <c r="F697" s="375" t="s">
        <v>1402</v>
      </c>
      <c r="G697" s="375"/>
      <c r="H697" s="375" t="s">
        <v>1403</v>
      </c>
      <c r="I697" s="63" t="s">
        <v>1404</v>
      </c>
      <c r="J697" s="47"/>
      <c r="K697" s="46" t="s">
        <v>10735</v>
      </c>
      <c r="L697" s="47"/>
      <c r="M697" s="47"/>
      <c r="N697" s="47" t="s">
        <v>1405</v>
      </c>
      <c r="O697" s="47"/>
      <c r="P697" s="47"/>
      <c r="Q697" s="47"/>
      <c r="R697" s="47">
        <f>R$2</f>
        <v>540</v>
      </c>
      <c r="S697" s="47"/>
      <c r="T697" s="47"/>
      <c r="U697" s="47"/>
      <c r="V697" s="47"/>
      <c r="W697" s="47"/>
      <c r="X697" s="47"/>
      <c r="Y697" s="47"/>
      <c r="Z697" s="47">
        <f t="shared" si="150"/>
        <v>4620</v>
      </c>
      <c r="AA697" s="47"/>
      <c r="AB697" s="47"/>
      <c r="AC697" s="47"/>
      <c r="AD697" s="47"/>
      <c r="AE697" s="47"/>
      <c r="AF697" s="47"/>
      <c r="AG697" s="47"/>
      <c r="AH697" s="47" t="str">
        <f>IFERROR(_xlfn.XLOOKUP(Table6[[#This Row],[Suburb]],Table5[Travel Surcharge],Table5[$$]),"")</f>
        <v/>
      </c>
      <c r="AI697" s="47"/>
      <c r="AJ697" s="47"/>
      <c r="AL697" t="str">
        <v>Skymont</v>
      </c>
    </row>
    <row r="698" spans="1:38">
      <c r="A698" s="374" t="s">
        <v>1407</v>
      </c>
      <c r="B698" s="374">
        <v>4</v>
      </c>
      <c r="C698" s="374" t="s">
        <v>279</v>
      </c>
      <c r="D698" s="375" t="str">
        <f t="shared" si="143"/>
        <v>Bellaview Estate4</v>
      </c>
      <c r="E698" s="375" t="s">
        <v>1408</v>
      </c>
      <c r="F698" s="375" t="s">
        <v>1366</v>
      </c>
      <c r="G698" s="375" t="s">
        <v>1409</v>
      </c>
      <c r="H698" s="375" t="s">
        <v>1410</v>
      </c>
      <c r="I698" s="63" t="s">
        <v>1368</v>
      </c>
      <c r="J698" s="47"/>
      <c r="K698" s="46" t="s">
        <v>7938</v>
      </c>
      <c r="L698" s="47"/>
      <c r="M698" s="47"/>
      <c r="N698" s="47"/>
      <c r="O698" s="47"/>
      <c r="P698" s="47"/>
      <c r="Q698" s="47">
        <f>Q$2</f>
        <v>0</v>
      </c>
      <c r="R698" s="47"/>
      <c r="S698" s="47"/>
      <c r="T698" s="47"/>
      <c r="U698" s="47"/>
      <c r="V698" s="47"/>
      <c r="W698" s="47"/>
      <c r="X698" s="47"/>
      <c r="Y698" s="47"/>
      <c r="Z698" s="47">
        <f t="shared" si="150"/>
        <v>4620</v>
      </c>
      <c r="AA698" s="47"/>
      <c r="AB698" s="47"/>
      <c r="AC698" s="47"/>
      <c r="AD698" s="47"/>
      <c r="AE698" s="47"/>
      <c r="AF698" s="47"/>
      <c r="AG698" s="47"/>
      <c r="AH698" s="47">
        <f>IFERROR(_xlfn.XLOOKUP(Table6[[#This Row],[Suburb]],Table5[Travel Surcharge],Table5[$$]),"")</f>
        <v>1500</v>
      </c>
      <c r="AI698" s="47"/>
      <c r="AJ698" s="47"/>
      <c r="AL698" t="str">
        <v>Smiths Lane</v>
      </c>
    </row>
    <row r="699" spans="1:38">
      <c r="A699" s="374" t="s">
        <v>1411</v>
      </c>
      <c r="B699" s="374">
        <v>8</v>
      </c>
      <c r="C699" s="374" t="s">
        <v>1412</v>
      </c>
      <c r="D699" s="375" t="str">
        <f t="shared" si="143"/>
        <v>Belle Gardens Estate8</v>
      </c>
      <c r="E699" s="375" t="s">
        <v>1413</v>
      </c>
      <c r="F699" s="375" t="s">
        <v>1414</v>
      </c>
      <c r="G699" s="375" t="s">
        <v>1415</v>
      </c>
      <c r="H699" s="375" t="s">
        <v>1416</v>
      </c>
      <c r="I699" s="63" t="s">
        <v>1417</v>
      </c>
      <c r="J699" s="47"/>
      <c r="K699" s="46" t="s">
        <v>10735</v>
      </c>
      <c r="L699" s="47"/>
      <c r="M699" s="47"/>
      <c r="N699" s="47"/>
      <c r="O699" s="47"/>
      <c r="P699" s="47"/>
      <c r="Q699" s="47">
        <f>Q$2</f>
        <v>0</v>
      </c>
      <c r="R699" s="47"/>
      <c r="S699" s="47"/>
      <c r="T699" s="47"/>
      <c r="U699" s="47"/>
      <c r="V699" s="47"/>
      <c r="W699" s="47"/>
      <c r="X699" s="47"/>
      <c r="Y699" s="47"/>
      <c r="Z699" s="47">
        <f t="shared" si="150"/>
        <v>4620</v>
      </c>
      <c r="AA699" s="47"/>
      <c r="AB699" s="47"/>
      <c r="AC699" s="47"/>
      <c r="AD699" s="47"/>
      <c r="AE699" s="47"/>
      <c r="AF699" s="47"/>
      <c r="AG699" s="47"/>
      <c r="AH699" s="47" t="str">
        <f>IFERROR(_xlfn.XLOOKUP(Table6[[#This Row],[Suburb]],Table5[Travel Surcharge],Table5[$$]),"")</f>
        <v/>
      </c>
      <c r="AI699" s="47"/>
      <c r="AJ699" s="47"/>
      <c r="AL699" t="str">
        <v>Smiths Park</v>
      </c>
    </row>
    <row r="700" spans="1:38">
      <c r="A700" s="374" t="s">
        <v>1418</v>
      </c>
      <c r="B700" s="374">
        <v>11</v>
      </c>
      <c r="C700" s="374" t="s">
        <v>538</v>
      </c>
      <c r="D700" s="375" t="str">
        <f t="shared" si="143"/>
        <v>Bellevue Estate11</v>
      </c>
      <c r="E700" s="375" t="s">
        <v>1419</v>
      </c>
      <c r="F700" s="375" t="s">
        <v>1420</v>
      </c>
      <c r="G700" s="375" t="s">
        <v>1421</v>
      </c>
      <c r="H700" s="375" t="s">
        <v>1422</v>
      </c>
      <c r="I700" s="63" t="s">
        <v>1423</v>
      </c>
      <c r="J700" s="47"/>
      <c r="K700" s="46" t="s">
        <v>10735</v>
      </c>
      <c r="L700" s="47"/>
      <c r="M700" s="47"/>
      <c r="N700" s="47"/>
      <c r="O700" s="47" t="s">
        <v>1424</v>
      </c>
      <c r="P700" s="47"/>
      <c r="Q700" s="47"/>
      <c r="R700" s="47"/>
      <c r="S700" s="47"/>
      <c r="T700" s="47">
        <f>T$2</f>
        <v>780</v>
      </c>
      <c r="U700" s="47"/>
      <c r="V700" s="47"/>
      <c r="W700" s="47" t="s">
        <v>1425</v>
      </c>
      <c r="X700" s="47"/>
      <c r="Y700" s="47"/>
      <c r="Z700" s="47">
        <f t="shared" si="150"/>
        <v>4620</v>
      </c>
      <c r="AA700" s="47"/>
      <c r="AB700" s="47"/>
      <c r="AC700" s="47"/>
      <c r="AD700" s="47"/>
      <c r="AE700" s="47"/>
      <c r="AF700" s="47"/>
      <c r="AG700" s="47"/>
      <c r="AH700" s="47" t="str">
        <f>IFERROR(_xlfn.XLOOKUP(Table6[[#This Row],[Suburb]],Table5[Travel Surcharge],Table5[$$]),"")</f>
        <v/>
      </c>
      <c r="AI700" s="47"/>
      <c r="AJ700" s="47"/>
      <c r="AL700" t="str">
        <v>Society</v>
      </c>
    </row>
    <row r="701" spans="1:38">
      <c r="A701" s="374" t="s">
        <v>1426</v>
      </c>
      <c r="B701" s="374">
        <v>2</v>
      </c>
      <c r="C701" s="374" t="s">
        <v>1261</v>
      </c>
      <c r="D701" s="375" t="str">
        <f t="shared" si="143"/>
        <v>Bellevue Tops Estate2</v>
      </c>
      <c r="E701" s="375" t="s">
        <v>1427</v>
      </c>
      <c r="F701" s="375" t="s">
        <v>1428</v>
      </c>
      <c r="G701" s="375" t="s">
        <v>1429</v>
      </c>
      <c r="H701" s="375" t="s">
        <v>1430</v>
      </c>
      <c r="I701" s="63" t="s">
        <v>1431</v>
      </c>
      <c r="J701" s="47"/>
      <c r="K701" s="46" t="s">
        <v>10735</v>
      </c>
      <c r="L701" s="47">
        <f t="shared" ref="L701:L707" si="151">L$7</f>
        <v>1210</v>
      </c>
      <c r="M701" s="47"/>
      <c r="N701" s="47"/>
      <c r="O701" s="47"/>
      <c r="P701" s="47"/>
      <c r="Q701" s="47"/>
      <c r="R701" s="47">
        <f t="shared" ref="R701:R707" si="152">R$2</f>
        <v>540</v>
      </c>
      <c r="S701" s="47"/>
      <c r="T701" s="47"/>
      <c r="U701" s="47"/>
      <c r="V701" s="47"/>
      <c r="W701" s="47"/>
      <c r="X701" s="47"/>
      <c r="Y701" s="47"/>
      <c r="Z701" s="47">
        <f t="shared" si="150"/>
        <v>4620</v>
      </c>
      <c r="AA701" s="47"/>
      <c r="AB701" s="47"/>
      <c r="AC701" s="47"/>
      <c r="AD701" s="47"/>
      <c r="AE701" s="47"/>
      <c r="AF701" s="47"/>
      <c r="AG701" s="47"/>
      <c r="AH701" s="47" t="str">
        <f>IFERROR(_xlfn.XLOOKUP(Table6[[#This Row],[Suburb]],Table5[Travel Surcharge],Table5[$$]),"")</f>
        <v/>
      </c>
      <c r="AI701" s="47"/>
      <c r="AJ701" s="47"/>
      <c r="AL701" t="str">
        <v>Somerdale Heights</v>
      </c>
    </row>
    <row r="702" spans="1:38">
      <c r="A702" s="374" t="s">
        <v>1426</v>
      </c>
      <c r="B702" s="374">
        <v>4</v>
      </c>
      <c r="C702" s="374" t="s">
        <v>1261</v>
      </c>
      <c r="D702" s="375" t="str">
        <f t="shared" si="143"/>
        <v>Bellevue Tops Estate4</v>
      </c>
      <c r="E702" s="375" t="s">
        <v>1432</v>
      </c>
      <c r="F702" s="375" t="s">
        <v>1428</v>
      </c>
      <c r="G702" s="375" t="s">
        <v>1429</v>
      </c>
      <c r="H702" s="375" t="s">
        <v>1430</v>
      </c>
      <c r="I702" s="63" t="s">
        <v>1431</v>
      </c>
      <c r="J702" s="47"/>
      <c r="K702" s="46" t="s">
        <v>10735</v>
      </c>
      <c r="L702" s="47">
        <f t="shared" si="151"/>
        <v>1210</v>
      </c>
      <c r="M702" s="47"/>
      <c r="N702" s="47"/>
      <c r="O702" s="47"/>
      <c r="P702" s="47"/>
      <c r="Q702" s="47"/>
      <c r="R702" s="47">
        <f t="shared" si="152"/>
        <v>540</v>
      </c>
      <c r="S702" s="47"/>
      <c r="T702" s="47"/>
      <c r="U702" s="47"/>
      <c r="V702" s="47"/>
      <c r="W702" s="47"/>
      <c r="X702" s="47"/>
      <c r="Y702" s="47"/>
      <c r="Z702" s="47">
        <f t="shared" si="150"/>
        <v>4620</v>
      </c>
      <c r="AA702" s="47"/>
      <c r="AB702" s="47"/>
      <c r="AC702" s="47"/>
      <c r="AD702" s="47"/>
      <c r="AE702" s="47"/>
      <c r="AF702" s="47"/>
      <c r="AG702" s="47"/>
      <c r="AH702" s="47" t="str">
        <f>IFERROR(_xlfn.XLOOKUP(Table6[[#This Row],[Suburb]],Table5[Travel Surcharge],Table5[$$]),"")</f>
        <v/>
      </c>
      <c r="AI702" s="47"/>
      <c r="AJ702" s="47"/>
      <c r="AL702" t="str">
        <v>Somerfield Estate</v>
      </c>
    </row>
    <row r="703" spans="1:38">
      <c r="A703" s="374" t="s">
        <v>1426</v>
      </c>
      <c r="B703" s="374">
        <v>5</v>
      </c>
      <c r="C703" s="374" t="s">
        <v>1261</v>
      </c>
      <c r="D703" s="375" t="str">
        <f t="shared" si="143"/>
        <v>Bellevue Tops Estate5</v>
      </c>
      <c r="E703" s="375" t="s">
        <v>1433</v>
      </c>
      <c r="F703" s="375" t="s">
        <v>1428</v>
      </c>
      <c r="G703" s="375" t="s">
        <v>1429</v>
      </c>
      <c r="H703" s="375" t="s">
        <v>1430</v>
      </c>
      <c r="I703" s="63" t="s">
        <v>1431</v>
      </c>
      <c r="J703" s="47"/>
      <c r="K703" s="46" t="s">
        <v>10735</v>
      </c>
      <c r="L703" s="47">
        <f t="shared" si="151"/>
        <v>1210</v>
      </c>
      <c r="M703" s="47"/>
      <c r="N703" s="47"/>
      <c r="O703" s="47"/>
      <c r="P703" s="47"/>
      <c r="Q703" s="47"/>
      <c r="R703" s="47">
        <f t="shared" si="152"/>
        <v>540</v>
      </c>
      <c r="S703" s="47"/>
      <c r="T703" s="47"/>
      <c r="U703" s="47"/>
      <c r="V703" s="47"/>
      <c r="W703" s="47"/>
      <c r="X703" s="47"/>
      <c r="Y703" s="47"/>
      <c r="Z703" s="47">
        <f t="shared" si="150"/>
        <v>4620</v>
      </c>
      <c r="AA703" s="47"/>
      <c r="AB703" s="47"/>
      <c r="AC703" s="47"/>
      <c r="AD703" s="47"/>
      <c r="AE703" s="47"/>
      <c r="AF703" s="47"/>
      <c r="AG703" s="47"/>
      <c r="AH703" s="47" t="str">
        <f>IFERROR(_xlfn.XLOOKUP(Table6[[#This Row],[Suburb]],Table5[Travel Surcharge],Table5[$$]),"")</f>
        <v/>
      </c>
      <c r="AI703" s="47"/>
      <c r="AJ703" s="47"/>
      <c r="AL703" t="str">
        <v>Somerford Estate</v>
      </c>
    </row>
    <row r="704" spans="1:38">
      <c r="A704" s="374" t="s">
        <v>1426</v>
      </c>
      <c r="B704" s="374">
        <v>6</v>
      </c>
      <c r="C704" s="374" t="s">
        <v>1261</v>
      </c>
      <c r="D704" s="375" t="str">
        <f t="shared" si="143"/>
        <v>Bellevue Tops Estate6</v>
      </c>
      <c r="E704" s="375" t="s">
        <v>1434</v>
      </c>
      <c r="F704" s="375" t="s">
        <v>1428</v>
      </c>
      <c r="G704" s="375" t="s">
        <v>1429</v>
      </c>
      <c r="H704" s="375" t="s">
        <v>1430</v>
      </c>
      <c r="I704" s="63" t="s">
        <v>1431</v>
      </c>
      <c r="J704" s="47"/>
      <c r="K704" s="46" t="s">
        <v>10735</v>
      </c>
      <c r="L704" s="47">
        <f t="shared" si="151"/>
        <v>1210</v>
      </c>
      <c r="M704" s="47"/>
      <c r="N704" s="47"/>
      <c r="O704" s="47"/>
      <c r="P704" s="47"/>
      <c r="Q704" s="47"/>
      <c r="R704" s="47">
        <f t="shared" si="152"/>
        <v>540</v>
      </c>
      <c r="S704" s="47"/>
      <c r="T704" s="47"/>
      <c r="U704" s="47"/>
      <c r="V704" s="47"/>
      <c r="W704" s="47"/>
      <c r="X704" s="47"/>
      <c r="Y704" s="47"/>
      <c r="Z704" s="47">
        <f t="shared" si="150"/>
        <v>4620</v>
      </c>
      <c r="AA704" s="47"/>
      <c r="AB704" s="47"/>
      <c r="AC704" s="47"/>
      <c r="AD704" s="47"/>
      <c r="AE704" s="47"/>
      <c r="AF704" s="47"/>
      <c r="AG704" s="47"/>
      <c r="AH704" s="47" t="str">
        <f>IFERROR(_xlfn.XLOOKUP(Table6[[#This Row],[Suburb]],Table5[Travel Surcharge],Table5[$$]),"")</f>
        <v/>
      </c>
      <c r="AI704" s="47"/>
      <c r="AJ704" s="47"/>
      <c r="AL704" t="str">
        <v xml:space="preserve">Somerley Estate </v>
      </c>
    </row>
    <row r="705" spans="1:38">
      <c r="A705" s="374" t="s">
        <v>1426</v>
      </c>
      <c r="B705" s="374">
        <v>7</v>
      </c>
      <c r="C705" s="374" t="s">
        <v>1261</v>
      </c>
      <c r="D705" s="375" t="str">
        <f t="shared" si="143"/>
        <v>Bellevue Tops Estate7</v>
      </c>
      <c r="E705" s="375" t="s">
        <v>1435</v>
      </c>
      <c r="F705" s="375" t="s">
        <v>1428</v>
      </c>
      <c r="G705" s="375" t="s">
        <v>1429</v>
      </c>
      <c r="H705" s="375" t="s">
        <v>1430</v>
      </c>
      <c r="I705" s="63" t="s">
        <v>1431</v>
      </c>
      <c r="J705" s="47"/>
      <c r="K705" s="46" t="s">
        <v>10735</v>
      </c>
      <c r="L705" s="47">
        <f t="shared" si="151"/>
        <v>1210</v>
      </c>
      <c r="M705" s="47"/>
      <c r="N705" s="47"/>
      <c r="O705" s="47"/>
      <c r="P705" s="47"/>
      <c r="Q705" s="47"/>
      <c r="R705" s="47">
        <f t="shared" si="152"/>
        <v>540</v>
      </c>
      <c r="S705" s="47"/>
      <c r="T705" s="47"/>
      <c r="U705" s="47"/>
      <c r="V705" s="47"/>
      <c r="W705" s="47"/>
      <c r="X705" s="47"/>
      <c r="Y705" s="47"/>
      <c r="Z705" s="47">
        <f t="shared" si="150"/>
        <v>4620</v>
      </c>
      <c r="AA705" s="47"/>
      <c r="AB705" s="47"/>
      <c r="AC705" s="47"/>
      <c r="AD705" s="47"/>
      <c r="AE705" s="47"/>
      <c r="AF705" s="47"/>
      <c r="AG705" s="47"/>
      <c r="AH705" s="47" t="str">
        <f>IFERROR(_xlfn.XLOOKUP(Table6[[#This Row],[Suburb]],Table5[Travel Surcharge],Table5[$$]),"")</f>
        <v/>
      </c>
      <c r="AI705" s="47"/>
      <c r="AJ705" s="47"/>
      <c r="AL705" t="str">
        <v>Somers Estate</v>
      </c>
    </row>
    <row r="706" spans="1:38">
      <c r="A706" s="374" t="s">
        <v>1426</v>
      </c>
      <c r="B706" s="374">
        <v>8</v>
      </c>
      <c r="C706" s="374" t="s">
        <v>1261</v>
      </c>
      <c r="D706" s="375" t="str">
        <f t="shared" si="143"/>
        <v>Bellevue Tops Estate8</v>
      </c>
      <c r="E706" s="375" t="s">
        <v>1436</v>
      </c>
      <c r="F706" s="375" t="s">
        <v>1428</v>
      </c>
      <c r="G706" s="375" t="s">
        <v>1429</v>
      </c>
      <c r="H706" s="375" t="s">
        <v>1430</v>
      </c>
      <c r="I706" s="63" t="s">
        <v>1431</v>
      </c>
      <c r="J706" s="47"/>
      <c r="K706" s="46" t="s">
        <v>10735</v>
      </c>
      <c r="L706" s="47">
        <f t="shared" si="151"/>
        <v>1210</v>
      </c>
      <c r="M706" s="47"/>
      <c r="N706" s="47"/>
      <c r="O706" s="47"/>
      <c r="P706" s="47"/>
      <c r="Q706" s="47"/>
      <c r="R706" s="47">
        <f t="shared" si="152"/>
        <v>540</v>
      </c>
      <c r="S706" s="47"/>
      <c r="T706" s="47"/>
      <c r="U706" s="47"/>
      <c r="V706" s="47"/>
      <c r="W706" s="47"/>
      <c r="X706" s="47"/>
      <c r="Y706" s="47"/>
      <c r="Z706" s="47">
        <f t="shared" si="150"/>
        <v>4620</v>
      </c>
      <c r="AA706" s="47"/>
      <c r="AB706" s="47"/>
      <c r="AC706" s="47"/>
      <c r="AD706" s="47"/>
      <c r="AE706" s="47"/>
      <c r="AF706" s="47"/>
      <c r="AG706" s="47"/>
      <c r="AH706" s="47" t="str">
        <f>IFERROR(_xlfn.XLOOKUP(Table6[[#This Row],[Suburb]],Table5[Travel Surcharge],Table5[$$]),"")</f>
        <v/>
      </c>
      <c r="AI706" s="47"/>
      <c r="AJ706" s="47"/>
      <c r="AL706" t="str">
        <v>Somerset</v>
      </c>
    </row>
    <row r="707" spans="1:38">
      <c r="A707" s="374" t="s">
        <v>1426</v>
      </c>
      <c r="B707" s="374">
        <v>9</v>
      </c>
      <c r="C707" s="374" t="s">
        <v>1261</v>
      </c>
      <c r="D707" s="375" t="str">
        <f t="shared" si="143"/>
        <v>Bellevue Tops Estate9</v>
      </c>
      <c r="E707" s="375" t="s">
        <v>1437</v>
      </c>
      <c r="F707" s="375" t="s">
        <v>1428</v>
      </c>
      <c r="G707" s="375" t="s">
        <v>1429</v>
      </c>
      <c r="H707" s="375" t="s">
        <v>1430</v>
      </c>
      <c r="I707" s="63" t="s">
        <v>1431</v>
      </c>
      <c r="J707" s="47"/>
      <c r="K707" s="46" t="s">
        <v>10735</v>
      </c>
      <c r="L707" s="47">
        <f t="shared" si="151"/>
        <v>1210</v>
      </c>
      <c r="M707" s="47"/>
      <c r="N707" s="47"/>
      <c r="O707" s="47"/>
      <c r="P707" s="47"/>
      <c r="Q707" s="47"/>
      <c r="R707" s="47">
        <f t="shared" si="152"/>
        <v>540</v>
      </c>
      <c r="S707" s="47"/>
      <c r="T707" s="47"/>
      <c r="U707" s="47"/>
      <c r="V707" s="47"/>
      <c r="W707" s="47"/>
      <c r="X707" s="47"/>
      <c r="Y707" s="47"/>
      <c r="Z707" s="47">
        <f t="shared" si="150"/>
        <v>4620</v>
      </c>
      <c r="AA707" s="47"/>
      <c r="AB707" s="47"/>
      <c r="AC707" s="47"/>
      <c r="AD707" s="47"/>
      <c r="AE707" s="47"/>
      <c r="AF707" s="47"/>
      <c r="AG707" s="47"/>
      <c r="AH707" s="47" t="str">
        <f>IFERROR(_xlfn.XLOOKUP(Table6[[#This Row],[Suburb]],Table5[Travel Surcharge],Table5[$$]),"")</f>
        <v/>
      </c>
      <c r="AI707" s="47"/>
      <c r="AJ707" s="47"/>
      <c r="AL707" t="str">
        <v>Sommery Estate</v>
      </c>
    </row>
    <row r="708" spans="1:38">
      <c r="A708" s="374" t="s">
        <v>1438</v>
      </c>
      <c r="B708" s="374">
        <v>4</v>
      </c>
      <c r="C708" s="374" t="s">
        <v>1042</v>
      </c>
      <c r="D708" s="375" t="str">
        <f t="shared" si="143"/>
        <v>Belmond Estate4</v>
      </c>
      <c r="E708" s="375" t="s">
        <v>1439</v>
      </c>
      <c r="F708" s="375" t="s">
        <v>1440</v>
      </c>
      <c r="G708" s="375" t="s">
        <v>1441</v>
      </c>
      <c r="H708" s="375" t="s">
        <v>1442</v>
      </c>
      <c r="I708" s="63" t="s">
        <v>1443</v>
      </c>
      <c r="J708" s="47">
        <f t="shared" ref="J708:J729" si="153">J$7</f>
        <v>3740</v>
      </c>
      <c r="K708" s="46" t="s">
        <v>10735</v>
      </c>
      <c r="L708" s="47"/>
      <c r="M708" s="47">
        <f t="shared" ref="M708:M722" si="154">M$7</f>
        <v>1430.0000000000002</v>
      </c>
      <c r="N708" s="47"/>
      <c r="O708" s="47"/>
      <c r="P708" s="47" t="s">
        <v>1444</v>
      </c>
      <c r="Q708" s="47"/>
      <c r="R708" s="47"/>
      <c r="S708" s="47"/>
      <c r="T708" s="47">
        <f t="shared" ref="T708:T722" si="155">T$2</f>
        <v>780</v>
      </c>
      <c r="U708" s="47"/>
      <c r="V708" s="47"/>
      <c r="W708" s="47"/>
      <c r="X708" s="47"/>
      <c r="Y708" s="47"/>
      <c r="Z708" s="47">
        <f t="shared" si="150"/>
        <v>4620</v>
      </c>
      <c r="AA708" s="47">
        <f t="shared" ref="AA708:AA722" si="156">$AA$7</f>
        <v>1400</v>
      </c>
      <c r="AB708" s="47"/>
      <c r="AC708" s="47"/>
      <c r="AD708" s="47"/>
      <c r="AE708" s="47"/>
      <c r="AF708" s="47"/>
      <c r="AG708" s="47"/>
      <c r="AH708" s="47" t="str">
        <f>IFERROR(_xlfn.XLOOKUP(Table6[[#This Row],[Suburb]],Table5[Travel Surcharge],Table5[$$]),"")</f>
        <v/>
      </c>
      <c r="AI708" s="47"/>
      <c r="AJ708" s="47"/>
      <c r="AL708" t="str">
        <v>South East Residence</v>
      </c>
    </row>
    <row r="709" spans="1:38">
      <c r="A709" s="374" t="s">
        <v>1438</v>
      </c>
      <c r="B709" s="374">
        <v>5</v>
      </c>
      <c r="C709" s="374" t="s">
        <v>1042</v>
      </c>
      <c r="D709" s="375" t="str">
        <f t="shared" si="143"/>
        <v>Belmond Estate5</v>
      </c>
      <c r="E709" s="375" t="s">
        <v>1445</v>
      </c>
      <c r="F709" s="375" t="s">
        <v>1440</v>
      </c>
      <c r="G709" s="375" t="s">
        <v>1441</v>
      </c>
      <c r="H709" s="375" t="s">
        <v>1442</v>
      </c>
      <c r="I709" s="63" t="s">
        <v>1443</v>
      </c>
      <c r="J709" s="47">
        <f t="shared" si="153"/>
        <v>3740</v>
      </c>
      <c r="K709" s="46" t="s">
        <v>10735</v>
      </c>
      <c r="L709" s="47"/>
      <c r="M709" s="47">
        <f t="shared" si="154"/>
        <v>1430.0000000000002</v>
      </c>
      <c r="N709" s="47"/>
      <c r="O709" s="47"/>
      <c r="P709" s="47" t="s">
        <v>1444</v>
      </c>
      <c r="Q709" s="47"/>
      <c r="R709" s="47"/>
      <c r="S709" s="47"/>
      <c r="T709" s="47">
        <f t="shared" si="155"/>
        <v>780</v>
      </c>
      <c r="U709" s="47"/>
      <c r="V709" s="47"/>
      <c r="W709" s="47"/>
      <c r="X709" s="47"/>
      <c r="Y709" s="47"/>
      <c r="Z709" s="47">
        <f t="shared" si="150"/>
        <v>4620</v>
      </c>
      <c r="AA709" s="47">
        <f t="shared" si="156"/>
        <v>1400</v>
      </c>
      <c r="AB709" s="47"/>
      <c r="AC709" s="47"/>
      <c r="AD709" s="47"/>
      <c r="AE709" s="47"/>
      <c r="AF709" s="47"/>
      <c r="AG709" s="47"/>
      <c r="AH709" s="47" t="str">
        <f>IFERROR(_xlfn.XLOOKUP(Table6[[#This Row],[Suburb]],Table5[Travel Surcharge],Table5[$$]),"")</f>
        <v/>
      </c>
      <c r="AI709" s="47"/>
      <c r="AJ709" s="47"/>
      <c r="AL709" t="str">
        <v>South Siding Estate</v>
      </c>
    </row>
    <row r="710" spans="1:38">
      <c r="A710" s="374" t="s">
        <v>1438</v>
      </c>
      <c r="B710" s="374">
        <v>6</v>
      </c>
      <c r="C710" s="374" t="s">
        <v>1042</v>
      </c>
      <c r="D710" s="375" t="str">
        <f t="shared" si="143"/>
        <v>Belmond Estate6</v>
      </c>
      <c r="E710" s="375" t="s">
        <v>1446</v>
      </c>
      <c r="F710" s="375" t="s">
        <v>1440</v>
      </c>
      <c r="G710" s="375" t="s">
        <v>1441</v>
      </c>
      <c r="H710" s="375" t="s">
        <v>1442</v>
      </c>
      <c r="I710" s="63" t="s">
        <v>1443</v>
      </c>
      <c r="J710" s="47">
        <f t="shared" si="153"/>
        <v>3740</v>
      </c>
      <c r="K710" s="46" t="s">
        <v>10735</v>
      </c>
      <c r="L710" s="47"/>
      <c r="M710" s="47">
        <f t="shared" si="154"/>
        <v>1430.0000000000002</v>
      </c>
      <c r="N710" s="47"/>
      <c r="O710" s="47"/>
      <c r="P710" s="47" t="s">
        <v>1444</v>
      </c>
      <c r="Q710" s="47"/>
      <c r="R710" s="47"/>
      <c r="S710" s="47"/>
      <c r="T710" s="47">
        <f t="shared" si="155"/>
        <v>780</v>
      </c>
      <c r="U710" s="47"/>
      <c r="V710" s="47"/>
      <c r="W710" s="47"/>
      <c r="X710" s="47"/>
      <c r="Y710" s="47"/>
      <c r="Z710" s="47">
        <f t="shared" si="150"/>
        <v>4620</v>
      </c>
      <c r="AA710" s="47">
        <f t="shared" si="156"/>
        <v>1400</v>
      </c>
      <c r="AB710" s="47"/>
      <c r="AC710" s="47"/>
      <c r="AD710" s="47"/>
      <c r="AE710" s="47"/>
      <c r="AF710" s="47"/>
      <c r="AG710" s="47"/>
      <c r="AH710" s="47" t="str">
        <f>IFERROR(_xlfn.XLOOKUP(Table6[[#This Row],[Suburb]],Table5[Travel Surcharge],Table5[$$]),"")</f>
        <v/>
      </c>
      <c r="AI710" s="47"/>
      <c r="AJ710" s="47"/>
      <c r="AL710" t="str">
        <v>Sovereign Rose Estate</v>
      </c>
    </row>
    <row r="711" spans="1:38">
      <c r="A711" s="374" t="s">
        <v>1438</v>
      </c>
      <c r="B711" s="374">
        <v>8</v>
      </c>
      <c r="C711" s="374" t="s">
        <v>1042</v>
      </c>
      <c r="D711" s="375" t="str">
        <f t="shared" si="143"/>
        <v>Belmond Estate8</v>
      </c>
      <c r="E711" s="375" t="s">
        <v>1447</v>
      </c>
      <c r="F711" s="375" t="s">
        <v>1440</v>
      </c>
      <c r="G711" s="375" t="s">
        <v>1441</v>
      </c>
      <c r="H711" s="375" t="s">
        <v>1442</v>
      </c>
      <c r="I711" s="63" t="s">
        <v>1443</v>
      </c>
      <c r="J711" s="47">
        <f t="shared" si="153"/>
        <v>3740</v>
      </c>
      <c r="K711" s="46" t="s">
        <v>10735</v>
      </c>
      <c r="L711" s="47"/>
      <c r="M711" s="47">
        <f t="shared" si="154"/>
        <v>1430.0000000000002</v>
      </c>
      <c r="N711" s="47"/>
      <c r="O711" s="47"/>
      <c r="P711" s="47" t="s">
        <v>1444</v>
      </c>
      <c r="Q711" s="47"/>
      <c r="R711" s="47"/>
      <c r="S711" s="47"/>
      <c r="T711" s="47">
        <f t="shared" si="155"/>
        <v>780</v>
      </c>
      <c r="U711" s="47"/>
      <c r="V711" s="47"/>
      <c r="W711" s="47"/>
      <c r="X711" s="47"/>
      <c r="Y711" s="47"/>
      <c r="Z711" s="47">
        <f t="shared" si="150"/>
        <v>4620</v>
      </c>
      <c r="AA711" s="47">
        <f t="shared" si="156"/>
        <v>1400</v>
      </c>
      <c r="AB711" s="47"/>
      <c r="AC711" s="47"/>
      <c r="AD711" s="47"/>
      <c r="AE711" s="47"/>
      <c r="AF711" s="47"/>
      <c r="AG711" s="47"/>
      <c r="AH711" s="47" t="str">
        <f>IFERROR(_xlfn.XLOOKUP(Table6[[#This Row],[Suburb]],Table5[Travel Surcharge],Table5[$$]),"")</f>
        <v/>
      </c>
      <c r="AI711" s="47"/>
      <c r="AJ711" s="47"/>
      <c r="AL711" t="str">
        <v>Soverign Estate</v>
      </c>
    </row>
    <row r="712" spans="1:38">
      <c r="A712" s="374" t="s">
        <v>1438</v>
      </c>
      <c r="B712" s="374">
        <v>9</v>
      </c>
      <c r="C712" s="374" t="s">
        <v>1042</v>
      </c>
      <c r="D712" s="375" t="str">
        <f t="shared" si="143"/>
        <v>Belmond Estate9</v>
      </c>
      <c r="E712" s="375" t="s">
        <v>1448</v>
      </c>
      <c r="F712" s="375" t="s">
        <v>1440</v>
      </c>
      <c r="G712" s="375" t="s">
        <v>1441</v>
      </c>
      <c r="H712" s="375" t="s">
        <v>1442</v>
      </c>
      <c r="I712" s="63" t="s">
        <v>1443</v>
      </c>
      <c r="J712" s="47">
        <f t="shared" si="153"/>
        <v>3740</v>
      </c>
      <c r="K712" s="46" t="s">
        <v>10735</v>
      </c>
      <c r="L712" s="47"/>
      <c r="M712" s="47">
        <f t="shared" si="154"/>
        <v>1430.0000000000002</v>
      </c>
      <c r="N712" s="47"/>
      <c r="O712" s="47"/>
      <c r="P712" s="47" t="s">
        <v>1444</v>
      </c>
      <c r="Q712" s="47"/>
      <c r="R712" s="47"/>
      <c r="S712" s="47"/>
      <c r="T712" s="47">
        <f t="shared" si="155"/>
        <v>780</v>
      </c>
      <c r="U712" s="47"/>
      <c r="V712" s="47"/>
      <c r="W712" s="47"/>
      <c r="X712" s="47"/>
      <c r="Y712" s="47"/>
      <c r="Z712" s="47">
        <f t="shared" si="150"/>
        <v>4620</v>
      </c>
      <c r="AA712" s="47">
        <f t="shared" si="156"/>
        <v>1400</v>
      </c>
      <c r="AB712" s="47"/>
      <c r="AC712" s="47"/>
      <c r="AD712" s="47"/>
      <c r="AE712" s="47"/>
      <c r="AF712" s="47"/>
      <c r="AG712" s="47"/>
      <c r="AH712" s="47" t="str">
        <f>IFERROR(_xlfn.XLOOKUP(Table6[[#This Row],[Suburb]],Table5[Travel Surcharge],Table5[$$]),"")</f>
        <v/>
      </c>
      <c r="AI712" s="47"/>
      <c r="AJ712" s="47"/>
      <c r="AL712" t="str">
        <v>Spindrift Estate</v>
      </c>
    </row>
    <row r="713" spans="1:38">
      <c r="A713" s="374" t="s">
        <v>1438</v>
      </c>
      <c r="B713" s="374">
        <v>10</v>
      </c>
      <c r="C713" s="374" t="s">
        <v>1042</v>
      </c>
      <c r="D713" s="375" t="str">
        <f t="shared" si="143"/>
        <v>Belmond Estate10</v>
      </c>
      <c r="E713" s="375" t="s">
        <v>1449</v>
      </c>
      <c r="F713" s="375" t="s">
        <v>1440</v>
      </c>
      <c r="G713" s="375" t="s">
        <v>1441</v>
      </c>
      <c r="H713" s="375" t="s">
        <v>1442</v>
      </c>
      <c r="I713" s="63" t="s">
        <v>1443</v>
      </c>
      <c r="J713" s="47">
        <f t="shared" si="153"/>
        <v>3740</v>
      </c>
      <c r="K713" s="46" t="s">
        <v>10735</v>
      </c>
      <c r="L713" s="47"/>
      <c r="M713" s="47">
        <f t="shared" si="154"/>
        <v>1430.0000000000002</v>
      </c>
      <c r="N713" s="47"/>
      <c r="O713" s="47"/>
      <c r="P713" s="47" t="s">
        <v>1444</v>
      </c>
      <c r="Q713" s="47"/>
      <c r="R713" s="47"/>
      <c r="S713" s="47"/>
      <c r="T713" s="47">
        <f t="shared" si="155"/>
        <v>780</v>
      </c>
      <c r="U713" s="47"/>
      <c r="V713" s="47"/>
      <c r="W713" s="47"/>
      <c r="X713" s="47"/>
      <c r="Y713" s="47"/>
      <c r="Z713" s="47">
        <f t="shared" si="150"/>
        <v>4620</v>
      </c>
      <c r="AA713" s="47">
        <f t="shared" si="156"/>
        <v>1400</v>
      </c>
      <c r="AB713" s="47"/>
      <c r="AC713" s="47"/>
      <c r="AD713" s="47"/>
      <c r="AE713" s="47"/>
      <c r="AF713" s="47"/>
      <c r="AG713" s="47"/>
      <c r="AH713" s="47" t="str">
        <f>IFERROR(_xlfn.XLOOKUP(Table6[[#This Row],[Suburb]],Table5[Travel Surcharge],Table5[$$]),"")</f>
        <v/>
      </c>
      <c r="AI713" s="47"/>
      <c r="AJ713" s="47"/>
      <c r="AL713" t="str">
        <v>Springlands</v>
      </c>
    </row>
    <row r="714" spans="1:38">
      <c r="A714" s="374" t="s">
        <v>1438</v>
      </c>
      <c r="B714" s="374">
        <v>11</v>
      </c>
      <c r="C714" s="374" t="s">
        <v>1042</v>
      </c>
      <c r="D714" s="375" t="str">
        <f t="shared" si="143"/>
        <v>Belmond Estate11</v>
      </c>
      <c r="E714" s="375" t="s">
        <v>1450</v>
      </c>
      <c r="F714" s="375" t="s">
        <v>1440</v>
      </c>
      <c r="G714" s="375" t="s">
        <v>1441</v>
      </c>
      <c r="H714" s="375" t="s">
        <v>1442</v>
      </c>
      <c r="I714" s="63" t="s">
        <v>1443</v>
      </c>
      <c r="J714" s="47">
        <f t="shared" si="153"/>
        <v>3740</v>
      </c>
      <c r="K714" s="46" t="s">
        <v>10735</v>
      </c>
      <c r="L714" s="47"/>
      <c r="M714" s="47">
        <f t="shared" si="154"/>
        <v>1430.0000000000002</v>
      </c>
      <c r="N714" s="47"/>
      <c r="O714" s="47"/>
      <c r="P714" s="47" t="s">
        <v>1444</v>
      </c>
      <c r="Q714" s="47"/>
      <c r="R714" s="47"/>
      <c r="S714" s="47"/>
      <c r="T714" s="47">
        <f t="shared" si="155"/>
        <v>780</v>
      </c>
      <c r="U714" s="47"/>
      <c r="V714" s="47"/>
      <c r="W714" s="47"/>
      <c r="X714" s="47"/>
      <c r="Y714" s="47"/>
      <c r="Z714" s="47">
        <f t="shared" si="150"/>
        <v>4620</v>
      </c>
      <c r="AA714" s="47">
        <f t="shared" si="156"/>
        <v>1400</v>
      </c>
      <c r="AB714" s="47"/>
      <c r="AC714" s="47"/>
      <c r="AD714" s="47"/>
      <c r="AE714" s="47"/>
      <c r="AF714" s="47"/>
      <c r="AG714" s="47"/>
      <c r="AH714" s="47" t="str">
        <f>IFERROR(_xlfn.XLOOKUP(Table6[[#This Row],[Suburb]],Table5[Travel Surcharge],Table5[$$]),"")</f>
        <v/>
      </c>
      <c r="AI714" s="47"/>
      <c r="AJ714" s="47"/>
      <c r="AL714" t="str">
        <v>Springridge Estate</v>
      </c>
    </row>
    <row r="715" spans="1:38">
      <c r="A715" s="374" t="s">
        <v>1438</v>
      </c>
      <c r="B715" s="374">
        <v>12</v>
      </c>
      <c r="C715" s="374" t="s">
        <v>1042</v>
      </c>
      <c r="D715" s="375" t="str">
        <f t="shared" si="143"/>
        <v>Belmond Estate12</v>
      </c>
      <c r="E715" s="375" t="s">
        <v>1451</v>
      </c>
      <c r="F715" s="375" t="s">
        <v>1440</v>
      </c>
      <c r="G715" s="375" t="s">
        <v>1441</v>
      </c>
      <c r="H715" s="375" t="s">
        <v>1442</v>
      </c>
      <c r="I715" s="63" t="s">
        <v>1443</v>
      </c>
      <c r="J715" s="47">
        <f t="shared" si="153"/>
        <v>3740</v>
      </c>
      <c r="K715" s="46" t="s">
        <v>10735</v>
      </c>
      <c r="L715" s="47"/>
      <c r="M715" s="47">
        <f t="shared" si="154"/>
        <v>1430.0000000000002</v>
      </c>
      <c r="N715" s="47"/>
      <c r="O715" s="47"/>
      <c r="P715" s="47" t="s">
        <v>1444</v>
      </c>
      <c r="Q715" s="47"/>
      <c r="R715" s="47"/>
      <c r="S715" s="47"/>
      <c r="T715" s="47">
        <f t="shared" si="155"/>
        <v>780</v>
      </c>
      <c r="U715" s="47"/>
      <c r="V715" s="47"/>
      <c r="W715" s="47"/>
      <c r="X715" s="47"/>
      <c r="Y715" s="47"/>
      <c r="Z715" s="47">
        <f t="shared" si="150"/>
        <v>4620</v>
      </c>
      <c r="AA715" s="47">
        <f t="shared" si="156"/>
        <v>1400</v>
      </c>
      <c r="AB715" s="47"/>
      <c r="AC715" s="47"/>
      <c r="AD715" s="47"/>
      <c r="AE715" s="47"/>
      <c r="AF715" s="47"/>
      <c r="AG715" s="47"/>
      <c r="AH715" s="47" t="str">
        <f>IFERROR(_xlfn.XLOOKUP(Table6[[#This Row],[Suburb]],Table5[Travel Surcharge],Table5[$$]),"")</f>
        <v/>
      </c>
      <c r="AI715" s="47"/>
      <c r="AJ715" s="47"/>
      <c r="AL715" t="str">
        <v>St Andrews Field Estate</v>
      </c>
    </row>
    <row r="716" spans="1:38">
      <c r="A716" s="374" t="s">
        <v>1438</v>
      </c>
      <c r="B716" s="374">
        <v>13</v>
      </c>
      <c r="C716" s="374" t="s">
        <v>1042</v>
      </c>
      <c r="D716" s="375" t="str">
        <f t="shared" si="143"/>
        <v>Belmond Estate13</v>
      </c>
      <c r="E716" s="375" t="s">
        <v>1452</v>
      </c>
      <c r="F716" s="375" t="s">
        <v>1440</v>
      </c>
      <c r="G716" s="375" t="s">
        <v>1441</v>
      </c>
      <c r="H716" s="375" t="s">
        <v>1442</v>
      </c>
      <c r="I716" s="63" t="s">
        <v>1443</v>
      </c>
      <c r="J716" s="47">
        <f t="shared" si="153"/>
        <v>3740</v>
      </c>
      <c r="K716" s="46" t="s">
        <v>10735</v>
      </c>
      <c r="L716" s="47"/>
      <c r="M716" s="47">
        <f t="shared" si="154"/>
        <v>1430.0000000000002</v>
      </c>
      <c r="N716" s="47"/>
      <c r="O716" s="47"/>
      <c r="P716" s="47" t="s">
        <v>1444</v>
      </c>
      <c r="Q716" s="47"/>
      <c r="R716" s="47"/>
      <c r="S716" s="47"/>
      <c r="T716" s="47">
        <f t="shared" si="155"/>
        <v>780</v>
      </c>
      <c r="U716" s="47"/>
      <c r="V716" s="47"/>
      <c r="W716" s="47"/>
      <c r="X716" s="47"/>
      <c r="Y716" s="47"/>
      <c r="Z716" s="47">
        <f t="shared" si="150"/>
        <v>4620</v>
      </c>
      <c r="AA716" s="47">
        <f t="shared" si="156"/>
        <v>1400</v>
      </c>
      <c r="AB716" s="47"/>
      <c r="AC716" s="47"/>
      <c r="AD716" s="47"/>
      <c r="AE716" s="47"/>
      <c r="AF716" s="47"/>
      <c r="AG716" s="47"/>
      <c r="AH716" s="47" t="str">
        <f>IFERROR(_xlfn.XLOOKUP(Table6[[#This Row],[Suburb]],Table5[Travel Surcharge],Table5[$$]),"")</f>
        <v/>
      </c>
      <c r="AI716" s="47"/>
      <c r="AJ716" s="47"/>
      <c r="AL716" t="str">
        <v>St Genevieve Estate</v>
      </c>
    </row>
    <row r="717" spans="1:38">
      <c r="A717" s="374" t="s">
        <v>1438</v>
      </c>
      <c r="B717" s="374">
        <v>14</v>
      </c>
      <c r="C717" s="374" t="s">
        <v>1042</v>
      </c>
      <c r="D717" s="375" t="str">
        <f t="shared" ref="D717:D785" si="157">CONCATENATE(A717,B717)</f>
        <v>Belmond Estate14</v>
      </c>
      <c r="E717" s="375" t="s">
        <v>1453</v>
      </c>
      <c r="F717" s="375" t="s">
        <v>1440</v>
      </c>
      <c r="G717" s="375" t="s">
        <v>1441</v>
      </c>
      <c r="H717" s="375" t="s">
        <v>1442</v>
      </c>
      <c r="I717" s="63" t="s">
        <v>1443</v>
      </c>
      <c r="J717" s="47">
        <f t="shared" si="153"/>
        <v>3740</v>
      </c>
      <c r="K717" s="46" t="s">
        <v>10735</v>
      </c>
      <c r="L717" s="47"/>
      <c r="M717" s="47">
        <f t="shared" si="154"/>
        <v>1430.0000000000002</v>
      </c>
      <c r="N717" s="47"/>
      <c r="O717" s="47"/>
      <c r="P717" s="47" t="s">
        <v>1444</v>
      </c>
      <c r="Q717" s="47"/>
      <c r="R717" s="47"/>
      <c r="S717" s="47"/>
      <c r="T717" s="47">
        <f t="shared" si="155"/>
        <v>780</v>
      </c>
      <c r="U717" s="47"/>
      <c r="V717" s="47"/>
      <c r="W717" s="47"/>
      <c r="X717" s="47"/>
      <c r="Y717" s="47"/>
      <c r="Z717" s="47">
        <f t="shared" si="150"/>
        <v>4620</v>
      </c>
      <c r="AA717" s="47">
        <f t="shared" si="156"/>
        <v>1400</v>
      </c>
      <c r="AB717" s="47"/>
      <c r="AC717" s="47"/>
      <c r="AD717" s="47"/>
      <c r="AE717" s="47"/>
      <c r="AF717" s="47"/>
      <c r="AG717" s="47"/>
      <c r="AH717" s="47" t="str">
        <f>IFERROR(_xlfn.XLOOKUP(Table6[[#This Row],[Suburb]],Table5[Travel Surcharge],Table5[$$]),"")</f>
        <v/>
      </c>
      <c r="AI717" s="47"/>
      <c r="AJ717" s="47"/>
      <c r="AL717" t="str">
        <v>St Germain Estate</v>
      </c>
    </row>
    <row r="718" spans="1:38">
      <c r="A718" s="374" t="s">
        <v>1438</v>
      </c>
      <c r="B718" s="374">
        <v>15</v>
      </c>
      <c r="C718" s="374" t="s">
        <v>1042</v>
      </c>
      <c r="D718" s="375" t="str">
        <f t="shared" si="157"/>
        <v>Belmond Estate15</v>
      </c>
      <c r="E718" s="375" t="s">
        <v>1454</v>
      </c>
      <c r="F718" s="375" t="s">
        <v>1440</v>
      </c>
      <c r="G718" s="375" t="s">
        <v>1441</v>
      </c>
      <c r="H718" s="375" t="s">
        <v>1442</v>
      </c>
      <c r="I718" s="63" t="s">
        <v>1443</v>
      </c>
      <c r="J718" s="47">
        <f t="shared" si="153"/>
        <v>3740</v>
      </c>
      <c r="K718" s="46" t="s">
        <v>10735</v>
      </c>
      <c r="L718" s="47"/>
      <c r="M718" s="47">
        <f t="shared" si="154"/>
        <v>1430.0000000000002</v>
      </c>
      <c r="N718" s="47"/>
      <c r="O718" s="47"/>
      <c r="P718" s="47" t="s">
        <v>1444</v>
      </c>
      <c r="Q718" s="47"/>
      <c r="R718" s="47"/>
      <c r="S718" s="47"/>
      <c r="T718" s="47">
        <f t="shared" si="155"/>
        <v>780</v>
      </c>
      <c r="U718" s="47"/>
      <c r="V718" s="47"/>
      <c r="W718" s="47"/>
      <c r="X718" s="47"/>
      <c r="Y718" s="47"/>
      <c r="Z718" s="47">
        <f t="shared" si="150"/>
        <v>4620</v>
      </c>
      <c r="AA718" s="47">
        <f t="shared" si="156"/>
        <v>1400</v>
      </c>
      <c r="AB718" s="47"/>
      <c r="AC718" s="47"/>
      <c r="AD718" s="47"/>
      <c r="AE718" s="47"/>
      <c r="AF718" s="47"/>
      <c r="AG718" s="47"/>
      <c r="AH718" s="47" t="str">
        <f>IFERROR(_xlfn.XLOOKUP(Table6[[#This Row],[Suburb]],Table5[Travel Surcharge],Table5[$$]),"")</f>
        <v/>
      </c>
      <c r="AI718" s="47"/>
      <c r="AJ718" s="47"/>
      <c r="AL718" t="str">
        <v>St Ronan</v>
      </c>
    </row>
    <row r="719" spans="1:38">
      <c r="A719" s="374" t="s">
        <v>1438</v>
      </c>
      <c r="B719" s="374">
        <v>17</v>
      </c>
      <c r="C719" s="374" t="s">
        <v>1042</v>
      </c>
      <c r="D719" s="375" t="str">
        <f t="shared" si="157"/>
        <v>Belmond Estate17</v>
      </c>
      <c r="E719" s="375" t="s">
        <v>1455</v>
      </c>
      <c r="F719" s="375" t="s">
        <v>1440</v>
      </c>
      <c r="G719" s="375" t="s">
        <v>1441</v>
      </c>
      <c r="H719" s="375" t="s">
        <v>1442</v>
      </c>
      <c r="I719" s="63" t="s">
        <v>1443</v>
      </c>
      <c r="J719" s="47">
        <f t="shared" si="153"/>
        <v>3740</v>
      </c>
      <c r="K719" s="46" t="s">
        <v>10735</v>
      </c>
      <c r="L719" s="47"/>
      <c r="M719" s="47">
        <f t="shared" si="154"/>
        <v>1430.0000000000002</v>
      </c>
      <c r="N719" s="47"/>
      <c r="O719" s="47"/>
      <c r="P719" s="47" t="s">
        <v>1444</v>
      </c>
      <c r="Q719" s="47"/>
      <c r="R719" s="47"/>
      <c r="S719" s="47"/>
      <c r="T719" s="47">
        <f t="shared" si="155"/>
        <v>780</v>
      </c>
      <c r="U719" s="47"/>
      <c r="V719" s="47"/>
      <c r="W719" s="47"/>
      <c r="X719" s="47"/>
      <c r="Y719" s="47"/>
      <c r="Z719" s="47">
        <f t="shared" si="150"/>
        <v>4620</v>
      </c>
      <c r="AA719" s="47">
        <f t="shared" si="156"/>
        <v>1400</v>
      </c>
      <c r="AB719" s="47"/>
      <c r="AC719" s="47"/>
      <c r="AD719" s="47"/>
      <c r="AE719" s="47"/>
      <c r="AF719" s="47"/>
      <c r="AG719" s="47"/>
      <c r="AH719" s="47" t="str">
        <f>IFERROR(_xlfn.XLOOKUP(Table6[[#This Row],[Suburb]],Table5[Travel Surcharge],Table5[$$]),"")</f>
        <v/>
      </c>
      <c r="AI719" s="47"/>
      <c r="AJ719" s="47"/>
      <c r="AL719" t="str">
        <v xml:space="preserve">Stadio United </v>
      </c>
    </row>
    <row r="720" spans="1:38">
      <c r="A720" s="374" t="s">
        <v>1438</v>
      </c>
      <c r="B720" s="374">
        <v>18</v>
      </c>
      <c r="C720" s="374" t="s">
        <v>1042</v>
      </c>
      <c r="D720" s="375" t="str">
        <f t="shared" si="157"/>
        <v>Belmond Estate18</v>
      </c>
      <c r="E720" s="375" t="s">
        <v>1456</v>
      </c>
      <c r="F720" s="375" t="s">
        <v>1440</v>
      </c>
      <c r="G720" s="375" t="s">
        <v>1441</v>
      </c>
      <c r="H720" s="375" t="s">
        <v>1442</v>
      </c>
      <c r="I720" s="63" t="s">
        <v>1443</v>
      </c>
      <c r="J720" s="47">
        <f t="shared" si="153"/>
        <v>3740</v>
      </c>
      <c r="K720" s="46" t="s">
        <v>10735</v>
      </c>
      <c r="L720" s="47"/>
      <c r="M720" s="47">
        <f t="shared" si="154"/>
        <v>1430.0000000000002</v>
      </c>
      <c r="N720" s="47"/>
      <c r="O720" s="47"/>
      <c r="P720" s="47" t="s">
        <v>1444</v>
      </c>
      <c r="Q720" s="47"/>
      <c r="R720" s="47"/>
      <c r="S720" s="47"/>
      <c r="T720" s="47">
        <f t="shared" si="155"/>
        <v>780</v>
      </c>
      <c r="U720" s="47"/>
      <c r="V720" s="47"/>
      <c r="W720" s="47"/>
      <c r="X720" s="47"/>
      <c r="Y720" s="47"/>
      <c r="Z720" s="47">
        <f t="shared" si="150"/>
        <v>4620</v>
      </c>
      <c r="AA720" s="47">
        <f t="shared" si="156"/>
        <v>1400</v>
      </c>
      <c r="AB720" s="47"/>
      <c r="AC720" s="47"/>
      <c r="AD720" s="47"/>
      <c r="AE720" s="47"/>
      <c r="AF720" s="47"/>
      <c r="AG720" s="47"/>
      <c r="AH720" s="47" t="str">
        <f>IFERROR(_xlfn.XLOOKUP(Table6[[#This Row],[Suburb]],Table5[Travel Surcharge],Table5[$$]),"")</f>
        <v/>
      </c>
      <c r="AI720" s="47"/>
      <c r="AJ720" s="47"/>
      <c r="AL720" t="str">
        <v>Starling Estate</v>
      </c>
    </row>
    <row r="721" spans="1:38">
      <c r="A721" s="374" t="s">
        <v>1438</v>
      </c>
      <c r="B721" s="374">
        <v>19</v>
      </c>
      <c r="C721" s="374" t="s">
        <v>1042</v>
      </c>
      <c r="D721" s="375" t="str">
        <f t="shared" si="157"/>
        <v>Belmond Estate19</v>
      </c>
      <c r="E721" s="375" t="s">
        <v>1457</v>
      </c>
      <c r="F721" s="375" t="s">
        <v>1440</v>
      </c>
      <c r="G721" s="375" t="s">
        <v>1441</v>
      </c>
      <c r="H721" s="375" t="s">
        <v>1442</v>
      </c>
      <c r="I721" s="63" t="s">
        <v>1443</v>
      </c>
      <c r="J721" s="47">
        <f t="shared" si="153"/>
        <v>3740</v>
      </c>
      <c r="K721" s="46" t="s">
        <v>10735</v>
      </c>
      <c r="L721" s="47"/>
      <c r="M721" s="47">
        <f t="shared" si="154"/>
        <v>1430.0000000000002</v>
      </c>
      <c r="N721" s="47"/>
      <c r="O721" s="47"/>
      <c r="P721" s="47" t="s">
        <v>1444</v>
      </c>
      <c r="Q721" s="47"/>
      <c r="R721" s="47"/>
      <c r="S721" s="47"/>
      <c r="T721" s="47">
        <f t="shared" si="155"/>
        <v>780</v>
      </c>
      <c r="U721" s="47"/>
      <c r="V721" s="47"/>
      <c r="W721" s="47"/>
      <c r="X721" s="47"/>
      <c r="Y721" s="47"/>
      <c r="Z721" s="47">
        <f t="shared" si="150"/>
        <v>4620</v>
      </c>
      <c r="AA721" s="47">
        <f t="shared" si="156"/>
        <v>1400</v>
      </c>
      <c r="AB721" s="47"/>
      <c r="AC721" s="47"/>
      <c r="AD721" s="47"/>
      <c r="AE721" s="47"/>
      <c r="AF721" s="47"/>
      <c r="AG721" s="47"/>
      <c r="AH721" s="47" t="str">
        <f>IFERROR(_xlfn.XLOOKUP(Table6[[#This Row],[Suburb]],Table5[Travel Surcharge],Table5[$$]),"")</f>
        <v/>
      </c>
      <c r="AI721" s="47"/>
      <c r="AJ721" s="47"/>
      <c r="AL721" t="str">
        <v xml:space="preserve">Stockman Wood </v>
      </c>
    </row>
    <row r="722" spans="1:38">
      <c r="A722" s="374" t="s">
        <v>1438</v>
      </c>
      <c r="B722" s="374" t="s">
        <v>1458</v>
      </c>
      <c r="C722" s="374" t="s">
        <v>1042</v>
      </c>
      <c r="D722" s="375" t="str">
        <f t="shared" si="157"/>
        <v>Belmond Estate16B</v>
      </c>
      <c r="E722" s="375" t="s">
        <v>1459</v>
      </c>
      <c r="F722" s="375" t="s">
        <v>1440</v>
      </c>
      <c r="G722" s="375" t="s">
        <v>1441</v>
      </c>
      <c r="H722" s="375" t="s">
        <v>1442</v>
      </c>
      <c r="I722" s="63" t="s">
        <v>1443</v>
      </c>
      <c r="J722" s="47">
        <f t="shared" si="153"/>
        <v>3740</v>
      </c>
      <c r="K722" s="46" t="s">
        <v>10735</v>
      </c>
      <c r="L722" s="47"/>
      <c r="M722" s="47">
        <f t="shared" si="154"/>
        <v>1430.0000000000002</v>
      </c>
      <c r="N722" s="47"/>
      <c r="O722" s="47"/>
      <c r="P722" s="47" t="s">
        <v>1444</v>
      </c>
      <c r="Q722" s="47"/>
      <c r="R722" s="47"/>
      <c r="S722" s="47"/>
      <c r="T722" s="47">
        <f t="shared" si="155"/>
        <v>780</v>
      </c>
      <c r="U722" s="47"/>
      <c r="V722" s="47"/>
      <c r="W722" s="47"/>
      <c r="X722" s="47"/>
      <c r="Y722" s="47"/>
      <c r="Z722" s="47">
        <f t="shared" si="150"/>
        <v>4620</v>
      </c>
      <c r="AA722" s="47">
        <f t="shared" si="156"/>
        <v>1400</v>
      </c>
      <c r="AB722" s="47"/>
      <c r="AC722" s="47"/>
      <c r="AD722" s="47"/>
      <c r="AE722" s="47"/>
      <c r="AF722" s="47"/>
      <c r="AG722" s="47"/>
      <c r="AH722" s="47" t="str">
        <f>IFERROR(_xlfn.XLOOKUP(Table6[[#This Row],[Suburb]],Table5[Travel Surcharge],Table5[$$]),"")</f>
        <v/>
      </c>
      <c r="AI722" s="47"/>
      <c r="AJ722" s="47"/>
      <c r="AL722" t="str">
        <v>Stonefields Estate</v>
      </c>
    </row>
    <row r="723" spans="1:38">
      <c r="A723" s="374" t="s">
        <v>1460</v>
      </c>
      <c r="B723" s="374">
        <v>1</v>
      </c>
      <c r="C723" s="374" t="s">
        <v>353</v>
      </c>
      <c r="D723" s="375" t="str">
        <f t="shared" si="157"/>
        <v>Bentley Park Estate1</v>
      </c>
      <c r="E723" s="375"/>
      <c r="F723" s="375" t="s">
        <v>761</v>
      </c>
      <c r="G723" s="375" t="s">
        <v>397</v>
      </c>
      <c r="H723" s="375" t="s">
        <v>398</v>
      </c>
      <c r="I723" s="63" t="s">
        <v>1461</v>
      </c>
      <c r="J723" s="47">
        <f t="shared" si="153"/>
        <v>3740</v>
      </c>
      <c r="K723" s="46" t="s">
        <v>10735</v>
      </c>
      <c r="L723" s="47"/>
      <c r="M723" s="47"/>
      <c r="N723" s="47"/>
      <c r="O723" s="47"/>
      <c r="P723" s="47"/>
      <c r="Q723" s="47">
        <f t="shared" ref="Q723:Q729" si="158">Q$2</f>
        <v>0</v>
      </c>
      <c r="R723" s="47"/>
      <c r="S723" s="47"/>
      <c r="T723" s="47"/>
      <c r="U723" s="47"/>
      <c r="V723" s="47"/>
      <c r="W723" s="47"/>
      <c r="X723" s="47"/>
      <c r="Y723" s="47"/>
      <c r="Z723" s="47">
        <f t="shared" si="150"/>
        <v>4620</v>
      </c>
      <c r="AA723" s="47"/>
      <c r="AB723" s="47"/>
      <c r="AC723" s="47"/>
      <c r="AD723" s="47"/>
      <c r="AE723" s="47"/>
      <c r="AF723" s="47"/>
      <c r="AG723" s="47"/>
      <c r="AH723" s="47" t="str">
        <f>IFERROR(_xlfn.XLOOKUP(Table6[[#This Row],[Suburb]],Table5[Travel Surcharge],Table5[$$]),"")</f>
        <v/>
      </c>
      <c r="AI723" s="47"/>
      <c r="AJ723" s="47"/>
      <c r="AL723" t="str">
        <v>Stonehill Estate</v>
      </c>
    </row>
    <row r="724" spans="1:38">
      <c r="A724" s="374" t="s">
        <v>1460</v>
      </c>
      <c r="B724" s="374">
        <v>1</v>
      </c>
      <c r="C724" s="374" t="s">
        <v>353</v>
      </c>
      <c r="D724" s="375" t="str">
        <f t="shared" si="157"/>
        <v>Bentley Park Estate1</v>
      </c>
      <c r="E724" s="375" t="s">
        <v>1462</v>
      </c>
      <c r="F724" s="375"/>
      <c r="G724" s="375" t="s">
        <v>397</v>
      </c>
      <c r="H724" s="375" t="s">
        <v>398</v>
      </c>
      <c r="I724" s="63" t="s">
        <v>1461</v>
      </c>
      <c r="J724" s="47">
        <f t="shared" si="153"/>
        <v>3740</v>
      </c>
      <c r="K724" s="46" t="s">
        <v>10735</v>
      </c>
      <c r="L724" s="47"/>
      <c r="M724" s="47"/>
      <c r="N724" s="47"/>
      <c r="O724" s="47"/>
      <c r="P724" s="47"/>
      <c r="Q724" s="47">
        <f t="shared" si="158"/>
        <v>0</v>
      </c>
      <c r="R724" s="47"/>
      <c r="S724" s="47"/>
      <c r="T724" s="47"/>
      <c r="U724" s="47"/>
      <c r="V724" s="47"/>
      <c r="W724" s="47"/>
      <c r="X724" s="47"/>
      <c r="Y724" s="47"/>
      <c r="Z724" s="47">
        <f t="shared" si="150"/>
        <v>4620</v>
      </c>
      <c r="AA724" s="47"/>
      <c r="AB724" s="47"/>
      <c r="AC724" s="47"/>
      <c r="AD724" s="47"/>
      <c r="AE724" s="47"/>
      <c r="AF724" s="47"/>
      <c r="AG724" s="47"/>
      <c r="AH724" s="47" t="str">
        <f>IFERROR(_xlfn.XLOOKUP(Table6[[#This Row],[Suburb]],Table5[Travel Surcharge],Table5[$$]),"")</f>
        <v/>
      </c>
      <c r="AI724" s="47"/>
      <c r="AJ724" s="47"/>
      <c r="AL724" t="str">
        <v>Stonybrook Estate</v>
      </c>
    </row>
    <row r="725" spans="1:38">
      <c r="A725" s="374" t="s">
        <v>1460</v>
      </c>
      <c r="B725" s="374">
        <v>2</v>
      </c>
      <c r="C725" s="374" t="s">
        <v>353</v>
      </c>
      <c r="D725" s="375" t="str">
        <f t="shared" si="157"/>
        <v>Bentley Park Estate2</v>
      </c>
      <c r="E725" s="375"/>
      <c r="F725" s="375" t="s">
        <v>761</v>
      </c>
      <c r="G725" s="375" t="s">
        <v>397</v>
      </c>
      <c r="H725" s="375" t="s">
        <v>398</v>
      </c>
      <c r="I725" s="63" t="s">
        <v>1461</v>
      </c>
      <c r="J725" s="47">
        <f t="shared" si="153"/>
        <v>3740</v>
      </c>
      <c r="K725" s="46" t="s">
        <v>10735</v>
      </c>
      <c r="L725" s="47"/>
      <c r="M725" s="47"/>
      <c r="N725" s="47"/>
      <c r="O725" s="47"/>
      <c r="P725" s="47"/>
      <c r="Q725" s="47">
        <f t="shared" si="158"/>
        <v>0</v>
      </c>
      <c r="R725" s="47"/>
      <c r="S725" s="47"/>
      <c r="T725" s="47"/>
      <c r="U725" s="47"/>
      <c r="V725" s="47"/>
      <c r="W725" s="47"/>
      <c r="X725" s="47"/>
      <c r="Y725" s="47"/>
      <c r="Z725" s="47">
        <f t="shared" si="150"/>
        <v>4620</v>
      </c>
      <c r="AA725" s="47"/>
      <c r="AB725" s="47"/>
      <c r="AC725" s="47"/>
      <c r="AD725" s="47"/>
      <c r="AE725" s="47"/>
      <c r="AF725" s="47"/>
      <c r="AG725" s="47"/>
      <c r="AH725" s="47" t="str">
        <f>IFERROR(_xlfn.XLOOKUP(Table6[[#This Row],[Suburb]],Table5[Travel Surcharge],Table5[$$]),"")</f>
        <v/>
      </c>
      <c r="AI725" s="47"/>
      <c r="AJ725" s="47"/>
      <c r="AL725" t="str">
        <v>Stotts Hill</v>
      </c>
    </row>
    <row r="726" spans="1:38">
      <c r="A726" s="374" t="s">
        <v>1460</v>
      </c>
      <c r="B726" s="374">
        <v>2</v>
      </c>
      <c r="C726" s="374" t="s">
        <v>353</v>
      </c>
      <c r="D726" s="375" t="str">
        <f t="shared" si="157"/>
        <v>Bentley Park Estate2</v>
      </c>
      <c r="E726" s="375" t="s">
        <v>1463</v>
      </c>
      <c r="F726" s="375"/>
      <c r="G726" s="375" t="s">
        <v>397</v>
      </c>
      <c r="H726" s="375" t="s">
        <v>398</v>
      </c>
      <c r="I726" s="63" t="s">
        <v>1461</v>
      </c>
      <c r="J726" s="47">
        <f t="shared" si="153"/>
        <v>3740</v>
      </c>
      <c r="K726" s="46" t="s">
        <v>10735</v>
      </c>
      <c r="L726" s="47"/>
      <c r="M726" s="47"/>
      <c r="N726" s="47"/>
      <c r="O726" s="47"/>
      <c r="P726" s="47"/>
      <c r="Q726" s="47">
        <f t="shared" si="158"/>
        <v>0</v>
      </c>
      <c r="R726" s="47"/>
      <c r="S726" s="47"/>
      <c r="T726" s="47"/>
      <c r="U726" s="47"/>
      <c r="V726" s="47"/>
      <c r="W726" s="47"/>
      <c r="X726" s="47"/>
      <c r="Y726" s="47"/>
      <c r="Z726" s="47">
        <f t="shared" si="150"/>
        <v>4620</v>
      </c>
      <c r="AA726" s="47"/>
      <c r="AB726" s="47"/>
      <c r="AC726" s="47"/>
      <c r="AD726" s="47"/>
      <c r="AE726" s="47"/>
      <c r="AF726" s="47"/>
      <c r="AG726" s="47"/>
      <c r="AH726" s="47" t="str">
        <f>IFERROR(_xlfn.XLOOKUP(Table6[[#This Row],[Suburb]],Table5[Travel Surcharge],Table5[$$]),"")</f>
        <v/>
      </c>
      <c r="AI726" s="47"/>
      <c r="AJ726" s="47"/>
      <c r="AL726" t="str">
        <v>Stretton Estate</v>
      </c>
    </row>
    <row r="727" spans="1:38">
      <c r="A727" s="374" t="s">
        <v>1460</v>
      </c>
      <c r="B727" s="374">
        <v>3</v>
      </c>
      <c r="C727" s="374" t="s">
        <v>353</v>
      </c>
      <c r="D727" s="375" t="str">
        <f t="shared" si="157"/>
        <v>Bentley Park Estate3</v>
      </c>
      <c r="E727" s="375" t="s">
        <v>1464</v>
      </c>
      <c r="F727" s="375"/>
      <c r="G727" s="375" t="s">
        <v>397</v>
      </c>
      <c r="H727" s="375" t="s">
        <v>398</v>
      </c>
      <c r="I727" s="63" t="s">
        <v>1461</v>
      </c>
      <c r="J727" s="47">
        <f t="shared" si="153"/>
        <v>3740</v>
      </c>
      <c r="K727" s="46" t="s">
        <v>10735</v>
      </c>
      <c r="L727" s="47"/>
      <c r="M727" s="47"/>
      <c r="N727" s="47"/>
      <c r="O727" s="47"/>
      <c r="P727" s="47"/>
      <c r="Q727" s="47">
        <f t="shared" si="158"/>
        <v>0</v>
      </c>
      <c r="R727" s="47"/>
      <c r="S727" s="47"/>
      <c r="T727" s="47"/>
      <c r="U727" s="47"/>
      <c r="V727" s="47"/>
      <c r="W727" s="47"/>
      <c r="X727" s="47"/>
      <c r="Y727" s="47"/>
      <c r="Z727" s="47">
        <f t="shared" si="150"/>
        <v>4620</v>
      </c>
      <c r="AA727" s="47"/>
      <c r="AB727" s="47"/>
      <c r="AC727" s="47"/>
      <c r="AD727" s="47"/>
      <c r="AE727" s="47"/>
      <c r="AF727" s="47"/>
      <c r="AG727" s="47"/>
      <c r="AH727" s="47" t="str">
        <f>IFERROR(_xlfn.XLOOKUP(Table6[[#This Row],[Suburb]],Table5[Travel Surcharge],Table5[$$]),"")</f>
        <v/>
      </c>
      <c r="AI727" s="47"/>
      <c r="AJ727" s="47"/>
      <c r="AL727" t="str">
        <v>Summerfield</v>
      </c>
    </row>
    <row r="728" spans="1:38">
      <c r="A728" s="374" t="s">
        <v>1460</v>
      </c>
      <c r="B728" s="374" t="s">
        <v>617</v>
      </c>
      <c r="C728" s="374" t="s">
        <v>353</v>
      </c>
      <c r="D728" s="375" t="str">
        <f t="shared" si="157"/>
        <v>Bentley Park Estate5A</v>
      </c>
      <c r="E728" s="375" t="s">
        <v>1465</v>
      </c>
      <c r="F728" s="375"/>
      <c r="G728" s="375" t="s">
        <v>397</v>
      </c>
      <c r="H728" s="375" t="s">
        <v>398</v>
      </c>
      <c r="I728" s="63" t="s">
        <v>1461</v>
      </c>
      <c r="J728" s="47">
        <f t="shared" si="153"/>
        <v>3740</v>
      </c>
      <c r="K728" s="46" t="s">
        <v>10735</v>
      </c>
      <c r="L728" s="47"/>
      <c r="M728" s="47"/>
      <c r="N728" s="47"/>
      <c r="O728" s="47"/>
      <c r="P728" s="47"/>
      <c r="Q728" s="47">
        <f t="shared" si="158"/>
        <v>0</v>
      </c>
      <c r="R728" s="47"/>
      <c r="S728" s="47"/>
      <c r="T728" s="47"/>
      <c r="U728" s="47"/>
      <c r="V728" s="47"/>
      <c r="W728" s="47"/>
      <c r="X728" s="47"/>
      <c r="Y728" s="47"/>
      <c r="Z728" s="47">
        <f t="shared" si="150"/>
        <v>4620</v>
      </c>
      <c r="AA728" s="47"/>
      <c r="AB728" s="47"/>
      <c r="AC728" s="47"/>
      <c r="AD728" s="47"/>
      <c r="AE728" s="47"/>
      <c r="AF728" s="47"/>
      <c r="AG728" s="47"/>
      <c r="AH728" s="47" t="str">
        <f>IFERROR(_xlfn.XLOOKUP(Table6[[#This Row],[Suburb]],Table5[Travel Surcharge],Table5[$$]),"")</f>
        <v/>
      </c>
      <c r="AI728" s="47"/>
      <c r="AJ728" s="47"/>
      <c r="AL728" t="str">
        <v>Summerfields North</v>
      </c>
    </row>
    <row r="729" spans="1:38">
      <c r="A729" s="374" t="s">
        <v>1460</v>
      </c>
      <c r="B729" s="374" t="s">
        <v>1466</v>
      </c>
      <c r="C729" s="374" t="s">
        <v>353</v>
      </c>
      <c r="D729" s="375" t="str">
        <f t="shared" si="157"/>
        <v>Bentley Park Estate5B</v>
      </c>
      <c r="E729" s="375" t="s">
        <v>1467</v>
      </c>
      <c r="F729" s="375"/>
      <c r="G729" s="375" t="s">
        <v>397</v>
      </c>
      <c r="H729" s="375" t="s">
        <v>398</v>
      </c>
      <c r="I729" s="63" t="s">
        <v>1461</v>
      </c>
      <c r="J729" s="47">
        <f t="shared" si="153"/>
        <v>3740</v>
      </c>
      <c r="K729" s="46" t="s">
        <v>10735</v>
      </c>
      <c r="L729" s="47"/>
      <c r="M729" s="47"/>
      <c r="N729" s="47"/>
      <c r="O729" s="47"/>
      <c r="P729" s="47"/>
      <c r="Q729" s="47">
        <f t="shared" si="158"/>
        <v>0</v>
      </c>
      <c r="R729" s="47"/>
      <c r="S729" s="47"/>
      <c r="T729" s="47"/>
      <c r="U729" s="47"/>
      <c r="V729" s="47"/>
      <c r="W729" s="47"/>
      <c r="X729" s="47"/>
      <c r="Y729" s="47"/>
      <c r="Z729" s="47">
        <f t="shared" si="150"/>
        <v>4620</v>
      </c>
      <c r="AA729" s="47"/>
      <c r="AB729" s="47"/>
      <c r="AC729" s="47"/>
      <c r="AD729" s="47"/>
      <c r="AE729" s="47"/>
      <c r="AF729" s="47"/>
      <c r="AG729" s="47"/>
      <c r="AH729" s="47" t="str">
        <f>IFERROR(_xlfn.XLOOKUP(Table6[[#This Row],[Suburb]],Table5[Travel Surcharge],Table5[$$]),"")</f>
        <v/>
      </c>
      <c r="AI729" s="47"/>
      <c r="AJ729" s="47"/>
      <c r="AL729" t="str">
        <v>SummerHill Estate</v>
      </c>
    </row>
    <row r="730" spans="1:38">
      <c r="A730" s="374" t="s">
        <v>9742</v>
      </c>
      <c r="B730" s="374">
        <v>2</v>
      </c>
      <c r="C730" s="157" t="s">
        <v>9712</v>
      </c>
      <c r="D730" s="375" t="str">
        <f t="shared" si="157"/>
        <v>Berthon Park2</v>
      </c>
      <c r="E730" s="375" t="s">
        <v>9713</v>
      </c>
      <c r="F730" s="375"/>
      <c r="G730" s="375"/>
      <c r="H730" s="375"/>
      <c r="I730" s="63"/>
      <c r="J730" s="47"/>
      <c r="K730" s="46" t="s">
        <v>10735</v>
      </c>
      <c r="L730" s="47"/>
      <c r="M730" s="47" t="s">
        <v>9714</v>
      </c>
      <c r="N730" s="47"/>
      <c r="O730" s="47"/>
      <c r="P730" s="47"/>
      <c r="Q730" s="47"/>
      <c r="R730" s="47"/>
      <c r="S730" s="47"/>
      <c r="T730" s="47"/>
      <c r="U730" s="47">
        <f>U$2</f>
        <v>430</v>
      </c>
      <c r="V730" s="47"/>
      <c r="W730" s="47"/>
      <c r="X730" s="47"/>
      <c r="Y730" s="47"/>
      <c r="Z730" s="47">
        <f t="shared" si="150"/>
        <v>4620</v>
      </c>
      <c r="AA730" s="47"/>
      <c r="AB730" s="47"/>
      <c r="AC730" s="47"/>
      <c r="AD730" s="47" t="s">
        <v>1</v>
      </c>
      <c r="AE730" s="47"/>
      <c r="AF730" s="47">
        <f>AF$7</f>
        <v>1485</v>
      </c>
      <c r="AG730" s="47"/>
      <c r="AH730" s="47" t="str">
        <f>IFERROR(_xlfn.XLOOKUP(Table6[[#This Row],[Suburb]],Table5[Travel Surcharge],Table5[$$]),"")</f>
        <v/>
      </c>
      <c r="AI730" s="47"/>
      <c r="AJ730" s="47">
        <v>4400</v>
      </c>
      <c r="AL730" t="str">
        <v>Summerland</v>
      </c>
    </row>
    <row r="731" spans="1:38">
      <c r="A731" s="374" t="s">
        <v>9742</v>
      </c>
      <c r="B731" s="374">
        <v>3</v>
      </c>
      <c r="C731" s="157" t="s">
        <v>9712</v>
      </c>
      <c r="D731" s="375" t="str">
        <f t="shared" si="157"/>
        <v>Berthon Park3</v>
      </c>
      <c r="E731" s="375" t="s">
        <v>9713</v>
      </c>
      <c r="F731" s="375"/>
      <c r="G731" s="375"/>
      <c r="H731" s="375"/>
      <c r="I731" s="63"/>
      <c r="J731" s="47"/>
      <c r="K731" s="46" t="s">
        <v>10735</v>
      </c>
      <c r="L731" s="47"/>
      <c r="M731" s="47" t="s">
        <v>9714</v>
      </c>
      <c r="N731" s="47"/>
      <c r="O731" s="47"/>
      <c r="P731" s="47"/>
      <c r="Q731" s="47"/>
      <c r="R731" s="47"/>
      <c r="S731" s="47"/>
      <c r="T731" s="47"/>
      <c r="U731" s="47">
        <f>U$2</f>
        <v>430</v>
      </c>
      <c r="V731" s="47"/>
      <c r="W731" s="47"/>
      <c r="X731" s="47"/>
      <c r="Y731" s="47"/>
      <c r="Z731" s="47">
        <f t="shared" si="150"/>
        <v>4620</v>
      </c>
      <c r="AA731" s="47"/>
      <c r="AB731" s="47"/>
      <c r="AC731" s="47"/>
      <c r="AD731" s="47" t="s">
        <v>1</v>
      </c>
      <c r="AE731" s="47"/>
      <c r="AF731" s="47">
        <f>AF$7</f>
        <v>1485</v>
      </c>
      <c r="AG731" s="47"/>
      <c r="AH731" s="47" t="str">
        <f>IFERROR(_xlfn.XLOOKUP(Table6[[#This Row],[Suburb]],Table5[Travel Surcharge],Table5[$$]),"")</f>
        <v/>
      </c>
      <c r="AI731" s="47"/>
      <c r="AJ731" s="47">
        <v>4400</v>
      </c>
      <c r="AL731" t="str">
        <v>Sunbury Fields Estate</v>
      </c>
    </row>
    <row r="732" spans="1:38">
      <c r="A732" s="374" t="s">
        <v>10743</v>
      </c>
      <c r="B732" s="374">
        <v>12</v>
      </c>
      <c r="C732" s="374" t="s">
        <v>428</v>
      </c>
      <c r="D732" s="375" t="str">
        <f>CONCATENATE(A732,B732)</f>
        <v>Berwick Waters - Emerald Bend12</v>
      </c>
      <c r="E732" s="375" t="s">
        <v>10744</v>
      </c>
      <c r="F732" s="375" t="s">
        <v>1470</v>
      </c>
      <c r="G732" s="375" t="s">
        <v>1471</v>
      </c>
      <c r="H732" s="375" t="s">
        <v>1472</v>
      </c>
      <c r="I732" s="63" t="s">
        <v>1473</v>
      </c>
      <c r="J732" s="47">
        <v>3740</v>
      </c>
      <c r="K732" s="46" t="s">
        <v>7938</v>
      </c>
      <c r="L732" s="47" t="s">
        <v>10745</v>
      </c>
      <c r="M732" s="47"/>
      <c r="N732" s="47"/>
      <c r="O732" s="47"/>
      <c r="P732" s="47"/>
      <c r="Q732" s="47"/>
      <c r="R732" s="47"/>
      <c r="S732" s="47"/>
      <c r="T732" s="47">
        <v>1420</v>
      </c>
      <c r="U732" s="47"/>
      <c r="V732" s="47"/>
      <c r="W732" s="47"/>
      <c r="X732" s="47"/>
      <c r="Y732" s="47"/>
      <c r="Z732" s="47">
        <v>4620</v>
      </c>
      <c r="AA732" s="47"/>
      <c r="AB732" s="47"/>
      <c r="AC732" s="47"/>
      <c r="AD732" s="47"/>
      <c r="AE732" s="47"/>
      <c r="AF732" s="47"/>
      <c r="AG732" s="47"/>
      <c r="AH732" s="47" t="s">
        <v>9976</v>
      </c>
      <c r="AI732" s="47"/>
      <c r="AJ732" s="47"/>
      <c r="AL732" t="str">
        <v>Sunrise Estate</v>
      </c>
    </row>
    <row r="733" spans="1:38">
      <c r="A733" s="374" t="s">
        <v>1468</v>
      </c>
      <c r="B733" s="374">
        <v>9</v>
      </c>
      <c r="C733" s="374" t="s">
        <v>428</v>
      </c>
      <c r="D733" s="375" t="str">
        <f t="shared" si="157"/>
        <v>Berwick Waters - Honour Village Estate9</v>
      </c>
      <c r="E733" s="375" t="s">
        <v>9670</v>
      </c>
      <c r="F733" s="375" t="s">
        <v>1470</v>
      </c>
      <c r="G733" s="375" t="s">
        <v>1471</v>
      </c>
      <c r="H733" s="375" t="s">
        <v>1472</v>
      </c>
      <c r="I733" s="63" t="s">
        <v>1473</v>
      </c>
      <c r="J733" s="47">
        <v>3740</v>
      </c>
      <c r="K733" s="46" t="s">
        <v>7938</v>
      </c>
      <c r="L733" s="47"/>
      <c r="M733" s="47"/>
      <c r="N733" s="47"/>
      <c r="O733" s="47"/>
      <c r="P733" s="47"/>
      <c r="Q733" s="47"/>
      <c r="R733" s="47"/>
      <c r="S733" s="47"/>
      <c r="T733" s="47">
        <v>1420</v>
      </c>
      <c r="U733" s="47"/>
      <c r="V733" s="47"/>
      <c r="W733" s="47"/>
      <c r="X733" s="47"/>
      <c r="Y733" s="47"/>
      <c r="Z733" s="47">
        <v>4620</v>
      </c>
      <c r="AA733" s="47"/>
      <c r="AB733" s="47"/>
      <c r="AC733" s="47"/>
      <c r="AD733" s="47"/>
      <c r="AE733" s="47"/>
      <c r="AF733" s="47"/>
      <c r="AG733" s="47"/>
      <c r="AH733" s="47" t="str">
        <f>IFERROR(_xlfn.XLOOKUP(Table6[[#This Row],[Suburb]],Table5[Travel Surcharge],Table5[$$]),"")</f>
        <v/>
      </c>
      <c r="AI733" s="47"/>
      <c r="AJ733" s="47"/>
      <c r="AL733" t="str">
        <v>Sunset Views</v>
      </c>
    </row>
    <row r="734" spans="1:38">
      <c r="A734" s="374" t="s">
        <v>1468</v>
      </c>
      <c r="B734" s="374">
        <v>1</v>
      </c>
      <c r="C734" s="374" t="s">
        <v>428</v>
      </c>
      <c r="D734" s="375" t="str">
        <f t="shared" si="157"/>
        <v>Berwick Waters - Honour Village Estate1</v>
      </c>
      <c r="E734" s="375" t="s">
        <v>1469</v>
      </c>
      <c r="F734" s="375" t="s">
        <v>1470</v>
      </c>
      <c r="G734" s="375" t="s">
        <v>1471</v>
      </c>
      <c r="H734" s="375" t="s">
        <v>1472</v>
      </c>
      <c r="I734" s="63" t="s">
        <v>1473</v>
      </c>
      <c r="J734" s="47">
        <f t="shared" ref="J734:J768" si="159">J$7</f>
        <v>3740</v>
      </c>
      <c r="K734" s="46" t="s">
        <v>7938</v>
      </c>
      <c r="L734" s="47"/>
      <c r="M734" s="47"/>
      <c r="N734" s="47"/>
      <c r="O734" s="47"/>
      <c r="P734" s="47"/>
      <c r="Q734" s="47"/>
      <c r="R734" s="47"/>
      <c r="S734" s="47"/>
      <c r="T734" s="47">
        <f>T$2</f>
        <v>780</v>
      </c>
      <c r="U734" s="47"/>
      <c r="V734" s="47"/>
      <c r="W734" s="47"/>
      <c r="X734" s="47"/>
      <c r="Y734" s="47"/>
      <c r="Z734" s="47">
        <f t="shared" ref="Z734:Z772" si="160">Z$7</f>
        <v>4620</v>
      </c>
      <c r="AA734" s="47"/>
      <c r="AB734" s="47"/>
      <c r="AC734" s="47"/>
      <c r="AD734" s="47"/>
      <c r="AE734" s="47"/>
      <c r="AF734" s="47"/>
      <c r="AG734" s="47"/>
      <c r="AH734" s="47" t="str">
        <f>IFERROR(_xlfn.XLOOKUP(Table6[[#This Row],[Suburb]],Table5[Travel Surcharge],Table5[$$]),"")</f>
        <v/>
      </c>
      <c r="AI734" s="47"/>
      <c r="AJ734" s="47"/>
      <c r="AL734" t="str">
        <v>Swan View Estate</v>
      </c>
    </row>
    <row r="735" spans="1:38">
      <c r="A735" s="374" t="s">
        <v>1468</v>
      </c>
      <c r="B735" s="374">
        <v>2</v>
      </c>
      <c r="C735" s="374" t="s">
        <v>428</v>
      </c>
      <c r="D735" s="375" t="str">
        <f t="shared" si="157"/>
        <v>Berwick Waters - Honour Village Estate2</v>
      </c>
      <c r="E735" s="375" t="s">
        <v>1474</v>
      </c>
      <c r="F735" s="375" t="s">
        <v>1470</v>
      </c>
      <c r="G735" s="375" t="s">
        <v>1471</v>
      </c>
      <c r="H735" s="375" t="s">
        <v>1472</v>
      </c>
      <c r="I735" s="63" t="s">
        <v>1473</v>
      </c>
      <c r="J735" s="47">
        <f t="shared" si="159"/>
        <v>3740</v>
      </c>
      <c r="K735" s="46" t="s">
        <v>7938</v>
      </c>
      <c r="L735" s="47"/>
      <c r="M735" s="47"/>
      <c r="N735" s="47" t="s">
        <v>1475</v>
      </c>
      <c r="O735" s="47" t="s">
        <v>1476</v>
      </c>
      <c r="P735" s="47"/>
      <c r="Q735" s="47"/>
      <c r="R735" s="47">
        <f>R$2</f>
        <v>540</v>
      </c>
      <c r="S735" s="47"/>
      <c r="T735" s="47"/>
      <c r="U735" s="47"/>
      <c r="V735" s="47"/>
      <c r="W735" s="47"/>
      <c r="X735" s="47"/>
      <c r="Y735" s="47"/>
      <c r="Z735" s="47">
        <f t="shared" si="160"/>
        <v>4620</v>
      </c>
      <c r="AA735" s="47"/>
      <c r="AB735" s="47"/>
      <c r="AC735" s="47"/>
      <c r="AD735" s="47"/>
      <c r="AE735" s="47"/>
      <c r="AF735" s="47"/>
      <c r="AG735" s="47"/>
      <c r="AH735" s="47" t="str">
        <f>IFERROR(_xlfn.XLOOKUP(Table6[[#This Row],[Suburb]],Table5[Travel Surcharge],Table5[$$]),"")</f>
        <v/>
      </c>
      <c r="AI735" s="47"/>
      <c r="AJ735" s="47"/>
      <c r="AL735" t="str">
        <v>Swarna Estate</v>
      </c>
    </row>
    <row r="736" spans="1:38">
      <c r="A736" s="374" t="s">
        <v>1468</v>
      </c>
      <c r="B736" s="374">
        <v>3</v>
      </c>
      <c r="C736" s="374" t="s">
        <v>428</v>
      </c>
      <c r="D736" s="375" t="str">
        <f t="shared" si="157"/>
        <v>Berwick Waters - Honour Village Estate3</v>
      </c>
      <c r="E736" s="375" t="s">
        <v>1477</v>
      </c>
      <c r="F736" s="375" t="s">
        <v>1470</v>
      </c>
      <c r="G736" s="375" t="s">
        <v>1471</v>
      </c>
      <c r="H736" s="375" t="s">
        <v>1472</v>
      </c>
      <c r="I736" s="63" t="s">
        <v>1473</v>
      </c>
      <c r="J736" s="47">
        <f t="shared" si="159"/>
        <v>3740</v>
      </c>
      <c r="K736" s="46" t="s">
        <v>7938</v>
      </c>
      <c r="L736" s="47"/>
      <c r="M736" s="47"/>
      <c r="N736" s="47" t="s">
        <v>1475</v>
      </c>
      <c r="O736" s="47" t="s">
        <v>1476</v>
      </c>
      <c r="P736" s="47"/>
      <c r="Q736" s="47"/>
      <c r="R736" s="47">
        <f>R$2</f>
        <v>540</v>
      </c>
      <c r="S736" s="47"/>
      <c r="T736" s="47"/>
      <c r="U736" s="47"/>
      <c r="V736" s="47"/>
      <c r="W736" s="47"/>
      <c r="X736" s="47"/>
      <c r="Y736" s="47"/>
      <c r="Z736" s="47">
        <f t="shared" si="160"/>
        <v>4620</v>
      </c>
      <c r="AA736" s="47"/>
      <c r="AB736" s="47"/>
      <c r="AC736" s="47"/>
      <c r="AD736" s="47"/>
      <c r="AE736" s="47"/>
      <c r="AF736" s="47"/>
      <c r="AG736" s="47"/>
      <c r="AH736" s="47" t="str">
        <f>IFERROR(_xlfn.XLOOKUP(Table6[[#This Row],[Suburb]],Table5[Travel Surcharge],Table5[$$]),"")</f>
        <v/>
      </c>
      <c r="AI736" s="47"/>
      <c r="AJ736" s="47"/>
      <c r="AL736" t="str">
        <v>Talia Estate</v>
      </c>
    </row>
    <row r="737" spans="1:38">
      <c r="A737" s="374" t="s">
        <v>1468</v>
      </c>
      <c r="B737" s="374">
        <v>11</v>
      </c>
      <c r="C737" s="374" t="s">
        <v>428</v>
      </c>
      <c r="D737" s="375" t="str">
        <f>CONCATENATE(A737,B737)</f>
        <v>Berwick Waters - Honour Village Estate11</v>
      </c>
      <c r="E737" s="375" t="s">
        <v>10083</v>
      </c>
      <c r="F737" s="375" t="s">
        <v>1470</v>
      </c>
      <c r="G737" s="375" t="s">
        <v>1471</v>
      </c>
      <c r="H737" s="375" t="s">
        <v>1472</v>
      </c>
      <c r="I737" s="63" t="s">
        <v>1473</v>
      </c>
      <c r="J737" s="47">
        <v>3740</v>
      </c>
      <c r="K737" s="46" t="s">
        <v>7938</v>
      </c>
      <c r="L737" s="47"/>
      <c r="M737" s="47"/>
      <c r="N737" s="47" t="s">
        <v>1475</v>
      </c>
      <c r="O737" s="47" t="s">
        <v>1476</v>
      </c>
      <c r="P737" s="47"/>
      <c r="Q737" s="47"/>
      <c r="R737" s="47">
        <v>540</v>
      </c>
      <c r="S737" s="47"/>
      <c r="T737" s="47"/>
      <c r="U737" s="47"/>
      <c r="V737" s="47"/>
      <c r="W737" s="47"/>
      <c r="X737" s="47"/>
      <c r="Y737" s="47"/>
      <c r="Z737" s="47">
        <v>4620</v>
      </c>
      <c r="AA737" s="47"/>
      <c r="AB737" s="47"/>
      <c r="AC737" s="47"/>
      <c r="AD737" s="47"/>
      <c r="AE737" s="47"/>
      <c r="AF737" s="47"/>
      <c r="AG737" s="47"/>
      <c r="AH737" s="47" t="s">
        <v>9976</v>
      </c>
      <c r="AI737" s="47"/>
      <c r="AJ737" s="47"/>
      <c r="AL737" t="str">
        <v>Tarneit Point</v>
      </c>
    </row>
    <row r="738" spans="1:38">
      <c r="A738" s="374" t="s">
        <v>1468</v>
      </c>
      <c r="B738" s="374">
        <v>16</v>
      </c>
      <c r="C738" s="374" t="s">
        <v>428</v>
      </c>
      <c r="D738" s="375" t="str">
        <f t="shared" si="157"/>
        <v>Berwick Waters - Honour Village Estate16</v>
      </c>
      <c r="E738" s="375" t="s">
        <v>9940</v>
      </c>
      <c r="F738" s="375" t="s">
        <v>1470</v>
      </c>
      <c r="G738" s="375" t="s">
        <v>1471</v>
      </c>
      <c r="H738" s="375" t="s">
        <v>1472</v>
      </c>
      <c r="I738" s="63" t="s">
        <v>1473</v>
      </c>
      <c r="J738" s="47">
        <v>3740</v>
      </c>
      <c r="K738" s="46" t="s">
        <v>7938</v>
      </c>
      <c r="L738" s="47"/>
      <c r="M738" s="47"/>
      <c r="N738" s="47" t="s">
        <v>1475</v>
      </c>
      <c r="O738" s="47" t="s">
        <v>1476</v>
      </c>
      <c r="P738" s="47"/>
      <c r="Q738" s="47"/>
      <c r="R738" s="47">
        <v>540</v>
      </c>
      <c r="S738" s="47"/>
      <c r="T738" s="47"/>
      <c r="U738" s="47"/>
      <c r="V738" s="47"/>
      <c r="W738" s="47"/>
      <c r="X738" s="47"/>
      <c r="Y738" s="47"/>
      <c r="Z738" s="47">
        <v>4620</v>
      </c>
      <c r="AA738" s="47"/>
      <c r="AB738" s="47"/>
      <c r="AC738" s="47"/>
      <c r="AD738" s="47"/>
      <c r="AE738" s="47"/>
      <c r="AF738" s="47"/>
      <c r="AG738" s="47"/>
      <c r="AH738" s="47" t="str">
        <f>IFERROR(_xlfn.XLOOKUP(Table6[[#This Row],[Suburb]],Table5[Travel Surcharge],Table5[$$]),"")</f>
        <v/>
      </c>
      <c r="AI738" s="47"/>
      <c r="AJ738" s="47"/>
      <c r="AL738" t="str">
        <v>Tathra</v>
      </c>
    </row>
    <row r="739" spans="1:38">
      <c r="A739" s="374" t="s">
        <v>1468</v>
      </c>
      <c r="B739" s="374">
        <v>17</v>
      </c>
      <c r="C739" s="374" t="s">
        <v>428</v>
      </c>
      <c r="D739" s="375" t="str">
        <f t="shared" si="157"/>
        <v>Berwick Waters - Honour Village Estate17</v>
      </c>
      <c r="E739" s="375" t="s">
        <v>9670</v>
      </c>
      <c r="F739" s="375" t="s">
        <v>1470</v>
      </c>
      <c r="G739" s="375" t="s">
        <v>1471</v>
      </c>
      <c r="H739" s="375" t="s">
        <v>1472</v>
      </c>
      <c r="I739" s="63" t="s">
        <v>1473</v>
      </c>
      <c r="J739" s="47">
        <v>3740</v>
      </c>
      <c r="K739" s="46" t="s">
        <v>7938</v>
      </c>
      <c r="L739" s="47"/>
      <c r="M739" s="47"/>
      <c r="N739" s="47" t="s">
        <v>1475</v>
      </c>
      <c r="O739" s="47" t="s">
        <v>1476</v>
      </c>
      <c r="P739" s="47"/>
      <c r="Q739" s="47"/>
      <c r="R739" s="47">
        <v>540</v>
      </c>
      <c r="S739" s="47"/>
      <c r="T739" s="47"/>
      <c r="U739" s="47"/>
      <c r="V739" s="47"/>
      <c r="W739" s="47"/>
      <c r="X739" s="47"/>
      <c r="Y739" s="47"/>
      <c r="Z739" s="47">
        <v>4620</v>
      </c>
      <c r="AA739" s="47"/>
      <c r="AB739" s="47"/>
      <c r="AC739" s="47"/>
      <c r="AD739" s="47"/>
      <c r="AE739" s="47"/>
      <c r="AF739" s="47"/>
      <c r="AG739" s="47"/>
      <c r="AH739" s="47" t="s">
        <v>9976</v>
      </c>
      <c r="AI739" s="47"/>
      <c r="AJ739" s="47"/>
      <c r="AL739" t="str">
        <v>Taylors</v>
      </c>
    </row>
    <row r="740" spans="1:38">
      <c r="A740" s="374" t="s">
        <v>1478</v>
      </c>
      <c r="B740" s="374">
        <v>12</v>
      </c>
      <c r="C740" s="374" t="s">
        <v>428</v>
      </c>
      <c r="D740" s="375" t="str">
        <f t="shared" si="157"/>
        <v>Berwick Waters - Mondous Island12</v>
      </c>
      <c r="E740" s="375" t="s">
        <v>1479</v>
      </c>
      <c r="F740" s="375" t="s">
        <v>1470</v>
      </c>
      <c r="G740" s="375" t="s">
        <v>1471</v>
      </c>
      <c r="H740" s="375" t="s">
        <v>1472</v>
      </c>
      <c r="I740" s="63" t="s">
        <v>1473</v>
      </c>
      <c r="J740" s="47">
        <f t="shared" si="159"/>
        <v>3740</v>
      </c>
      <c r="K740" s="46" t="s">
        <v>7938</v>
      </c>
      <c r="L740" s="47"/>
      <c r="M740" s="47" t="s">
        <v>1480</v>
      </c>
      <c r="N740" s="47"/>
      <c r="O740" s="47" t="s">
        <v>1481</v>
      </c>
      <c r="P740" s="47"/>
      <c r="Q740" s="47"/>
      <c r="R740" s="47"/>
      <c r="S740" s="47"/>
      <c r="T740" s="47">
        <f t="shared" ref="T740:T745" si="161">T$2</f>
        <v>780</v>
      </c>
      <c r="U740" s="47"/>
      <c r="V740" s="47"/>
      <c r="W740" s="47"/>
      <c r="X740" s="47"/>
      <c r="Y740" s="47"/>
      <c r="Z740" s="47">
        <f t="shared" si="160"/>
        <v>4620</v>
      </c>
      <c r="AA740" s="47"/>
      <c r="AB740" s="47"/>
      <c r="AC740" s="47"/>
      <c r="AD740" s="47"/>
      <c r="AE740" s="47"/>
      <c r="AF740" s="47">
        <f t="shared" ref="AF740:AF745" si="162">AF$7</f>
        <v>1485</v>
      </c>
      <c r="AG740" s="47"/>
      <c r="AH740" s="47" t="str">
        <f>IFERROR(_xlfn.XLOOKUP(Table6[[#This Row],[Suburb]],Table5[Travel Surcharge],Table5[$$]),"")</f>
        <v/>
      </c>
      <c r="AI740" s="47"/>
      <c r="AJ740" s="47"/>
      <c r="AL740" t="str">
        <v>Taylors Hill Estate</v>
      </c>
    </row>
    <row r="741" spans="1:38">
      <c r="A741" s="374" t="s">
        <v>1478</v>
      </c>
      <c r="B741" s="374">
        <v>13</v>
      </c>
      <c r="C741" s="374" t="s">
        <v>428</v>
      </c>
      <c r="D741" s="375" t="str">
        <f t="shared" si="157"/>
        <v>Berwick Waters - Mondous Island13</v>
      </c>
      <c r="E741" s="375" t="s">
        <v>1482</v>
      </c>
      <c r="F741" s="375" t="s">
        <v>1470</v>
      </c>
      <c r="G741" s="375" t="s">
        <v>1471</v>
      </c>
      <c r="H741" s="375" t="s">
        <v>1472</v>
      </c>
      <c r="I741" s="63" t="s">
        <v>1473</v>
      </c>
      <c r="J741" s="47">
        <f t="shared" si="159"/>
        <v>3740</v>
      </c>
      <c r="K741" s="46" t="s">
        <v>7938</v>
      </c>
      <c r="L741" s="47"/>
      <c r="M741" s="47" t="s">
        <v>1480</v>
      </c>
      <c r="N741" s="47"/>
      <c r="O741" s="47" t="s">
        <v>1481</v>
      </c>
      <c r="P741" s="47"/>
      <c r="Q741" s="47"/>
      <c r="R741" s="47"/>
      <c r="S741" s="47"/>
      <c r="T741" s="47">
        <f t="shared" si="161"/>
        <v>780</v>
      </c>
      <c r="U741" s="47"/>
      <c r="V741" s="47"/>
      <c r="W741" s="47"/>
      <c r="X741" s="47"/>
      <c r="Y741" s="47"/>
      <c r="Z741" s="47">
        <f t="shared" si="160"/>
        <v>4620</v>
      </c>
      <c r="AA741" s="47"/>
      <c r="AB741" s="47"/>
      <c r="AC741" s="47"/>
      <c r="AD741" s="47"/>
      <c r="AE741" s="47"/>
      <c r="AF741" s="47">
        <f t="shared" si="162"/>
        <v>1485</v>
      </c>
      <c r="AG741" s="47"/>
      <c r="AH741" s="47" t="str">
        <f>IFERROR(_xlfn.XLOOKUP(Table6[[#This Row],[Suburb]],Table5[Travel Surcharge],Table5[$$]),"")</f>
        <v/>
      </c>
      <c r="AI741" s="47"/>
      <c r="AJ741" s="47"/>
      <c r="AL741" t="str">
        <v>Taylors Quarter</v>
      </c>
    </row>
    <row r="742" spans="1:38">
      <c r="A742" s="157" t="s">
        <v>1478</v>
      </c>
      <c r="B742" s="157">
        <v>14</v>
      </c>
      <c r="C742" s="157" t="s">
        <v>7416</v>
      </c>
      <c r="D742" s="157" t="str">
        <f t="shared" si="157"/>
        <v>Berwick Waters - Mondous Island14</v>
      </c>
      <c r="E742" s="157" t="s">
        <v>8280</v>
      </c>
      <c r="F742" s="157" t="s">
        <v>1470</v>
      </c>
      <c r="G742" s="157" t="s">
        <v>1471</v>
      </c>
      <c r="H742" s="157" t="s">
        <v>8279</v>
      </c>
      <c r="I742" s="158" t="s">
        <v>1473</v>
      </c>
      <c r="J742" s="47">
        <f t="shared" si="159"/>
        <v>3740</v>
      </c>
      <c r="K742" s="46" t="s">
        <v>7938</v>
      </c>
      <c r="L742" s="47"/>
      <c r="M742" s="47" t="s">
        <v>1480</v>
      </c>
      <c r="N742" s="47"/>
      <c r="O742" s="47" t="s">
        <v>1481</v>
      </c>
      <c r="P742" s="47"/>
      <c r="Q742" s="47"/>
      <c r="R742" s="47"/>
      <c r="S742" s="47"/>
      <c r="T742" s="47">
        <f t="shared" si="161"/>
        <v>780</v>
      </c>
      <c r="U742" s="47"/>
      <c r="V742" s="47"/>
      <c r="W742" s="47"/>
      <c r="X742" s="47"/>
      <c r="Y742" s="47"/>
      <c r="Z742" s="47">
        <f t="shared" si="160"/>
        <v>4620</v>
      </c>
      <c r="AA742" s="47"/>
      <c r="AB742" s="47"/>
      <c r="AC742" s="47"/>
      <c r="AD742" s="47"/>
      <c r="AE742" s="47"/>
      <c r="AF742" s="47">
        <f t="shared" si="162"/>
        <v>1485</v>
      </c>
      <c r="AG742" s="47"/>
      <c r="AH742" s="47" t="str">
        <f>IFERROR(_xlfn.XLOOKUP(Table6[[#This Row],[Suburb]],Table5[Travel Surcharge],Table5[$$]),"")</f>
        <v/>
      </c>
      <c r="AI742" s="47"/>
      <c r="AJ742" s="47"/>
      <c r="AL742" t="str">
        <v>Taylors Rise</v>
      </c>
    </row>
    <row r="743" spans="1:38">
      <c r="A743" s="374" t="s">
        <v>1483</v>
      </c>
      <c r="B743" s="374">
        <v>4</v>
      </c>
      <c r="C743" s="374" t="s">
        <v>428</v>
      </c>
      <c r="D743" s="375" t="str">
        <f t="shared" si="157"/>
        <v>Berwick Waters - Promenade Village4</v>
      </c>
      <c r="E743" s="375" t="s">
        <v>1484</v>
      </c>
      <c r="F743" s="375" t="s">
        <v>1470</v>
      </c>
      <c r="G743" s="375" t="s">
        <v>1471</v>
      </c>
      <c r="H743" s="375" t="s">
        <v>1472</v>
      </c>
      <c r="I743" s="63" t="s">
        <v>1473</v>
      </c>
      <c r="J743" s="47">
        <f t="shared" si="159"/>
        <v>3740</v>
      </c>
      <c r="K743" s="46" t="s">
        <v>7938</v>
      </c>
      <c r="L743" s="47"/>
      <c r="M743" s="47" t="s">
        <v>1485</v>
      </c>
      <c r="N743" s="47" t="s">
        <v>1486</v>
      </c>
      <c r="O743" s="47" t="s">
        <v>1487</v>
      </c>
      <c r="P743" s="47"/>
      <c r="Q743" s="47"/>
      <c r="R743" s="47"/>
      <c r="S743" s="47"/>
      <c r="T743" s="47">
        <f t="shared" si="161"/>
        <v>780</v>
      </c>
      <c r="U743" s="47"/>
      <c r="V743" s="47"/>
      <c r="W743" s="47"/>
      <c r="X743" s="47"/>
      <c r="Y743" s="47"/>
      <c r="Z743" s="47">
        <f t="shared" si="160"/>
        <v>4620</v>
      </c>
      <c r="AA743" s="47"/>
      <c r="AB743" s="47"/>
      <c r="AC743" s="47"/>
      <c r="AD743" s="47"/>
      <c r="AE743" s="47"/>
      <c r="AF743" s="47">
        <f t="shared" si="162"/>
        <v>1485</v>
      </c>
      <c r="AG743" s="47"/>
      <c r="AH743" s="47" t="str">
        <f>IFERROR(_xlfn.XLOOKUP(Table6[[#This Row],[Suburb]],Table5[Travel Surcharge],Table5[$$]),"")</f>
        <v/>
      </c>
      <c r="AI743" s="47"/>
      <c r="AJ743" s="47"/>
      <c r="AL743" t="str">
        <v>Taylors Run</v>
      </c>
    </row>
    <row r="744" spans="1:38">
      <c r="A744" s="374" t="s">
        <v>1483</v>
      </c>
      <c r="B744" s="374">
        <v>5</v>
      </c>
      <c r="C744" s="374" t="s">
        <v>428</v>
      </c>
      <c r="D744" s="375" t="str">
        <f t="shared" si="157"/>
        <v>Berwick Waters - Promenade Village5</v>
      </c>
      <c r="E744" s="375" t="s">
        <v>1479</v>
      </c>
      <c r="F744" s="375" t="s">
        <v>1470</v>
      </c>
      <c r="G744" s="375" t="s">
        <v>1471</v>
      </c>
      <c r="H744" s="375" t="s">
        <v>1472</v>
      </c>
      <c r="I744" s="63" t="s">
        <v>1473</v>
      </c>
      <c r="J744" s="47">
        <f t="shared" si="159"/>
        <v>3740</v>
      </c>
      <c r="K744" s="46" t="s">
        <v>7938</v>
      </c>
      <c r="L744" s="47"/>
      <c r="M744" s="47" t="s">
        <v>1485</v>
      </c>
      <c r="N744" s="47" t="s">
        <v>1486</v>
      </c>
      <c r="O744" s="47" t="s">
        <v>1487</v>
      </c>
      <c r="P744" s="47"/>
      <c r="Q744" s="47"/>
      <c r="R744" s="47"/>
      <c r="S744" s="47"/>
      <c r="T744" s="47">
        <f t="shared" si="161"/>
        <v>780</v>
      </c>
      <c r="U744" s="47"/>
      <c r="V744" s="47"/>
      <c r="W744" s="47"/>
      <c r="X744" s="47"/>
      <c r="Y744" s="47"/>
      <c r="Z744" s="47">
        <f t="shared" si="160"/>
        <v>4620</v>
      </c>
      <c r="AA744" s="47"/>
      <c r="AB744" s="47"/>
      <c r="AC744" s="47"/>
      <c r="AD744" s="47"/>
      <c r="AE744" s="47"/>
      <c r="AF744" s="47">
        <f t="shared" si="162"/>
        <v>1485</v>
      </c>
      <c r="AG744" s="47"/>
      <c r="AH744" s="47" t="str">
        <f>IFERROR(_xlfn.XLOOKUP(Table6[[#This Row],[Suburb]],Table5[Travel Surcharge],Table5[$$]),"")</f>
        <v/>
      </c>
      <c r="AI744" s="47"/>
      <c r="AJ744" s="47"/>
      <c r="AL744" t="str">
        <v>Temple Views</v>
      </c>
    </row>
    <row r="745" spans="1:38">
      <c r="A745" s="374" t="s">
        <v>1483</v>
      </c>
      <c r="B745" s="374" t="s">
        <v>1488</v>
      </c>
      <c r="C745" s="374" t="s">
        <v>428</v>
      </c>
      <c r="D745" s="375" t="str">
        <f t="shared" si="157"/>
        <v>Berwick Waters - Promenade Village7A</v>
      </c>
      <c r="E745" s="375" t="s">
        <v>1489</v>
      </c>
      <c r="F745" s="375" t="s">
        <v>1470</v>
      </c>
      <c r="G745" s="375" t="s">
        <v>1471</v>
      </c>
      <c r="H745" s="375" t="s">
        <v>1472</v>
      </c>
      <c r="I745" s="63" t="s">
        <v>1473</v>
      </c>
      <c r="J745" s="47">
        <f t="shared" si="159"/>
        <v>3740</v>
      </c>
      <c r="K745" s="46" t="s">
        <v>7938</v>
      </c>
      <c r="L745" s="47"/>
      <c r="M745" s="47" t="s">
        <v>1485</v>
      </c>
      <c r="N745" s="47" t="s">
        <v>1486</v>
      </c>
      <c r="O745" s="47" t="s">
        <v>1487</v>
      </c>
      <c r="P745" s="47"/>
      <c r="Q745" s="47"/>
      <c r="R745" s="47"/>
      <c r="S745" s="47"/>
      <c r="T745" s="47">
        <f t="shared" si="161"/>
        <v>780</v>
      </c>
      <c r="U745" s="47"/>
      <c r="V745" s="47"/>
      <c r="W745" s="47"/>
      <c r="X745" s="47"/>
      <c r="Y745" s="47"/>
      <c r="Z745" s="47">
        <f t="shared" si="160"/>
        <v>4620</v>
      </c>
      <c r="AA745" s="47"/>
      <c r="AB745" s="47"/>
      <c r="AC745" s="47"/>
      <c r="AD745" s="47"/>
      <c r="AE745" s="47"/>
      <c r="AF745" s="47">
        <f t="shared" si="162"/>
        <v>1485</v>
      </c>
      <c r="AG745" s="47"/>
      <c r="AH745" s="47" t="str">
        <f>IFERROR(_xlfn.XLOOKUP(Table6[[#This Row],[Suburb]],Table5[Travel Surcharge],Table5[$$]),"")</f>
        <v/>
      </c>
      <c r="AI745" s="47"/>
      <c r="AJ745" s="47"/>
      <c r="AL745" t="str">
        <v>Tesoro Estate</v>
      </c>
    </row>
    <row r="746" spans="1:38">
      <c r="A746" s="374" t="s">
        <v>1490</v>
      </c>
      <c r="B746" s="374">
        <v>1</v>
      </c>
      <c r="C746" s="374" t="s">
        <v>428</v>
      </c>
      <c r="D746" s="375" t="str">
        <f t="shared" si="157"/>
        <v>Berwick Waters - Upper Banks1</v>
      </c>
      <c r="E746" s="375" t="s">
        <v>1469</v>
      </c>
      <c r="F746" s="375" t="s">
        <v>1470</v>
      </c>
      <c r="G746" s="375" t="s">
        <v>1471</v>
      </c>
      <c r="H746" s="375" t="s">
        <v>1472</v>
      </c>
      <c r="I746" s="63" t="s">
        <v>1473</v>
      </c>
      <c r="J746" s="47">
        <f t="shared" si="159"/>
        <v>3740</v>
      </c>
      <c r="K746" s="46" t="s">
        <v>7938</v>
      </c>
      <c r="L746" s="47"/>
      <c r="M746" s="47"/>
      <c r="N746" s="47" t="s">
        <v>1475</v>
      </c>
      <c r="O746" s="47" t="s">
        <v>1476</v>
      </c>
      <c r="P746" s="47"/>
      <c r="Q746" s="47"/>
      <c r="R746" s="47">
        <f>R$2</f>
        <v>540</v>
      </c>
      <c r="S746" s="47"/>
      <c r="T746" s="47"/>
      <c r="U746" s="47"/>
      <c r="V746" s="47"/>
      <c r="W746" s="47"/>
      <c r="X746" s="47"/>
      <c r="Y746" s="47"/>
      <c r="Z746" s="47">
        <f t="shared" si="160"/>
        <v>4620</v>
      </c>
      <c r="AA746" s="47"/>
      <c r="AB746" s="47"/>
      <c r="AC746" s="47"/>
      <c r="AD746" s="47"/>
      <c r="AE746" s="47"/>
      <c r="AF746" s="47"/>
      <c r="AG746" s="47"/>
      <c r="AH746" s="47" t="str">
        <f>IFERROR(_xlfn.XLOOKUP(Table6[[#This Row],[Suburb]],Table5[Travel Surcharge],Table5[$$]),"")</f>
        <v/>
      </c>
      <c r="AI746" s="47"/>
      <c r="AJ746" s="47"/>
      <c r="AL746" t="str">
        <v>The Address Estate</v>
      </c>
    </row>
    <row r="747" spans="1:38">
      <c r="A747" s="157" t="s">
        <v>1490</v>
      </c>
      <c r="B747" s="157">
        <v>6</v>
      </c>
      <c r="C747" s="157" t="s">
        <v>428</v>
      </c>
      <c r="D747" s="157" t="str">
        <f t="shared" si="157"/>
        <v>Berwick Waters - Upper Banks6</v>
      </c>
      <c r="E747" s="157" t="s">
        <v>7471</v>
      </c>
      <c r="F747" s="157" t="s">
        <v>1470</v>
      </c>
      <c r="G747" s="157" t="s">
        <v>1471</v>
      </c>
      <c r="H747" s="157" t="s">
        <v>1472</v>
      </c>
      <c r="I747" s="158" t="s">
        <v>1473</v>
      </c>
      <c r="J747" s="47">
        <f t="shared" si="159"/>
        <v>3740</v>
      </c>
      <c r="K747" s="46" t="s">
        <v>7938</v>
      </c>
      <c r="L747" s="47"/>
      <c r="M747" s="47"/>
      <c r="N747" s="47" t="s">
        <v>1475</v>
      </c>
      <c r="O747" s="47" t="s">
        <v>1476</v>
      </c>
      <c r="P747" s="47"/>
      <c r="Q747" s="47"/>
      <c r="R747" s="47">
        <f>R$2</f>
        <v>540</v>
      </c>
      <c r="S747" s="47"/>
      <c r="T747" s="47"/>
      <c r="U747" s="47"/>
      <c r="V747" s="47"/>
      <c r="W747" s="47"/>
      <c r="X747" s="47"/>
      <c r="Y747" s="47"/>
      <c r="Z747" s="47">
        <f t="shared" si="160"/>
        <v>4620</v>
      </c>
      <c r="AA747" s="47"/>
      <c r="AB747" s="47"/>
      <c r="AC747" s="47"/>
      <c r="AD747" s="47"/>
      <c r="AE747" s="47"/>
      <c r="AF747" s="47"/>
      <c r="AG747" s="47"/>
      <c r="AH747" s="47" t="str">
        <f>IFERROR(_xlfn.XLOOKUP(Table6[[#This Row],[Suburb]],Table5[Travel Surcharge],Table5[$$]),"")</f>
        <v/>
      </c>
      <c r="AI747" s="47"/>
      <c r="AJ747" s="47"/>
      <c r="AL747" t="str">
        <v xml:space="preserve">The Clan </v>
      </c>
    </row>
    <row r="748" spans="1:38">
      <c r="A748" s="374" t="s">
        <v>1490</v>
      </c>
      <c r="B748" s="374">
        <v>15</v>
      </c>
      <c r="C748" s="374" t="s">
        <v>428</v>
      </c>
      <c r="D748" s="375" t="str">
        <f t="shared" si="157"/>
        <v>Berwick Waters - Upper Banks15</v>
      </c>
      <c r="E748" s="375" t="s">
        <v>1491</v>
      </c>
      <c r="F748" s="375" t="s">
        <v>1470</v>
      </c>
      <c r="G748" s="375" t="s">
        <v>1471</v>
      </c>
      <c r="H748" s="375" t="s">
        <v>1472</v>
      </c>
      <c r="I748" s="63" t="s">
        <v>1473</v>
      </c>
      <c r="J748" s="47">
        <f t="shared" si="159"/>
        <v>3740</v>
      </c>
      <c r="K748" s="46" t="s">
        <v>7938</v>
      </c>
      <c r="L748" s="47"/>
      <c r="M748" s="47"/>
      <c r="N748" s="47" t="s">
        <v>1475</v>
      </c>
      <c r="O748" s="47" t="s">
        <v>1476</v>
      </c>
      <c r="P748" s="47"/>
      <c r="Q748" s="47"/>
      <c r="R748" s="47">
        <f>R$2</f>
        <v>540</v>
      </c>
      <c r="S748" s="47"/>
      <c r="T748" s="47"/>
      <c r="U748" s="47"/>
      <c r="V748" s="47"/>
      <c r="W748" s="47"/>
      <c r="X748" s="47"/>
      <c r="Y748" s="47"/>
      <c r="Z748" s="47">
        <f t="shared" si="160"/>
        <v>4620</v>
      </c>
      <c r="AA748" s="47"/>
      <c r="AB748" s="47"/>
      <c r="AC748" s="47"/>
      <c r="AD748" s="47"/>
      <c r="AE748" s="47"/>
      <c r="AF748" s="47"/>
      <c r="AG748" s="47"/>
      <c r="AH748" s="47" t="str">
        <f>IFERROR(_xlfn.XLOOKUP(Table6[[#This Row],[Suburb]],Table5[Travel Surcharge],Table5[$$]),"")</f>
        <v/>
      </c>
      <c r="AI748" s="47"/>
      <c r="AJ748" s="47"/>
      <c r="AL748" t="str">
        <v>The Dunes Estate</v>
      </c>
    </row>
    <row r="749" spans="1:38">
      <c r="A749" s="374" t="s">
        <v>1492</v>
      </c>
      <c r="B749" s="374">
        <v>1</v>
      </c>
      <c r="C749" s="374" t="s">
        <v>428</v>
      </c>
      <c r="D749" s="375" t="str">
        <f t="shared" si="157"/>
        <v>Berwick Waters Estate - College Green1</v>
      </c>
      <c r="E749" s="375" t="s">
        <v>1493</v>
      </c>
      <c r="F749" s="375" t="s">
        <v>1470</v>
      </c>
      <c r="G749" s="375" t="s">
        <v>1471</v>
      </c>
      <c r="H749" s="375" t="s">
        <v>1472</v>
      </c>
      <c r="I749" s="63" t="s">
        <v>1473</v>
      </c>
      <c r="J749" s="47">
        <f t="shared" si="159"/>
        <v>3740</v>
      </c>
      <c r="K749" s="46" t="s">
        <v>7938</v>
      </c>
      <c r="L749" s="47"/>
      <c r="M749" s="47"/>
      <c r="N749" s="47"/>
      <c r="O749" s="47"/>
      <c r="P749" s="47"/>
      <c r="Q749" s="47"/>
      <c r="R749" s="47"/>
      <c r="S749" s="47"/>
      <c r="T749" s="47">
        <f t="shared" ref="T749:T768" si="163">T$2</f>
        <v>780</v>
      </c>
      <c r="U749" s="47"/>
      <c r="V749" s="47"/>
      <c r="W749" s="47"/>
      <c r="X749" s="47"/>
      <c r="Y749" s="47"/>
      <c r="Z749" s="47">
        <f t="shared" si="160"/>
        <v>4620</v>
      </c>
      <c r="AA749" s="47"/>
      <c r="AB749" s="47"/>
      <c r="AC749" s="47"/>
      <c r="AD749" s="47"/>
      <c r="AE749" s="47"/>
      <c r="AF749" s="47"/>
      <c r="AG749" s="47"/>
      <c r="AH749" s="47" t="str">
        <f>IFERROR(_xlfn.XLOOKUP(Table6[[#This Row],[Suburb]],Table5[Travel Surcharge],Table5[$$]),"")</f>
        <v/>
      </c>
      <c r="AI749" s="47"/>
      <c r="AJ749" s="47"/>
      <c r="AL749" t="str">
        <v>The Enclave Estate</v>
      </c>
    </row>
    <row r="750" spans="1:38">
      <c r="A750" s="374" t="s">
        <v>1492</v>
      </c>
      <c r="B750" s="374">
        <v>2</v>
      </c>
      <c r="C750" s="374" t="s">
        <v>428</v>
      </c>
      <c r="D750" s="375" t="str">
        <f t="shared" si="157"/>
        <v>Berwick Waters Estate - College Green2</v>
      </c>
      <c r="E750" s="375" t="s">
        <v>1494</v>
      </c>
      <c r="F750" s="375" t="s">
        <v>1470</v>
      </c>
      <c r="G750" s="375" t="s">
        <v>1471</v>
      </c>
      <c r="H750" s="375" t="s">
        <v>1472</v>
      </c>
      <c r="I750" s="63" t="s">
        <v>1473</v>
      </c>
      <c r="J750" s="47">
        <f t="shared" si="159"/>
        <v>3740</v>
      </c>
      <c r="K750" s="46" t="s">
        <v>7938</v>
      </c>
      <c r="L750" s="47"/>
      <c r="M750" s="47"/>
      <c r="N750" s="47"/>
      <c r="O750" s="47"/>
      <c r="P750" s="47"/>
      <c r="Q750" s="47"/>
      <c r="R750" s="47"/>
      <c r="S750" s="47"/>
      <c r="T750" s="47">
        <f t="shared" si="163"/>
        <v>780</v>
      </c>
      <c r="U750" s="47"/>
      <c r="V750" s="47"/>
      <c r="W750" s="47"/>
      <c r="X750" s="47"/>
      <c r="Y750" s="47"/>
      <c r="Z750" s="47">
        <f t="shared" si="160"/>
        <v>4620</v>
      </c>
      <c r="AA750" s="47"/>
      <c r="AB750" s="47"/>
      <c r="AC750" s="47"/>
      <c r="AD750" s="47"/>
      <c r="AE750" s="47"/>
      <c r="AF750" s="47"/>
      <c r="AG750" s="47"/>
      <c r="AH750" s="47" t="str">
        <f>IFERROR(_xlfn.XLOOKUP(Table6[[#This Row],[Suburb]],Table5[Travel Surcharge],Table5[$$]),"")</f>
        <v/>
      </c>
      <c r="AI750" s="47"/>
      <c r="AJ750" s="47"/>
      <c r="AL750" t="str">
        <v>The Fairways</v>
      </c>
    </row>
    <row r="751" spans="1:38">
      <c r="A751" s="374" t="s">
        <v>1492</v>
      </c>
      <c r="B751" s="374">
        <v>3</v>
      </c>
      <c r="C751" s="374" t="s">
        <v>428</v>
      </c>
      <c r="D751" s="375" t="str">
        <f t="shared" si="157"/>
        <v>Berwick Waters Estate - College Green3</v>
      </c>
      <c r="E751" s="375" t="s">
        <v>1495</v>
      </c>
      <c r="F751" s="375" t="s">
        <v>1470</v>
      </c>
      <c r="G751" s="375" t="s">
        <v>1471</v>
      </c>
      <c r="H751" s="375" t="s">
        <v>1472</v>
      </c>
      <c r="I751" s="63" t="s">
        <v>1473</v>
      </c>
      <c r="J751" s="47">
        <f t="shared" si="159"/>
        <v>3740</v>
      </c>
      <c r="K751" s="46" t="s">
        <v>7938</v>
      </c>
      <c r="L751" s="47"/>
      <c r="M751" s="47"/>
      <c r="N751" s="47"/>
      <c r="O751" s="47"/>
      <c r="P751" s="47"/>
      <c r="Q751" s="47"/>
      <c r="R751" s="47"/>
      <c r="S751" s="47"/>
      <c r="T751" s="47">
        <f t="shared" si="163"/>
        <v>780</v>
      </c>
      <c r="U751" s="47"/>
      <c r="V751" s="47"/>
      <c r="W751" s="47"/>
      <c r="X751" s="47"/>
      <c r="Y751" s="47"/>
      <c r="Z751" s="47">
        <f t="shared" si="160"/>
        <v>4620</v>
      </c>
      <c r="AA751" s="47"/>
      <c r="AB751" s="47"/>
      <c r="AC751" s="47"/>
      <c r="AD751" s="47"/>
      <c r="AE751" s="47"/>
      <c r="AF751" s="47"/>
      <c r="AG751" s="47"/>
      <c r="AH751" s="47" t="str">
        <f>IFERROR(_xlfn.XLOOKUP(Table6[[#This Row],[Suburb]],Table5[Travel Surcharge],Table5[$$]),"")</f>
        <v/>
      </c>
      <c r="AI751" s="47"/>
      <c r="AJ751" s="47"/>
      <c r="AL751" t="str">
        <v>The Garden Residences</v>
      </c>
    </row>
    <row r="752" spans="1:38">
      <c r="A752" s="374" t="s">
        <v>1492</v>
      </c>
      <c r="B752" s="374">
        <v>4</v>
      </c>
      <c r="C752" s="374" t="s">
        <v>428</v>
      </c>
      <c r="D752" s="375" t="str">
        <f t="shared" si="157"/>
        <v>Berwick Waters Estate - College Green4</v>
      </c>
      <c r="E752" s="375" t="s">
        <v>1496</v>
      </c>
      <c r="F752" s="375" t="s">
        <v>1470</v>
      </c>
      <c r="G752" s="375" t="s">
        <v>1471</v>
      </c>
      <c r="H752" s="375" t="s">
        <v>1472</v>
      </c>
      <c r="I752" s="63" t="s">
        <v>1473</v>
      </c>
      <c r="J752" s="47">
        <f t="shared" si="159"/>
        <v>3740</v>
      </c>
      <c r="K752" s="46" t="s">
        <v>7938</v>
      </c>
      <c r="L752" s="47"/>
      <c r="M752" s="47"/>
      <c r="N752" s="47"/>
      <c r="O752" s="47"/>
      <c r="P752" s="47"/>
      <c r="Q752" s="47"/>
      <c r="R752" s="47"/>
      <c r="S752" s="47"/>
      <c r="T752" s="47">
        <f t="shared" si="163"/>
        <v>780</v>
      </c>
      <c r="U752" s="47"/>
      <c r="V752" s="47"/>
      <c r="W752" s="47"/>
      <c r="X752" s="47"/>
      <c r="Y752" s="47"/>
      <c r="Z752" s="47">
        <f t="shared" si="160"/>
        <v>4620</v>
      </c>
      <c r="AA752" s="47"/>
      <c r="AB752" s="47"/>
      <c r="AC752" s="47"/>
      <c r="AD752" s="47"/>
      <c r="AE752" s="47"/>
      <c r="AF752" s="47"/>
      <c r="AG752" s="47"/>
      <c r="AH752" s="47" t="str">
        <f>IFERROR(_xlfn.XLOOKUP(Table6[[#This Row],[Suburb]],Table5[Travel Surcharge],Table5[$$]),"")</f>
        <v/>
      </c>
      <c r="AI752" s="47"/>
      <c r="AJ752" s="47"/>
      <c r="AL752" t="str">
        <v>The Gardens</v>
      </c>
    </row>
    <row r="753" spans="1:38">
      <c r="A753" s="374" t="s">
        <v>1492</v>
      </c>
      <c r="B753" s="374">
        <v>6</v>
      </c>
      <c r="C753" s="374" t="s">
        <v>428</v>
      </c>
      <c r="D753" s="375" t="str">
        <f t="shared" si="157"/>
        <v>Berwick Waters Estate - College Green6</v>
      </c>
      <c r="E753" s="375" t="s">
        <v>1497</v>
      </c>
      <c r="F753" s="375" t="s">
        <v>1470</v>
      </c>
      <c r="G753" s="375" t="s">
        <v>1471</v>
      </c>
      <c r="H753" s="375" t="s">
        <v>1472</v>
      </c>
      <c r="I753" s="63" t="s">
        <v>1473</v>
      </c>
      <c r="J753" s="47">
        <f t="shared" si="159"/>
        <v>3740</v>
      </c>
      <c r="K753" s="46" t="s">
        <v>7938</v>
      </c>
      <c r="L753" s="47"/>
      <c r="M753" s="47"/>
      <c r="N753" s="47"/>
      <c r="O753" s="47"/>
      <c r="P753" s="47"/>
      <c r="Q753" s="47"/>
      <c r="R753" s="47"/>
      <c r="S753" s="47"/>
      <c r="T753" s="47">
        <f t="shared" si="163"/>
        <v>780</v>
      </c>
      <c r="U753" s="47"/>
      <c r="V753" s="47"/>
      <c r="W753" s="47"/>
      <c r="X753" s="47"/>
      <c r="Y753" s="47"/>
      <c r="Z753" s="47">
        <f t="shared" si="160"/>
        <v>4620</v>
      </c>
      <c r="AA753" s="47"/>
      <c r="AB753" s="47"/>
      <c r="AC753" s="47"/>
      <c r="AD753" s="47"/>
      <c r="AE753" s="47"/>
      <c r="AF753" s="47"/>
      <c r="AG753" s="47"/>
      <c r="AH753" s="47" t="str">
        <f>IFERROR(_xlfn.XLOOKUP(Table6[[#This Row],[Suburb]],Table5[Travel Surcharge],Table5[$$]),"")</f>
        <v/>
      </c>
      <c r="AI753" s="47"/>
      <c r="AJ753" s="47"/>
      <c r="AL753" t="str">
        <v>The Glen  Estate</v>
      </c>
    </row>
    <row r="754" spans="1:38">
      <c r="A754" s="374" t="s">
        <v>1492</v>
      </c>
      <c r="B754" s="374">
        <v>7</v>
      </c>
      <c r="C754" s="374" t="s">
        <v>428</v>
      </c>
      <c r="D754" s="375" t="str">
        <f t="shared" si="157"/>
        <v>Berwick Waters Estate - College Green7</v>
      </c>
      <c r="E754" s="375" t="s">
        <v>1498</v>
      </c>
      <c r="F754" s="375" t="s">
        <v>1470</v>
      </c>
      <c r="G754" s="375" t="s">
        <v>1471</v>
      </c>
      <c r="H754" s="375" t="s">
        <v>1472</v>
      </c>
      <c r="I754" s="63" t="s">
        <v>1473</v>
      </c>
      <c r="J754" s="47">
        <f t="shared" si="159"/>
        <v>3740</v>
      </c>
      <c r="K754" s="46" t="s">
        <v>7938</v>
      </c>
      <c r="L754" s="47"/>
      <c r="M754" s="47"/>
      <c r="N754" s="47"/>
      <c r="O754" s="47"/>
      <c r="P754" s="47"/>
      <c r="Q754" s="47"/>
      <c r="R754" s="47"/>
      <c r="S754" s="47"/>
      <c r="T754" s="47">
        <f t="shared" si="163"/>
        <v>780</v>
      </c>
      <c r="U754" s="47"/>
      <c r="V754" s="47"/>
      <c r="W754" s="47"/>
      <c r="X754" s="47"/>
      <c r="Y754" s="47"/>
      <c r="Z754" s="47">
        <f t="shared" si="160"/>
        <v>4620</v>
      </c>
      <c r="AA754" s="47"/>
      <c r="AB754" s="47"/>
      <c r="AC754" s="47"/>
      <c r="AD754" s="47"/>
      <c r="AE754" s="47"/>
      <c r="AF754" s="47"/>
      <c r="AG754" s="47"/>
      <c r="AH754" s="47" t="str">
        <f>IFERROR(_xlfn.XLOOKUP(Table6[[#This Row],[Suburb]],Table5[Travel Surcharge],Table5[$$]),"")</f>
        <v/>
      </c>
      <c r="AI754" s="47"/>
      <c r="AJ754" s="47"/>
      <c r="AL754" t="str">
        <v>The Grange</v>
      </c>
    </row>
    <row r="755" spans="1:38">
      <c r="A755" s="374" t="s">
        <v>1492</v>
      </c>
      <c r="B755" s="374">
        <v>8</v>
      </c>
      <c r="C755" s="374" t="s">
        <v>428</v>
      </c>
      <c r="D755" s="375" t="str">
        <f t="shared" si="157"/>
        <v>Berwick Waters Estate - College Green8</v>
      </c>
      <c r="E755" s="375" t="s">
        <v>1499</v>
      </c>
      <c r="F755" s="375" t="s">
        <v>1470</v>
      </c>
      <c r="G755" s="375" t="s">
        <v>1471</v>
      </c>
      <c r="H755" s="375" t="s">
        <v>1472</v>
      </c>
      <c r="I755" s="63" t="s">
        <v>1473</v>
      </c>
      <c r="J755" s="47">
        <f t="shared" si="159"/>
        <v>3740</v>
      </c>
      <c r="K755" s="46" t="s">
        <v>7938</v>
      </c>
      <c r="L755" s="47"/>
      <c r="M755" s="47"/>
      <c r="N755" s="47"/>
      <c r="O755" s="47"/>
      <c r="P755" s="47"/>
      <c r="Q755" s="47"/>
      <c r="R755" s="47"/>
      <c r="S755" s="47"/>
      <c r="T755" s="47">
        <f t="shared" si="163"/>
        <v>780</v>
      </c>
      <c r="U755" s="47"/>
      <c r="V755" s="47"/>
      <c r="W755" s="47"/>
      <c r="X755" s="47"/>
      <c r="Y755" s="47"/>
      <c r="Z755" s="47">
        <f t="shared" si="160"/>
        <v>4620</v>
      </c>
      <c r="AA755" s="47"/>
      <c r="AB755" s="47"/>
      <c r="AC755" s="47"/>
      <c r="AD755" s="47"/>
      <c r="AE755" s="47"/>
      <c r="AF755" s="47"/>
      <c r="AG755" s="47"/>
      <c r="AH755" s="47" t="str">
        <f>IFERROR(_xlfn.XLOOKUP(Table6[[#This Row],[Suburb]],Table5[Travel Surcharge],Table5[$$]),"")</f>
        <v/>
      </c>
      <c r="AI755" s="47"/>
      <c r="AJ755" s="47"/>
      <c r="AL755" t="str">
        <v>The Greens</v>
      </c>
    </row>
    <row r="756" spans="1:38">
      <c r="A756" s="374" t="s">
        <v>1500</v>
      </c>
      <c r="B756" s="374">
        <v>4</v>
      </c>
      <c r="C756" s="374" t="s">
        <v>428</v>
      </c>
      <c r="D756" s="375" t="str">
        <f t="shared" si="157"/>
        <v>Berwick Waters Estate - Heritage Hill4</v>
      </c>
      <c r="E756" s="375" t="s">
        <v>1501</v>
      </c>
      <c r="F756" s="375" t="s">
        <v>1470</v>
      </c>
      <c r="G756" s="375" t="s">
        <v>1471</v>
      </c>
      <c r="H756" s="375" t="s">
        <v>1472</v>
      </c>
      <c r="I756" s="63" t="s">
        <v>1473</v>
      </c>
      <c r="J756" s="47">
        <f t="shared" si="159"/>
        <v>3740</v>
      </c>
      <c r="K756" s="46" t="s">
        <v>7938</v>
      </c>
      <c r="L756" s="47"/>
      <c r="M756" s="47"/>
      <c r="N756" s="47"/>
      <c r="O756" s="47"/>
      <c r="P756" s="47"/>
      <c r="Q756" s="47"/>
      <c r="R756" s="47"/>
      <c r="S756" s="47"/>
      <c r="T756" s="47">
        <f t="shared" si="163"/>
        <v>780</v>
      </c>
      <c r="U756" s="47"/>
      <c r="V756" s="47"/>
      <c r="W756" s="47"/>
      <c r="X756" s="47"/>
      <c r="Y756" s="47"/>
      <c r="Z756" s="47">
        <f t="shared" si="160"/>
        <v>4620</v>
      </c>
      <c r="AA756" s="47"/>
      <c r="AB756" s="47"/>
      <c r="AC756" s="47"/>
      <c r="AD756" s="47"/>
      <c r="AE756" s="47"/>
      <c r="AF756" s="47"/>
      <c r="AG756" s="47"/>
      <c r="AH756" s="47" t="str">
        <f>IFERROR(_xlfn.XLOOKUP(Table6[[#This Row],[Suburb]],Table5[Travel Surcharge],Table5[$$]),"")</f>
        <v/>
      </c>
      <c r="AI756" s="47"/>
      <c r="AJ756" s="47"/>
      <c r="AL756" t="str">
        <v>The Grove Estate</v>
      </c>
    </row>
    <row r="757" spans="1:38">
      <c r="A757" s="374" t="s">
        <v>10438</v>
      </c>
      <c r="B757" s="374">
        <v>16</v>
      </c>
      <c r="C757" s="374" t="s">
        <v>428</v>
      </c>
      <c r="D757" s="375" t="str">
        <f>CONCATENATE(A757,B757)</f>
        <v>Berwick Waters Estate - The Cove16</v>
      </c>
      <c r="E757" s="375" t="s">
        <v>9940</v>
      </c>
      <c r="F757" s="375" t="s">
        <v>1470</v>
      </c>
      <c r="G757" s="375" t="s">
        <v>1471</v>
      </c>
      <c r="H757" s="375" t="s">
        <v>1472</v>
      </c>
      <c r="I757" s="63" t="s">
        <v>1473</v>
      </c>
      <c r="J757" s="47">
        <v>3740</v>
      </c>
      <c r="K757" s="46" t="s">
        <v>7938</v>
      </c>
      <c r="L757" s="47" t="s">
        <v>10439</v>
      </c>
      <c r="M757" s="47" t="s">
        <v>10440</v>
      </c>
      <c r="N757" s="47"/>
      <c r="O757" s="47"/>
      <c r="P757" s="47"/>
      <c r="Q757" s="47"/>
      <c r="R757" s="47"/>
      <c r="S757" s="47"/>
      <c r="T757" s="47">
        <v>1420</v>
      </c>
      <c r="U757" s="47"/>
      <c r="V757" s="47"/>
      <c r="W757" s="47"/>
      <c r="X757" s="47"/>
      <c r="Y757" s="47"/>
      <c r="Z757" s="47">
        <f>Z$7</f>
        <v>4620</v>
      </c>
      <c r="AA757" s="47"/>
      <c r="AB757" s="47"/>
      <c r="AC757" s="47"/>
      <c r="AD757" s="47"/>
      <c r="AE757" s="47"/>
      <c r="AF757" s="47"/>
      <c r="AG757" s="47"/>
      <c r="AH757" s="47"/>
      <c r="AI757" s="47"/>
      <c r="AJ757" s="47"/>
      <c r="AL757" t="str">
        <v>The Heights Estate</v>
      </c>
    </row>
    <row r="758" spans="1:38">
      <c r="A758" s="374" t="s">
        <v>1502</v>
      </c>
      <c r="B758" s="374">
        <v>8</v>
      </c>
      <c r="C758" s="374" t="s">
        <v>428</v>
      </c>
      <c r="D758" s="375" t="str">
        <f t="shared" si="157"/>
        <v>Berwick Waters Estate - The Strand8</v>
      </c>
      <c r="E758" s="375" t="s">
        <v>1503</v>
      </c>
      <c r="F758" s="375" t="s">
        <v>1470</v>
      </c>
      <c r="G758" s="375" t="s">
        <v>1471</v>
      </c>
      <c r="H758" s="375" t="s">
        <v>1472</v>
      </c>
      <c r="I758" s="63" t="s">
        <v>1473</v>
      </c>
      <c r="J758" s="47">
        <f t="shared" si="159"/>
        <v>3740</v>
      </c>
      <c r="K758" s="46" t="s">
        <v>7938</v>
      </c>
      <c r="L758" s="47"/>
      <c r="M758" s="47"/>
      <c r="N758" s="47"/>
      <c r="O758" s="47"/>
      <c r="P758" s="47"/>
      <c r="Q758" s="47"/>
      <c r="R758" s="47"/>
      <c r="S758" s="47"/>
      <c r="T758" s="47">
        <f t="shared" si="163"/>
        <v>780</v>
      </c>
      <c r="U758" s="47"/>
      <c r="V758" s="47"/>
      <c r="W758" s="47"/>
      <c r="X758" s="47"/>
      <c r="Y758" s="47"/>
      <c r="Z758" s="47">
        <f t="shared" si="160"/>
        <v>4620</v>
      </c>
      <c r="AA758" s="47"/>
      <c r="AB758" s="47"/>
      <c r="AC758" s="47"/>
      <c r="AD758" s="47"/>
      <c r="AE758" s="47"/>
      <c r="AF758" s="47"/>
      <c r="AG758" s="47"/>
      <c r="AH758" s="47" t="str">
        <f>IFERROR(_xlfn.XLOOKUP(Table6[[#This Row],[Suburb]],Table5[Travel Surcharge],Table5[$$]),"")</f>
        <v/>
      </c>
      <c r="AI758" s="47"/>
      <c r="AJ758" s="47"/>
      <c r="AL758" t="str">
        <v>The Ivy Estate</v>
      </c>
    </row>
    <row r="759" spans="1:38">
      <c r="A759" s="374" t="s">
        <v>1502</v>
      </c>
      <c r="B759" s="374">
        <v>9</v>
      </c>
      <c r="C759" s="374" t="s">
        <v>428</v>
      </c>
      <c r="D759" s="375" t="str">
        <f t="shared" si="157"/>
        <v>Berwick Waters Estate - The Strand9</v>
      </c>
      <c r="E759" s="375" t="s">
        <v>1504</v>
      </c>
      <c r="F759" s="375" t="s">
        <v>1470</v>
      </c>
      <c r="G759" s="375" t="s">
        <v>1471</v>
      </c>
      <c r="H759" s="375" t="s">
        <v>1472</v>
      </c>
      <c r="I759" s="63" t="s">
        <v>1473</v>
      </c>
      <c r="J759" s="47">
        <f t="shared" si="159"/>
        <v>3740</v>
      </c>
      <c r="K759" s="46" t="s">
        <v>7938</v>
      </c>
      <c r="L759" s="47"/>
      <c r="M759" s="47"/>
      <c r="N759" s="47"/>
      <c r="O759" s="47"/>
      <c r="P759" s="47"/>
      <c r="Q759" s="47"/>
      <c r="R759" s="47"/>
      <c r="S759" s="47"/>
      <c r="T759" s="47">
        <f t="shared" si="163"/>
        <v>780</v>
      </c>
      <c r="U759" s="47"/>
      <c r="V759" s="47"/>
      <c r="W759" s="47"/>
      <c r="X759" s="47"/>
      <c r="Y759" s="47"/>
      <c r="Z759" s="47">
        <f t="shared" si="160"/>
        <v>4620</v>
      </c>
      <c r="AA759" s="47"/>
      <c r="AB759" s="47"/>
      <c r="AC759" s="47"/>
      <c r="AD759" s="47"/>
      <c r="AE759" s="47"/>
      <c r="AF759" s="47"/>
      <c r="AG759" s="47"/>
      <c r="AH759" s="47" t="str">
        <f>IFERROR(_xlfn.XLOOKUP(Table6[[#This Row],[Suburb]],Table5[Travel Surcharge],Table5[$$]),"")</f>
        <v/>
      </c>
      <c r="AI759" s="47"/>
      <c r="AJ759" s="47"/>
      <c r="AL759" t="str">
        <v>The Junction</v>
      </c>
    </row>
    <row r="760" spans="1:38">
      <c r="A760" s="374" t="s">
        <v>1502</v>
      </c>
      <c r="B760" s="374">
        <v>11</v>
      </c>
      <c r="C760" s="374" t="s">
        <v>428</v>
      </c>
      <c r="D760" s="375" t="str">
        <f t="shared" si="157"/>
        <v>Berwick Waters Estate - The Strand11</v>
      </c>
      <c r="E760" s="375" t="s">
        <v>1505</v>
      </c>
      <c r="F760" s="375" t="s">
        <v>1470</v>
      </c>
      <c r="G760" s="375" t="s">
        <v>1471</v>
      </c>
      <c r="H760" s="375" t="s">
        <v>1472</v>
      </c>
      <c r="I760" s="63" t="s">
        <v>1473</v>
      </c>
      <c r="J760" s="47">
        <f t="shared" si="159"/>
        <v>3740</v>
      </c>
      <c r="K760" s="46" t="s">
        <v>7938</v>
      </c>
      <c r="L760" s="47"/>
      <c r="M760" s="47"/>
      <c r="N760" s="47"/>
      <c r="O760" s="47"/>
      <c r="P760" s="47"/>
      <c r="Q760" s="47"/>
      <c r="R760" s="47"/>
      <c r="S760" s="47"/>
      <c r="T760" s="47">
        <f t="shared" si="163"/>
        <v>780</v>
      </c>
      <c r="U760" s="47"/>
      <c r="V760" s="47"/>
      <c r="W760" s="47"/>
      <c r="X760" s="47"/>
      <c r="Y760" s="47"/>
      <c r="Z760" s="47">
        <f t="shared" si="160"/>
        <v>4620</v>
      </c>
      <c r="AA760" s="47"/>
      <c r="AB760" s="47"/>
      <c r="AC760" s="47"/>
      <c r="AD760" s="47"/>
      <c r="AE760" s="47"/>
      <c r="AF760" s="47"/>
      <c r="AG760" s="47"/>
      <c r="AH760" s="47" t="str">
        <f>IFERROR(_xlfn.XLOOKUP(Table6[[#This Row],[Suburb]],Table5[Travel Surcharge],Table5[$$]),"")</f>
        <v/>
      </c>
      <c r="AI760" s="47"/>
      <c r="AJ760" s="47"/>
      <c r="AL760" t="str">
        <v xml:space="preserve">The Lakeside Land </v>
      </c>
    </row>
    <row r="761" spans="1:38">
      <c r="A761" s="374" t="s">
        <v>1506</v>
      </c>
      <c r="B761" s="374">
        <v>3</v>
      </c>
      <c r="C761" s="374" t="s">
        <v>428</v>
      </c>
      <c r="D761" s="375" t="str">
        <f t="shared" si="157"/>
        <v>Berwick Waters Estate - Waterside3</v>
      </c>
      <c r="E761" s="375" t="s">
        <v>1495</v>
      </c>
      <c r="F761" s="375" t="s">
        <v>1470</v>
      </c>
      <c r="G761" s="375" t="s">
        <v>1471</v>
      </c>
      <c r="H761" s="375" t="s">
        <v>1472</v>
      </c>
      <c r="I761" s="63" t="s">
        <v>1473</v>
      </c>
      <c r="J761" s="47">
        <f t="shared" si="159"/>
        <v>3740</v>
      </c>
      <c r="K761" s="46" t="s">
        <v>7938</v>
      </c>
      <c r="L761" s="47"/>
      <c r="M761" s="47"/>
      <c r="N761" s="47"/>
      <c r="O761" s="47"/>
      <c r="P761" s="47"/>
      <c r="Q761" s="47"/>
      <c r="R761" s="47"/>
      <c r="S761" s="47"/>
      <c r="T761" s="47">
        <f t="shared" si="163"/>
        <v>780</v>
      </c>
      <c r="U761" s="47"/>
      <c r="V761" s="47"/>
      <c r="W761" s="47"/>
      <c r="X761" s="47"/>
      <c r="Y761" s="47"/>
      <c r="Z761" s="47">
        <f t="shared" si="160"/>
        <v>4620</v>
      </c>
      <c r="AA761" s="47"/>
      <c r="AB761" s="47"/>
      <c r="AC761" s="47"/>
      <c r="AD761" s="47"/>
      <c r="AE761" s="47"/>
      <c r="AF761" s="47"/>
      <c r="AG761" s="47"/>
      <c r="AH761" s="47" t="str">
        <f>IFERROR(_xlfn.XLOOKUP(Table6[[#This Row],[Suburb]],Table5[Travel Surcharge],Table5[$$]),"")</f>
        <v/>
      </c>
      <c r="AI761" s="47"/>
      <c r="AJ761" s="47"/>
      <c r="AL761" t="str">
        <v>The Lookout</v>
      </c>
    </row>
    <row r="762" spans="1:38">
      <c r="A762" s="374" t="s">
        <v>1506</v>
      </c>
      <c r="B762" s="374">
        <v>4</v>
      </c>
      <c r="C762" s="374" t="s">
        <v>428</v>
      </c>
      <c r="D762" s="375" t="str">
        <f t="shared" si="157"/>
        <v>Berwick Waters Estate - Waterside4</v>
      </c>
      <c r="E762" s="375" t="s">
        <v>1507</v>
      </c>
      <c r="F762" s="375" t="s">
        <v>1470</v>
      </c>
      <c r="G762" s="375" t="s">
        <v>1471</v>
      </c>
      <c r="H762" s="375" t="s">
        <v>1472</v>
      </c>
      <c r="I762" s="63" t="s">
        <v>1473</v>
      </c>
      <c r="J762" s="47">
        <f t="shared" si="159"/>
        <v>3740</v>
      </c>
      <c r="K762" s="46" t="s">
        <v>7938</v>
      </c>
      <c r="L762" s="47"/>
      <c r="M762" s="47"/>
      <c r="N762" s="47"/>
      <c r="O762" s="47"/>
      <c r="P762" s="47"/>
      <c r="Q762" s="47"/>
      <c r="R762" s="47"/>
      <c r="S762" s="47"/>
      <c r="T762" s="47">
        <f t="shared" si="163"/>
        <v>780</v>
      </c>
      <c r="U762" s="47"/>
      <c r="V762" s="47"/>
      <c r="W762" s="47"/>
      <c r="X762" s="47"/>
      <c r="Y762" s="47"/>
      <c r="Z762" s="47">
        <f t="shared" si="160"/>
        <v>4620</v>
      </c>
      <c r="AA762" s="47"/>
      <c r="AB762" s="47"/>
      <c r="AC762" s="47"/>
      <c r="AD762" s="47"/>
      <c r="AE762" s="47"/>
      <c r="AF762" s="47"/>
      <c r="AG762" s="47"/>
      <c r="AH762" s="47" t="str">
        <f>IFERROR(_xlfn.XLOOKUP(Table6[[#This Row],[Suburb]],Table5[Travel Surcharge],Table5[$$]),"")</f>
        <v/>
      </c>
      <c r="AI762" s="47"/>
      <c r="AJ762" s="47"/>
      <c r="AL762" t="str">
        <v>The Maples Estate</v>
      </c>
    </row>
    <row r="763" spans="1:38">
      <c r="A763" s="374" t="s">
        <v>1506</v>
      </c>
      <c r="B763" s="374">
        <v>5</v>
      </c>
      <c r="C763" s="374" t="s">
        <v>428</v>
      </c>
      <c r="D763" s="375" t="str">
        <f t="shared" si="157"/>
        <v>Berwick Waters Estate - Waterside5</v>
      </c>
      <c r="E763" s="375" t="s">
        <v>1508</v>
      </c>
      <c r="F763" s="375" t="s">
        <v>1470</v>
      </c>
      <c r="G763" s="375" t="s">
        <v>1471</v>
      </c>
      <c r="H763" s="375" t="s">
        <v>1472</v>
      </c>
      <c r="I763" s="63" t="s">
        <v>1473</v>
      </c>
      <c r="J763" s="47">
        <f t="shared" si="159"/>
        <v>3740</v>
      </c>
      <c r="K763" s="46" t="s">
        <v>7938</v>
      </c>
      <c r="L763" s="47"/>
      <c r="M763" s="47"/>
      <c r="N763" s="47"/>
      <c r="O763" s="47"/>
      <c r="P763" s="47"/>
      <c r="Q763" s="47"/>
      <c r="R763" s="47"/>
      <c r="S763" s="47"/>
      <c r="T763" s="47">
        <f t="shared" si="163"/>
        <v>780</v>
      </c>
      <c r="U763" s="47"/>
      <c r="V763" s="47"/>
      <c r="W763" s="47"/>
      <c r="X763" s="47"/>
      <c r="Y763" s="47"/>
      <c r="Z763" s="47">
        <f t="shared" si="160"/>
        <v>4620</v>
      </c>
      <c r="AA763" s="47"/>
      <c r="AB763" s="47"/>
      <c r="AC763" s="47"/>
      <c r="AD763" s="47"/>
      <c r="AE763" s="47"/>
      <c r="AF763" s="47"/>
      <c r="AG763" s="47"/>
      <c r="AH763" s="47" t="str">
        <f>IFERROR(_xlfn.XLOOKUP(Table6[[#This Row],[Suburb]],Table5[Travel Surcharge],Table5[$$]),"")</f>
        <v/>
      </c>
      <c r="AI763" s="47"/>
      <c r="AJ763" s="47"/>
      <c r="AL763" t="str">
        <v>The Meadows on Eureka</v>
      </c>
    </row>
    <row r="764" spans="1:38">
      <c r="A764" s="374" t="s">
        <v>1506</v>
      </c>
      <c r="B764" s="374">
        <v>7</v>
      </c>
      <c r="C764" s="374" t="s">
        <v>428</v>
      </c>
      <c r="D764" s="375" t="str">
        <f t="shared" si="157"/>
        <v>Berwick Waters Estate - Waterside7</v>
      </c>
      <c r="E764" s="375" t="s">
        <v>1509</v>
      </c>
      <c r="F764" s="375" t="s">
        <v>1470</v>
      </c>
      <c r="G764" s="375" t="s">
        <v>1471</v>
      </c>
      <c r="H764" s="375" t="s">
        <v>1472</v>
      </c>
      <c r="I764" s="63" t="s">
        <v>1473</v>
      </c>
      <c r="J764" s="47">
        <f t="shared" si="159"/>
        <v>3740</v>
      </c>
      <c r="K764" s="46" t="s">
        <v>7938</v>
      </c>
      <c r="L764" s="47"/>
      <c r="M764" s="47"/>
      <c r="N764" s="47"/>
      <c r="O764" s="47"/>
      <c r="P764" s="47"/>
      <c r="Q764" s="47"/>
      <c r="R764" s="47"/>
      <c r="S764" s="47"/>
      <c r="T764" s="47">
        <f t="shared" si="163"/>
        <v>780</v>
      </c>
      <c r="U764" s="47"/>
      <c r="V764" s="47"/>
      <c r="W764" s="47"/>
      <c r="X764" s="47"/>
      <c r="Y764" s="47"/>
      <c r="Z764" s="47">
        <f t="shared" si="160"/>
        <v>4620</v>
      </c>
      <c r="AA764" s="47"/>
      <c r="AB764" s="47"/>
      <c r="AC764" s="47"/>
      <c r="AD764" s="47"/>
      <c r="AE764" s="47"/>
      <c r="AF764" s="47"/>
      <c r="AG764" s="47"/>
      <c r="AH764" s="47" t="str">
        <f>IFERROR(_xlfn.XLOOKUP(Table6[[#This Row],[Suburb]],Table5[Travel Surcharge],Table5[$$]),"")</f>
        <v/>
      </c>
      <c r="AI764" s="47"/>
      <c r="AJ764" s="47"/>
      <c r="AL764" t="str">
        <v>The Mount - Mount Duneed</v>
      </c>
    </row>
    <row r="765" spans="1:38">
      <c r="A765" s="374" t="s">
        <v>1506</v>
      </c>
      <c r="B765" s="374">
        <v>8</v>
      </c>
      <c r="C765" s="374" t="s">
        <v>428</v>
      </c>
      <c r="D765" s="375" t="str">
        <f t="shared" si="157"/>
        <v>Berwick Waters Estate - Waterside8</v>
      </c>
      <c r="E765" s="375" t="s">
        <v>1510</v>
      </c>
      <c r="F765" s="375" t="s">
        <v>1470</v>
      </c>
      <c r="G765" s="375" t="s">
        <v>1471</v>
      </c>
      <c r="H765" s="375" t="s">
        <v>1472</v>
      </c>
      <c r="I765" s="63" t="s">
        <v>1473</v>
      </c>
      <c r="J765" s="47">
        <f t="shared" si="159"/>
        <v>3740</v>
      </c>
      <c r="K765" s="46" t="s">
        <v>7938</v>
      </c>
      <c r="L765" s="47"/>
      <c r="M765" s="47"/>
      <c r="N765" s="47"/>
      <c r="O765" s="47"/>
      <c r="P765" s="47"/>
      <c r="Q765" s="47"/>
      <c r="R765" s="47"/>
      <c r="S765" s="47"/>
      <c r="T765" s="47">
        <f t="shared" si="163"/>
        <v>780</v>
      </c>
      <c r="U765" s="47"/>
      <c r="V765" s="47"/>
      <c r="W765" s="47"/>
      <c r="X765" s="47"/>
      <c r="Y765" s="47"/>
      <c r="Z765" s="47">
        <f t="shared" si="160"/>
        <v>4620</v>
      </c>
      <c r="AA765" s="47"/>
      <c r="AB765" s="47"/>
      <c r="AC765" s="47"/>
      <c r="AD765" s="47"/>
      <c r="AE765" s="47"/>
      <c r="AF765" s="47"/>
      <c r="AG765" s="47"/>
      <c r="AH765" s="47" t="str">
        <f>IFERROR(_xlfn.XLOOKUP(Table6[[#This Row],[Suburb]],Table5[Travel Surcharge],Table5[$$]),"")</f>
        <v/>
      </c>
      <c r="AI765" s="47"/>
      <c r="AJ765" s="47"/>
      <c r="AL765" t="str">
        <v>The Murray</v>
      </c>
    </row>
    <row r="766" spans="1:38">
      <c r="A766" s="374" t="s">
        <v>1506</v>
      </c>
      <c r="B766" s="374" t="s">
        <v>750</v>
      </c>
      <c r="C766" s="374" t="s">
        <v>428</v>
      </c>
      <c r="D766" s="375" t="str">
        <f t="shared" si="157"/>
        <v>Berwick Waters Estate - Waterside8B</v>
      </c>
      <c r="E766" s="375" t="s">
        <v>1510</v>
      </c>
      <c r="F766" s="375" t="s">
        <v>1470</v>
      </c>
      <c r="G766" s="375" t="s">
        <v>1471</v>
      </c>
      <c r="H766" s="375" t="s">
        <v>1472</v>
      </c>
      <c r="I766" s="63" t="s">
        <v>1473</v>
      </c>
      <c r="J766" s="47">
        <f t="shared" si="159"/>
        <v>3740</v>
      </c>
      <c r="K766" s="46" t="s">
        <v>7938</v>
      </c>
      <c r="L766" s="47"/>
      <c r="M766" s="47"/>
      <c r="N766" s="47"/>
      <c r="O766" s="47"/>
      <c r="P766" s="47"/>
      <c r="Q766" s="47"/>
      <c r="R766" s="47"/>
      <c r="S766" s="47"/>
      <c r="T766" s="47">
        <f t="shared" si="163"/>
        <v>780</v>
      </c>
      <c r="U766" s="47"/>
      <c r="V766" s="47"/>
      <c r="W766" s="47"/>
      <c r="X766" s="47"/>
      <c r="Y766" s="47"/>
      <c r="Z766" s="47">
        <f t="shared" si="160"/>
        <v>4620</v>
      </c>
      <c r="AA766" s="47"/>
      <c r="AB766" s="47"/>
      <c r="AC766" s="47"/>
      <c r="AD766" s="47"/>
      <c r="AE766" s="47"/>
      <c r="AF766" s="47"/>
      <c r="AG766" s="47"/>
      <c r="AH766" s="47" t="str">
        <f>IFERROR(_xlfn.XLOOKUP(Table6[[#This Row],[Suburb]],Table5[Travel Surcharge],Table5[$$]),"")</f>
        <v/>
      </c>
      <c r="AI766" s="47"/>
      <c r="AJ766" s="47"/>
      <c r="AL766" t="str">
        <v>The New Bloom Estate</v>
      </c>
    </row>
    <row r="767" spans="1:38">
      <c r="A767" s="374" t="s">
        <v>1506</v>
      </c>
      <c r="B767" s="374" t="s">
        <v>1006</v>
      </c>
      <c r="C767" s="374" t="s">
        <v>428</v>
      </c>
      <c r="D767" s="375" t="str">
        <f t="shared" si="157"/>
        <v>Berwick Waters Estate - Waterside9A</v>
      </c>
      <c r="E767" s="375" t="s">
        <v>1511</v>
      </c>
      <c r="F767" s="375" t="s">
        <v>1470</v>
      </c>
      <c r="G767" s="375" t="s">
        <v>1471</v>
      </c>
      <c r="H767" s="375" t="s">
        <v>1472</v>
      </c>
      <c r="I767" s="63" t="s">
        <v>1473</v>
      </c>
      <c r="J767" s="47">
        <f t="shared" si="159"/>
        <v>3740</v>
      </c>
      <c r="K767" s="46" t="s">
        <v>7938</v>
      </c>
      <c r="L767" s="47"/>
      <c r="M767" s="47"/>
      <c r="N767" s="47"/>
      <c r="O767" s="47"/>
      <c r="P767" s="47"/>
      <c r="Q767" s="47"/>
      <c r="R767" s="47"/>
      <c r="S767" s="47"/>
      <c r="T767" s="47">
        <f t="shared" si="163"/>
        <v>780</v>
      </c>
      <c r="U767" s="47"/>
      <c r="V767" s="47"/>
      <c r="W767" s="47"/>
      <c r="X767" s="47"/>
      <c r="Y767" s="47"/>
      <c r="Z767" s="47">
        <f t="shared" si="160"/>
        <v>4620</v>
      </c>
      <c r="AA767" s="47"/>
      <c r="AB767" s="47"/>
      <c r="AC767" s="47"/>
      <c r="AD767" s="47"/>
      <c r="AE767" s="47"/>
      <c r="AF767" s="47"/>
      <c r="AG767" s="47"/>
      <c r="AH767" s="47" t="str">
        <f>IFERROR(_xlfn.XLOOKUP(Table6[[#This Row],[Suburb]],Table5[Travel Surcharge],Table5[$$]),"")</f>
        <v/>
      </c>
      <c r="AI767" s="47"/>
      <c r="AJ767" s="47"/>
      <c r="AL767" t="str">
        <v>The Nook</v>
      </c>
    </row>
    <row r="768" spans="1:38">
      <c r="A768" s="374" t="s">
        <v>1506</v>
      </c>
      <c r="B768" s="374">
        <v>13</v>
      </c>
      <c r="C768" s="374" t="s">
        <v>428</v>
      </c>
      <c r="D768" s="375" t="str">
        <f t="shared" si="157"/>
        <v>Berwick Waters Estate - Waterside13</v>
      </c>
      <c r="E768" s="375" t="s">
        <v>9843</v>
      </c>
      <c r="F768" s="375" t="s">
        <v>1470</v>
      </c>
      <c r="G768" s="375" t="s">
        <v>1471</v>
      </c>
      <c r="H768" s="375" t="s">
        <v>1472</v>
      </c>
      <c r="I768" s="63" t="s">
        <v>1473</v>
      </c>
      <c r="J768" s="47">
        <f t="shared" si="159"/>
        <v>3740</v>
      </c>
      <c r="K768" s="46" t="s">
        <v>7938</v>
      </c>
      <c r="L768" s="47"/>
      <c r="M768" s="47"/>
      <c r="N768" s="47"/>
      <c r="O768" s="47"/>
      <c r="P768" s="47"/>
      <c r="Q768" s="47"/>
      <c r="R768" s="47"/>
      <c r="S768" s="47"/>
      <c r="T768" s="47">
        <f t="shared" si="163"/>
        <v>780</v>
      </c>
      <c r="U768" s="47"/>
      <c r="V768" s="47"/>
      <c r="W768" s="47"/>
      <c r="X768" s="47"/>
      <c r="Y768" s="47"/>
      <c r="Z768" s="47">
        <f t="shared" si="160"/>
        <v>4620</v>
      </c>
      <c r="AA768" s="47"/>
      <c r="AB768" s="47"/>
      <c r="AC768" s="47"/>
      <c r="AD768" s="47"/>
      <c r="AE768" s="47"/>
      <c r="AF768" s="47"/>
      <c r="AG768" s="47"/>
      <c r="AH768" s="47" t="str">
        <f>IFERROR(_xlfn.XLOOKUP(Table6[[#This Row],[Suburb]],Table5[Travel Surcharge],Table5[$$]),"")</f>
        <v/>
      </c>
      <c r="AI768" s="47"/>
      <c r="AJ768" s="47"/>
      <c r="AL768" t="str">
        <v>The Orchards</v>
      </c>
    </row>
    <row r="769" spans="1:38">
      <c r="A769" s="374" t="s">
        <v>1512</v>
      </c>
      <c r="B769" s="374">
        <v>4</v>
      </c>
      <c r="C769" s="374" t="s">
        <v>428</v>
      </c>
      <c r="D769" s="375" t="str">
        <f t="shared" si="157"/>
        <v>Bethany Park Estate4</v>
      </c>
      <c r="E769" s="375" t="s">
        <v>1513</v>
      </c>
      <c r="F769" s="375" t="s">
        <v>1514</v>
      </c>
      <c r="G769" s="375" t="s">
        <v>1515</v>
      </c>
      <c r="H769" s="375" t="s">
        <v>1516</v>
      </c>
      <c r="I769" s="63" t="s">
        <v>1517</v>
      </c>
      <c r="J769" s="47"/>
      <c r="K769" s="46" t="s">
        <v>316</v>
      </c>
      <c r="L769" s="47"/>
      <c r="M769" s="47"/>
      <c r="N769" s="47"/>
      <c r="O769" s="47"/>
      <c r="P769" s="47"/>
      <c r="Q769" s="47">
        <f>Q$2</f>
        <v>0</v>
      </c>
      <c r="R769" s="47"/>
      <c r="S769" s="47"/>
      <c r="T769" s="47"/>
      <c r="U769" s="47"/>
      <c r="V769" s="47"/>
      <c r="W769" s="47"/>
      <c r="X769" s="47"/>
      <c r="Y769" s="47"/>
      <c r="Z769" s="47">
        <f t="shared" si="160"/>
        <v>4620</v>
      </c>
      <c r="AA769" s="47"/>
      <c r="AB769" s="47"/>
      <c r="AC769" s="47"/>
      <c r="AD769" s="47"/>
      <c r="AE769" s="47"/>
      <c r="AF769" s="47"/>
      <c r="AG769" s="47"/>
      <c r="AH769" s="47" t="str">
        <f>IFERROR(_xlfn.XLOOKUP(Table6[[#This Row],[Suburb]],Table5[Travel Surcharge],Table5[$$]),"")</f>
        <v/>
      </c>
      <c r="AI769" s="47"/>
      <c r="AJ769" s="47"/>
      <c r="AL769" t="str">
        <v>The Patch Estate</v>
      </c>
    </row>
    <row r="770" spans="1:38">
      <c r="A770" s="374" t="s">
        <v>1512</v>
      </c>
      <c r="B770" s="374">
        <v>6</v>
      </c>
      <c r="C770" s="374" t="s">
        <v>428</v>
      </c>
      <c r="D770" s="375" t="str">
        <f t="shared" si="157"/>
        <v>Bethany Park Estate6</v>
      </c>
      <c r="E770" s="375" t="s">
        <v>1518</v>
      </c>
      <c r="F770" s="375" t="s">
        <v>1514</v>
      </c>
      <c r="G770" s="375" t="s">
        <v>1515</v>
      </c>
      <c r="H770" s="375" t="s">
        <v>1516</v>
      </c>
      <c r="I770" s="63" t="s">
        <v>1517</v>
      </c>
      <c r="J770" s="47"/>
      <c r="K770" s="46" t="s">
        <v>316</v>
      </c>
      <c r="L770" s="47"/>
      <c r="M770" s="47"/>
      <c r="N770" s="47"/>
      <c r="O770" s="47"/>
      <c r="P770" s="47"/>
      <c r="Q770" s="47">
        <f>Q775</f>
        <v>0</v>
      </c>
      <c r="R770" s="47"/>
      <c r="S770" s="47"/>
      <c r="T770" s="47"/>
      <c r="U770" s="47"/>
      <c r="V770" s="47"/>
      <c r="W770" s="47"/>
      <c r="X770" s="47"/>
      <c r="Y770" s="47"/>
      <c r="Z770" s="47">
        <f t="shared" si="160"/>
        <v>4620</v>
      </c>
      <c r="AA770" s="47"/>
      <c r="AB770" s="47"/>
      <c r="AC770" s="47"/>
      <c r="AD770" s="47"/>
      <c r="AE770" s="47"/>
      <c r="AF770" s="47"/>
      <c r="AG770" s="47"/>
      <c r="AH770" s="47" t="str">
        <f>IFERROR(_xlfn.XLOOKUP(Table6[[#This Row],[Suburb]],Table5[Travel Surcharge],Table5[$$]),"")</f>
        <v/>
      </c>
      <c r="AI770" s="47"/>
      <c r="AJ770" s="47"/>
      <c r="AL770" t="str">
        <v>The Point Estate</v>
      </c>
    </row>
    <row r="771" spans="1:38">
      <c r="A771" s="374" t="s">
        <v>1519</v>
      </c>
      <c r="B771" s="374">
        <v>1</v>
      </c>
      <c r="C771" s="374" t="s">
        <v>631</v>
      </c>
      <c r="D771" s="375" t="str">
        <f t="shared" si="157"/>
        <v>Beveridge Central1</v>
      </c>
      <c r="E771" s="375" t="s">
        <v>1520</v>
      </c>
      <c r="F771" s="375"/>
      <c r="G771" s="375" t="s">
        <v>494</v>
      </c>
      <c r="H771" s="375" t="s">
        <v>1521</v>
      </c>
      <c r="I771" s="63" t="s">
        <v>1522</v>
      </c>
      <c r="J771" s="47">
        <f>J$7</f>
        <v>3740</v>
      </c>
      <c r="K771" s="46" t="s">
        <v>10735</v>
      </c>
      <c r="L771" s="47">
        <f>L$7</f>
        <v>1210</v>
      </c>
      <c r="M771" s="47" t="s">
        <v>1523</v>
      </c>
      <c r="N771" s="47" t="s">
        <v>1524</v>
      </c>
      <c r="O771" s="47" t="s">
        <v>1525</v>
      </c>
      <c r="P771" s="47" t="s">
        <v>1526</v>
      </c>
      <c r="Q771" s="47" t="s">
        <v>1527</v>
      </c>
      <c r="R771" s="47" t="s">
        <v>1528</v>
      </c>
      <c r="S771" s="47"/>
      <c r="T771" s="47"/>
      <c r="U771" s="47"/>
      <c r="V771" s="47"/>
      <c r="W771" s="47"/>
      <c r="X771" s="47"/>
      <c r="Y771" s="47"/>
      <c r="Z771" s="47">
        <f t="shared" si="160"/>
        <v>4620</v>
      </c>
      <c r="AA771" s="47"/>
      <c r="AB771" s="47"/>
      <c r="AC771" s="47"/>
      <c r="AD771" s="47"/>
      <c r="AE771" s="47"/>
      <c r="AF771" s="47">
        <f>AF$7</f>
        <v>1485</v>
      </c>
      <c r="AG771" s="47"/>
      <c r="AH771" s="47" t="str">
        <f>IFERROR(_xlfn.XLOOKUP(Table6[[#This Row],[Suburb]],Table5[Travel Surcharge],Table5[$$]),"")</f>
        <v/>
      </c>
      <c r="AI771" s="47">
        <f>AI$7</f>
        <v>1650.0000000000002</v>
      </c>
      <c r="AJ771" s="47"/>
      <c r="AL771" t="str">
        <v>The Precinct Winchelsea</v>
      </c>
    </row>
    <row r="772" spans="1:38">
      <c r="A772" s="374" t="s">
        <v>1519</v>
      </c>
      <c r="B772" s="374">
        <v>2</v>
      </c>
      <c r="C772" s="374" t="s">
        <v>631</v>
      </c>
      <c r="D772" s="375" t="str">
        <f t="shared" si="157"/>
        <v>Beveridge Central2</v>
      </c>
      <c r="E772" s="375" t="s">
        <v>1529</v>
      </c>
      <c r="F772" s="375"/>
      <c r="G772" s="375" t="s">
        <v>494</v>
      </c>
      <c r="H772" s="375" t="s">
        <v>1521</v>
      </c>
      <c r="I772" s="63" t="s">
        <v>1522</v>
      </c>
      <c r="J772" s="47">
        <f>J$7</f>
        <v>3740</v>
      </c>
      <c r="K772" s="46" t="s">
        <v>10735</v>
      </c>
      <c r="L772" s="47">
        <f>L$7</f>
        <v>1210</v>
      </c>
      <c r="M772" s="47" t="s">
        <v>1523</v>
      </c>
      <c r="N772" s="47" t="s">
        <v>1524</v>
      </c>
      <c r="O772" s="47" t="s">
        <v>1525</v>
      </c>
      <c r="P772" s="47" t="s">
        <v>1526</v>
      </c>
      <c r="Q772" s="47" t="s">
        <v>1527</v>
      </c>
      <c r="R772" s="47" t="s">
        <v>1528</v>
      </c>
      <c r="S772" s="47"/>
      <c r="T772" s="47"/>
      <c r="U772" s="47"/>
      <c r="V772" s="47"/>
      <c r="W772" s="47"/>
      <c r="X772" s="47"/>
      <c r="Y772" s="47"/>
      <c r="Z772" s="47">
        <f t="shared" si="160"/>
        <v>4620</v>
      </c>
      <c r="AA772" s="47"/>
      <c r="AB772" s="47"/>
      <c r="AC772" s="47"/>
      <c r="AD772" s="47"/>
      <c r="AE772" s="47"/>
      <c r="AF772" s="47">
        <f>AF$7</f>
        <v>1485</v>
      </c>
      <c r="AG772" s="47"/>
      <c r="AH772" s="47" t="str">
        <f>IFERROR(_xlfn.XLOOKUP(Table6[[#This Row],[Suburb]],Table5[Travel Surcharge],Table5[$$]),"")</f>
        <v/>
      </c>
      <c r="AI772" s="47">
        <f>AI$7</f>
        <v>1650.0000000000002</v>
      </c>
      <c r="AJ772" s="47"/>
      <c r="AL772" t="str">
        <v>The Range Estate</v>
      </c>
    </row>
    <row r="773" spans="1:38">
      <c r="A773" s="374" t="s">
        <v>8398</v>
      </c>
      <c r="B773" s="374">
        <v>2</v>
      </c>
      <c r="C773" s="374" t="s">
        <v>8400</v>
      </c>
      <c r="D773" s="375" t="str">
        <f t="shared" si="157"/>
        <v>Birchmore2</v>
      </c>
      <c r="E773" s="375" t="s">
        <v>9644</v>
      </c>
      <c r="F773" s="375"/>
      <c r="G773" s="375"/>
      <c r="H773" s="375"/>
      <c r="I773" s="63" t="s">
        <v>8399</v>
      </c>
      <c r="J773" s="47"/>
      <c r="K773" s="46" t="s">
        <v>10735</v>
      </c>
      <c r="L773" s="47" t="s">
        <v>8403</v>
      </c>
      <c r="M773" s="47">
        <v>1430.0000000000002</v>
      </c>
      <c r="N773" s="47"/>
      <c r="O773" s="47">
        <v>4950</v>
      </c>
      <c r="P773" s="47"/>
      <c r="Q773" s="47">
        <v>0</v>
      </c>
      <c r="R773" s="47"/>
      <c r="S773" s="47"/>
      <c r="T773" s="47"/>
      <c r="U773" s="47"/>
      <c r="V773" s="47"/>
      <c r="W773" s="47" t="s">
        <v>8404</v>
      </c>
      <c r="X773" s="47"/>
      <c r="Y773" s="47"/>
      <c r="Z773" s="47">
        <v>4620</v>
      </c>
      <c r="AA773" s="47" t="str">
        <f>AA5</f>
        <v>&lt; Fill R1 with l/m</v>
      </c>
      <c r="AB773" s="47"/>
      <c r="AC773" s="47">
        <f>AC5</f>
        <v>0</v>
      </c>
      <c r="AD773" s="47"/>
      <c r="AE773" s="47" t="s">
        <v>9842</v>
      </c>
      <c r="AF773" s="47"/>
      <c r="AG773" s="47"/>
      <c r="AH773" s="47" t="str">
        <f>IFERROR(_xlfn.XLOOKUP(Table6[[#This Row],[Suburb]],Table5[Travel Surcharge],Table5[$$]),"")</f>
        <v/>
      </c>
      <c r="AI773" s="47"/>
      <c r="AJ773" s="47"/>
      <c r="AL773" t="str">
        <v>The Reserve - Drouin</v>
      </c>
    </row>
    <row r="774" spans="1:38">
      <c r="A774" s="157" t="s">
        <v>8398</v>
      </c>
      <c r="B774" s="157">
        <v>1</v>
      </c>
      <c r="C774" s="157" t="s">
        <v>8400</v>
      </c>
      <c r="D774" s="157" t="str">
        <f t="shared" si="157"/>
        <v>Birchmore1</v>
      </c>
      <c r="E774" s="157" t="s">
        <v>9634</v>
      </c>
      <c r="F774" s="157"/>
      <c r="G774" s="157"/>
      <c r="H774" s="157"/>
      <c r="I774" s="158" t="s">
        <v>8399</v>
      </c>
      <c r="J774" s="47"/>
      <c r="K774" s="46" t="s">
        <v>10735</v>
      </c>
      <c r="L774" s="47" t="s">
        <v>8403</v>
      </c>
      <c r="M774" s="47">
        <f>M$7</f>
        <v>1430.0000000000002</v>
      </c>
      <c r="N774" s="47"/>
      <c r="O774" s="47">
        <f>O$7</f>
        <v>4950</v>
      </c>
      <c r="P774" s="47"/>
      <c r="Q774" s="47">
        <f>Q$2</f>
        <v>0</v>
      </c>
      <c r="R774" s="47"/>
      <c r="S774" s="47"/>
      <c r="T774" s="47"/>
      <c r="U774" s="47"/>
      <c r="V774" s="47"/>
      <c r="W774" s="47" t="s">
        <v>8404</v>
      </c>
      <c r="X774" s="47"/>
      <c r="Y774" s="47"/>
      <c r="Z774" s="47">
        <f t="shared" ref="Z774:Z799" si="164">Z$7</f>
        <v>4620</v>
      </c>
      <c r="AA774" s="47" t="str">
        <f>AA5</f>
        <v>&lt; Fill R1 with l/m</v>
      </c>
      <c r="AB774" s="47"/>
      <c r="AC774" s="47">
        <f>AC5</f>
        <v>0</v>
      </c>
      <c r="AD774" s="47"/>
      <c r="AE774" s="47" t="s">
        <v>9842</v>
      </c>
      <c r="AF774" s="47"/>
      <c r="AG774" s="47"/>
      <c r="AH774" s="47" t="str">
        <f>IFERROR(_xlfn.XLOOKUP(Table6[[#This Row],[Suburb]],Table5[Travel Surcharge],Table5[$$]),"")</f>
        <v/>
      </c>
      <c r="AI774" s="47"/>
      <c r="AJ774" s="47"/>
      <c r="AL774" t="str">
        <v>The Reserve Estate - Armstrong Creek</v>
      </c>
    </row>
    <row r="775" spans="1:38">
      <c r="A775" s="157" t="s">
        <v>8398</v>
      </c>
      <c r="B775" s="157">
        <v>3</v>
      </c>
      <c r="C775" s="157" t="s">
        <v>8400</v>
      </c>
      <c r="D775" s="157" t="str">
        <f t="shared" si="157"/>
        <v>Birchmore3</v>
      </c>
      <c r="E775" s="157" t="s">
        <v>8401</v>
      </c>
      <c r="F775" s="157"/>
      <c r="G775" s="157"/>
      <c r="H775" s="157"/>
      <c r="I775" s="158" t="s">
        <v>8399</v>
      </c>
      <c r="J775" s="47"/>
      <c r="K775" s="46" t="s">
        <v>10735</v>
      </c>
      <c r="L775" s="47" t="s">
        <v>8403</v>
      </c>
      <c r="M775" s="47">
        <f>M$7</f>
        <v>1430.0000000000002</v>
      </c>
      <c r="N775" s="47"/>
      <c r="O775" s="47">
        <f>O$7</f>
        <v>4950</v>
      </c>
      <c r="P775" s="47"/>
      <c r="Q775" s="47">
        <f>Q$2</f>
        <v>0</v>
      </c>
      <c r="R775" s="47"/>
      <c r="S775" s="47"/>
      <c r="T775" s="47"/>
      <c r="U775" s="47"/>
      <c r="V775" s="47"/>
      <c r="W775" s="47" t="s">
        <v>8404</v>
      </c>
      <c r="X775" s="47"/>
      <c r="Y775" s="47"/>
      <c r="Z775" s="47">
        <f t="shared" si="164"/>
        <v>4620</v>
      </c>
      <c r="AA775" s="47" t="str">
        <f>AA5</f>
        <v>&lt; Fill R1 with l/m</v>
      </c>
      <c r="AB775" s="47"/>
      <c r="AC775" s="47">
        <f>AC5</f>
        <v>0</v>
      </c>
      <c r="AD775" s="47"/>
      <c r="AE775" s="47" t="s">
        <v>9842</v>
      </c>
      <c r="AF775" s="47"/>
      <c r="AG775" s="47"/>
      <c r="AH775" s="47" t="str">
        <f>IFERROR(_xlfn.XLOOKUP(Table6[[#This Row],[Suburb]],Table5[Travel Surcharge],Table5[$$]),"")</f>
        <v/>
      </c>
      <c r="AI775" s="47"/>
      <c r="AJ775" s="47"/>
      <c r="AL775" t="str">
        <v>The Reserve Estate - Tarneit</v>
      </c>
    </row>
    <row r="776" spans="1:38">
      <c r="A776" s="157" t="s">
        <v>8398</v>
      </c>
      <c r="B776" s="157">
        <v>4</v>
      </c>
      <c r="C776" s="157" t="s">
        <v>8400</v>
      </c>
      <c r="D776" s="157" t="str">
        <f t="shared" si="157"/>
        <v>Birchmore4</v>
      </c>
      <c r="E776" s="157" t="s">
        <v>8402</v>
      </c>
      <c r="F776" s="157"/>
      <c r="G776" s="157"/>
      <c r="H776" s="157"/>
      <c r="I776" s="158" t="s">
        <v>8399</v>
      </c>
      <c r="J776" s="47"/>
      <c r="K776" s="46" t="s">
        <v>10735</v>
      </c>
      <c r="L776" s="47" t="s">
        <v>8403</v>
      </c>
      <c r="M776" s="47">
        <f>M$7</f>
        <v>1430.0000000000002</v>
      </c>
      <c r="N776" s="47"/>
      <c r="O776" s="47">
        <f>O$7</f>
        <v>4950</v>
      </c>
      <c r="P776" s="47"/>
      <c r="Q776" s="47">
        <f>Q$2</f>
        <v>0</v>
      </c>
      <c r="R776" s="47"/>
      <c r="S776" s="47"/>
      <c r="T776" s="47"/>
      <c r="U776" s="47"/>
      <c r="V776" s="47"/>
      <c r="W776" s="47" t="s">
        <v>8404</v>
      </c>
      <c r="X776" s="47"/>
      <c r="Y776" s="47"/>
      <c r="Z776" s="47">
        <f t="shared" si="164"/>
        <v>4620</v>
      </c>
      <c r="AA776" s="47" t="str">
        <f>AA5</f>
        <v>&lt; Fill R1 with l/m</v>
      </c>
      <c r="AB776" s="47"/>
      <c r="AC776" s="47">
        <f>AC5</f>
        <v>0</v>
      </c>
      <c r="AD776" s="47"/>
      <c r="AE776" s="47" t="s">
        <v>9842</v>
      </c>
      <c r="AF776" s="47"/>
      <c r="AG776" s="47"/>
      <c r="AH776" s="47" t="str">
        <f>IFERROR(_xlfn.XLOOKUP(Table6[[#This Row],[Suburb]],Table5[Travel Surcharge],Table5[$$]),"")</f>
        <v/>
      </c>
      <c r="AI776" s="47"/>
      <c r="AJ776" s="47"/>
      <c r="AL776" t="str">
        <v>The Rise Estate</v>
      </c>
    </row>
    <row r="777" spans="1:38">
      <c r="A777" s="374" t="s">
        <v>1530</v>
      </c>
      <c r="B777" s="374" t="s">
        <v>1531</v>
      </c>
      <c r="C777" s="374" t="s">
        <v>1532</v>
      </c>
      <c r="D777" s="375" t="str">
        <f t="shared" si="157"/>
        <v>Blanch Estate2F</v>
      </c>
      <c r="E777" s="375" t="s">
        <v>1533</v>
      </c>
      <c r="F777" s="375"/>
      <c r="G777" s="375" t="s">
        <v>1534</v>
      </c>
      <c r="H777" s="375" t="s">
        <v>1535</v>
      </c>
      <c r="I777" s="63" t="s">
        <v>1536</v>
      </c>
      <c r="J777" s="47"/>
      <c r="K777" s="46" t="s">
        <v>10735</v>
      </c>
      <c r="L777" s="47"/>
      <c r="M777" s="47"/>
      <c r="N777" s="47"/>
      <c r="O777" s="47"/>
      <c r="P777" s="47"/>
      <c r="Q777" s="47">
        <f>Q$2</f>
        <v>0</v>
      </c>
      <c r="R777" s="47"/>
      <c r="S777" s="47"/>
      <c r="T777" s="47"/>
      <c r="U777" s="47"/>
      <c r="V777" s="47"/>
      <c r="W777" s="47"/>
      <c r="X777" s="47"/>
      <c r="Y777" s="47"/>
      <c r="Z777" s="47">
        <f t="shared" si="164"/>
        <v>4620</v>
      </c>
      <c r="AA777" s="47"/>
      <c r="AB777" s="47"/>
      <c r="AC777" s="47"/>
      <c r="AD777" s="47"/>
      <c r="AE777" s="47"/>
      <c r="AF777" s="47"/>
      <c r="AG777" s="47"/>
      <c r="AH777" s="47">
        <f>IFERROR(_xlfn.XLOOKUP(Table6[[#This Row],[Suburb]],Table5[Travel Surcharge],Table5[$$]),"")</f>
        <v>1500</v>
      </c>
      <c r="AI777" s="47"/>
      <c r="AJ777" s="47"/>
      <c r="AL777" t="str">
        <v>The Rise Traralgon</v>
      </c>
    </row>
    <row r="778" spans="1:38">
      <c r="A778" s="374" t="s">
        <v>1544</v>
      </c>
      <c r="B778" s="374">
        <v>2</v>
      </c>
      <c r="C778" s="374" t="s">
        <v>428</v>
      </c>
      <c r="D778" s="375" t="str">
        <f t="shared" si="157"/>
        <v>Bloom - The New Estate2</v>
      </c>
      <c r="E778" s="375" t="s">
        <v>1545</v>
      </c>
      <c r="F778" s="375" t="s">
        <v>1546</v>
      </c>
      <c r="G778" s="375" t="s">
        <v>851</v>
      </c>
      <c r="H778" s="375" t="s">
        <v>852</v>
      </c>
      <c r="I778" s="63" t="s">
        <v>853</v>
      </c>
      <c r="J778" s="47">
        <f t="shared" ref="J778:J790" si="165">J$7</f>
        <v>3740</v>
      </c>
      <c r="K778" s="46" t="s">
        <v>10735</v>
      </c>
      <c r="L778" s="47"/>
      <c r="M778" s="47"/>
      <c r="N778" s="47"/>
      <c r="O778" s="47"/>
      <c r="P778" s="47"/>
      <c r="Q778" s="47"/>
      <c r="R778" s="47"/>
      <c r="S778" s="47"/>
      <c r="T778" s="47">
        <f t="shared" ref="T778:T783" si="166">T$2</f>
        <v>780</v>
      </c>
      <c r="U778" s="47"/>
      <c r="V778" s="47"/>
      <c r="W778" s="47"/>
      <c r="X778" s="47">
        <f t="shared" ref="X778:X783" si="167">X$7</f>
        <v>3000</v>
      </c>
      <c r="Y778" s="47"/>
      <c r="Z778" s="47">
        <f t="shared" si="164"/>
        <v>4620</v>
      </c>
      <c r="AA778" s="47">
        <f t="shared" ref="AA778:AA799" si="168">AA$7</f>
        <v>1400</v>
      </c>
      <c r="AB778" s="47"/>
      <c r="AC778" s="47"/>
      <c r="AD778" s="47"/>
      <c r="AE778" s="47"/>
      <c r="AF778" s="47"/>
      <c r="AG778" s="47"/>
      <c r="AH778" s="47" t="str">
        <f>IFERROR(_xlfn.XLOOKUP(Table6[[#This Row],[Suburb]],Table5[Travel Surcharge],Table5[$$]),"")</f>
        <v/>
      </c>
      <c r="AI778" s="47"/>
      <c r="AJ778" s="47"/>
      <c r="AL778" t="str">
        <v>The Roads</v>
      </c>
    </row>
    <row r="779" spans="1:38">
      <c r="A779" s="374" t="s">
        <v>1547</v>
      </c>
      <c r="B779" s="374">
        <v>1</v>
      </c>
      <c r="C779" s="374" t="s">
        <v>428</v>
      </c>
      <c r="D779" s="375" t="str">
        <f t="shared" si="157"/>
        <v>Bloom Estate1</v>
      </c>
      <c r="E779" s="375" t="s">
        <v>1548</v>
      </c>
      <c r="F779" s="375" t="s">
        <v>1546</v>
      </c>
      <c r="G779" s="375" t="s">
        <v>851</v>
      </c>
      <c r="H779" s="375" t="s">
        <v>852</v>
      </c>
      <c r="I779" s="63" t="s">
        <v>853</v>
      </c>
      <c r="J779" s="47">
        <f t="shared" si="165"/>
        <v>3740</v>
      </c>
      <c r="K779" s="46" t="s">
        <v>10735</v>
      </c>
      <c r="L779" s="47"/>
      <c r="M779" s="47"/>
      <c r="N779" s="47"/>
      <c r="O779" s="47"/>
      <c r="P779" s="47"/>
      <c r="Q779" s="47"/>
      <c r="R779" s="47"/>
      <c r="S779" s="47"/>
      <c r="T779" s="47">
        <f t="shared" si="166"/>
        <v>780</v>
      </c>
      <c r="U779" s="47"/>
      <c r="V779" s="47"/>
      <c r="W779" s="47"/>
      <c r="X779" s="47">
        <f t="shared" si="167"/>
        <v>3000</v>
      </c>
      <c r="Y779" s="47"/>
      <c r="Z779" s="47">
        <f t="shared" si="164"/>
        <v>4620</v>
      </c>
      <c r="AA779" s="47">
        <f t="shared" si="168"/>
        <v>1400</v>
      </c>
      <c r="AB779" s="47"/>
      <c r="AC779" s="47"/>
      <c r="AD779" s="47"/>
      <c r="AE779" s="47"/>
      <c r="AF779" s="47"/>
      <c r="AG779" s="47"/>
      <c r="AH779" s="47" t="str">
        <f>IFERROR(_xlfn.XLOOKUP(Table6[[#This Row],[Suburb]],Table5[Travel Surcharge],Table5[$$]),"")</f>
        <v/>
      </c>
      <c r="AI779" s="47"/>
      <c r="AJ779" s="47"/>
      <c r="AL779" t="str">
        <v>The Tarneit Place</v>
      </c>
    </row>
    <row r="780" spans="1:38">
      <c r="A780" s="374" t="s">
        <v>1547</v>
      </c>
      <c r="B780" s="374">
        <v>2</v>
      </c>
      <c r="C780" s="374" t="s">
        <v>428</v>
      </c>
      <c r="D780" s="375" t="str">
        <f t="shared" si="157"/>
        <v>Bloom Estate2</v>
      </c>
      <c r="E780" s="375" t="s">
        <v>1549</v>
      </c>
      <c r="F780" s="375" t="s">
        <v>1546</v>
      </c>
      <c r="G780" s="375" t="s">
        <v>851</v>
      </c>
      <c r="H780" s="375" t="s">
        <v>852</v>
      </c>
      <c r="I780" s="63" t="s">
        <v>853</v>
      </c>
      <c r="J780" s="47">
        <f t="shared" si="165"/>
        <v>3740</v>
      </c>
      <c r="K780" s="46" t="s">
        <v>10735</v>
      </c>
      <c r="L780" s="47"/>
      <c r="M780" s="47"/>
      <c r="N780" s="47"/>
      <c r="O780" s="47"/>
      <c r="P780" s="47"/>
      <c r="Q780" s="47"/>
      <c r="R780" s="47"/>
      <c r="S780" s="47"/>
      <c r="T780" s="47">
        <f t="shared" si="166"/>
        <v>780</v>
      </c>
      <c r="U780" s="47"/>
      <c r="V780" s="47"/>
      <c r="W780" s="47"/>
      <c r="X780" s="47">
        <f t="shared" si="167"/>
        <v>3000</v>
      </c>
      <c r="Y780" s="47"/>
      <c r="Z780" s="47">
        <f t="shared" si="164"/>
        <v>4620</v>
      </c>
      <c r="AA780" s="47">
        <f t="shared" si="168"/>
        <v>1400</v>
      </c>
      <c r="AB780" s="47"/>
      <c r="AC780" s="47"/>
      <c r="AD780" s="47"/>
      <c r="AE780" s="47"/>
      <c r="AF780" s="47"/>
      <c r="AG780" s="47"/>
      <c r="AH780" s="47" t="str">
        <f>IFERROR(_xlfn.XLOOKUP(Table6[[#This Row],[Suburb]],Table5[Travel Surcharge],Table5[$$]),"")</f>
        <v/>
      </c>
      <c r="AI780" s="47"/>
      <c r="AJ780" s="47"/>
      <c r="AL780" t="str">
        <v>The Village</v>
      </c>
    </row>
    <row r="781" spans="1:38">
      <c r="A781" s="374" t="s">
        <v>1547</v>
      </c>
      <c r="B781" s="374">
        <v>3</v>
      </c>
      <c r="C781" s="374" t="s">
        <v>428</v>
      </c>
      <c r="D781" s="375" t="str">
        <f t="shared" si="157"/>
        <v>Bloom Estate3</v>
      </c>
      <c r="E781" s="375" t="s">
        <v>1550</v>
      </c>
      <c r="F781" s="375" t="s">
        <v>1546</v>
      </c>
      <c r="G781" s="375" t="s">
        <v>851</v>
      </c>
      <c r="H781" s="375" t="s">
        <v>852</v>
      </c>
      <c r="I781" s="63" t="s">
        <v>853</v>
      </c>
      <c r="J781" s="47">
        <f t="shared" si="165"/>
        <v>3740</v>
      </c>
      <c r="K781" s="46" t="s">
        <v>10735</v>
      </c>
      <c r="L781" s="47"/>
      <c r="M781" s="47"/>
      <c r="N781" s="47"/>
      <c r="O781" s="47"/>
      <c r="P781" s="47"/>
      <c r="Q781" s="47"/>
      <c r="R781" s="47"/>
      <c r="S781" s="47"/>
      <c r="T781" s="47">
        <f t="shared" si="166"/>
        <v>780</v>
      </c>
      <c r="U781" s="47"/>
      <c r="V781" s="47"/>
      <c r="W781" s="47"/>
      <c r="X781" s="47">
        <f t="shared" si="167"/>
        <v>3000</v>
      </c>
      <c r="Y781" s="47"/>
      <c r="Z781" s="47">
        <f t="shared" si="164"/>
        <v>4620</v>
      </c>
      <c r="AA781" s="47">
        <f t="shared" si="168"/>
        <v>1400</v>
      </c>
      <c r="AB781" s="47"/>
      <c r="AC781" s="47"/>
      <c r="AD781" s="47"/>
      <c r="AE781" s="47"/>
      <c r="AF781" s="47"/>
      <c r="AG781" s="47"/>
      <c r="AH781" s="47" t="str">
        <f>IFERROR(_xlfn.XLOOKUP(Table6[[#This Row],[Suburb]],Table5[Travel Surcharge],Table5[$$]),"")</f>
        <v/>
      </c>
      <c r="AI781" s="47"/>
      <c r="AJ781" s="47"/>
      <c r="AL781" t="str">
        <v>The Waves</v>
      </c>
    </row>
    <row r="782" spans="1:38">
      <c r="A782" s="374" t="s">
        <v>1547</v>
      </c>
      <c r="B782" s="374">
        <v>4</v>
      </c>
      <c r="C782" s="374" t="s">
        <v>428</v>
      </c>
      <c r="D782" s="375" t="str">
        <f t="shared" si="157"/>
        <v>Bloom Estate4</v>
      </c>
      <c r="E782" s="375" t="s">
        <v>1551</v>
      </c>
      <c r="F782" s="375" t="s">
        <v>1546</v>
      </c>
      <c r="G782" s="375" t="s">
        <v>851</v>
      </c>
      <c r="H782" s="375" t="s">
        <v>852</v>
      </c>
      <c r="I782" s="63" t="s">
        <v>853</v>
      </c>
      <c r="J782" s="47">
        <f t="shared" si="165"/>
        <v>3740</v>
      </c>
      <c r="K782" s="46" t="s">
        <v>10735</v>
      </c>
      <c r="L782" s="47"/>
      <c r="M782" s="47"/>
      <c r="N782" s="47"/>
      <c r="O782" s="47"/>
      <c r="P782" s="47"/>
      <c r="Q782" s="47"/>
      <c r="R782" s="47"/>
      <c r="S782" s="47"/>
      <c r="T782" s="47">
        <f t="shared" si="166"/>
        <v>780</v>
      </c>
      <c r="U782" s="47"/>
      <c r="V782" s="47"/>
      <c r="W782" s="47"/>
      <c r="X782" s="47">
        <f t="shared" si="167"/>
        <v>3000</v>
      </c>
      <c r="Y782" s="47"/>
      <c r="Z782" s="47">
        <f t="shared" si="164"/>
        <v>4620</v>
      </c>
      <c r="AA782" s="47">
        <f t="shared" si="168"/>
        <v>1400</v>
      </c>
      <c r="AB782" s="47"/>
      <c r="AC782" s="47"/>
      <c r="AD782" s="47"/>
      <c r="AE782" s="47"/>
      <c r="AF782" s="47"/>
      <c r="AG782" s="47"/>
      <c r="AH782" s="47" t="str">
        <f>IFERROR(_xlfn.XLOOKUP(Table6[[#This Row],[Suburb]],Table5[Travel Surcharge],Table5[$$]),"")</f>
        <v/>
      </c>
      <c r="AI782" s="47"/>
      <c r="AJ782" s="47"/>
      <c r="AL782" t="str">
        <v>The Willows at Botanical</v>
      </c>
    </row>
    <row r="783" spans="1:38">
      <c r="A783" s="374" t="s">
        <v>1547</v>
      </c>
      <c r="B783" s="374">
        <v>8</v>
      </c>
      <c r="C783" s="374" t="s">
        <v>428</v>
      </c>
      <c r="D783" s="375" t="str">
        <f t="shared" si="157"/>
        <v>Bloom Estate8</v>
      </c>
      <c r="E783" s="375" t="s">
        <v>1545</v>
      </c>
      <c r="F783" s="375" t="s">
        <v>1546</v>
      </c>
      <c r="G783" s="375" t="s">
        <v>851</v>
      </c>
      <c r="H783" s="375" t="s">
        <v>852</v>
      </c>
      <c r="I783" s="63" t="s">
        <v>853</v>
      </c>
      <c r="J783" s="47">
        <f t="shared" si="165"/>
        <v>3740</v>
      </c>
      <c r="K783" s="46" t="s">
        <v>10735</v>
      </c>
      <c r="L783" s="47"/>
      <c r="M783" s="47"/>
      <c r="N783" s="47"/>
      <c r="O783" s="47"/>
      <c r="P783" s="47"/>
      <c r="Q783" s="47"/>
      <c r="R783" s="47"/>
      <c r="S783" s="47"/>
      <c r="T783" s="47">
        <f t="shared" si="166"/>
        <v>780</v>
      </c>
      <c r="U783" s="47"/>
      <c r="V783" s="47"/>
      <c r="W783" s="47"/>
      <c r="X783" s="47">
        <f t="shared" si="167"/>
        <v>3000</v>
      </c>
      <c r="Y783" s="47"/>
      <c r="Z783" s="47">
        <f t="shared" si="164"/>
        <v>4620</v>
      </c>
      <c r="AA783" s="47">
        <f t="shared" si="168"/>
        <v>1400</v>
      </c>
      <c r="AB783" s="47"/>
      <c r="AC783" s="47"/>
      <c r="AD783" s="47"/>
      <c r="AE783" s="47"/>
      <c r="AF783" s="47"/>
      <c r="AG783" s="47"/>
      <c r="AH783" s="47" t="str">
        <f>IFERROR(_xlfn.XLOOKUP(Table6[[#This Row],[Suburb]],Table5[Travel Surcharge],Table5[$$]),"")</f>
        <v/>
      </c>
      <c r="AI783" s="47"/>
      <c r="AJ783" s="47"/>
      <c r="AL783" t="str">
        <v>The Woods Estate</v>
      </c>
    </row>
    <row r="784" spans="1:38">
      <c r="A784" s="374" t="s">
        <v>1552</v>
      </c>
      <c r="B784" s="374">
        <v>12</v>
      </c>
      <c r="C784" s="374" t="s">
        <v>567</v>
      </c>
      <c r="D784" s="375" t="str">
        <f t="shared" si="157"/>
        <v>Bloomdale Estate12</v>
      </c>
      <c r="E784" s="375" t="s">
        <v>1553</v>
      </c>
      <c r="F784" s="375" t="s">
        <v>1554</v>
      </c>
      <c r="G784" s="375" t="s">
        <v>1555</v>
      </c>
      <c r="H784" s="375"/>
      <c r="I784" s="63" t="s">
        <v>1556</v>
      </c>
      <c r="J784" s="47">
        <f t="shared" si="165"/>
        <v>3740</v>
      </c>
      <c r="K784" s="46" t="s">
        <v>10735</v>
      </c>
      <c r="L784" s="47"/>
      <c r="M784" s="47">
        <f t="shared" ref="M784:M799" si="169">M$7</f>
        <v>1430.0000000000002</v>
      </c>
      <c r="N784" s="47"/>
      <c r="O784" s="47"/>
      <c r="P784" s="47"/>
      <c r="Q784" s="47">
        <f t="shared" ref="Q784:Q799" si="170">Q$2</f>
        <v>0</v>
      </c>
      <c r="R784" s="47"/>
      <c r="S784" s="47"/>
      <c r="T784" s="47"/>
      <c r="U784" s="47"/>
      <c r="V784" s="47"/>
      <c r="W784" s="47"/>
      <c r="X784" s="47"/>
      <c r="Y784" s="47"/>
      <c r="Z784" s="47">
        <f t="shared" si="164"/>
        <v>4620</v>
      </c>
      <c r="AA784" s="47">
        <f t="shared" si="168"/>
        <v>1400</v>
      </c>
      <c r="AB784" s="47"/>
      <c r="AC784" s="47"/>
      <c r="AD784" s="47"/>
      <c r="AE784" s="47"/>
      <c r="AF784" s="47">
        <f t="shared" ref="AF784:AF799" si="171">AF$7</f>
        <v>1485</v>
      </c>
      <c r="AG784" s="47"/>
      <c r="AH784" s="47" t="str">
        <f>IFERROR(_xlfn.XLOOKUP(Table6[[#This Row],[Suburb]],Table5[Travel Surcharge],Table5[$$]),"")</f>
        <v/>
      </c>
      <c r="AI784" s="47"/>
      <c r="AJ784" s="47"/>
      <c r="AL784" t="str">
        <v>Thompsons Run Estate</v>
      </c>
    </row>
    <row r="785" spans="1:38">
      <c r="A785" s="374" t="s">
        <v>1552</v>
      </c>
      <c r="B785" s="374">
        <v>18</v>
      </c>
      <c r="C785" s="374" t="s">
        <v>567</v>
      </c>
      <c r="D785" s="375" t="str">
        <f t="shared" si="157"/>
        <v>Bloomdale Estate18</v>
      </c>
      <c r="E785" s="375" t="s">
        <v>1553</v>
      </c>
      <c r="F785" s="375" t="s">
        <v>1554</v>
      </c>
      <c r="G785" s="375" t="s">
        <v>1555</v>
      </c>
      <c r="H785" s="375"/>
      <c r="I785" s="63" t="s">
        <v>1556</v>
      </c>
      <c r="J785" s="47">
        <f t="shared" si="165"/>
        <v>3740</v>
      </c>
      <c r="K785" s="46" t="s">
        <v>10735</v>
      </c>
      <c r="L785" s="47"/>
      <c r="M785" s="47">
        <f t="shared" si="169"/>
        <v>1430.0000000000002</v>
      </c>
      <c r="N785" s="47"/>
      <c r="O785" s="47"/>
      <c r="P785" s="47"/>
      <c r="Q785" s="47">
        <f t="shared" si="170"/>
        <v>0</v>
      </c>
      <c r="R785" s="47"/>
      <c r="S785" s="47"/>
      <c r="T785" s="47"/>
      <c r="U785" s="47"/>
      <c r="V785" s="47"/>
      <c r="W785" s="47"/>
      <c r="X785" s="47"/>
      <c r="Y785" s="47"/>
      <c r="Z785" s="47">
        <f t="shared" si="164"/>
        <v>4620</v>
      </c>
      <c r="AA785" s="47">
        <f t="shared" si="168"/>
        <v>1400</v>
      </c>
      <c r="AB785" s="47"/>
      <c r="AC785" s="47"/>
      <c r="AD785" s="47"/>
      <c r="AE785" s="47"/>
      <c r="AF785" s="47">
        <f t="shared" si="171"/>
        <v>1485</v>
      </c>
      <c r="AG785" s="47"/>
      <c r="AH785" s="47" t="str">
        <f>IFERROR(_xlfn.XLOOKUP(Table6[[#This Row],[Suburb]],Table5[Travel Surcharge],Table5[$$]),"")</f>
        <v/>
      </c>
      <c r="AI785" s="47"/>
      <c r="AJ785" s="47"/>
      <c r="AL785" t="str">
        <v>Thornhill Central</v>
      </c>
    </row>
    <row r="786" spans="1:38">
      <c r="A786" s="374" t="s">
        <v>1552</v>
      </c>
      <c r="B786" s="374">
        <v>19</v>
      </c>
      <c r="C786" s="374" t="s">
        <v>567</v>
      </c>
      <c r="D786" s="375" t="str">
        <f t="shared" ref="D786:D852" si="172">CONCATENATE(A786,B786)</f>
        <v>Bloomdale Estate19</v>
      </c>
      <c r="E786" s="375" t="s">
        <v>1557</v>
      </c>
      <c r="F786" s="375" t="s">
        <v>1554</v>
      </c>
      <c r="G786" s="375" t="s">
        <v>1555</v>
      </c>
      <c r="H786" s="375"/>
      <c r="I786" s="63" t="s">
        <v>1556</v>
      </c>
      <c r="J786" s="47">
        <f t="shared" si="165"/>
        <v>3740</v>
      </c>
      <c r="K786" s="46" t="s">
        <v>10735</v>
      </c>
      <c r="L786" s="47"/>
      <c r="M786" s="47">
        <f t="shared" si="169"/>
        <v>1430.0000000000002</v>
      </c>
      <c r="N786" s="47"/>
      <c r="O786" s="47"/>
      <c r="P786" s="47"/>
      <c r="Q786" s="47">
        <f t="shared" si="170"/>
        <v>0</v>
      </c>
      <c r="R786" s="47"/>
      <c r="S786" s="47"/>
      <c r="T786" s="47"/>
      <c r="U786" s="47"/>
      <c r="V786" s="47"/>
      <c r="W786" s="47"/>
      <c r="X786" s="47"/>
      <c r="Y786" s="47"/>
      <c r="Z786" s="47">
        <f t="shared" si="164"/>
        <v>4620</v>
      </c>
      <c r="AA786" s="47">
        <f t="shared" si="168"/>
        <v>1400</v>
      </c>
      <c r="AB786" s="47"/>
      <c r="AC786" s="47"/>
      <c r="AD786" s="47"/>
      <c r="AE786" s="47"/>
      <c r="AF786" s="47">
        <f t="shared" si="171"/>
        <v>1485</v>
      </c>
      <c r="AG786" s="47"/>
      <c r="AH786" s="47" t="str">
        <f>IFERROR(_xlfn.XLOOKUP(Table6[[#This Row],[Suburb]],Table5[Travel Surcharge],Table5[$$]),"")</f>
        <v/>
      </c>
      <c r="AI786" s="47"/>
      <c r="AJ786" s="47"/>
      <c r="AL786" t="str">
        <v>Thornhill Gardens</v>
      </c>
    </row>
    <row r="787" spans="1:38">
      <c r="A787" s="157" t="s">
        <v>1552</v>
      </c>
      <c r="B787" s="157">
        <v>23</v>
      </c>
      <c r="C787" s="157" t="s">
        <v>567</v>
      </c>
      <c r="D787" s="157" t="str">
        <f t="shared" si="172"/>
        <v>Bloomdale Estate23</v>
      </c>
      <c r="E787" s="157" t="s">
        <v>8074</v>
      </c>
      <c r="F787" s="157" t="s">
        <v>1554</v>
      </c>
      <c r="G787" s="157" t="s">
        <v>1555</v>
      </c>
      <c r="H787" s="157"/>
      <c r="I787" s="158" t="s">
        <v>1556</v>
      </c>
      <c r="J787" s="47">
        <f t="shared" si="165"/>
        <v>3740</v>
      </c>
      <c r="K787" s="46" t="s">
        <v>10735</v>
      </c>
      <c r="L787" s="47"/>
      <c r="M787" s="47">
        <f t="shared" si="169"/>
        <v>1430.0000000000002</v>
      </c>
      <c r="N787" s="47"/>
      <c r="O787" s="47"/>
      <c r="P787" s="47"/>
      <c r="Q787" s="47">
        <f t="shared" si="170"/>
        <v>0</v>
      </c>
      <c r="R787" s="47"/>
      <c r="S787" s="47"/>
      <c r="T787" s="47"/>
      <c r="U787" s="47"/>
      <c r="V787" s="47"/>
      <c r="W787" s="47"/>
      <c r="X787" s="47"/>
      <c r="Y787" s="47"/>
      <c r="Z787" s="47">
        <f t="shared" si="164"/>
        <v>4620</v>
      </c>
      <c r="AA787" s="47">
        <f t="shared" si="168"/>
        <v>1400</v>
      </c>
      <c r="AB787" s="47"/>
      <c r="AC787" s="47"/>
      <c r="AD787" s="47"/>
      <c r="AE787" s="47"/>
      <c r="AF787" s="47">
        <f t="shared" si="171"/>
        <v>1485</v>
      </c>
      <c r="AG787" s="47"/>
      <c r="AH787" s="47" t="str">
        <f>IFERROR(_xlfn.XLOOKUP(Table6[[#This Row],[Suburb]],Table5[Travel Surcharge],Table5[$$]),"")</f>
        <v/>
      </c>
      <c r="AI787" s="47"/>
      <c r="AJ787" s="47"/>
      <c r="AL787" t="str">
        <v>Thornhill Park Estate</v>
      </c>
    </row>
    <row r="788" spans="1:38">
      <c r="A788" s="374" t="s">
        <v>1552</v>
      </c>
      <c r="B788" s="374">
        <v>26</v>
      </c>
      <c r="C788" s="374" t="s">
        <v>567</v>
      </c>
      <c r="D788" s="375" t="str">
        <f t="shared" si="172"/>
        <v>Bloomdale Estate26</v>
      </c>
      <c r="E788" s="375" t="s">
        <v>1558</v>
      </c>
      <c r="F788" s="375" t="s">
        <v>1554</v>
      </c>
      <c r="G788" s="375" t="s">
        <v>1555</v>
      </c>
      <c r="H788" s="375"/>
      <c r="I788" s="63" t="s">
        <v>1556</v>
      </c>
      <c r="J788" s="47">
        <f t="shared" si="165"/>
        <v>3740</v>
      </c>
      <c r="K788" s="46" t="s">
        <v>10735</v>
      </c>
      <c r="L788" s="47"/>
      <c r="M788" s="47">
        <f t="shared" si="169"/>
        <v>1430.0000000000002</v>
      </c>
      <c r="N788" s="47"/>
      <c r="O788" s="47"/>
      <c r="P788" s="47"/>
      <c r="Q788" s="47">
        <f t="shared" si="170"/>
        <v>0</v>
      </c>
      <c r="R788" s="47"/>
      <c r="S788" s="47"/>
      <c r="T788" s="47"/>
      <c r="U788" s="47"/>
      <c r="V788" s="47"/>
      <c r="W788" s="47"/>
      <c r="X788" s="47"/>
      <c r="Y788" s="47"/>
      <c r="Z788" s="47">
        <f t="shared" si="164"/>
        <v>4620</v>
      </c>
      <c r="AA788" s="47">
        <f t="shared" si="168"/>
        <v>1400</v>
      </c>
      <c r="AB788" s="47"/>
      <c r="AC788" s="47"/>
      <c r="AD788" s="47"/>
      <c r="AE788" s="47"/>
      <c r="AF788" s="47">
        <f t="shared" si="171"/>
        <v>1485</v>
      </c>
      <c r="AG788" s="47"/>
      <c r="AH788" s="47" t="str">
        <f>IFERROR(_xlfn.XLOOKUP(Table6[[#This Row],[Suburb]],Table5[Travel Surcharge],Table5[$$]),"")</f>
        <v/>
      </c>
      <c r="AI788" s="47"/>
      <c r="AJ788" s="47"/>
      <c r="AL788" t="str">
        <v>Thornhill Park Estate - Mayflower</v>
      </c>
    </row>
    <row r="789" spans="1:38">
      <c r="A789" s="374" t="s">
        <v>1552</v>
      </c>
      <c r="B789" s="374">
        <v>27</v>
      </c>
      <c r="C789" s="374" t="s">
        <v>567</v>
      </c>
      <c r="D789" s="375" t="str">
        <f t="shared" si="172"/>
        <v>Bloomdale Estate27</v>
      </c>
      <c r="E789" s="375" t="s">
        <v>10741</v>
      </c>
      <c r="F789" s="375" t="s">
        <v>1554</v>
      </c>
      <c r="G789" s="375" t="s">
        <v>1555</v>
      </c>
      <c r="H789" s="375"/>
      <c r="I789" s="63" t="s">
        <v>1556</v>
      </c>
      <c r="J789" s="47">
        <v>3740</v>
      </c>
      <c r="K789" s="46" t="s">
        <v>10735</v>
      </c>
      <c r="L789" s="47"/>
      <c r="M789" s="47">
        <v>1430.0000000000002</v>
      </c>
      <c r="N789" s="47"/>
      <c r="O789" s="47"/>
      <c r="P789" s="47"/>
      <c r="Q789" s="47">
        <v>0</v>
      </c>
      <c r="R789" s="47"/>
      <c r="S789" s="47"/>
      <c r="T789" s="47"/>
      <c r="U789" s="47"/>
      <c r="V789" s="47"/>
      <c r="W789" s="47"/>
      <c r="X789" s="47"/>
      <c r="Y789" s="47"/>
      <c r="Z789" s="47">
        <v>4620</v>
      </c>
      <c r="AA789" s="47">
        <v>1400</v>
      </c>
      <c r="AB789" s="47"/>
      <c r="AC789" s="47"/>
      <c r="AD789" s="47"/>
      <c r="AE789" s="47"/>
      <c r="AF789" s="47">
        <v>1485</v>
      </c>
      <c r="AG789" s="47"/>
      <c r="AH789" s="47" t="s">
        <v>9976</v>
      </c>
      <c r="AI789" s="47"/>
      <c r="AJ789" s="47"/>
      <c r="AL789" t="str">
        <v>Thoroughbred Estate</v>
      </c>
    </row>
    <row r="790" spans="1:38">
      <c r="A790" s="374" t="s">
        <v>1552</v>
      </c>
      <c r="B790" s="374">
        <v>29</v>
      </c>
      <c r="C790" s="374" t="s">
        <v>567</v>
      </c>
      <c r="D790" s="375" t="str">
        <f t="shared" si="172"/>
        <v>Bloomdale Estate29</v>
      </c>
      <c r="E790" s="375" t="s">
        <v>1559</v>
      </c>
      <c r="F790" s="375" t="s">
        <v>1554</v>
      </c>
      <c r="G790" s="375" t="s">
        <v>1555</v>
      </c>
      <c r="H790" s="375"/>
      <c r="I790" s="63" t="s">
        <v>1556</v>
      </c>
      <c r="J790" s="47">
        <f t="shared" si="165"/>
        <v>3740</v>
      </c>
      <c r="K790" s="46" t="s">
        <v>10735</v>
      </c>
      <c r="L790" s="47"/>
      <c r="M790" s="47">
        <f t="shared" si="169"/>
        <v>1430.0000000000002</v>
      </c>
      <c r="N790" s="47"/>
      <c r="O790" s="47"/>
      <c r="P790" s="47"/>
      <c r="Q790" s="47">
        <f t="shared" si="170"/>
        <v>0</v>
      </c>
      <c r="R790" s="47"/>
      <c r="S790" s="47"/>
      <c r="T790" s="47"/>
      <c r="U790" s="47"/>
      <c r="V790" s="47"/>
      <c r="W790" s="47"/>
      <c r="X790" s="47"/>
      <c r="Y790" s="47"/>
      <c r="Z790" s="47">
        <f t="shared" si="164"/>
        <v>4620</v>
      </c>
      <c r="AA790" s="47">
        <f t="shared" si="168"/>
        <v>1400</v>
      </c>
      <c r="AB790" s="47"/>
      <c r="AC790" s="47"/>
      <c r="AD790" s="47"/>
      <c r="AE790" s="47"/>
      <c r="AF790" s="47">
        <f t="shared" si="171"/>
        <v>1485</v>
      </c>
      <c r="AG790" s="47"/>
      <c r="AH790" s="47" t="str">
        <f>IFERROR(_xlfn.XLOOKUP(Table6[[#This Row],[Suburb]],Table5[Travel Surcharge],Table5[$$]),"")</f>
        <v/>
      </c>
      <c r="AI790" s="47"/>
      <c r="AJ790" s="47"/>
      <c r="AL790" t="str">
        <v>Timbarra Estate</v>
      </c>
    </row>
    <row r="791" spans="1:38">
      <c r="A791" s="374" t="s">
        <v>1552</v>
      </c>
      <c r="B791" s="374">
        <v>30</v>
      </c>
      <c r="C791" s="374" t="s">
        <v>567</v>
      </c>
      <c r="D791" s="375" t="str">
        <f t="shared" si="172"/>
        <v>Bloomdale Estate30</v>
      </c>
      <c r="E791" s="375" t="s">
        <v>1560</v>
      </c>
      <c r="F791" s="375" t="s">
        <v>1554</v>
      </c>
      <c r="G791" s="375" t="s">
        <v>1555</v>
      </c>
      <c r="H791" s="375"/>
      <c r="I791" s="63" t="s">
        <v>1556</v>
      </c>
      <c r="J791" s="47"/>
      <c r="K791" s="46" t="s">
        <v>10735</v>
      </c>
      <c r="L791" s="47"/>
      <c r="M791" s="47">
        <f t="shared" si="169"/>
        <v>1430.0000000000002</v>
      </c>
      <c r="N791" s="47" t="s">
        <v>1561</v>
      </c>
      <c r="O791" s="47" t="s">
        <v>1562</v>
      </c>
      <c r="P791" s="47" t="s">
        <v>1563</v>
      </c>
      <c r="Q791" s="47">
        <f t="shared" si="170"/>
        <v>0</v>
      </c>
      <c r="R791" s="47"/>
      <c r="S791" s="47"/>
      <c r="T791" s="47"/>
      <c r="U791" s="47"/>
      <c r="V791" s="47"/>
      <c r="W791" s="47"/>
      <c r="X791" s="47"/>
      <c r="Y791" s="47"/>
      <c r="Z791" s="47">
        <f t="shared" si="164"/>
        <v>4620</v>
      </c>
      <c r="AA791" s="47">
        <f t="shared" si="168"/>
        <v>1400</v>
      </c>
      <c r="AB791" s="47"/>
      <c r="AC791" s="47"/>
      <c r="AD791" s="47"/>
      <c r="AE791" s="47"/>
      <c r="AF791" s="47">
        <f t="shared" si="171"/>
        <v>1485</v>
      </c>
      <c r="AG791" s="47"/>
      <c r="AH791" s="47" t="str">
        <f>IFERROR(_xlfn.XLOOKUP(Table6[[#This Row],[Suburb]],Table5[Travel Surcharge],Table5[$$]),"")</f>
        <v/>
      </c>
      <c r="AI791" s="47"/>
      <c r="AJ791" s="47"/>
      <c r="AL791" t="str">
        <v>Timberbelle Place</v>
      </c>
    </row>
    <row r="792" spans="1:38">
      <c r="A792" s="374" t="s">
        <v>1552</v>
      </c>
      <c r="B792" s="374">
        <v>31</v>
      </c>
      <c r="C792" s="374" t="s">
        <v>567</v>
      </c>
      <c r="D792" s="375" t="str">
        <f t="shared" si="172"/>
        <v>Bloomdale Estate31</v>
      </c>
      <c r="E792" s="375" t="s">
        <v>1564</v>
      </c>
      <c r="F792" s="375" t="s">
        <v>1554</v>
      </c>
      <c r="G792" s="375" t="s">
        <v>1555</v>
      </c>
      <c r="H792" s="375"/>
      <c r="I792" s="63" t="s">
        <v>1556</v>
      </c>
      <c r="J792" s="47"/>
      <c r="K792" s="46" t="s">
        <v>10735</v>
      </c>
      <c r="L792" s="47"/>
      <c r="M792" s="47">
        <f t="shared" si="169"/>
        <v>1430.0000000000002</v>
      </c>
      <c r="N792" s="47" t="s">
        <v>1561</v>
      </c>
      <c r="O792" s="47" t="s">
        <v>1562</v>
      </c>
      <c r="P792" s="47"/>
      <c r="Q792" s="47">
        <f t="shared" si="170"/>
        <v>0</v>
      </c>
      <c r="R792" s="47"/>
      <c r="S792" s="47"/>
      <c r="T792" s="47"/>
      <c r="U792" s="47"/>
      <c r="V792" s="47"/>
      <c r="W792" s="47"/>
      <c r="X792" s="47"/>
      <c r="Y792" s="47"/>
      <c r="Z792" s="47">
        <f t="shared" si="164"/>
        <v>4620</v>
      </c>
      <c r="AA792" s="47">
        <f t="shared" si="168"/>
        <v>1400</v>
      </c>
      <c r="AB792" s="47"/>
      <c r="AC792" s="47"/>
      <c r="AD792" s="47"/>
      <c r="AE792" s="47"/>
      <c r="AF792" s="47">
        <f t="shared" si="171"/>
        <v>1485</v>
      </c>
      <c r="AG792" s="47"/>
      <c r="AH792" s="47" t="str">
        <f>IFERROR(_xlfn.XLOOKUP(Table6[[#This Row],[Suburb]],Table5[Travel Surcharge],Table5[$$]),"")</f>
        <v/>
      </c>
      <c r="AI792" s="47"/>
      <c r="AJ792" s="47"/>
      <c r="AL792" t="str">
        <v>Timbertop Estate - Drouin</v>
      </c>
    </row>
    <row r="793" spans="1:38">
      <c r="A793" s="374" t="s">
        <v>1552</v>
      </c>
      <c r="B793" s="374">
        <v>32</v>
      </c>
      <c r="C793" s="374" t="s">
        <v>567</v>
      </c>
      <c r="D793" s="375" t="str">
        <f t="shared" si="172"/>
        <v>Bloomdale Estate32</v>
      </c>
      <c r="E793" s="375" t="s">
        <v>1565</v>
      </c>
      <c r="F793" s="375" t="s">
        <v>1554</v>
      </c>
      <c r="G793" s="375" t="s">
        <v>1555</v>
      </c>
      <c r="H793" s="375"/>
      <c r="I793" s="63" t="s">
        <v>1556</v>
      </c>
      <c r="J793" s="47"/>
      <c r="K793" s="46" t="s">
        <v>10735</v>
      </c>
      <c r="L793" s="47"/>
      <c r="M793" s="47">
        <f t="shared" si="169"/>
        <v>1430.0000000000002</v>
      </c>
      <c r="N793" s="47" t="s">
        <v>1561</v>
      </c>
      <c r="O793" s="47" t="s">
        <v>1562</v>
      </c>
      <c r="P793" s="47" t="s">
        <v>1563</v>
      </c>
      <c r="Q793" s="47">
        <f t="shared" si="170"/>
        <v>0</v>
      </c>
      <c r="R793" s="47"/>
      <c r="S793" s="47"/>
      <c r="T793" s="47"/>
      <c r="U793" s="47"/>
      <c r="V793" s="47"/>
      <c r="W793" s="47"/>
      <c r="X793" s="47"/>
      <c r="Y793" s="47"/>
      <c r="Z793" s="47">
        <f t="shared" si="164"/>
        <v>4620</v>
      </c>
      <c r="AA793" s="47">
        <f t="shared" si="168"/>
        <v>1400</v>
      </c>
      <c r="AB793" s="47"/>
      <c r="AC793" s="47"/>
      <c r="AD793" s="47"/>
      <c r="AE793" s="47"/>
      <c r="AF793" s="47">
        <f t="shared" si="171"/>
        <v>1485</v>
      </c>
      <c r="AG793" s="47"/>
      <c r="AH793" s="47" t="str">
        <f>IFERROR(_xlfn.XLOOKUP(Table6[[#This Row],[Suburb]],Table5[Travel Surcharge],Table5[$$]),"")</f>
        <v/>
      </c>
      <c r="AI793" s="47"/>
      <c r="AJ793" s="47"/>
      <c r="AL793" t="str">
        <v>Timbertop Estate - Officer</v>
      </c>
    </row>
    <row r="794" spans="1:38">
      <c r="A794" s="374" t="s">
        <v>1552</v>
      </c>
      <c r="B794" s="374">
        <v>33</v>
      </c>
      <c r="C794" s="374" t="s">
        <v>567</v>
      </c>
      <c r="D794" s="375" t="str">
        <f t="shared" si="172"/>
        <v>Bloomdale Estate33</v>
      </c>
      <c r="E794" s="375" t="s">
        <v>1566</v>
      </c>
      <c r="F794" s="375" t="s">
        <v>1554</v>
      </c>
      <c r="G794" s="375" t="s">
        <v>1555</v>
      </c>
      <c r="H794" s="375"/>
      <c r="I794" s="63" t="s">
        <v>1556</v>
      </c>
      <c r="J794" s="47"/>
      <c r="K794" s="46" t="s">
        <v>10735</v>
      </c>
      <c r="L794" s="47"/>
      <c r="M794" s="47">
        <f t="shared" si="169"/>
        <v>1430.0000000000002</v>
      </c>
      <c r="N794" s="47" t="s">
        <v>1561</v>
      </c>
      <c r="O794" s="47" t="s">
        <v>1562</v>
      </c>
      <c r="P794" s="47" t="s">
        <v>1563</v>
      </c>
      <c r="Q794" s="47">
        <f t="shared" si="170"/>
        <v>0</v>
      </c>
      <c r="R794" s="47"/>
      <c r="S794" s="47"/>
      <c r="T794" s="47"/>
      <c r="U794" s="47"/>
      <c r="V794" s="47"/>
      <c r="W794" s="47"/>
      <c r="X794" s="47"/>
      <c r="Y794" s="47"/>
      <c r="Z794" s="47">
        <f t="shared" si="164"/>
        <v>4620</v>
      </c>
      <c r="AA794" s="47">
        <f t="shared" si="168"/>
        <v>1400</v>
      </c>
      <c r="AB794" s="47"/>
      <c r="AC794" s="47"/>
      <c r="AD794" s="47"/>
      <c r="AE794" s="47"/>
      <c r="AF794" s="47">
        <f t="shared" si="171"/>
        <v>1485</v>
      </c>
      <c r="AG794" s="47"/>
      <c r="AH794" s="47" t="str">
        <f>IFERROR(_xlfn.XLOOKUP(Table6[[#This Row],[Suburb]],Table5[Travel Surcharge],Table5[$$]),"")</f>
        <v/>
      </c>
      <c r="AI794" s="47"/>
      <c r="AJ794" s="47"/>
      <c r="AL794" t="str">
        <v>Tommy's Run</v>
      </c>
    </row>
    <row r="795" spans="1:38">
      <c r="A795" s="374" t="s">
        <v>1552</v>
      </c>
      <c r="B795" s="374">
        <v>34</v>
      </c>
      <c r="C795" s="374" t="s">
        <v>567</v>
      </c>
      <c r="D795" s="375" t="str">
        <f t="shared" si="172"/>
        <v>Bloomdale Estate34</v>
      </c>
      <c r="E795" s="375" t="s">
        <v>1567</v>
      </c>
      <c r="F795" s="375" t="s">
        <v>1554</v>
      </c>
      <c r="G795" s="375" t="s">
        <v>1555</v>
      </c>
      <c r="H795" s="375"/>
      <c r="I795" s="63" t="s">
        <v>1556</v>
      </c>
      <c r="J795" s="47"/>
      <c r="K795" s="46" t="s">
        <v>10735</v>
      </c>
      <c r="L795" s="47"/>
      <c r="M795" s="47">
        <f t="shared" si="169"/>
        <v>1430.0000000000002</v>
      </c>
      <c r="N795" s="47" t="s">
        <v>1561</v>
      </c>
      <c r="O795" s="47" t="s">
        <v>1562</v>
      </c>
      <c r="P795" s="47" t="s">
        <v>1563</v>
      </c>
      <c r="Q795" s="47">
        <f t="shared" si="170"/>
        <v>0</v>
      </c>
      <c r="R795" s="47"/>
      <c r="S795" s="47"/>
      <c r="T795" s="47"/>
      <c r="U795" s="47"/>
      <c r="V795" s="47"/>
      <c r="W795" s="47"/>
      <c r="X795" s="47"/>
      <c r="Y795" s="47"/>
      <c r="Z795" s="47">
        <f t="shared" si="164"/>
        <v>4620</v>
      </c>
      <c r="AA795" s="47">
        <f t="shared" si="168"/>
        <v>1400</v>
      </c>
      <c r="AB795" s="47"/>
      <c r="AC795" s="47"/>
      <c r="AD795" s="47"/>
      <c r="AE795" s="47"/>
      <c r="AF795" s="47">
        <f t="shared" si="171"/>
        <v>1485</v>
      </c>
      <c r="AG795" s="47"/>
      <c r="AH795" s="47" t="str">
        <f>IFERROR(_xlfn.XLOOKUP(Table6[[#This Row],[Suburb]],Table5[Travel Surcharge],Table5[$$]),"")</f>
        <v/>
      </c>
      <c r="AI795" s="47"/>
      <c r="AJ795" s="47"/>
      <c r="AL795" t="str">
        <v>Toolern Waters Estate</v>
      </c>
    </row>
    <row r="796" spans="1:38">
      <c r="A796" s="374" t="s">
        <v>1552</v>
      </c>
      <c r="B796" s="374">
        <v>35</v>
      </c>
      <c r="C796" s="374" t="s">
        <v>567</v>
      </c>
      <c r="D796" s="375" t="str">
        <f t="shared" si="172"/>
        <v>Bloomdale Estate35</v>
      </c>
      <c r="E796" s="375" t="s">
        <v>1568</v>
      </c>
      <c r="F796" s="375" t="s">
        <v>1554</v>
      </c>
      <c r="G796" s="375" t="s">
        <v>1555</v>
      </c>
      <c r="H796" s="375"/>
      <c r="I796" s="63" t="s">
        <v>1556</v>
      </c>
      <c r="J796" s="47"/>
      <c r="K796" s="46" t="s">
        <v>10735</v>
      </c>
      <c r="L796" s="47"/>
      <c r="M796" s="47">
        <f t="shared" si="169"/>
        <v>1430.0000000000002</v>
      </c>
      <c r="N796" s="47" t="s">
        <v>1561</v>
      </c>
      <c r="O796" s="47" t="s">
        <v>1562</v>
      </c>
      <c r="P796" s="47" t="s">
        <v>1563</v>
      </c>
      <c r="Q796" s="47">
        <f t="shared" si="170"/>
        <v>0</v>
      </c>
      <c r="R796" s="47"/>
      <c r="S796" s="47"/>
      <c r="T796" s="47"/>
      <c r="U796" s="47"/>
      <c r="V796" s="47"/>
      <c r="W796" s="47"/>
      <c r="X796" s="47"/>
      <c r="Y796" s="47"/>
      <c r="Z796" s="47">
        <f t="shared" si="164"/>
        <v>4620</v>
      </c>
      <c r="AA796" s="47">
        <f t="shared" si="168"/>
        <v>1400</v>
      </c>
      <c r="AB796" s="47"/>
      <c r="AC796" s="47"/>
      <c r="AD796" s="47"/>
      <c r="AE796" s="47"/>
      <c r="AF796" s="47">
        <f t="shared" si="171"/>
        <v>1485</v>
      </c>
      <c r="AG796" s="47"/>
      <c r="AH796" s="47" t="str">
        <f>IFERROR(_xlfn.XLOOKUP(Table6[[#This Row],[Suburb]],Table5[Travel Surcharge],Table5[$$]),"")</f>
        <v/>
      </c>
      <c r="AI796" s="47"/>
      <c r="AJ796" s="47"/>
      <c r="AL796" t="str">
        <v>Tramonto Views</v>
      </c>
    </row>
    <row r="797" spans="1:38">
      <c r="A797" s="374" t="s">
        <v>1552</v>
      </c>
      <c r="B797" s="374">
        <v>36</v>
      </c>
      <c r="C797" s="374" t="s">
        <v>567</v>
      </c>
      <c r="D797" s="375" t="str">
        <f t="shared" si="172"/>
        <v>Bloomdale Estate36</v>
      </c>
      <c r="E797" s="375" t="s">
        <v>1569</v>
      </c>
      <c r="F797" s="375" t="s">
        <v>1554</v>
      </c>
      <c r="G797" s="375" t="s">
        <v>1555</v>
      </c>
      <c r="H797" s="375"/>
      <c r="I797" s="63" t="s">
        <v>1556</v>
      </c>
      <c r="J797" s="47"/>
      <c r="K797" s="46" t="s">
        <v>10735</v>
      </c>
      <c r="L797" s="47"/>
      <c r="M797" s="47">
        <f t="shared" si="169"/>
        <v>1430.0000000000002</v>
      </c>
      <c r="N797" s="47" t="s">
        <v>1561</v>
      </c>
      <c r="O797" s="47" t="s">
        <v>1562</v>
      </c>
      <c r="P797" s="47" t="s">
        <v>1563</v>
      </c>
      <c r="Q797" s="47">
        <f t="shared" si="170"/>
        <v>0</v>
      </c>
      <c r="R797" s="47"/>
      <c r="S797" s="47"/>
      <c r="T797" s="47"/>
      <c r="U797" s="47"/>
      <c r="V797" s="47"/>
      <c r="W797" s="47"/>
      <c r="X797" s="47"/>
      <c r="Y797" s="47"/>
      <c r="Z797" s="47">
        <f t="shared" si="164"/>
        <v>4620</v>
      </c>
      <c r="AA797" s="47">
        <f t="shared" si="168"/>
        <v>1400</v>
      </c>
      <c r="AB797" s="47"/>
      <c r="AC797" s="47"/>
      <c r="AD797" s="47"/>
      <c r="AE797" s="47"/>
      <c r="AF797" s="47">
        <f t="shared" si="171"/>
        <v>1485</v>
      </c>
      <c r="AG797" s="47"/>
      <c r="AH797" s="47" t="str">
        <f>IFERROR(_xlfn.XLOOKUP(Table6[[#This Row],[Suburb]],Table5[Travel Surcharge],Table5[$$]),"")</f>
        <v/>
      </c>
      <c r="AI797" s="47"/>
      <c r="AJ797" s="47"/>
      <c r="AL797" t="str">
        <v xml:space="preserve">Tribella Rise </v>
      </c>
    </row>
    <row r="798" spans="1:38">
      <c r="A798" s="374" t="s">
        <v>1552</v>
      </c>
      <c r="B798" s="374">
        <v>37</v>
      </c>
      <c r="C798" s="374" t="s">
        <v>567</v>
      </c>
      <c r="D798" s="375" t="str">
        <f t="shared" si="172"/>
        <v>Bloomdale Estate37</v>
      </c>
      <c r="E798" s="375" t="s">
        <v>1570</v>
      </c>
      <c r="F798" s="375" t="s">
        <v>1554</v>
      </c>
      <c r="G798" s="375" t="s">
        <v>1555</v>
      </c>
      <c r="H798" s="375"/>
      <c r="I798" s="63" t="s">
        <v>1556</v>
      </c>
      <c r="J798" s="47"/>
      <c r="K798" s="46" t="s">
        <v>10735</v>
      </c>
      <c r="L798" s="47"/>
      <c r="M798" s="47">
        <f t="shared" si="169"/>
        <v>1430.0000000000002</v>
      </c>
      <c r="N798" s="47" t="s">
        <v>1561</v>
      </c>
      <c r="O798" s="47" t="s">
        <v>1562</v>
      </c>
      <c r="P798" s="47" t="s">
        <v>1563</v>
      </c>
      <c r="Q798" s="47">
        <f t="shared" si="170"/>
        <v>0</v>
      </c>
      <c r="R798" s="47"/>
      <c r="S798" s="47"/>
      <c r="T798" s="47"/>
      <c r="U798" s="47"/>
      <c r="V798" s="47"/>
      <c r="W798" s="47"/>
      <c r="X798" s="47"/>
      <c r="Y798" s="47"/>
      <c r="Z798" s="47">
        <f t="shared" si="164"/>
        <v>4620</v>
      </c>
      <c r="AA798" s="47">
        <f t="shared" si="168"/>
        <v>1400</v>
      </c>
      <c r="AB798" s="47"/>
      <c r="AC798" s="47"/>
      <c r="AD798" s="47"/>
      <c r="AE798" s="47"/>
      <c r="AF798" s="47">
        <f t="shared" si="171"/>
        <v>1485</v>
      </c>
      <c r="AG798" s="47"/>
      <c r="AH798" s="47" t="str">
        <f>IFERROR(_xlfn.XLOOKUP(Table6[[#This Row],[Suburb]],Table5[Travel Surcharge],Table5[$$]),"")</f>
        <v/>
      </c>
      <c r="AI798" s="47"/>
      <c r="AJ798" s="47"/>
      <c r="AL798" t="str">
        <v>Trijena Estate</v>
      </c>
    </row>
    <row r="799" spans="1:38">
      <c r="A799" s="374" t="s">
        <v>1552</v>
      </c>
      <c r="B799" s="374">
        <v>38</v>
      </c>
      <c r="C799" s="374" t="s">
        <v>567</v>
      </c>
      <c r="D799" s="375" t="str">
        <f t="shared" si="172"/>
        <v>Bloomdale Estate38</v>
      </c>
      <c r="E799" s="375" t="s">
        <v>1571</v>
      </c>
      <c r="F799" s="375" t="s">
        <v>1554</v>
      </c>
      <c r="G799" s="375" t="s">
        <v>1555</v>
      </c>
      <c r="H799" s="375"/>
      <c r="I799" s="63" t="s">
        <v>1556</v>
      </c>
      <c r="J799" s="47"/>
      <c r="K799" s="46" t="s">
        <v>10735</v>
      </c>
      <c r="L799" s="47"/>
      <c r="M799" s="47">
        <f t="shared" si="169"/>
        <v>1430.0000000000002</v>
      </c>
      <c r="N799" s="47" t="s">
        <v>1561</v>
      </c>
      <c r="O799" s="47" t="s">
        <v>1562</v>
      </c>
      <c r="P799" s="47" t="s">
        <v>1563</v>
      </c>
      <c r="Q799" s="47">
        <f t="shared" si="170"/>
        <v>0</v>
      </c>
      <c r="R799" s="47"/>
      <c r="S799" s="47"/>
      <c r="T799" s="47"/>
      <c r="U799" s="47"/>
      <c r="V799" s="47"/>
      <c r="W799" s="47"/>
      <c r="X799" s="47"/>
      <c r="Y799" s="47"/>
      <c r="Z799" s="47">
        <f t="shared" si="164"/>
        <v>4620</v>
      </c>
      <c r="AA799" s="47">
        <f t="shared" si="168"/>
        <v>1400</v>
      </c>
      <c r="AB799" s="47"/>
      <c r="AC799" s="47"/>
      <c r="AD799" s="47"/>
      <c r="AE799" s="47"/>
      <c r="AF799" s="47">
        <f t="shared" si="171"/>
        <v>1485</v>
      </c>
      <c r="AG799" s="47"/>
      <c r="AH799" s="47" t="str">
        <f>IFERROR(_xlfn.XLOOKUP(Table6[[#This Row],[Suburb]],Table5[Travel Surcharge],Table5[$$]),"")</f>
        <v/>
      </c>
      <c r="AI799" s="47"/>
      <c r="AJ799" s="47"/>
      <c r="AL799" t="str">
        <v>Trillium Estate</v>
      </c>
    </row>
    <row r="800" spans="1:38">
      <c r="A800" s="374" t="s">
        <v>1552</v>
      </c>
      <c r="B800" s="374">
        <v>39</v>
      </c>
      <c r="C800" s="374" t="s">
        <v>567</v>
      </c>
      <c r="D800" s="375" t="str">
        <f t="shared" si="172"/>
        <v>Bloomdale Estate39</v>
      </c>
      <c r="E800" s="375" t="s">
        <v>1572</v>
      </c>
      <c r="F800" s="375" t="s">
        <v>1554</v>
      </c>
      <c r="G800" s="375" t="s">
        <v>1555</v>
      </c>
      <c r="H800" s="375"/>
      <c r="I800" s="63" t="s">
        <v>1556</v>
      </c>
      <c r="J800" s="47"/>
      <c r="K800" s="46" t="s">
        <v>10735</v>
      </c>
      <c r="L800" s="47"/>
      <c r="M800" s="47">
        <v>1430.0000000000002</v>
      </c>
      <c r="N800" s="47" t="s">
        <v>1561</v>
      </c>
      <c r="O800" s="47" t="s">
        <v>1562</v>
      </c>
      <c r="P800" s="47" t="s">
        <v>1563</v>
      </c>
      <c r="Q800" s="47">
        <v>0</v>
      </c>
      <c r="R800" s="47"/>
      <c r="S800" s="47"/>
      <c r="T800" s="47"/>
      <c r="U800" s="47"/>
      <c r="V800" s="47"/>
      <c r="W800" s="47"/>
      <c r="X800" s="47"/>
      <c r="Y800" s="47"/>
      <c r="Z800" s="47">
        <v>4620</v>
      </c>
      <c r="AA800" s="47">
        <v>1400</v>
      </c>
      <c r="AB800" s="47"/>
      <c r="AC800" s="47"/>
      <c r="AD800" s="47"/>
      <c r="AE800" s="47"/>
      <c r="AF800" s="47">
        <v>1650.0000000000002</v>
      </c>
      <c r="AG800" s="47"/>
      <c r="AH800" s="47" t="str">
        <f>IFERROR(_xlfn.XLOOKUP(Table6[[#This Row],[Suburb]],Table5[Travel Surcharge],Table5[$$]),"")</f>
        <v/>
      </c>
      <c r="AI800" s="47"/>
      <c r="AJ800" s="47"/>
      <c r="AL800" t="str">
        <v>True North Estate</v>
      </c>
    </row>
    <row r="801" spans="1:43">
      <c r="A801" s="374" t="s">
        <v>1582</v>
      </c>
      <c r="B801" s="374">
        <v>14</v>
      </c>
      <c r="C801" s="374" t="s">
        <v>675</v>
      </c>
      <c r="D801" s="375" t="str">
        <f t="shared" si="172"/>
        <v>Blue Horizons Estate14</v>
      </c>
      <c r="E801" s="375" t="s">
        <v>1583</v>
      </c>
      <c r="F801" s="375" t="s">
        <v>1584</v>
      </c>
      <c r="G801" s="375" t="s">
        <v>1585</v>
      </c>
      <c r="H801" s="375" t="s">
        <v>1586</v>
      </c>
      <c r="I801" s="63" t="s">
        <v>1587</v>
      </c>
      <c r="J801" s="47"/>
      <c r="K801" s="46" t="s">
        <v>10735</v>
      </c>
      <c r="L801" s="47"/>
      <c r="M801" s="47"/>
      <c r="N801" s="47"/>
      <c r="O801" s="47"/>
      <c r="P801" s="47"/>
      <c r="Q801" s="47">
        <f>Q$2</f>
        <v>0</v>
      </c>
      <c r="R801" s="47"/>
      <c r="S801" s="47"/>
      <c r="T801" s="47"/>
      <c r="U801" s="47"/>
      <c r="V801" s="47"/>
      <c r="W801" s="47"/>
      <c r="X801" s="47"/>
      <c r="Y801" s="47"/>
      <c r="Z801" s="47">
        <f t="shared" ref="Z801:Z815" si="173">Z$7</f>
        <v>4620</v>
      </c>
      <c r="AA801" s="47"/>
      <c r="AB801" s="47"/>
      <c r="AC801" s="47"/>
      <c r="AD801" s="47"/>
      <c r="AE801" s="47"/>
      <c r="AF801" s="47"/>
      <c r="AG801" s="47"/>
      <c r="AH801" s="47" t="str">
        <f>IFERROR(_xlfn.XLOOKUP(Table6[[#This Row],[Suburb]],Table5[Travel Surcharge],Table5[$$]),"")</f>
        <v/>
      </c>
      <c r="AI801" s="47"/>
      <c r="AJ801" s="47"/>
      <c r="AL801" t="str">
        <v>Tullamore - Stables Estate</v>
      </c>
    </row>
    <row r="802" spans="1:43">
      <c r="A802" s="374" t="s">
        <v>1582</v>
      </c>
      <c r="B802" s="374" t="s">
        <v>617</v>
      </c>
      <c r="C802" s="374" t="s">
        <v>675</v>
      </c>
      <c r="D802" s="375" t="str">
        <f t="shared" si="172"/>
        <v>Blue Horizons Estate5A</v>
      </c>
      <c r="E802" s="375" t="s">
        <v>1588</v>
      </c>
      <c r="F802" s="375" t="s">
        <v>1584</v>
      </c>
      <c r="G802" s="375" t="s">
        <v>1585</v>
      </c>
      <c r="H802" s="375" t="s">
        <v>1586</v>
      </c>
      <c r="I802" s="63" t="s">
        <v>1587</v>
      </c>
      <c r="J802" s="47"/>
      <c r="K802" s="46" t="s">
        <v>10735</v>
      </c>
      <c r="L802" s="47"/>
      <c r="M802" s="47"/>
      <c r="N802" s="47"/>
      <c r="O802" s="47"/>
      <c r="P802" s="47"/>
      <c r="Q802" s="47">
        <f>Q$2</f>
        <v>0</v>
      </c>
      <c r="R802" s="47"/>
      <c r="S802" s="47"/>
      <c r="T802" s="47"/>
      <c r="U802" s="47"/>
      <c r="V802" s="47"/>
      <c r="W802" s="47"/>
      <c r="X802" s="47"/>
      <c r="Y802" s="47"/>
      <c r="Z802" s="47">
        <f t="shared" si="173"/>
        <v>4620</v>
      </c>
      <c r="AA802" s="47"/>
      <c r="AB802" s="47"/>
      <c r="AC802" s="47"/>
      <c r="AD802" s="47"/>
      <c r="AE802" s="47"/>
      <c r="AF802" s="47"/>
      <c r="AG802" s="47"/>
      <c r="AH802" s="47" t="str">
        <f>IFERROR(_xlfn.XLOOKUP(Table6[[#This Row],[Suburb]],Table5[Travel Surcharge],Table5[$$]),"")</f>
        <v/>
      </c>
      <c r="AI802" s="47"/>
      <c r="AJ802" s="47"/>
      <c r="AL802" t="str">
        <v>Tulliallan Estate</v>
      </c>
    </row>
    <row r="803" spans="1:43">
      <c r="A803" s="374" t="s">
        <v>1573</v>
      </c>
      <c r="B803" s="374">
        <v>1</v>
      </c>
      <c r="C803" s="374" t="s">
        <v>502</v>
      </c>
      <c r="D803" s="375" t="str">
        <f t="shared" si="172"/>
        <v>Bluestone Estate1</v>
      </c>
      <c r="E803" s="375" t="s">
        <v>1574</v>
      </c>
      <c r="F803" s="375"/>
      <c r="G803" s="375" t="s">
        <v>1575</v>
      </c>
      <c r="H803" s="375" t="s">
        <v>860</v>
      </c>
      <c r="I803" s="63" t="s">
        <v>1576</v>
      </c>
      <c r="J803" s="47">
        <f t="shared" ref="J803:J812" si="174">J$7</f>
        <v>3740</v>
      </c>
      <c r="K803" s="46" t="s">
        <v>7938</v>
      </c>
      <c r="L803" s="47"/>
      <c r="M803" s="47"/>
      <c r="N803" s="47"/>
      <c r="O803" s="47" t="s">
        <v>1577</v>
      </c>
      <c r="P803" s="47" t="s">
        <v>1578</v>
      </c>
      <c r="Q803" s="47"/>
      <c r="R803" s="47"/>
      <c r="S803" s="47" t="s">
        <v>463</v>
      </c>
      <c r="T803" s="47"/>
      <c r="U803" s="47"/>
      <c r="V803" s="47"/>
      <c r="W803" s="47"/>
      <c r="X803" s="47"/>
      <c r="Y803" s="47"/>
      <c r="Z803" s="47">
        <f t="shared" si="173"/>
        <v>4620</v>
      </c>
      <c r="AA803" s="47">
        <f t="shared" ref="AA803:AB808" si="175">AA$7</f>
        <v>1400</v>
      </c>
      <c r="AB803" s="47">
        <f t="shared" si="175"/>
        <v>2800</v>
      </c>
      <c r="AC803" s="47"/>
      <c r="AD803" s="47"/>
      <c r="AE803" s="47"/>
      <c r="AF803" s="47">
        <f t="shared" ref="AF803:AF808" si="176">AF$7</f>
        <v>1485</v>
      </c>
      <c r="AG803" s="47"/>
      <c r="AH803" s="47" t="str">
        <f>IFERROR(_xlfn.XLOOKUP(Table6[[#This Row],[Suburb]],Table5[Travel Surcharge],Table5[$$]),"")</f>
        <v/>
      </c>
      <c r="AI803" s="47"/>
      <c r="AJ803" s="47"/>
      <c r="AL803" t="str">
        <v xml:space="preserve">Tulloh Street Estate </v>
      </c>
    </row>
    <row r="804" spans="1:43" s="157" customFormat="1">
      <c r="A804" s="374" t="s">
        <v>1573</v>
      </c>
      <c r="B804" s="374">
        <v>2</v>
      </c>
      <c r="C804" s="374" t="s">
        <v>502</v>
      </c>
      <c r="D804" s="375" t="str">
        <f t="shared" si="172"/>
        <v>Bluestone Estate2</v>
      </c>
      <c r="E804" s="375" t="s">
        <v>1543</v>
      </c>
      <c r="F804" s="375"/>
      <c r="G804" s="375" t="s">
        <v>1575</v>
      </c>
      <c r="H804" s="375" t="s">
        <v>860</v>
      </c>
      <c r="I804" s="63" t="s">
        <v>1576</v>
      </c>
      <c r="J804" s="47">
        <f t="shared" si="174"/>
        <v>3740</v>
      </c>
      <c r="K804" s="46" t="s">
        <v>7938</v>
      </c>
      <c r="L804" s="47"/>
      <c r="M804" s="47"/>
      <c r="N804" s="47"/>
      <c r="O804" s="47" t="s">
        <v>1577</v>
      </c>
      <c r="P804" s="47" t="s">
        <v>1578</v>
      </c>
      <c r="Q804" s="47"/>
      <c r="R804" s="47"/>
      <c r="S804" s="47" t="s">
        <v>463</v>
      </c>
      <c r="T804" s="47"/>
      <c r="U804" s="47"/>
      <c r="V804" s="47"/>
      <c r="W804" s="47"/>
      <c r="X804" s="47"/>
      <c r="Y804" s="47"/>
      <c r="Z804" s="47">
        <f t="shared" si="173"/>
        <v>4620</v>
      </c>
      <c r="AA804" s="47">
        <f t="shared" si="175"/>
        <v>1400</v>
      </c>
      <c r="AB804" s="47">
        <f t="shared" si="175"/>
        <v>2800</v>
      </c>
      <c r="AC804" s="47"/>
      <c r="AD804" s="47"/>
      <c r="AE804" s="47"/>
      <c r="AF804" s="47">
        <f t="shared" si="176"/>
        <v>1485</v>
      </c>
      <c r="AG804" s="47"/>
      <c r="AH804" s="47" t="str">
        <f>IFERROR(_xlfn.XLOOKUP(Table6[[#This Row],[Suburb]],Table5[Travel Surcharge],Table5[$$]),"")</f>
        <v/>
      </c>
      <c r="AI804" s="47"/>
      <c r="AJ804" s="47"/>
      <c r="AL804" s="157" t="str">
        <v>Umbra Estate</v>
      </c>
      <c r="AM804" s="208"/>
      <c r="AO804"/>
      <c r="AP804"/>
      <c r="AQ804"/>
    </row>
    <row r="805" spans="1:43">
      <c r="A805" s="374" t="s">
        <v>1573</v>
      </c>
      <c r="B805" s="374">
        <v>4</v>
      </c>
      <c r="C805" s="374" t="s">
        <v>502</v>
      </c>
      <c r="D805" s="375" t="str">
        <f t="shared" si="172"/>
        <v>Bluestone Estate4</v>
      </c>
      <c r="E805" s="375" t="s">
        <v>1579</v>
      </c>
      <c r="F805" s="375"/>
      <c r="G805" s="375" t="s">
        <v>1575</v>
      </c>
      <c r="H805" s="375" t="s">
        <v>860</v>
      </c>
      <c r="I805" s="63" t="s">
        <v>1576</v>
      </c>
      <c r="J805" s="47">
        <f t="shared" si="174"/>
        <v>3740</v>
      </c>
      <c r="K805" s="46" t="s">
        <v>7938</v>
      </c>
      <c r="L805" s="47"/>
      <c r="M805" s="47"/>
      <c r="N805" s="47"/>
      <c r="O805" s="47" t="s">
        <v>1577</v>
      </c>
      <c r="P805" s="47" t="s">
        <v>1578</v>
      </c>
      <c r="Q805" s="47"/>
      <c r="R805" s="47"/>
      <c r="S805" s="47" t="s">
        <v>463</v>
      </c>
      <c r="T805" s="47"/>
      <c r="U805" s="47"/>
      <c r="V805" s="47"/>
      <c r="W805" s="47"/>
      <c r="X805" s="47"/>
      <c r="Y805" s="47"/>
      <c r="Z805" s="47">
        <f t="shared" si="173"/>
        <v>4620</v>
      </c>
      <c r="AA805" s="47">
        <f t="shared" si="175"/>
        <v>1400</v>
      </c>
      <c r="AB805" s="47">
        <f t="shared" si="175"/>
        <v>2800</v>
      </c>
      <c r="AC805" s="47"/>
      <c r="AD805" s="47"/>
      <c r="AE805" s="47"/>
      <c r="AF805" s="47">
        <f t="shared" si="176"/>
        <v>1485</v>
      </c>
      <c r="AG805" s="47"/>
      <c r="AH805" s="47" t="str">
        <f>IFERROR(_xlfn.XLOOKUP(Table6[[#This Row],[Suburb]],Table5[Travel Surcharge],Table5[$$]),"")</f>
        <v/>
      </c>
      <c r="AI805" s="47"/>
      <c r="AJ805" s="47"/>
      <c r="AL805" t="str">
        <v>Underbank Estate</v>
      </c>
      <c r="AO805" s="157"/>
      <c r="AP805" s="157"/>
      <c r="AQ805" s="157"/>
    </row>
    <row r="806" spans="1:43">
      <c r="A806" s="374" t="s">
        <v>1573</v>
      </c>
      <c r="B806" s="374">
        <v>5</v>
      </c>
      <c r="C806" s="374" t="s">
        <v>502</v>
      </c>
      <c r="D806" s="375" t="str">
        <f t="shared" si="172"/>
        <v>Bluestone Estate5</v>
      </c>
      <c r="E806" s="375" t="s">
        <v>1580</v>
      </c>
      <c r="F806" s="375"/>
      <c r="G806" s="375" t="s">
        <v>1575</v>
      </c>
      <c r="H806" s="375" t="s">
        <v>860</v>
      </c>
      <c r="I806" s="63" t="s">
        <v>1576</v>
      </c>
      <c r="J806" s="47">
        <f t="shared" si="174"/>
        <v>3740</v>
      </c>
      <c r="K806" s="46" t="s">
        <v>7938</v>
      </c>
      <c r="L806" s="47"/>
      <c r="M806" s="47"/>
      <c r="N806" s="47"/>
      <c r="O806" s="47" t="s">
        <v>1577</v>
      </c>
      <c r="P806" s="47" t="s">
        <v>1578</v>
      </c>
      <c r="Q806" s="47"/>
      <c r="R806" s="47"/>
      <c r="S806" s="47" t="s">
        <v>463</v>
      </c>
      <c r="T806" s="47"/>
      <c r="U806" s="47"/>
      <c r="V806" s="47"/>
      <c r="W806" s="47"/>
      <c r="X806" s="47"/>
      <c r="Y806" s="47"/>
      <c r="Z806" s="47">
        <f t="shared" si="173"/>
        <v>4620</v>
      </c>
      <c r="AA806" s="47">
        <f t="shared" si="175"/>
        <v>1400</v>
      </c>
      <c r="AB806" s="47">
        <f t="shared" si="175"/>
        <v>2800</v>
      </c>
      <c r="AC806" s="47"/>
      <c r="AD806" s="47"/>
      <c r="AE806" s="47"/>
      <c r="AF806" s="47">
        <f t="shared" si="176"/>
        <v>1485</v>
      </c>
      <c r="AG806" s="47"/>
      <c r="AH806" s="47" t="str">
        <f>IFERROR(_xlfn.XLOOKUP(Table6[[#This Row],[Suburb]],Table5[Travel Surcharge],Table5[$$]),"")</f>
        <v/>
      </c>
      <c r="AI806" s="47"/>
      <c r="AJ806" s="47"/>
      <c r="AL806" t="str">
        <v>Unity Park</v>
      </c>
    </row>
    <row r="807" spans="1:43">
      <c r="A807" s="374" t="s">
        <v>1573</v>
      </c>
      <c r="B807" s="276" t="s">
        <v>617</v>
      </c>
      <c r="C807" s="374" t="s">
        <v>502</v>
      </c>
      <c r="D807" s="375" t="str">
        <f t="shared" si="172"/>
        <v>Bluestone Estate5A</v>
      </c>
      <c r="E807" s="375" t="s">
        <v>1581</v>
      </c>
      <c r="F807" s="375"/>
      <c r="G807" s="375" t="s">
        <v>1575</v>
      </c>
      <c r="H807" s="375" t="s">
        <v>860</v>
      </c>
      <c r="I807" s="63" t="s">
        <v>1576</v>
      </c>
      <c r="J807" s="47">
        <f t="shared" si="174"/>
        <v>3740</v>
      </c>
      <c r="K807" s="46" t="s">
        <v>7938</v>
      </c>
      <c r="L807" s="47"/>
      <c r="M807" s="47"/>
      <c r="N807" s="47"/>
      <c r="O807" s="47" t="s">
        <v>1577</v>
      </c>
      <c r="P807" s="47" t="s">
        <v>1578</v>
      </c>
      <c r="Q807" s="47"/>
      <c r="R807" s="47"/>
      <c r="S807" s="47" t="s">
        <v>463</v>
      </c>
      <c r="T807" s="47"/>
      <c r="U807" s="47"/>
      <c r="V807" s="47"/>
      <c r="W807" s="47"/>
      <c r="X807" s="47"/>
      <c r="Y807" s="47"/>
      <c r="Z807" s="47">
        <f t="shared" si="173"/>
        <v>4620</v>
      </c>
      <c r="AA807" s="47">
        <f t="shared" si="175"/>
        <v>1400</v>
      </c>
      <c r="AB807" s="47">
        <f t="shared" si="175"/>
        <v>2800</v>
      </c>
      <c r="AC807" s="47"/>
      <c r="AD807" s="47"/>
      <c r="AE807" s="47"/>
      <c r="AF807" s="47">
        <f t="shared" si="176"/>
        <v>1485</v>
      </c>
      <c r="AG807" s="47"/>
      <c r="AH807" s="47" t="str">
        <f>IFERROR(_xlfn.XLOOKUP(Table6[[#This Row],[Suburb]],Table5[Travel Surcharge],Table5[$$]),"")</f>
        <v/>
      </c>
      <c r="AI807" s="47"/>
      <c r="AJ807" s="47"/>
      <c r="AL807" t="str">
        <v>Upper Point Cook Estate</v>
      </c>
    </row>
    <row r="808" spans="1:43">
      <c r="A808" s="374" t="s">
        <v>1573</v>
      </c>
      <c r="B808" s="374">
        <v>6</v>
      </c>
      <c r="C808" s="374" t="s">
        <v>502</v>
      </c>
      <c r="D808" s="375" t="str">
        <f t="shared" si="172"/>
        <v>Bluestone Estate6</v>
      </c>
      <c r="E808" s="375" t="s">
        <v>9333</v>
      </c>
      <c r="F808" s="375"/>
      <c r="G808" s="375" t="s">
        <v>1575</v>
      </c>
      <c r="H808" s="375" t="s">
        <v>860</v>
      </c>
      <c r="I808" s="63" t="s">
        <v>1576</v>
      </c>
      <c r="J808" s="47">
        <f t="shared" si="174"/>
        <v>3740</v>
      </c>
      <c r="K808" s="46" t="s">
        <v>7938</v>
      </c>
      <c r="L808" s="47"/>
      <c r="M808" s="47"/>
      <c r="N808" s="47"/>
      <c r="O808" s="47" t="s">
        <v>1577</v>
      </c>
      <c r="P808" s="47" t="s">
        <v>1578</v>
      </c>
      <c r="Q808" s="47"/>
      <c r="R808" s="47"/>
      <c r="S808" s="47" t="s">
        <v>463</v>
      </c>
      <c r="T808" s="47"/>
      <c r="U808" s="47"/>
      <c r="V808" s="47"/>
      <c r="W808" s="47"/>
      <c r="X808" s="47"/>
      <c r="Y808" s="47"/>
      <c r="Z808" s="47">
        <f t="shared" si="173"/>
        <v>4620</v>
      </c>
      <c r="AA808" s="47">
        <f t="shared" si="175"/>
        <v>1400</v>
      </c>
      <c r="AB808" s="47">
        <f t="shared" si="175"/>
        <v>2800</v>
      </c>
      <c r="AC808" s="47"/>
      <c r="AD808" s="47"/>
      <c r="AE808" s="47"/>
      <c r="AF808" s="47">
        <f t="shared" si="176"/>
        <v>1485</v>
      </c>
      <c r="AG808" s="47"/>
      <c r="AH808" s="47" t="str">
        <f>IFERROR(_xlfn.XLOOKUP(Table6[[#This Row],[Suburb]],Table5[Travel Surcharge],Table5[$$]),"")</f>
        <v/>
      </c>
      <c r="AI808" s="47"/>
      <c r="AJ808" s="47"/>
      <c r="AL808" t="str">
        <v>Vantage Estate</v>
      </c>
    </row>
    <row r="809" spans="1:43">
      <c r="A809" s="374" t="s">
        <v>1573</v>
      </c>
      <c r="B809" s="374">
        <v>7</v>
      </c>
      <c r="C809" s="374" t="s">
        <v>502</v>
      </c>
      <c r="D809" s="375" t="str">
        <f t="shared" si="172"/>
        <v>Bluestone Estate7</v>
      </c>
      <c r="E809" s="375" t="s">
        <v>9914</v>
      </c>
      <c r="F809" s="375"/>
      <c r="G809" s="375" t="s">
        <v>1575</v>
      </c>
      <c r="H809" s="375" t="s">
        <v>860</v>
      </c>
      <c r="I809" s="63" t="s">
        <v>1576</v>
      </c>
      <c r="J809" s="47">
        <v>3740</v>
      </c>
      <c r="K809" s="46" t="s">
        <v>7938</v>
      </c>
      <c r="L809" s="47"/>
      <c r="M809" s="47"/>
      <c r="N809" s="47"/>
      <c r="O809" s="47" t="s">
        <v>1577</v>
      </c>
      <c r="P809" s="47" t="s">
        <v>1578</v>
      </c>
      <c r="Q809" s="47"/>
      <c r="R809" s="47"/>
      <c r="S809" s="47" t="s">
        <v>463</v>
      </c>
      <c r="T809" s="47"/>
      <c r="U809" s="47"/>
      <c r="V809" s="47"/>
      <c r="W809" s="47"/>
      <c r="X809" s="47"/>
      <c r="Y809" s="47"/>
      <c r="Z809" s="47">
        <v>4620</v>
      </c>
      <c r="AA809" s="47">
        <v>1400</v>
      </c>
      <c r="AB809" s="47">
        <v>2800</v>
      </c>
      <c r="AC809" s="47"/>
      <c r="AD809" s="47"/>
      <c r="AE809" s="47"/>
      <c r="AF809" s="47">
        <v>1485</v>
      </c>
      <c r="AG809" s="47"/>
      <c r="AH809" s="47" t="str">
        <f>IFERROR(_xlfn.XLOOKUP(Table6[[#This Row],[Suburb]],Table5[Travel Surcharge],Table5[$$]),"")</f>
        <v/>
      </c>
      <c r="AI809" s="47"/>
      <c r="AJ809" s="47"/>
      <c r="AL809" t="str">
        <v>Venus Hill Estate</v>
      </c>
    </row>
    <row r="810" spans="1:43">
      <c r="A810" s="374" t="s">
        <v>1573</v>
      </c>
      <c r="B810" s="374">
        <v>9</v>
      </c>
      <c r="C810" s="374" t="s">
        <v>502</v>
      </c>
      <c r="D810" s="375" t="str">
        <f t="shared" si="172"/>
        <v>Bluestone Estate9</v>
      </c>
      <c r="E810" s="375" t="s">
        <v>10395</v>
      </c>
      <c r="F810" s="375"/>
      <c r="G810" s="375" t="s">
        <v>1575</v>
      </c>
      <c r="H810" s="375" t="s">
        <v>860</v>
      </c>
      <c r="I810" s="63" t="s">
        <v>1576</v>
      </c>
      <c r="J810" s="47">
        <v>3740</v>
      </c>
      <c r="K810" s="46" t="s">
        <v>7938</v>
      </c>
      <c r="L810" s="47"/>
      <c r="M810" s="47"/>
      <c r="N810" s="47"/>
      <c r="O810" s="47" t="s">
        <v>1577</v>
      </c>
      <c r="P810" s="47" t="s">
        <v>1578</v>
      </c>
      <c r="Q810" s="47"/>
      <c r="R810" s="47"/>
      <c r="S810" s="47" t="s">
        <v>463</v>
      </c>
      <c r="T810" s="47"/>
      <c r="U810" s="47"/>
      <c r="V810" s="47"/>
      <c r="W810" s="47"/>
      <c r="X810" s="47"/>
      <c r="Y810" s="47"/>
      <c r="Z810" s="47">
        <v>4620</v>
      </c>
      <c r="AA810" s="47">
        <v>1400</v>
      </c>
      <c r="AB810" s="47">
        <v>2800</v>
      </c>
      <c r="AC810" s="47"/>
      <c r="AD810" s="47"/>
      <c r="AE810" s="47"/>
      <c r="AF810" s="47">
        <v>1485</v>
      </c>
      <c r="AG810" s="47"/>
      <c r="AH810" s="47" t="s">
        <v>9976</v>
      </c>
      <c r="AI810" s="47"/>
      <c r="AJ810" s="47"/>
      <c r="AL810" t="str">
        <v>Verdant Hill Estate</v>
      </c>
    </row>
    <row r="811" spans="1:43">
      <c r="A811" s="374" t="s">
        <v>1537</v>
      </c>
      <c r="B811" s="374">
        <v>1</v>
      </c>
      <c r="C811" s="374" t="s">
        <v>1538</v>
      </c>
      <c r="D811" s="375" t="str">
        <f t="shared" si="172"/>
        <v>Bluestone Views1</v>
      </c>
      <c r="E811" s="375" t="s">
        <v>1539</v>
      </c>
      <c r="F811" s="375"/>
      <c r="G811" s="375" t="s">
        <v>1540</v>
      </c>
      <c r="H811" s="375" t="s">
        <v>1541</v>
      </c>
      <c r="I811" s="63" t="s">
        <v>1542</v>
      </c>
      <c r="J811" s="47">
        <f t="shared" si="174"/>
        <v>3740</v>
      </c>
      <c r="K811" s="46" t="s">
        <v>10735</v>
      </c>
      <c r="L811" s="47"/>
      <c r="M811" s="47"/>
      <c r="N811" s="47"/>
      <c r="O811" s="47"/>
      <c r="P811" s="47"/>
      <c r="Q811" s="47">
        <f>Q$2</f>
        <v>0</v>
      </c>
      <c r="R811" s="47"/>
      <c r="S811" s="47"/>
      <c r="T811" s="47"/>
      <c r="U811" s="47"/>
      <c r="V811" s="47"/>
      <c r="W811" s="47"/>
      <c r="X811" s="47"/>
      <c r="Y811" s="47"/>
      <c r="Z811" s="47">
        <f t="shared" si="173"/>
        <v>4620</v>
      </c>
      <c r="AA811" s="47"/>
      <c r="AB811" s="47"/>
      <c r="AC811" s="47"/>
      <c r="AD811" s="47"/>
      <c r="AE811" s="47"/>
      <c r="AF811" s="47"/>
      <c r="AG811" s="47"/>
      <c r="AH811" s="47" t="str">
        <f>IFERROR(_xlfn.XLOOKUP(Table6[[#This Row],[Suburb]],Table5[Travel Surcharge],Table5[$$]),"")</f>
        <v/>
      </c>
      <c r="AI811" s="47"/>
      <c r="AJ811" s="47"/>
      <c r="AL811" t="str">
        <v>Verve</v>
      </c>
    </row>
    <row r="812" spans="1:43">
      <c r="A812" s="374" t="s">
        <v>1537</v>
      </c>
      <c r="B812" s="374">
        <v>2</v>
      </c>
      <c r="C812" s="374" t="s">
        <v>1538</v>
      </c>
      <c r="D812" s="375" t="str">
        <f t="shared" si="172"/>
        <v>Bluestone Views2</v>
      </c>
      <c r="E812" s="375" t="s">
        <v>1543</v>
      </c>
      <c r="F812" s="375"/>
      <c r="G812" s="375" t="s">
        <v>1540</v>
      </c>
      <c r="H812" s="375" t="s">
        <v>1541</v>
      </c>
      <c r="I812" s="63" t="s">
        <v>1542</v>
      </c>
      <c r="J812" s="47">
        <f t="shared" si="174"/>
        <v>3740</v>
      </c>
      <c r="K812" s="46" t="s">
        <v>10735</v>
      </c>
      <c r="L812" s="47"/>
      <c r="M812" s="47"/>
      <c r="N812" s="47"/>
      <c r="O812" s="47"/>
      <c r="P812" s="47"/>
      <c r="Q812" s="47">
        <f>Q$2</f>
        <v>0</v>
      </c>
      <c r="R812" s="47"/>
      <c r="S812" s="47"/>
      <c r="T812" s="47"/>
      <c r="U812" s="47"/>
      <c r="V812" s="47"/>
      <c r="W812" s="47"/>
      <c r="X812" s="47"/>
      <c r="Y812" s="47"/>
      <c r="Z812" s="47">
        <f t="shared" si="173"/>
        <v>4620</v>
      </c>
      <c r="AA812" s="47"/>
      <c r="AB812" s="47"/>
      <c r="AC812" s="47"/>
      <c r="AD812" s="47"/>
      <c r="AE812" s="47"/>
      <c r="AF812" s="47"/>
      <c r="AG812" s="47"/>
      <c r="AH812" s="47" t="str">
        <f>IFERROR(_xlfn.XLOOKUP(Table6[[#This Row],[Suburb]],Table5[Travel Surcharge],Table5[$$]),"")</f>
        <v/>
      </c>
      <c r="AI812" s="47"/>
      <c r="AJ812" s="47"/>
      <c r="AL812" t="str">
        <v>Vineyard Estate</v>
      </c>
    </row>
    <row r="813" spans="1:43">
      <c r="A813" s="374" t="s">
        <v>1589</v>
      </c>
      <c r="B813" s="374">
        <v>1</v>
      </c>
      <c r="C813" s="374" t="s">
        <v>1590</v>
      </c>
      <c r="D813" s="375" t="str">
        <f t="shared" si="172"/>
        <v>Boardwalk Estate1</v>
      </c>
      <c r="E813" s="375" t="s">
        <v>1591</v>
      </c>
      <c r="F813" s="375"/>
      <c r="G813" s="375"/>
      <c r="H813" s="375"/>
      <c r="I813" s="63"/>
      <c r="J813" s="47"/>
      <c r="K813" s="46" t="s">
        <v>10735</v>
      </c>
      <c r="L813" s="47"/>
      <c r="M813" s="47">
        <f>M$7</f>
        <v>1430.0000000000002</v>
      </c>
      <c r="N813" s="47" t="s">
        <v>1592</v>
      </c>
      <c r="O813" s="47" t="s">
        <v>1593</v>
      </c>
      <c r="P813" s="47" t="s">
        <v>1594</v>
      </c>
      <c r="Q813" s="47"/>
      <c r="R813" s="47"/>
      <c r="S813" s="47"/>
      <c r="T813" s="47"/>
      <c r="U813" s="47">
        <f>U$2</f>
        <v>430</v>
      </c>
      <c r="V813" s="47"/>
      <c r="W813" s="47"/>
      <c r="X813" s="47"/>
      <c r="Y813" s="47"/>
      <c r="Z813" s="47">
        <f t="shared" si="173"/>
        <v>4620</v>
      </c>
      <c r="AA813" s="47"/>
      <c r="AB813" s="47"/>
      <c r="AC813" s="47"/>
      <c r="AD813" s="47" t="s">
        <v>1595</v>
      </c>
      <c r="AE813" s="47">
        <f t="shared" ref="AE813:AF815" si="177">AE$7</f>
        <v>5000</v>
      </c>
      <c r="AF813" s="47">
        <f t="shared" si="177"/>
        <v>1485</v>
      </c>
      <c r="AG813" s="47"/>
      <c r="AH813" s="47" t="str">
        <f>IFERROR(_xlfn.XLOOKUP(Table6[[#This Row],[Suburb]],Table5[Travel Surcharge],Table5[$$]),"")</f>
        <v/>
      </c>
      <c r="AI813" s="47"/>
      <c r="AJ813" s="47"/>
      <c r="AL813" t="str">
        <v>Viridian</v>
      </c>
    </row>
    <row r="814" spans="1:43">
      <c r="A814" s="374" t="s">
        <v>1589</v>
      </c>
      <c r="B814" s="374">
        <v>2</v>
      </c>
      <c r="C814" s="374" t="s">
        <v>1590</v>
      </c>
      <c r="D814" s="375" t="str">
        <f t="shared" si="172"/>
        <v>Boardwalk Estate2</v>
      </c>
      <c r="E814" s="375" t="s">
        <v>1596</v>
      </c>
      <c r="F814" s="375"/>
      <c r="G814" s="375"/>
      <c r="H814" s="375"/>
      <c r="I814" s="63"/>
      <c r="J814" s="47"/>
      <c r="K814" s="46" t="s">
        <v>10735</v>
      </c>
      <c r="L814" s="47"/>
      <c r="M814" s="47">
        <f>M$7</f>
        <v>1430.0000000000002</v>
      </c>
      <c r="N814" s="47" t="s">
        <v>1592</v>
      </c>
      <c r="O814" s="47" t="s">
        <v>1593</v>
      </c>
      <c r="P814" s="47" t="s">
        <v>1594</v>
      </c>
      <c r="Q814" s="47"/>
      <c r="R814" s="47"/>
      <c r="S814" s="47"/>
      <c r="T814" s="47"/>
      <c r="U814" s="47">
        <f>U$2</f>
        <v>430</v>
      </c>
      <c r="V814" s="47"/>
      <c r="W814" s="47"/>
      <c r="X814" s="47"/>
      <c r="Y814" s="47"/>
      <c r="Z814" s="47">
        <f t="shared" si="173"/>
        <v>4620</v>
      </c>
      <c r="AA814" s="47"/>
      <c r="AB814" s="47"/>
      <c r="AC814" s="47"/>
      <c r="AD814" s="47" t="s">
        <v>1595</v>
      </c>
      <c r="AE814" s="47">
        <f t="shared" si="177"/>
        <v>5000</v>
      </c>
      <c r="AF814" s="47">
        <f t="shared" si="177"/>
        <v>1485</v>
      </c>
      <c r="AG814" s="47"/>
      <c r="AH814" s="47" t="str">
        <f>IFERROR(_xlfn.XLOOKUP(Table6[[#This Row],[Suburb]],Table5[Travel Surcharge],Table5[$$]),"")</f>
        <v/>
      </c>
      <c r="AI814" s="47"/>
      <c r="AJ814" s="47"/>
      <c r="AL814" t="str">
        <v>Vista</v>
      </c>
    </row>
    <row r="815" spans="1:43">
      <c r="A815" s="374" t="s">
        <v>1589</v>
      </c>
      <c r="B815" s="374">
        <v>3</v>
      </c>
      <c r="C815" s="374" t="s">
        <v>1590</v>
      </c>
      <c r="D815" s="375" t="str">
        <f t="shared" si="172"/>
        <v>Boardwalk Estate3</v>
      </c>
      <c r="E815" s="375" t="s">
        <v>1597</v>
      </c>
      <c r="F815" s="375"/>
      <c r="G815" s="375"/>
      <c r="H815" s="375"/>
      <c r="I815" s="63"/>
      <c r="J815" s="47"/>
      <c r="K815" s="46" t="s">
        <v>10735</v>
      </c>
      <c r="L815" s="47"/>
      <c r="M815" s="47">
        <f>M$7</f>
        <v>1430.0000000000002</v>
      </c>
      <c r="N815" s="47" t="s">
        <v>1592</v>
      </c>
      <c r="O815" s="47" t="s">
        <v>1593</v>
      </c>
      <c r="P815" s="47" t="s">
        <v>1594</v>
      </c>
      <c r="Q815" s="47"/>
      <c r="R815" s="47"/>
      <c r="S815" s="47"/>
      <c r="T815" s="47"/>
      <c r="U815" s="47">
        <f>U$2</f>
        <v>430</v>
      </c>
      <c r="V815" s="47"/>
      <c r="W815" s="47"/>
      <c r="X815" s="47"/>
      <c r="Y815" s="47"/>
      <c r="Z815" s="47">
        <f t="shared" si="173"/>
        <v>4620</v>
      </c>
      <c r="AA815" s="47"/>
      <c r="AB815" s="47"/>
      <c r="AC815" s="47"/>
      <c r="AD815" s="47" t="s">
        <v>1595</v>
      </c>
      <c r="AE815" s="47">
        <f t="shared" si="177"/>
        <v>5000</v>
      </c>
      <c r="AF815" s="47">
        <f t="shared" si="177"/>
        <v>1485</v>
      </c>
      <c r="AG815" s="47"/>
      <c r="AH815" s="47" t="str">
        <f>IFERROR(_xlfn.XLOOKUP(Table6[[#This Row],[Suburb]],Table5[Travel Surcharge],Table5[$$]),"")</f>
        <v/>
      </c>
      <c r="AI815" s="47"/>
      <c r="AJ815" s="47"/>
      <c r="AL815" t="str">
        <v>Vista Verde</v>
      </c>
    </row>
    <row r="816" spans="1:43">
      <c r="A816" s="374" t="s">
        <v>1589</v>
      </c>
      <c r="B816" s="374">
        <v>4</v>
      </c>
      <c r="C816" s="374" t="s">
        <v>1590</v>
      </c>
      <c r="D816" s="375" t="str">
        <f t="shared" si="172"/>
        <v>Boardwalk Estate4</v>
      </c>
      <c r="E816" s="375" t="s">
        <v>1598</v>
      </c>
      <c r="F816" s="375"/>
      <c r="G816" s="375"/>
      <c r="H816" s="375"/>
      <c r="I816" s="63"/>
      <c r="J816" s="47"/>
      <c r="K816" s="46" t="s">
        <v>10735</v>
      </c>
      <c r="L816" s="47"/>
      <c r="M816" s="47">
        <v>1430.0000000000002</v>
      </c>
      <c r="N816" s="47" t="s">
        <v>1592</v>
      </c>
      <c r="O816" s="47" t="s">
        <v>1593</v>
      </c>
      <c r="P816" s="47" t="s">
        <v>1594</v>
      </c>
      <c r="Q816" s="47"/>
      <c r="R816" s="47"/>
      <c r="S816" s="47"/>
      <c r="T816" s="47"/>
      <c r="U816" s="47">
        <v>540</v>
      </c>
      <c r="V816" s="47"/>
      <c r="W816" s="47"/>
      <c r="X816" s="47"/>
      <c r="Y816" s="47"/>
      <c r="Z816" s="47">
        <v>4620</v>
      </c>
      <c r="AA816" s="47"/>
      <c r="AB816" s="47"/>
      <c r="AC816" s="47"/>
      <c r="AD816" s="47" t="s">
        <v>1595</v>
      </c>
      <c r="AE816" s="47">
        <v>8000</v>
      </c>
      <c r="AF816" s="47">
        <v>1650.0000000000002</v>
      </c>
      <c r="AG816" s="47"/>
      <c r="AH816" s="47" t="str">
        <f>IFERROR(_xlfn.XLOOKUP(Table6[[#This Row],[Suburb]],Table5[Travel Surcharge],Table5[$$]),"")</f>
        <v/>
      </c>
      <c r="AI816" s="47"/>
      <c r="AJ816" s="47"/>
      <c r="AL816" t="str">
        <v>Voltaire Estate</v>
      </c>
    </row>
    <row r="817" spans="1:38">
      <c r="A817" s="157" t="s">
        <v>8025</v>
      </c>
      <c r="B817" s="157">
        <v>1</v>
      </c>
      <c r="C817" s="157" t="s">
        <v>293</v>
      </c>
      <c r="D817" s="157" t="str">
        <f t="shared" si="172"/>
        <v>Bonshaw Run1</v>
      </c>
      <c r="E817" s="157" t="s">
        <v>8026</v>
      </c>
      <c r="F817" s="157" t="s">
        <v>8027</v>
      </c>
      <c r="G817" s="157" t="s">
        <v>2083</v>
      </c>
      <c r="H817" s="157" t="s">
        <v>2084</v>
      </c>
      <c r="I817" s="158"/>
      <c r="J817" s="47"/>
      <c r="K817" s="46" t="s">
        <v>10735</v>
      </c>
      <c r="L817" s="47"/>
      <c r="M817" s="47"/>
      <c r="N817" s="47"/>
      <c r="O817" s="47">
        <f>O$7</f>
        <v>4950</v>
      </c>
      <c r="P817" s="47" t="s">
        <v>8788</v>
      </c>
      <c r="Q817" s="47"/>
      <c r="R817" s="47"/>
      <c r="S817" s="47" t="s">
        <v>463</v>
      </c>
      <c r="T817" s="47"/>
      <c r="U817" s="47"/>
      <c r="V817" s="47"/>
      <c r="W817" s="47" t="s">
        <v>8029</v>
      </c>
      <c r="X817" s="47" t="s">
        <v>8028</v>
      </c>
      <c r="Y817" s="47"/>
      <c r="Z817" s="47">
        <f t="shared" ref="Z817:Z839" si="178">Z$7</f>
        <v>4620</v>
      </c>
      <c r="AA817" s="47"/>
      <c r="AB817" s="47"/>
      <c r="AC817" s="47"/>
      <c r="AD817" s="47"/>
      <c r="AE817" s="47"/>
      <c r="AF817" s="47"/>
      <c r="AG817" s="47"/>
      <c r="AH817" s="47">
        <f>IFERROR(_xlfn.XLOOKUP(Table6[[#This Row],[Suburb]],Table5[Travel Surcharge],Table5[$$]),"")</f>
        <v>8000</v>
      </c>
      <c r="AI817" s="47"/>
      <c r="AJ817" s="47">
        <f>$AJ$7</f>
        <v>4400</v>
      </c>
      <c r="AL817" t="str">
        <v>Wallan Valley</v>
      </c>
    </row>
    <row r="818" spans="1:38">
      <c r="A818" s="157" t="s">
        <v>8025</v>
      </c>
      <c r="B818" s="157">
        <v>2</v>
      </c>
      <c r="C818" s="157" t="s">
        <v>8171</v>
      </c>
      <c r="D818" s="157" t="str">
        <f t="shared" si="172"/>
        <v>Bonshaw Run2</v>
      </c>
      <c r="E818" s="157" t="s">
        <v>8173</v>
      </c>
      <c r="F818" s="157" t="s">
        <v>8027</v>
      </c>
      <c r="G818" s="157" t="s">
        <v>2083</v>
      </c>
      <c r="H818" s="157" t="s">
        <v>8172</v>
      </c>
      <c r="I818" s="158"/>
      <c r="J818" s="47"/>
      <c r="K818" s="46" t="s">
        <v>10735</v>
      </c>
      <c r="L818" s="47"/>
      <c r="M818" s="47"/>
      <c r="N818" s="47"/>
      <c r="O818" s="47">
        <f>O$7</f>
        <v>4950</v>
      </c>
      <c r="P818" s="47" t="s">
        <v>8788</v>
      </c>
      <c r="Q818" s="47"/>
      <c r="R818" s="47"/>
      <c r="S818" s="47" t="s">
        <v>463</v>
      </c>
      <c r="T818" s="47"/>
      <c r="U818" s="47"/>
      <c r="V818" s="47"/>
      <c r="W818" s="47" t="s">
        <v>8029</v>
      </c>
      <c r="X818" s="47" t="s">
        <v>8028</v>
      </c>
      <c r="Y818" s="47"/>
      <c r="Z818" s="47">
        <f t="shared" si="178"/>
        <v>4620</v>
      </c>
      <c r="AA818" s="47"/>
      <c r="AB818" s="47"/>
      <c r="AC818" s="47"/>
      <c r="AD818" s="47"/>
      <c r="AE818" s="47"/>
      <c r="AF818" s="47"/>
      <c r="AG818" s="47"/>
      <c r="AH818" s="47" t="str">
        <f>IFERROR(_xlfn.XLOOKUP(Table6[[#This Row],[Suburb]],Table5[Travel Surcharge],Table5[$$]),"")</f>
        <v/>
      </c>
      <c r="AI818" s="47"/>
      <c r="AJ818" s="47">
        <f>$AJ$7</f>
        <v>4400</v>
      </c>
      <c r="AL818" t="str">
        <v>Wallanbrae</v>
      </c>
    </row>
    <row r="819" spans="1:38">
      <c r="A819" s="374" t="s">
        <v>1599</v>
      </c>
      <c r="B819" s="374">
        <v>3</v>
      </c>
      <c r="C819" s="374" t="s">
        <v>1600</v>
      </c>
      <c r="D819" s="375" t="str">
        <f t="shared" si="172"/>
        <v>Botania3</v>
      </c>
      <c r="E819" s="375" t="s">
        <v>1611</v>
      </c>
      <c r="F819" s="375" t="s">
        <v>1602</v>
      </c>
      <c r="G819" s="375" t="s">
        <v>1603</v>
      </c>
      <c r="H819" s="375" t="s">
        <v>1604</v>
      </c>
      <c r="I819" s="63" t="s">
        <v>1605</v>
      </c>
      <c r="J819" s="47">
        <f t="shared" ref="J819:J830" si="179">J$7</f>
        <v>3740</v>
      </c>
      <c r="K819" s="46" t="s">
        <v>10735</v>
      </c>
      <c r="L819" s="47"/>
      <c r="M819" s="47">
        <f t="shared" ref="M819:M830" si="180">M$7</f>
        <v>1430.0000000000002</v>
      </c>
      <c r="N819" s="47"/>
      <c r="O819" s="47"/>
      <c r="P819" s="47" t="s">
        <v>1606</v>
      </c>
      <c r="Q819" s="47"/>
      <c r="R819" s="47"/>
      <c r="S819" s="47"/>
      <c r="T819" s="47">
        <f t="shared" ref="T819:T836" si="181">T$2</f>
        <v>780</v>
      </c>
      <c r="U819" s="47"/>
      <c r="V819" s="47"/>
      <c r="W819" s="47" t="s">
        <v>1607</v>
      </c>
      <c r="X819" s="47"/>
      <c r="Y819" s="47"/>
      <c r="Z819" s="47">
        <f t="shared" si="178"/>
        <v>4620</v>
      </c>
      <c r="AA819" s="47"/>
      <c r="AB819" s="47"/>
      <c r="AC819" s="47"/>
      <c r="AD819" s="47" t="s">
        <v>1</v>
      </c>
      <c r="AE819" s="47"/>
      <c r="AF819" s="47">
        <f t="shared" ref="AF819:AF830" si="182">AF$7</f>
        <v>1485</v>
      </c>
      <c r="AG819" s="47"/>
      <c r="AH819" s="47" t="str">
        <f>IFERROR(_xlfn.XLOOKUP(Table6[[#This Row],[Suburb]],Table5[Travel Surcharge],Table5[$$]),"")</f>
        <v/>
      </c>
      <c r="AI819" s="47"/>
      <c r="AJ819" s="47"/>
      <c r="AL819" t="str">
        <v>Wallara Waters Estate</v>
      </c>
    </row>
    <row r="820" spans="1:38">
      <c r="A820" s="374" t="s">
        <v>1599</v>
      </c>
      <c r="B820" s="374">
        <v>6</v>
      </c>
      <c r="C820" s="374" t="s">
        <v>1600</v>
      </c>
      <c r="D820" s="375" t="str">
        <f t="shared" si="172"/>
        <v>Botania6</v>
      </c>
      <c r="E820" s="375" t="s">
        <v>1616</v>
      </c>
      <c r="F820" s="375" t="s">
        <v>1602</v>
      </c>
      <c r="G820" s="375" t="s">
        <v>1603</v>
      </c>
      <c r="H820" s="375" t="s">
        <v>1604</v>
      </c>
      <c r="I820" s="63" t="s">
        <v>1605</v>
      </c>
      <c r="J820" s="47">
        <f t="shared" si="179"/>
        <v>3740</v>
      </c>
      <c r="K820" s="46" t="s">
        <v>10735</v>
      </c>
      <c r="L820" s="47"/>
      <c r="M820" s="47">
        <f t="shared" si="180"/>
        <v>1430.0000000000002</v>
      </c>
      <c r="N820" s="47"/>
      <c r="O820" s="47"/>
      <c r="P820" s="47" t="s">
        <v>1606</v>
      </c>
      <c r="Q820" s="47"/>
      <c r="R820" s="47"/>
      <c r="S820" s="47"/>
      <c r="T820" s="47">
        <f t="shared" si="181"/>
        <v>780</v>
      </c>
      <c r="U820" s="47"/>
      <c r="V820" s="47"/>
      <c r="W820" s="47" t="s">
        <v>1607</v>
      </c>
      <c r="X820" s="47"/>
      <c r="Y820" s="47"/>
      <c r="Z820" s="47">
        <f t="shared" si="178"/>
        <v>4620</v>
      </c>
      <c r="AA820" s="47"/>
      <c r="AB820" s="47"/>
      <c r="AC820" s="47"/>
      <c r="AD820" s="47" t="s">
        <v>1</v>
      </c>
      <c r="AE820" s="47"/>
      <c r="AF820" s="47">
        <f t="shared" si="182"/>
        <v>1485</v>
      </c>
      <c r="AG820" s="47"/>
      <c r="AH820" s="47" t="str">
        <f>IFERROR(_xlfn.XLOOKUP(Table6[[#This Row],[Suburb]],Table5[Travel Surcharge],Table5[$$]),"")</f>
        <v/>
      </c>
      <c r="AI820" s="47"/>
      <c r="AJ820" s="47"/>
      <c r="AL820" t="str">
        <v>Wandana Estate</v>
      </c>
    </row>
    <row r="821" spans="1:38">
      <c r="A821" s="374" t="s">
        <v>1599</v>
      </c>
      <c r="B821" s="374">
        <v>7</v>
      </c>
      <c r="C821" s="374" t="s">
        <v>1600</v>
      </c>
      <c r="D821" s="375" t="str">
        <f t="shared" si="172"/>
        <v>Botania7</v>
      </c>
      <c r="E821" s="375" t="s">
        <v>1617</v>
      </c>
      <c r="F821" s="375" t="s">
        <v>1602</v>
      </c>
      <c r="G821" s="375" t="s">
        <v>1603</v>
      </c>
      <c r="H821" s="375" t="s">
        <v>1604</v>
      </c>
      <c r="I821" s="63" t="s">
        <v>1605</v>
      </c>
      <c r="J821" s="47">
        <f t="shared" si="179"/>
        <v>3740</v>
      </c>
      <c r="K821" s="46" t="s">
        <v>10735</v>
      </c>
      <c r="L821" s="47"/>
      <c r="M821" s="47">
        <f t="shared" si="180"/>
        <v>1430.0000000000002</v>
      </c>
      <c r="N821" s="47"/>
      <c r="O821" s="47"/>
      <c r="P821" s="47" t="s">
        <v>1606</v>
      </c>
      <c r="Q821" s="47"/>
      <c r="R821" s="47"/>
      <c r="S821" s="47"/>
      <c r="T821" s="47">
        <f t="shared" si="181"/>
        <v>780</v>
      </c>
      <c r="U821" s="47"/>
      <c r="V821" s="47"/>
      <c r="W821" s="47" t="s">
        <v>1607</v>
      </c>
      <c r="X821" s="47"/>
      <c r="Y821" s="47"/>
      <c r="Z821" s="47">
        <f t="shared" si="178"/>
        <v>4620</v>
      </c>
      <c r="AA821" s="47"/>
      <c r="AB821" s="47"/>
      <c r="AC821" s="47"/>
      <c r="AD821" s="47" t="s">
        <v>1</v>
      </c>
      <c r="AE821" s="47"/>
      <c r="AF821" s="47">
        <f t="shared" si="182"/>
        <v>1485</v>
      </c>
      <c r="AG821" s="47"/>
      <c r="AH821" s="47" t="str">
        <f>IFERROR(_xlfn.XLOOKUP(Table6[[#This Row],[Suburb]],Table5[Travel Surcharge],Table5[$$]),"")</f>
        <v/>
      </c>
      <c r="AI821" s="47"/>
      <c r="AJ821" s="47"/>
      <c r="AL821" t="str">
        <v>Wantirna Rise Estate</v>
      </c>
    </row>
    <row r="822" spans="1:38">
      <c r="A822" s="374" t="s">
        <v>1599</v>
      </c>
      <c r="B822" s="374" t="s">
        <v>501</v>
      </c>
      <c r="C822" s="374" t="s">
        <v>1600</v>
      </c>
      <c r="D822" s="375" t="str">
        <f t="shared" si="172"/>
        <v>Botania1A</v>
      </c>
      <c r="E822" s="375" t="s">
        <v>1601</v>
      </c>
      <c r="F822" s="375" t="s">
        <v>1602</v>
      </c>
      <c r="G822" s="375" t="s">
        <v>1603</v>
      </c>
      <c r="H822" s="375" t="s">
        <v>1604</v>
      </c>
      <c r="I822" s="63" t="s">
        <v>1605</v>
      </c>
      <c r="J822" s="47">
        <f t="shared" si="179"/>
        <v>3740</v>
      </c>
      <c r="K822" s="46" t="s">
        <v>10735</v>
      </c>
      <c r="L822" s="47"/>
      <c r="M822" s="47">
        <f t="shared" si="180"/>
        <v>1430.0000000000002</v>
      </c>
      <c r="N822" s="47"/>
      <c r="O822" s="47"/>
      <c r="P822" s="47" t="s">
        <v>1606</v>
      </c>
      <c r="Q822" s="47"/>
      <c r="R822" s="47"/>
      <c r="S822" s="47"/>
      <c r="T822" s="47">
        <f t="shared" si="181"/>
        <v>780</v>
      </c>
      <c r="U822" s="47"/>
      <c r="V822" s="47"/>
      <c r="W822" s="47" t="s">
        <v>1607</v>
      </c>
      <c r="X822" s="47"/>
      <c r="Y822" s="47"/>
      <c r="Z822" s="47">
        <f t="shared" si="178"/>
        <v>4620</v>
      </c>
      <c r="AA822" s="47">
        <f>AA$7</f>
        <v>1400</v>
      </c>
      <c r="AB822" s="47"/>
      <c r="AC822" s="47"/>
      <c r="AD822" s="47" t="s">
        <v>1</v>
      </c>
      <c r="AE822" s="47"/>
      <c r="AF822" s="47">
        <f t="shared" si="182"/>
        <v>1485</v>
      </c>
      <c r="AG822" s="47"/>
      <c r="AH822" s="47" t="str">
        <f>IFERROR(_xlfn.XLOOKUP(Table6[[#This Row],[Suburb]],Table5[Travel Surcharge],Table5[$$]),"")</f>
        <v/>
      </c>
      <c r="AI822" s="47"/>
      <c r="AJ822" s="47"/>
      <c r="AL822" t="str">
        <v>Waratah Estate</v>
      </c>
    </row>
    <row r="823" spans="1:38">
      <c r="A823" s="374" t="s">
        <v>1599</v>
      </c>
      <c r="B823" s="374" t="s">
        <v>507</v>
      </c>
      <c r="C823" s="374" t="s">
        <v>1600</v>
      </c>
      <c r="D823" s="375" t="str">
        <f t="shared" si="172"/>
        <v>Botania1B</v>
      </c>
      <c r="E823" s="375" t="s">
        <v>1608</v>
      </c>
      <c r="F823" s="375" t="s">
        <v>1602</v>
      </c>
      <c r="G823" s="375" t="s">
        <v>1603</v>
      </c>
      <c r="H823" s="375" t="s">
        <v>1604</v>
      </c>
      <c r="I823" s="63" t="s">
        <v>1605</v>
      </c>
      <c r="J823" s="47">
        <f t="shared" si="179"/>
        <v>3740</v>
      </c>
      <c r="K823" s="46" t="s">
        <v>10735</v>
      </c>
      <c r="L823" s="47"/>
      <c r="M823" s="47">
        <f t="shared" si="180"/>
        <v>1430.0000000000002</v>
      </c>
      <c r="N823" s="47"/>
      <c r="O823" s="47"/>
      <c r="P823" s="47" t="s">
        <v>1606</v>
      </c>
      <c r="Q823" s="47"/>
      <c r="R823" s="47"/>
      <c r="S823" s="47"/>
      <c r="T823" s="47">
        <f t="shared" si="181"/>
        <v>780</v>
      </c>
      <c r="U823" s="47"/>
      <c r="V823" s="47"/>
      <c r="W823" s="47" t="s">
        <v>1607</v>
      </c>
      <c r="X823" s="47"/>
      <c r="Y823" s="47"/>
      <c r="Z823" s="47">
        <f t="shared" si="178"/>
        <v>4620</v>
      </c>
      <c r="AA823" s="47"/>
      <c r="AB823" s="47"/>
      <c r="AC823" s="47"/>
      <c r="AD823" s="47" t="s">
        <v>1</v>
      </c>
      <c r="AE823" s="47"/>
      <c r="AF823" s="47">
        <f t="shared" si="182"/>
        <v>1485</v>
      </c>
      <c r="AG823" s="47"/>
      <c r="AH823" s="47" t="str">
        <f>IFERROR(_xlfn.XLOOKUP(Table6[[#This Row],[Suburb]],Table5[Travel Surcharge],Table5[$$]),"")</f>
        <v/>
      </c>
      <c r="AI823" s="47"/>
      <c r="AJ823" s="47"/>
      <c r="AL823" t="str">
        <v>Warragul Crownlea Estate</v>
      </c>
    </row>
    <row r="824" spans="1:38">
      <c r="A824" s="374" t="s">
        <v>1599</v>
      </c>
      <c r="B824" s="374" t="s">
        <v>718</v>
      </c>
      <c r="C824" s="374" t="s">
        <v>1600</v>
      </c>
      <c r="D824" s="375" t="str">
        <f t="shared" si="172"/>
        <v>Botania2A</v>
      </c>
      <c r="E824" s="375" t="s">
        <v>1609</v>
      </c>
      <c r="F824" s="375" t="s">
        <v>1602</v>
      </c>
      <c r="G824" s="375" t="s">
        <v>1603</v>
      </c>
      <c r="H824" s="375" t="s">
        <v>1604</v>
      </c>
      <c r="I824" s="63" t="s">
        <v>1605</v>
      </c>
      <c r="J824" s="47">
        <f t="shared" si="179"/>
        <v>3740</v>
      </c>
      <c r="K824" s="46" t="s">
        <v>10735</v>
      </c>
      <c r="L824" s="47"/>
      <c r="M824" s="47">
        <f t="shared" si="180"/>
        <v>1430.0000000000002</v>
      </c>
      <c r="N824" s="47"/>
      <c r="O824" s="47"/>
      <c r="P824" s="47" t="s">
        <v>1606</v>
      </c>
      <c r="Q824" s="47"/>
      <c r="R824" s="47"/>
      <c r="S824" s="47"/>
      <c r="T824" s="47">
        <f t="shared" si="181"/>
        <v>780</v>
      </c>
      <c r="U824" s="47"/>
      <c r="V824" s="47"/>
      <c r="W824" s="47" t="s">
        <v>1607</v>
      </c>
      <c r="X824" s="47"/>
      <c r="Y824" s="47"/>
      <c r="Z824" s="47">
        <f t="shared" si="178"/>
        <v>4620</v>
      </c>
      <c r="AA824" s="47"/>
      <c r="AB824" s="47"/>
      <c r="AC824" s="47"/>
      <c r="AD824" s="47" t="s">
        <v>1</v>
      </c>
      <c r="AE824" s="47"/>
      <c r="AF824" s="47">
        <f t="shared" si="182"/>
        <v>1485</v>
      </c>
      <c r="AG824" s="47"/>
      <c r="AH824" s="47" t="str">
        <f>IFERROR(_xlfn.XLOOKUP(Table6[[#This Row],[Suburb]],Table5[Travel Surcharge],Table5[$$]),"")</f>
        <v/>
      </c>
      <c r="AI824" s="47"/>
      <c r="AJ824" s="47"/>
      <c r="AL824" t="str">
        <v>Warralily Estate</v>
      </c>
    </row>
    <row r="825" spans="1:38">
      <c r="A825" s="374" t="s">
        <v>1599</v>
      </c>
      <c r="B825" s="374" t="s">
        <v>604</v>
      </c>
      <c r="C825" s="374" t="s">
        <v>1600</v>
      </c>
      <c r="D825" s="375" t="str">
        <f t="shared" si="172"/>
        <v>Botania2B</v>
      </c>
      <c r="E825" s="375" t="s">
        <v>1610</v>
      </c>
      <c r="F825" s="375" t="s">
        <v>1602</v>
      </c>
      <c r="G825" s="375" t="s">
        <v>1603</v>
      </c>
      <c r="H825" s="375" t="s">
        <v>1604</v>
      </c>
      <c r="I825" s="63" t="s">
        <v>1605</v>
      </c>
      <c r="J825" s="47">
        <f t="shared" si="179"/>
        <v>3740</v>
      </c>
      <c r="K825" s="46" t="s">
        <v>10735</v>
      </c>
      <c r="L825" s="47"/>
      <c r="M825" s="47">
        <f t="shared" si="180"/>
        <v>1430.0000000000002</v>
      </c>
      <c r="N825" s="47"/>
      <c r="O825" s="47"/>
      <c r="P825" s="47" t="s">
        <v>1606</v>
      </c>
      <c r="Q825" s="47"/>
      <c r="R825" s="47"/>
      <c r="S825" s="47"/>
      <c r="T825" s="47">
        <f t="shared" si="181"/>
        <v>780</v>
      </c>
      <c r="U825" s="47"/>
      <c r="V825" s="47"/>
      <c r="W825" s="47" t="s">
        <v>1607</v>
      </c>
      <c r="X825" s="47"/>
      <c r="Y825" s="47"/>
      <c r="Z825" s="47">
        <f t="shared" si="178"/>
        <v>4620</v>
      </c>
      <c r="AA825" s="47"/>
      <c r="AB825" s="47"/>
      <c r="AC825" s="47"/>
      <c r="AD825" s="47" t="s">
        <v>1</v>
      </c>
      <c r="AE825" s="47"/>
      <c r="AF825" s="47">
        <f t="shared" si="182"/>
        <v>1485</v>
      </c>
      <c r="AG825" s="47"/>
      <c r="AH825" s="47" t="str">
        <f>IFERROR(_xlfn.XLOOKUP(Table6[[#This Row],[Suburb]],Table5[Travel Surcharge],Table5[$$]),"")</f>
        <v/>
      </c>
      <c r="AI825" s="47"/>
      <c r="AJ825" s="47"/>
      <c r="AL825" t="str">
        <v>Water Edge Estate</v>
      </c>
    </row>
    <row r="826" spans="1:38">
      <c r="A826" s="374" t="s">
        <v>1599</v>
      </c>
      <c r="B826" s="374" t="s">
        <v>528</v>
      </c>
      <c r="C826" s="374" t="s">
        <v>1600</v>
      </c>
      <c r="D826" s="375" t="str">
        <f t="shared" si="172"/>
        <v>Botania4A</v>
      </c>
      <c r="E826" s="375" t="s">
        <v>1612</v>
      </c>
      <c r="F826" s="375" t="s">
        <v>1602</v>
      </c>
      <c r="G826" s="375" t="s">
        <v>1603</v>
      </c>
      <c r="H826" s="375" t="s">
        <v>1604</v>
      </c>
      <c r="I826" s="63" t="s">
        <v>1605</v>
      </c>
      <c r="J826" s="47">
        <f t="shared" si="179"/>
        <v>3740</v>
      </c>
      <c r="K826" s="46" t="s">
        <v>10735</v>
      </c>
      <c r="L826" s="47"/>
      <c r="M826" s="47">
        <f t="shared" si="180"/>
        <v>1430.0000000000002</v>
      </c>
      <c r="N826" s="47"/>
      <c r="O826" s="47"/>
      <c r="P826" s="47" t="s">
        <v>1606</v>
      </c>
      <c r="Q826" s="47"/>
      <c r="R826" s="47"/>
      <c r="S826" s="47"/>
      <c r="T826" s="47">
        <f t="shared" si="181"/>
        <v>780</v>
      </c>
      <c r="U826" s="47"/>
      <c r="V826" s="47"/>
      <c r="W826" s="47" t="s">
        <v>1607</v>
      </c>
      <c r="X826" s="47"/>
      <c r="Y826" s="47"/>
      <c r="Z826" s="47">
        <f t="shared" si="178"/>
        <v>4620</v>
      </c>
      <c r="AA826" s="47"/>
      <c r="AB826" s="47"/>
      <c r="AC826" s="47"/>
      <c r="AD826" s="47" t="s">
        <v>1</v>
      </c>
      <c r="AE826" s="47"/>
      <c r="AF826" s="47">
        <f t="shared" si="182"/>
        <v>1485</v>
      </c>
      <c r="AG826" s="47"/>
      <c r="AH826" s="47" t="str">
        <f>IFERROR(_xlfn.XLOOKUP(Table6[[#This Row],[Suburb]],Table5[Travel Surcharge],Table5[$$]),"")</f>
        <v/>
      </c>
      <c r="AI826" s="47"/>
      <c r="AJ826" s="47"/>
      <c r="AL826" t="str">
        <v>Waterford Estate</v>
      </c>
    </row>
    <row r="827" spans="1:38">
      <c r="A827" s="374" t="s">
        <v>1599</v>
      </c>
      <c r="B827" s="374" t="s">
        <v>613</v>
      </c>
      <c r="C827" s="374" t="s">
        <v>1600</v>
      </c>
      <c r="D827" s="375" t="str">
        <f t="shared" si="172"/>
        <v>Botania4B</v>
      </c>
      <c r="E827" s="375" t="s">
        <v>1613</v>
      </c>
      <c r="F827" s="375" t="s">
        <v>1602</v>
      </c>
      <c r="G827" s="375" t="s">
        <v>1603</v>
      </c>
      <c r="H827" s="375" t="s">
        <v>1604</v>
      </c>
      <c r="I827" s="63" t="s">
        <v>1605</v>
      </c>
      <c r="J827" s="47">
        <f t="shared" si="179"/>
        <v>3740</v>
      </c>
      <c r="K827" s="46" t="s">
        <v>10735</v>
      </c>
      <c r="L827" s="47"/>
      <c r="M827" s="47">
        <f t="shared" si="180"/>
        <v>1430.0000000000002</v>
      </c>
      <c r="N827" s="47"/>
      <c r="O827" s="47"/>
      <c r="P827" s="47" t="s">
        <v>1606</v>
      </c>
      <c r="Q827" s="47"/>
      <c r="R827" s="47"/>
      <c r="S827" s="47"/>
      <c r="T827" s="47">
        <f t="shared" si="181"/>
        <v>780</v>
      </c>
      <c r="U827" s="47"/>
      <c r="V827" s="47"/>
      <c r="W827" s="47" t="s">
        <v>1607</v>
      </c>
      <c r="X827" s="47"/>
      <c r="Y827" s="47"/>
      <c r="Z827" s="47">
        <f t="shared" si="178"/>
        <v>4620</v>
      </c>
      <c r="AA827" s="47"/>
      <c r="AB827" s="47"/>
      <c r="AC827" s="47"/>
      <c r="AD827" s="47" t="s">
        <v>1</v>
      </c>
      <c r="AE827" s="47"/>
      <c r="AF827" s="47">
        <f t="shared" si="182"/>
        <v>1485</v>
      </c>
      <c r="AG827" s="47"/>
      <c r="AH827" s="47" t="str">
        <f>IFERROR(_xlfn.XLOOKUP(Table6[[#This Row],[Suburb]],Table5[Travel Surcharge],Table5[$$]),"")</f>
        <v/>
      </c>
      <c r="AI827" s="47"/>
      <c r="AJ827" s="47"/>
      <c r="AL827" t="str">
        <v xml:space="preserve">Waterford Rise </v>
      </c>
    </row>
    <row r="828" spans="1:38">
      <c r="A828" s="374" t="s">
        <v>1599</v>
      </c>
      <c r="B828" s="374" t="s">
        <v>617</v>
      </c>
      <c r="C828" s="374" t="s">
        <v>1600</v>
      </c>
      <c r="D828" s="375" t="str">
        <f t="shared" si="172"/>
        <v>Botania5A</v>
      </c>
      <c r="E828" s="375" t="s">
        <v>1614</v>
      </c>
      <c r="F828" s="375" t="s">
        <v>1602</v>
      </c>
      <c r="G828" s="375" t="s">
        <v>1603</v>
      </c>
      <c r="H828" s="375" t="s">
        <v>1604</v>
      </c>
      <c r="I828" s="63" t="s">
        <v>1605</v>
      </c>
      <c r="J828" s="47">
        <f t="shared" si="179"/>
        <v>3740</v>
      </c>
      <c r="K828" s="46" t="s">
        <v>10735</v>
      </c>
      <c r="L828" s="47"/>
      <c r="M828" s="47">
        <f t="shared" si="180"/>
        <v>1430.0000000000002</v>
      </c>
      <c r="N828" s="47"/>
      <c r="O828" s="47"/>
      <c r="P828" s="47" t="s">
        <v>1606</v>
      </c>
      <c r="Q828" s="47"/>
      <c r="R828" s="47"/>
      <c r="S828" s="47"/>
      <c r="T828" s="47">
        <f t="shared" si="181"/>
        <v>780</v>
      </c>
      <c r="U828" s="47"/>
      <c r="V828" s="47"/>
      <c r="W828" s="47" t="s">
        <v>1607</v>
      </c>
      <c r="X828" s="47"/>
      <c r="Y828" s="47"/>
      <c r="Z828" s="47">
        <f t="shared" si="178"/>
        <v>4620</v>
      </c>
      <c r="AA828" s="47"/>
      <c r="AB828" s="47"/>
      <c r="AC828" s="47"/>
      <c r="AD828" s="47" t="s">
        <v>1</v>
      </c>
      <c r="AE828" s="47"/>
      <c r="AF828" s="47">
        <f t="shared" si="182"/>
        <v>1485</v>
      </c>
      <c r="AG828" s="47"/>
      <c r="AH828" s="47" t="str">
        <f>IFERROR(_xlfn.XLOOKUP(Table6[[#This Row],[Suburb]],Table5[Travel Surcharge],Table5[$$]),"")</f>
        <v/>
      </c>
      <c r="AI828" s="47"/>
      <c r="AJ828" s="47"/>
      <c r="AL828" t="str">
        <v>Waterford Rise Estate</v>
      </c>
    </row>
    <row r="829" spans="1:38">
      <c r="A829" s="374" t="s">
        <v>1599</v>
      </c>
      <c r="B829" s="374" t="s">
        <v>1466</v>
      </c>
      <c r="C829" s="374" t="s">
        <v>1600</v>
      </c>
      <c r="D829" s="375" t="str">
        <f t="shared" si="172"/>
        <v>Botania5B</v>
      </c>
      <c r="E829" s="375" t="s">
        <v>1615</v>
      </c>
      <c r="F829" s="375" t="s">
        <v>1602</v>
      </c>
      <c r="G829" s="375" t="s">
        <v>1603</v>
      </c>
      <c r="H829" s="375" t="s">
        <v>1604</v>
      </c>
      <c r="I829" s="63" t="s">
        <v>1605</v>
      </c>
      <c r="J829" s="47">
        <f t="shared" si="179"/>
        <v>3740</v>
      </c>
      <c r="K829" s="46" t="s">
        <v>10735</v>
      </c>
      <c r="L829" s="47"/>
      <c r="M829" s="47">
        <f t="shared" si="180"/>
        <v>1430.0000000000002</v>
      </c>
      <c r="N829" s="47"/>
      <c r="O829" s="47"/>
      <c r="P829" s="47" t="s">
        <v>1606</v>
      </c>
      <c r="Q829" s="47"/>
      <c r="R829" s="47"/>
      <c r="S829" s="47"/>
      <c r="T829" s="47">
        <f t="shared" si="181"/>
        <v>780</v>
      </c>
      <c r="U829" s="47"/>
      <c r="V829" s="47"/>
      <c r="W829" s="47" t="s">
        <v>1607</v>
      </c>
      <c r="X829" s="47"/>
      <c r="Y829" s="47"/>
      <c r="Z829" s="47">
        <f t="shared" si="178"/>
        <v>4620</v>
      </c>
      <c r="AA829" s="47"/>
      <c r="AB829" s="47"/>
      <c r="AC829" s="47"/>
      <c r="AD829" s="47" t="s">
        <v>1</v>
      </c>
      <c r="AE829" s="47"/>
      <c r="AF829" s="47">
        <f t="shared" si="182"/>
        <v>1485</v>
      </c>
      <c r="AG829" s="47"/>
      <c r="AH829" s="47" t="str">
        <f>IFERROR(_xlfn.XLOOKUP(Table6[[#This Row],[Suburb]],Table5[Travel Surcharge],Table5[$$]),"")</f>
        <v/>
      </c>
      <c r="AI829" s="47"/>
      <c r="AJ829" s="47"/>
      <c r="AL829" t="str">
        <v>Watergrass Estate</v>
      </c>
    </row>
    <row r="830" spans="1:38">
      <c r="A830" s="157" t="s">
        <v>1599</v>
      </c>
      <c r="B830" s="157" t="s">
        <v>7908</v>
      </c>
      <c r="C830" s="157" t="s">
        <v>1600</v>
      </c>
      <c r="D830" s="157" t="str">
        <f t="shared" si="172"/>
        <v>Botania8D</v>
      </c>
      <c r="E830" s="157" t="s">
        <v>7907</v>
      </c>
      <c r="F830" s="157" t="s">
        <v>1602</v>
      </c>
      <c r="G830" s="157" t="s">
        <v>1603</v>
      </c>
      <c r="H830" s="157" t="s">
        <v>1604</v>
      </c>
      <c r="I830" s="158" t="s">
        <v>1605</v>
      </c>
      <c r="J830" s="47">
        <f t="shared" si="179"/>
        <v>3740</v>
      </c>
      <c r="K830" s="46" t="s">
        <v>10735</v>
      </c>
      <c r="L830" s="47"/>
      <c r="M830" s="47">
        <f t="shared" si="180"/>
        <v>1430.0000000000002</v>
      </c>
      <c r="N830" s="47"/>
      <c r="O830" s="47"/>
      <c r="P830" s="47" t="s">
        <v>1606</v>
      </c>
      <c r="Q830" s="47"/>
      <c r="R830" s="47"/>
      <c r="S830" s="47"/>
      <c r="T830" s="47">
        <f t="shared" si="181"/>
        <v>780</v>
      </c>
      <c r="U830" s="47"/>
      <c r="V830" s="47"/>
      <c r="W830" s="47" t="s">
        <v>1607</v>
      </c>
      <c r="X830" s="47"/>
      <c r="Y830" s="47"/>
      <c r="Z830" s="47">
        <f t="shared" si="178"/>
        <v>4620</v>
      </c>
      <c r="AA830" s="47"/>
      <c r="AB830" s="47"/>
      <c r="AC830" s="47"/>
      <c r="AD830" s="47" t="s">
        <v>1</v>
      </c>
      <c r="AE830" s="47"/>
      <c r="AF830" s="47">
        <f t="shared" si="182"/>
        <v>1485</v>
      </c>
      <c r="AG830" s="47"/>
      <c r="AH830" s="47" t="str">
        <f>IFERROR(_xlfn.XLOOKUP(Table6[[#This Row],[Suburb]],Table5[Travel Surcharge],Table5[$$]),"")</f>
        <v/>
      </c>
      <c r="AI830" s="47"/>
      <c r="AJ830" s="47"/>
      <c r="AL830" t="str">
        <v>Waterhaven Estate</v>
      </c>
    </row>
    <row r="831" spans="1:38">
      <c r="A831" s="374" t="s">
        <v>1643</v>
      </c>
      <c r="B831" s="374">
        <v>18</v>
      </c>
      <c r="C831" s="374" t="s">
        <v>442</v>
      </c>
      <c r="D831" s="375" t="str">
        <f t="shared" si="172"/>
        <v>Botanic Ridge18</v>
      </c>
      <c r="E831" s="375" t="s">
        <v>1644</v>
      </c>
      <c r="F831" s="375"/>
      <c r="G831" s="375" t="s">
        <v>1645</v>
      </c>
      <c r="H831" s="375" t="s">
        <v>1646</v>
      </c>
      <c r="I831" s="63" t="s">
        <v>1647</v>
      </c>
      <c r="J831" s="47"/>
      <c r="K831" s="46" t="s">
        <v>10735</v>
      </c>
      <c r="L831" s="47" t="s">
        <v>8121</v>
      </c>
      <c r="M831" s="47" t="s">
        <v>1648</v>
      </c>
      <c r="N831" s="47" t="s">
        <v>1649</v>
      </c>
      <c r="O831" s="47" t="s">
        <v>1650</v>
      </c>
      <c r="P831" s="47" t="s">
        <v>1651</v>
      </c>
      <c r="Q831" s="47"/>
      <c r="R831" s="47"/>
      <c r="S831" s="47"/>
      <c r="T831" s="47">
        <f t="shared" si="181"/>
        <v>780</v>
      </c>
      <c r="U831" s="47" t="s">
        <v>8122</v>
      </c>
      <c r="V831" s="47" t="s">
        <v>1652</v>
      </c>
      <c r="W831" s="47" t="s">
        <v>1653</v>
      </c>
      <c r="X831" s="47"/>
      <c r="Y831" s="47"/>
      <c r="Z831" s="47">
        <f t="shared" si="178"/>
        <v>4620</v>
      </c>
      <c r="AA831" s="47"/>
      <c r="AB831" s="47"/>
      <c r="AC831" s="47"/>
      <c r="AD831" s="47"/>
      <c r="AE831" s="47"/>
      <c r="AF831" s="47"/>
      <c r="AG831" s="47"/>
      <c r="AH831" s="47" t="str">
        <f>IFERROR(_xlfn.XLOOKUP(Table6[[#This Row],[Suburb]],Table5[Travel Surcharge],Table5[$$]),"")</f>
        <v/>
      </c>
      <c r="AI831" s="47"/>
      <c r="AJ831" s="47"/>
      <c r="AL831" t="str">
        <v>Watermark Estate</v>
      </c>
    </row>
    <row r="832" spans="1:38">
      <c r="A832" s="374" t="s">
        <v>1643</v>
      </c>
      <c r="B832" s="374">
        <v>22</v>
      </c>
      <c r="C832" s="374" t="s">
        <v>442</v>
      </c>
      <c r="D832" s="375" t="str">
        <f t="shared" si="172"/>
        <v>Botanic Ridge22</v>
      </c>
      <c r="E832" s="375" t="s">
        <v>1654</v>
      </c>
      <c r="F832" s="375"/>
      <c r="G832" s="375" t="s">
        <v>1645</v>
      </c>
      <c r="H832" s="375" t="s">
        <v>1646</v>
      </c>
      <c r="I832" s="63" t="s">
        <v>1647</v>
      </c>
      <c r="J832" s="47"/>
      <c r="K832" s="46" t="s">
        <v>10735</v>
      </c>
      <c r="L832" s="47" t="s">
        <v>8121</v>
      </c>
      <c r="M832" s="47" t="s">
        <v>1648</v>
      </c>
      <c r="N832" s="47" t="s">
        <v>1649</v>
      </c>
      <c r="O832" s="47" t="s">
        <v>1650</v>
      </c>
      <c r="P832" s="47" t="s">
        <v>1651</v>
      </c>
      <c r="Q832" s="47"/>
      <c r="R832" s="47"/>
      <c r="S832" s="47"/>
      <c r="T832" s="47">
        <f t="shared" si="181"/>
        <v>780</v>
      </c>
      <c r="U832" s="47" t="s">
        <v>8122</v>
      </c>
      <c r="V832" s="47" t="s">
        <v>1652</v>
      </c>
      <c r="W832" s="47" t="s">
        <v>1653</v>
      </c>
      <c r="X832" s="47"/>
      <c r="Y832" s="47"/>
      <c r="Z832" s="47">
        <f t="shared" si="178"/>
        <v>4620</v>
      </c>
      <c r="AA832" s="47"/>
      <c r="AB832" s="47"/>
      <c r="AC832" s="47"/>
      <c r="AD832" s="47"/>
      <c r="AE832" s="47"/>
      <c r="AF832" s="47"/>
      <c r="AG832" s="47"/>
      <c r="AH832" s="47" t="str">
        <f>IFERROR(_xlfn.XLOOKUP(Table6[[#This Row],[Suburb]],Table5[Travel Surcharge],Table5[$$]),"")</f>
        <v/>
      </c>
      <c r="AI832" s="47"/>
      <c r="AJ832" s="47"/>
      <c r="AL832" t="str">
        <v>Waterways</v>
      </c>
    </row>
    <row r="833" spans="1:38">
      <c r="A833" s="374" t="s">
        <v>1643</v>
      </c>
      <c r="B833" s="374">
        <v>23</v>
      </c>
      <c r="C833" s="374" t="s">
        <v>442</v>
      </c>
      <c r="D833" s="375" t="str">
        <f t="shared" si="172"/>
        <v>Botanic Ridge23</v>
      </c>
      <c r="E833" s="375" t="s">
        <v>1655</v>
      </c>
      <c r="F833" s="375"/>
      <c r="G833" s="375" t="s">
        <v>1645</v>
      </c>
      <c r="H833" s="375" t="s">
        <v>1646</v>
      </c>
      <c r="I833" s="63" t="s">
        <v>1647</v>
      </c>
      <c r="J833" s="47"/>
      <c r="K833" s="46" t="s">
        <v>10735</v>
      </c>
      <c r="L833" s="47" t="s">
        <v>8121</v>
      </c>
      <c r="M833" s="47" t="s">
        <v>1648</v>
      </c>
      <c r="N833" s="47" t="s">
        <v>1649</v>
      </c>
      <c r="O833" s="47" t="s">
        <v>1650</v>
      </c>
      <c r="P833" s="47" t="s">
        <v>1651</v>
      </c>
      <c r="Q833" s="47"/>
      <c r="R833" s="47"/>
      <c r="S833" s="47"/>
      <c r="T833" s="47">
        <f t="shared" si="181"/>
        <v>780</v>
      </c>
      <c r="U833" s="47" t="s">
        <v>8122</v>
      </c>
      <c r="V833" s="47" t="s">
        <v>1652</v>
      </c>
      <c r="W833" s="47" t="s">
        <v>1653</v>
      </c>
      <c r="X833" s="47"/>
      <c r="Y833" s="47"/>
      <c r="Z833" s="47">
        <f t="shared" si="178"/>
        <v>4620</v>
      </c>
      <c r="AA833" s="47"/>
      <c r="AB833" s="47"/>
      <c r="AC833" s="47"/>
      <c r="AD833" s="47"/>
      <c r="AE833" s="47"/>
      <c r="AF833" s="47"/>
      <c r="AG833" s="47"/>
      <c r="AH833" s="47" t="str">
        <f>IFERROR(_xlfn.XLOOKUP(Table6[[#This Row],[Suburb]],Table5[Travel Surcharge],Table5[$$]),"")</f>
        <v/>
      </c>
      <c r="AI833" s="47"/>
      <c r="AJ833" s="47"/>
      <c r="AL833" t="str">
        <v>Watsons Reach</v>
      </c>
    </row>
    <row r="834" spans="1:38">
      <c r="A834" s="374" t="s">
        <v>1643</v>
      </c>
      <c r="B834" s="374">
        <v>24</v>
      </c>
      <c r="C834" s="374" t="s">
        <v>442</v>
      </c>
      <c r="D834" s="375" t="str">
        <f t="shared" si="172"/>
        <v>Botanic Ridge24</v>
      </c>
      <c r="E834" s="375" t="s">
        <v>1656</v>
      </c>
      <c r="F834" s="375"/>
      <c r="G834" s="375" t="s">
        <v>1645</v>
      </c>
      <c r="H834" s="375" t="s">
        <v>1646</v>
      </c>
      <c r="I834" s="63" t="s">
        <v>1647</v>
      </c>
      <c r="J834" s="47"/>
      <c r="K834" s="46" t="s">
        <v>10735</v>
      </c>
      <c r="L834" s="47" t="s">
        <v>8121</v>
      </c>
      <c r="M834" s="47" t="s">
        <v>1648</v>
      </c>
      <c r="N834" s="47" t="s">
        <v>1649</v>
      </c>
      <c r="O834" s="47" t="s">
        <v>1650</v>
      </c>
      <c r="P834" s="47" t="s">
        <v>1651</v>
      </c>
      <c r="Q834" s="47"/>
      <c r="R834" s="47"/>
      <c r="S834" s="47"/>
      <c r="T834" s="47">
        <f t="shared" si="181"/>
        <v>780</v>
      </c>
      <c r="U834" s="47" t="s">
        <v>8122</v>
      </c>
      <c r="V834" s="47" t="s">
        <v>1652</v>
      </c>
      <c r="W834" s="47" t="s">
        <v>1653</v>
      </c>
      <c r="X834" s="47"/>
      <c r="Y834" s="47"/>
      <c r="Z834" s="47">
        <f t="shared" si="178"/>
        <v>4620</v>
      </c>
      <c r="AA834" s="47"/>
      <c r="AB834" s="47"/>
      <c r="AC834" s="47"/>
      <c r="AD834" s="47"/>
      <c r="AE834" s="47"/>
      <c r="AF834" s="47"/>
      <c r="AG834" s="47"/>
      <c r="AH834" s="47" t="str">
        <f>IFERROR(_xlfn.XLOOKUP(Table6[[#This Row],[Suburb]],Table5[Travel Surcharge],Table5[$$]),"")</f>
        <v/>
      </c>
      <c r="AI834" s="47"/>
      <c r="AJ834" s="47"/>
      <c r="AL834" t="str">
        <v>Wattle Estate</v>
      </c>
    </row>
    <row r="835" spans="1:38">
      <c r="A835" s="374" t="s">
        <v>1643</v>
      </c>
      <c r="B835" s="374" t="s">
        <v>1657</v>
      </c>
      <c r="C835" s="374" t="s">
        <v>442</v>
      </c>
      <c r="D835" s="375" t="str">
        <f t="shared" si="172"/>
        <v>Botanic Ridge24B</v>
      </c>
      <c r="E835" s="375" t="s">
        <v>1658</v>
      </c>
      <c r="F835" s="375"/>
      <c r="G835" s="375" t="s">
        <v>1645</v>
      </c>
      <c r="H835" s="375" t="s">
        <v>1646</v>
      </c>
      <c r="I835" s="63" t="s">
        <v>1647</v>
      </c>
      <c r="J835" s="47"/>
      <c r="K835" s="46" t="s">
        <v>10735</v>
      </c>
      <c r="L835" s="47" t="s">
        <v>8121</v>
      </c>
      <c r="M835" s="47" t="s">
        <v>1648</v>
      </c>
      <c r="N835" s="47" t="s">
        <v>1649</v>
      </c>
      <c r="O835" s="47" t="s">
        <v>1650</v>
      </c>
      <c r="P835" s="47" t="s">
        <v>1651</v>
      </c>
      <c r="Q835" s="47"/>
      <c r="R835" s="47"/>
      <c r="S835" s="47"/>
      <c r="T835" s="47">
        <f t="shared" si="181"/>
        <v>780</v>
      </c>
      <c r="U835" s="47" t="s">
        <v>8122</v>
      </c>
      <c r="V835" s="47" t="s">
        <v>1652</v>
      </c>
      <c r="W835" s="47" t="s">
        <v>1653</v>
      </c>
      <c r="X835" s="47"/>
      <c r="Y835" s="47"/>
      <c r="Z835" s="47">
        <f t="shared" si="178"/>
        <v>4620</v>
      </c>
      <c r="AA835" s="47"/>
      <c r="AB835" s="47"/>
      <c r="AC835" s="47"/>
      <c r="AD835" s="47"/>
      <c r="AE835" s="47"/>
      <c r="AF835" s="47"/>
      <c r="AG835" s="47"/>
      <c r="AH835" s="47" t="str">
        <f>IFERROR(_xlfn.XLOOKUP(Table6[[#This Row],[Suburb]],Table5[Travel Surcharge],Table5[$$]),"")</f>
        <v/>
      </c>
      <c r="AI835" s="47"/>
      <c r="AJ835" s="47"/>
      <c r="AL835" t="str">
        <v>Wattle Grove Estate</v>
      </c>
    </row>
    <row r="836" spans="1:38">
      <c r="A836" s="157" t="s">
        <v>1643</v>
      </c>
      <c r="B836" s="157" t="s">
        <v>7660</v>
      </c>
      <c r="C836" s="157" t="s">
        <v>442</v>
      </c>
      <c r="D836" s="157" t="str">
        <f t="shared" si="172"/>
        <v>Botanic Ridge24C</v>
      </c>
      <c r="E836" s="157" t="s">
        <v>7661</v>
      </c>
      <c r="F836" s="157"/>
      <c r="G836" s="157" t="s">
        <v>1645</v>
      </c>
      <c r="H836" s="157" t="s">
        <v>1646</v>
      </c>
      <c r="I836" s="158" t="s">
        <v>1647</v>
      </c>
      <c r="J836" s="47"/>
      <c r="K836" s="46" t="s">
        <v>10735</v>
      </c>
      <c r="L836" s="47" t="s">
        <v>8121</v>
      </c>
      <c r="M836" s="47" t="s">
        <v>1648</v>
      </c>
      <c r="N836" s="47" t="s">
        <v>1649</v>
      </c>
      <c r="O836" s="47" t="s">
        <v>1650</v>
      </c>
      <c r="P836" s="47" t="s">
        <v>1651</v>
      </c>
      <c r="Q836" s="47"/>
      <c r="R836" s="47"/>
      <c r="S836" s="47"/>
      <c r="T836" s="47">
        <f t="shared" si="181"/>
        <v>780</v>
      </c>
      <c r="U836" s="47" t="s">
        <v>8122</v>
      </c>
      <c r="V836" s="47" t="s">
        <v>1652</v>
      </c>
      <c r="W836" s="47" t="s">
        <v>1653</v>
      </c>
      <c r="X836" s="47"/>
      <c r="Y836" s="47"/>
      <c r="Z836" s="47">
        <f t="shared" si="178"/>
        <v>4620</v>
      </c>
      <c r="AA836" s="47"/>
      <c r="AB836" s="47"/>
      <c r="AC836" s="47"/>
      <c r="AD836" s="47"/>
      <c r="AE836" s="47"/>
      <c r="AF836" s="47"/>
      <c r="AG836" s="47"/>
      <c r="AH836" s="47" t="str">
        <f>IFERROR(_xlfn.XLOOKUP(Table6[[#This Row],[Suburb]],Table5[Travel Surcharge],Table5[$$]),"")</f>
        <v/>
      </c>
      <c r="AI836" s="47"/>
      <c r="AJ836" s="47"/>
      <c r="AL836" t="str">
        <v>Wattle Park</v>
      </c>
    </row>
    <row r="837" spans="1:38">
      <c r="A837" s="374" t="s">
        <v>1618</v>
      </c>
      <c r="B837" s="374">
        <v>1</v>
      </c>
      <c r="C837" s="374" t="s">
        <v>764</v>
      </c>
      <c r="D837" s="375" t="str">
        <f t="shared" si="172"/>
        <v>Botanical Estate1</v>
      </c>
      <c r="E837" s="375" t="s">
        <v>1619</v>
      </c>
      <c r="F837" s="375" t="s">
        <v>817</v>
      </c>
      <c r="G837" s="375" t="s">
        <v>818</v>
      </c>
      <c r="H837" s="375" t="s">
        <v>1620</v>
      </c>
      <c r="I837" s="63" t="s">
        <v>1621</v>
      </c>
      <c r="J837" s="47">
        <f>J$7</f>
        <v>3740</v>
      </c>
      <c r="K837" s="46" t="s">
        <v>7938</v>
      </c>
      <c r="L837" s="47"/>
      <c r="M837" s="47"/>
      <c r="N837" s="47"/>
      <c r="O837" s="47"/>
      <c r="P837" s="47"/>
      <c r="Q837" s="47">
        <f>Q$2</f>
        <v>0</v>
      </c>
      <c r="R837" s="47"/>
      <c r="S837" s="47"/>
      <c r="T837" s="47" t="s">
        <v>1622</v>
      </c>
      <c r="U837" s="47"/>
      <c r="V837" s="47"/>
      <c r="W837" s="47"/>
      <c r="X837" s="47"/>
      <c r="Y837" s="47"/>
      <c r="Z837" s="47">
        <f t="shared" si="178"/>
        <v>4620</v>
      </c>
      <c r="AA837" s="47">
        <f t="shared" ref="AA837:AB839" si="183">AA$7</f>
        <v>1400</v>
      </c>
      <c r="AB837" s="47">
        <f t="shared" si="183"/>
        <v>2800</v>
      </c>
      <c r="AC837" s="47"/>
      <c r="AD837" s="47"/>
      <c r="AE837" s="47"/>
      <c r="AF837" s="47">
        <f>AF$7</f>
        <v>1485</v>
      </c>
      <c r="AG837" s="47"/>
      <c r="AH837" s="47" t="str">
        <f>IFERROR(_xlfn.XLOOKUP(Table6[[#This Row],[Suburb]],Table5[Travel Surcharge],Table5[$$]),"")</f>
        <v/>
      </c>
      <c r="AI837" s="47"/>
      <c r="AJ837" s="47"/>
      <c r="AL837" t="str">
        <v>Wattlewood Estate</v>
      </c>
    </row>
    <row r="838" spans="1:38">
      <c r="A838" s="374" t="s">
        <v>1618</v>
      </c>
      <c r="B838" s="374">
        <v>2</v>
      </c>
      <c r="C838" s="374" t="s">
        <v>764</v>
      </c>
      <c r="D838" s="375" t="str">
        <f t="shared" si="172"/>
        <v>Botanical Estate2</v>
      </c>
      <c r="E838" s="375" t="s">
        <v>1623</v>
      </c>
      <c r="F838" s="375" t="s">
        <v>817</v>
      </c>
      <c r="G838" s="375" t="s">
        <v>818</v>
      </c>
      <c r="H838" s="375" t="s">
        <v>1620</v>
      </c>
      <c r="I838" s="63" t="s">
        <v>1621</v>
      </c>
      <c r="J838" s="47">
        <f>J$7</f>
        <v>3740</v>
      </c>
      <c r="K838" s="46" t="s">
        <v>7938</v>
      </c>
      <c r="L838" s="47"/>
      <c r="M838" s="47"/>
      <c r="N838" s="47"/>
      <c r="O838" s="47"/>
      <c r="P838" s="47"/>
      <c r="Q838" s="47">
        <f>Q$2</f>
        <v>0</v>
      </c>
      <c r="R838" s="47"/>
      <c r="S838" s="47"/>
      <c r="T838" s="47" t="s">
        <v>1622</v>
      </c>
      <c r="U838" s="47"/>
      <c r="V838" s="47"/>
      <c r="W838" s="47"/>
      <c r="X838" s="47"/>
      <c r="Y838" s="47"/>
      <c r="Z838" s="47">
        <f t="shared" si="178"/>
        <v>4620</v>
      </c>
      <c r="AA838" s="47">
        <f t="shared" si="183"/>
        <v>1400</v>
      </c>
      <c r="AB838" s="47">
        <f t="shared" si="183"/>
        <v>2800</v>
      </c>
      <c r="AC838" s="47"/>
      <c r="AD838" s="47"/>
      <c r="AE838" s="47"/>
      <c r="AF838" s="47">
        <f>AF$7</f>
        <v>1485</v>
      </c>
      <c r="AG838" s="47"/>
      <c r="AH838" s="47" t="str">
        <f>IFERROR(_xlfn.XLOOKUP(Table6[[#This Row],[Suburb]],Table5[Travel Surcharge],Table5[$$]),"")</f>
        <v/>
      </c>
      <c r="AI838" s="47"/>
      <c r="AJ838" s="47"/>
      <c r="AL838" t="str">
        <v>Waverley Park</v>
      </c>
    </row>
    <row r="839" spans="1:38">
      <c r="A839" s="374" t="s">
        <v>1618</v>
      </c>
      <c r="B839" s="374">
        <v>3</v>
      </c>
      <c r="C839" s="374" t="s">
        <v>764</v>
      </c>
      <c r="D839" s="375" t="str">
        <f t="shared" si="172"/>
        <v>Botanical Estate3</v>
      </c>
      <c r="E839" s="375" t="s">
        <v>1624</v>
      </c>
      <c r="F839" s="375" t="s">
        <v>817</v>
      </c>
      <c r="G839" s="375" t="s">
        <v>818</v>
      </c>
      <c r="H839" s="375" t="s">
        <v>1620</v>
      </c>
      <c r="I839" s="63" t="s">
        <v>1621</v>
      </c>
      <c r="J839" s="47">
        <f>J$7</f>
        <v>3740</v>
      </c>
      <c r="K839" s="46" t="s">
        <v>7938</v>
      </c>
      <c r="L839" s="47"/>
      <c r="M839" s="47"/>
      <c r="N839" s="47"/>
      <c r="O839" s="47"/>
      <c r="P839" s="47"/>
      <c r="Q839" s="47">
        <f>Q$2</f>
        <v>0</v>
      </c>
      <c r="R839" s="47"/>
      <c r="S839" s="47"/>
      <c r="T839" s="47" t="s">
        <v>1622</v>
      </c>
      <c r="U839" s="47"/>
      <c r="V839" s="47"/>
      <c r="W839" s="47"/>
      <c r="X839" s="47"/>
      <c r="Y839" s="47"/>
      <c r="Z839" s="47">
        <f t="shared" si="178"/>
        <v>4620</v>
      </c>
      <c r="AA839" s="47">
        <f t="shared" si="183"/>
        <v>1400</v>
      </c>
      <c r="AB839" s="47">
        <f t="shared" si="183"/>
        <v>2800</v>
      </c>
      <c r="AC839" s="47"/>
      <c r="AD839" s="47"/>
      <c r="AE839" s="47"/>
      <c r="AF839" s="47">
        <f>AF$7</f>
        <v>1485</v>
      </c>
      <c r="AG839" s="47"/>
      <c r="AH839" s="47" t="str">
        <f>IFERROR(_xlfn.XLOOKUP(Table6[[#This Row],[Suburb]],Table5[Travel Surcharge],Table5[$$]),"")</f>
        <v/>
      </c>
      <c r="AI839" s="47"/>
      <c r="AJ839" s="47"/>
      <c r="AL839" t="str">
        <v>Waverly Woods</v>
      </c>
    </row>
    <row r="840" spans="1:38">
      <c r="A840" s="374" t="s">
        <v>1618</v>
      </c>
      <c r="B840" s="374">
        <v>26</v>
      </c>
      <c r="C840" s="374" t="s">
        <v>764</v>
      </c>
      <c r="D840" s="375" t="str">
        <f t="shared" si="172"/>
        <v>Botanical Estate26</v>
      </c>
      <c r="E840" s="375" t="s">
        <v>9441</v>
      </c>
      <c r="F840" s="375" t="s">
        <v>817</v>
      </c>
      <c r="G840" s="375" t="s">
        <v>818</v>
      </c>
      <c r="H840" s="375" t="s">
        <v>1620</v>
      </c>
      <c r="I840" s="63" t="s">
        <v>1621</v>
      </c>
      <c r="J840" s="47">
        <v>3740</v>
      </c>
      <c r="K840" s="46" t="s">
        <v>7938</v>
      </c>
      <c r="L840" s="47"/>
      <c r="M840" s="47"/>
      <c r="N840" s="47"/>
      <c r="O840" s="47"/>
      <c r="P840" s="47"/>
      <c r="Q840" s="47">
        <v>0</v>
      </c>
      <c r="R840" s="47"/>
      <c r="S840" s="47"/>
      <c r="T840" s="47" t="s">
        <v>1622</v>
      </c>
      <c r="U840" s="47"/>
      <c r="V840" s="47"/>
      <c r="W840" s="47"/>
      <c r="X840" s="47"/>
      <c r="Y840" s="47"/>
      <c r="Z840" s="47">
        <v>4620</v>
      </c>
      <c r="AA840" s="47">
        <v>1400</v>
      </c>
      <c r="AB840" s="47">
        <v>2800</v>
      </c>
      <c r="AC840" s="47"/>
      <c r="AD840" s="47"/>
      <c r="AE840" s="47"/>
      <c r="AF840" s="47">
        <v>1650.0000000000002</v>
      </c>
      <c r="AG840" s="47"/>
      <c r="AH840" s="47" t="str">
        <f>IFERROR(_xlfn.XLOOKUP(Table6[[#This Row],[Suburb]],Table5[Travel Surcharge],Table5[$$]),"")</f>
        <v/>
      </c>
      <c r="AI840" s="47"/>
      <c r="AJ840" s="47"/>
      <c r="AL840" t="str">
        <v>Webb</v>
      </c>
    </row>
    <row r="841" spans="1:38">
      <c r="A841" s="374" t="s">
        <v>1618</v>
      </c>
      <c r="B841" s="374">
        <v>4</v>
      </c>
      <c r="C841" s="374" t="s">
        <v>764</v>
      </c>
      <c r="D841" s="375" t="str">
        <f t="shared" si="172"/>
        <v>Botanical Estate4</v>
      </c>
      <c r="E841" s="375" t="s">
        <v>1625</v>
      </c>
      <c r="F841" s="375" t="s">
        <v>817</v>
      </c>
      <c r="G841" s="375" t="s">
        <v>818</v>
      </c>
      <c r="H841" s="375" t="s">
        <v>1620</v>
      </c>
      <c r="I841" s="63" t="s">
        <v>1621</v>
      </c>
      <c r="J841" s="47">
        <f t="shared" ref="J841:J866" si="184">J$7</f>
        <v>3740</v>
      </c>
      <c r="K841" s="46" t="s">
        <v>7938</v>
      </c>
      <c r="L841" s="47"/>
      <c r="M841" s="47"/>
      <c r="N841" s="47"/>
      <c r="O841" s="47"/>
      <c r="P841" s="47"/>
      <c r="Q841" s="47">
        <f t="shared" ref="Q841:Q866" si="185">Q$2</f>
        <v>0</v>
      </c>
      <c r="R841" s="47"/>
      <c r="S841" s="47"/>
      <c r="T841" s="47" t="s">
        <v>1622</v>
      </c>
      <c r="U841" s="47"/>
      <c r="V841" s="47"/>
      <c r="W841" s="47"/>
      <c r="X841" s="47"/>
      <c r="Y841" s="47"/>
      <c r="Z841" s="47">
        <f t="shared" ref="Z841:AB866" si="186">Z$7</f>
        <v>4620</v>
      </c>
      <c r="AA841" s="47">
        <f t="shared" si="186"/>
        <v>1400</v>
      </c>
      <c r="AB841" s="47">
        <f t="shared" si="186"/>
        <v>2800</v>
      </c>
      <c r="AC841" s="47"/>
      <c r="AD841" s="47"/>
      <c r="AE841" s="47"/>
      <c r="AF841" s="47">
        <f t="shared" ref="AF841:AF869" si="187">AF$7</f>
        <v>1485</v>
      </c>
      <c r="AG841" s="47"/>
      <c r="AH841" s="47" t="str">
        <f>IFERROR(_xlfn.XLOOKUP(Table6[[#This Row],[Suburb]],Table5[Travel Surcharge],Table5[$$]),"")</f>
        <v/>
      </c>
      <c r="AI841" s="47"/>
      <c r="AJ841" s="47"/>
      <c r="AL841" t="str">
        <v xml:space="preserve">Wedge Road. Skye </v>
      </c>
    </row>
    <row r="842" spans="1:38">
      <c r="A842" s="374" t="s">
        <v>1618</v>
      </c>
      <c r="B842" s="374">
        <v>5</v>
      </c>
      <c r="C842" s="374" t="s">
        <v>764</v>
      </c>
      <c r="D842" s="375" t="str">
        <f t="shared" si="172"/>
        <v>Botanical Estate5</v>
      </c>
      <c r="E842" s="375" t="s">
        <v>1626</v>
      </c>
      <c r="F842" s="375" t="s">
        <v>817</v>
      </c>
      <c r="G842" s="375" t="s">
        <v>818</v>
      </c>
      <c r="H842" s="375" t="s">
        <v>1620</v>
      </c>
      <c r="I842" s="63" t="s">
        <v>1621</v>
      </c>
      <c r="J842" s="47">
        <f t="shared" si="184"/>
        <v>3740</v>
      </c>
      <c r="K842" s="46" t="s">
        <v>7938</v>
      </c>
      <c r="L842" s="47"/>
      <c r="M842" s="47"/>
      <c r="N842" s="47"/>
      <c r="O842" s="47"/>
      <c r="P842" s="47"/>
      <c r="Q842" s="47">
        <f t="shared" si="185"/>
        <v>0</v>
      </c>
      <c r="R842" s="47"/>
      <c r="S842" s="47"/>
      <c r="T842" s="47" t="s">
        <v>1622</v>
      </c>
      <c r="U842" s="47"/>
      <c r="V842" s="47"/>
      <c r="W842" s="47"/>
      <c r="X842" s="47"/>
      <c r="Y842" s="47"/>
      <c r="Z842" s="47">
        <f t="shared" si="186"/>
        <v>4620</v>
      </c>
      <c r="AA842" s="47">
        <f t="shared" si="186"/>
        <v>1400</v>
      </c>
      <c r="AB842" s="47">
        <f t="shared" si="186"/>
        <v>2800</v>
      </c>
      <c r="AC842" s="47"/>
      <c r="AD842" s="47"/>
      <c r="AE842" s="47"/>
      <c r="AF842" s="47">
        <f t="shared" si="187"/>
        <v>1485</v>
      </c>
      <c r="AG842" s="47"/>
      <c r="AH842" s="47" t="str">
        <f>IFERROR(_xlfn.XLOOKUP(Table6[[#This Row],[Suburb]],Table5[Travel Surcharge],Table5[$$]),"")</f>
        <v/>
      </c>
      <c r="AI842" s="47"/>
      <c r="AJ842" s="47"/>
      <c r="AL842" t="str">
        <v>Wellington Rise Estate</v>
      </c>
    </row>
    <row r="843" spans="1:38">
      <c r="A843" s="374" t="s">
        <v>1618</v>
      </c>
      <c r="B843" s="374">
        <v>6</v>
      </c>
      <c r="C843" s="374" t="s">
        <v>764</v>
      </c>
      <c r="D843" s="375" t="str">
        <f t="shared" si="172"/>
        <v>Botanical Estate6</v>
      </c>
      <c r="E843" s="375" t="s">
        <v>1627</v>
      </c>
      <c r="F843" s="375" t="s">
        <v>817</v>
      </c>
      <c r="G843" s="375" t="s">
        <v>818</v>
      </c>
      <c r="H843" s="375" t="s">
        <v>1620</v>
      </c>
      <c r="I843" s="63" t="s">
        <v>1621</v>
      </c>
      <c r="J843" s="47">
        <f t="shared" si="184"/>
        <v>3740</v>
      </c>
      <c r="K843" s="46" t="s">
        <v>7938</v>
      </c>
      <c r="L843" s="47"/>
      <c r="M843" s="47"/>
      <c r="N843" s="47"/>
      <c r="O843" s="47"/>
      <c r="P843" s="47"/>
      <c r="Q843" s="47">
        <f t="shared" si="185"/>
        <v>0</v>
      </c>
      <c r="R843" s="47"/>
      <c r="S843" s="47"/>
      <c r="T843" s="47" t="s">
        <v>1622</v>
      </c>
      <c r="U843" s="47"/>
      <c r="V843" s="47"/>
      <c r="W843" s="47"/>
      <c r="X843" s="47"/>
      <c r="Y843" s="47"/>
      <c r="Z843" s="47">
        <f t="shared" si="186"/>
        <v>4620</v>
      </c>
      <c r="AA843" s="47">
        <f t="shared" si="186"/>
        <v>1400</v>
      </c>
      <c r="AB843" s="47">
        <f t="shared" si="186"/>
        <v>2800</v>
      </c>
      <c r="AC843" s="47"/>
      <c r="AD843" s="47"/>
      <c r="AE843" s="47"/>
      <c r="AF843" s="47">
        <f t="shared" si="187"/>
        <v>1485</v>
      </c>
      <c r="AG843" s="47"/>
      <c r="AH843" s="47" t="str">
        <f>IFERROR(_xlfn.XLOOKUP(Table6[[#This Row],[Suburb]],Table5[Travel Surcharge],Table5[$$]),"")</f>
        <v/>
      </c>
      <c r="AI843" s="47"/>
      <c r="AJ843" s="47"/>
      <c r="AL843" t="str">
        <v>Werona Waters Estate</v>
      </c>
    </row>
    <row r="844" spans="1:38">
      <c r="A844" s="374" t="s">
        <v>1618</v>
      </c>
      <c r="B844" s="374">
        <v>7</v>
      </c>
      <c r="C844" s="374" t="s">
        <v>764</v>
      </c>
      <c r="D844" s="375" t="str">
        <f t="shared" si="172"/>
        <v>Botanical Estate7</v>
      </c>
      <c r="E844" s="375" t="s">
        <v>1628</v>
      </c>
      <c r="F844" s="375" t="s">
        <v>817</v>
      </c>
      <c r="G844" s="375" t="s">
        <v>818</v>
      </c>
      <c r="H844" s="375" t="s">
        <v>1620</v>
      </c>
      <c r="I844" s="63" t="s">
        <v>1621</v>
      </c>
      <c r="J844" s="47">
        <f t="shared" si="184"/>
        <v>3740</v>
      </c>
      <c r="K844" s="46" t="s">
        <v>7938</v>
      </c>
      <c r="L844" s="47"/>
      <c r="M844" s="47"/>
      <c r="N844" s="47"/>
      <c r="O844" s="47"/>
      <c r="P844" s="47"/>
      <c r="Q844" s="47">
        <f t="shared" si="185"/>
        <v>0</v>
      </c>
      <c r="R844" s="47"/>
      <c r="S844" s="47"/>
      <c r="T844" s="47" t="s">
        <v>1622</v>
      </c>
      <c r="U844" s="47"/>
      <c r="V844" s="47"/>
      <c r="W844" s="47"/>
      <c r="X844" s="47"/>
      <c r="Y844" s="47"/>
      <c r="Z844" s="47">
        <f t="shared" si="186"/>
        <v>4620</v>
      </c>
      <c r="AA844" s="47">
        <f t="shared" si="186"/>
        <v>1400</v>
      </c>
      <c r="AB844" s="47">
        <f t="shared" si="186"/>
        <v>2800</v>
      </c>
      <c r="AC844" s="47"/>
      <c r="AD844" s="47"/>
      <c r="AE844" s="47"/>
      <c r="AF844" s="47">
        <f t="shared" si="187"/>
        <v>1485</v>
      </c>
      <c r="AG844" s="47"/>
      <c r="AH844" s="47" t="str">
        <f>IFERROR(_xlfn.XLOOKUP(Table6[[#This Row],[Suburb]],Table5[Travel Surcharge],Table5[$$]),"")</f>
        <v/>
      </c>
      <c r="AI844" s="47"/>
      <c r="AJ844" s="47"/>
      <c r="AL844" t="str">
        <v>Westbrook Estate - Northern Precinct</v>
      </c>
    </row>
    <row r="845" spans="1:38">
      <c r="A845" s="374" t="s">
        <v>1618</v>
      </c>
      <c r="B845" s="374">
        <v>9</v>
      </c>
      <c r="C845" s="374" t="s">
        <v>764</v>
      </c>
      <c r="D845" s="375" t="str">
        <f t="shared" si="172"/>
        <v>Botanical Estate9</v>
      </c>
      <c r="E845" s="375" t="s">
        <v>1633</v>
      </c>
      <c r="F845" s="375" t="s">
        <v>817</v>
      </c>
      <c r="G845" s="375" t="s">
        <v>818</v>
      </c>
      <c r="H845" s="375" t="s">
        <v>1620</v>
      </c>
      <c r="I845" s="63" t="s">
        <v>1621</v>
      </c>
      <c r="J845" s="47">
        <f t="shared" si="184"/>
        <v>3740</v>
      </c>
      <c r="K845" s="46" t="s">
        <v>7938</v>
      </c>
      <c r="L845" s="47"/>
      <c r="M845" s="47"/>
      <c r="N845" s="47"/>
      <c r="O845" s="47"/>
      <c r="P845" s="47"/>
      <c r="Q845" s="47">
        <f t="shared" si="185"/>
        <v>0</v>
      </c>
      <c r="R845" s="47"/>
      <c r="S845" s="47"/>
      <c r="T845" s="47" t="s">
        <v>1622</v>
      </c>
      <c r="U845" s="47"/>
      <c r="V845" s="47"/>
      <c r="W845" s="47"/>
      <c r="X845" s="47"/>
      <c r="Y845" s="47"/>
      <c r="Z845" s="47">
        <f t="shared" si="186"/>
        <v>4620</v>
      </c>
      <c r="AA845" s="47">
        <f t="shared" si="186"/>
        <v>1400</v>
      </c>
      <c r="AB845" s="47">
        <f t="shared" si="186"/>
        <v>2800</v>
      </c>
      <c r="AC845" s="47"/>
      <c r="AD845" s="47"/>
      <c r="AE845" s="47"/>
      <c r="AF845" s="47">
        <f t="shared" si="187"/>
        <v>1485</v>
      </c>
      <c r="AG845" s="47"/>
      <c r="AH845" s="47" t="str">
        <f>IFERROR(_xlfn.XLOOKUP(Table6[[#This Row],[Suburb]],Table5[Travel Surcharge],Table5[$$]),"")</f>
        <v/>
      </c>
      <c r="AI845" s="47"/>
      <c r="AJ845" s="47"/>
      <c r="AL845" t="str">
        <v>Westbrook Estate - Southern Precinct</v>
      </c>
    </row>
    <row r="846" spans="1:38">
      <c r="A846" s="374" t="s">
        <v>1618</v>
      </c>
      <c r="B846" s="374">
        <v>11</v>
      </c>
      <c r="C846" s="374" t="s">
        <v>764</v>
      </c>
      <c r="D846" s="375" t="str">
        <f t="shared" si="172"/>
        <v>Botanical Estate11</v>
      </c>
      <c r="E846" s="375" t="s">
        <v>1635</v>
      </c>
      <c r="F846" s="375" t="s">
        <v>817</v>
      </c>
      <c r="G846" s="375" t="s">
        <v>818</v>
      </c>
      <c r="H846" s="375" t="s">
        <v>1620</v>
      </c>
      <c r="I846" s="63" t="s">
        <v>1621</v>
      </c>
      <c r="J846" s="47">
        <f t="shared" si="184"/>
        <v>3740</v>
      </c>
      <c r="K846" s="46" t="s">
        <v>7938</v>
      </c>
      <c r="L846" s="47"/>
      <c r="M846" s="47"/>
      <c r="N846" s="47"/>
      <c r="O846" s="47"/>
      <c r="P846" s="47"/>
      <c r="Q846" s="47">
        <f t="shared" si="185"/>
        <v>0</v>
      </c>
      <c r="R846" s="47"/>
      <c r="S846" s="47"/>
      <c r="T846" s="47" t="s">
        <v>1622</v>
      </c>
      <c r="U846" s="47"/>
      <c r="V846" s="47"/>
      <c r="W846" s="47"/>
      <c r="X846" s="47"/>
      <c r="Y846" s="47"/>
      <c r="Z846" s="47">
        <f t="shared" si="186"/>
        <v>4620</v>
      </c>
      <c r="AA846" s="47">
        <f t="shared" si="186"/>
        <v>1400</v>
      </c>
      <c r="AB846" s="47">
        <f t="shared" si="186"/>
        <v>2800</v>
      </c>
      <c r="AC846" s="47"/>
      <c r="AD846" s="47"/>
      <c r="AE846" s="47"/>
      <c r="AF846" s="47">
        <f t="shared" si="187"/>
        <v>1485</v>
      </c>
      <c r="AG846" s="47"/>
      <c r="AH846" s="47" t="str">
        <f>IFERROR(_xlfn.XLOOKUP(Table6[[#This Row],[Suburb]],Table5[Travel Surcharge],Table5[$$]),"")</f>
        <v/>
      </c>
      <c r="AI846" s="47"/>
      <c r="AJ846" s="47"/>
      <c r="AL846" t="str">
        <v>Westbrook Estate - The Edge</v>
      </c>
    </row>
    <row r="847" spans="1:38">
      <c r="A847" s="157" t="s">
        <v>1618</v>
      </c>
      <c r="B847" s="157">
        <v>13</v>
      </c>
      <c r="C847" s="157" t="s">
        <v>764</v>
      </c>
      <c r="D847" s="157" t="str">
        <f t="shared" si="172"/>
        <v>Botanical Estate13</v>
      </c>
      <c r="E847" s="157" t="s">
        <v>7997</v>
      </c>
      <c r="F847" s="157" t="s">
        <v>817</v>
      </c>
      <c r="G847" s="157" t="s">
        <v>818</v>
      </c>
      <c r="H847" s="157" t="s">
        <v>1620</v>
      </c>
      <c r="I847" s="158" t="s">
        <v>1621</v>
      </c>
      <c r="J847" s="47">
        <f t="shared" si="184"/>
        <v>3740</v>
      </c>
      <c r="K847" s="46" t="s">
        <v>7938</v>
      </c>
      <c r="L847" s="47"/>
      <c r="M847" s="47"/>
      <c r="N847" s="47"/>
      <c r="O847" s="47"/>
      <c r="P847" s="47"/>
      <c r="Q847" s="47">
        <f t="shared" si="185"/>
        <v>0</v>
      </c>
      <c r="R847" s="47"/>
      <c r="S847" s="47"/>
      <c r="T847" s="47" t="s">
        <v>1622</v>
      </c>
      <c r="U847" s="47"/>
      <c r="V847" s="47"/>
      <c r="W847" s="47"/>
      <c r="X847" s="47"/>
      <c r="Y847" s="47"/>
      <c r="Z847" s="47">
        <f t="shared" si="186"/>
        <v>4620</v>
      </c>
      <c r="AA847" s="47">
        <f t="shared" si="186"/>
        <v>1400</v>
      </c>
      <c r="AB847" s="47">
        <f t="shared" si="186"/>
        <v>2800</v>
      </c>
      <c r="AC847" s="47"/>
      <c r="AD847" s="47"/>
      <c r="AE847" s="47"/>
      <c r="AF847" s="47">
        <f t="shared" si="187"/>
        <v>1485</v>
      </c>
      <c r="AG847" s="47"/>
      <c r="AH847" s="47" t="str">
        <f>IFERROR(_xlfn.XLOOKUP(Table6[[#This Row],[Suburb]],Table5[Travel Surcharge],Table5[$$]),"")</f>
        <v/>
      </c>
      <c r="AI847" s="47"/>
      <c r="AJ847" s="47"/>
      <c r="AL847" t="str">
        <v>Westbrook Kilmore</v>
      </c>
    </row>
    <row r="848" spans="1:38">
      <c r="A848" s="374" t="s">
        <v>1618</v>
      </c>
      <c r="B848" s="374">
        <v>14</v>
      </c>
      <c r="C848" s="374" t="s">
        <v>764</v>
      </c>
      <c r="D848" s="375" t="str">
        <f t="shared" si="172"/>
        <v>Botanical Estate14</v>
      </c>
      <c r="E848" s="375" t="s">
        <v>1636</v>
      </c>
      <c r="F848" s="375" t="s">
        <v>817</v>
      </c>
      <c r="G848" s="375" t="s">
        <v>818</v>
      </c>
      <c r="H848" s="375" t="s">
        <v>1620</v>
      </c>
      <c r="I848" s="63" t="s">
        <v>1621</v>
      </c>
      <c r="J848" s="47">
        <f t="shared" si="184"/>
        <v>3740</v>
      </c>
      <c r="K848" s="46" t="s">
        <v>7938</v>
      </c>
      <c r="L848" s="47">
        <f t="shared" ref="L848:L855" si="188">L$7</f>
        <v>1210</v>
      </c>
      <c r="M848" s="47"/>
      <c r="N848" s="47"/>
      <c r="O848" s="47"/>
      <c r="P848" s="47"/>
      <c r="Q848" s="47">
        <f t="shared" si="185"/>
        <v>0</v>
      </c>
      <c r="R848" s="47"/>
      <c r="S848" s="47"/>
      <c r="T848" s="47" t="s">
        <v>1622</v>
      </c>
      <c r="U848" s="47"/>
      <c r="V848" s="47"/>
      <c r="W848" s="47"/>
      <c r="X848" s="47"/>
      <c r="Y848" s="47"/>
      <c r="Z848" s="47">
        <f t="shared" si="186"/>
        <v>4620</v>
      </c>
      <c r="AA848" s="47">
        <f t="shared" si="186"/>
        <v>1400</v>
      </c>
      <c r="AB848" s="47">
        <f t="shared" si="186"/>
        <v>2800</v>
      </c>
      <c r="AC848" s="47"/>
      <c r="AD848" s="47"/>
      <c r="AE848" s="47"/>
      <c r="AF848" s="47">
        <f t="shared" si="187"/>
        <v>1485</v>
      </c>
      <c r="AG848" s="47"/>
      <c r="AH848" s="47" t="str">
        <f>IFERROR(_xlfn.XLOOKUP(Table6[[#This Row],[Suburb]],Table5[Travel Surcharge],Table5[$$]),"")</f>
        <v/>
      </c>
      <c r="AI848" s="47"/>
      <c r="AJ848" s="47"/>
      <c r="AL848" t="str">
        <v>Western Gardenia</v>
      </c>
    </row>
    <row r="849" spans="1:38">
      <c r="A849" s="374" t="s">
        <v>1618</v>
      </c>
      <c r="B849" s="374">
        <v>15</v>
      </c>
      <c r="C849" s="374" t="s">
        <v>764</v>
      </c>
      <c r="D849" s="375" t="str">
        <f t="shared" si="172"/>
        <v>Botanical Estate15</v>
      </c>
      <c r="E849" s="375" t="s">
        <v>1637</v>
      </c>
      <c r="F849" s="375" t="s">
        <v>817</v>
      </c>
      <c r="G849" s="375" t="s">
        <v>818</v>
      </c>
      <c r="H849" s="375" t="s">
        <v>1620</v>
      </c>
      <c r="I849" s="63" t="s">
        <v>1621</v>
      </c>
      <c r="J849" s="47">
        <f t="shared" si="184"/>
        <v>3740</v>
      </c>
      <c r="K849" s="46" t="s">
        <v>7938</v>
      </c>
      <c r="L849" s="47">
        <f t="shared" si="188"/>
        <v>1210</v>
      </c>
      <c r="M849" s="47"/>
      <c r="N849" s="47"/>
      <c r="O849" s="47"/>
      <c r="P849" s="47"/>
      <c r="Q849" s="47">
        <f t="shared" si="185"/>
        <v>0</v>
      </c>
      <c r="R849" s="47"/>
      <c r="S849" s="47"/>
      <c r="T849" s="47" t="s">
        <v>1622</v>
      </c>
      <c r="U849" s="47"/>
      <c r="V849" s="47"/>
      <c r="W849" s="47"/>
      <c r="X849" s="47"/>
      <c r="Y849" s="47"/>
      <c r="Z849" s="47">
        <f t="shared" si="186"/>
        <v>4620</v>
      </c>
      <c r="AA849" s="47">
        <f t="shared" si="186"/>
        <v>1400</v>
      </c>
      <c r="AB849" s="47">
        <f t="shared" si="186"/>
        <v>2800</v>
      </c>
      <c r="AC849" s="47"/>
      <c r="AD849" s="47"/>
      <c r="AE849" s="47"/>
      <c r="AF849" s="47">
        <f t="shared" si="187"/>
        <v>1485</v>
      </c>
      <c r="AG849" s="47"/>
      <c r="AH849" s="47" t="str">
        <f>IFERROR(_xlfn.XLOOKUP(Table6[[#This Row],[Suburb]],Table5[Travel Surcharge],Table5[$$]),"")</f>
        <v/>
      </c>
      <c r="AI849" s="47"/>
      <c r="AJ849" s="47"/>
      <c r="AL849" t="str">
        <v>Westwood Place Estate</v>
      </c>
    </row>
    <row r="850" spans="1:38">
      <c r="A850" s="374" t="s">
        <v>1618</v>
      </c>
      <c r="B850" s="374">
        <v>16</v>
      </c>
      <c r="C850" s="374" t="s">
        <v>764</v>
      </c>
      <c r="D850" s="375" t="str">
        <f t="shared" si="172"/>
        <v>Botanical Estate16</v>
      </c>
      <c r="E850" s="375" t="s">
        <v>1638</v>
      </c>
      <c r="F850" s="375" t="s">
        <v>817</v>
      </c>
      <c r="G850" s="375" t="s">
        <v>818</v>
      </c>
      <c r="H850" s="375" t="s">
        <v>1620</v>
      </c>
      <c r="I850" s="63" t="s">
        <v>1621</v>
      </c>
      <c r="J850" s="47">
        <f t="shared" si="184"/>
        <v>3740</v>
      </c>
      <c r="K850" s="46" t="s">
        <v>7938</v>
      </c>
      <c r="L850" s="47">
        <f t="shared" si="188"/>
        <v>1210</v>
      </c>
      <c r="M850" s="47"/>
      <c r="N850" s="47"/>
      <c r="O850" s="47"/>
      <c r="P850" s="47"/>
      <c r="Q850" s="47">
        <f t="shared" si="185"/>
        <v>0</v>
      </c>
      <c r="R850" s="47"/>
      <c r="S850" s="47"/>
      <c r="T850" s="47" t="s">
        <v>1622</v>
      </c>
      <c r="U850" s="47"/>
      <c r="V850" s="47"/>
      <c r="W850" s="47"/>
      <c r="X850" s="47"/>
      <c r="Y850" s="47"/>
      <c r="Z850" s="47">
        <f t="shared" si="186"/>
        <v>4620</v>
      </c>
      <c r="AA850" s="47">
        <f t="shared" si="186"/>
        <v>1400</v>
      </c>
      <c r="AB850" s="47">
        <f t="shared" si="186"/>
        <v>2800</v>
      </c>
      <c r="AC850" s="47"/>
      <c r="AD850" s="47"/>
      <c r="AE850" s="47"/>
      <c r="AF850" s="47">
        <f t="shared" si="187"/>
        <v>1485</v>
      </c>
      <c r="AG850" s="47"/>
      <c r="AH850" s="47" t="str">
        <f>IFERROR(_xlfn.XLOOKUP(Table6[[#This Row],[Suburb]],Table5[Travel Surcharge],Table5[$$]),"")</f>
        <v/>
      </c>
      <c r="AI850" s="47"/>
      <c r="AJ850" s="47"/>
      <c r="AL850" t="str">
        <v>Westwood Walk Estate</v>
      </c>
    </row>
    <row r="851" spans="1:38">
      <c r="A851" s="374" t="s">
        <v>1618</v>
      </c>
      <c r="B851" s="374">
        <v>17</v>
      </c>
      <c r="C851" s="374" t="s">
        <v>764</v>
      </c>
      <c r="D851" s="375" t="str">
        <f t="shared" si="172"/>
        <v>Botanical Estate17</v>
      </c>
      <c r="E851" s="375" t="s">
        <v>1639</v>
      </c>
      <c r="F851" s="375" t="s">
        <v>817</v>
      </c>
      <c r="G851" s="375" t="s">
        <v>818</v>
      </c>
      <c r="H851" s="375" t="s">
        <v>1620</v>
      </c>
      <c r="I851" s="63" t="s">
        <v>1621</v>
      </c>
      <c r="J851" s="47">
        <f t="shared" si="184"/>
        <v>3740</v>
      </c>
      <c r="K851" s="46" t="s">
        <v>7938</v>
      </c>
      <c r="L851" s="47">
        <f t="shared" si="188"/>
        <v>1210</v>
      </c>
      <c r="M851" s="47"/>
      <c r="N851" s="47"/>
      <c r="O851" s="47"/>
      <c r="P851" s="47"/>
      <c r="Q851" s="47">
        <f t="shared" si="185"/>
        <v>0</v>
      </c>
      <c r="R851" s="47"/>
      <c r="S851" s="47"/>
      <c r="T851" s="47" t="s">
        <v>1622</v>
      </c>
      <c r="U851" s="47"/>
      <c r="V851" s="47"/>
      <c r="W851" s="47"/>
      <c r="X851" s="47"/>
      <c r="Y851" s="47"/>
      <c r="Z851" s="47">
        <f t="shared" si="186"/>
        <v>4620</v>
      </c>
      <c r="AA851" s="47">
        <f t="shared" si="186"/>
        <v>1400</v>
      </c>
      <c r="AB851" s="47">
        <f t="shared" si="186"/>
        <v>2800</v>
      </c>
      <c r="AC851" s="47"/>
      <c r="AD851" s="47"/>
      <c r="AE851" s="47"/>
      <c r="AF851" s="47">
        <f t="shared" si="187"/>
        <v>1485</v>
      </c>
      <c r="AG851" s="47"/>
      <c r="AH851" s="47" t="str">
        <f>IFERROR(_xlfn.XLOOKUP(Table6[[#This Row],[Suburb]],Table5[Travel Surcharge],Table5[$$]),"")</f>
        <v/>
      </c>
      <c r="AI851" s="47"/>
      <c r="AJ851" s="47"/>
      <c r="AL851" t="str">
        <v>Whitehill</v>
      </c>
    </row>
    <row r="852" spans="1:38">
      <c r="A852" s="374" t="s">
        <v>1618</v>
      </c>
      <c r="B852" s="374">
        <v>18</v>
      </c>
      <c r="C852" s="374" t="s">
        <v>764</v>
      </c>
      <c r="D852" s="375" t="str">
        <f t="shared" si="172"/>
        <v>Botanical Estate18</v>
      </c>
      <c r="E852" s="375" t="s">
        <v>1640</v>
      </c>
      <c r="F852" s="375" t="s">
        <v>817</v>
      </c>
      <c r="G852" s="375" t="s">
        <v>818</v>
      </c>
      <c r="H852" s="375" t="s">
        <v>1620</v>
      </c>
      <c r="I852" s="63" t="s">
        <v>1621</v>
      </c>
      <c r="J852" s="47">
        <f t="shared" si="184"/>
        <v>3740</v>
      </c>
      <c r="K852" s="46" t="s">
        <v>7938</v>
      </c>
      <c r="L852" s="47">
        <f t="shared" si="188"/>
        <v>1210</v>
      </c>
      <c r="M852" s="47"/>
      <c r="N852" s="47"/>
      <c r="O852" s="47"/>
      <c r="P852" s="47"/>
      <c r="Q852" s="47">
        <f t="shared" si="185"/>
        <v>0</v>
      </c>
      <c r="R852" s="47"/>
      <c r="S852" s="47"/>
      <c r="T852" s="47" t="s">
        <v>1622</v>
      </c>
      <c r="U852" s="47"/>
      <c r="V852" s="47"/>
      <c r="W852" s="47"/>
      <c r="X852" s="47"/>
      <c r="Y852" s="47"/>
      <c r="Z852" s="47">
        <f t="shared" si="186"/>
        <v>4620</v>
      </c>
      <c r="AA852" s="47">
        <f t="shared" si="186"/>
        <v>1400</v>
      </c>
      <c r="AB852" s="47">
        <f t="shared" si="186"/>
        <v>2800</v>
      </c>
      <c r="AC852" s="47"/>
      <c r="AD852" s="47"/>
      <c r="AE852" s="47"/>
      <c r="AF852" s="47">
        <f t="shared" si="187"/>
        <v>1485</v>
      </c>
      <c r="AG852" s="47"/>
      <c r="AH852" s="47" t="str">
        <f>IFERROR(_xlfn.XLOOKUP(Table6[[#This Row],[Suburb]],Table5[Travel Surcharge],Table5[$$]),"")</f>
        <v/>
      </c>
      <c r="AI852" s="47"/>
      <c r="AJ852" s="47"/>
      <c r="AL852" t="str">
        <v>Willandra  Estate</v>
      </c>
    </row>
    <row r="853" spans="1:38">
      <c r="A853" s="374" t="s">
        <v>1618</v>
      </c>
      <c r="B853" s="374">
        <v>19</v>
      </c>
      <c r="C853" s="374" t="s">
        <v>764</v>
      </c>
      <c r="D853" s="375" t="str">
        <f t="shared" ref="D853:D925" si="189">CONCATENATE(A853,B853)</f>
        <v>Botanical Estate19</v>
      </c>
      <c r="E853" s="375" t="s">
        <v>1641</v>
      </c>
      <c r="F853" s="375" t="s">
        <v>817</v>
      </c>
      <c r="G853" s="375" t="s">
        <v>818</v>
      </c>
      <c r="H853" s="375" t="s">
        <v>1620</v>
      </c>
      <c r="I853" s="63" t="s">
        <v>1621</v>
      </c>
      <c r="J853" s="47">
        <f t="shared" si="184"/>
        <v>3740</v>
      </c>
      <c r="K853" s="46" t="s">
        <v>7938</v>
      </c>
      <c r="L853" s="47">
        <f t="shared" si="188"/>
        <v>1210</v>
      </c>
      <c r="M853" s="47"/>
      <c r="N853" s="47"/>
      <c r="O853" s="47"/>
      <c r="P853" s="47"/>
      <c r="Q853" s="47">
        <f t="shared" si="185"/>
        <v>0</v>
      </c>
      <c r="R853" s="47"/>
      <c r="S853" s="47"/>
      <c r="T853" s="47" t="s">
        <v>1622</v>
      </c>
      <c r="U853" s="47"/>
      <c r="V853" s="47"/>
      <c r="W853" s="47"/>
      <c r="X853" s="47"/>
      <c r="Y853" s="47"/>
      <c r="Z853" s="47">
        <f t="shared" si="186"/>
        <v>4620</v>
      </c>
      <c r="AA853" s="47">
        <f t="shared" si="186"/>
        <v>1400</v>
      </c>
      <c r="AB853" s="47">
        <f t="shared" si="186"/>
        <v>2800</v>
      </c>
      <c r="AC853" s="47"/>
      <c r="AD853" s="47"/>
      <c r="AE853" s="47"/>
      <c r="AF853" s="47">
        <f t="shared" si="187"/>
        <v>1485</v>
      </c>
      <c r="AG853" s="47"/>
      <c r="AH853" s="47" t="str">
        <f>IFERROR(_xlfn.XLOOKUP(Table6[[#This Row],[Suburb]],Table5[Travel Surcharge],Table5[$$]),"")</f>
        <v/>
      </c>
      <c r="AI853" s="47"/>
      <c r="AJ853" s="47"/>
      <c r="AL853" t="str">
        <v>Williams Landing - Addison Estate</v>
      </c>
    </row>
    <row r="854" spans="1:38">
      <c r="A854" s="374" t="s">
        <v>1618</v>
      </c>
      <c r="B854" s="374">
        <v>22</v>
      </c>
      <c r="C854" s="374" t="s">
        <v>764</v>
      </c>
      <c r="D854" s="375" t="str">
        <f t="shared" si="189"/>
        <v>Botanical Estate22</v>
      </c>
      <c r="E854" s="375" t="s">
        <v>1642</v>
      </c>
      <c r="F854" s="375" t="s">
        <v>817</v>
      </c>
      <c r="G854" s="375" t="s">
        <v>818</v>
      </c>
      <c r="H854" s="375" t="s">
        <v>1620</v>
      </c>
      <c r="I854" s="63" t="s">
        <v>1621</v>
      </c>
      <c r="J854" s="47">
        <f t="shared" si="184"/>
        <v>3740</v>
      </c>
      <c r="K854" s="46" t="s">
        <v>7938</v>
      </c>
      <c r="L854" s="47">
        <f t="shared" si="188"/>
        <v>1210</v>
      </c>
      <c r="M854" s="47"/>
      <c r="N854" s="47"/>
      <c r="O854" s="47"/>
      <c r="P854" s="47"/>
      <c r="Q854" s="47">
        <f t="shared" si="185"/>
        <v>0</v>
      </c>
      <c r="R854" s="47"/>
      <c r="S854" s="47"/>
      <c r="T854" s="47" t="s">
        <v>1622</v>
      </c>
      <c r="U854" s="47"/>
      <c r="V854" s="47"/>
      <c r="W854" s="47"/>
      <c r="X854" s="47"/>
      <c r="Y854" s="47"/>
      <c r="Z854" s="47">
        <f t="shared" si="186"/>
        <v>4620</v>
      </c>
      <c r="AA854" s="47">
        <f t="shared" si="186"/>
        <v>1400</v>
      </c>
      <c r="AB854" s="47">
        <f t="shared" si="186"/>
        <v>2800</v>
      </c>
      <c r="AC854" s="47"/>
      <c r="AD854" s="47"/>
      <c r="AE854" s="47"/>
      <c r="AF854" s="47">
        <f t="shared" si="187"/>
        <v>1485</v>
      </c>
      <c r="AG854" s="47"/>
      <c r="AH854" s="47" t="str">
        <f>IFERROR(_xlfn.XLOOKUP(Table6[[#This Row],[Suburb]],Table5[Travel Surcharge],Table5[$$]),"")</f>
        <v/>
      </c>
      <c r="AI854" s="47"/>
      <c r="AJ854" s="47"/>
      <c r="AL854" t="str">
        <v>Williams Landing - Elmstead Estate</v>
      </c>
    </row>
    <row r="855" spans="1:38">
      <c r="A855" s="157" t="s">
        <v>1618</v>
      </c>
      <c r="B855" s="157">
        <v>23</v>
      </c>
      <c r="C855" s="157" t="s">
        <v>764</v>
      </c>
      <c r="D855" s="157" t="str">
        <f t="shared" si="189"/>
        <v>Botanical Estate23</v>
      </c>
      <c r="E855" s="157" t="s">
        <v>7740</v>
      </c>
      <c r="F855" s="157" t="s">
        <v>817</v>
      </c>
      <c r="G855" s="157" t="s">
        <v>818</v>
      </c>
      <c r="H855" s="157" t="s">
        <v>1620</v>
      </c>
      <c r="I855" s="158" t="s">
        <v>1621</v>
      </c>
      <c r="J855" s="47">
        <f t="shared" si="184"/>
        <v>3740</v>
      </c>
      <c r="K855" s="46" t="s">
        <v>7938</v>
      </c>
      <c r="L855" s="47">
        <f t="shared" si="188"/>
        <v>1210</v>
      </c>
      <c r="M855" s="47"/>
      <c r="N855" s="47"/>
      <c r="O855" s="47"/>
      <c r="P855" s="47"/>
      <c r="Q855" s="47">
        <f t="shared" si="185"/>
        <v>0</v>
      </c>
      <c r="R855" s="47"/>
      <c r="S855" s="47"/>
      <c r="T855" s="47" t="s">
        <v>1622</v>
      </c>
      <c r="U855" s="47"/>
      <c r="V855" s="47"/>
      <c r="W855" s="47"/>
      <c r="X855" s="47"/>
      <c r="Y855" s="47"/>
      <c r="Z855" s="47">
        <f t="shared" si="186"/>
        <v>4620</v>
      </c>
      <c r="AA855" s="47">
        <f t="shared" si="186"/>
        <v>1400</v>
      </c>
      <c r="AB855" s="47">
        <f t="shared" si="186"/>
        <v>2800</v>
      </c>
      <c r="AC855" s="47"/>
      <c r="AD855" s="47"/>
      <c r="AE855" s="47"/>
      <c r="AF855" s="47">
        <f t="shared" si="187"/>
        <v>1485</v>
      </c>
      <c r="AG855" s="47"/>
      <c r="AH855" s="47" t="str">
        <f>IFERROR(_xlfn.XLOOKUP(Table6[[#This Row],[Suburb]],Table5[Travel Surcharge],Table5[$$]),"")</f>
        <v/>
      </c>
      <c r="AI855" s="47"/>
      <c r="AJ855" s="47"/>
      <c r="AL855" t="str">
        <v>Williams Landing Estate</v>
      </c>
    </row>
    <row r="856" spans="1:38">
      <c r="A856" s="374" t="s">
        <v>1618</v>
      </c>
      <c r="B856" s="374">
        <v>25</v>
      </c>
      <c r="C856" s="374" t="s">
        <v>764</v>
      </c>
      <c r="D856" s="375" t="str">
        <f t="shared" si="189"/>
        <v>Botanical Estate25</v>
      </c>
      <c r="E856" s="375" t="s">
        <v>10155</v>
      </c>
      <c r="F856" s="375" t="s">
        <v>817</v>
      </c>
      <c r="G856" s="375" t="s">
        <v>818</v>
      </c>
      <c r="H856" s="375" t="s">
        <v>1620</v>
      </c>
      <c r="I856" s="63" t="s">
        <v>1621</v>
      </c>
      <c r="J856" s="47">
        <v>3740</v>
      </c>
      <c r="K856" s="46" t="s">
        <v>7938</v>
      </c>
      <c r="L856" s="47"/>
      <c r="M856" s="47"/>
      <c r="N856" s="47"/>
      <c r="O856" s="47"/>
      <c r="P856" s="47"/>
      <c r="Q856" s="47">
        <v>0</v>
      </c>
      <c r="R856" s="47"/>
      <c r="S856" s="47"/>
      <c r="T856" s="47" t="s">
        <v>1622</v>
      </c>
      <c r="U856" s="47"/>
      <c r="V856" s="47"/>
      <c r="W856" s="47"/>
      <c r="X856" s="47"/>
      <c r="Y856" s="47"/>
      <c r="Z856" s="47">
        <v>4620</v>
      </c>
      <c r="AA856" s="47">
        <v>1400</v>
      </c>
      <c r="AB856" s="47">
        <v>2800</v>
      </c>
      <c r="AC856" s="47"/>
      <c r="AD856" s="47"/>
      <c r="AE856" s="47"/>
      <c r="AF856" s="47">
        <v>1650.0000000000002</v>
      </c>
      <c r="AG856" s="47"/>
      <c r="AH856" s="47" t="s">
        <v>9976</v>
      </c>
      <c r="AI856" s="47"/>
      <c r="AJ856" s="47"/>
      <c r="AL856" t="str">
        <v>Williams Walk Estate</v>
      </c>
    </row>
    <row r="857" spans="1:38">
      <c r="A857" s="374" t="s">
        <v>1618</v>
      </c>
      <c r="B857" s="374">
        <v>26</v>
      </c>
      <c r="C857" s="374" t="s">
        <v>764</v>
      </c>
      <c r="D857" s="375" t="str">
        <f t="shared" si="189"/>
        <v>Botanical Estate26</v>
      </c>
      <c r="E857" s="375" t="s">
        <v>9441</v>
      </c>
      <c r="F857" s="375" t="s">
        <v>817</v>
      </c>
      <c r="G857" s="375" t="s">
        <v>818</v>
      </c>
      <c r="H857" s="375" t="s">
        <v>1620</v>
      </c>
      <c r="I857" s="63" t="s">
        <v>1621</v>
      </c>
      <c r="J857" s="47">
        <v>3740</v>
      </c>
      <c r="K857" s="46" t="s">
        <v>7938</v>
      </c>
      <c r="L857" s="47"/>
      <c r="M857" s="47"/>
      <c r="N857" s="47"/>
      <c r="O857" s="47"/>
      <c r="P857" s="47"/>
      <c r="Q857" s="47">
        <v>0</v>
      </c>
      <c r="R857" s="47"/>
      <c r="S857" s="47"/>
      <c r="T857" s="47" t="s">
        <v>1622</v>
      </c>
      <c r="U857" s="47"/>
      <c r="V857" s="47"/>
      <c r="W857" s="47"/>
      <c r="X857" s="47"/>
      <c r="Y857" s="47"/>
      <c r="Z857" s="47">
        <v>4620</v>
      </c>
      <c r="AA857" s="47">
        <v>1400</v>
      </c>
      <c r="AB857" s="47">
        <v>2800</v>
      </c>
      <c r="AC857" s="47"/>
      <c r="AD857" s="47"/>
      <c r="AE857" s="47"/>
      <c r="AF857" s="47">
        <v>1650.0000000000002</v>
      </c>
      <c r="AG857" s="47"/>
      <c r="AH857" s="47" t="s">
        <v>9976</v>
      </c>
      <c r="AI857" s="47"/>
      <c r="AJ857" s="47"/>
      <c r="AL857" t="str">
        <v>Willow Estate - Gisborne</v>
      </c>
    </row>
    <row r="858" spans="1:38">
      <c r="A858" s="374" t="s">
        <v>1618</v>
      </c>
      <c r="B858" s="374">
        <v>27</v>
      </c>
      <c r="C858" s="374" t="s">
        <v>764</v>
      </c>
      <c r="D858" s="375" t="str">
        <f t="shared" ref="D858" si="190">CONCATENATE(A858,B858)</f>
        <v>Botanical Estate27</v>
      </c>
      <c r="E858" s="375" t="s">
        <v>10696</v>
      </c>
      <c r="F858" s="375" t="s">
        <v>817</v>
      </c>
      <c r="G858" s="375" t="s">
        <v>818</v>
      </c>
      <c r="H858" s="375" t="s">
        <v>1620</v>
      </c>
      <c r="I858" s="63" t="s">
        <v>1621</v>
      </c>
      <c r="J858" s="47">
        <v>3740</v>
      </c>
      <c r="K858" s="46" t="s">
        <v>7938</v>
      </c>
      <c r="L858" s="47"/>
      <c r="M858" s="47"/>
      <c r="N858" s="47"/>
      <c r="O858" s="47"/>
      <c r="P858" s="47"/>
      <c r="Q858" s="47">
        <v>0</v>
      </c>
      <c r="R858" s="47"/>
      <c r="S858" s="47"/>
      <c r="T858" s="47" t="s">
        <v>1622</v>
      </c>
      <c r="U858" s="47"/>
      <c r="V858" s="47"/>
      <c r="W858" s="47"/>
      <c r="X858" s="47"/>
      <c r="Y858" s="47"/>
      <c r="Z858" s="47">
        <v>4620</v>
      </c>
      <c r="AA858" s="47">
        <v>1400</v>
      </c>
      <c r="AB858" s="47">
        <v>2800</v>
      </c>
      <c r="AC858" s="47"/>
      <c r="AD858" s="47"/>
      <c r="AE858" s="47"/>
      <c r="AF858" s="47">
        <v>1650.0000000000002</v>
      </c>
      <c r="AG858" s="47"/>
      <c r="AH858" s="47" t="s">
        <v>9976</v>
      </c>
      <c r="AI858" s="47"/>
      <c r="AJ858" s="47"/>
      <c r="AL858" t="str">
        <v>Willow Estate - Mt Duneed</v>
      </c>
    </row>
    <row r="859" spans="1:38">
      <c r="A859" s="374" t="s">
        <v>1618</v>
      </c>
      <c r="B859" s="374">
        <v>28</v>
      </c>
      <c r="C859" s="374" t="s">
        <v>764</v>
      </c>
      <c r="D859" s="375" t="str">
        <f t="shared" si="189"/>
        <v>Botanical Estate28</v>
      </c>
      <c r="E859" s="375" t="s">
        <v>10336</v>
      </c>
      <c r="F859" s="375" t="s">
        <v>817</v>
      </c>
      <c r="G859" s="375" t="s">
        <v>818</v>
      </c>
      <c r="H859" s="375" t="s">
        <v>1620</v>
      </c>
      <c r="I859" s="63" t="s">
        <v>1621</v>
      </c>
      <c r="J859" s="47">
        <v>3740</v>
      </c>
      <c r="K859" s="46" t="s">
        <v>7938</v>
      </c>
      <c r="L859" s="47"/>
      <c r="M859" s="47"/>
      <c r="N859" s="47"/>
      <c r="O859" s="47"/>
      <c r="P859" s="47"/>
      <c r="Q859" s="47">
        <v>0</v>
      </c>
      <c r="R859" s="47"/>
      <c r="S859" s="47"/>
      <c r="T859" s="47" t="s">
        <v>1622</v>
      </c>
      <c r="U859" s="47"/>
      <c r="V859" s="47"/>
      <c r="W859" s="47"/>
      <c r="X859" s="47"/>
      <c r="Y859" s="47"/>
      <c r="Z859" s="47">
        <v>4620</v>
      </c>
      <c r="AA859" s="47">
        <v>1400</v>
      </c>
      <c r="AB859" s="47">
        <v>2800</v>
      </c>
      <c r="AC859" s="47"/>
      <c r="AD859" s="47"/>
      <c r="AE859" s="47"/>
      <c r="AF859" s="47">
        <v>1650.0000000000002</v>
      </c>
      <c r="AG859" s="47"/>
      <c r="AH859" s="47" t="s">
        <v>9976</v>
      </c>
      <c r="AI859" s="47"/>
      <c r="AJ859" s="47"/>
      <c r="AL859" t="str">
        <v>Willow Springs</v>
      </c>
    </row>
    <row r="860" spans="1:38">
      <c r="A860" s="374" t="s">
        <v>1618</v>
      </c>
      <c r="B860" s="374">
        <v>29</v>
      </c>
      <c r="C860" s="374" t="s">
        <v>764</v>
      </c>
      <c r="D860" s="375" t="str">
        <f t="shared" si="189"/>
        <v>Botanical Estate29</v>
      </c>
      <c r="E860" s="375" t="s">
        <v>10645</v>
      </c>
      <c r="F860" s="375" t="s">
        <v>817</v>
      </c>
      <c r="G860" s="375" t="s">
        <v>818</v>
      </c>
      <c r="H860" s="375" t="s">
        <v>1620</v>
      </c>
      <c r="I860" s="63" t="s">
        <v>1621</v>
      </c>
      <c r="J860" s="47">
        <v>3740</v>
      </c>
      <c r="K860" s="46" t="s">
        <v>7938</v>
      </c>
      <c r="L860" s="47"/>
      <c r="M860" s="47"/>
      <c r="N860" s="47"/>
      <c r="O860" s="47"/>
      <c r="P860" s="47"/>
      <c r="Q860" s="47">
        <v>0</v>
      </c>
      <c r="R860" s="47"/>
      <c r="S860" s="47"/>
      <c r="T860" s="47" t="s">
        <v>1622</v>
      </c>
      <c r="U860" s="47"/>
      <c r="V860" s="47"/>
      <c r="W860" s="47"/>
      <c r="X860" s="47"/>
      <c r="Y860" s="47"/>
      <c r="Z860" s="47">
        <v>4620</v>
      </c>
      <c r="AA860" s="47">
        <v>1400</v>
      </c>
      <c r="AB860" s="47">
        <v>2800</v>
      </c>
      <c r="AC860" s="47"/>
      <c r="AD860" s="47"/>
      <c r="AE860" s="47"/>
      <c r="AF860" s="47">
        <v>1650.0000000000002</v>
      </c>
      <c r="AG860" s="47"/>
      <c r="AH860" s="47" t="s">
        <v>9976</v>
      </c>
      <c r="AI860" s="47"/>
      <c r="AJ860" s="47"/>
      <c r="AL860" t="str">
        <v>Willowstone</v>
      </c>
    </row>
    <row r="861" spans="1:38">
      <c r="A861" s="374" t="s">
        <v>1618</v>
      </c>
      <c r="B861" s="374">
        <v>30</v>
      </c>
      <c r="C861" s="374" t="s">
        <v>764</v>
      </c>
      <c r="D861" s="375" t="str">
        <f t="shared" si="189"/>
        <v>Botanical Estate30</v>
      </c>
      <c r="E861" s="375" t="s">
        <v>10732</v>
      </c>
      <c r="F861" s="375" t="s">
        <v>817</v>
      </c>
      <c r="G861" s="375" t="s">
        <v>818</v>
      </c>
      <c r="H861" s="375" t="s">
        <v>1620</v>
      </c>
      <c r="I861" s="63" t="s">
        <v>1621</v>
      </c>
      <c r="J861" s="47">
        <v>3740</v>
      </c>
      <c r="K861" s="46" t="s">
        <v>7938</v>
      </c>
      <c r="L861" s="47"/>
      <c r="M861" s="47"/>
      <c r="N861" s="47"/>
      <c r="O861" s="47"/>
      <c r="P861" s="47"/>
      <c r="Q861" s="47">
        <v>0</v>
      </c>
      <c r="R861" s="47"/>
      <c r="S861" s="47"/>
      <c r="T861" s="47" t="s">
        <v>1622</v>
      </c>
      <c r="U861" s="47"/>
      <c r="V861" s="47"/>
      <c r="W861" s="47"/>
      <c r="X861" s="47"/>
      <c r="Y861" s="47"/>
      <c r="Z861" s="47">
        <v>4620</v>
      </c>
      <c r="AA861" s="47">
        <v>1400</v>
      </c>
      <c r="AB861" s="47">
        <v>2800</v>
      </c>
      <c r="AC861" s="47"/>
      <c r="AD861" s="47"/>
      <c r="AE861" s="47"/>
      <c r="AF861" s="47">
        <v>1650.0000000000002</v>
      </c>
      <c r="AG861" s="47"/>
      <c r="AH861" s="47" t="s">
        <v>9976</v>
      </c>
      <c r="AI861" s="47"/>
      <c r="AJ861" s="47"/>
      <c r="AL861" t="str">
        <v>Windermere Estate</v>
      </c>
    </row>
    <row r="862" spans="1:38">
      <c r="A862" s="374" t="s">
        <v>1618</v>
      </c>
      <c r="B862" s="374" t="s">
        <v>1488</v>
      </c>
      <c r="C862" s="374" t="s">
        <v>764</v>
      </c>
      <c r="D862" s="375" t="str">
        <f t="shared" si="189"/>
        <v>Botanical Estate7A</v>
      </c>
      <c r="E862" s="375" t="s">
        <v>1629</v>
      </c>
      <c r="F862" s="375" t="s">
        <v>817</v>
      </c>
      <c r="G862" s="375" t="s">
        <v>818</v>
      </c>
      <c r="H862" s="375" t="s">
        <v>1620</v>
      </c>
      <c r="I862" s="63" t="s">
        <v>1621</v>
      </c>
      <c r="J862" s="47">
        <f t="shared" si="184"/>
        <v>3740</v>
      </c>
      <c r="K862" s="46" t="s">
        <v>7938</v>
      </c>
      <c r="L862" s="47"/>
      <c r="M862" s="47"/>
      <c r="N862" s="47"/>
      <c r="O862" s="47"/>
      <c r="P862" s="47"/>
      <c r="Q862" s="47">
        <f t="shared" si="185"/>
        <v>0</v>
      </c>
      <c r="R862" s="47"/>
      <c r="S862" s="47"/>
      <c r="T862" s="47" t="s">
        <v>1622</v>
      </c>
      <c r="U862" s="47"/>
      <c r="V862" s="47"/>
      <c r="W862" s="47"/>
      <c r="X862" s="47"/>
      <c r="Y862" s="47"/>
      <c r="Z862" s="47">
        <f t="shared" si="186"/>
        <v>4620</v>
      </c>
      <c r="AA862" s="47">
        <f t="shared" si="186"/>
        <v>1400</v>
      </c>
      <c r="AB862" s="47">
        <f t="shared" si="186"/>
        <v>2800</v>
      </c>
      <c r="AC862" s="47"/>
      <c r="AD862" s="47"/>
      <c r="AE862" s="47"/>
      <c r="AF862" s="47">
        <f t="shared" si="187"/>
        <v>1485</v>
      </c>
      <c r="AG862" s="47"/>
      <c r="AH862" s="47" t="str">
        <f>IFERROR(_xlfn.XLOOKUP(Table6[[#This Row],[Suburb]],Table5[Travel Surcharge],Table5[$$]),"")</f>
        <v/>
      </c>
      <c r="AI862" s="47"/>
      <c r="AJ862" s="47"/>
      <c r="AL862" t="str">
        <v>Winery Hill</v>
      </c>
    </row>
    <row r="863" spans="1:38">
      <c r="A863" s="374" t="s">
        <v>1618</v>
      </c>
      <c r="B863" s="374" t="s">
        <v>1630</v>
      </c>
      <c r="C863" s="374" t="s">
        <v>764</v>
      </c>
      <c r="D863" s="375" t="str">
        <f t="shared" si="189"/>
        <v>Botanical Estate7B</v>
      </c>
      <c r="E863" s="375" t="s">
        <v>1631</v>
      </c>
      <c r="F863" s="375" t="s">
        <v>817</v>
      </c>
      <c r="G863" s="375" t="s">
        <v>818</v>
      </c>
      <c r="H863" s="375" t="s">
        <v>1620</v>
      </c>
      <c r="I863" s="63" t="s">
        <v>1621</v>
      </c>
      <c r="J863" s="47">
        <f t="shared" si="184"/>
        <v>3740</v>
      </c>
      <c r="K863" s="46" t="s">
        <v>7938</v>
      </c>
      <c r="L863" s="47"/>
      <c r="M863" s="47"/>
      <c r="N863" s="47"/>
      <c r="O863" s="47"/>
      <c r="P863" s="47"/>
      <c r="Q863" s="47">
        <f t="shared" si="185"/>
        <v>0</v>
      </c>
      <c r="R863" s="47"/>
      <c r="S863" s="47"/>
      <c r="T863" s="47" t="s">
        <v>1622</v>
      </c>
      <c r="U863" s="47"/>
      <c r="V863" s="47"/>
      <c r="W863" s="47"/>
      <c r="X863" s="47"/>
      <c r="Y863" s="47"/>
      <c r="Z863" s="47">
        <f t="shared" si="186"/>
        <v>4620</v>
      </c>
      <c r="AA863" s="47">
        <f t="shared" si="186"/>
        <v>1400</v>
      </c>
      <c r="AB863" s="47">
        <f t="shared" si="186"/>
        <v>2800</v>
      </c>
      <c r="AC863" s="47"/>
      <c r="AD863" s="47"/>
      <c r="AE863" s="47"/>
      <c r="AF863" s="47">
        <f t="shared" si="187"/>
        <v>1485</v>
      </c>
      <c r="AG863" s="47"/>
      <c r="AH863" s="47" t="str">
        <f>IFERROR(_xlfn.XLOOKUP(Table6[[#This Row],[Suburb]],Table5[Travel Surcharge],Table5[$$]),"")</f>
        <v/>
      </c>
      <c r="AI863" s="47"/>
      <c r="AJ863" s="47"/>
      <c r="AL863" t="str">
        <v>Winland Estate</v>
      </c>
    </row>
    <row r="864" spans="1:38">
      <c r="A864" s="374" t="s">
        <v>1618</v>
      </c>
      <c r="B864" s="374" t="s">
        <v>1632</v>
      </c>
      <c r="C864" s="374" t="s">
        <v>764</v>
      </c>
      <c r="D864" s="375" t="str">
        <f t="shared" si="189"/>
        <v>Botanical Estate7C</v>
      </c>
      <c r="E864" s="375" t="s">
        <v>1628</v>
      </c>
      <c r="F864" s="375" t="s">
        <v>817</v>
      </c>
      <c r="G864" s="375" t="s">
        <v>818</v>
      </c>
      <c r="H864" s="375" t="s">
        <v>1620</v>
      </c>
      <c r="I864" s="63" t="s">
        <v>1621</v>
      </c>
      <c r="J864" s="47">
        <f t="shared" si="184"/>
        <v>3740</v>
      </c>
      <c r="K864" s="46" t="s">
        <v>7938</v>
      </c>
      <c r="L864" s="47"/>
      <c r="M864" s="47"/>
      <c r="N864" s="47"/>
      <c r="O864" s="47"/>
      <c r="P864" s="47"/>
      <c r="Q864" s="47">
        <f t="shared" si="185"/>
        <v>0</v>
      </c>
      <c r="R864" s="47"/>
      <c r="S864" s="47"/>
      <c r="T864" s="47" t="s">
        <v>1622</v>
      </c>
      <c r="U864" s="47"/>
      <c r="V864" s="47"/>
      <c r="W864" s="47"/>
      <c r="X864" s="47"/>
      <c r="Y864" s="47"/>
      <c r="Z864" s="47">
        <f t="shared" si="186"/>
        <v>4620</v>
      </c>
      <c r="AA864" s="47">
        <f t="shared" si="186"/>
        <v>1400</v>
      </c>
      <c r="AB864" s="47">
        <f t="shared" si="186"/>
        <v>2800</v>
      </c>
      <c r="AC864" s="47"/>
      <c r="AD864" s="47"/>
      <c r="AE864" s="47"/>
      <c r="AF864" s="47">
        <f t="shared" si="187"/>
        <v>1485</v>
      </c>
      <c r="AG864" s="47"/>
      <c r="AH864" s="47" t="str">
        <f>IFERROR(_xlfn.XLOOKUP(Table6[[#This Row],[Suburb]],Table5[Travel Surcharge],Table5[$$]),"")</f>
        <v/>
      </c>
      <c r="AI864" s="47"/>
      <c r="AJ864" s="47"/>
      <c r="AL864" t="str">
        <v>Winning Post Estate</v>
      </c>
    </row>
    <row r="865" spans="1:38">
      <c r="A865" s="374" t="s">
        <v>1618</v>
      </c>
      <c r="B865" s="374" t="s">
        <v>1006</v>
      </c>
      <c r="C865" s="374" t="s">
        <v>764</v>
      </c>
      <c r="D865" s="375" t="str">
        <f t="shared" si="189"/>
        <v>Botanical Estate9A</v>
      </c>
      <c r="E865" s="375" t="s">
        <v>1633</v>
      </c>
      <c r="F865" s="375" t="s">
        <v>817</v>
      </c>
      <c r="G865" s="375" t="s">
        <v>818</v>
      </c>
      <c r="H865" s="375" t="s">
        <v>1620</v>
      </c>
      <c r="I865" s="63" t="s">
        <v>1621</v>
      </c>
      <c r="J865" s="47">
        <f t="shared" si="184"/>
        <v>3740</v>
      </c>
      <c r="K865" s="46" t="s">
        <v>7938</v>
      </c>
      <c r="L865" s="47"/>
      <c r="M865" s="47"/>
      <c r="N865" s="47"/>
      <c r="O865" s="47"/>
      <c r="P865" s="47"/>
      <c r="Q865" s="47">
        <f t="shared" si="185"/>
        <v>0</v>
      </c>
      <c r="R865" s="47"/>
      <c r="S865" s="47"/>
      <c r="T865" s="47" t="s">
        <v>1622</v>
      </c>
      <c r="U865" s="47"/>
      <c r="V865" s="47"/>
      <c r="W865" s="47"/>
      <c r="X865" s="47"/>
      <c r="Y865" s="47"/>
      <c r="Z865" s="47">
        <f t="shared" si="186"/>
        <v>4620</v>
      </c>
      <c r="AA865" s="47">
        <f t="shared" si="186"/>
        <v>1400</v>
      </c>
      <c r="AB865" s="47">
        <f t="shared" si="186"/>
        <v>2800</v>
      </c>
      <c r="AC865" s="47"/>
      <c r="AD865" s="47"/>
      <c r="AE865" s="47"/>
      <c r="AF865" s="47">
        <f t="shared" si="187"/>
        <v>1485</v>
      </c>
      <c r="AG865" s="47"/>
      <c r="AH865" s="47" t="str">
        <f>IFERROR(_xlfn.XLOOKUP(Table6[[#This Row],[Suburb]],Table5[Travel Surcharge],Table5[$$]),"")</f>
        <v/>
      </c>
      <c r="AI865" s="47"/>
      <c r="AJ865" s="47"/>
      <c r="AL865" t="str">
        <v>Winter Valley Rise Estate</v>
      </c>
    </row>
    <row r="866" spans="1:38">
      <c r="A866" s="374" t="s">
        <v>1618</v>
      </c>
      <c r="B866" s="374" t="s">
        <v>710</v>
      </c>
      <c r="C866" s="374" t="s">
        <v>764</v>
      </c>
      <c r="D866" s="375" t="str">
        <f t="shared" si="189"/>
        <v>Botanical Estate9B</v>
      </c>
      <c r="E866" s="375" t="s">
        <v>1634</v>
      </c>
      <c r="F866" s="375" t="s">
        <v>817</v>
      </c>
      <c r="G866" s="375" t="s">
        <v>818</v>
      </c>
      <c r="H866" s="375" t="s">
        <v>1620</v>
      </c>
      <c r="I866" s="63" t="s">
        <v>1621</v>
      </c>
      <c r="J866" s="47">
        <f t="shared" si="184"/>
        <v>3740</v>
      </c>
      <c r="K866" s="46" t="s">
        <v>7938</v>
      </c>
      <c r="L866" s="47"/>
      <c r="M866" s="47"/>
      <c r="N866" s="47"/>
      <c r="O866" s="47"/>
      <c r="P866" s="47"/>
      <c r="Q866" s="47">
        <f t="shared" si="185"/>
        <v>0</v>
      </c>
      <c r="R866" s="47"/>
      <c r="S866" s="47"/>
      <c r="T866" s="47" t="s">
        <v>1622</v>
      </c>
      <c r="U866" s="47"/>
      <c r="V866" s="47"/>
      <c r="W866" s="47"/>
      <c r="X866" s="47"/>
      <c r="Y866" s="47"/>
      <c r="Z866" s="47">
        <f t="shared" si="186"/>
        <v>4620</v>
      </c>
      <c r="AA866" s="47">
        <f t="shared" si="186"/>
        <v>1400</v>
      </c>
      <c r="AB866" s="47">
        <f t="shared" si="186"/>
        <v>2800</v>
      </c>
      <c r="AC866" s="47"/>
      <c r="AD866" s="47"/>
      <c r="AE866" s="47"/>
      <c r="AF866" s="47">
        <f t="shared" si="187"/>
        <v>1485</v>
      </c>
      <c r="AG866" s="47"/>
      <c r="AH866" s="47" t="str">
        <f>IFERROR(_xlfn.XLOOKUP(Table6[[#This Row],[Suburb]],Table5[Travel Surcharge],Table5[$$]),"")</f>
        <v/>
      </c>
      <c r="AI866" s="47"/>
      <c r="AJ866" s="47"/>
      <c r="AL866" t="str">
        <v>Winterfield Estate</v>
      </c>
    </row>
    <row r="867" spans="1:38">
      <c r="A867" s="374" t="s">
        <v>1659</v>
      </c>
      <c r="B867" s="374">
        <v>2</v>
      </c>
      <c r="C867" s="374" t="s">
        <v>1660</v>
      </c>
      <c r="D867" s="375" t="str">
        <f t="shared" si="189"/>
        <v>Bowery2</v>
      </c>
      <c r="E867" s="375" t="s">
        <v>1668</v>
      </c>
      <c r="F867" s="375" t="s">
        <v>1662</v>
      </c>
      <c r="G867" s="375" t="s">
        <v>1663</v>
      </c>
      <c r="H867" s="375" t="s">
        <v>1664</v>
      </c>
      <c r="I867" s="63" t="s">
        <v>1665</v>
      </c>
      <c r="J867" s="47"/>
      <c r="K867" s="46" t="s">
        <v>7938</v>
      </c>
      <c r="L867" s="47" t="s">
        <v>1666</v>
      </c>
      <c r="M867" s="47">
        <f>M$7</f>
        <v>1430.0000000000002</v>
      </c>
      <c r="N867" s="47"/>
      <c r="O867" s="47"/>
      <c r="P867" s="47"/>
      <c r="Q867" s="47"/>
      <c r="R867" s="47"/>
      <c r="S867" s="47"/>
      <c r="T867" s="47"/>
      <c r="U867" s="47">
        <f>U$2</f>
        <v>430</v>
      </c>
      <c r="V867" s="47"/>
      <c r="W867" s="47"/>
      <c r="X867" s="47"/>
      <c r="Y867" s="47"/>
      <c r="Z867" s="47">
        <f t="shared" ref="Z867:Z886" si="191">Z$7</f>
        <v>4620</v>
      </c>
      <c r="AA867" s="47"/>
      <c r="AB867" s="47"/>
      <c r="AC867" s="47"/>
      <c r="AD867" s="47"/>
      <c r="AE867" s="47"/>
      <c r="AF867" s="47">
        <f t="shared" si="187"/>
        <v>1485</v>
      </c>
      <c r="AG867" s="47"/>
      <c r="AH867" s="47" t="str">
        <f>IFERROR(_xlfn.XLOOKUP(Table6[[#This Row],[Suburb]],Table5[Travel Surcharge],Table5[$$]),"")</f>
        <v/>
      </c>
      <c r="AI867" s="47"/>
      <c r="AJ867" s="47"/>
      <c r="AL867" t="str">
        <v>Winterfield North</v>
      </c>
    </row>
    <row r="868" spans="1:38">
      <c r="A868" s="374" t="s">
        <v>1659</v>
      </c>
      <c r="B868" s="374" t="s">
        <v>501</v>
      </c>
      <c r="C868" s="374" t="s">
        <v>1660</v>
      </c>
      <c r="D868" s="375" t="str">
        <f t="shared" si="189"/>
        <v>Bowery1A</v>
      </c>
      <c r="E868" s="375" t="s">
        <v>1661</v>
      </c>
      <c r="F868" s="375" t="s">
        <v>1662</v>
      </c>
      <c r="G868" s="375" t="s">
        <v>1663</v>
      </c>
      <c r="H868" s="375" t="s">
        <v>1664</v>
      </c>
      <c r="I868" s="63" t="s">
        <v>1665</v>
      </c>
      <c r="J868" s="47"/>
      <c r="K868" s="46" t="s">
        <v>7938</v>
      </c>
      <c r="L868" s="47" t="s">
        <v>1666</v>
      </c>
      <c r="M868" s="47">
        <f>M$7</f>
        <v>1430.0000000000002</v>
      </c>
      <c r="N868" s="47"/>
      <c r="O868" s="47"/>
      <c r="P868" s="47"/>
      <c r="Q868" s="47"/>
      <c r="R868" s="47"/>
      <c r="S868" s="47"/>
      <c r="T868" s="47"/>
      <c r="U868" s="47">
        <f>U$2</f>
        <v>430</v>
      </c>
      <c r="V868" s="47"/>
      <c r="W868" s="47"/>
      <c r="X868" s="47"/>
      <c r="Y868" s="47"/>
      <c r="Z868" s="47">
        <f t="shared" si="191"/>
        <v>4620</v>
      </c>
      <c r="AA868" s="47"/>
      <c r="AB868" s="47"/>
      <c r="AC868" s="47"/>
      <c r="AD868" s="47"/>
      <c r="AE868" s="47"/>
      <c r="AF868" s="47">
        <f t="shared" si="187"/>
        <v>1485</v>
      </c>
      <c r="AG868" s="47"/>
      <c r="AH868" s="47" t="str">
        <f>IFERROR(_xlfn.XLOOKUP(Table6[[#This Row],[Suburb]],Table5[Travel Surcharge],Table5[$$]),"")</f>
        <v/>
      </c>
      <c r="AI868" s="47"/>
      <c r="AJ868" s="47"/>
      <c r="AL868" t="str">
        <v>Winterset Lodge Estate</v>
      </c>
    </row>
    <row r="869" spans="1:38">
      <c r="A869" s="374" t="s">
        <v>1659</v>
      </c>
      <c r="B869" s="374" t="s">
        <v>507</v>
      </c>
      <c r="C869" s="374" t="s">
        <v>1660</v>
      </c>
      <c r="D869" s="375" t="str">
        <f t="shared" si="189"/>
        <v>Bowery1B</v>
      </c>
      <c r="E869" s="375" t="s">
        <v>1667</v>
      </c>
      <c r="F869" s="375" t="s">
        <v>1662</v>
      </c>
      <c r="G869" s="375" t="s">
        <v>1663</v>
      </c>
      <c r="H869" s="375" t="s">
        <v>1664</v>
      </c>
      <c r="I869" s="63" t="s">
        <v>1665</v>
      </c>
      <c r="J869" s="47"/>
      <c r="K869" s="46" t="s">
        <v>7938</v>
      </c>
      <c r="L869" s="47" t="s">
        <v>1666</v>
      </c>
      <c r="M869" s="47">
        <f>M$7</f>
        <v>1430.0000000000002</v>
      </c>
      <c r="N869" s="47"/>
      <c r="O869" s="47"/>
      <c r="P869" s="47"/>
      <c r="Q869" s="47"/>
      <c r="R869" s="47"/>
      <c r="S869" s="47"/>
      <c r="T869" s="47"/>
      <c r="U869" s="47">
        <f>U$2</f>
        <v>430</v>
      </c>
      <c r="V869" s="47"/>
      <c r="W869" s="47"/>
      <c r="X869" s="47"/>
      <c r="Y869" s="47"/>
      <c r="Z869" s="47">
        <f t="shared" si="191"/>
        <v>4620</v>
      </c>
      <c r="AA869" s="47"/>
      <c r="AB869" s="47"/>
      <c r="AC869" s="47"/>
      <c r="AD869" s="47"/>
      <c r="AE869" s="47"/>
      <c r="AF869" s="47">
        <f t="shared" si="187"/>
        <v>1485</v>
      </c>
      <c r="AG869" s="47"/>
      <c r="AH869" s="47" t="str">
        <f>IFERROR(_xlfn.XLOOKUP(Table6[[#This Row],[Suburb]],Table5[Travel Surcharge],Table5[$$]),"")</f>
        <v/>
      </c>
      <c r="AI869" s="47"/>
      <c r="AJ869" s="47"/>
      <c r="AL869" t="str">
        <v xml:space="preserve">Winton </v>
      </c>
    </row>
    <row r="870" spans="1:38">
      <c r="A870" s="374" t="s">
        <v>1669</v>
      </c>
      <c r="B870" s="374">
        <v>5</v>
      </c>
      <c r="C870" s="374" t="s">
        <v>287</v>
      </c>
      <c r="D870" s="375" t="str">
        <f t="shared" si="189"/>
        <v>Brandy Creek5</v>
      </c>
      <c r="E870" s="375" t="s">
        <v>1670</v>
      </c>
      <c r="F870" s="375"/>
      <c r="G870" s="375"/>
      <c r="H870" s="375"/>
      <c r="I870" s="63"/>
      <c r="J870" s="47"/>
      <c r="K870" s="46" t="s">
        <v>10735</v>
      </c>
      <c r="L870" s="47" t="s">
        <v>1671</v>
      </c>
      <c r="M870" s="47"/>
      <c r="N870" s="47"/>
      <c r="O870" s="47"/>
      <c r="P870" s="47"/>
      <c r="Q870" s="47"/>
      <c r="R870" s="47">
        <f>R$2</f>
        <v>540</v>
      </c>
      <c r="S870" s="47"/>
      <c r="T870" s="47"/>
      <c r="U870" s="47"/>
      <c r="V870" s="47"/>
      <c r="W870" s="47"/>
      <c r="X870" s="47"/>
      <c r="Y870" s="47"/>
      <c r="Z870" s="47">
        <f t="shared" si="191"/>
        <v>4620</v>
      </c>
      <c r="AA870" s="47"/>
      <c r="AB870" s="47"/>
      <c r="AC870" s="47"/>
      <c r="AD870" s="47"/>
      <c r="AE870" s="47"/>
      <c r="AF870" s="47"/>
      <c r="AG870" s="47"/>
      <c r="AH870" s="47">
        <f>IFERROR(_xlfn.XLOOKUP(Table6[[#This Row],[Suburb]],Table5[Travel Surcharge],Table5[$$]),"")</f>
        <v>7000</v>
      </c>
      <c r="AI870" s="47"/>
      <c r="AJ870" s="47"/>
      <c r="AL870" t="str">
        <v>Wollahra Rise</v>
      </c>
    </row>
    <row r="871" spans="1:38">
      <c r="A871" s="374" t="s">
        <v>1669</v>
      </c>
      <c r="B871" s="374">
        <v>6</v>
      </c>
      <c r="C871" s="374" t="s">
        <v>287</v>
      </c>
      <c r="D871" s="375" t="str">
        <f t="shared" si="189"/>
        <v>Brandy Creek6</v>
      </c>
      <c r="E871" s="375" t="s">
        <v>1672</v>
      </c>
      <c r="F871" s="375"/>
      <c r="G871" s="375"/>
      <c r="H871" s="375"/>
      <c r="I871" s="63"/>
      <c r="J871" s="47"/>
      <c r="K871" s="46" t="s">
        <v>10735</v>
      </c>
      <c r="L871" s="47" t="s">
        <v>1671</v>
      </c>
      <c r="M871" s="47"/>
      <c r="N871" s="47"/>
      <c r="O871" s="47"/>
      <c r="P871" s="47"/>
      <c r="Q871" s="47"/>
      <c r="R871" s="47">
        <f>R$2</f>
        <v>540</v>
      </c>
      <c r="S871" s="47"/>
      <c r="T871" s="47"/>
      <c r="U871" s="47"/>
      <c r="V871" s="47"/>
      <c r="W871" s="47"/>
      <c r="X871" s="47"/>
      <c r="Y871" s="47"/>
      <c r="Z871" s="47">
        <f t="shared" si="191"/>
        <v>4620</v>
      </c>
      <c r="AA871" s="47"/>
      <c r="AB871" s="47"/>
      <c r="AC871" s="47"/>
      <c r="AD871" s="47"/>
      <c r="AE871" s="47"/>
      <c r="AF871" s="47"/>
      <c r="AG871" s="47"/>
      <c r="AH871" s="47">
        <f>IFERROR(_xlfn.XLOOKUP(Table6[[#This Row],[Suburb]],Table5[Travel Surcharge],Table5[$$]),"")</f>
        <v>7000</v>
      </c>
      <c r="AI871" s="47"/>
      <c r="AJ871" s="47"/>
      <c r="AL871" t="str">
        <v>Wollert Rise</v>
      </c>
    </row>
    <row r="872" spans="1:38">
      <c r="A872" s="374" t="s">
        <v>1673</v>
      </c>
      <c r="B872" s="374">
        <v>1</v>
      </c>
      <c r="C872" s="374" t="s">
        <v>1024</v>
      </c>
      <c r="D872" s="375" t="str">
        <f t="shared" si="189"/>
        <v>Brendan1</v>
      </c>
      <c r="E872" s="375" t="s">
        <v>1674</v>
      </c>
      <c r="F872" s="375"/>
      <c r="G872" s="375" t="s">
        <v>1675</v>
      </c>
      <c r="H872" s="375" t="s">
        <v>1676</v>
      </c>
      <c r="I872" s="63" t="s">
        <v>1677</v>
      </c>
      <c r="J872" s="47">
        <f>J$7</f>
        <v>3740</v>
      </c>
      <c r="K872" s="46" t="s">
        <v>10735</v>
      </c>
      <c r="L872" s="47" t="s">
        <v>504</v>
      </c>
      <c r="M872" s="47" t="s">
        <v>808</v>
      </c>
      <c r="N872" s="47" t="s">
        <v>1678</v>
      </c>
      <c r="O872" s="47"/>
      <c r="P872" s="47"/>
      <c r="Q872" s="47"/>
      <c r="R872" s="47">
        <f>R$2</f>
        <v>540</v>
      </c>
      <c r="S872" s="47"/>
      <c r="T872" s="47"/>
      <c r="U872" s="47"/>
      <c r="V872" s="47"/>
      <c r="W872" s="47"/>
      <c r="X872" s="47"/>
      <c r="Y872" s="47"/>
      <c r="Z872" s="47">
        <f t="shared" si="191"/>
        <v>4620</v>
      </c>
      <c r="AA872" s="47"/>
      <c r="AB872" s="47">
        <f>AB$7</f>
        <v>2800</v>
      </c>
      <c r="AC872" s="47"/>
      <c r="AD872" s="47" t="s">
        <v>1</v>
      </c>
      <c r="AE872" s="47"/>
      <c r="AF872" s="47">
        <f t="shared" ref="AF872:AF886" si="192">AF$7</f>
        <v>1485</v>
      </c>
      <c r="AG872" s="47"/>
      <c r="AH872" s="47" t="str">
        <f>IFERROR(_xlfn.XLOOKUP(Table6[[#This Row],[Suburb]],Table5[Travel Surcharge],Table5[$$]),"")</f>
        <v/>
      </c>
      <c r="AI872" s="47"/>
      <c r="AJ872" s="47"/>
      <c r="AL872" t="str">
        <v>Wonderland</v>
      </c>
    </row>
    <row r="873" spans="1:38">
      <c r="A873" s="374" t="s">
        <v>1673</v>
      </c>
      <c r="B873" s="374">
        <v>2</v>
      </c>
      <c r="C873" s="374" t="s">
        <v>1024</v>
      </c>
      <c r="D873" s="375" t="str">
        <f t="shared" si="189"/>
        <v>Brendan2</v>
      </c>
      <c r="E873" s="375" t="s">
        <v>1679</v>
      </c>
      <c r="F873" s="375"/>
      <c r="G873" s="375" t="s">
        <v>1675</v>
      </c>
      <c r="H873" s="375" t="s">
        <v>1676</v>
      </c>
      <c r="I873" s="63" t="s">
        <v>1677</v>
      </c>
      <c r="J873" s="47">
        <f>J$7</f>
        <v>3740</v>
      </c>
      <c r="K873" s="46" t="s">
        <v>10735</v>
      </c>
      <c r="L873" s="47" t="s">
        <v>504</v>
      </c>
      <c r="M873" s="47" t="s">
        <v>808</v>
      </c>
      <c r="N873" s="47" t="s">
        <v>1678</v>
      </c>
      <c r="O873" s="47"/>
      <c r="P873" s="47"/>
      <c r="Q873" s="47"/>
      <c r="R873" s="47">
        <f>R$2</f>
        <v>540</v>
      </c>
      <c r="S873" s="47"/>
      <c r="T873" s="47"/>
      <c r="U873" s="47"/>
      <c r="V873" s="47"/>
      <c r="W873" s="47"/>
      <c r="X873" s="47"/>
      <c r="Y873" s="47"/>
      <c r="Z873" s="47">
        <f t="shared" si="191"/>
        <v>4620</v>
      </c>
      <c r="AA873" s="47"/>
      <c r="AB873" s="47">
        <f>AB$7</f>
        <v>2800</v>
      </c>
      <c r="AC873" s="47"/>
      <c r="AD873" s="47" t="s">
        <v>1</v>
      </c>
      <c r="AE873" s="47"/>
      <c r="AF873" s="47">
        <f t="shared" si="192"/>
        <v>1485</v>
      </c>
      <c r="AG873" s="47"/>
      <c r="AH873" s="47" t="str">
        <f>IFERROR(_xlfn.XLOOKUP(Table6[[#This Row],[Suburb]],Table5[Travel Surcharge],Table5[$$]),"")</f>
        <v/>
      </c>
      <c r="AI873" s="47"/>
      <c r="AJ873" s="47"/>
      <c r="AL873" t="str">
        <v>Wonga Park Estate</v>
      </c>
    </row>
    <row r="874" spans="1:38">
      <c r="A874" s="374" t="s">
        <v>1680</v>
      </c>
      <c r="B874" s="374">
        <v>1</v>
      </c>
      <c r="C874" s="374" t="s">
        <v>468</v>
      </c>
      <c r="D874" s="375" t="str">
        <f t="shared" si="189"/>
        <v>Bridgefield Estate1</v>
      </c>
      <c r="E874" s="375" t="s">
        <v>1681</v>
      </c>
      <c r="F874" s="375" t="s">
        <v>1428</v>
      </c>
      <c r="G874" s="375" t="s">
        <v>1682</v>
      </c>
      <c r="H874" s="375" t="s">
        <v>1683</v>
      </c>
      <c r="I874" s="63" t="s">
        <v>1684</v>
      </c>
      <c r="J874" s="47"/>
      <c r="K874" s="46" t="s">
        <v>10735</v>
      </c>
      <c r="L874" s="47"/>
      <c r="M874" s="47">
        <f t="shared" ref="M874:M886" si="193">M$7</f>
        <v>1430.0000000000002</v>
      </c>
      <c r="N874" s="47"/>
      <c r="O874" s="47" t="s">
        <v>7467</v>
      </c>
      <c r="P874" s="47" t="s">
        <v>1685</v>
      </c>
      <c r="Q874" s="47" t="s">
        <v>1686</v>
      </c>
      <c r="R874" s="47"/>
      <c r="S874" s="47"/>
      <c r="T874" s="47"/>
      <c r="U874" s="47">
        <f t="shared" ref="U874:U886" si="194">U$2</f>
        <v>430</v>
      </c>
      <c r="V874" s="47"/>
      <c r="W874" s="47"/>
      <c r="X874" s="47"/>
      <c r="Y874" s="47"/>
      <c r="Z874" s="47">
        <f t="shared" si="191"/>
        <v>4620</v>
      </c>
      <c r="AA874" s="47">
        <f t="shared" ref="AA874:AA886" si="195">AA$7</f>
        <v>1400</v>
      </c>
      <c r="AB874" s="47"/>
      <c r="AC874" s="47"/>
      <c r="AD874" s="47"/>
      <c r="AE874" s="47"/>
      <c r="AF874" s="47">
        <f t="shared" si="192"/>
        <v>1485</v>
      </c>
      <c r="AG874" s="47"/>
      <c r="AH874" s="47" t="str">
        <f>IFERROR(_xlfn.XLOOKUP(Table6[[#This Row],[Suburb]],Table5[Travel Surcharge],Table5[$$]),"")</f>
        <v/>
      </c>
      <c r="AI874" s="47"/>
      <c r="AJ874" s="47"/>
      <c r="AL874" t="str">
        <v>Woodland Park</v>
      </c>
    </row>
    <row r="875" spans="1:38">
      <c r="A875" s="374" t="s">
        <v>1680</v>
      </c>
      <c r="B875" s="374">
        <v>2</v>
      </c>
      <c r="C875" s="374" t="s">
        <v>468</v>
      </c>
      <c r="D875" s="375" t="str">
        <f t="shared" si="189"/>
        <v>Bridgefield Estate2</v>
      </c>
      <c r="E875" s="375" t="s">
        <v>1687</v>
      </c>
      <c r="F875" s="375" t="s">
        <v>1428</v>
      </c>
      <c r="G875" s="375" t="s">
        <v>1682</v>
      </c>
      <c r="H875" s="375" t="s">
        <v>1683</v>
      </c>
      <c r="I875" s="63" t="s">
        <v>1684</v>
      </c>
      <c r="J875" s="47"/>
      <c r="K875" s="46" t="s">
        <v>10735</v>
      </c>
      <c r="L875" s="47"/>
      <c r="M875" s="47">
        <f t="shared" si="193"/>
        <v>1430.0000000000002</v>
      </c>
      <c r="N875" s="47"/>
      <c r="O875" s="47" t="s">
        <v>7467</v>
      </c>
      <c r="P875" s="47" t="s">
        <v>1685</v>
      </c>
      <c r="Q875" s="47" t="s">
        <v>1686</v>
      </c>
      <c r="R875" s="47"/>
      <c r="S875" s="47"/>
      <c r="T875" s="47"/>
      <c r="U875" s="47">
        <f t="shared" si="194"/>
        <v>430</v>
      </c>
      <c r="V875" s="47"/>
      <c r="W875" s="47"/>
      <c r="X875" s="47"/>
      <c r="Y875" s="47"/>
      <c r="Z875" s="47">
        <f t="shared" si="191"/>
        <v>4620</v>
      </c>
      <c r="AA875" s="47">
        <f t="shared" si="195"/>
        <v>1400</v>
      </c>
      <c r="AB875" s="47"/>
      <c r="AC875" s="47"/>
      <c r="AD875" s="47"/>
      <c r="AE875" s="47"/>
      <c r="AF875" s="47">
        <f t="shared" si="192"/>
        <v>1485</v>
      </c>
      <c r="AG875" s="47"/>
      <c r="AH875" s="47" t="str">
        <f>IFERROR(_xlfn.XLOOKUP(Table6[[#This Row],[Suburb]],Table5[Travel Surcharge],Table5[$$]),"")</f>
        <v/>
      </c>
      <c r="AI875" s="47"/>
      <c r="AJ875" s="47"/>
      <c r="AL875" t="str">
        <v>Woodlands Estate</v>
      </c>
    </row>
    <row r="876" spans="1:38">
      <c r="A876" s="374" t="s">
        <v>1680</v>
      </c>
      <c r="B876" s="374">
        <v>3</v>
      </c>
      <c r="C876" s="374" t="s">
        <v>468</v>
      </c>
      <c r="D876" s="375" t="str">
        <f t="shared" si="189"/>
        <v>Bridgefield Estate3</v>
      </c>
      <c r="E876" s="375" t="s">
        <v>1688</v>
      </c>
      <c r="F876" s="375" t="s">
        <v>1428</v>
      </c>
      <c r="G876" s="375" t="s">
        <v>1682</v>
      </c>
      <c r="H876" s="375" t="s">
        <v>1683</v>
      </c>
      <c r="I876" s="63" t="s">
        <v>1684</v>
      </c>
      <c r="J876" s="47"/>
      <c r="K876" s="46" t="s">
        <v>10735</v>
      </c>
      <c r="L876" s="47"/>
      <c r="M876" s="47">
        <f t="shared" si="193"/>
        <v>1430.0000000000002</v>
      </c>
      <c r="N876" s="47"/>
      <c r="O876" s="47" t="s">
        <v>7467</v>
      </c>
      <c r="P876" s="47" t="s">
        <v>1685</v>
      </c>
      <c r="Q876" s="47" t="s">
        <v>1686</v>
      </c>
      <c r="R876" s="47"/>
      <c r="S876" s="47"/>
      <c r="T876" s="47"/>
      <c r="U876" s="47">
        <f t="shared" si="194"/>
        <v>430</v>
      </c>
      <c r="V876" s="47"/>
      <c r="W876" s="47"/>
      <c r="X876" s="47"/>
      <c r="Y876" s="47"/>
      <c r="Z876" s="47">
        <f t="shared" si="191"/>
        <v>4620</v>
      </c>
      <c r="AA876" s="47">
        <f t="shared" si="195"/>
        <v>1400</v>
      </c>
      <c r="AB876" s="47"/>
      <c r="AC876" s="47"/>
      <c r="AD876" s="47"/>
      <c r="AE876" s="47"/>
      <c r="AF876" s="47">
        <f t="shared" si="192"/>
        <v>1485</v>
      </c>
      <c r="AG876" s="47"/>
      <c r="AH876" s="47" t="str">
        <f>IFERROR(_xlfn.XLOOKUP(Table6[[#This Row],[Suburb]],Table5[Travel Surcharge],Table5[$$]),"")</f>
        <v/>
      </c>
      <c r="AI876" s="47"/>
      <c r="AJ876" s="47"/>
      <c r="AL876" t="str">
        <v>Woodlea Estate</v>
      </c>
    </row>
    <row r="877" spans="1:38">
      <c r="A877" s="374" t="s">
        <v>1680</v>
      </c>
      <c r="B877" s="374">
        <v>4</v>
      </c>
      <c r="C877" s="374" t="s">
        <v>468</v>
      </c>
      <c r="D877" s="375" t="str">
        <f t="shared" si="189"/>
        <v>Bridgefield Estate4</v>
      </c>
      <c r="E877" s="375" t="s">
        <v>1689</v>
      </c>
      <c r="F877" s="375" t="s">
        <v>1428</v>
      </c>
      <c r="G877" s="375" t="s">
        <v>1682</v>
      </c>
      <c r="H877" s="375" t="s">
        <v>1683</v>
      </c>
      <c r="I877" s="63" t="s">
        <v>1684</v>
      </c>
      <c r="J877" s="47"/>
      <c r="K877" s="46" t="s">
        <v>10735</v>
      </c>
      <c r="L877" s="47"/>
      <c r="M877" s="47">
        <f t="shared" si="193"/>
        <v>1430.0000000000002</v>
      </c>
      <c r="N877" s="47"/>
      <c r="O877" s="47" t="s">
        <v>7467</v>
      </c>
      <c r="P877" s="47" t="s">
        <v>1685</v>
      </c>
      <c r="Q877" s="47" t="s">
        <v>1686</v>
      </c>
      <c r="R877" s="47"/>
      <c r="S877" s="47"/>
      <c r="T877" s="47"/>
      <c r="U877" s="47">
        <f t="shared" si="194"/>
        <v>430</v>
      </c>
      <c r="V877" s="47"/>
      <c r="W877" s="47"/>
      <c r="X877" s="47"/>
      <c r="Y877" s="47"/>
      <c r="Z877" s="47">
        <f t="shared" si="191"/>
        <v>4620</v>
      </c>
      <c r="AA877" s="47">
        <f t="shared" si="195"/>
        <v>1400</v>
      </c>
      <c r="AB877" s="47"/>
      <c r="AC877" s="47"/>
      <c r="AD877" s="47"/>
      <c r="AE877" s="47"/>
      <c r="AF877" s="47">
        <f t="shared" si="192"/>
        <v>1485</v>
      </c>
      <c r="AG877" s="47"/>
      <c r="AH877" s="47" t="str">
        <f>IFERROR(_xlfn.XLOOKUP(Table6[[#This Row],[Suburb]],Table5[Travel Surcharge],Table5[$$]),"")</f>
        <v/>
      </c>
      <c r="AI877" s="47"/>
      <c r="AJ877" s="47"/>
      <c r="AL877" t="str">
        <v>Woodsong</v>
      </c>
    </row>
    <row r="878" spans="1:38">
      <c r="A878" s="374" t="s">
        <v>1680</v>
      </c>
      <c r="B878" s="374">
        <v>5</v>
      </c>
      <c r="C878" s="374" t="s">
        <v>468</v>
      </c>
      <c r="D878" s="375" t="str">
        <f t="shared" si="189"/>
        <v>Bridgefield Estate5</v>
      </c>
      <c r="E878" s="375" t="s">
        <v>1690</v>
      </c>
      <c r="F878" s="375" t="s">
        <v>1428</v>
      </c>
      <c r="G878" s="375" t="s">
        <v>1682</v>
      </c>
      <c r="H878" s="375" t="s">
        <v>1683</v>
      </c>
      <c r="I878" s="63" t="s">
        <v>1684</v>
      </c>
      <c r="J878" s="47"/>
      <c r="K878" s="46" t="s">
        <v>10735</v>
      </c>
      <c r="L878" s="47"/>
      <c r="M878" s="47">
        <f t="shared" si="193"/>
        <v>1430.0000000000002</v>
      </c>
      <c r="N878" s="47"/>
      <c r="O878" s="47" t="s">
        <v>7467</v>
      </c>
      <c r="P878" s="47" t="s">
        <v>1685</v>
      </c>
      <c r="Q878" s="47" t="s">
        <v>1686</v>
      </c>
      <c r="R878" s="47"/>
      <c r="S878" s="47"/>
      <c r="T878" s="47"/>
      <c r="U878" s="47">
        <f t="shared" si="194"/>
        <v>430</v>
      </c>
      <c r="V878" s="47"/>
      <c r="W878" s="47"/>
      <c r="X878" s="47"/>
      <c r="Y878" s="47"/>
      <c r="Z878" s="47">
        <f t="shared" si="191"/>
        <v>4620</v>
      </c>
      <c r="AA878" s="47">
        <f t="shared" si="195"/>
        <v>1400</v>
      </c>
      <c r="AB878" s="47"/>
      <c r="AC878" s="47"/>
      <c r="AD878" s="47"/>
      <c r="AE878" s="47"/>
      <c r="AF878" s="47">
        <f t="shared" si="192"/>
        <v>1485</v>
      </c>
      <c r="AG878" s="47"/>
      <c r="AH878" s="47" t="str">
        <f>IFERROR(_xlfn.XLOOKUP(Table6[[#This Row],[Suburb]],Table5[Travel Surcharge],Table5[$$]),"")</f>
        <v/>
      </c>
      <c r="AI878" s="47"/>
      <c r="AJ878" s="47"/>
      <c r="AL878" t="str">
        <v>Worthington Estate</v>
      </c>
    </row>
    <row r="879" spans="1:38">
      <c r="A879" s="374" t="s">
        <v>1680</v>
      </c>
      <c r="B879" s="374">
        <v>6</v>
      </c>
      <c r="C879" s="374" t="s">
        <v>468</v>
      </c>
      <c r="D879" s="375" t="str">
        <f t="shared" si="189"/>
        <v>Bridgefield Estate6</v>
      </c>
      <c r="E879" s="375" t="s">
        <v>1691</v>
      </c>
      <c r="F879" s="375" t="s">
        <v>1428</v>
      </c>
      <c r="G879" s="375" t="s">
        <v>1682</v>
      </c>
      <c r="H879" s="375" t="s">
        <v>1683</v>
      </c>
      <c r="I879" s="63" t="s">
        <v>1684</v>
      </c>
      <c r="J879" s="47"/>
      <c r="K879" s="46" t="s">
        <v>10735</v>
      </c>
      <c r="L879" s="47"/>
      <c r="M879" s="47">
        <f t="shared" si="193"/>
        <v>1430.0000000000002</v>
      </c>
      <c r="N879" s="47"/>
      <c r="O879" s="47" t="s">
        <v>7467</v>
      </c>
      <c r="P879" s="47" t="s">
        <v>1685</v>
      </c>
      <c r="Q879" s="47" t="s">
        <v>1686</v>
      </c>
      <c r="R879" s="47"/>
      <c r="S879" s="47"/>
      <c r="T879" s="47"/>
      <c r="U879" s="47">
        <f t="shared" si="194"/>
        <v>430</v>
      </c>
      <c r="V879" s="47"/>
      <c r="W879" s="47"/>
      <c r="X879" s="47"/>
      <c r="Y879" s="47"/>
      <c r="Z879" s="47">
        <f t="shared" si="191"/>
        <v>4620</v>
      </c>
      <c r="AA879" s="47">
        <f t="shared" si="195"/>
        <v>1400</v>
      </c>
      <c r="AB879" s="47"/>
      <c r="AC879" s="47"/>
      <c r="AD879" s="47"/>
      <c r="AE879" s="47"/>
      <c r="AF879" s="47">
        <f t="shared" si="192"/>
        <v>1485</v>
      </c>
      <c r="AG879" s="47"/>
      <c r="AH879" s="47" t="str">
        <f>IFERROR(_xlfn.XLOOKUP(Table6[[#This Row],[Suburb]],Table5[Travel Surcharge],Table5[$$]),"")</f>
        <v/>
      </c>
      <c r="AI879" s="47"/>
      <c r="AJ879" s="47"/>
      <c r="AL879" t="str">
        <v>Wyndham Gardens</v>
      </c>
    </row>
    <row r="880" spans="1:38">
      <c r="A880" s="374" t="s">
        <v>1680</v>
      </c>
      <c r="B880" s="374">
        <v>7</v>
      </c>
      <c r="C880" s="374" t="s">
        <v>468</v>
      </c>
      <c r="D880" s="375" t="str">
        <f t="shared" si="189"/>
        <v>Bridgefield Estate7</v>
      </c>
      <c r="E880" s="375" t="s">
        <v>1692</v>
      </c>
      <c r="F880" s="375" t="s">
        <v>1428</v>
      </c>
      <c r="G880" s="375" t="s">
        <v>1682</v>
      </c>
      <c r="H880" s="375" t="s">
        <v>1683</v>
      </c>
      <c r="I880" s="63" t="s">
        <v>1684</v>
      </c>
      <c r="J880" s="47"/>
      <c r="K880" s="46" t="s">
        <v>10735</v>
      </c>
      <c r="L880" s="47"/>
      <c r="M880" s="47">
        <f t="shared" si="193"/>
        <v>1430.0000000000002</v>
      </c>
      <c r="N880" s="47"/>
      <c r="O880" s="47" t="s">
        <v>7467</v>
      </c>
      <c r="P880" s="47" t="s">
        <v>1685</v>
      </c>
      <c r="Q880" s="47" t="s">
        <v>1686</v>
      </c>
      <c r="R880" s="47"/>
      <c r="S880" s="47"/>
      <c r="T880" s="47"/>
      <c r="U880" s="47">
        <f t="shared" si="194"/>
        <v>430</v>
      </c>
      <c r="V880" s="47"/>
      <c r="W880" s="47"/>
      <c r="X880" s="47"/>
      <c r="Y880" s="47"/>
      <c r="Z880" s="47">
        <f t="shared" si="191"/>
        <v>4620</v>
      </c>
      <c r="AA880" s="47">
        <f t="shared" si="195"/>
        <v>1400</v>
      </c>
      <c r="AB880" s="47"/>
      <c r="AC880" s="47"/>
      <c r="AD880" s="47"/>
      <c r="AE880" s="47"/>
      <c r="AF880" s="47">
        <f t="shared" si="192"/>
        <v>1485</v>
      </c>
      <c r="AG880" s="47"/>
      <c r="AH880" s="47" t="str">
        <f>IFERROR(_xlfn.XLOOKUP(Table6[[#This Row],[Suburb]],Table5[Travel Surcharge],Table5[$$]),"")</f>
        <v/>
      </c>
      <c r="AI880" s="47"/>
      <c r="AJ880" s="47"/>
      <c r="AL880" t="str">
        <v>Wyndham Harbour Estate</v>
      </c>
    </row>
    <row r="881" spans="1:38">
      <c r="A881" s="374" t="s">
        <v>1680</v>
      </c>
      <c r="B881" s="374">
        <v>8</v>
      </c>
      <c r="C881" s="374" t="s">
        <v>468</v>
      </c>
      <c r="D881" s="375" t="str">
        <f t="shared" si="189"/>
        <v>Bridgefield Estate8</v>
      </c>
      <c r="E881" s="375" t="s">
        <v>1693</v>
      </c>
      <c r="F881" s="375" t="s">
        <v>1428</v>
      </c>
      <c r="G881" s="375" t="s">
        <v>1682</v>
      </c>
      <c r="H881" s="375" t="s">
        <v>1683</v>
      </c>
      <c r="I881" s="63" t="s">
        <v>1684</v>
      </c>
      <c r="J881" s="47"/>
      <c r="K881" s="46" t="s">
        <v>10735</v>
      </c>
      <c r="L881" s="47"/>
      <c r="M881" s="47">
        <f t="shared" si="193"/>
        <v>1430.0000000000002</v>
      </c>
      <c r="N881" s="47"/>
      <c r="O881" s="47" t="s">
        <v>7467</v>
      </c>
      <c r="P881" s="47" t="s">
        <v>1685</v>
      </c>
      <c r="Q881" s="47" t="s">
        <v>1686</v>
      </c>
      <c r="R881" s="47"/>
      <c r="S881" s="47"/>
      <c r="T881" s="47"/>
      <c r="U881" s="47">
        <f t="shared" si="194"/>
        <v>430</v>
      </c>
      <c r="V881" s="47"/>
      <c r="W881" s="47"/>
      <c r="X881" s="47"/>
      <c r="Y881" s="47"/>
      <c r="Z881" s="47">
        <f t="shared" si="191"/>
        <v>4620</v>
      </c>
      <c r="AA881" s="47">
        <f t="shared" si="195"/>
        <v>1400</v>
      </c>
      <c r="AB881" s="47"/>
      <c r="AC881" s="47"/>
      <c r="AD881" s="47"/>
      <c r="AE881" s="47"/>
      <c r="AF881" s="47">
        <f t="shared" si="192"/>
        <v>1485</v>
      </c>
      <c r="AG881" s="47"/>
      <c r="AH881" s="47" t="str">
        <f>IFERROR(_xlfn.XLOOKUP(Table6[[#This Row],[Suburb]],Table5[Travel Surcharge],Table5[$$]),"")</f>
        <v/>
      </c>
      <c r="AI881" s="47"/>
      <c r="AJ881" s="47"/>
      <c r="AL881" t="str">
        <v>Wyndham Vale</v>
      </c>
    </row>
    <row r="882" spans="1:38">
      <c r="A882" s="374" t="s">
        <v>1680</v>
      </c>
      <c r="B882" s="374">
        <v>9</v>
      </c>
      <c r="C882" s="374" t="s">
        <v>468</v>
      </c>
      <c r="D882" s="375" t="str">
        <f t="shared" si="189"/>
        <v>Bridgefield Estate9</v>
      </c>
      <c r="E882" s="375" t="s">
        <v>1694</v>
      </c>
      <c r="F882" s="375" t="s">
        <v>1428</v>
      </c>
      <c r="G882" s="375" t="s">
        <v>1682</v>
      </c>
      <c r="H882" s="375" t="s">
        <v>1683</v>
      </c>
      <c r="I882" s="63" t="s">
        <v>1684</v>
      </c>
      <c r="J882" s="47"/>
      <c r="K882" s="46" t="s">
        <v>10735</v>
      </c>
      <c r="L882" s="47"/>
      <c r="M882" s="47">
        <f t="shared" si="193"/>
        <v>1430.0000000000002</v>
      </c>
      <c r="N882" s="47"/>
      <c r="O882" s="47" t="s">
        <v>7467</v>
      </c>
      <c r="P882" s="47" t="s">
        <v>1685</v>
      </c>
      <c r="Q882" s="47" t="s">
        <v>1686</v>
      </c>
      <c r="R882" s="47"/>
      <c r="S882" s="47"/>
      <c r="T882" s="47"/>
      <c r="U882" s="47">
        <f t="shared" si="194"/>
        <v>430</v>
      </c>
      <c r="V882" s="47"/>
      <c r="W882" s="47"/>
      <c r="X882" s="47"/>
      <c r="Y882" s="47"/>
      <c r="Z882" s="47">
        <f t="shared" si="191"/>
        <v>4620</v>
      </c>
      <c r="AA882" s="47">
        <f t="shared" si="195"/>
        <v>1400</v>
      </c>
      <c r="AB882" s="47"/>
      <c r="AC882" s="47"/>
      <c r="AD882" s="47"/>
      <c r="AE882" s="47"/>
      <c r="AF882" s="47">
        <f t="shared" si="192"/>
        <v>1485</v>
      </c>
      <c r="AG882" s="47"/>
      <c r="AH882" s="47" t="str">
        <f>IFERROR(_xlfn.XLOOKUP(Table6[[#This Row],[Suburb]],Table5[Travel Surcharge],Table5[$$]),"")</f>
        <v/>
      </c>
      <c r="AI882" s="47"/>
      <c r="AJ882" s="47"/>
      <c r="AL882" t="str">
        <v xml:space="preserve">Wyndham Vale </v>
      </c>
    </row>
    <row r="883" spans="1:38">
      <c r="A883" s="374" t="s">
        <v>1680</v>
      </c>
      <c r="B883" s="374">
        <v>10</v>
      </c>
      <c r="C883" s="374" t="s">
        <v>468</v>
      </c>
      <c r="D883" s="375" t="str">
        <f t="shared" si="189"/>
        <v>Bridgefield Estate10</v>
      </c>
      <c r="E883" s="375" t="s">
        <v>1695</v>
      </c>
      <c r="F883" s="375" t="s">
        <v>1428</v>
      </c>
      <c r="G883" s="375" t="s">
        <v>1682</v>
      </c>
      <c r="H883" s="375" t="s">
        <v>1683</v>
      </c>
      <c r="I883" s="63" t="s">
        <v>1684</v>
      </c>
      <c r="J883" s="47"/>
      <c r="K883" s="46" t="s">
        <v>10735</v>
      </c>
      <c r="L883" s="47"/>
      <c r="M883" s="47">
        <f t="shared" si="193"/>
        <v>1430.0000000000002</v>
      </c>
      <c r="N883" s="47"/>
      <c r="O883" s="47" t="s">
        <v>7467</v>
      </c>
      <c r="P883" s="47" t="s">
        <v>1685</v>
      </c>
      <c r="Q883" s="47" t="s">
        <v>1686</v>
      </c>
      <c r="R883" s="47"/>
      <c r="S883" s="47"/>
      <c r="T883" s="47"/>
      <c r="U883" s="47">
        <f t="shared" si="194"/>
        <v>430</v>
      </c>
      <c r="V883" s="47"/>
      <c r="W883" s="47"/>
      <c r="X883" s="47"/>
      <c r="Y883" s="47"/>
      <c r="Z883" s="47">
        <f t="shared" si="191"/>
        <v>4620</v>
      </c>
      <c r="AA883" s="47">
        <f t="shared" si="195"/>
        <v>1400</v>
      </c>
      <c r="AB883" s="47"/>
      <c r="AC883" s="47"/>
      <c r="AD883" s="47"/>
      <c r="AE883" s="47"/>
      <c r="AF883" s="47">
        <f t="shared" si="192"/>
        <v>1485</v>
      </c>
      <c r="AG883" s="47"/>
      <c r="AH883" s="47" t="str">
        <f>IFERROR(_xlfn.XLOOKUP(Table6[[#This Row],[Suburb]],Table5[Travel Surcharge],Table5[$$]),"")</f>
        <v/>
      </c>
      <c r="AI883" s="47"/>
      <c r="AJ883" s="47"/>
      <c r="AL883" t="str">
        <v>Wyndham Vale Central</v>
      </c>
    </row>
    <row r="884" spans="1:38">
      <c r="A884" s="374" t="s">
        <v>1680</v>
      </c>
      <c r="B884" s="374">
        <v>11</v>
      </c>
      <c r="C884" s="374" t="s">
        <v>468</v>
      </c>
      <c r="D884" s="375" t="str">
        <f t="shared" si="189"/>
        <v>Bridgefield Estate11</v>
      </c>
      <c r="E884" s="375" t="s">
        <v>1696</v>
      </c>
      <c r="F884" s="375" t="s">
        <v>1428</v>
      </c>
      <c r="G884" s="375" t="s">
        <v>1682</v>
      </c>
      <c r="H884" s="375" t="s">
        <v>1683</v>
      </c>
      <c r="I884" s="63" t="s">
        <v>1684</v>
      </c>
      <c r="J884" s="47"/>
      <c r="K884" s="46" t="s">
        <v>10735</v>
      </c>
      <c r="L884" s="47"/>
      <c r="M884" s="47">
        <f t="shared" si="193"/>
        <v>1430.0000000000002</v>
      </c>
      <c r="N884" s="47"/>
      <c r="O884" s="47" t="s">
        <v>7467</v>
      </c>
      <c r="P884" s="47" t="s">
        <v>1685</v>
      </c>
      <c r="Q884" s="47" t="s">
        <v>1686</v>
      </c>
      <c r="R884" s="47"/>
      <c r="S884" s="47"/>
      <c r="T884" s="47"/>
      <c r="U884" s="47">
        <f t="shared" si="194"/>
        <v>430</v>
      </c>
      <c r="V884" s="47"/>
      <c r="W884" s="47"/>
      <c r="X884" s="47"/>
      <c r="Y884" s="47"/>
      <c r="Z884" s="47">
        <f t="shared" si="191"/>
        <v>4620</v>
      </c>
      <c r="AA884" s="47">
        <f t="shared" si="195"/>
        <v>1400</v>
      </c>
      <c r="AB884" s="47"/>
      <c r="AC884" s="47"/>
      <c r="AD884" s="47"/>
      <c r="AE884" s="47"/>
      <c r="AF884" s="47">
        <f t="shared" si="192"/>
        <v>1485</v>
      </c>
      <c r="AG884" s="47"/>
      <c r="AH884" s="47" t="str">
        <f>IFERROR(_xlfn.XLOOKUP(Table6[[#This Row],[Suburb]],Table5[Travel Surcharge],Table5[$$]),"")</f>
        <v/>
      </c>
      <c r="AI884" s="47"/>
      <c r="AJ884" s="47"/>
      <c r="AL884" t="str">
        <v>Wynnbrook Estate</v>
      </c>
    </row>
    <row r="885" spans="1:38">
      <c r="A885" s="374" t="s">
        <v>1680</v>
      </c>
      <c r="B885" s="374">
        <v>12</v>
      </c>
      <c r="C885" s="374" t="s">
        <v>468</v>
      </c>
      <c r="D885" s="375" t="str">
        <f t="shared" si="189"/>
        <v>Bridgefield Estate12</v>
      </c>
      <c r="E885" s="375" t="s">
        <v>1697</v>
      </c>
      <c r="F885" s="375" t="s">
        <v>1428</v>
      </c>
      <c r="G885" s="375" t="s">
        <v>1682</v>
      </c>
      <c r="H885" s="375" t="s">
        <v>1683</v>
      </c>
      <c r="I885" s="63" t="s">
        <v>1684</v>
      </c>
      <c r="J885" s="47"/>
      <c r="K885" s="46" t="s">
        <v>10735</v>
      </c>
      <c r="L885" s="47"/>
      <c r="M885" s="47">
        <f t="shared" si="193"/>
        <v>1430.0000000000002</v>
      </c>
      <c r="N885" s="47"/>
      <c r="O885" s="47" t="s">
        <v>7467</v>
      </c>
      <c r="P885" s="47" t="s">
        <v>1685</v>
      </c>
      <c r="Q885" s="47" t="s">
        <v>1686</v>
      </c>
      <c r="R885" s="47"/>
      <c r="S885" s="47"/>
      <c r="T885" s="47"/>
      <c r="U885" s="47">
        <f t="shared" si="194"/>
        <v>430</v>
      </c>
      <c r="V885" s="47"/>
      <c r="W885" s="47"/>
      <c r="X885" s="47"/>
      <c r="Y885" s="47"/>
      <c r="Z885" s="47">
        <f t="shared" si="191"/>
        <v>4620</v>
      </c>
      <c r="AA885" s="47">
        <f t="shared" si="195"/>
        <v>1400</v>
      </c>
      <c r="AB885" s="47"/>
      <c r="AC885" s="47"/>
      <c r="AD885" s="47"/>
      <c r="AE885" s="47"/>
      <c r="AF885" s="47">
        <f t="shared" si="192"/>
        <v>1485</v>
      </c>
      <c r="AG885" s="47"/>
      <c r="AH885" s="47" t="str">
        <f>IFERROR(_xlfn.XLOOKUP(Table6[[#This Row],[Suburb]],Table5[Travel Surcharge],Table5[$$]),"")</f>
        <v/>
      </c>
      <c r="AI885" s="47"/>
      <c r="AJ885" s="47"/>
      <c r="AL885" t="str">
        <v>Yaringa</v>
      </c>
    </row>
    <row r="886" spans="1:38">
      <c r="A886" s="374" t="s">
        <v>1680</v>
      </c>
      <c r="B886" s="374">
        <v>13</v>
      </c>
      <c r="C886" s="374" t="s">
        <v>468</v>
      </c>
      <c r="D886" s="375" t="str">
        <f t="shared" si="189"/>
        <v>Bridgefield Estate13</v>
      </c>
      <c r="E886" s="375" t="s">
        <v>1698</v>
      </c>
      <c r="F886" s="375" t="s">
        <v>1428</v>
      </c>
      <c r="G886" s="375" t="s">
        <v>1682</v>
      </c>
      <c r="H886" s="375" t="s">
        <v>1683</v>
      </c>
      <c r="I886" s="63" t="s">
        <v>1684</v>
      </c>
      <c r="J886" s="47"/>
      <c r="K886" s="46" t="s">
        <v>10735</v>
      </c>
      <c r="L886" s="47"/>
      <c r="M886" s="47">
        <f t="shared" si="193"/>
        <v>1430.0000000000002</v>
      </c>
      <c r="N886" s="47"/>
      <c r="O886" s="47" t="s">
        <v>7467</v>
      </c>
      <c r="P886" s="47" t="s">
        <v>1685</v>
      </c>
      <c r="Q886" s="47" t="s">
        <v>1686</v>
      </c>
      <c r="R886" s="47"/>
      <c r="S886" s="47"/>
      <c r="T886" s="47"/>
      <c r="U886" s="47">
        <f t="shared" si="194"/>
        <v>430</v>
      </c>
      <c r="V886" s="47"/>
      <c r="W886" s="47"/>
      <c r="X886" s="47"/>
      <c r="Y886" s="47"/>
      <c r="Z886" s="47">
        <f t="shared" si="191"/>
        <v>4620</v>
      </c>
      <c r="AA886" s="47">
        <f t="shared" si="195"/>
        <v>1400</v>
      </c>
      <c r="AB886" s="47"/>
      <c r="AC886" s="47"/>
      <c r="AD886" s="47"/>
      <c r="AE886" s="47"/>
      <c r="AF886" s="47">
        <f t="shared" si="192"/>
        <v>1485</v>
      </c>
      <c r="AG886" s="47"/>
      <c r="AH886" s="47" t="str">
        <f>IFERROR(_xlfn.XLOOKUP(Table6[[#This Row],[Suburb]],Table5[Travel Surcharge],Table5[$$]),"")</f>
        <v/>
      </c>
      <c r="AI886" s="47"/>
      <c r="AJ886" s="47"/>
      <c r="AL886" t="str">
        <v>Yorkdale Estate</v>
      </c>
    </row>
    <row r="887" spans="1:38">
      <c r="A887" s="157" t="s">
        <v>1680</v>
      </c>
      <c r="B887" s="157">
        <v>14</v>
      </c>
      <c r="C887" s="157" t="s">
        <v>468</v>
      </c>
      <c r="D887" s="157" t="str">
        <f t="shared" si="189"/>
        <v>Bridgefield Estate14</v>
      </c>
      <c r="E887" s="157" t="s">
        <v>8200</v>
      </c>
      <c r="F887" s="157" t="s">
        <v>1428</v>
      </c>
      <c r="G887" s="157" t="s">
        <v>1682</v>
      </c>
      <c r="H887" s="157" t="s">
        <v>1683</v>
      </c>
      <c r="I887" s="158" t="s">
        <v>1684</v>
      </c>
      <c r="J887" s="47"/>
      <c r="K887" s="46" t="s">
        <v>10735</v>
      </c>
      <c r="L887" s="47"/>
      <c r="M887" s="47">
        <v>1430.0000000000002</v>
      </c>
      <c r="N887" s="47"/>
      <c r="O887" s="47" t="s">
        <v>7467</v>
      </c>
      <c r="P887" s="47" t="s">
        <v>1685</v>
      </c>
      <c r="Q887" s="47" t="s">
        <v>1686</v>
      </c>
      <c r="R887" s="47"/>
      <c r="S887" s="47"/>
      <c r="T887" s="47"/>
      <c r="U887" s="47">
        <v>540</v>
      </c>
      <c r="V887" s="47"/>
      <c r="W887" s="47"/>
      <c r="X887" s="47"/>
      <c r="Y887" s="47"/>
      <c r="Z887" s="47">
        <v>4620</v>
      </c>
      <c r="AA887" s="47">
        <v>1400</v>
      </c>
      <c r="AB887" s="47"/>
      <c r="AC887" s="47"/>
      <c r="AD887" s="47"/>
      <c r="AE887" s="47"/>
      <c r="AF887" s="47">
        <v>1650.0000000000002</v>
      </c>
      <c r="AG887" s="47"/>
      <c r="AH887" s="47" t="str">
        <f>IFERROR(_xlfn.XLOOKUP(Table6[[#This Row],[Suburb]],Table5[Travel Surcharge],Table5[$$]),"")</f>
        <v/>
      </c>
      <c r="AI887" s="47"/>
      <c r="AJ887" s="47"/>
      <c r="AL887" t="str">
        <v>Zeal Estate</v>
      </c>
    </row>
    <row r="888" spans="1:38">
      <c r="A888" s="157" t="s">
        <v>7896</v>
      </c>
      <c r="B888" s="157">
        <v>1</v>
      </c>
      <c r="C888" s="157" t="s">
        <v>2371</v>
      </c>
      <c r="D888" s="157" t="str">
        <f t="shared" si="189"/>
        <v>Broadstead1</v>
      </c>
      <c r="E888" s="157" t="s">
        <v>7897</v>
      </c>
      <c r="F888" s="157"/>
      <c r="G888" s="157"/>
      <c r="H888" s="157"/>
      <c r="I888" s="158"/>
      <c r="J888" s="47"/>
      <c r="K888" s="46" t="s">
        <v>7938</v>
      </c>
      <c r="L888" s="47" t="s">
        <v>7650</v>
      </c>
      <c r="M888" s="47">
        <f>$M$7</f>
        <v>1430.0000000000002</v>
      </c>
      <c r="N888" s="47" t="s">
        <v>7899</v>
      </c>
      <c r="O888" s="47">
        <f>$O$7</f>
        <v>4950</v>
      </c>
      <c r="P888" s="47" t="s">
        <v>7900</v>
      </c>
      <c r="Q888" s="168" t="s">
        <v>7904</v>
      </c>
      <c r="R888" s="47" t="s">
        <v>7901</v>
      </c>
      <c r="S888" s="47" t="s">
        <v>7902</v>
      </c>
      <c r="T888" s="47" t="s">
        <v>7906</v>
      </c>
      <c r="U888" s="47">
        <f>U$2</f>
        <v>430</v>
      </c>
      <c r="V888" s="47" t="s">
        <v>7903</v>
      </c>
      <c r="W888" s="47"/>
      <c r="X888" s="47">
        <f>$X$7</f>
        <v>3000</v>
      </c>
      <c r="Y888" s="47"/>
      <c r="Z888" s="47">
        <f t="shared" ref="Z888:Z921" si="196">Z$7</f>
        <v>4620</v>
      </c>
      <c r="AA888" s="47">
        <f>$AA$7</f>
        <v>1400</v>
      </c>
      <c r="AB888" s="47"/>
      <c r="AC888" s="47"/>
      <c r="AD888" s="47"/>
      <c r="AE888" s="47" t="s">
        <v>7898</v>
      </c>
      <c r="AF888" s="47">
        <f>$AF$7</f>
        <v>1485</v>
      </c>
      <c r="AG888" s="47"/>
      <c r="AH888" s="47">
        <f>IFERROR(_xlfn.XLOOKUP(Table6[[#This Row],[Suburb]],Table5[Travel Surcharge],Table5[$$]),"")</f>
        <v>4000</v>
      </c>
      <c r="AI888" s="47"/>
      <c r="AJ888" s="47"/>
      <c r="AL888">
        <v>0</v>
      </c>
    </row>
    <row r="889" spans="1:38">
      <c r="A889" s="374" t="s">
        <v>7896</v>
      </c>
      <c r="B889" s="374">
        <v>3</v>
      </c>
      <c r="C889" s="374" t="s">
        <v>2371</v>
      </c>
      <c r="D889" s="375" t="str">
        <f t="shared" si="189"/>
        <v>Broadstead3</v>
      </c>
      <c r="E889" s="375" t="s">
        <v>10975</v>
      </c>
      <c r="F889" s="375"/>
      <c r="G889" s="375"/>
      <c r="H889" s="375"/>
      <c r="I889" s="63"/>
      <c r="J889" s="47"/>
      <c r="K889" s="46" t="s">
        <v>7938</v>
      </c>
      <c r="L889" s="47" t="s">
        <v>7650</v>
      </c>
      <c r="M889" s="47">
        <v>1430.0000000000002</v>
      </c>
      <c r="N889" s="47" t="s">
        <v>7899</v>
      </c>
      <c r="O889" s="47">
        <v>4950</v>
      </c>
      <c r="P889" s="47" t="s">
        <v>7900</v>
      </c>
      <c r="Q889" s="413" t="s">
        <v>7904</v>
      </c>
      <c r="R889" s="47" t="s">
        <v>7901</v>
      </c>
      <c r="S889" s="47" t="s">
        <v>7902</v>
      </c>
      <c r="T889" s="47" t="s">
        <v>7906</v>
      </c>
      <c r="U889" s="47">
        <v>430</v>
      </c>
      <c r="V889" s="47" t="s">
        <v>7903</v>
      </c>
      <c r="W889" s="47"/>
      <c r="X889" s="47">
        <v>3000</v>
      </c>
      <c r="Y889" s="47"/>
      <c r="Z889" s="47">
        <v>4620</v>
      </c>
      <c r="AA889" s="47">
        <v>1400</v>
      </c>
      <c r="AB889" s="47"/>
      <c r="AC889" s="47"/>
      <c r="AD889" s="47"/>
      <c r="AE889" s="47" t="s">
        <v>7898</v>
      </c>
      <c r="AF889" s="47">
        <v>1485</v>
      </c>
      <c r="AG889" s="47"/>
      <c r="AH889" s="47">
        <v>4000</v>
      </c>
      <c r="AI889" s="47"/>
      <c r="AJ889" s="47"/>
    </row>
    <row r="890" spans="1:38">
      <c r="A890" s="374" t="s">
        <v>1699</v>
      </c>
      <c r="B890" s="374">
        <v>1</v>
      </c>
      <c r="C890" s="374" t="s">
        <v>1700</v>
      </c>
      <c r="D890" s="375" t="str">
        <f t="shared" si="189"/>
        <v>Brompton Estate1</v>
      </c>
      <c r="E890" s="375" t="s">
        <v>1701</v>
      </c>
      <c r="F890" s="375" t="s">
        <v>493</v>
      </c>
      <c r="G890" s="375" t="s">
        <v>1702</v>
      </c>
      <c r="H890" s="375" t="s">
        <v>1703</v>
      </c>
      <c r="I890" s="63" t="s">
        <v>1704</v>
      </c>
      <c r="J890" s="47">
        <f t="shared" ref="J890:J907" si="197">J$7</f>
        <v>3740</v>
      </c>
      <c r="K890" s="46" t="s">
        <v>10735</v>
      </c>
      <c r="L890" s="47"/>
      <c r="M890" s="47">
        <v>1430.0000000000002</v>
      </c>
      <c r="N890" s="47"/>
      <c r="O890" s="47"/>
      <c r="P890" s="47"/>
      <c r="Q890" s="47"/>
      <c r="R890" s="47"/>
      <c r="S890" s="47" t="s">
        <v>1705</v>
      </c>
      <c r="T890" s="47">
        <f t="shared" ref="T890:T907" si="198">T$2</f>
        <v>780</v>
      </c>
      <c r="U890" s="47"/>
      <c r="V890" s="47"/>
      <c r="W890" s="47"/>
      <c r="X890" s="47">
        <v>3000</v>
      </c>
      <c r="Y890" s="47"/>
      <c r="Z890" s="47">
        <f t="shared" si="196"/>
        <v>4620</v>
      </c>
      <c r="AA890" s="47"/>
      <c r="AB890" s="47"/>
      <c r="AC890" s="47">
        <v>4400</v>
      </c>
      <c r="AD890" s="47"/>
      <c r="AE890" s="47"/>
      <c r="AF890" s="47">
        <v>1650.0000000000002</v>
      </c>
      <c r="AG890" s="47"/>
      <c r="AH890" s="47" t="str">
        <f>IFERROR(_xlfn.XLOOKUP(Table6[[#This Row],[Suburb]],Table5[Travel Surcharge],Table5[$$]),"")</f>
        <v/>
      </c>
      <c r="AI890" s="47"/>
      <c r="AJ890" s="47"/>
    </row>
    <row r="891" spans="1:38">
      <c r="A891" s="157" t="s">
        <v>1699</v>
      </c>
      <c r="B891" s="157">
        <v>2</v>
      </c>
      <c r="C891" s="157" t="s">
        <v>1700</v>
      </c>
      <c r="D891" s="157" t="str">
        <f t="shared" si="189"/>
        <v>Brompton Estate2</v>
      </c>
      <c r="E891" s="157" t="s">
        <v>8345</v>
      </c>
      <c r="F891" s="157" t="s">
        <v>493</v>
      </c>
      <c r="G891" s="157" t="s">
        <v>1702</v>
      </c>
      <c r="H891" s="157" t="s">
        <v>8344</v>
      </c>
      <c r="I891" s="158" t="s">
        <v>1704</v>
      </c>
      <c r="J891" s="47">
        <f t="shared" si="197"/>
        <v>3740</v>
      </c>
      <c r="K891" s="46" t="s">
        <v>10735</v>
      </c>
      <c r="L891" s="47"/>
      <c r="M891" s="47">
        <v>1431</v>
      </c>
      <c r="N891" s="47"/>
      <c r="O891" s="47"/>
      <c r="P891" s="47"/>
      <c r="Q891" s="47"/>
      <c r="R891" s="47"/>
      <c r="S891" s="47" t="s">
        <v>8301</v>
      </c>
      <c r="T891" s="47">
        <f t="shared" si="198"/>
        <v>780</v>
      </c>
      <c r="U891" s="47"/>
      <c r="V891" s="47"/>
      <c r="W891" s="47"/>
      <c r="X891" s="47">
        <v>3001</v>
      </c>
      <c r="Y891" s="47"/>
      <c r="Z891" s="47">
        <f t="shared" si="196"/>
        <v>4620</v>
      </c>
      <c r="AA891" s="47"/>
      <c r="AB891" s="47"/>
      <c r="AC891" s="47">
        <v>4400</v>
      </c>
      <c r="AD891" s="47"/>
      <c r="AE891" s="47"/>
      <c r="AF891" s="47">
        <v>1650.0000000000002</v>
      </c>
      <c r="AG891" s="47"/>
      <c r="AH891" s="47" t="str">
        <f>IFERROR(_xlfn.XLOOKUP(Table6[[#This Row],[Suburb]],Table5[Travel Surcharge],Table5[$$]),"")</f>
        <v/>
      </c>
      <c r="AI891" s="47"/>
      <c r="AJ891" s="47"/>
    </row>
    <row r="892" spans="1:38">
      <c r="A892" s="374" t="s">
        <v>1699</v>
      </c>
      <c r="B892" s="374">
        <v>3</v>
      </c>
      <c r="C892" s="374" t="s">
        <v>1700</v>
      </c>
      <c r="D892" s="375" t="str">
        <f t="shared" si="189"/>
        <v>Brompton Estate3</v>
      </c>
      <c r="E892" s="375" t="s">
        <v>1706</v>
      </c>
      <c r="F892" s="375" t="s">
        <v>493</v>
      </c>
      <c r="G892" s="375" t="s">
        <v>1702</v>
      </c>
      <c r="H892" s="375" t="s">
        <v>1703</v>
      </c>
      <c r="I892" s="63" t="s">
        <v>1704</v>
      </c>
      <c r="J892" s="47">
        <f t="shared" si="197"/>
        <v>3740</v>
      </c>
      <c r="K892" s="46" t="s">
        <v>10735</v>
      </c>
      <c r="L892" s="47"/>
      <c r="M892" s="47">
        <v>1430.0000000000002</v>
      </c>
      <c r="N892" s="47"/>
      <c r="O892" s="47"/>
      <c r="P892" s="47"/>
      <c r="Q892" s="47"/>
      <c r="R892" s="47"/>
      <c r="S892" s="47" t="s">
        <v>1705</v>
      </c>
      <c r="T892" s="47">
        <f t="shared" si="198"/>
        <v>780</v>
      </c>
      <c r="U892" s="47"/>
      <c r="V892" s="47"/>
      <c r="W892" s="47"/>
      <c r="X892" s="47">
        <v>3000</v>
      </c>
      <c r="Y892" s="47"/>
      <c r="Z892" s="47">
        <f t="shared" si="196"/>
        <v>4620</v>
      </c>
      <c r="AA892" s="47"/>
      <c r="AB892" s="47"/>
      <c r="AC892" s="47">
        <v>4400</v>
      </c>
      <c r="AD892" s="47"/>
      <c r="AE892" s="47"/>
      <c r="AF892" s="47">
        <v>1650.0000000000002</v>
      </c>
      <c r="AG892" s="47"/>
      <c r="AH892" s="47" t="str">
        <f>IFERROR(_xlfn.XLOOKUP(Table6[[#This Row],[Suburb]],Table5[Travel Surcharge],Table5[$$]),"")</f>
        <v/>
      </c>
      <c r="AI892" s="47"/>
      <c r="AJ892" s="47"/>
    </row>
    <row r="893" spans="1:38">
      <c r="A893" s="374" t="s">
        <v>1699</v>
      </c>
      <c r="B893" s="374">
        <v>4</v>
      </c>
      <c r="C893" s="374" t="s">
        <v>1700</v>
      </c>
      <c r="D893" s="375" t="str">
        <f t="shared" si="189"/>
        <v>Brompton Estate4</v>
      </c>
      <c r="E893" s="375" t="s">
        <v>1707</v>
      </c>
      <c r="F893" s="375" t="s">
        <v>493</v>
      </c>
      <c r="G893" s="375" t="s">
        <v>1702</v>
      </c>
      <c r="H893" s="375" t="s">
        <v>1703</v>
      </c>
      <c r="I893" s="63" t="s">
        <v>1704</v>
      </c>
      <c r="J893" s="47">
        <f t="shared" si="197"/>
        <v>3740</v>
      </c>
      <c r="K893" s="46" t="s">
        <v>10735</v>
      </c>
      <c r="L893" s="47"/>
      <c r="M893" s="47">
        <v>1430.0000000000002</v>
      </c>
      <c r="N893" s="47"/>
      <c r="O893" s="47"/>
      <c r="P893" s="47"/>
      <c r="Q893" s="47"/>
      <c r="R893" s="47"/>
      <c r="S893" s="47" t="s">
        <v>1705</v>
      </c>
      <c r="T893" s="47">
        <f t="shared" si="198"/>
        <v>780</v>
      </c>
      <c r="U893" s="47"/>
      <c r="V893" s="47"/>
      <c r="W893" s="47"/>
      <c r="X893" s="47">
        <v>3000</v>
      </c>
      <c r="Y893" s="47"/>
      <c r="Z893" s="47">
        <f t="shared" si="196"/>
        <v>4620</v>
      </c>
      <c r="AA893" s="47"/>
      <c r="AB893" s="47"/>
      <c r="AC893" s="47">
        <v>4400</v>
      </c>
      <c r="AD893" s="47"/>
      <c r="AE893" s="47"/>
      <c r="AF893" s="47">
        <v>1650.0000000000002</v>
      </c>
      <c r="AG893" s="47"/>
      <c r="AH893" s="47" t="str">
        <f>IFERROR(_xlfn.XLOOKUP(Table6[[#This Row],[Suburb]],Table5[Travel Surcharge],Table5[$$]),"")</f>
        <v/>
      </c>
      <c r="AI893" s="47"/>
      <c r="AJ893" s="47"/>
    </row>
    <row r="894" spans="1:38">
      <c r="A894" s="374" t="s">
        <v>1699</v>
      </c>
      <c r="B894" s="374">
        <v>5</v>
      </c>
      <c r="C894" s="374" t="s">
        <v>1700</v>
      </c>
      <c r="D894" s="375" t="str">
        <f t="shared" si="189"/>
        <v>Brompton Estate5</v>
      </c>
      <c r="E894" s="375"/>
      <c r="F894" s="375" t="s">
        <v>493</v>
      </c>
      <c r="G894" s="375" t="s">
        <v>1702</v>
      </c>
      <c r="H894" s="375" t="s">
        <v>1703</v>
      </c>
      <c r="I894" s="63" t="s">
        <v>1704</v>
      </c>
      <c r="J894" s="47">
        <f t="shared" si="197"/>
        <v>3740</v>
      </c>
      <c r="K894" s="46" t="s">
        <v>10735</v>
      </c>
      <c r="L894" s="47"/>
      <c r="M894" s="47">
        <v>1430.0000000000002</v>
      </c>
      <c r="N894" s="47"/>
      <c r="O894" s="47"/>
      <c r="P894" s="47"/>
      <c r="Q894" s="47"/>
      <c r="R894" s="47"/>
      <c r="S894" s="47" t="s">
        <v>1705</v>
      </c>
      <c r="T894" s="47">
        <f t="shared" si="198"/>
        <v>780</v>
      </c>
      <c r="U894" s="47"/>
      <c r="V894" s="47"/>
      <c r="W894" s="47"/>
      <c r="X894" s="47">
        <v>3000</v>
      </c>
      <c r="Y894" s="47"/>
      <c r="Z894" s="47">
        <f t="shared" si="196"/>
        <v>4620</v>
      </c>
      <c r="AA894" s="47"/>
      <c r="AB894" s="47"/>
      <c r="AC894" s="47">
        <v>4400</v>
      </c>
      <c r="AD894" s="47"/>
      <c r="AE894" s="47"/>
      <c r="AF894" s="47">
        <v>1650.0000000000002</v>
      </c>
      <c r="AG894" s="47"/>
      <c r="AH894" s="47" t="str">
        <f>IFERROR(_xlfn.XLOOKUP(Table6[[#This Row],[Suburb]],Table5[Travel Surcharge],Table5[$$]),"")</f>
        <v/>
      </c>
      <c r="AI894" s="47"/>
      <c r="AJ894" s="47"/>
    </row>
    <row r="895" spans="1:38">
      <c r="A895" s="374" t="s">
        <v>1699</v>
      </c>
      <c r="B895" s="374">
        <v>6</v>
      </c>
      <c r="C895" s="374" t="s">
        <v>1700</v>
      </c>
      <c r="D895" s="375" t="str">
        <f t="shared" si="189"/>
        <v>Brompton Estate6</v>
      </c>
      <c r="E895" s="375" t="s">
        <v>1708</v>
      </c>
      <c r="F895" s="375" t="s">
        <v>493</v>
      </c>
      <c r="G895" s="375" t="s">
        <v>1702</v>
      </c>
      <c r="H895" s="375" t="s">
        <v>1703</v>
      </c>
      <c r="I895" s="63" t="s">
        <v>1704</v>
      </c>
      <c r="J895" s="47">
        <f t="shared" si="197"/>
        <v>3740</v>
      </c>
      <c r="K895" s="46" t="s">
        <v>10735</v>
      </c>
      <c r="L895" s="47"/>
      <c r="M895" s="47">
        <v>1430.0000000000002</v>
      </c>
      <c r="N895" s="47"/>
      <c r="O895" s="47"/>
      <c r="P895" s="47"/>
      <c r="Q895" s="47"/>
      <c r="R895" s="47"/>
      <c r="S895" s="47" t="s">
        <v>1705</v>
      </c>
      <c r="T895" s="47">
        <f t="shared" si="198"/>
        <v>780</v>
      </c>
      <c r="U895" s="47"/>
      <c r="V895" s="47"/>
      <c r="W895" s="47"/>
      <c r="X895" s="47">
        <v>3000</v>
      </c>
      <c r="Y895" s="47"/>
      <c r="Z895" s="47">
        <f t="shared" si="196"/>
        <v>4620</v>
      </c>
      <c r="AA895" s="47"/>
      <c r="AB895" s="47"/>
      <c r="AC895" s="47">
        <v>4400</v>
      </c>
      <c r="AD895" s="47"/>
      <c r="AE895" s="47"/>
      <c r="AF895" s="47">
        <v>1650.0000000000002</v>
      </c>
      <c r="AG895" s="47"/>
      <c r="AH895" s="47" t="str">
        <f>IFERROR(_xlfn.XLOOKUP(Table6[[#This Row],[Suburb]],Table5[Travel Surcharge],Table5[$$]),"")</f>
        <v/>
      </c>
      <c r="AI895" s="47"/>
      <c r="AJ895" s="47"/>
    </row>
    <row r="896" spans="1:38">
      <c r="A896" s="374" t="s">
        <v>1699</v>
      </c>
      <c r="B896" s="374">
        <v>7</v>
      </c>
      <c r="C896" s="374" t="s">
        <v>1700</v>
      </c>
      <c r="D896" s="375" t="str">
        <f t="shared" si="189"/>
        <v>Brompton Estate7</v>
      </c>
      <c r="E896" s="375" t="s">
        <v>1709</v>
      </c>
      <c r="F896" s="375" t="s">
        <v>493</v>
      </c>
      <c r="G896" s="375" t="s">
        <v>1702</v>
      </c>
      <c r="H896" s="375" t="s">
        <v>1703</v>
      </c>
      <c r="I896" s="63" t="s">
        <v>1704</v>
      </c>
      <c r="J896" s="47">
        <f t="shared" si="197"/>
        <v>3740</v>
      </c>
      <c r="K896" s="46" t="s">
        <v>10735</v>
      </c>
      <c r="L896" s="47"/>
      <c r="M896" s="47">
        <v>1430.0000000000002</v>
      </c>
      <c r="N896" s="47"/>
      <c r="O896" s="47"/>
      <c r="P896" s="47"/>
      <c r="Q896" s="47"/>
      <c r="R896" s="47"/>
      <c r="S896" s="47" t="s">
        <v>1705</v>
      </c>
      <c r="T896" s="47">
        <f t="shared" si="198"/>
        <v>780</v>
      </c>
      <c r="U896" s="47"/>
      <c r="V896" s="47"/>
      <c r="W896" s="47"/>
      <c r="X896" s="47">
        <v>3000</v>
      </c>
      <c r="Y896" s="47"/>
      <c r="Z896" s="47">
        <f t="shared" si="196"/>
        <v>4620</v>
      </c>
      <c r="AA896" s="47"/>
      <c r="AB896" s="47"/>
      <c r="AC896" s="47">
        <v>4400</v>
      </c>
      <c r="AD896" s="47"/>
      <c r="AE896" s="47"/>
      <c r="AF896" s="47">
        <v>1650.0000000000002</v>
      </c>
      <c r="AG896" s="47"/>
      <c r="AH896" s="47" t="str">
        <f>IFERROR(_xlfn.XLOOKUP(Table6[[#This Row],[Suburb]],Table5[Travel Surcharge],Table5[$$]),"")</f>
        <v/>
      </c>
      <c r="AI896" s="47"/>
      <c r="AJ896" s="47"/>
    </row>
    <row r="897" spans="1:36">
      <c r="A897" s="374" t="s">
        <v>1699</v>
      </c>
      <c r="B897" s="374">
        <v>8</v>
      </c>
      <c r="C897" s="374" t="s">
        <v>1700</v>
      </c>
      <c r="D897" s="375" t="str">
        <f t="shared" si="189"/>
        <v>Brompton Estate8</v>
      </c>
      <c r="E897" s="375" t="s">
        <v>1710</v>
      </c>
      <c r="F897" s="375" t="s">
        <v>493</v>
      </c>
      <c r="G897" s="375" t="s">
        <v>1702</v>
      </c>
      <c r="H897" s="375" t="s">
        <v>1703</v>
      </c>
      <c r="I897" s="63" t="s">
        <v>1704</v>
      </c>
      <c r="J897" s="47">
        <f t="shared" si="197"/>
        <v>3740</v>
      </c>
      <c r="K897" s="46" t="s">
        <v>10735</v>
      </c>
      <c r="L897" s="47"/>
      <c r="M897" s="47">
        <v>1430.0000000000002</v>
      </c>
      <c r="N897" s="47"/>
      <c r="O897" s="47"/>
      <c r="P897" s="47"/>
      <c r="Q897" s="47"/>
      <c r="R897" s="47"/>
      <c r="S897" s="47" t="s">
        <v>1705</v>
      </c>
      <c r="T897" s="47">
        <f t="shared" si="198"/>
        <v>780</v>
      </c>
      <c r="U897" s="47"/>
      <c r="V897" s="47"/>
      <c r="W897" s="47"/>
      <c r="X897" s="47">
        <v>3000</v>
      </c>
      <c r="Y897" s="47"/>
      <c r="Z897" s="47">
        <f t="shared" si="196"/>
        <v>4620</v>
      </c>
      <c r="AA897" s="47"/>
      <c r="AB897" s="47"/>
      <c r="AC897" s="47">
        <v>4400</v>
      </c>
      <c r="AD897" s="47"/>
      <c r="AE897" s="47"/>
      <c r="AF897" s="47">
        <v>1650.0000000000002</v>
      </c>
      <c r="AG897" s="47"/>
      <c r="AH897" s="47" t="str">
        <f>IFERROR(_xlfn.XLOOKUP(Table6[[#This Row],[Suburb]],Table5[Travel Surcharge],Table5[$$]),"")</f>
        <v/>
      </c>
      <c r="AI897" s="47"/>
      <c r="AJ897" s="47"/>
    </row>
    <row r="898" spans="1:36">
      <c r="A898" s="374" t="s">
        <v>1699</v>
      </c>
      <c r="B898" s="374">
        <v>9</v>
      </c>
      <c r="C898" s="374" t="s">
        <v>1700</v>
      </c>
      <c r="D898" s="375" t="str">
        <f t="shared" si="189"/>
        <v>Brompton Estate9</v>
      </c>
      <c r="E898" s="375" t="s">
        <v>1711</v>
      </c>
      <c r="F898" s="375" t="s">
        <v>493</v>
      </c>
      <c r="G898" s="375" t="s">
        <v>1702</v>
      </c>
      <c r="H898" s="375" t="s">
        <v>1703</v>
      </c>
      <c r="I898" s="63" t="s">
        <v>1704</v>
      </c>
      <c r="J898" s="47">
        <f t="shared" si="197"/>
        <v>3740</v>
      </c>
      <c r="K898" s="46" t="s">
        <v>10735</v>
      </c>
      <c r="L898" s="47"/>
      <c r="M898" s="47">
        <v>1430.0000000000002</v>
      </c>
      <c r="N898" s="47"/>
      <c r="O898" s="47"/>
      <c r="P898" s="47"/>
      <c r="Q898" s="47"/>
      <c r="R898" s="47"/>
      <c r="S898" s="47" t="s">
        <v>1705</v>
      </c>
      <c r="T898" s="47">
        <f t="shared" si="198"/>
        <v>780</v>
      </c>
      <c r="U898" s="47"/>
      <c r="V898" s="47"/>
      <c r="W898" s="47"/>
      <c r="X898" s="47">
        <v>3000</v>
      </c>
      <c r="Y898" s="47"/>
      <c r="Z898" s="47">
        <f t="shared" si="196"/>
        <v>4620</v>
      </c>
      <c r="AA898" s="47"/>
      <c r="AB898" s="47"/>
      <c r="AC898" s="47">
        <v>4400</v>
      </c>
      <c r="AD898" s="47"/>
      <c r="AE898" s="47"/>
      <c r="AF898" s="47">
        <v>1650.0000000000002</v>
      </c>
      <c r="AG898" s="47"/>
      <c r="AH898" s="47" t="str">
        <f>IFERROR(_xlfn.XLOOKUP(Table6[[#This Row],[Suburb]],Table5[Travel Surcharge],Table5[$$]),"")</f>
        <v/>
      </c>
      <c r="AI898" s="47"/>
      <c r="AJ898" s="47"/>
    </row>
    <row r="899" spans="1:36">
      <c r="A899" s="374" t="s">
        <v>1699</v>
      </c>
      <c r="B899" s="374">
        <v>10</v>
      </c>
      <c r="C899" s="374" t="s">
        <v>1700</v>
      </c>
      <c r="D899" s="375" t="str">
        <f t="shared" si="189"/>
        <v>Brompton Estate10</v>
      </c>
      <c r="E899" s="375" t="s">
        <v>1713</v>
      </c>
      <c r="F899" s="375" t="s">
        <v>493</v>
      </c>
      <c r="G899" s="375" t="s">
        <v>1702</v>
      </c>
      <c r="H899" s="375" t="s">
        <v>1703</v>
      </c>
      <c r="I899" s="63" t="s">
        <v>1704</v>
      </c>
      <c r="J899" s="47">
        <f t="shared" si="197"/>
        <v>3740</v>
      </c>
      <c r="K899" s="46" t="s">
        <v>10735</v>
      </c>
      <c r="L899" s="47"/>
      <c r="M899" s="47">
        <v>1430.0000000000002</v>
      </c>
      <c r="N899" s="47"/>
      <c r="O899" s="47"/>
      <c r="P899" s="47"/>
      <c r="Q899" s="47"/>
      <c r="R899" s="47"/>
      <c r="S899" s="47" t="s">
        <v>1705</v>
      </c>
      <c r="T899" s="47">
        <f t="shared" si="198"/>
        <v>780</v>
      </c>
      <c r="U899" s="47"/>
      <c r="V899" s="47"/>
      <c r="W899" s="47"/>
      <c r="X899" s="47">
        <v>3000</v>
      </c>
      <c r="Y899" s="47"/>
      <c r="Z899" s="47">
        <f t="shared" si="196"/>
        <v>4620</v>
      </c>
      <c r="AA899" s="47"/>
      <c r="AB899" s="47"/>
      <c r="AC899" s="47">
        <v>4400</v>
      </c>
      <c r="AD899" s="47"/>
      <c r="AE899" s="47"/>
      <c r="AF899" s="47">
        <v>1650.0000000000002</v>
      </c>
      <c r="AG899" s="47"/>
      <c r="AH899" s="47" t="str">
        <f>IFERROR(_xlfn.XLOOKUP(Table6[[#This Row],[Suburb]],Table5[Travel Surcharge],Table5[$$]),"")</f>
        <v/>
      </c>
      <c r="AI899" s="47"/>
      <c r="AJ899" s="47"/>
    </row>
    <row r="900" spans="1:36">
      <c r="A900" s="374" t="s">
        <v>1699</v>
      </c>
      <c r="B900" s="374">
        <v>11</v>
      </c>
      <c r="C900" s="374" t="s">
        <v>1700</v>
      </c>
      <c r="D900" s="375" t="str">
        <f t="shared" si="189"/>
        <v>Brompton Estate11</v>
      </c>
      <c r="E900" s="375" t="s">
        <v>1714</v>
      </c>
      <c r="F900" s="375" t="s">
        <v>493</v>
      </c>
      <c r="G900" s="375" t="s">
        <v>1702</v>
      </c>
      <c r="H900" s="375" t="s">
        <v>1703</v>
      </c>
      <c r="I900" s="63" t="s">
        <v>1704</v>
      </c>
      <c r="J900" s="47">
        <f t="shared" si="197"/>
        <v>3740</v>
      </c>
      <c r="K900" s="46" t="s">
        <v>10735</v>
      </c>
      <c r="L900" s="47"/>
      <c r="M900" s="47">
        <v>1430.0000000000002</v>
      </c>
      <c r="N900" s="47"/>
      <c r="O900" s="47"/>
      <c r="P900" s="47"/>
      <c r="Q900" s="47"/>
      <c r="R900" s="47"/>
      <c r="S900" s="47" t="s">
        <v>1705</v>
      </c>
      <c r="T900" s="47">
        <f t="shared" si="198"/>
        <v>780</v>
      </c>
      <c r="U900" s="47"/>
      <c r="V900" s="47"/>
      <c r="W900" s="47"/>
      <c r="X900" s="47">
        <v>3000</v>
      </c>
      <c r="Y900" s="47"/>
      <c r="Z900" s="47">
        <f t="shared" si="196"/>
        <v>4620</v>
      </c>
      <c r="AA900" s="47"/>
      <c r="AB900" s="47"/>
      <c r="AC900" s="47">
        <v>4400</v>
      </c>
      <c r="AD900" s="47"/>
      <c r="AE900" s="47"/>
      <c r="AF900" s="47">
        <v>1650.0000000000002</v>
      </c>
      <c r="AG900" s="47"/>
      <c r="AH900" s="47" t="str">
        <f>IFERROR(_xlfn.XLOOKUP(Table6[[#This Row],[Suburb]],Table5[Travel Surcharge],Table5[$$]),"")</f>
        <v/>
      </c>
      <c r="AI900" s="47"/>
      <c r="AJ900" s="47"/>
    </row>
    <row r="901" spans="1:36">
      <c r="A901" s="374" t="s">
        <v>1699</v>
      </c>
      <c r="B901" s="374">
        <v>12</v>
      </c>
      <c r="C901" s="374" t="s">
        <v>1700</v>
      </c>
      <c r="D901" s="375" t="str">
        <f t="shared" si="189"/>
        <v>Brompton Estate12</v>
      </c>
      <c r="E901" s="375" t="s">
        <v>1716</v>
      </c>
      <c r="F901" s="375" t="s">
        <v>493</v>
      </c>
      <c r="G901" s="375" t="s">
        <v>1702</v>
      </c>
      <c r="H901" s="375" t="s">
        <v>1703</v>
      </c>
      <c r="I901" s="63" t="s">
        <v>1704</v>
      </c>
      <c r="J901" s="47">
        <f t="shared" si="197"/>
        <v>3740</v>
      </c>
      <c r="K901" s="46" t="s">
        <v>10735</v>
      </c>
      <c r="L901" s="47"/>
      <c r="M901" s="47">
        <v>1430.0000000000002</v>
      </c>
      <c r="N901" s="47"/>
      <c r="O901" s="47"/>
      <c r="P901" s="47"/>
      <c r="Q901" s="47"/>
      <c r="R901" s="47"/>
      <c r="S901" s="47" t="s">
        <v>1705</v>
      </c>
      <c r="T901" s="47">
        <f t="shared" si="198"/>
        <v>780</v>
      </c>
      <c r="U901" s="47"/>
      <c r="V901" s="47"/>
      <c r="W901" s="47"/>
      <c r="X901" s="47">
        <v>3000</v>
      </c>
      <c r="Y901" s="47"/>
      <c r="Z901" s="47">
        <f t="shared" si="196"/>
        <v>4620</v>
      </c>
      <c r="AA901" s="47"/>
      <c r="AB901" s="47"/>
      <c r="AC901" s="47">
        <v>4400</v>
      </c>
      <c r="AD901" s="47"/>
      <c r="AE901" s="47"/>
      <c r="AF901" s="47">
        <v>1650.0000000000002</v>
      </c>
      <c r="AG901" s="47"/>
      <c r="AH901" s="47" t="str">
        <f>IFERROR(_xlfn.XLOOKUP(Table6[[#This Row],[Suburb]],Table5[Travel Surcharge],Table5[$$]),"")</f>
        <v/>
      </c>
      <c r="AI901" s="47"/>
      <c r="AJ901" s="47"/>
    </row>
    <row r="902" spans="1:36">
      <c r="A902" s="374" t="s">
        <v>1699</v>
      </c>
      <c r="B902" s="374">
        <v>13</v>
      </c>
      <c r="C902" s="374" t="s">
        <v>1700</v>
      </c>
      <c r="D902" s="375" t="str">
        <f t="shared" si="189"/>
        <v>Brompton Estate13</v>
      </c>
      <c r="E902" s="375" t="s">
        <v>1717</v>
      </c>
      <c r="F902" s="375" t="s">
        <v>493</v>
      </c>
      <c r="G902" s="375" t="s">
        <v>1702</v>
      </c>
      <c r="H902" s="375" t="s">
        <v>1703</v>
      </c>
      <c r="I902" s="63" t="s">
        <v>1704</v>
      </c>
      <c r="J902" s="47">
        <f t="shared" si="197"/>
        <v>3740</v>
      </c>
      <c r="K902" s="46" t="s">
        <v>10735</v>
      </c>
      <c r="L902" s="47"/>
      <c r="M902" s="47">
        <v>1430.0000000000002</v>
      </c>
      <c r="N902" s="47"/>
      <c r="O902" s="47"/>
      <c r="P902" s="47"/>
      <c r="Q902" s="47"/>
      <c r="R902" s="47"/>
      <c r="S902" s="47" t="s">
        <v>1705</v>
      </c>
      <c r="T902" s="47">
        <f t="shared" si="198"/>
        <v>780</v>
      </c>
      <c r="U902" s="47"/>
      <c r="V902" s="47"/>
      <c r="W902" s="47"/>
      <c r="X902" s="47">
        <v>3000</v>
      </c>
      <c r="Y902" s="47"/>
      <c r="Z902" s="47">
        <f t="shared" si="196"/>
        <v>4620</v>
      </c>
      <c r="AA902" s="47"/>
      <c r="AB902" s="47"/>
      <c r="AC902" s="47">
        <v>4400</v>
      </c>
      <c r="AD902" s="47"/>
      <c r="AE902" s="47"/>
      <c r="AF902" s="47">
        <v>1650.0000000000002</v>
      </c>
      <c r="AG902" s="47"/>
      <c r="AH902" s="47" t="str">
        <f>IFERROR(_xlfn.XLOOKUP(Table6[[#This Row],[Suburb]],Table5[Travel Surcharge],Table5[$$]),"")</f>
        <v/>
      </c>
      <c r="AI902" s="47"/>
      <c r="AJ902" s="47"/>
    </row>
    <row r="903" spans="1:36">
      <c r="A903" s="374" t="s">
        <v>1699</v>
      </c>
      <c r="B903" s="374">
        <v>14</v>
      </c>
      <c r="C903" s="374" t="s">
        <v>1700</v>
      </c>
      <c r="D903" s="375" t="str">
        <f t="shared" si="189"/>
        <v>Brompton Estate14</v>
      </c>
      <c r="E903" s="375" t="s">
        <v>8065</v>
      </c>
      <c r="F903" s="375" t="s">
        <v>493</v>
      </c>
      <c r="G903" s="375" t="s">
        <v>1702</v>
      </c>
      <c r="H903" s="375" t="s">
        <v>1703</v>
      </c>
      <c r="I903" s="63" t="s">
        <v>1704</v>
      </c>
      <c r="J903" s="47">
        <f t="shared" si="197"/>
        <v>3740</v>
      </c>
      <c r="K903" s="46" t="s">
        <v>10735</v>
      </c>
      <c r="L903" s="47"/>
      <c r="M903" s="47">
        <v>1430.0000000000002</v>
      </c>
      <c r="N903" s="47"/>
      <c r="O903" s="47"/>
      <c r="P903" s="47"/>
      <c r="Q903" s="47"/>
      <c r="R903" s="47"/>
      <c r="S903" s="47" t="s">
        <v>1705</v>
      </c>
      <c r="T903" s="47">
        <f t="shared" si="198"/>
        <v>780</v>
      </c>
      <c r="U903" s="47"/>
      <c r="V903" s="47"/>
      <c r="W903" s="47"/>
      <c r="X903" s="47">
        <v>3000</v>
      </c>
      <c r="Y903" s="47"/>
      <c r="Z903" s="47">
        <f t="shared" si="196"/>
        <v>4620</v>
      </c>
      <c r="AA903" s="47"/>
      <c r="AB903" s="47"/>
      <c r="AC903" s="47">
        <v>4400</v>
      </c>
      <c r="AD903" s="47"/>
      <c r="AE903" s="47"/>
      <c r="AF903" s="47">
        <v>1650.0000000000002</v>
      </c>
      <c r="AG903" s="47"/>
      <c r="AH903" s="47" t="str">
        <f>IFERROR(_xlfn.XLOOKUP(Table6[[#This Row],[Suburb]],Table5[Travel Surcharge],Table5[$$]),"")</f>
        <v/>
      </c>
      <c r="AI903" s="47"/>
      <c r="AJ903" s="47"/>
    </row>
    <row r="904" spans="1:36">
      <c r="A904" s="374" t="s">
        <v>1699</v>
      </c>
      <c r="B904" s="374">
        <v>15</v>
      </c>
      <c r="C904" s="374" t="s">
        <v>1700</v>
      </c>
      <c r="D904" s="375" t="str">
        <f t="shared" si="189"/>
        <v>Brompton Estate15</v>
      </c>
      <c r="E904" s="375" t="s">
        <v>1718</v>
      </c>
      <c r="F904" s="375" t="s">
        <v>493</v>
      </c>
      <c r="G904" s="375" t="s">
        <v>1702</v>
      </c>
      <c r="H904" s="375" t="s">
        <v>1703</v>
      </c>
      <c r="I904" s="63" t="s">
        <v>1704</v>
      </c>
      <c r="J904" s="47">
        <f t="shared" si="197"/>
        <v>3740</v>
      </c>
      <c r="K904" s="46" t="s">
        <v>10735</v>
      </c>
      <c r="L904" s="47"/>
      <c r="M904" s="47">
        <v>1430.0000000000002</v>
      </c>
      <c r="N904" s="47"/>
      <c r="O904" s="47"/>
      <c r="P904" s="47"/>
      <c r="Q904" s="47"/>
      <c r="R904" s="47"/>
      <c r="S904" s="47" t="s">
        <v>1705</v>
      </c>
      <c r="T904" s="47">
        <f t="shared" si="198"/>
        <v>780</v>
      </c>
      <c r="U904" s="47"/>
      <c r="V904" s="47"/>
      <c r="W904" s="47"/>
      <c r="X904" s="47">
        <v>3000</v>
      </c>
      <c r="Y904" s="47"/>
      <c r="Z904" s="47">
        <f t="shared" si="196"/>
        <v>4620</v>
      </c>
      <c r="AA904" s="47"/>
      <c r="AB904" s="47"/>
      <c r="AC904" s="47">
        <v>4400</v>
      </c>
      <c r="AD904" s="47"/>
      <c r="AE904" s="47"/>
      <c r="AF904" s="47">
        <v>1650.0000000000002</v>
      </c>
      <c r="AG904" s="47"/>
      <c r="AH904" s="47" t="str">
        <f>IFERROR(_xlfn.XLOOKUP(Table6[[#This Row],[Suburb]],Table5[Travel Surcharge],Table5[$$]),"")</f>
        <v/>
      </c>
      <c r="AI904" s="47"/>
      <c r="AJ904" s="47"/>
    </row>
    <row r="905" spans="1:36">
      <c r="A905" s="374" t="s">
        <v>1699</v>
      </c>
      <c r="B905" s="374">
        <v>16</v>
      </c>
      <c r="C905" s="374" t="s">
        <v>1700</v>
      </c>
      <c r="D905" s="375" t="str">
        <f t="shared" si="189"/>
        <v>Brompton Estate16</v>
      </c>
      <c r="E905" s="375" t="s">
        <v>1719</v>
      </c>
      <c r="F905" s="375" t="s">
        <v>493</v>
      </c>
      <c r="G905" s="375" t="s">
        <v>1702</v>
      </c>
      <c r="H905" s="375" t="s">
        <v>1703</v>
      </c>
      <c r="I905" s="63" t="s">
        <v>1704</v>
      </c>
      <c r="J905" s="47">
        <f t="shared" si="197"/>
        <v>3740</v>
      </c>
      <c r="K905" s="46" t="s">
        <v>10735</v>
      </c>
      <c r="L905" s="47"/>
      <c r="M905" s="47">
        <v>1430.0000000000002</v>
      </c>
      <c r="N905" s="47"/>
      <c r="O905" s="47"/>
      <c r="P905" s="47"/>
      <c r="Q905" s="47"/>
      <c r="R905" s="47"/>
      <c r="S905" s="47" t="s">
        <v>1705</v>
      </c>
      <c r="T905" s="47">
        <f t="shared" si="198"/>
        <v>780</v>
      </c>
      <c r="U905" s="47"/>
      <c r="V905" s="47"/>
      <c r="W905" s="47"/>
      <c r="X905" s="47">
        <v>3000</v>
      </c>
      <c r="Y905" s="47"/>
      <c r="Z905" s="47">
        <f t="shared" si="196"/>
        <v>4620</v>
      </c>
      <c r="AA905" s="47"/>
      <c r="AB905" s="47"/>
      <c r="AC905" s="47">
        <v>4400</v>
      </c>
      <c r="AD905" s="47"/>
      <c r="AE905" s="47"/>
      <c r="AF905" s="47">
        <v>1650.0000000000002</v>
      </c>
      <c r="AG905" s="47"/>
      <c r="AH905" s="47" t="str">
        <f>IFERROR(_xlfn.XLOOKUP(Table6[[#This Row],[Suburb]],Table5[Travel Surcharge],Table5[$$]),"")</f>
        <v/>
      </c>
      <c r="AI905" s="47"/>
      <c r="AJ905" s="47"/>
    </row>
    <row r="906" spans="1:36">
      <c r="A906" s="374" t="s">
        <v>1699</v>
      </c>
      <c r="B906" s="374" t="s">
        <v>714</v>
      </c>
      <c r="C906" s="374" t="s">
        <v>1700</v>
      </c>
      <c r="D906" s="375" t="str">
        <f t="shared" si="189"/>
        <v>Brompton Estate11A</v>
      </c>
      <c r="E906" s="375" t="s">
        <v>1715</v>
      </c>
      <c r="F906" s="375" t="s">
        <v>493</v>
      </c>
      <c r="G906" s="375" t="s">
        <v>1702</v>
      </c>
      <c r="H906" s="375" t="s">
        <v>1703</v>
      </c>
      <c r="I906" s="63" t="s">
        <v>1704</v>
      </c>
      <c r="J906" s="47">
        <f t="shared" si="197"/>
        <v>3740</v>
      </c>
      <c r="K906" s="46" t="s">
        <v>10735</v>
      </c>
      <c r="L906" s="47"/>
      <c r="M906" s="47">
        <v>1430.0000000000002</v>
      </c>
      <c r="N906" s="47"/>
      <c r="O906" s="47"/>
      <c r="P906" s="47"/>
      <c r="Q906" s="47"/>
      <c r="R906" s="47"/>
      <c r="S906" s="47" t="s">
        <v>1705</v>
      </c>
      <c r="T906" s="47">
        <f t="shared" si="198"/>
        <v>780</v>
      </c>
      <c r="U906" s="47"/>
      <c r="V906" s="47"/>
      <c r="W906" s="47"/>
      <c r="X906" s="47">
        <v>3000</v>
      </c>
      <c r="Y906" s="47"/>
      <c r="Z906" s="47">
        <f t="shared" si="196"/>
        <v>4620</v>
      </c>
      <c r="AA906" s="47"/>
      <c r="AB906" s="47"/>
      <c r="AC906" s="47">
        <v>4400</v>
      </c>
      <c r="AD906" s="47"/>
      <c r="AE906" s="47"/>
      <c r="AF906" s="47">
        <v>1650.0000000000002</v>
      </c>
      <c r="AG906" s="47"/>
      <c r="AH906" s="47" t="str">
        <f>IFERROR(_xlfn.XLOOKUP(Table6[[#This Row],[Suburb]],Table5[Travel Surcharge],Table5[$$]),"")</f>
        <v/>
      </c>
      <c r="AI906" s="47"/>
      <c r="AJ906" s="47"/>
    </row>
    <row r="907" spans="1:36">
      <c r="A907" s="374" t="s">
        <v>1699</v>
      </c>
      <c r="B907" s="374" t="s">
        <v>1006</v>
      </c>
      <c r="C907" s="374" t="s">
        <v>1700</v>
      </c>
      <c r="D907" s="375" t="str">
        <f t="shared" si="189"/>
        <v>Brompton Estate9A</v>
      </c>
      <c r="E907" s="375" t="s">
        <v>1712</v>
      </c>
      <c r="F907" s="375" t="s">
        <v>493</v>
      </c>
      <c r="G907" s="375" t="s">
        <v>1702</v>
      </c>
      <c r="H907" s="375" t="s">
        <v>1703</v>
      </c>
      <c r="I907" s="63" t="s">
        <v>1704</v>
      </c>
      <c r="J907" s="47">
        <f t="shared" si="197"/>
        <v>3740</v>
      </c>
      <c r="K907" s="46" t="s">
        <v>10735</v>
      </c>
      <c r="L907" s="47"/>
      <c r="M907" s="47">
        <v>1430.0000000000002</v>
      </c>
      <c r="N907" s="47"/>
      <c r="O907" s="47"/>
      <c r="P907" s="47"/>
      <c r="Q907" s="47"/>
      <c r="R907" s="47"/>
      <c r="S907" s="47" t="s">
        <v>1705</v>
      </c>
      <c r="T907" s="47">
        <f t="shared" si="198"/>
        <v>780</v>
      </c>
      <c r="U907" s="47"/>
      <c r="V907" s="47"/>
      <c r="W907" s="47"/>
      <c r="X907" s="47">
        <v>3000</v>
      </c>
      <c r="Y907" s="47"/>
      <c r="Z907" s="47">
        <f t="shared" si="196"/>
        <v>4620</v>
      </c>
      <c r="AA907" s="47"/>
      <c r="AB907" s="47"/>
      <c r="AC907" s="47">
        <v>4400</v>
      </c>
      <c r="AD907" s="47"/>
      <c r="AE907" s="47"/>
      <c r="AF907" s="47">
        <v>1650.0000000000002</v>
      </c>
      <c r="AG907" s="47"/>
      <c r="AH907" s="47" t="str">
        <f>IFERROR(_xlfn.XLOOKUP(Table6[[#This Row],[Suburb]],Table5[Travel Surcharge],Table5[$$]),"")</f>
        <v/>
      </c>
      <c r="AI907" s="47"/>
      <c r="AJ907" s="47"/>
    </row>
    <row r="908" spans="1:36">
      <c r="A908" s="374" t="s">
        <v>1720</v>
      </c>
      <c r="B908" s="374">
        <v>2</v>
      </c>
      <c r="C908" s="374" t="s">
        <v>1721</v>
      </c>
      <c r="D908" s="375" t="str">
        <f t="shared" si="189"/>
        <v>Brookhaven Estate2</v>
      </c>
      <c r="E908" s="375" t="s">
        <v>1722</v>
      </c>
      <c r="F908" s="375" t="s">
        <v>1723</v>
      </c>
      <c r="G908" s="375" t="s">
        <v>1724</v>
      </c>
      <c r="H908" s="375" t="s">
        <v>1725</v>
      </c>
      <c r="I908" s="63" t="s">
        <v>1726</v>
      </c>
      <c r="J908" s="47"/>
      <c r="K908" s="46" t="s">
        <v>10735</v>
      </c>
      <c r="L908" s="47"/>
      <c r="M908" s="47"/>
      <c r="N908" s="47"/>
      <c r="O908" s="47" t="s">
        <v>1727</v>
      </c>
      <c r="P908" s="47"/>
      <c r="Q908" s="47">
        <f>Q$2</f>
        <v>0</v>
      </c>
      <c r="R908" s="47"/>
      <c r="S908" s="47"/>
      <c r="T908" s="47"/>
      <c r="U908" s="47"/>
      <c r="V908" s="47"/>
      <c r="W908" s="47"/>
      <c r="X908" s="47"/>
      <c r="Y908" s="47"/>
      <c r="Z908" s="47">
        <f t="shared" si="196"/>
        <v>4620</v>
      </c>
      <c r="AA908" s="47"/>
      <c r="AB908" s="47"/>
      <c r="AC908" s="47"/>
      <c r="AD908" s="47"/>
      <c r="AE908" s="47"/>
      <c r="AF908" s="47"/>
      <c r="AG908" s="47"/>
      <c r="AH908" s="47" t="str">
        <f>IFERROR(_xlfn.XLOOKUP(Table6[[#This Row],[Suburb]],Table5[Travel Surcharge],Table5[$$]),"")</f>
        <v/>
      </c>
      <c r="AI908" s="47"/>
      <c r="AJ908" s="47"/>
    </row>
    <row r="909" spans="1:36">
      <c r="A909" s="374" t="s">
        <v>1720</v>
      </c>
      <c r="B909" s="374" t="s">
        <v>528</v>
      </c>
      <c r="C909" s="374" t="s">
        <v>1721</v>
      </c>
      <c r="D909" s="375" t="str">
        <f t="shared" si="189"/>
        <v>Brookhaven Estate4A</v>
      </c>
      <c r="E909" s="375" t="s">
        <v>1728</v>
      </c>
      <c r="F909" s="375" t="s">
        <v>1723</v>
      </c>
      <c r="G909" s="375" t="s">
        <v>1724</v>
      </c>
      <c r="H909" s="375" t="s">
        <v>1725</v>
      </c>
      <c r="I909" s="63" t="s">
        <v>1726</v>
      </c>
      <c r="J909" s="47"/>
      <c r="K909" s="46" t="s">
        <v>10735</v>
      </c>
      <c r="L909" s="47"/>
      <c r="M909" s="47"/>
      <c r="N909" s="47"/>
      <c r="O909" s="47" t="s">
        <v>1727</v>
      </c>
      <c r="P909" s="47"/>
      <c r="Q909" s="47">
        <f>Q$2</f>
        <v>0</v>
      </c>
      <c r="R909" s="47"/>
      <c r="S909" s="47"/>
      <c r="T909" s="47"/>
      <c r="U909" s="47"/>
      <c r="V909" s="47"/>
      <c r="W909" s="47"/>
      <c r="X909" s="47"/>
      <c r="Y909" s="47"/>
      <c r="Z909" s="47">
        <f t="shared" si="196"/>
        <v>4620</v>
      </c>
      <c r="AA909" s="47"/>
      <c r="AB909" s="47"/>
      <c r="AC909" s="47"/>
      <c r="AD909" s="47"/>
      <c r="AE909" s="47"/>
      <c r="AF909" s="47"/>
      <c r="AG909" s="47"/>
      <c r="AH909" s="47" t="str">
        <f>IFERROR(_xlfn.XLOOKUP(Table6[[#This Row],[Suburb]],Table5[Travel Surcharge],Table5[$$]),"")</f>
        <v/>
      </c>
      <c r="AI909" s="47"/>
      <c r="AJ909" s="47"/>
    </row>
    <row r="910" spans="1:36">
      <c r="A910" s="374" t="s">
        <v>1720</v>
      </c>
      <c r="B910" s="374" t="s">
        <v>613</v>
      </c>
      <c r="C910" s="374" t="s">
        <v>1721</v>
      </c>
      <c r="D910" s="375" t="str">
        <f t="shared" si="189"/>
        <v>Brookhaven Estate4B</v>
      </c>
      <c r="E910" s="375" t="s">
        <v>1728</v>
      </c>
      <c r="F910" s="375" t="s">
        <v>1723</v>
      </c>
      <c r="G910" s="375" t="s">
        <v>1724</v>
      </c>
      <c r="H910" s="375" t="s">
        <v>1725</v>
      </c>
      <c r="I910" s="63" t="s">
        <v>1726</v>
      </c>
      <c r="J910" s="47"/>
      <c r="K910" s="46" t="s">
        <v>10735</v>
      </c>
      <c r="L910" s="47"/>
      <c r="M910" s="47"/>
      <c r="N910" s="47"/>
      <c r="O910" s="47" t="s">
        <v>1727</v>
      </c>
      <c r="P910" s="47"/>
      <c r="Q910" s="47">
        <f>Q$2</f>
        <v>0</v>
      </c>
      <c r="R910" s="47"/>
      <c r="S910" s="47"/>
      <c r="T910" s="47"/>
      <c r="U910" s="47"/>
      <c r="V910" s="47"/>
      <c r="W910" s="47"/>
      <c r="X910" s="47"/>
      <c r="Y910" s="47"/>
      <c r="Z910" s="47">
        <f t="shared" si="196"/>
        <v>4620</v>
      </c>
      <c r="AA910" s="47"/>
      <c r="AB910" s="47"/>
      <c r="AC910" s="47"/>
      <c r="AD910" s="47"/>
      <c r="AE910" s="47"/>
      <c r="AF910" s="47"/>
      <c r="AG910" s="47"/>
      <c r="AH910" s="47" t="str">
        <f>IFERROR(_xlfn.XLOOKUP(Table6[[#This Row],[Suburb]],Table5[Travel Surcharge],Table5[$$]),"")</f>
        <v/>
      </c>
      <c r="AI910" s="47"/>
      <c r="AJ910" s="47"/>
    </row>
    <row r="911" spans="1:36">
      <c r="A911" s="157" t="s">
        <v>8795</v>
      </c>
      <c r="B911" s="157">
        <v>1</v>
      </c>
      <c r="C911" s="157" t="s">
        <v>802</v>
      </c>
      <c r="D911" s="157" t="str">
        <f t="shared" si="189"/>
        <v>Brunt Road1</v>
      </c>
      <c r="E911" s="157" t="s">
        <v>8796</v>
      </c>
      <c r="F911" s="157"/>
      <c r="G911" s="157"/>
      <c r="H911" s="157"/>
      <c r="I911" s="158"/>
      <c r="J911" s="47">
        <f>J$7</f>
        <v>3740</v>
      </c>
      <c r="K911" s="46" t="s">
        <v>10735</v>
      </c>
      <c r="L911" s="159"/>
      <c r="M911" s="159"/>
      <c r="N911" s="159"/>
      <c r="O911" s="159"/>
      <c r="P911" s="159"/>
      <c r="Q911" s="159">
        <f>Q$2</f>
        <v>0</v>
      </c>
      <c r="R911" s="159"/>
      <c r="S911" s="159"/>
      <c r="T911" s="159"/>
      <c r="U911" s="159"/>
      <c r="V911" s="159"/>
      <c r="W911" s="159"/>
      <c r="X911" s="159"/>
      <c r="Y911" s="159"/>
      <c r="Z911" s="159">
        <f t="shared" si="196"/>
        <v>4620</v>
      </c>
      <c r="AA911" s="159"/>
      <c r="AB911" s="159"/>
      <c r="AC911" s="159"/>
      <c r="AD911" s="159"/>
      <c r="AE911" s="159"/>
      <c r="AF911" s="159"/>
      <c r="AG911" s="159"/>
      <c r="AH911" s="47" t="str">
        <f>IFERROR(_xlfn.XLOOKUP(Table6[[#This Row],[Suburb]],Table5[Travel Surcharge],Table5[$$]),"")</f>
        <v/>
      </c>
      <c r="AI911" s="159"/>
      <c r="AJ911" s="159"/>
    </row>
    <row r="912" spans="1:36">
      <c r="A912" s="374" t="s">
        <v>1729</v>
      </c>
      <c r="B912" s="374">
        <v>1</v>
      </c>
      <c r="C912" s="374" t="s">
        <v>1381</v>
      </c>
      <c r="D912" s="375" t="str">
        <f t="shared" si="189"/>
        <v>Brunt Road Estate1</v>
      </c>
      <c r="E912" s="375" t="s">
        <v>1730</v>
      </c>
      <c r="F912" s="375" t="s">
        <v>1731</v>
      </c>
      <c r="G912" s="375" t="s">
        <v>1732</v>
      </c>
      <c r="H912" s="375" t="s">
        <v>1733</v>
      </c>
      <c r="I912" s="63" t="s">
        <v>1734</v>
      </c>
      <c r="J912" s="47">
        <f>J$7</f>
        <v>3740</v>
      </c>
      <c r="K912" s="46" t="s">
        <v>10735</v>
      </c>
      <c r="L912" s="47"/>
      <c r="M912" s="47"/>
      <c r="N912" s="47"/>
      <c r="O912" s="47"/>
      <c r="P912" s="47"/>
      <c r="Q912" s="47"/>
      <c r="R912" s="47"/>
      <c r="S912" s="47" t="s">
        <v>463</v>
      </c>
      <c r="T912" s="47"/>
      <c r="U912" s="47"/>
      <c r="V912" s="47"/>
      <c r="W912" s="47"/>
      <c r="X912" s="47"/>
      <c r="Y912" s="47"/>
      <c r="Z912" s="47">
        <f t="shared" si="196"/>
        <v>4620</v>
      </c>
      <c r="AA912" s="47"/>
      <c r="AB912" s="47"/>
      <c r="AC912" s="47"/>
      <c r="AD912" s="47"/>
      <c r="AE912" s="47"/>
      <c r="AF912" s="47"/>
      <c r="AG912" s="47"/>
      <c r="AH912" s="47" t="str">
        <f>IFERROR(_xlfn.XLOOKUP(Table6[[#This Row],[Suburb]],Table5[Travel Surcharge],Table5[$$]),"")</f>
        <v/>
      </c>
      <c r="AI912" s="47"/>
      <c r="AJ912" s="47"/>
    </row>
    <row r="913" spans="1:36" ht="270">
      <c r="A913" s="374" t="s">
        <v>10984</v>
      </c>
      <c r="B913" s="374">
        <v>1</v>
      </c>
      <c r="C913" s="374" t="s">
        <v>281</v>
      </c>
      <c r="D913" s="375" t="str">
        <f>CONCATENATE(A913,B913)</f>
        <v>Burvilles Grove1</v>
      </c>
      <c r="E913" s="375" t="s">
        <v>10985</v>
      </c>
      <c r="F913" s="375"/>
      <c r="G913" s="375"/>
      <c r="H913" s="375"/>
      <c r="I913" s="63"/>
      <c r="J913" s="47">
        <v>3740</v>
      </c>
      <c r="K913" s="51" t="s">
        <v>10986</v>
      </c>
      <c r="L913" s="47" t="s">
        <v>10987</v>
      </c>
      <c r="M913" s="47" t="s">
        <v>10988</v>
      </c>
      <c r="N913" s="47" t="s">
        <v>10380</v>
      </c>
      <c r="O913" s="47"/>
      <c r="P913" s="47"/>
      <c r="Q913" s="47">
        <v>0</v>
      </c>
      <c r="R913" s="47"/>
      <c r="S913" s="47"/>
      <c r="T913" s="47"/>
      <c r="U913" s="47"/>
      <c r="V913" s="47"/>
      <c r="W913" s="47"/>
      <c r="X913" s="47"/>
      <c r="Y913" s="47"/>
      <c r="Z913" s="47">
        <f>Z$7</f>
        <v>4620</v>
      </c>
      <c r="AA913" s="47"/>
      <c r="AB913" s="47"/>
      <c r="AC913" s="47"/>
      <c r="AD913" s="47"/>
      <c r="AE913" s="47"/>
      <c r="AF913" s="47"/>
      <c r="AG913" s="47"/>
      <c r="AH913" s="47">
        <v>1500</v>
      </c>
      <c r="AI913" s="47"/>
      <c r="AJ913" s="47"/>
    </row>
    <row r="914" spans="1:36">
      <c r="A914" s="374" t="s">
        <v>1735</v>
      </c>
      <c r="B914" s="374">
        <v>1</v>
      </c>
      <c r="C914" s="374" t="s">
        <v>1736</v>
      </c>
      <c r="D914" s="375" t="str">
        <f t="shared" si="189"/>
        <v>Burwood Brickworks1</v>
      </c>
      <c r="E914" s="375" t="s">
        <v>1737</v>
      </c>
      <c r="F914" s="375" t="s">
        <v>1738</v>
      </c>
      <c r="G914" s="375" t="s">
        <v>1739</v>
      </c>
      <c r="H914" s="375" t="s">
        <v>1740</v>
      </c>
      <c r="I914" s="63"/>
      <c r="J914" s="47">
        <f>J$7</f>
        <v>3740</v>
      </c>
      <c r="K914" s="46" t="s">
        <v>10735</v>
      </c>
      <c r="L914" s="47"/>
      <c r="M914" s="47"/>
      <c r="N914" s="47"/>
      <c r="O914" s="47"/>
      <c r="P914" s="47"/>
      <c r="Q914" s="47">
        <f>Q$2</f>
        <v>0</v>
      </c>
      <c r="R914" s="47"/>
      <c r="S914" s="47"/>
      <c r="T914" s="47"/>
      <c r="U914" s="47"/>
      <c r="V914" s="47"/>
      <c r="W914" s="47"/>
      <c r="X914" s="47"/>
      <c r="Y914" s="47"/>
      <c r="Z914" s="47">
        <f t="shared" si="196"/>
        <v>4620</v>
      </c>
      <c r="AA914" s="47"/>
      <c r="AB914" s="47"/>
      <c r="AC914" s="47"/>
      <c r="AD914" s="47"/>
      <c r="AE914" s="47"/>
      <c r="AF914" s="47"/>
      <c r="AG914" s="47"/>
      <c r="AH914" s="47" t="str">
        <f>IFERROR(_xlfn.XLOOKUP(Table6[[#This Row],[Suburb]],Table5[Travel Surcharge],Table5[$$]),"")</f>
        <v/>
      </c>
      <c r="AI914" s="47"/>
      <c r="AJ914" s="47"/>
    </row>
    <row r="915" spans="1:36">
      <c r="A915" s="374" t="s">
        <v>1741</v>
      </c>
      <c r="B915" s="374">
        <v>1</v>
      </c>
      <c r="C915" s="374" t="s">
        <v>1742</v>
      </c>
      <c r="D915" s="375" t="str">
        <f t="shared" si="189"/>
        <v>Cairnlea Estate1</v>
      </c>
      <c r="E915" s="375" t="s">
        <v>1743</v>
      </c>
      <c r="F915" s="375"/>
      <c r="G915" s="375"/>
      <c r="H915" s="375"/>
      <c r="I915" s="63"/>
      <c r="J915" s="47"/>
      <c r="K915" s="46" t="s">
        <v>10735</v>
      </c>
      <c r="L915" s="47"/>
      <c r="M915" s="47"/>
      <c r="N915" s="47"/>
      <c r="O915" s="47"/>
      <c r="P915" s="47"/>
      <c r="Q915" s="47">
        <f>Q$2</f>
        <v>0</v>
      </c>
      <c r="R915" s="47"/>
      <c r="S915" s="47"/>
      <c r="T915" s="47"/>
      <c r="U915" s="47"/>
      <c r="V915" s="47"/>
      <c r="W915" s="47"/>
      <c r="X915" s="47"/>
      <c r="Y915" s="47"/>
      <c r="Z915" s="47">
        <f t="shared" si="196"/>
        <v>4620</v>
      </c>
      <c r="AA915" s="47"/>
      <c r="AB915" s="47"/>
      <c r="AC915" s="47"/>
      <c r="AD915" s="47"/>
      <c r="AE915" s="47"/>
      <c r="AF915" s="47"/>
      <c r="AG915" s="47"/>
      <c r="AH915" s="47" t="str">
        <f>IFERROR(_xlfn.XLOOKUP(Table6[[#This Row],[Suburb]],Table5[Travel Surcharge],Table5[$$]),"")</f>
        <v/>
      </c>
      <c r="AI915" s="47"/>
      <c r="AJ915" s="47"/>
    </row>
    <row r="916" spans="1:36">
      <c r="A916" s="374" t="s">
        <v>1744</v>
      </c>
      <c r="B916" s="374">
        <v>1</v>
      </c>
      <c r="C916" s="374" t="s">
        <v>1261</v>
      </c>
      <c r="D916" s="375" t="str">
        <f t="shared" si="189"/>
        <v>Caldera1</v>
      </c>
      <c r="E916" s="375" t="s">
        <v>1745</v>
      </c>
      <c r="F916" s="375" t="s">
        <v>1746</v>
      </c>
      <c r="G916" s="375" t="s">
        <v>1747</v>
      </c>
      <c r="H916" s="375" t="s">
        <v>1748</v>
      </c>
      <c r="I916" s="63" t="s">
        <v>1749</v>
      </c>
      <c r="J916" s="47"/>
      <c r="K916" s="46" t="s">
        <v>10735</v>
      </c>
      <c r="L916" s="47"/>
      <c r="M916" s="47">
        <v>1430.0000000000002</v>
      </c>
      <c r="N916" s="47"/>
      <c r="O916" s="47"/>
      <c r="P916" s="47"/>
      <c r="Q916" s="47"/>
      <c r="R916" s="47">
        <f>R$2</f>
        <v>540</v>
      </c>
      <c r="S916" s="47"/>
      <c r="T916" s="47"/>
      <c r="U916" s="47"/>
      <c r="V916" s="47"/>
      <c r="W916" s="47"/>
      <c r="X916" s="47"/>
      <c r="Y916" s="47"/>
      <c r="Z916" s="47">
        <f t="shared" si="196"/>
        <v>4620</v>
      </c>
      <c r="AA916" s="47"/>
      <c r="AB916" s="47"/>
      <c r="AC916" s="47"/>
      <c r="AD916" s="47"/>
      <c r="AE916" s="47"/>
      <c r="AF916" s="47"/>
      <c r="AG916" s="47"/>
      <c r="AH916" s="47" t="str">
        <f>IFERROR(_xlfn.XLOOKUP(Table6[[#This Row],[Suburb]],Table5[Travel Surcharge],Table5[$$]),"")</f>
        <v/>
      </c>
      <c r="AI916" s="47"/>
      <c r="AJ916" s="47"/>
    </row>
    <row r="917" spans="1:36">
      <c r="A917" s="374" t="s">
        <v>1750</v>
      </c>
      <c r="B917" s="374">
        <v>1</v>
      </c>
      <c r="C917" s="374" t="s">
        <v>455</v>
      </c>
      <c r="D917" s="375" t="str">
        <f t="shared" si="189"/>
        <v>Caledonia Estate1</v>
      </c>
      <c r="E917" s="375" t="s">
        <v>1751</v>
      </c>
      <c r="F917" s="375" t="s">
        <v>1155</v>
      </c>
      <c r="G917" s="375" t="s">
        <v>1752</v>
      </c>
      <c r="H917" s="375" t="s">
        <v>1753</v>
      </c>
      <c r="I917" s="63" t="s">
        <v>1754</v>
      </c>
      <c r="J917" s="47">
        <f>J$7</f>
        <v>3740</v>
      </c>
      <c r="K917" s="46" t="s">
        <v>10735</v>
      </c>
      <c r="L917" s="47"/>
      <c r="M917" s="47"/>
      <c r="N917" s="47"/>
      <c r="O917" s="47"/>
      <c r="P917" s="47"/>
      <c r="Q917" s="47"/>
      <c r="R917" s="47"/>
      <c r="S917" s="47"/>
      <c r="T917" s="47">
        <f>T$2</f>
        <v>780</v>
      </c>
      <c r="U917" s="47"/>
      <c r="V917" s="47"/>
      <c r="W917" s="47"/>
      <c r="X917" s="47"/>
      <c r="Y917" s="47"/>
      <c r="Z917" s="47">
        <f t="shared" si="196"/>
        <v>4620</v>
      </c>
      <c r="AA917" s="47"/>
      <c r="AB917" s="47"/>
      <c r="AC917" s="47"/>
      <c r="AD917" s="47"/>
      <c r="AE917" s="47"/>
      <c r="AF917" s="47"/>
      <c r="AG917" s="47" t="s">
        <v>464</v>
      </c>
      <c r="AH917" s="47" t="str">
        <f>IFERROR(_xlfn.XLOOKUP(Table6[[#This Row],[Suburb]],Table5[Travel Surcharge],Table5[$$]),"")</f>
        <v/>
      </c>
      <c r="AI917" s="47"/>
      <c r="AJ917" s="47"/>
    </row>
    <row r="918" spans="1:36">
      <c r="A918" s="374" t="s">
        <v>1750</v>
      </c>
      <c r="B918" s="374">
        <v>2</v>
      </c>
      <c r="C918" s="374" t="s">
        <v>455</v>
      </c>
      <c r="D918" s="375" t="str">
        <f t="shared" si="189"/>
        <v>Caledonia Estate2</v>
      </c>
      <c r="E918" s="375" t="s">
        <v>1755</v>
      </c>
      <c r="F918" s="375" t="s">
        <v>1155</v>
      </c>
      <c r="G918" s="375" t="s">
        <v>1752</v>
      </c>
      <c r="H918" s="375" t="s">
        <v>1753</v>
      </c>
      <c r="I918" s="63" t="s">
        <v>1754</v>
      </c>
      <c r="J918" s="47">
        <f>J$7</f>
        <v>3740</v>
      </c>
      <c r="K918" s="46" t="s">
        <v>10735</v>
      </c>
      <c r="L918" s="47"/>
      <c r="M918" s="47"/>
      <c r="N918" s="47"/>
      <c r="O918" s="47"/>
      <c r="P918" s="47"/>
      <c r="Q918" s="47"/>
      <c r="R918" s="47"/>
      <c r="S918" s="47"/>
      <c r="T918" s="47">
        <f>T$2</f>
        <v>780</v>
      </c>
      <c r="U918" s="47"/>
      <c r="V918" s="47"/>
      <c r="W918" s="47"/>
      <c r="X918" s="47"/>
      <c r="Y918" s="47"/>
      <c r="Z918" s="47">
        <f t="shared" si="196"/>
        <v>4620</v>
      </c>
      <c r="AA918" s="47"/>
      <c r="AB918" s="47"/>
      <c r="AC918" s="47"/>
      <c r="AD918" s="47"/>
      <c r="AE918" s="47"/>
      <c r="AF918" s="47"/>
      <c r="AG918" s="47" t="s">
        <v>464</v>
      </c>
      <c r="AH918" s="47" t="str">
        <f>IFERROR(_xlfn.XLOOKUP(Table6[[#This Row],[Suburb]],Table5[Travel Surcharge],Table5[$$]),"")</f>
        <v/>
      </c>
      <c r="AI918" s="47"/>
      <c r="AJ918" s="47"/>
    </row>
    <row r="919" spans="1:36">
      <c r="A919" s="374" t="s">
        <v>1750</v>
      </c>
      <c r="B919" s="374">
        <v>3</v>
      </c>
      <c r="C919" s="374" t="s">
        <v>455</v>
      </c>
      <c r="D919" s="375" t="str">
        <f t="shared" si="189"/>
        <v>Caledonia Estate3</v>
      </c>
      <c r="E919" s="375" t="s">
        <v>1756</v>
      </c>
      <c r="F919" s="375" t="s">
        <v>1155</v>
      </c>
      <c r="G919" s="375" t="s">
        <v>1752</v>
      </c>
      <c r="H919" s="375" t="s">
        <v>1753</v>
      </c>
      <c r="I919" s="63" t="s">
        <v>1754</v>
      </c>
      <c r="J919" s="47">
        <f>J$7</f>
        <v>3740</v>
      </c>
      <c r="K919" s="46" t="s">
        <v>10735</v>
      </c>
      <c r="L919" s="47"/>
      <c r="M919" s="47"/>
      <c r="N919" s="47"/>
      <c r="O919" s="47"/>
      <c r="P919" s="47"/>
      <c r="Q919" s="47"/>
      <c r="R919" s="47"/>
      <c r="S919" s="47"/>
      <c r="T919" s="47">
        <f>T$2</f>
        <v>780</v>
      </c>
      <c r="U919" s="47"/>
      <c r="V919" s="47"/>
      <c r="W919" s="47"/>
      <c r="X919" s="47"/>
      <c r="Y919" s="47"/>
      <c r="Z919" s="47">
        <f t="shared" si="196"/>
        <v>4620</v>
      </c>
      <c r="AA919" s="47"/>
      <c r="AB919" s="47"/>
      <c r="AC919" s="47"/>
      <c r="AD919" s="47"/>
      <c r="AE919" s="47"/>
      <c r="AF919" s="47"/>
      <c r="AG919" s="47" t="s">
        <v>464</v>
      </c>
      <c r="AH919" s="47" t="str">
        <f>IFERROR(_xlfn.XLOOKUP(Table6[[#This Row],[Suburb]],Table5[Travel Surcharge],Table5[$$]),"")</f>
        <v/>
      </c>
      <c r="AI919" s="47"/>
      <c r="AJ919" s="47"/>
    </row>
    <row r="920" spans="1:36">
      <c r="A920" s="374" t="s">
        <v>1757</v>
      </c>
      <c r="B920" s="374">
        <v>1</v>
      </c>
      <c r="C920" s="374" t="s">
        <v>728</v>
      </c>
      <c r="D920" s="375" t="str">
        <f t="shared" si="189"/>
        <v>Camden Place Estate1</v>
      </c>
      <c r="E920" s="375" t="s">
        <v>1758</v>
      </c>
      <c r="F920" s="375"/>
      <c r="G920" s="375" t="s">
        <v>1759</v>
      </c>
      <c r="H920" s="375" t="s">
        <v>1760</v>
      </c>
      <c r="I920" s="63" t="s">
        <v>1761</v>
      </c>
      <c r="J920" s="47">
        <f>J$7</f>
        <v>3740</v>
      </c>
      <c r="K920" s="46" t="s">
        <v>10735</v>
      </c>
      <c r="L920" s="47" t="s">
        <v>1762</v>
      </c>
      <c r="M920" s="47">
        <f>M$7</f>
        <v>1430.0000000000002</v>
      </c>
      <c r="N920" s="47"/>
      <c r="O920" s="47">
        <f>O$7</f>
        <v>4950</v>
      </c>
      <c r="P920" s="47" t="s">
        <v>1763</v>
      </c>
      <c r="Q920" s="47" t="s">
        <v>1764</v>
      </c>
      <c r="R920" s="47"/>
      <c r="S920" s="47" t="s">
        <v>1765</v>
      </c>
      <c r="T920" s="47" t="s">
        <v>1766</v>
      </c>
      <c r="U920" s="47">
        <f>U$2</f>
        <v>430</v>
      </c>
      <c r="V920" s="47" t="s">
        <v>1767</v>
      </c>
      <c r="W920" s="47" t="s">
        <v>1768</v>
      </c>
      <c r="X920" s="47"/>
      <c r="Y920" s="47"/>
      <c r="Z920" s="47">
        <f t="shared" si="196"/>
        <v>4620</v>
      </c>
      <c r="AA920" s="47">
        <f>AA$7</f>
        <v>1400</v>
      </c>
      <c r="AB920" s="47"/>
      <c r="AC920" s="47"/>
      <c r="AD920" s="47"/>
      <c r="AE920" s="47"/>
      <c r="AF920" s="47">
        <f>AF$7</f>
        <v>1485</v>
      </c>
      <c r="AG920" s="47"/>
      <c r="AH920" s="47" t="str">
        <f>IFERROR(_xlfn.XLOOKUP(Table6[[#This Row],[Suburb]],Table5[Travel Surcharge],Table5[$$]),"")</f>
        <v/>
      </c>
      <c r="AI920" s="47"/>
      <c r="AJ920" s="47"/>
    </row>
    <row r="921" spans="1:36">
      <c r="A921" s="374" t="s">
        <v>1757</v>
      </c>
      <c r="B921" s="276" t="s">
        <v>718</v>
      </c>
      <c r="C921" s="374" t="s">
        <v>728</v>
      </c>
      <c r="D921" s="375" t="str">
        <f t="shared" si="189"/>
        <v>Camden Place Estate2A</v>
      </c>
      <c r="E921" s="375" t="s">
        <v>1769</v>
      </c>
      <c r="F921" s="375"/>
      <c r="G921" s="375" t="s">
        <v>1759</v>
      </c>
      <c r="H921" s="375" t="s">
        <v>1760</v>
      </c>
      <c r="I921" s="63" t="s">
        <v>1761</v>
      </c>
      <c r="J921" s="47">
        <f>J$7</f>
        <v>3740</v>
      </c>
      <c r="K921" s="46" t="s">
        <v>10735</v>
      </c>
      <c r="L921" s="47" t="s">
        <v>1762</v>
      </c>
      <c r="M921" s="47">
        <f>M$7</f>
        <v>1430.0000000000002</v>
      </c>
      <c r="N921" s="47"/>
      <c r="O921" s="47">
        <f>O$7</f>
        <v>4950</v>
      </c>
      <c r="P921" s="47" t="s">
        <v>1763</v>
      </c>
      <c r="Q921" s="47" t="s">
        <v>1764</v>
      </c>
      <c r="R921" s="47"/>
      <c r="S921" s="47" t="s">
        <v>1765</v>
      </c>
      <c r="T921" s="47" t="s">
        <v>1766</v>
      </c>
      <c r="U921" s="47">
        <f>U$2</f>
        <v>430</v>
      </c>
      <c r="V921" s="47" t="s">
        <v>1767</v>
      </c>
      <c r="W921" s="47" t="s">
        <v>1768</v>
      </c>
      <c r="X921" s="47"/>
      <c r="Y921" s="47"/>
      <c r="Z921" s="47">
        <f t="shared" si="196"/>
        <v>4620</v>
      </c>
      <c r="AA921" s="47">
        <f>AA$7</f>
        <v>1400</v>
      </c>
      <c r="AB921" s="47"/>
      <c r="AC921" s="47"/>
      <c r="AD921" s="47"/>
      <c r="AE921" s="47"/>
      <c r="AF921" s="47">
        <f>AF$7</f>
        <v>1485</v>
      </c>
      <c r="AG921" s="47"/>
      <c r="AH921" s="47" t="str">
        <f>IFERROR(_xlfn.XLOOKUP(Table6[[#This Row],[Suburb]],Table5[Travel Surcharge],Table5[$$]),"")</f>
        <v/>
      </c>
      <c r="AI921" s="47"/>
      <c r="AJ921" s="47"/>
    </row>
    <row r="922" spans="1:36">
      <c r="A922" s="374" t="s">
        <v>1757</v>
      </c>
      <c r="B922" s="276">
        <v>3</v>
      </c>
      <c r="C922" s="374" t="s">
        <v>728</v>
      </c>
      <c r="D922" s="375" t="str">
        <f t="shared" si="189"/>
        <v>Camden Place Estate3</v>
      </c>
      <c r="E922" s="375" t="s">
        <v>10337</v>
      </c>
      <c r="F922" s="375"/>
      <c r="G922" s="375" t="s">
        <v>1759</v>
      </c>
      <c r="H922" s="375" t="s">
        <v>1760</v>
      </c>
      <c r="I922" s="63" t="s">
        <v>1761</v>
      </c>
      <c r="J922" s="47">
        <v>3740</v>
      </c>
      <c r="K922" s="46" t="s">
        <v>10735</v>
      </c>
      <c r="L922" s="47" t="s">
        <v>1762</v>
      </c>
      <c r="M922" s="47">
        <v>1430.0000000000002</v>
      </c>
      <c r="N922" s="47"/>
      <c r="O922" s="47">
        <v>4950</v>
      </c>
      <c r="P922" s="47" t="s">
        <v>1763</v>
      </c>
      <c r="Q922" s="47" t="s">
        <v>1764</v>
      </c>
      <c r="R922" s="47"/>
      <c r="S922" s="47" t="s">
        <v>1765</v>
      </c>
      <c r="T922" s="47" t="s">
        <v>1766</v>
      </c>
      <c r="U922" s="47">
        <v>540</v>
      </c>
      <c r="V922" s="47" t="s">
        <v>1767</v>
      </c>
      <c r="W922" s="47" t="s">
        <v>1768</v>
      </c>
      <c r="X922" s="47"/>
      <c r="Y922" s="47"/>
      <c r="Z922" s="47">
        <v>4620</v>
      </c>
      <c r="AA922" s="47">
        <v>1400</v>
      </c>
      <c r="AB922" s="47"/>
      <c r="AC922" s="47"/>
      <c r="AD922" s="47"/>
      <c r="AE922" s="47"/>
      <c r="AF922" s="47">
        <v>1485</v>
      </c>
      <c r="AG922" s="47"/>
      <c r="AH922" s="47" t="s">
        <v>9976</v>
      </c>
      <c r="AI922" s="47"/>
      <c r="AJ922" s="47"/>
    </row>
    <row r="923" spans="1:36">
      <c r="A923" s="374" t="s">
        <v>1770</v>
      </c>
      <c r="B923" s="374">
        <v>1</v>
      </c>
      <c r="C923" s="374" t="s">
        <v>293</v>
      </c>
      <c r="D923" s="375" t="str">
        <f t="shared" si="189"/>
        <v>Canadian Views Estate1</v>
      </c>
      <c r="E923" s="375" t="s">
        <v>1771</v>
      </c>
      <c r="F923" s="375" t="s">
        <v>1772</v>
      </c>
      <c r="G923" s="375" t="s">
        <v>1773</v>
      </c>
      <c r="H923" s="375" t="s">
        <v>1774</v>
      </c>
      <c r="I923" s="63" t="s">
        <v>1775</v>
      </c>
      <c r="J923" s="47"/>
      <c r="K923" s="46" t="s">
        <v>10735</v>
      </c>
      <c r="L923" s="47"/>
      <c r="M923" s="47"/>
      <c r="N923" s="47" t="s">
        <v>1776</v>
      </c>
      <c r="O923" s="47">
        <f>O$7</f>
        <v>4950</v>
      </c>
      <c r="P923" s="47" t="s">
        <v>8788</v>
      </c>
      <c r="Q923" s="47"/>
      <c r="R923" s="47"/>
      <c r="S923" s="47"/>
      <c r="T923" s="47">
        <f>T$2</f>
        <v>780</v>
      </c>
      <c r="U923" s="47"/>
      <c r="V923" s="47"/>
      <c r="W923" s="47"/>
      <c r="X923" s="47"/>
      <c r="Y923" s="47"/>
      <c r="Z923" s="47">
        <f t="shared" ref="Z923:Z947" si="199">Z$7</f>
        <v>4620</v>
      </c>
      <c r="AA923" s="47"/>
      <c r="AB923" s="47"/>
      <c r="AC923" s="47"/>
      <c r="AD923" s="47"/>
      <c r="AE923" s="47"/>
      <c r="AF923" s="47"/>
      <c r="AG923" s="47"/>
      <c r="AH923" s="47">
        <f>IFERROR(_xlfn.XLOOKUP(Table6[[#This Row],[Suburb]],Table5[Travel Surcharge],Table5[$$]),"")</f>
        <v>8000</v>
      </c>
      <c r="AI923" s="47"/>
      <c r="AJ923" s="47">
        <f>AJ$7</f>
        <v>4400</v>
      </c>
    </row>
    <row r="924" spans="1:36">
      <c r="A924" s="374" t="s">
        <v>1770</v>
      </c>
      <c r="B924" s="374">
        <v>2</v>
      </c>
      <c r="C924" s="374" t="s">
        <v>293</v>
      </c>
      <c r="D924" s="375" t="str">
        <f t="shared" si="189"/>
        <v>Canadian Views Estate2</v>
      </c>
      <c r="E924" s="375" t="s">
        <v>1777</v>
      </c>
      <c r="F924" s="375" t="s">
        <v>1772</v>
      </c>
      <c r="G924" s="375" t="s">
        <v>1773</v>
      </c>
      <c r="H924" s="375" t="s">
        <v>1774</v>
      </c>
      <c r="I924" s="63" t="s">
        <v>1775</v>
      </c>
      <c r="J924" s="47"/>
      <c r="K924" s="46" t="s">
        <v>10735</v>
      </c>
      <c r="L924" s="47"/>
      <c r="M924" s="47"/>
      <c r="N924" s="47" t="s">
        <v>1776</v>
      </c>
      <c r="O924" s="47">
        <f>O$7</f>
        <v>4950</v>
      </c>
      <c r="P924" s="47" t="s">
        <v>8788</v>
      </c>
      <c r="Q924" s="47"/>
      <c r="R924" s="47"/>
      <c r="S924" s="47"/>
      <c r="T924" s="47">
        <f>T$2</f>
        <v>780</v>
      </c>
      <c r="U924" s="47"/>
      <c r="V924" s="47"/>
      <c r="W924" s="47"/>
      <c r="X924" s="47"/>
      <c r="Y924" s="47"/>
      <c r="Z924" s="47">
        <f t="shared" si="199"/>
        <v>4620</v>
      </c>
      <c r="AA924" s="47"/>
      <c r="AB924" s="47"/>
      <c r="AC924" s="47"/>
      <c r="AD924" s="47"/>
      <c r="AE924" s="47"/>
      <c r="AF924" s="47"/>
      <c r="AG924" s="47"/>
      <c r="AH924" s="47">
        <f>IFERROR(_xlfn.XLOOKUP(Table6[[#This Row],[Suburb]],Table5[Travel Surcharge],Table5[$$]),"")</f>
        <v>8000</v>
      </c>
      <c r="AI924" s="47"/>
      <c r="AJ924" s="47">
        <f>AJ$7</f>
        <v>4400</v>
      </c>
    </row>
    <row r="925" spans="1:36">
      <c r="A925" s="374" t="s">
        <v>1770</v>
      </c>
      <c r="B925" s="374">
        <v>4</v>
      </c>
      <c r="C925" s="374" t="s">
        <v>293</v>
      </c>
      <c r="D925" s="375" t="str">
        <f t="shared" si="189"/>
        <v>Canadian Views Estate4</v>
      </c>
      <c r="E925" s="375" t="s">
        <v>1778</v>
      </c>
      <c r="F925" s="375" t="s">
        <v>1772</v>
      </c>
      <c r="G925" s="375" t="s">
        <v>1773</v>
      </c>
      <c r="H925" s="375" t="s">
        <v>1774</v>
      </c>
      <c r="I925" s="63" t="s">
        <v>1775</v>
      </c>
      <c r="J925" s="47"/>
      <c r="K925" s="46" t="s">
        <v>10735</v>
      </c>
      <c r="L925" s="47"/>
      <c r="M925" s="47"/>
      <c r="N925" s="47" t="s">
        <v>1776</v>
      </c>
      <c r="O925" s="47">
        <f>O$7</f>
        <v>4950</v>
      </c>
      <c r="P925" s="47" t="s">
        <v>8788</v>
      </c>
      <c r="Q925" s="47"/>
      <c r="R925" s="47"/>
      <c r="S925" s="47"/>
      <c r="T925" s="47">
        <f>T$2</f>
        <v>780</v>
      </c>
      <c r="U925" s="47"/>
      <c r="V925" s="47"/>
      <c r="W925" s="47"/>
      <c r="X925" s="47"/>
      <c r="Y925" s="47"/>
      <c r="Z925" s="47">
        <f t="shared" si="199"/>
        <v>4620</v>
      </c>
      <c r="AA925" s="47"/>
      <c r="AB925" s="47"/>
      <c r="AC925" s="47"/>
      <c r="AD925" s="47"/>
      <c r="AE925" s="47"/>
      <c r="AF925" s="47"/>
      <c r="AG925" s="47"/>
      <c r="AH925" s="47">
        <f>IFERROR(_xlfn.XLOOKUP(Table6[[#This Row],[Suburb]],Table5[Travel Surcharge],Table5[$$]),"")</f>
        <v>8000</v>
      </c>
      <c r="AI925" s="47"/>
      <c r="AJ925" s="47">
        <f>AJ$7</f>
        <v>4400</v>
      </c>
    </row>
    <row r="926" spans="1:36">
      <c r="A926" s="374" t="s">
        <v>1779</v>
      </c>
      <c r="B926" s="374">
        <v>2</v>
      </c>
      <c r="C926" s="374" t="s">
        <v>529</v>
      </c>
      <c r="D926" s="375" t="str">
        <f t="shared" ref="D926:D992" si="200">CONCATENATE(A926,B926)</f>
        <v>Canopy Estate2</v>
      </c>
      <c r="E926" s="375" t="s">
        <v>1780</v>
      </c>
      <c r="F926" s="375" t="s">
        <v>1781</v>
      </c>
      <c r="G926" s="375" t="s">
        <v>1325</v>
      </c>
      <c r="H926" s="375" t="s">
        <v>1782</v>
      </c>
      <c r="I926" s="63" t="s">
        <v>1783</v>
      </c>
      <c r="J926" s="47">
        <f t="shared" ref="J926:J943" si="201">J$7</f>
        <v>3740</v>
      </c>
      <c r="K926" s="46" t="s">
        <v>7938</v>
      </c>
      <c r="L926" s="47"/>
      <c r="M926" s="47">
        <v>1430</v>
      </c>
      <c r="N926" s="47" t="s">
        <v>1784</v>
      </c>
      <c r="O926" s="47"/>
      <c r="P926" s="47"/>
      <c r="Q926" s="47"/>
      <c r="R926" s="47"/>
      <c r="S926" s="47"/>
      <c r="T926" s="47"/>
      <c r="U926" s="47">
        <f t="shared" ref="U926:U938" si="202">U$2</f>
        <v>430</v>
      </c>
      <c r="V926" s="47"/>
      <c r="W926" s="47"/>
      <c r="X926" s="47"/>
      <c r="Y926" s="47"/>
      <c r="Z926" s="47">
        <f t="shared" si="199"/>
        <v>4620</v>
      </c>
      <c r="AA926" s="47">
        <f t="shared" ref="AA926:AA938" si="203">AA$7</f>
        <v>1400</v>
      </c>
      <c r="AB926" s="47"/>
      <c r="AC926" s="47"/>
      <c r="AD926" s="47"/>
      <c r="AE926" s="47"/>
      <c r="AF926" s="47">
        <f t="shared" ref="AF926:AF938" si="204">AF$7</f>
        <v>1485</v>
      </c>
      <c r="AG926" s="47" t="s">
        <v>1785</v>
      </c>
      <c r="AH926" s="47" t="str">
        <f>IFERROR(_xlfn.XLOOKUP(Table6[[#This Row],[Suburb]],Table5[Travel Surcharge],Table5[$$]),"")</f>
        <v/>
      </c>
      <c r="AI926" s="47">
        <f t="shared" ref="AI926:AI938" si="205">AI$7</f>
        <v>1650.0000000000002</v>
      </c>
      <c r="AJ926" s="47"/>
    </row>
    <row r="927" spans="1:36" ht="15.75" customHeight="1">
      <c r="A927" s="374" t="s">
        <v>1779</v>
      </c>
      <c r="B927" s="374">
        <v>3</v>
      </c>
      <c r="C927" s="374" t="s">
        <v>529</v>
      </c>
      <c r="D927" s="375" t="str">
        <f t="shared" si="200"/>
        <v>Canopy Estate3</v>
      </c>
      <c r="E927" s="375" t="s">
        <v>1786</v>
      </c>
      <c r="F927" s="375" t="s">
        <v>1781</v>
      </c>
      <c r="G927" s="375" t="s">
        <v>1325</v>
      </c>
      <c r="H927" s="375" t="s">
        <v>1782</v>
      </c>
      <c r="I927" s="63" t="s">
        <v>1783</v>
      </c>
      <c r="J927" s="47">
        <f t="shared" si="201"/>
        <v>3740</v>
      </c>
      <c r="K927" s="46" t="s">
        <v>7938</v>
      </c>
      <c r="L927" s="47"/>
      <c r="M927" s="47">
        <v>1430.0000000000002</v>
      </c>
      <c r="N927" s="47" t="s">
        <v>1784</v>
      </c>
      <c r="O927" s="47"/>
      <c r="P927" s="47"/>
      <c r="Q927" s="47"/>
      <c r="R927" s="47"/>
      <c r="S927" s="47"/>
      <c r="T927" s="47"/>
      <c r="U927" s="47">
        <f t="shared" si="202"/>
        <v>430</v>
      </c>
      <c r="V927" s="47"/>
      <c r="W927" s="47"/>
      <c r="X927" s="47"/>
      <c r="Y927" s="47"/>
      <c r="Z927" s="47">
        <f t="shared" si="199"/>
        <v>4620</v>
      </c>
      <c r="AA927" s="47">
        <f t="shared" si="203"/>
        <v>1400</v>
      </c>
      <c r="AB927" s="47"/>
      <c r="AC927" s="47"/>
      <c r="AD927" s="47"/>
      <c r="AE927" s="47"/>
      <c r="AF927" s="47">
        <f t="shared" si="204"/>
        <v>1485</v>
      </c>
      <c r="AG927" s="47" t="s">
        <v>1785</v>
      </c>
      <c r="AH927" s="47" t="str">
        <f>IFERROR(_xlfn.XLOOKUP(Table6[[#This Row],[Suburb]],Table5[Travel Surcharge],Table5[$$]),"")</f>
        <v/>
      </c>
      <c r="AI927" s="47">
        <f t="shared" si="205"/>
        <v>1650.0000000000002</v>
      </c>
      <c r="AJ927" s="47"/>
    </row>
    <row r="928" spans="1:36" ht="15.75" customHeight="1">
      <c r="A928" s="374" t="s">
        <v>1779</v>
      </c>
      <c r="B928" s="374">
        <v>4</v>
      </c>
      <c r="C928" s="374" t="s">
        <v>529</v>
      </c>
      <c r="D928" s="375" t="str">
        <f t="shared" si="200"/>
        <v>Canopy Estate4</v>
      </c>
      <c r="E928" s="375" t="s">
        <v>1787</v>
      </c>
      <c r="F928" s="375" t="s">
        <v>1781</v>
      </c>
      <c r="G928" s="375" t="s">
        <v>1325</v>
      </c>
      <c r="H928" s="375" t="s">
        <v>1782</v>
      </c>
      <c r="I928" s="63" t="s">
        <v>1783</v>
      </c>
      <c r="J928" s="47">
        <f t="shared" si="201"/>
        <v>3740</v>
      </c>
      <c r="K928" s="46" t="s">
        <v>7938</v>
      </c>
      <c r="L928" s="47"/>
      <c r="M928" s="47">
        <v>1430.0000000000002</v>
      </c>
      <c r="N928" s="47" t="s">
        <v>1784</v>
      </c>
      <c r="O928" s="47"/>
      <c r="P928" s="47"/>
      <c r="Q928" s="47"/>
      <c r="R928" s="47"/>
      <c r="S928" s="47"/>
      <c r="T928" s="47"/>
      <c r="U928" s="47">
        <f t="shared" si="202"/>
        <v>430</v>
      </c>
      <c r="V928" s="47"/>
      <c r="W928" s="47"/>
      <c r="X928" s="47"/>
      <c r="Y928" s="47"/>
      <c r="Z928" s="47">
        <f t="shared" si="199"/>
        <v>4620</v>
      </c>
      <c r="AA928" s="47">
        <f t="shared" si="203"/>
        <v>1400</v>
      </c>
      <c r="AB928" s="47"/>
      <c r="AC928" s="47"/>
      <c r="AD928" s="47"/>
      <c r="AE928" s="47"/>
      <c r="AF928" s="47">
        <f t="shared" si="204"/>
        <v>1485</v>
      </c>
      <c r="AG928" s="47" t="s">
        <v>1785</v>
      </c>
      <c r="AH928" s="47" t="str">
        <f>IFERROR(_xlfn.XLOOKUP(Table6[[#This Row],[Suburb]],Table5[Travel Surcharge],Table5[$$]),"")</f>
        <v/>
      </c>
      <c r="AI928" s="47">
        <f t="shared" si="205"/>
        <v>1650.0000000000002</v>
      </c>
      <c r="AJ928" s="47"/>
    </row>
    <row r="929" spans="1:36">
      <c r="A929" s="374" t="s">
        <v>1779</v>
      </c>
      <c r="B929" s="374">
        <v>5</v>
      </c>
      <c r="C929" s="374" t="s">
        <v>529</v>
      </c>
      <c r="D929" s="375" t="str">
        <f t="shared" si="200"/>
        <v>Canopy Estate5</v>
      </c>
      <c r="E929" s="375" t="s">
        <v>1788</v>
      </c>
      <c r="F929" s="375" t="s">
        <v>1781</v>
      </c>
      <c r="G929" s="375" t="s">
        <v>1325</v>
      </c>
      <c r="H929" s="375" t="s">
        <v>1782</v>
      </c>
      <c r="I929" s="63" t="s">
        <v>1783</v>
      </c>
      <c r="J929" s="47">
        <f t="shared" si="201"/>
        <v>3740</v>
      </c>
      <c r="K929" s="46" t="s">
        <v>7938</v>
      </c>
      <c r="L929" s="47"/>
      <c r="M929" s="47">
        <v>1430.0000000000002</v>
      </c>
      <c r="N929" s="47" t="s">
        <v>1784</v>
      </c>
      <c r="O929" s="47"/>
      <c r="P929" s="47"/>
      <c r="Q929" s="47"/>
      <c r="R929" s="47"/>
      <c r="S929" s="47"/>
      <c r="T929" s="47"/>
      <c r="U929" s="47">
        <f t="shared" si="202"/>
        <v>430</v>
      </c>
      <c r="V929" s="47"/>
      <c r="W929" s="47"/>
      <c r="X929" s="47"/>
      <c r="Y929" s="47"/>
      <c r="Z929" s="47">
        <f t="shared" si="199"/>
        <v>4620</v>
      </c>
      <c r="AA929" s="47">
        <f t="shared" si="203"/>
        <v>1400</v>
      </c>
      <c r="AB929" s="47"/>
      <c r="AC929" s="47"/>
      <c r="AD929" s="47"/>
      <c r="AE929" s="47"/>
      <c r="AF929" s="47">
        <f t="shared" si="204"/>
        <v>1485</v>
      </c>
      <c r="AG929" s="47" t="s">
        <v>1785</v>
      </c>
      <c r="AH929" s="47" t="str">
        <f>IFERROR(_xlfn.XLOOKUP(Table6[[#This Row],[Suburb]],Table5[Travel Surcharge],Table5[$$]),"")</f>
        <v/>
      </c>
      <c r="AI929" s="47">
        <f t="shared" si="205"/>
        <v>1650.0000000000002</v>
      </c>
      <c r="AJ929" s="47"/>
    </row>
    <row r="930" spans="1:36">
      <c r="A930" s="374" t="s">
        <v>1779</v>
      </c>
      <c r="B930" s="374">
        <v>6</v>
      </c>
      <c r="C930" s="374" t="s">
        <v>529</v>
      </c>
      <c r="D930" s="375" t="str">
        <f t="shared" si="200"/>
        <v>Canopy Estate6</v>
      </c>
      <c r="E930" s="375" t="s">
        <v>1789</v>
      </c>
      <c r="F930" s="375" t="s">
        <v>1781</v>
      </c>
      <c r="G930" s="375" t="s">
        <v>1325</v>
      </c>
      <c r="H930" s="375" t="s">
        <v>1782</v>
      </c>
      <c r="I930" s="63" t="s">
        <v>1783</v>
      </c>
      <c r="J930" s="47">
        <f t="shared" si="201"/>
        <v>3740</v>
      </c>
      <c r="K930" s="46" t="s">
        <v>7938</v>
      </c>
      <c r="L930" s="47"/>
      <c r="M930" s="47">
        <v>1430.0000000000002</v>
      </c>
      <c r="N930" s="47" t="s">
        <v>1784</v>
      </c>
      <c r="O930" s="47"/>
      <c r="P930" s="47"/>
      <c r="Q930" s="47"/>
      <c r="R930" s="47"/>
      <c r="S930" s="47"/>
      <c r="T930" s="47"/>
      <c r="U930" s="47">
        <f t="shared" si="202"/>
        <v>430</v>
      </c>
      <c r="V930" s="47"/>
      <c r="W930" s="47"/>
      <c r="X930" s="47"/>
      <c r="Y930" s="47"/>
      <c r="Z930" s="47">
        <f t="shared" si="199"/>
        <v>4620</v>
      </c>
      <c r="AA930" s="47">
        <f t="shared" si="203"/>
        <v>1400</v>
      </c>
      <c r="AB930" s="47"/>
      <c r="AC930" s="47"/>
      <c r="AD930" s="47"/>
      <c r="AE930" s="47"/>
      <c r="AF930" s="47">
        <f t="shared" si="204"/>
        <v>1485</v>
      </c>
      <c r="AG930" s="47" t="s">
        <v>1785</v>
      </c>
      <c r="AH930" s="47" t="str">
        <f>IFERROR(_xlfn.XLOOKUP(Table6[[#This Row],[Suburb]],Table5[Travel Surcharge],Table5[$$]),"")</f>
        <v/>
      </c>
      <c r="AI930" s="47">
        <f t="shared" si="205"/>
        <v>1650.0000000000002</v>
      </c>
      <c r="AJ930" s="47"/>
    </row>
    <row r="931" spans="1:36">
      <c r="A931" s="374" t="s">
        <v>1779</v>
      </c>
      <c r="B931" s="374">
        <v>9</v>
      </c>
      <c r="C931" s="374" t="s">
        <v>529</v>
      </c>
      <c r="D931" s="375" t="str">
        <f t="shared" si="200"/>
        <v>Canopy Estate9</v>
      </c>
      <c r="E931" s="375" t="s">
        <v>1790</v>
      </c>
      <c r="F931" s="375" t="s">
        <v>1781</v>
      </c>
      <c r="G931" s="375" t="s">
        <v>1325</v>
      </c>
      <c r="H931" s="375" t="s">
        <v>1782</v>
      </c>
      <c r="I931" s="63" t="s">
        <v>1783</v>
      </c>
      <c r="J931" s="47">
        <f t="shared" si="201"/>
        <v>3740</v>
      </c>
      <c r="K931" s="46" t="s">
        <v>7938</v>
      </c>
      <c r="L931" s="47"/>
      <c r="M931" s="47">
        <v>1430.0000000000002</v>
      </c>
      <c r="N931" s="47" t="s">
        <v>1784</v>
      </c>
      <c r="O931" s="47"/>
      <c r="P931" s="47"/>
      <c r="Q931" s="47"/>
      <c r="R931" s="47"/>
      <c r="S931" s="47"/>
      <c r="T931" s="47"/>
      <c r="U931" s="47">
        <f t="shared" si="202"/>
        <v>430</v>
      </c>
      <c r="V931" s="47"/>
      <c r="W931" s="47"/>
      <c r="X931" s="47"/>
      <c r="Y931" s="47"/>
      <c r="Z931" s="47">
        <f t="shared" si="199"/>
        <v>4620</v>
      </c>
      <c r="AA931" s="47">
        <f t="shared" si="203"/>
        <v>1400</v>
      </c>
      <c r="AB931" s="47"/>
      <c r="AC931" s="47"/>
      <c r="AD931" s="47"/>
      <c r="AE931" s="47"/>
      <c r="AF931" s="47">
        <f t="shared" si="204"/>
        <v>1485</v>
      </c>
      <c r="AG931" s="47" t="s">
        <v>1785</v>
      </c>
      <c r="AH931" s="47" t="str">
        <f>IFERROR(_xlfn.XLOOKUP(Table6[[#This Row],[Suburb]],Table5[Travel Surcharge],Table5[$$]),"")</f>
        <v/>
      </c>
      <c r="AI931" s="47">
        <f t="shared" si="205"/>
        <v>1650.0000000000002</v>
      </c>
      <c r="AJ931" s="47"/>
    </row>
    <row r="932" spans="1:36">
      <c r="A932" s="374" t="s">
        <v>1779</v>
      </c>
      <c r="B932" s="374">
        <v>11</v>
      </c>
      <c r="C932" s="374" t="s">
        <v>529</v>
      </c>
      <c r="D932" s="375" t="str">
        <f t="shared" si="200"/>
        <v>Canopy Estate11</v>
      </c>
      <c r="E932" s="375" t="s">
        <v>1792</v>
      </c>
      <c r="F932" s="375" t="s">
        <v>1781</v>
      </c>
      <c r="G932" s="375" t="s">
        <v>1325</v>
      </c>
      <c r="H932" s="375" t="s">
        <v>1782</v>
      </c>
      <c r="I932" s="63" t="s">
        <v>1783</v>
      </c>
      <c r="J932" s="47">
        <f t="shared" si="201"/>
        <v>3740</v>
      </c>
      <c r="K932" s="46" t="s">
        <v>7938</v>
      </c>
      <c r="L932" s="47"/>
      <c r="M932" s="47">
        <v>1430.0000000000002</v>
      </c>
      <c r="N932" s="47" t="s">
        <v>1784</v>
      </c>
      <c r="O932" s="47"/>
      <c r="P932" s="47"/>
      <c r="Q932" s="47"/>
      <c r="R932" s="47"/>
      <c r="S932" s="47"/>
      <c r="T932" s="47"/>
      <c r="U932" s="47">
        <f t="shared" si="202"/>
        <v>430</v>
      </c>
      <c r="V932" s="47"/>
      <c r="W932" s="47"/>
      <c r="X932" s="47"/>
      <c r="Y932" s="47"/>
      <c r="Z932" s="47">
        <f t="shared" si="199"/>
        <v>4620</v>
      </c>
      <c r="AA932" s="47">
        <f t="shared" si="203"/>
        <v>1400</v>
      </c>
      <c r="AB932" s="47"/>
      <c r="AC932" s="47"/>
      <c r="AD932" s="47"/>
      <c r="AE932" s="47"/>
      <c r="AF932" s="47">
        <f t="shared" si="204"/>
        <v>1485</v>
      </c>
      <c r="AG932" s="47" t="s">
        <v>1785</v>
      </c>
      <c r="AH932" s="47" t="str">
        <f>IFERROR(_xlfn.XLOOKUP(Table6[[#This Row],[Suburb]],Table5[Travel Surcharge],Table5[$$]),"")</f>
        <v/>
      </c>
      <c r="AI932" s="47">
        <f t="shared" si="205"/>
        <v>1650.0000000000002</v>
      </c>
      <c r="AJ932" s="47"/>
    </row>
    <row r="933" spans="1:36">
      <c r="A933" s="374" t="s">
        <v>1779</v>
      </c>
      <c r="B933" s="374">
        <v>12</v>
      </c>
      <c r="C933" s="374" t="s">
        <v>529</v>
      </c>
      <c r="D933" s="375" t="str">
        <f t="shared" si="200"/>
        <v>Canopy Estate12</v>
      </c>
      <c r="E933" s="375" t="s">
        <v>1793</v>
      </c>
      <c r="F933" s="375" t="s">
        <v>1781</v>
      </c>
      <c r="G933" s="375" t="s">
        <v>1325</v>
      </c>
      <c r="H933" s="375" t="s">
        <v>1782</v>
      </c>
      <c r="I933" s="63" t="s">
        <v>1783</v>
      </c>
      <c r="J933" s="47">
        <f t="shared" si="201"/>
        <v>3740</v>
      </c>
      <c r="K933" s="46" t="s">
        <v>7938</v>
      </c>
      <c r="L933" s="47"/>
      <c r="M933" s="47">
        <v>1430.0000000000002</v>
      </c>
      <c r="N933" s="47" t="s">
        <v>1784</v>
      </c>
      <c r="O933" s="47"/>
      <c r="P933" s="47"/>
      <c r="Q933" s="47"/>
      <c r="R933" s="47"/>
      <c r="S933" s="47"/>
      <c r="T933" s="47"/>
      <c r="U933" s="47">
        <f t="shared" si="202"/>
        <v>430</v>
      </c>
      <c r="V933" s="47"/>
      <c r="W933" s="47"/>
      <c r="X933" s="47"/>
      <c r="Y933" s="47"/>
      <c r="Z933" s="47">
        <f t="shared" si="199"/>
        <v>4620</v>
      </c>
      <c r="AA933" s="47">
        <f t="shared" si="203"/>
        <v>1400</v>
      </c>
      <c r="AB933" s="47"/>
      <c r="AC933" s="47"/>
      <c r="AD933" s="47"/>
      <c r="AE933" s="47"/>
      <c r="AF933" s="47">
        <f t="shared" si="204"/>
        <v>1485</v>
      </c>
      <c r="AG933" s="47" t="s">
        <v>1785</v>
      </c>
      <c r="AH933" s="47" t="str">
        <f>IFERROR(_xlfn.XLOOKUP(Table6[[#This Row],[Suburb]],Table5[Travel Surcharge],Table5[$$]),"")</f>
        <v/>
      </c>
      <c r="AI933" s="47">
        <f t="shared" si="205"/>
        <v>1650.0000000000002</v>
      </c>
      <c r="AJ933" s="47"/>
    </row>
    <row r="934" spans="1:36">
      <c r="A934" s="374" t="s">
        <v>1779</v>
      </c>
      <c r="B934" s="374">
        <v>13</v>
      </c>
      <c r="C934" s="374" t="s">
        <v>529</v>
      </c>
      <c r="D934" s="375" t="str">
        <f t="shared" si="200"/>
        <v>Canopy Estate13</v>
      </c>
      <c r="E934" s="375" t="s">
        <v>1794</v>
      </c>
      <c r="F934" s="375" t="s">
        <v>1781</v>
      </c>
      <c r="G934" s="375" t="s">
        <v>1325</v>
      </c>
      <c r="H934" s="375" t="s">
        <v>1782</v>
      </c>
      <c r="I934" s="63" t="s">
        <v>1783</v>
      </c>
      <c r="J934" s="47">
        <f t="shared" si="201"/>
        <v>3740</v>
      </c>
      <c r="K934" s="46" t="s">
        <v>7938</v>
      </c>
      <c r="L934" s="47"/>
      <c r="M934" s="47">
        <v>1430.0000000000002</v>
      </c>
      <c r="N934" s="47" t="s">
        <v>1784</v>
      </c>
      <c r="O934" s="47"/>
      <c r="P934" s="47"/>
      <c r="Q934" s="47"/>
      <c r="R934" s="47"/>
      <c r="S934" s="47"/>
      <c r="T934" s="47"/>
      <c r="U934" s="47">
        <f t="shared" si="202"/>
        <v>430</v>
      </c>
      <c r="V934" s="47"/>
      <c r="W934" s="47"/>
      <c r="X934" s="47"/>
      <c r="Y934" s="47"/>
      <c r="Z934" s="47">
        <f t="shared" si="199"/>
        <v>4620</v>
      </c>
      <c r="AA934" s="47">
        <f t="shared" si="203"/>
        <v>1400</v>
      </c>
      <c r="AB934" s="47"/>
      <c r="AC934" s="47"/>
      <c r="AD934" s="47"/>
      <c r="AE934" s="47"/>
      <c r="AF934" s="47">
        <f t="shared" si="204"/>
        <v>1485</v>
      </c>
      <c r="AG934" s="47" t="s">
        <v>1785</v>
      </c>
      <c r="AH934" s="47" t="str">
        <f>IFERROR(_xlfn.XLOOKUP(Table6[[#This Row],[Suburb]],Table5[Travel Surcharge],Table5[$$]),"")</f>
        <v/>
      </c>
      <c r="AI934" s="47">
        <f t="shared" si="205"/>
        <v>1650.0000000000002</v>
      </c>
      <c r="AJ934" s="47"/>
    </row>
    <row r="935" spans="1:36">
      <c r="A935" s="374" t="s">
        <v>1779</v>
      </c>
      <c r="B935" s="374">
        <v>14</v>
      </c>
      <c r="C935" s="374" t="s">
        <v>529</v>
      </c>
      <c r="D935" s="375" t="str">
        <f t="shared" si="200"/>
        <v>Canopy Estate14</v>
      </c>
      <c r="E935" s="375" t="s">
        <v>7507</v>
      </c>
      <c r="F935" s="375" t="s">
        <v>1781</v>
      </c>
      <c r="G935" s="375" t="s">
        <v>1325</v>
      </c>
      <c r="H935" s="375" t="s">
        <v>1782</v>
      </c>
      <c r="I935" s="63" t="s">
        <v>1783</v>
      </c>
      <c r="J935" s="47">
        <f t="shared" si="201"/>
        <v>3740</v>
      </c>
      <c r="K935" s="46" t="s">
        <v>7938</v>
      </c>
      <c r="L935" s="47"/>
      <c r="M935" s="47">
        <v>1430.0000000000002</v>
      </c>
      <c r="N935" s="47" t="s">
        <v>1784</v>
      </c>
      <c r="O935" s="47"/>
      <c r="P935" s="47"/>
      <c r="Q935" s="47"/>
      <c r="R935" s="47" t="s">
        <v>7508</v>
      </c>
      <c r="S935" s="47"/>
      <c r="T935" s="47"/>
      <c r="U935" s="47">
        <f t="shared" si="202"/>
        <v>430</v>
      </c>
      <c r="V935" s="47"/>
      <c r="W935" s="47"/>
      <c r="X935" s="47"/>
      <c r="Y935" s="47"/>
      <c r="Z935" s="47">
        <f t="shared" si="199"/>
        <v>4620</v>
      </c>
      <c r="AA935" s="47">
        <f t="shared" si="203"/>
        <v>1400</v>
      </c>
      <c r="AB935" s="47"/>
      <c r="AC935" s="47"/>
      <c r="AD935" s="47"/>
      <c r="AE935" s="47"/>
      <c r="AF935" s="47">
        <f t="shared" si="204"/>
        <v>1485</v>
      </c>
      <c r="AG935" s="47" t="s">
        <v>1785</v>
      </c>
      <c r="AH935" s="47" t="str">
        <f>IFERROR(_xlfn.XLOOKUP(Table6[[#This Row],[Suburb]],Table5[Travel Surcharge],Table5[$$]),"")</f>
        <v/>
      </c>
      <c r="AI935" s="47">
        <f t="shared" si="205"/>
        <v>1650.0000000000002</v>
      </c>
      <c r="AJ935" s="47"/>
    </row>
    <row r="936" spans="1:36">
      <c r="A936" s="157" t="s">
        <v>1779</v>
      </c>
      <c r="B936" s="157">
        <v>15</v>
      </c>
      <c r="C936" s="157" t="s">
        <v>529</v>
      </c>
      <c r="D936" s="157" t="str">
        <f t="shared" si="200"/>
        <v>Canopy Estate15</v>
      </c>
      <c r="E936" s="157" t="s">
        <v>7890</v>
      </c>
      <c r="F936" s="157" t="s">
        <v>1781</v>
      </c>
      <c r="G936" s="157" t="s">
        <v>1325</v>
      </c>
      <c r="H936" s="157" t="s">
        <v>1782</v>
      </c>
      <c r="I936" s="158" t="s">
        <v>1783</v>
      </c>
      <c r="J936" s="47">
        <f t="shared" si="201"/>
        <v>3740</v>
      </c>
      <c r="K936" s="46" t="s">
        <v>7938</v>
      </c>
      <c r="L936" s="47"/>
      <c r="M936" s="47">
        <v>1430.0000000000002</v>
      </c>
      <c r="N936" s="47" t="s">
        <v>1784</v>
      </c>
      <c r="O936" s="47"/>
      <c r="P936" s="47"/>
      <c r="Q936" s="47"/>
      <c r="R936" s="47" t="s">
        <v>7891</v>
      </c>
      <c r="S936" s="47"/>
      <c r="T936" s="47"/>
      <c r="U936" s="47">
        <f t="shared" si="202"/>
        <v>430</v>
      </c>
      <c r="V936" s="47"/>
      <c r="W936" s="47"/>
      <c r="X936" s="47"/>
      <c r="Y936" s="47"/>
      <c r="Z936" s="47">
        <f t="shared" si="199"/>
        <v>4620</v>
      </c>
      <c r="AA936" s="47">
        <f t="shared" si="203"/>
        <v>1400</v>
      </c>
      <c r="AB936" s="47"/>
      <c r="AC936" s="47"/>
      <c r="AD936" s="47"/>
      <c r="AE936" s="47"/>
      <c r="AF936" s="47">
        <f t="shared" si="204"/>
        <v>1485</v>
      </c>
      <c r="AG936" s="47" t="s">
        <v>1785</v>
      </c>
      <c r="AH936" s="47" t="str">
        <f>IFERROR(_xlfn.XLOOKUP(Table6[[#This Row],[Suburb]],Table5[Travel Surcharge],Table5[$$]),"")</f>
        <v/>
      </c>
      <c r="AI936" s="47">
        <f t="shared" si="205"/>
        <v>1650.0000000000002</v>
      </c>
      <c r="AJ936" s="47"/>
    </row>
    <row r="937" spans="1:36">
      <c r="A937" s="157" t="s">
        <v>1779</v>
      </c>
      <c r="B937" s="157">
        <v>16</v>
      </c>
      <c r="C937" s="157" t="s">
        <v>529</v>
      </c>
      <c r="D937" s="157" t="str">
        <f t="shared" si="200"/>
        <v>Canopy Estate16</v>
      </c>
      <c r="E937" s="157" t="s">
        <v>8317</v>
      </c>
      <c r="F937" s="157" t="s">
        <v>1781</v>
      </c>
      <c r="G937" s="157" t="s">
        <v>1325</v>
      </c>
      <c r="H937" s="157" t="s">
        <v>1782</v>
      </c>
      <c r="I937" s="158" t="s">
        <v>1783</v>
      </c>
      <c r="J937" s="47">
        <f t="shared" si="201"/>
        <v>3740</v>
      </c>
      <c r="K937" s="46" t="s">
        <v>7938</v>
      </c>
      <c r="L937" s="47"/>
      <c r="M937" s="47">
        <v>1430.0000000000002</v>
      </c>
      <c r="N937" s="47" t="s">
        <v>1784</v>
      </c>
      <c r="O937" s="47"/>
      <c r="P937" s="47"/>
      <c r="Q937" s="47"/>
      <c r="R937" s="47" t="s">
        <v>8318</v>
      </c>
      <c r="S937" s="47"/>
      <c r="T937" s="47"/>
      <c r="U937" s="47">
        <f t="shared" si="202"/>
        <v>430</v>
      </c>
      <c r="V937" s="47"/>
      <c r="W937" s="47"/>
      <c r="X937" s="47"/>
      <c r="Y937" s="47"/>
      <c r="Z937" s="47">
        <f t="shared" si="199"/>
        <v>4620</v>
      </c>
      <c r="AA937" s="47">
        <f t="shared" si="203"/>
        <v>1400</v>
      </c>
      <c r="AB937" s="47"/>
      <c r="AC937" s="47"/>
      <c r="AD937" s="47"/>
      <c r="AE937" s="47"/>
      <c r="AF937" s="47">
        <f t="shared" si="204"/>
        <v>1485</v>
      </c>
      <c r="AG937" s="47" t="s">
        <v>1785</v>
      </c>
      <c r="AH937" s="47" t="str">
        <f>IFERROR(_xlfn.XLOOKUP(Table6[[#This Row],[Suburb]],Table5[Travel Surcharge],Table5[$$]),"")</f>
        <v/>
      </c>
      <c r="AI937" s="47">
        <f t="shared" si="205"/>
        <v>1650.0000000000002</v>
      </c>
      <c r="AJ937" s="47"/>
    </row>
    <row r="938" spans="1:36">
      <c r="A938" s="374" t="s">
        <v>1779</v>
      </c>
      <c r="B938" s="374" t="s">
        <v>755</v>
      </c>
      <c r="C938" s="374" t="s">
        <v>529</v>
      </c>
      <c r="D938" s="375" t="str">
        <f t="shared" si="200"/>
        <v>Canopy Estate10B</v>
      </c>
      <c r="E938" s="375" t="s">
        <v>1791</v>
      </c>
      <c r="F938" s="375" t="s">
        <v>1781</v>
      </c>
      <c r="G938" s="375" t="s">
        <v>1325</v>
      </c>
      <c r="H938" s="375" t="s">
        <v>1782</v>
      </c>
      <c r="I938" s="63" t="s">
        <v>1783</v>
      </c>
      <c r="J938" s="47">
        <f t="shared" si="201"/>
        <v>3740</v>
      </c>
      <c r="K938" s="46" t="s">
        <v>7938</v>
      </c>
      <c r="L938" s="47"/>
      <c r="M938" s="47">
        <v>1430.0000000000002</v>
      </c>
      <c r="N938" s="47" t="s">
        <v>1784</v>
      </c>
      <c r="O938" s="47"/>
      <c r="P938" s="47"/>
      <c r="Q938" s="47"/>
      <c r="R938" s="47"/>
      <c r="S938" s="47"/>
      <c r="T938" s="47"/>
      <c r="U938" s="47">
        <f t="shared" si="202"/>
        <v>430</v>
      </c>
      <c r="V938" s="47"/>
      <c r="W938" s="47"/>
      <c r="X938" s="47"/>
      <c r="Y938" s="47"/>
      <c r="Z938" s="47">
        <f t="shared" si="199"/>
        <v>4620</v>
      </c>
      <c r="AA938" s="47">
        <f t="shared" si="203"/>
        <v>1400</v>
      </c>
      <c r="AB938" s="47"/>
      <c r="AC938" s="47"/>
      <c r="AD938" s="47"/>
      <c r="AE938" s="47"/>
      <c r="AF938" s="47">
        <f t="shared" si="204"/>
        <v>1485</v>
      </c>
      <c r="AG938" s="47" t="s">
        <v>1785</v>
      </c>
      <c r="AH938" s="47" t="str">
        <f>IFERROR(_xlfn.XLOOKUP(Table6[[#This Row],[Suburb]],Table5[Travel Surcharge],Table5[$$]),"")</f>
        <v/>
      </c>
      <c r="AI938" s="47">
        <f t="shared" si="205"/>
        <v>1650.0000000000002</v>
      </c>
      <c r="AJ938" s="47"/>
    </row>
    <row r="939" spans="1:36">
      <c r="A939" s="374" t="s">
        <v>1795</v>
      </c>
      <c r="B939" s="374">
        <v>1</v>
      </c>
      <c r="C939" s="374" t="s">
        <v>675</v>
      </c>
      <c r="D939" s="375" t="str">
        <f t="shared" si="200"/>
        <v>Cardinia Lakes Estate1</v>
      </c>
      <c r="E939" s="375" t="s">
        <v>1796</v>
      </c>
      <c r="F939" s="375" t="s">
        <v>444</v>
      </c>
      <c r="G939" s="375"/>
      <c r="H939" s="375" t="s">
        <v>1797</v>
      </c>
      <c r="I939" s="63" t="s">
        <v>1798</v>
      </c>
      <c r="J939" s="47">
        <f t="shared" si="201"/>
        <v>3740</v>
      </c>
      <c r="K939" s="46" t="s">
        <v>10735</v>
      </c>
      <c r="L939" s="47"/>
      <c r="M939" s="47"/>
      <c r="N939" s="47"/>
      <c r="O939" s="47"/>
      <c r="P939" s="47"/>
      <c r="Q939" s="47"/>
      <c r="R939" s="47"/>
      <c r="S939" s="47" t="s">
        <v>1030</v>
      </c>
      <c r="T939" s="47"/>
      <c r="U939" s="47"/>
      <c r="V939" s="47"/>
      <c r="W939" s="47"/>
      <c r="X939" s="47"/>
      <c r="Y939" s="47"/>
      <c r="Z939" s="47">
        <f t="shared" si="199"/>
        <v>4620</v>
      </c>
      <c r="AA939" s="47"/>
      <c r="AB939" s="47"/>
      <c r="AC939" s="47"/>
      <c r="AD939" s="47"/>
      <c r="AE939" s="47"/>
      <c r="AF939" s="47"/>
      <c r="AG939" s="47"/>
      <c r="AH939" s="47" t="str">
        <f>IFERROR(_xlfn.XLOOKUP(Table6[[#This Row],[Suburb]],Table5[Travel Surcharge],Table5[$$]),"")</f>
        <v/>
      </c>
      <c r="AI939" s="47"/>
      <c r="AJ939" s="47"/>
    </row>
    <row r="940" spans="1:36">
      <c r="A940" s="374" t="s">
        <v>1795</v>
      </c>
      <c r="B940" s="374">
        <v>8</v>
      </c>
      <c r="C940" s="374" t="s">
        <v>675</v>
      </c>
      <c r="D940" s="375" t="str">
        <f t="shared" si="200"/>
        <v>Cardinia Lakes Estate8</v>
      </c>
      <c r="E940" s="375" t="s">
        <v>1799</v>
      </c>
      <c r="F940" s="375" t="s">
        <v>444</v>
      </c>
      <c r="G940" s="375"/>
      <c r="H940" s="375" t="s">
        <v>1797</v>
      </c>
      <c r="I940" s="63" t="s">
        <v>1798</v>
      </c>
      <c r="J940" s="47">
        <f t="shared" si="201"/>
        <v>3740</v>
      </c>
      <c r="K940" s="46" t="s">
        <v>10735</v>
      </c>
      <c r="L940" s="47"/>
      <c r="M940" s="47"/>
      <c r="N940" s="47"/>
      <c r="O940" s="47"/>
      <c r="P940" s="47"/>
      <c r="Q940" s="47"/>
      <c r="R940" s="47"/>
      <c r="S940" s="47" t="s">
        <v>1030</v>
      </c>
      <c r="T940" s="47"/>
      <c r="U940" s="47"/>
      <c r="V940" s="47"/>
      <c r="W940" s="47"/>
      <c r="X940" s="47"/>
      <c r="Y940" s="47"/>
      <c r="Z940" s="47">
        <f t="shared" si="199"/>
        <v>4620</v>
      </c>
      <c r="AA940" s="47"/>
      <c r="AB940" s="47"/>
      <c r="AC940" s="47"/>
      <c r="AD940" s="47"/>
      <c r="AE940" s="47"/>
      <c r="AF940" s="47"/>
      <c r="AG940" s="47"/>
      <c r="AH940" s="47" t="str">
        <f>IFERROR(_xlfn.XLOOKUP(Table6[[#This Row],[Suburb]],Table5[Travel Surcharge],Table5[$$]),"")</f>
        <v/>
      </c>
      <c r="AI940" s="47"/>
      <c r="AJ940" s="47"/>
    </row>
    <row r="941" spans="1:36" ht="15" customHeight="1">
      <c r="A941" s="374" t="s">
        <v>1795</v>
      </c>
      <c r="B941" s="374">
        <v>12</v>
      </c>
      <c r="C941" s="374" t="s">
        <v>675</v>
      </c>
      <c r="D941" s="375" t="str">
        <f t="shared" si="200"/>
        <v>Cardinia Lakes Estate12</v>
      </c>
      <c r="E941" s="375" t="s">
        <v>1800</v>
      </c>
      <c r="F941" s="375" t="s">
        <v>444</v>
      </c>
      <c r="G941" s="375"/>
      <c r="H941" s="375" t="s">
        <v>1797</v>
      </c>
      <c r="I941" s="63" t="s">
        <v>1798</v>
      </c>
      <c r="J941" s="47">
        <f t="shared" si="201"/>
        <v>3740</v>
      </c>
      <c r="K941" s="46" t="s">
        <v>10735</v>
      </c>
      <c r="L941" s="47"/>
      <c r="M941" s="47"/>
      <c r="N941" s="47"/>
      <c r="O941" s="47"/>
      <c r="P941" s="47"/>
      <c r="Q941" s="47"/>
      <c r="R941" s="47"/>
      <c r="S941" s="47" t="s">
        <v>1030</v>
      </c>
      <c r="T941" s="47"/>
      <c r="U941" s="47"/>
      <c r="V941" s="47"/>
      <c r="W941" s="47"/>
      <c r="X941" s="47"/>
      <c r="Y941" s="47"/>
      <c r="Z941" s="47">
        <f t="shared" si="199"/>
        <v>4620</v>
      </c>
      <c r="AA941" s="47"/>
      <c r="AB941" s="47"/>
      <c r="AC941" s="47"/>
      <c r="AD941" s="47"/>
      <c r="AE941" s="47"/>
      <c r="AF941" s="47"/>
      <c r="AG941" s="47"/>
      <c r="AH941" s="47" t="str">
        <f>IFERROR(_xlfn.XLOOKUP(Table6[[#This Row],[Suburb]],Table5[Travel Surcharge],Table5[$$]),"")</f>
        <v/>
      </c>
      <c r="AI941" s="47"/>
      <c r="AJ941" s="47"/>
    </row>
    <row r="942" spans="1:36">
      <c r="A942" s="374" t="s">
        <v>7367</v>
      </c>
      <c r="B942" s="374">
        <v>2</v>
      </c>
      <c r="C942" s="374" t="s">
        <v>802</v>
      </c>
      <c r="D942" s="375" t="str">
        <f t="shared" si="200"/>
        <v>Cardinia Park2</v>
      </c>
      <c r="E942" s="375" t="s">
        <v>7375</v>
      </c>
      <c r="F942" s="375"/>
      <c r="G942" s="375"/>
      <c r="H942" s="375"/>
      <c r="I942" s="63"/>
      <c r="J942" s="47">
        <f t="shared" si="201"/>
        <v>3740</v>
      </c>
      <c r="K942" s="46" t="s">
        <v>10735</v>
      </c>
      <c r="L942" s="47" t="s">
        <v>5220</v>
      </c>
      <c r="M942" s="47">
        <f>$M$7</f>
        <v>1430.0000000000002</v>
      </c>
      <c r="N942" s="47" t="s">
        <v>8109</v>
      </c>
      <c r="O942" s="47"/>
      <c r="P942" s="47"/>
      <c r="Q942" s="47"/>
      <c r="R942" s="47"/>
      <c r="S942" s="47"/>
      <c r="T942" s="47"/>
      <c r="U942" s="47">
        <f>$U$2</f>
        <v>430</v>
      </c>
      <c r="V942" s="47"/>
      <c r="W942" s="47"/>
      <c r="X942" s="47"/>
      <c r="Y942" s="47"/>
      <c r="Z942" s="47">
        <f t="shared" si="199"/>
        <v>4620</v>
      </c>
      <c r="AA942" s="47">
        <f>$AA$7</f>
        <v>1400</v>
      </c>
      <c r="AB942" s="47"/>
      <c r="AC942" s="47"/>
      <c r="AD942" s="47"/>
      <c r="AE942" s="47"/>
      <c r="AF942" s="47">
        <f t="shared" ref="AF942:AF947" si="206">AF$7</f>
        <v>1485</v>
      </c>
      <c r="AG942" s="47"/>
      <c r="AH942" s="47" t="str">
        <f>IFERROR(_xlfn.XLOOKUP(Table6[[#This Row],[Suburb]],Table5[Travel Surcharge],Table5[$$]),"")</f>
        <v/>
      </c>
      <c r="AI942" s="47"/>
      <c r="AJ942" s="47"/>
    </row>
    <row r="943" spans="1:36">
      <c r="A943" s="374" t="s">
        <v>1801</v>
      </c>
      <c r="B943" s="374">
        <v>1</v>
      </c>
      <c r="C943" s="374" t="s">
        <v>675</v>
      </c>
      <c r="D943" s="375" t="str">
        <f t="shared" si="200"/>
        <v>Cardinia Rise1</v>
      </c>
      <c r="E943" s="375" t="s">
        <v>1802</v>
      </c>
      <c r="F943" s="375"/>
      <c r="G943" s="375"/>
      <c r="H943" s="375"/>
      <c r="I943" s="63"/>
      <c r="J943" s="47">
        <f t="shared" si="201"/>
        <v>3740</v>
      </c>
      <c r="K943" s="46" t="s">
        <v>10735</v>
      </c>
      <c r="L943" s="47" t="s">
        <v>1803</v>
      </c>
      <c r="M943" s="47"/>
      <c r="N943" s="47"/>
      <c r="O943" s="47"/>
      <c r="P943" s="47"/>
      <c r="Q943" s="47"/>
      <c r="R943" s="47"/>
      <c r="S943" s="47" t="s">
        <v>463</v>
      </c>
      <c r="T943" s="47"/>
      <c r="U943" s="47"/>
      <c r="V943" s="47"/>
      <c r="W943" s="47"/>
      <c r="X943" s="47"/>
      <c r="Y943" s="47"/>
      <c r="Z943" s="47">
        <f t="shared" si="199"/>
        <v>4620</v>
      </c>
      <c r="AA943" s="47"/>
      <c r="AB943" s="47"/>
      <c r="AC943" s="47"/>
      <c r="AD943" s="47"/>
      <c r="AE943" s="47"/>
      <c r="AF943" s="47">
        <f t="shared" si="206"/>
        <v>1485</v>
      </c>
      <c r="AG943" s="47"/>
      <c r="AH943" s="47" t="str">
        <f>IFERROR(_xlfn.XLOOKUP(Table6[[#This Row],[Suburb]],Table5[Travel Surcharge],Table5[$$]),"")</f>
        <v/>
      </c>
      <c r="AI943" s="47">
        <f>AI$7</f>
        <v>1650.0000000000002</v>
      </c>
      <c r="AJ943" s="47"/>
    </row>
    <row r="944" spans="1:36">
      <c r="A944" s="374" t="s">
        <v>1804</v>
      </c>
      <c r="B944" s="374">
        <v>8</v>
      </c>
      <c r="C944" s="374" t="s">
        <v>675</v>
      </c>
      <c r="D944" s="375" t="str">
        <f t="shared" si="200"/>
        <v>Cardinia Views Estate8</v>
      </c>
      <c r="E944" s="375" t="s">
        <v>1805</v>
      </c>
      <c r="F944" s="375" t="s">
        <v>1806</v>
      </c>
      <c r="G944" s="375" t="s">
        <v>1807</v>
      </c>
      <c r="H944" s="375" t="s">
        <v>1808</v>
      </c>
      <c r="I944" s="63" t="s">
        <v>1809</v>
      </c>
      <c r="J944" s="47"/>
      <c r="K944" s="46" t="s">
        <v>10735</v>
      </c>
      <c r="L944" s="47"/>
      <c r="M944" s="47"/>
      <c r="N944" s="47" t="s">
        <v>1810</v>
      </c>
      <c r="O944" s="47"/>
      <c r="P944" s="47"/>
      <c r="Q944" s="47"/>
      <c r="R944" s="47"/>
      <c r="S944" s="47"/>
      <c r="T944" s="47">
        <f>T$2</f>
        <v>780</v>
      </c>
      <c r="U944" s="47"/>
      <c r="V944" s="47"/>
      <c r="W944" s="47"/>
      <c r="X944" s="47"/>
      <c r="Y944" s="47"/>
      <c r="Z944" s="47">
        <f t="shared" si="199"/>
        <v>4620</v>
      </c>
      <c r="AA944" s="47"/>
      <c r="AB944" s="47"/>
      <c r="AC944" s="47"/>
      <c r="AD944" s="47"/>
      <c r="AE944" s="47"/>
      <c r="AF944" s="47">
        <f t="shared" si="206"/>
        <v>1485</v>
      </c>
      <c r="AG944" s="47"/>
      <c r="AH944" s="47" t="str">
        <f>IFERROR(_xlfn.XLOOKUP(Table6[[#This Row],[Suburb]],Table5[Travel Surcharge],Table5[$$]),"")</f>
        <v/>
      </c>
      <c r="AI944" s="47" t="s">
        <v>1811</v>
      </c>
      <c r="AJ944" s="47"/>
    </row>
    <row r="945" spans="1:36">
      <c r="A945" s="374" t="s">
        <v>1804</v>
      </c>
      <c r="B945" s="374">
        <v>11</v>
      </c>
      <c r="C945" s="374" t="s">
        <v>675</v>
      </c>
      <c r="D945" s="375" t="str">
        <f t="shared" si="200"/>
        <v>Cardinia Views Estate11</v>
      </c>
      <c r="E945" s="375" t="s">
        <v>1812</v>
      </c>
      <c r="F945" s="375" t="s">
        <v>1806</v>
      </c>
      <c r="G945" s="375" t="s">
        <v>1807</v>
      </c>
      <c r="H945" s="375" t="s">
        <v>1808</v>
      </c>
      <c r="I945" s="63" t="s">
        <v>1809</v>
      </c>
      <c r="J945" s="47"/>
      <c r="K945" s="46" t="s">
        <v>10735</v>
      </c>
      <c r="L945" s="47"/>
      <c r="M945" s="47"/>
      <c r="N945" s="47" t="s">
        <v>1810</v>
      </c>
      <c r="O945" s="47"/>
      <c r="P945" s="47"/>
      <c r="Q945" s="47"/>
      <c r="R945" s="47"/>
      <c r="S945" s="47"/>
      <c r="T945" s="47">
        <f>T$2</f>
        <v>780</v>
      </c>
      <c r="U945" s="47"/>
      <c r="V945" s="47"/>
      <c r="W945" s="47"/>
      <c r="X945" s="47"/>
      <c r="Y945" s="47"/>
      <c r="Z945" s="47">
        <f t="shared" si="199"/>
        <v>4620</v>
      </c>
      <c r="AA945" s="47"/>
      <c r="AB945" s="47"/>
      <c r="AC945" s="47"/>
      <c r="AD945" s="47"/>
      <c r="AE945" s="47"/>
      <c r="AF945" s="47">
        <f t="shared" si="206"/>
        <v>1485</v>
      </c>
      <c r="AG945" s="47"/>
      <c r="AH945" s="47" t="str">
        <f>IFERROR(_xlfn.XLOOKUP(Table6[[#This Row],[Suburb]],Table5[Travel Surcharge],Table5[$$]),"")</f>
        <v/>
      </c>
      <c r="AI945" s="47" t="s">
        <v>1811</v>
      </c>
      <c r="AJ945" s="47"/>
    </row>
    <row r="946" spans="1:36">
      <c r="A946" s="374" t="s">
        <v>1813</v>
      </c>
      <c r="B946" s="374">
        <v>1</v>
      </c>
      <c r="C946" s="374" t="s">
        <v>675</v>
      </c>
      <c r="D946" s="375" t="str">
        <f t="shared" si="200"/>
        <v>Carey Heights1</v>
      </c>
      <c r="E946" s="375" t="s">
        <v>1814</v>
      </c>
      <c r="F946" s="375"/>
      <c r="G946" s="375"/>
      <c r="H946" s="375"/>
      <c r="I946" s="63"/>
      <c r="J946" s="47"/>
      <c r="K946" s="46" t="s">
        <v>10735</v>
      </c>
      <c r="L946" s="47"/>
      <c r="M946" s="47"/>
      <c r="N946" s="47" t="s">
        <v>1810</v>
      </c>
      <c r="O946" s="47">
        <f>O$7</f>
        <v>4950</v>
      </c>
      <c r="P946" s="47"/>
      <c r="Q946" s="47"/>
      <c r="R946" s="47"/>
      <c r="S946" s="47"/>
      <c r="T946" s="47">
        <f>T$2</f>
        <v>780</v>
      </c>
      <c r="U946" s="47"/>
      <c r="V946" s="47"/>
      <c r="W946" s="47"/>
      <c r="X946" s="47"/>
      <c r="Y946" s="47"/>
      <c r="Z946" s="47">
        <f t="shared" si="199"/>
        <v>4620</v>
      </c>
      <c r="AA946" s="47"/>
      <c r="AB946" s="47"/>
      <c r="AC946" s="47"/>
      <c r="AD946" s="47"/>
      <c r="AE946" s="47"/>
      <c r="AF946" s="47">
        <f t="shared" si="206"/>
        <v>1485</v>
      </c>
      <c r="AG946" s="47"/>
      <c r="AH946" s="47" t="str">
        <f>IFERROR(_xlfn.XLOOKUP(Table6[[#This Row],[Suburb]],Table5[Travel Surcharge],Table5[$$]),"")</f>
        <v/>
      </c>
      <c r="AI946" s="47" t="s">
        <v>1811</v>
      </c>
      <c r="AJ946" s="47"/>
    </row>
    <row r="947" spans="1:36">
      <c r="A947" s="374" t="s">
        <v>1836</v>
      </c>
      <c r="B947" s="374">
        <v>5</v>
      </c>
      <c r="C947" s="374" t="s">
        <v>1837</v>
      </c>
      <c r="D947" s="375" t="str">
        <f t="shared" si="200"/>
        <v>Carlingford5</v>
      </c>
      <c r="E947" s="375" t="s">
        <v>1838</v>
      </c>
      <c r="F947" s="375"/>
      <c r="G947" s="375"/>
      <c r="H947" s="375"/>
      <c r="I947" s="63"/>
      <c r="J947" s="47"/>
      <c r="K947" s="46" t="s">
        <v>10735</v>
      </c>
      <c r="L947" s="47">
        <f>L$7</f>
        <v>1210</v>
      </c>
      <c r="M947" s="47"/>
      <c r="N947" s="47" t="s">
        <v>1839</v>
      </c>
      <c r="O947" s="47" t="s">
        <v>1840</v>
      </c>
      <c r="P947" s="47"/>
      <c r="Q947" s="47"/>
      <c r="R947" s="47">
        <f>R$2</f>
        <v>540</v>
      </c>
      <c r="S947" s="47"/>
      <c r="T947" s="47"/>
      <c r="U947" s="47"/>
      <c r="V947" s="47"/>
      <c r="W947" s="47"/>
      <c r="X947" s="47"/>
      <c r="Y947" s="47"/>
      <c r="Z947" s="47">
        <f t="shared" si="199"/>
        <v>4620</v>
      </c>
      <c r="AA947" s="47">
        <f>AA$7</f>
        <v>1400</v>
      </c>
      <c r="AB947" s="47"/>
      <c r="AC947" s="47"/>
      <c r="AD947" s="47"/>
      <c r="AE947" s="47"/>
      <c r="AF947" s="47">
        <f t="shared" si="206"/>
        <v>1485</v>
      </c>
      <c r="AG947" s="47"/>
      <c r="AH947" s="47" t="str">
        <f>IFERROR(_xlfn.XLOOKUP(Table6[[#This Row],[Suburb]],Table5[Travel Surcharge],Table5[$$]),"")</f>
        <v/>
      </c>
      <c r="AI947" s="47">
        <f>AI$7</f>
        <v>1650.0000000000002</v>
      </c>
      <c r="AJ947" s="47"/>
    </row>
    <row r="948" spans="1:36">
      <c r="A948" s="374" t="s">
        <v>1841</v>
      </c>
      <c r="B948" s="374">
        <v>13</v>
      </c>
      <c r="C948" s="374" t="s">
        <v>1660</v>
      </c>
      <c r="D948" s="375" t="str">
        <f t="shared" si="200"/>
        <v>Carolina Estate13</v>
      </c>
      <c r="E948" s="375" t="s">
        <v>9769</v>
      </c>
      <c r="F948" s="375" t="s">
        <v>1806</v>
      </c>
      <c r="G948" s="375" t="s">
        <v>1843</v>
      </c>
      <c r="H948" s="375" t="s">
        <v>1844</v>
      </c>
      <c r="I948" s="63" t="s">
        <v>1845</v>
      </c>
      <c r="J948" s="47"/>
      <c r="K948" s="46" t="s">
        <v>10735</v>
      </c>
      <c r="L948" s="47"/>
      <c r="M948" s="47">
        <v>1430.0000000000002</v>
      </c>
      <c r="N948" s="47"/>
      <c r="O948" s="47" t="s">
        <v>1846</v>
      </c>
      <c r="P948" s="47"/>
      <c r="Q948" s="47"/>
      <c r="R948" s="47">
        <v>540</v>
      </c>
      <c r="S948" s="47" t="s">
        <v>1765</v>
      </c>
      <c r="T948" s="47" t="s">
        <v>1847</v>
      </c>
      <c r="U948" s="47"/>
      <c r="V948" s="47"/>
      <c r="W948" s="47"/>
      <c r="X948" s="47"/>
      <c r="Y948" s="47" t="s">
        <v>1848</v>
      </c>
      <c r="Z948" s="47">
        <v>4620</v>
      </c>
      <c r="AA948" s="47"/>
      <c r="AB948" s="47">
        <v>2800</v>
      </c>
      <c r="AC948" s="47"/>
      <c r="AD948" s="47"/>
      <c r="AE948" s="47"/>
      <c r="AF948" s="47">
        <v>1485</v>
      </c>
      <c r="AG948" s="47"/>
      <c r="AH948" s="47" t="str">
        <f>IFERROR(_xlfn.XLOOKUP(Table6[[#This Row],[Suburb]],Table5[Travel Surcharge],Table5[$$]),"")</f>
        <v/>
      </c>
      <c r="AI948" s="47"/>
      <c r="AJ948" s="47"/>
    </row>
    <row r="949" spans="1:36" ht="20.100000000000001" customHeight="1">
      <c r="A949" s="374" t="s">
        <v>1841</v>
      </c>
      <c r="B949" s="374">
        <v>1</v>
      </c>
      <c r="C949" s="374" t="s">
        <v>1660</v>
      </c>
      <c r="D949" s="375" t="str">
        <f t="shared" si="200"/>
        <v>Carolina Estate1</v>
      </c>
      <c r="E949" s="375" t="s">
        <v>1842</v>
      </c>
      <c r="F949" s="375" t="s">
        <v>1806</v>
      </c>
      <c r="G949" s="375" t="s">
        <v>1843</v>
      </c>
      <c r="H949" s="375" t="s">
        <v>1844</v>
      </c>
      <c r="I949" s="63" t="s">
        <v>1845</v>
      </c>
      <c r="J949" s="47"/>
      <c r="K949" s="46" t="s">
        <v>10735</v>
      </c>
      <c r="L949" s="47"/>
      <c r="M949" s="47">
        <f t="shared" ref="M949:M957" si="207">$M$7</f>
        <v>1430.0000000000002</v>
      </c>
      <c r="N949" s="47"/>
      <c r="O949" s="47" t="s">
        <v>1846</v>
      </c>
      <c r="P949" s="47"/>
      <c r="Q949" s="47"/>
      <c r="R949" s="47">
        <f t="shared" ref="R949:R957" si="208">R$2</f>
        <v>540</v>
      </c>
      <c r="S949" s="47" t="s">
        <v>1765</v>
      </c>
      <c r="T949" s="47" t="s">
        <v>1847</v>
      </c>
      <c r="U949" s="47"/>
      <c r="V949" s="47"/>
      <c r="W949" s="47"/>
      <c r="X949" s="47"/>
      <c r="Y949" s="47" t="s">
        <v>1848</v>
      </c>
      <c r="Z949" s="47">
        <f t="shared" ref="Z949:Z961" si="209">Z$7</f>
        <v>4620</v>
      </c>
      <c r="AA949" s="47"/>
      <c r="AB949" s="47">
        <f t="shared" ref="AB949:AB957" si="210">AB$7</f>
        <v>2800</v>
      </c>
      <c r="AC949" s="47"/>
      <c r="AD949" s="47"/>
      <c r="AE949" s="47"/>
      <c r="AF949" s="47">
        <f t="shared" ref="AF949:AF961" si="211">AF$7</f>
        <v>1485</v>
      </c>
      <c r="AG949" s="47"/>
      <c r="AH949" s="47" t="str">
        <f>IFERROR(_xlfn.XLOOKUP(Table6[[#This Row],[Suburb]],Table5[Travel Surcharge],Table5[$$]),"")</f>
        <v/>
      </c>
      <c r="AI949" s="47"/>
      <c r="AJ949" s="47"/>
    </row>
    <row r="950" spans="1:36" ht="20.100000000000001" customHeight="1">
      <c r="A950" s="374" t="s">
        <v>1841</v>
      </c>
      <c r="B950" s="374">
        <v>2</v>
      </c>
      <c r="C950" s="374" t="s">
        <v>1660</v>
      </c>
      <c r="D950" s="375" t="str">
        <f t="shared" si="200"/>
        <v>Carolina Estate2</v>
      </c>
      <c r="E950" s="375" t="s">
        <v>1849</v>
      </c>
      <c r="F950" s="375" t="s">
        <v>1806</v>
      </c>
      <c r="G950" s="375" t="s">
        <v>1843</v>
      </c>
      <c r="H950" s="375" t="s">
        <v>1844</v>
      </c>
      <c r="I950" s="63" t="s">
        <v>1845</v>
      </c>
      <c r="J950" s="47"/>
      <c r="K950" s="46" t="s">
        <v>10735</v>
      </c>
      <c r="L950" s="47"/>
      <c r="M950" s="47">
        <f t="shared" si="207"/>
        <v>1430.0000000000002</v>
      </c>
      <c r="N950" s="47"/>
      <c r="O950" s="47" t="s">
        <v>1846</v>
      </c>
      <c r="P950" s="47"/>
      <c r="Q950" s="47"/>
      <c r="R950" s="47">
        <f t="shared" si="208"/>
        <v>540</v>
      </c>
      <c r="S950" s="47" t="s">
        <v>1765</v>
      </c>
      <c r="T950" s="47" t="s">
        <v>1847</v>
      </c>
      <c r="U950" s="47"/>
      <c r="V950" s="47"/>
      <c r="W950" s="47"/>
      <c r="X950" s="47"/>
      <c r="Y950" s="47" t="s">
        <v>1848</v>
      </c>
      <c r="Z950" s="47">
        <f t="shared" si="209"/>
        <v>4620</v>
      </c>
      <c r="AA950" s="47"/>
      <c r="AB950" s="47">
        <f t="shared" si="210"/>
        <v>2800</v>
      </c>
      <c r="AC950" s="47"/>
      <c r="AD950" s="47"/>
      <c r="AE950" s="47"/>
      <c r="AF950" s="47">
        <f t="shared" si="211"/>
        <v>1485</v>
      </c>
      <c r="AG950" s="47"/>
      <c r="AH950" s="47" t="str">
        <f>IFERROR(_xlfn.XLOOKUP(Table6[[#This Row],[Suburb]],Table5[Travel Surcharge],Table5[$$]),"")</f>
        <v/>
      </c>
      <c r="AI950" s="47"/>
      <c r="AJ950" s="47"/>
    </row>
    <row r="951" spans="1:36">
      <c r="A951" s="374" t="s">
        <v>1841</v>
      </c>
      <c r="B951" s="374">
        <v>3</v>
      </c>
      <c r="C951" s="374" t="s">
        <v>1660</v>
      </c>
      <c r="D951" s="375" t="str">
        <f t="shared" si="200"/>
        <v>Carolina Estate3</v>
      </c>
      <c r="E951" s="375" t="s">
        <v>1850</v>
      </c>
      <c r="F951" s="375" t="s">
        <v>1806</v>
      </c>
      <c r="G951" s="375" t="s">
        <v>1843</v>
      </c>
      <c r="H951" s="375" t="s">
        <v>1844</v>
      </c>
      <c r="I951" s="63" t="s">
        <v>1845</v>
      </c>
      <c r="J951" s="47"/>
      <c r="K951" s="46" t="s">
        <v>10735</v>
      </c>
      <c r="L951" s="47"/>
      <c r="M951" s="47">
        <f t="shared" si="207"/>
        <v>1430.0000000000002</v>
      </c>
      <c r="N951" s="47"/>
      <c r="O951" s="47" t="s">
        <v>1846</v>
      </c>
      <c r="P951" s="47"/>
      <c r="Q951" s="47"/>
      <c r="R951" s="47">
        <f t="shared" si="208"/>
        <v>540</v>
      </c>
      <c r="S951" s="47" t="s">
        <v>1765</v>
      </c>
      <c r="T951" s="47" t="s">
        <v>1847</v>
      </c>
      <c r="U951" s="47"/>
      <c r="V951" s="47"/>
      <c r="W951" s="47"/>
      <c r="X951" s="47"/>
      <c r="Y951" s="47" t="s">
        <v>1848</v>
      </c>
      <c r="Z951" s="47">
        <f t="shared" si="209"/>
        <v>4620</v>
      </c>
      <c r="AA951" s="47"/>
      <c r="AB951" s="47">
        <f t="shared" si="210"/>
        <v>2800</v>
      </c>
      <c r="AC951" s="47"/>
      <c r="AD951" s="47"/>
      <c r="AE951" s="47"/>
      <c r="AF951" s="47">
        <f t="shared" si="211"/>
        <v>1485</v>
      </c>
      <c r="AG951" s="47"/>
      <c r="AH951" s="47" t="str">
        <f>IFERROR(_xlfn.XLOOKUP(Table6[[#This Row],[Suburb]],Table5[Travel Surcharge],Table5[$$]),"")</f>
        <v/>
      </c>
      <c r="AI951" s="47"/>
      <c r="AJ951" s="47"/>
    </row>
    <row r="952" spans="1:36">
      <c r="A952" s="374" t="s">
        <v>1841</v>
      </c>
      <c r="B952" s="374">
        <v>4</v>
      </c>
      <c r="C952" s="374" t="s">
        <v>1660</v>
      </c>
      <c r="D952" s="375" t="str">
        <f t="shared" si="200"/>
        <v>Carolina Estate4</v>
      </c>
      <c r="E952" s="375" t="s">
        <v>1851</v>
      </c>
      <c r="F952" s="375" t="s">
        <v>1806</v>
      </c>
      <c r="G952" s="375" t="s">
        <v>1843</v>
      </c>
      <c r="H952" s="375" t="s">
        <v>1844</v>
      </c>
      <c r="I952" s="63" t="s">
        <v>1845</v>
      </c>
      <c r="J952" s="47"/>
      <c r="K952" s="46" t="s">
        <v>10735</v>
      </c>
      <c r="L952" s="47"/>
      <c r="M952" s="47">
        <f t="shared" si="207"/>
        <v>1430.0000000000002</v>
      </c>
      <c r="N952" s="47"/>
      <c r="O952" s="47" t="s">
        <v>1846</v>
      </c>
      <c r="P952" s="47"/>
      <c r="Q952" s="47"/>
      <c r="R952" s="47">
        <f t="shared" si="208"/>
        <v>540</v>
      </c>
      <c r="S952" s="47" t="s">
        <v>1765</v>
      </c>
      <c r="T952" s="47" t="s">
        <v>1847</v>
      </c>
      <c r="U952" s="47"/>
      <c r="V952" s="47"/>
      <c r="W952" s="47"/>
      <c r="X952" s="47"/>
      <c r="Y952" s="47" t="s">
        <v>1848</v>
      </c>
      <c r="Z952" s="47">
        <f t="shared" si="209"/>
        <v>4620</v>
      </c>
      <c r="AA952" s="47"/>
      <c r="AB952" s="47">
        <f t="shared" si="210"/>
        <v>2800</v>
      </c>
      <c r="AC952" s="47"/>
      <c r="AD952" s="47"/>
      <c r="AE952" s="47"/>
      <c r="AF952" s="47">
        <f t="shared" si="211"/>
        <v>1485</v>
      </c>
      <c r="AG952" s="47"/>
      <c r="AH952" s="47" t="str">
        <f>IFERROR(_xlfn.XLOOKUP(Table6[[#This Row],[Suburb]],Table5[Travel Surcharge],Table5[$$]),"")</f>
        <v/>
      </c>
      <c r="AI952" s="47"/>
      <c r="AJ952" s="47"/>
    </row>
    <row r="953" spans="1:36">
      <c r="A953" s="374" t="s">
        <v>1841</v>
      </c>
      <c r="B953" s="374">
        <v>5</v>
      </c>
      <c r="C953" s="374" t="s">
        <v>1660</v>
      </c>
      <c r="D953" s="375" t="str">
        <f t="shared" si="200"/>
        <v>Carolina Estate5</v>
      </c>
      <c r="E953" s="375" t="s">
        <v>1852</v>
      </c>
      <c r="F953" s="375" t="s">
        <v>1806</v>
      </c>
      <c r="G953" s="375" t="s">
        <v>1843</v>
      </c>
      <c r="H953" s="375" t="s">
        <v>1844</v>
      </c>
      <c r="I953" s="63" t="s">
        <v>1845</v>
      </c>
      <c r="J953" s="47"/>
      <c r="K953" s="46" t="s">
        <v>10735</v>
      </c>
      <c r="L953" s="47"/>
      <c r="M953" s="47">
        <f t="shared" si="207"/>
        <v>1430.0000000000002</v>
      </c>
      <c r="N953" s="47"/>
      <c r="O953" s="47" t="s">
        <v>1846</v>
      </c>
      <c r="P953" s="47"/>
      <c r="Q953" s="47"/>
      <c r="R953" s="47">
        <f t="shared" si="208"/>
        <v>540</v>
      </c>
      <c r="S953" s="47" t="s">
        <v>1765</v>
      </c>
      <c r="T953" s="47" t="s">
        <v>1847</v>
      </c>
      <c r="U953" s="47"/>
      <c r="V953" s="47"/>
      <c r="W953" s="47"/>
      <c r="X953" s="47"/>
      <c r="Y953" s="47" t="s">
        <v>1848</v>
      </c>
      <c r="Z953" s="47">
        <f t="shared" si="209"/>
        <v>4620</v>
      </c>
      <c r="AA953" s="47"/>
      <c r="AB953" s="47">
        <f t="shared" si="210"/>
        <v>2800</v>
      </c>
      <c r="AC953" s="47"/>
      <c r="AD953" s="47"/>
      <c r="AE953" s="47"/>
      <c r="AF953" s="47">
        <f t="shared" si="211"/>
        <v>1485</v>
      </c>
      <c r="AG953" s="47"/>
      <c r="AH953" s="47" t="str">
        <f>IFERROR(_xlfn.XLOOKUP(Table6[[#This Row],[Suburb]],Table5[Travel Surcharge],Table5[$$]),"")</f>
        <v/>
      </c>
      <c r="AI953" s="47"/>
      <c r="AJ953" s="47"/>
    </row>
    <row r="954" spans="1:36">
      <c r="A954" s="157" t="s">
        <v>1841</v>
      </c>
      <c r="B954" s="157">
        <v>6</v>
      </c>
      <c r="C954" s="157" t="s">
        <v>1660</v>
      </c>
      <c r="D954" s="157" t="str">
        <f t="shared" si="200"/>
        <v>Carolina Estate6</v>
      </c>
      <c r="E954" s="157" t="s">
        <v>8094</v>
      </c>
      <c r="F954" s="157" t="s">
        <v>1806</v>
      </c>
      <c r="G954" s="157" t="s">
        <v>1843</v>
      </c>
      <c r="H954" s="375" t="s">
        <v>1844</v>
      </c>
      <c r="I954" s="158" t="s">
        <v>1845</v>
      </c>
      <c r="J954" s="47"/>
      <c r="K954" s="46" t="s">
        <v>10735</v>
      </c>
      <c r="L954" s="47"/>
      <c r="M954" s="47">
        <f t="shared" si="207"/>
        <v>1430.0000000000002</v>
      </c>
      <c r="N954" s="47"/>
      <c r="O954" s="47" t="s">
        <v>1846</v>
      </c>
      <c r="P954" s="47"/>
      <c r="Q954" s="47"/>
      <c r="R954" s="47">
        <f t="shared" si="208"/>
        <v>540</v>
      </c>
      <c r="S954" s="47" t="s">
        <v>8093</v>
      </c>
      <c r="T954" s="47" t="s">
        <v>1847</v>
      </c>
      <c r="U954" s="47"/>
      <c r="V954" s="47"/>
      <c r="W954" s="47"/>
      <c r="X954" s="47"/>
      <c r="Y954" s="47" t="s">
        <v>1848</v>
      </c>
      <c r="Z954" s="47">
        <f t="shared" si="209"/>
        <v>4620</v>
      </c>
      <c r="AA954" s="47"/>
      <c r="AB954" s="47">
        <f t="shared" si="210"/>
        <v>2800</v>
      </c>
      <c r="AC954" s="47"/>
      <c r="AD954" s="47"/>
      <c r="AE954" s="47"/>
      <c r="AF954" s="47">
        <f t="shared" si="211"/>
        <v>1485</v>
      </c>
      <c r="AG954" s="47"/>
      <c r="AH954" s="47" t="str">
        <f>IFERROR(_xlfn.XLOOKUP(Table6[[#This Row],[Suburb]],Table5[Travel Surcharge],Table5[$$]),"")</f>
        <v/>
      </c>
      <c r="AI954" s="47"/>
      <c r="AJ954" s="47"/>
    </row>
    <row r="955" spans="1:36">
      <c r="A955" s="374" t="s">
        <v>1841</v>
      </c>
      <c r="B955" s="374">
        <v>11</v>
      </c>
      <c r="C955" s="374" t="s">
        <v>1660</v>
      </c>
      <c r="D955" s="375" t="str">
        <f t="shared" si="200"/>
        <v>Carolina Estate11</v>
      </c>
      <c r="E955" s="375" t="s">
        <v>1853</v>
      </c>
      <c r="F955" s="375" t="s">
        <v>1806</v>
      </c>
      <c r="G955" s="375" t="s">
        <v>1843</v>
      </c>
      <c r="H955" s="375" t="s">
        <v>1844</v>
      </c>
      <c r="I955" s="63" t="s">
        <v>1845</v>
      </c>
      <c r="J955" s="47"/>
      <c r="K955" s="46" t="s">
        <v>10735</v>
      </c>
      <c r="L955" s="47"/>
      <c r="M955" s="47">
        <f t="shared" si="207"/>
        <v>1430.0000000000002</v>
      </c>
      <c r="N955" s="47"/>
      <c r="O955" s="47" t="s">
        <v>1846</v>
      </c>
      <c r="P955" s="47"/>
      <c r="Q955" s="47"/>
      <c r="R955" s="47">
        <f t="shared" si="208"/>
        <v>540</v>
      </c>
      <c r="S955" s="47" t="s">
        <v>1765</v>
      </c>
      <c r="T955" s="47" t="s">
        <v>1847</v>
      </c>
      <c r="U955" s="47"/>
      <c r="V955" s="47"/>
      <c r="W955" s="47"/>
      <c r="X955" s="47"/>
      <c r="Y955" s="47" t="s">
        <v>1848</v>
      </c>
      <c r="Z955" s="47">
        <f t="shared" si="209"/>
        <v>4620</v>
      </c>
      <c r="AA955" s="47"/>
      <c r="AB955" s="47">
        <f t="shared" si="210"/>
        <v>2800</v>
      </c>
      <c r="AC955" s="47"/>
      <c r="AD955" s="47"/>
      <c r="AE955" s="47"/>
      <c r="AF955" s="47">
        <f t="shared" si="211"/>
        <v>1485</v>
      </c>
      <c r="AG955" s="47"/>
      <c r="AH955" s="47" t="str">
        <f>IFERROR(_xlfn.XLOOKUP(Table6[[#This Row],[Suburb]],Table5[Travel Surcharge],Table5[$$]),"")</f>
        <v/>
      </c>
      <c r="AI955" s="47"/>
      <c r="AJ955" s="47"/>
    </row>
    <row r="956" spans="1:36">
      <c r="A956" s="157" t="s">
        <v>1841</v>
      </c>
      <c r="B956" s="157">
        <v>12</v>
      </c>
      <c r="C956" s="157" t="s">
        <v>8561</v>
      </c>
      <c r="D956" s="157" t="str">
        <f t="shared" si="200"/>
        <v>Carolina Estate12</v>
      </c>
      <c r="E956" s="157" t="s">
        <v>8564</v>
      </c>
      <c r="F956" s="157" t="s">
        <v>1806</v>
      </c>
      <c r="G956" s="157" t="s">
        <v>1843</v>
      </c>
      <c r="H956" s="157" t="s">
        <v>8562</v>
      </c>
      <c r="I956" s="158" t="s">
        <v>1845</v>
      </c>
      <c r="J956" s="47"/>
      <c r="K956" s="46" t="s">
        <v>10735</v>
      </c>
      <c r="L956" s="47"/>
      <c r="M956" s="47">
        <f t="shared" si="207"/>
        <v>1430.0000000000002</v>
      </c>
      <c r="N956" s="47"/>
      <c r="O956" s="47" t="s">
        <v>8322</v>
      </c>
      <c r="P956" s="47"/>
      <c r="Q956" s="47"/>
      <c r="R956" s="47">
        <f t="shared" si="208"/>
        <v>540</v>
      </c>
      <c r="S956" s="47" t="s">
        <v>8093</v>
      </c>
      <c r="T956" s="47" t="s">
        <v>8563</v>
      </c>
      <c r="U956" s="47"/>
      <c r="V956" s="47"/>
      <c r="W956" s="47"/>
      <c r="X956" s="47"/>
      <c r="Y956" s="47" t="s">
        <v>1848</v>
      </c>
      <c r="Z956" s="47">
        <f t="shared" si="209"/>
        <v>4620</v>
      </c>
      <c r="AA956" s="47"/>
      <c r="AB956" s="47">
        <f t="shared" si="210"/>
        <v>2800</v>
      </c>
      <c r="AC956" s="47"/>
      <c r="AD956" s="47"/>
      <c r="AE956" s="47"/>
      <c r="AF956" s="47">
        <f t="shared" si="211"/>
        <v>1485</v>
      </c>
      <c r="AG956" s="47"/>
      <c r="AH956" s="47" t="str">
        <f>IFERROR(_xlfn.XLOOKUP(Table6[[#This Row],[Suburb]],Table5[Travel Surcharge],Table5[$$]),"")</f>
        <v/>
      </c>
      <c r="AI956" s="47"/>
      <c r="AJ956" s="47"/>
    </row>
    <row r="957" spans="1:36">
      <c r="A957" s="157" t="s">
        <v>1841</v>
      </c>
      <c r="B957" s="157">
        <v>15</v>
      </c>
      <c r="C957" s="157" t="s">
        <v>1660</v>
      </c>
      <c r="D957" s="157" t="str">
        <f t="shared" si="200"/>
        <v>Carolina Estate15</v>
      </c>
      <c r="E957" s="157" t="s">
        <v>7738</v>
      </c>
      <c r="F957" s="157" t="s">
        <v>1806</v>
      </c>
      <c r="G957" s="157" t="s">
        <v>1843</v>
      </c>
      <c r="H957" s="157" t="s">
        <v>1844</v>
      </c>
      <c r="I957" s="158" t="s">
        <v>1845</v>
      </c>
      <c r="J957" s="47"/>
      <c r="K957" s="46" t="s">
        <v>10735</v>
      </c>
      <c r="L957" s="47"/>
      <c r="M957" s="47">
        <f t="shared" si="207"/>
        <v>1430.0000000000002</v>
      </c>
      <c r="N957" s="47"/>
      <c r="O957" s="47" t="s">
        <v>1846</v>
      </c>
      <c r="P957" s="47"/>
      <c r="Q957" s="47"/>
      <c r="R957" s="47">
        <f t="shared" si="208"/>
        <v>540</v>
      </c>
      <c r="S957" s="47" t="s">
        <v>1765</v>
      </c>
      <c r="T957" s="47" t="s">
        <v>1847</v>
      </c>
      <c r="U957" s="47"/>
      <c r="V957" s="47"/>
      <c r="W957" s="47"/>
      <c r="X957" s="47"/>
      <c r="Y957" s="47" t="s">
        <v>1848</v>
      </c>
      <c r="Z957" s="47">
        <f t="shared" si="209"/>
        <v>4620</v>
      </c>
      <c r="AA957" s="47"/>
      <c r="AB957" s="47">
        <f t="shared" si="210"/>
        <v>2800</v>
      </c>
      <c r="AC957" s="47"/>
      <c r="AD957" s="47"/>
      <c r="AE957" s="47"/>
      <c r="AF957" s="47">
        <f t="shared" si="211"/>
        <v>1485</v>
      </c>
      <c r="AG957" s="47"/>
      <c r="AH957" s="47" t="str">
        <f>IFERROR(_xlfn.XLOOKUP(Table6[[#This Row],[Suburb]],Table5[Travel Surcharge],Table5[$$]),"")</f>
        <v/>
      </c>
      <c r="AI957" s="47"/>
      <c r="AJ957" s="47"/>
    </row>
    <row r="958" spans="1:36">
      <c r="A958" s="374" t="s">
        <v>1826</v>
      </c>
      <c r="B958" s="374">
        <v>1</v>
      </c>
      <c r="C958" s="374" t="s">
        <v>802</v>
      </c>
      <c r="D958" s="375" t="str">
        <f t="shared" si="200"/>
        <v>Carrington Estate1</v>
      </c>
      <c r="E958" s="375" t="s">
        <v>1827</v>
      </c>
      <c r="F958" s="375"/>
      <c r="G958" s="375" t="s">
        <v>973</v>
      </c>
      <c r="H958" s="375" t="s">
        <v>974</v>
      </c>
      <c r="I958" s="63" t="s">
        <v>975</v>
      </c>
      <c r="J958" s="47">
        <f>J$7</f>
        <v>3740</v>
      </c>
      <c r="K958" s="46" t="s">
        <v>10735</v>
      </c>
      <c r="L958" s="47" t="s">
        <v>504</v>
      </c>
      <c r="M958" s="47">
        <f>M$7</f>
        <v>1430.0000000000002</v>
      </c>
      <c r="N958" s="47"/>
      <c r="O958" s="47" t="s">
        <v>1828</v>
      </c>
      <c r="P958" s="47" t="s">
        <v>1829</v>
      </c>
      <c r="Q958" s="47">
        <f>Q$2</f>
        <v>0</v>
      </c>
      <c r="R958" s="47"/>
      <c r="S958" s="47"/>
      <c r="T958" s="47"/>
      <c r="U958" s="47" t="s">
        <v>1830</v>
      </c>
      <c r="V958" s="47"/>
      <c r="W958" s="47"/>
      <c r="X958" s="47" t="s">
        <v>1831</v>
      </c>
      <c r="Y958" s="47"/>
      <c r="Z958" s="47">
        <f t="shared" si="209"/>
        <v>4620</v>
      </c>
      <c r="AA958" s="47">
        <f>AA$7</f>
        <v>1400</v>
      </c>
      <c r="AB958" s="47"/>
      <c r="AC958" s="47"/>
      <c r="AD958" s="47" t="s">
        <v>1</v>
      </c>
      <c r="AE958" s="47"/>
      <c r="AF958" s="47">
        <f t="shared" si="211"/>
        <v>1485</v>
      </c>
      <c r="AG958" s="47"/>
      <c r="AH958" s="47" t="str">
        <f>IFERROR(_xlfn.XLOOKUP(Table6[[#This Row],[Suburb]],Table5[Travel Surcharge],Table5[$$]),"")</f>
        <v/>
      </c>
      <c r="AI958" s="47"/>
      <c r="AJ958" s="47"/>
    </row>
    <row r="959" spans="1:36">
      <c r="A959" s="374" t="s">
        <v>1826</v>
      </c>
      <c r="B959" s="374">
        <v>2</v>
      </c>
      <c r="C959" s="374" t="s">
        <v>802</v>
      </c>
      <c r="D959" s="375" t="str">
        <f t="shared" si="200"/>
        <v>Carrington Estate2</v>
      </c>
      <c r="E959" s="375" t="s">
        <v>1832</v>
      </c>
      <c r="F959" s="375"/>
      <c r="G959" s="375" t="s">
        <v>973</v>
      </c>
      <c r="H959" s="375" t="s">
        <v>974</v>
      </c>
      <c r="I959" s="63" t="s">
        <v>975</v>
      </c>
      <c r="J959" s="47">
        <f>J$7</f>
        <v>3740</v>
      </c>
      <c r="K959" s="46" t="s">
        <v>10735</v>
      </c>
      <c r="L959" s="47" t="s">
        <v>504</v>
      </c>
      <c r="M959" s="47">
        <f>M$7</f>
        <v>1430.0000000000002</v>
      </c>
      <c r="N959" s="47"/>
      <c r="O959" s="47" t="s">
        <v>1828</v>
      </c>
      <c r="P959" s="47" t="s">
        <v>1829</v>
      </c>
      <c r="Q959" s="47">
        <f>Q$2</f>
        <v>0</v>
      </c>
      <c r="R959" s="47"/>
      <c r="S959" s="47"/>
      <c r="T959" s="47"/>
      <c r="U959" s="47" t="s">
        <v>1830</v>
      </c>
      <c r="V959" s="47"/>
      <c r="W959" s="47"/>
      <c r="X959" s="47" t="s">
        <v>1831</v>
      </c>
      <c r="Y959" s="47"/>
      <c r="Z959" s="47">
        <f t="shared" si="209"/>
        <v>4620</v>
      </c>
      <c r="AA959" s="47">
        <f>AA$7</f>
        <v>1400</v>
      </c>
      <c r="AB959" s="47"/>
      <c r="AC959" s="47"/>
      <c r="AD959" s="47" t="s">
        <v>1</v>
      </c>
      <c r="AE959" s="47"/>
      <c r="AF959" s="47">
        <f t="shared" si="211"/>
        <v>1485</v>
      </c>
      <c r="AG959" s="47"/>
      <c r="AH959" s="47" t="str">
        <f>IFERROR(_xlfn.XLOOKUP(Table6[[#This Row],[Suburb]],Table5[Travel Surcharge],Table5[$$]),"")</f>
        <v/>
      </c>
      <c r="AI959" s="47"/>
      <c r="AJ959" s="47"/>
    </row>
    <row r="960" spans="1:36">
      <c r="A960" s="374" t="s">
        <v>1826</v>
      </c>
      <c r="B960" s="374">
        <v>3</v>
      </c>
      <c r="C960" s="374" t="s">
        <v>802</v>
      </c>
      <c r="D960" s="375" t="str">
        <f t="shared" si="200"/>
        <v>Carrington Estate3</v>
      </c>
      <c r="E960" s="375" t="s">
        <v>1833</v>
      </c>
      <c r="F960" s="375"/>
      <c r="G960" s="375" t="s">
        <v>973</v>
      </c>
      <c r="H960" s="375" t="s">
        <v>974</v>
      </c>
      <c r="I960" s="63" t="s">
        <v>975</v>
      </c>
      <c r="J960" s="47">
        <f>J$7</f>
        <v>3740</v>
      </c>
      <c r="K960" s="46" t="s">
        <v>10735</v>
      </c>
      <c r="L960" s="47" t="s">
        <v>504</v>
      </c>
      <c r="M960" s="47">
        <f>M$7</f>
        <v>1430.0000000000002</v>
      </c>
      <c r="N960" s="47"/>
      <c r="O960" s="47" t="s">
        <v>1828</v>
      </c>
      <c r="P960" s="47" t="s">
        <v>1829</v>
      </c>
      <c r="Q960" s="47">
        <f>Q$2</f>
        <v>0</v>
      </c>
      <c r="R960" s="47"/>
      <c r="S960" s="47"/>
      <c r="T960" s="47"/>
      <c r="U960" s="47" t="s">
        <v>1830</v>
      </c>
      <c r="V960" s="47"/>
      <c r="W960" s="47"/>
      <c r="X960" s="47" t="s">
        <v>1831</v>
      </c>
      <c r="Y960" s="47"/>
      <c r="Z960" s="47">
        <f t="shared" si="209"/>
        <v>4620</v>
      </c>
      <c r="AA960" s="47">
        <f>AA$7</f>
        <v>1400</v>
      </c>
      <c r="AB960" s="47"/>
      <c r="AC960" s="47"/>
      <c r="AD960" s="47" t="s">
        <v>1</v>
      </c>
      <c r="AE960" s="47"/>
      <c r="AF960" s="47">
        <f t="shared" si="211"/>
        <v>1485</v>
      </c>
      <c r="AG960" s="47"/>
      <c r="AH960" s="47" t="str">
        <f>IFERROR(_xlfn.XLOOKUP(Table6[[#This Row],[Suburb]],Table5[Travel Surcharge],Table5[$$]),"")</f>
        <v/>
      </c>
      <c r="AI960" s="47"/>
      <c r="AJ960" s="47"/>
    </row>
    <row r="961" spans="1:36">
      <c r="A961" s="374" t="s">
        <v>1826</v>
      </c>
      <c r="B961" s="374">
        <v>4</v>
      </c>
      <c r="C961" s="374" t="s">
        <v>802</v>
      </c>
      <c r="D961" s="375" t="str">
        <f t="shared" si="200"/>
        <v>Carrington Estate4</v>
      </c>
      <c r="E961" s="375" t="s">
        <v>1834</v>
      </c>
      <c r="F961" s="375"/>
      <c r="G961" s="375" t="s">
        <v>973</v>
      </c>
      <c r="H961" s="375" t="s">
        <v>974</v>
      </c>
      <c r="I961" s="63" t="s">
        <v>975</v>
      </c>
      <c r="J961" s="47">
        <f>J$7</f>
        <v>3740</v>
      </c>
      <c r="K961" s="46" t="s">
        <v>10735</v>
      </c>
      <c r="L961" s="47" t="s">
        <v>504</v>
      </c>
      <c r="M961" s="47">
        <f>M$7</f>
        <v>1430.0000000000002</v>
      </c>
      <c r="N961" s="47"/>
      <c r="O961" s="47" t="s">
        <v>1828</v>
      </c>
      <c r="P961" s="47" t="s">
        <v>1829</v>
      </c>
      <c r="Q961" s="47">
        <f>Q$2</f>
        <v>0</v>
      </c>
      <c r="R961" s="47"/>
      <c r="S961" s="47"/>
      <c r="T961" s="47"/>
      <c r="U961" s="47" t="s">
        <v>1830</v>
      </c>
      <c r="V961" s="47"/>
      <c r="W961" s="47"/>
      <c r="X961" s="47" t="s">
        <v>1831</v>
      </c>
      <c r="Y961" s="47"/>
      <c r="Z961" s="47">
        <f t="shared" si="209"/>
        <v>4620</v>
      </c>
      <c r="AA961" s="47">
        <f>AA$7</f>
        <v>1400</v>
      </c>
      <c r="AB961" s="47"/>
      <c r="AC961" s="47"/>
      <c r="AD961" s="47" t="s">
        <v>1</v>
      </c>
      <c r="AE961" s="47"/>
      <c r="AF961" s="47">
        <f t="shared" si="211"/>
        <v>1485</v>
      </c>
      <c r="AG961" s="47"/>
      <c r="AH961" s="47" t="str">
        <f>IFERROR(_xlfn.XLOOKUP(Table6[[#This Row],[Suburb]],Table5[Travel Surcharge],Table5[$$]),"")</f>
        <v/>
      </c>
      <c r="AI961" s="47"/>
      <c r="AJ961" s="47"/>
    </row>
    <row r="962" spans="1:36">
      <c r="A962" s="374" t="s">
        <v>1826</v>
      </c>
      <c r="B962" s="374">
        <v>5</v>
      </c>
      <c r="C962" s="374" t="s">
        <v>802</v>
      </c>
      <c r="D962" s="375" t="str">
        <f t="shared" si="200"/>
        <v>Carrington Estate5</v>
      </c>
      <c r="E962" s="375" t="s">
        <v>1835</v>
      </c>
      <c r="F962" s="375"/>
      <c r="G962" s="375" t="s">
        <v>973</v>
      </c>
      <c r="H962" s="375" t="s">
        <v>974</v>
      </c>
      <c r="I962" s="63" t="s">
        <v>975</v>
      </c>
      <c r="J962" s="47">
        <v>3740</v>
      </c>
      <c r="K962" s="46" t="s">
        <v>10735</v>
      </c>
      <c r="L962" s="47" t="s">
        <v>504</v>
      </c>
      <c r="M962" s="47">
        <v>1430.0000000000002</v>
      </c>
      <c r="N962" s="47"/>
      <c r="O962" s="47" t="s">
        <v>1828</v>
      </c>
      <c r="P962" s="47" t="s">
        <v>1829</v>
      </c>
      <c r="Q962" s="47">
        <v>0</v>
      </c>
      <c r="R962" s="47"/>
      <c r="S962" s="47"/>
      <c r="T962" s="47"/>
      <c r="U962" s="47" t="s">
        <v>1830</v>
      </c>
      <c r="V962" s="47"/>
      <c r="W962" s="47"/>
      <c r="X962" s="47" t="s">
        <v>1831</v>
      </c>
      <c r="Y962" s="47"/>
      <c r="Z962" s="47">
        <v>4620</v>
      </c>
      <c r="AA962" s="47">
        <v>1400</v>
      </c>
      <c r="AB962" s="47"/>
      <c r="AC962" s="47"/>
      <c r="AD962" s="47" t="s">
        <v>1</v>
      </c>
      <c r="AE962" s="47"/>
      <c r="AF962" s="47">
        <v>1650.0000000000002</v>
      </c>
      <c r="AG962" s="47"/>
      <c r="AH962" s="47" t="str">
        <f>IFERROR(_xlfn.XLOOKUP(Table6[[#This Row],[Suburb]],Table5[Travel Surcharge],Table5[$$]),"")</f>
        <v/>
      </c>
      <c r="AI962" s="47"/>
      <c r="AJ962" s="47"/>
    </row>
    <row r="963" spans="1:36">
      <c r="A963" s="374" t="s">
        <v>1815</v>
      </c>
      <c r="B963" s="374">
        <v>1</v>
      </c>
      <c r="C963" s="374" t="s">
        <v>296</v>
      </c>
      <c r="D963" s="375" t="str">
        <f t="shared" si="200"/>
        <v>Carringum1</v>
      </c>
      <c r="E963" s="375" t="s">
        <v>1816</v>
      </c>
      <c r="F963" s="375"/>
      <c r="G963" s="375" t="s">
        <v>576</v>
      </c>
      <c r="H963" s="375" t="s">
        <v>577</v>
      </c>
      <c r="I963" s="63" t="s">
        <v>683</v>
      </c>
      <c r="J963" s="47"/>
      <c r="K963" s="46" t="s">
        <v>10735</v>
      </c>
      <c r="L963" s="47"/>
      <c r="M963" s="47"/>
      <c r="N963" s="47" t="s">
        <v>1817</v>
      </c>
      <c r="O963" s="47">
        <f t="shared" ref="O963:O971" si="212">O$7</f>
        <v>4950</v>
      </c>
      <c r="P963" s="47" t="s">
        <v>8788</v>
      </c>
      <c r="Q963" s="47"/>
      <c r="R963" s="47"/>
      <c r="S963" s="47" t="s">
        <v>463</v>
      </c>
      <c r="T963" s="47"/>
      <c r="U963" s="47"/>
      <c r="V963" s="47"/>
      <c r="W963" s="47"/>
      <c r="X963" s="47"/>
      <c r="Y963" s="47"/>
      <c r="Z963" s="47">
        <f t="shared" ref="Z963:Z996" si="213">Z$7</f>
        <v>4620</v>
      </c>
      <c r="AA963" s="47"/>
      <c r="AB963" s="47"/>
      <c r="AC963" s="47"/>
      <c r="AD963" s="47"/>
      <c r="AE963" s="47"/>
      <c r="AF963" s="47"/>
      <c r="AG963" s="47"/>
      <c r="AH963" s="47">
        <f>IFERROR(_xlfn.XLOOKUP(Table6[[#This Row],[Suburb]],Table5[Travel Surcharge],Table5[$$]),"")</f>
        <v>8000</v>
      </c>
      <c r="AI963" s="47"/>
      <c r="AJ963" s="47">
        <f t="shared" ref="AJ963:AJ971" si="214">AJ$7</f>
        <v>4400</v>
      </c>
    </row>
    <row r="964" spans="1:36">
      <c r="A964" s="374" t="s">
        <v>1815</v>
      </c>
      <c r="B964" s="374">
        <v>2</v>
      </c>
      <c r="C964" s="374" t="s">
        <v>296</v>
      </c>
      <c r="D964" s="375" t="str">
        <f t="shared" si="200"/>
        <v>Carringum2</v>
      </c>
      <c r="E964" s="375" t="s">
        <v>1818</v>
      </c>
      <c r="F964" s="375"/>
      <c r="G964" s="375" t="s">
        <v>576</v>
      </c>
      <c r="H964" s="375" t="s">
        <v>577</v>
      </c>
      <c r="I964" s="63" t="s">
        <v>683</v>
      </c>
      <c r="J964" s="47"/>
      <c r="K964" s="46" t="s">
        <v>10735</v>
      </c>
      <c r="L964" s="47"/>
      <c r="M964" s="47"/>
      <c r="N964" s="47" t="s">
        <v>1817</v>
      </c>
      <c r="O964" s="47">
        <f t="shared" si="212"/>
        <v>4950</v>
      </c>
      <c r="P964" s="47" t="s">
        <v>8788</v>
      </c>
      <c r="Q964" s="47"/>
      <c r="R964" s="47"/>
      <c r="S964" s="47" t="s">
        <v>463</v>
      </c>
      <c r="T964" s="47"/>
      <c r="U964" s="47"/>
      <c r="V964" s="47"/>
      <c r="W964" s="47"/>
      <c r="X964" s="47"/>
      <c r="Y964" s="47"/>
      <c r="Z964" s="47">
        <f t="shared" si="213"/>
        <v>4620</v>
      </c>
      <c r="AA964" s="47"/>
      <c r="AB964" s="47"/>
      <c r="AC964" s="47"/>
      <c r="AD964" s="47"/>
      <c r="AE964" s="47"/>
      <c r="AF964" s="47"/>
      <c r="AG964" s="47"/>
      <c r="AH964" s="47">
        <f>IFERROR(_xlfn.XLOOKUP(Table6[[#This Row],[Suburb]],Table5[Travel Surcharge],Table5[$$]),"")</f>
        <v>8000</v>
      </c>
      <c r="AI964" s="47"/>
      <c r="AJ964" s="47">
        <f t="shared" si="214"/>
        <v>4400</v>
      </c>
    </row>
    <row r="965" spans="1:36">
      <c r="A965" s="374" t="s">
        <v>1815</v>
      </c>
      <c r="B965" s="374">
        <v>4</v>
      </c>
      <c r="C965" s="374" t="s">
        <v>296</v>
      </c>
      <c r="D965" s="375" t="str">
        <f t="shared" si="200"/>
        <v>Carringum4</v>
      </c>
      <c r="E965" s="375" t="s">
        <v>1819</v>
      </c>
      <c r="F965" s="375"/>
      <c r="G965" s="375" t="s">
        <v>576</v>
      </c>
      <c r="H965" s="375" t="s">
        <v>577</v>
      </c>
      <c r="I965" s="63" t="s">
        <v>683</v>
      </c>
      <c r="J965" s="47"/>
      <c r="K965" s="46" t="s">
        <v>10735</v>
      </c>
      <c r="L965" s="47"/>
      <c r="M965" s="47"/>
      <c r="N965" s="47" t="s">
        <v>1817</v>
      </c>
      <c r="O965" s="47">
        <f t="shared" si="212"/>
        <v>4950</v>
      </c>
      <c r="P965" s="47" t="s">
        <v>8788</v>
      </c>
      <c r="Q965" s="47"/>
      <c r="R965" s="47"/>
      <c r="S965" s="47" t="s">
        <v>463</v>
      </c>
      <c r="T965" s="47"/>
      <c r="U965" s="47"/>
      <c r="V965" s="47"/>
      <c r="W965" s="47"/>
      <c r="X965" s="47"/>
      <c r="Y965" s="47"/>
      <c r="Z965" s="47">
        <f t="shared" si="213"/>
        <v>4620</v>
      </c>
      <c r="AA965" s="47"/>
      <c r="AB965" s="47"/>
      <c r="AC965" s="47"/>
      <c r="AD965" s="47"/>
      <c r="AE965" s="47"/>
      <c r="AF965" s="47"/>
      <c r="AG965" s="47"/>
      <c r="AH965" s="47">
        <f>IFERROR(_xlfn.XLOOKUP(Table6[[#This Row],[Suburb]],Table5[Travel Surcharge],Table5[$$]),"")</f>
        <v>8000</v>
      </c>
      <c r="AI965" s="47"/>
      <c r="AJ965" s="47">
        <f t="shared" si="214"/>
        <v>4400</v>
      </c>
    </row>
    <row r="966" spans="1:36">
      <c r="A966" s="374" t="s">
        <v>1815</v>
      </c>
      <c r="B966" s="276" t="s">
        <v>617</v>
      </c>
      <c r="C966" s="374" t="s">
        <v>296</v>
      </c>
      <c r="D966" s="375" t="str">
        <f t="shared" si="200"/>
        <v>Carringum5A</v>
      </c>
      <c r="E966" s="375" t="s">
        <v>10874</v>
      </c>
      <c r="F966" s="375"/>
      <c r="G966" s="375" t="s">
        <v>576</v>
      </c>
      <c r="H966" s="375" t="s">
        <v>577</v>
      </c>
      <c r="I966" s="63" t="s">
        <v>683</v>
      </c>
      <c r="J966" s="47"/>
      <c r="K966" s="46" t="s">
        <v>10735</v>
      </c>
      <c r="L966" s="47"/>
      <c r="M966" s="47"/>
      <c r="N966" s="47" t="s">
        <v>1817</v>
      </c>
      <c r="O966" s="47">
        <v>4950</v>
      </c>
      <c r="P966" s="47" t="s">
        <v>8788</v>
      </c>
      <c r="Q966" s="47"/>
      <c r="R966" s="47"/>
      <c r="S966" s="47" t="s">
        <v>463</v>
      </c>
      <c r="T966" s="47"/>
      <c r="U966" s="47"/>
      <c r="V966" s="47"/>
      <c r="W966" s="47"/>
      <c r="X966" s="47"/>
      <c r="Y966" s="47"/>
      <c r="Z966" s="47">
        <v>4620</v>
      </c>
      <c r="AA966" s="47"/>
      <c r="AB966" s="47"/>
      <c r="AC966" s="47"/>
      <c r="AD966" s="47"/>
      <c r="AE966" s="47"/>
      <c r="AF966" s="47"/>
      <c r="AG966" s="47"/>
      <c r="AH966" s="47">
        <v>8000</v>
      </c>
      <c r="AI966" s="47"/>
      <c r="AJ966" s="47">
        <v>4400</v>
      </c>
    </row>
    <row r="967" spans="1:36">
      <c r="A967" s="374" t="s">
        <v>1815</v>
      </c>
      <c r="B967" s="374">
        <v>7</v>
      </c>
      <c r="C967" s="374" t="s">
        <v>296</v>
      </c>
      <c r="D967" s="375" t="str">
        <f t="shared" si="200"/>
        <v>Carringum7</v>
      </c>
      <c r="E967" s="375" t="s">
        <v>1823</v>
      </c>
      <c r="F967" s="375"/>
      <c r="G967" s="375" t="s">
        <v>576</v>
      </c>
      <c r="H967" s="375" t="s">
        <v>577</v>
      </c>
      <c r="I967" s="63" t="s">
        <v>683</v>
      </c>
      <c r="J967" s="47"/>
      <c r="K967" s="46" t="s">
        <v>10735</v>
      </c>
      <c r="L967" s="47"/>
      <c r="M967" s="47"/>
      <c r="N967" s="47" t="s">
        <v>1817</v>
      </c>
      <c r="O967" s="47">
        <f t="shared" si="212"/>
        <v>4950</v>
      </c>
      <c r="P967" s="47" t="s">
        <v>8788</v>
      </c>
      <c r="Q967" s="47"/>
      <c r="R967" s="47"/>
      <c r="S967" s="47" t="s">
        <v>463</v>
      </c>
      <c r="T967" s="47"/>
      <c r="U967" s="47"/>
      <c r="V967" s="47"/>
      <c r="W967" s="47"/>
      <c r="X967" s="47"/>
      <c r="Y967" s="47"/>
      <c r="Z967" s="47">
        <f t="shared" si="213"/>
        <v>4620</v>
      </c>
      <c r="AA967" s="47"/>
      <c r="AB967" s="47"/>
      <c r="AC967" s="47"/>
      <c r="AD967" s="47"/>
      <c r="AE967" s="47"/>
      <c r="AF967" s="47"/>
      <c r="AG967" s="47"/>
      <c r="AH967" s="47">
        <f>IFERROR(_xlfn.XLOOKUP(Table6[[#This Row],[Suburb]],Table5[Travel Surcharge],Table5[$$]),"")</f>
        <v>8000</v>
      </c>
      <c r="AI967" s="47"/>
      <c r="AJ967" s="47">
        <f t="shared" si="214"/>
        <v>4400</v>
      </c>
    </row>
    <row r="968" spans="1:36">
      <c r="A968" s="374" t="s">
        <v>1815</v>
      </c>
      <c r="B968" s="374">
        <v>8</v>
      </c>
      <c r="C968" s="374" t="s">
        <v>296</v>
      </c>
      <c r="D968" s="375" t="str">
        <f t="shared" si="200"/>
        <v>Carringum8</v>
      </c>
      <c r="E968" s="375" t="s">
        <v>1824</v>
      </c>
      <c r="F968" s="375"/>
      <c r="G968" s="375" t="s">
        <v>576</v>
      </c>
      <c r="H968" s="375" t="s">
        <v>577</v>
      </c>
      <c r="I968" s="63" t="s">
        <v>683</v>
      </c>
      <c r="J968" s="47"/>
      <c r="K968" s="46" t="s">
        <v>10735</v>
      </c>
      <c r="L968" s="47"/>
      <c r="M968" s="47"/>
      <c r="N968" s="47" t="s">
        <v>1817</v>
      </c>
      <c r="O968" s="47">
        <f t="shared" si="212"/>
        <v>4950</v>
      </c>
      <c r="P968" s="47" t="s">
        <v>8788</v>
      </c>
      <c r="Q968" s="47"/>
      <c r="R968" s="47"/>
      <c r="S968" s="47" t="s">
        <v>463</v>
      </c>
      <c r="T968" s="47"/>
      <c r="U968" s="47"/>
      <c r="V968" s="47"/>
      <c r="W968" s="47"/>
      <c r="X968" s="47"/>
      <c r="Y968" s="47"/>
      <c r="Z968" s="47">
        <f t="shared" si="213"/>
        <v>4620</v>
      </c>
      <c r="AA968" s="47"/>
      <c r="AB968" s="47"/>
      <c r="AC968" s="47"/>
      <c r="AD968" s="47"/>
      <c r="AE968" s="47"/>
      <c r="AF968" s="47"/>
      <c r="AG968" s="47"/>
      <c r="AH968" s="47">
        <f>IFERROR(_xlfn.XLOOKUP(Table6[[#This Row],[Suburb]],Table5[Travel Surcharge],Table5[$$]),"")</f>
        <v>8000</v>
      </c>
      <c r="AI968" s="47"/>
      <c r="AJ968" s="47">
        <f t="shared" si="214"/>
        <v>4400</v>
      </c>
    </row>
    <row r="969" spans="1:36">
      <c r="A969" s="374" t="s">
        <v>1815</v>
      </c>
      <c r="B969" s="374">
        <v>9</v>
      </c>
      <c r="C969" s="374" t="s">
        <v>296</v>
      </c>
      <c r="D969" s="375" t="str">
        <f t="shared" si="200"/>
        <v>Carringum9</v>
      </c>
      <c r="E969" s="375" t="s">
        <v>1825</v>
      </c>
      <c r="F969" s="375"/>
      <c r="G969" s="375" t="s">
        <v>576</v>
      </c>
      <c r="H969" s="375" t="s">
        <v>577</v>
      </c>
      <c r="I969" s="63" t="s">
        <v>683</v>
      </c>
      <c r="J969" s="47"/>
      <c r="K969" s="46" t="s">
        <v>10735</v>
      </c>
      <c r="L969" s="47"/>
      <c r="M969" s="47"/>
      <c r="N969" s="47" t="s">
        <v>1817</v>
      </c>
      <c r="O969" s="47">
        <f t="shared" si="212"/>
        <v>4950</v>
      </c>
      <c r="P969" s="47" t="s">
        <v>8788</v>
      </c>
      <c r="Q969" s="47"/>
      <c r="R969" s="47"/>
      <c r="S969" s="47" t="s">
        <v>463</v>
      </c>
      <c r="T969" s="47"/>
      <c r="U969" s="47"/>
      <c r="V969" s="47"/>
      <c r="W969" s="47"/>
      <c r="X969" s="47"/>
      <c r="Y969" s="47"/>
      <c r="Z969" s="47">
        <f t="shared" si="213"/>
        <v>4620</v>
      </c>
      <c r="AA969" s="47"/>
      <c r="AB969" s="47"/>
      <c r="AC969" s="47"/>
      <c r="AD969" s="47"/>
      <c r="AE969" s="47"/>
      <c r="AF969" s="47"/>
      <c r="AG969" s="47"/>
      <c r="AH969" s="47">
        <f>IFERROR(_xlfn.XLOOKUP(Table6[[#This Row],[Suburb]],Table5[Travel Surcharge],Table5[$$]),"")</f>
        <v>8000</v>
      </c>
      <c r="AI969" s="47"/>
      <c r="AJ969" s="47">
        <f t="shared" si="214"/>
        <v>4400</v>
      </c>
    </row>
    <row r="970" spans="1:36">
      <c r="A970" s="374" t="s">
        <v>1815</v>
      </c>
      <c r="B970" s="374" t="s">
        <v>1820</v>
      </c>
      <c r="C970" s="374" t="s">
        <v>296</v>
      </c>
      <c r="D970" s="375" t="str">
        <f t="shared" si="200"/>
        <v>Carringum4a</v>
      </c>
      <c r="E970" s="375" t="s">
        <v>1819</v>
      </c>
      <c r="F970" s="375"/>
      <c r="G970" s="375" t="s">
        <v>576</v>
      </c>
      <c r="H970" s="375" t="s">
        <v>577</v>
      </c>
      <c r="I970" s="63" t="s">
        <v>683</v>
      </c>
      <c r="J970" s="47"/>
      <c r="K970" s="46" t="s">
        <v>10735</v>
      </c>
      <c r="L970" s="47"/>
      <c r="M970" s="47"/>
      <c r="N970" s="47" t="s">
        <v>1817</v>
      </c>
      <c r="O970" s="47">
        <f t="shared" si="212"/>
        <v>4950</v>
      </c>
      <c r="P970" s="47" t="s">
        <v>8788</v>
      </c>
      <c r="Q970" s="47"/>
      <c r="R970" s="47"/>
      <c r="S970" s="47" t="s">
        <v>463</v>
      </c>
      <c r="T970" s="47"/>
      <c r="U970" s="47"/>
      <c r="V970" s="47"/>
      <c r="W970" s="47"/>
      <c r="X970" s="47"/>
      <c r="Y970" s="47"/>
      <c r="Z970" s="47">
        <f t="shared" si="213"/>
        <v>4620</v>
      </c>
      <c r="AA970" s="47"/>
      <c r="AB970" s="47"/>
      <c r="AC970" s="47"/>
      <c r="AD970" s="47"/>
      <c r="AE970" s="47"/>
      <c r="AF970" s="47"/>
      <c r="AG970" s="47"/>
      <c r="AH970" s="47">
        <f>IFERROR(_xlfn.XLOOKUP(Table6[[#This Row],[Suburb]],Table5[Travel Surcharge],Table5[$$]),"")</f>
        <v>8000</v>
      </c>
      <c r="AI970" s="47"/>
      <c r="AJ970" s="47">
        <f t="shared" si="214"/>
        <v>4400</v>
      </c>
    </row>
    <row r="971" spans="1:36">
      <c r="A971" s="374" t="s">
        <v>1815</v>
      </c>
      <c r="B971" s="374" t="s">
        <v>1821</v>
      </c>
      <c r="C971" s="374" t="s">
        <v>296</v>
      </c>
      <c r="D971" s="375" t="str">
        <f t="shared" si="200"/>
        <v>Carringum6a</v>
      </c>
      <c r="E971" s="375" t="s">
        <v>1822</v>
      </c>
      <c r="F971" s="375"/>
      <c r="G971" s="375" t="s">
        <v>576</v>
      </c>
      <c r="H971" s="375" t="s">
        <v>577</v>
      </c>
      <c r="I971" s="63" t="s">
        <v>683</v>
      </c>
      <c r="J971" s="47"/>
      <c r="K971" s="46" t="s">
        <v>10735</v>
      </c>
      <c r="L971" s="47"/>
      <c r="M971" s="47"/>
      <c r="N971" s="47" t="s">
        <v>1817</v>
      </c>
      <c r="O971" s="47">
        <f t="shared" si="212"/>
        <v>4950</v>
      </c>
      <c r="P971" s="47" t="s">
        <v>8788</v>
      </c>
      <c r="Q971" s="47"/>
      <c r="R971" s="47"/>
      <c r="S971" s="47" t="s">
        <v>463</v>
      </c>
      <c r="T971" s="47"/>
      <c r="U971" s="47"/>
      <c r="V971" s="47"/>
      <c r="W971" s="47"/>
      <c r="X971" s="47"/>
      <c r="Y971" s="47"/>
      <c r="Z971" s="47">
        <f t="shared" si="213"/>
        <v>4620</v>
      </c>
      <c r="AA971" s="47"/>
      <c r="AB971" s="47"/>
      <c r="AC971" s="47"/>
      <c r="AD971" s="47"/>
      <c r="AE971" s="47"/>
      <c r="AF971" s="47"/>
      <c r="AG971" s="47"/>
      <c r="AH971" s="47">
        <f>IFERROR(_xlfn.XLOOKUP(Table6[[#This Row],[Suburb]],Table5[Travel Surcharge],Table5[$$]),"")</f>
        <v>8000</v>
      </c>
      <c r="AI971" s="47"/>
      <c r="AJ971" s="47">
        <f t="shared" si="214"/>
        <v>4400</v>
      </c>
    </row>
    <row r="972" spans="1:36">
      <c r="A972" s="374" t="s">
        <v>1854</v>
      </c>
      <c r="B972" s="374">
        <v>2</v>
      </c>
      <c r="C972" s="374" t="s">
        <v>1024</v>
      </c>
      <c r="D972" s="375" t="str">
        <f t="shared" si="200"/>
        <v>Carroll Lane 2</v>
      </c>
      <c r="E972" s="375" t="s">
        <v>1859</v>
      </c>
      <c r="F972" s="375"/>
      <c r="G972" s="375" t="s">
        <v>1856</v>
      </c>
      <c r="H972" s="375" t="s">
        <v>1857</v>
      </c>
      <c r="I972" s="63"/>
      <c r="J972" s="47">
        <f>J$7</f>
        <v>3740</v>
      </c>
      <c r="K972" s="46" t="s">
        <v>10735</v>
      </c>
      <c r="L972" s="47"/>
      <c r="M972" s="47"/>
      <c r="N972" s="47"/>
      <c r="O972" s="47"/>
      <c r="P972" s="47"/>
      <c r="Q972" s="47">
        <f>Q$2</f>
        <v>0</v>
      </c>
      <c r="R972" s="47"/>
      <c r="S972" s="47"/>
      <c r="T972" s="47"/>
      <c r="U972" s="47"/>
      <c r="V972" s="47"/>
      <c r="W972" s="47"/>
      <c r="X972" s="47"/>
      <c r="Y972" s="47"/>
      <c r="Z972" s="47">
        <f t="shared" si="213"/>
        <v>4620</v>
      </c>
      <c r="AA972" s="47"/>
      <c r="AB972" s="47"/>
      <c r="AC972" s="47"/>
      <c r="AD972" s="47"/>
      <c r="AE972" s="47"/>
      <c r="AF972" s="47"/>
      <c r="AG972" s="47"/>
      <c r="AH972" s="47" t="str">
        <f>IFERROR(_xlfn.XLOOKUP(Table6[[#This Row],[Suburb]],Table5[Travel Surcharge],Table5[$$]),"")</f>
        <v/>
      </c>
      <c r="AI972" s="47"/>
      <c r="AJ972" s="47"/>
    </row>
    <row r="973" spans="1:36">
      <c r="A973" s="374" t="s">
        <v>1854</v>
      </c>
      <c r="B973" s="374" t="s">
        <v>501</v>
      </c>
      <c r="C973" s="374" t="s">
        <v>1024</v>
      </c>
      <c r="D973" s="375" t="str">
        <f t="shared" si="200"/>
        <v>Carroll Lane 1A</v>
      </c>
      <c r="E973" s="375" t="s">
        <v>1855</v>
      </c>
      <c r="F973" s="375"/>
      <c r="G973" s="375" t="s">
        <v>1856</v>
      </c>
      <c r="H973" s="375" t="s">
        <v>1857</v>
      </c>
      <c r="I973" s="63"/>
      <c r="J973" s="47">
        <f>J$7</f>
        <v>3740</v>
      </c>
      <c r="K973" s="46" t="s">
        <v>10735</v>
      </c>
      <c r="L973" s="47"/>
      <c r="M973" s="47"/>
      <c r="N973" s="47"/>
      <c r="O973" s="47"/>
      <c r="P973" s="47"/>
      <c r="Q973" s="47">
        <f>Q$2</f>
        <v>0</v>
      </c>
      <c r="R973" s="47"/>
      <c r="S973" s="47"/>
      <c r="T973" s="47"/>
      <c r="U973" s="47"/>
      <c r="V973" s="47"/>
      <c r="W973" s="47"/>
      <c r="X973" s="47"/>
      <c r="Y973" s="47"/>
      <c r="Z973" s="47">
        <f t="shared" si="213"/>
        <v>4620</v>
      </c>
      <c r="AA973" s="47"/>
      <c r="AB973" s="47"/>
      <c r="AC973" s="47"/>
      <c r="AD973" s="47"/>
      <c r="AE973" s="47"/>
      <c r="AF973" s="47"/>
      <c r="AG973" s="47"/>
      <c r="AH973" s="47" t="str">
        <f>IFERROR(_xlfn.XLOOKUP(Table6[[#This Row],[Suburb]],Table5[Travel Surcharge],Table5[$$]),"")</f>
        <v/>
      </c>
      <c r="AI973" s="47"/>
      <c r="AJ973" s="47"/>
    </row>
    <row r="974" spans="1:36">
      <c r="A974" s="374" t="s">
        <v>1854</v>
      </c>
      <c r="B974" s="374" t="s">
        <v>507</v>
      </c>
      <c r="C974" s="374" t="s">
        <v>1024</v>
      </c>
      <c r="D974" s="375" t="str">
        <f t="shared" si="200"/>
        <v>Carroll Lane 1B</v>
      </c>
      <c r="E974" s="375" t="s">
        <v>1858</v>
      </c>
      <c r="F974" s="375"/>
      <c r="G974" s="375" t="s">
        <v>1856</v>
      </c>
      <c r="H974" s="375" t="s">
        <v>1857</v>
      </c>
      <c r="I974" s="63"/>
      <c r="J974" s="47">
        <f>J$7</f>
        <v>3740</v>
      </c>
      <c r="K974" s="46" t="s">
        <v>10735</v>
      </c>
      <c r="L974" s="47"/>
      <c r="M974" s="47"/>
      <c r="N974" s="47"/>
      <c r="O974" s="47"/>
      <c r="P974" s="47"/>
      <c r="Q974" s="47">
        <f>Q$2</f>
        <v>0</v>
      </c>
      <c r="R974" s="47"/>
      <c r="S974" s="47"/>
      <c r="T974" s="47"/>
      <c r="U974" s="47"/>
      <c r="V974" s="47"/>
      <c r="W974" s="47"/>
      <c r="X974" s="47"/>
      <c r="Y974" s="47"/>
      <c r="Z974" s="47">
        <f t="shared" si="213"/>
        <v>4620</v>
      </c>
      <c r="AA974" s="47"/>
      <c r="AB974" s="47"/>
      <c r="AC974" s="47"/>
      <c r="AD974" s="47"/>
      <c r="AE974" s="47"/>
      <c r="AF974" s="47"/>
      <c r="AG974" s="47"/>
      <c r="AH974" s="47" t="str">
        <f>IFERROR(_xlfn.XLOOKUP(Table6[[#This Row],[Suburb]],Table5[Travel Surcharge],Table5[$$]),"")</f>
        <v/>
      </c>
      <c r="AI974" s="47"/>
      <c r="AJ974" s="47"/>
    </row>
    <row r="975" spans="1:36">
      <c r="A975" s="374" t="s">
        <v>1860</v>
      </c>
      <c r="B975" s="374">
        <v>1</v>
      </c>
      <c r="C975" s="374" t="s">
        <v>1590</v>
      </c>
      <c r="D975" s="375" t="str">
        <f t="shared" si="200"/>
        <v>Catalina Estate 1</v>
      </c>
      <c r="E975" s="375" t="s">
        <v>1861</v>
      </c>
      <c r="F975" s="375" t="s">
        <v>1862</v>
      </c>
      <c r="G975" s="375" t="s">
        <v>1863</v>
      </c>
      <c r="H975" s="375" t="s">
        <v>1864</v>
      </c>
      <c r="I975" s="63" t="s">
        <v>1865</v>
      </c>
      <c r="J975" s="47"/>
      <c r="K975" s="46" t="s">
        <v>10735</v>
      </c>
      <c r="L975" s="47"/>
      <c r="M975" s="47"/>
      <c r="N975" s="47"/>
      <c r="O975" s="47"/>
      <c r="P975" s="47"/>
      <c r="Q975" s="47"/>
      <c r="R975" s="47"/>
      <c r="S975" s="47"/>
      <c r="T975" s="47">
        <f t="shared" ref="T975:T984" si="215">T$2</f>
        <v>780</v>
      </c>
      <c r="U975" s="47"/>
      <c r="V975" s="47"/>
      <c r="W975" s="47"/>
      <c r="X975" s="47"/>
      <c r="Y975" s="47"/>
      <c r="Z975" s="47">
        <f t="shared" si="213"/>
        <v>4620</v>
      </c>
      <c r="AA975" s="47"/>
      <c r="AB975" s="47"/>
      <c r="AC975" s="47"/>
      <c r="AD975" s="47"/>
      <c r="AE975" s="47"/>
      <c r="AF975" s="47"/>
      <c r="AG975" s="47"/>
      <c r="AH975" s="47" t="str">
        <f>IFERROR(_xlfn.XLOOKUP(Table6[[#This Row],[Suburb]],Table5[Travel Surcharge],Table5[$$]),"")</f>
        <v/>
      </c>
      <c r="AI975" s="47"/>
      <c r="AJ975" s="47"/>
    </row>
    <row r="976" spans="1:36">
      <c r="A976" s="374" t="s">
        <v>1860</v>
      </c>
      <c r="B976" s="374">
        <v>2</v>
      </c>
      <c r="C976" s="374" t="s">
        <v>1590</v>
      </c>
      <c r="D976" s="375" t="str">
        <f t="shared" si="200"/>
        <v>Catalina Estate 2</v>
      </c>
      <c r="E976" s="375" t="s">
        <v>1866</v>
      </c>
      <c r="F976" s="375" t="s">
        <v>1862</v>
      </c>
      <c r="G976" s="375" t="s">
        <v>1863</v>
      </c>
      <c r="H976" s="375" t="s">
        <v>1864</v>
      </c>
      <c r="I976" s="63" t="s">
        <v>1865</v>
      </c>
      <c r="J976" s="47"/>
      <c r="K976" s="46" t="s">
        <v>10735</v>
      </c>
      <c r="L976" s="47"/>
      <c r="M976" s="47"/>
      <c r="N976" s="47"/>
      <c r="O976" s="47"/>
      <c r="P976" s="47"/>
      <c r="Q976" s="47"/>
      <c r="R976" s="47"/>
      <c r="S976" s="47"/>
      <c r="T976" s="47">
        <f t="shared" si="215"/>
        <v>780</v>
      </c>
      <c r="U976" s="47"/>
      <c r="V976" s="47"/>
      <c r="W976" s="47"/>
      <c r="X976" s="47"/>
      <c r="Y976" s="47"/>
      <c r="Z976" s="47">
        <f t="shared" si="213"/>
        <v>4620</v>
      </c>
      <c r="AA976" s="47"/>
      <c r="AB976" s="47"/>
      <c r="AC976" s="47"/>
      <c r="AD976" s="47"/>
      <c r="AE976" s="47"/>
      <c r="AF976" s="47"/>
      <c r="AG976" s="47"/>
      <c r="AH976" s="47" t="str">
        <f>IFERROR(_xlfn.XLOOKUP(Table6[[#This Row],[Suburb]],Table5[Travel Surcharge],Table5[$$]),"")</f>
        <v/>
      </c>
      <c r="AI976" s="47"/>
      <c r="AJ976" s="47"/>
    </row>
    <row r="977" spans="1:36">
      <c r="A977" s="374" t="s">
        <v>1860</v>
      </c>
      <c r="B977" s="374">
        <v>3</v>
      </c>
      <c r="C977" s="374" t="s">
        <v>1590</v>
      </c>
      <c r="D977" s="375" t="str">
        <f t="shared" si="200"/>
        <v>Catalina Estate 3</v>
      </c>
      <c r="E977" s="375" t="s">
        <v>1867</v>
      </c>
      <c r="F977" s="375" t="s">
        <v>1862</v>
      </c>
      <c r="G977" s="375" t="s">
        <v>1863</v>
      </c>
      <c r="H977" s="375" t="s">
        <v>1864</v>
      </c>
      <c r="I977" s="63" t="s">
        <v>1865</v>
      </c>
      <c r="J977" s="47"/>
      <c r="K977" s="46" t="s">
        <v>10735</v>
      </c>
      <c r="L977" s="47"/>
      <c r="M977" s="47"/>
      <c r="N977" s="47"/>
      <c r="O977" s="47"/>
      <c r="P977" s="47"/>
      <c r="Q977" s="47"/>
      <c r="R977" s="47"/>
      <c r="S977" s="47"/>
      <c r="T977" s="47">
        <f t="shared" si="215"/>
        <v>780</v>
      </c>
      <c r="U977" s="47"/>
      <c r="V977" s="47"/>
      <c r="W977" s="47"/>
      <c r="X977" s="47"/>
      <c r="Y977" s="47"/>
      <c r="Z977" s="47">
        <f t="shared" si="213"/>
        <v>4620</v>
      </c>
      <c r="AA977" s="47"/>
      <c r="AB977" s="47"/>
      <c r="AC977" s="47"/>
      <c r="AD977" s="47"/>
      <c r="AE977" s="47"/>
      <c r="AF977" s="47"/>
      <c r="AG977" s="47"/>
      <c r="AH977" s="47" t="str">
        <f>IFERROR(_xlfn.XLOOKUP(Table6[[#This Row],[Suburb]],Table5[Travel Surcharge],Table5[$$]),"")</f>
        <v/>
      </c>
      <c r="AI977" s="47"/>
      <c r="AJ977" s="47"/>
    </row>
    <row r="978" spans="1:36">
      <c r="A978" s="374" t="s">
        <v>1860</v>
      </c>
      <c r="B978" s="374">
        <v>4</v>
      </c>
      <c r="C978" s="374" t="s">
        <v>1590</v>
      </c>
      <c r="D978" s="375" t="str">
        <f t="shared" si="200"/>
        <v>Catalina Estate 4</v>
      </c>
      <c r="E978" s="375" t="s">
        <v>1868</v>
      </c>
      <c r="F978" s="375" t="s">
        <v>1862</v>
      </c>
      <c r="G978" s="375" t="s">
        <v>1863</v>
      </c>
      <c r="H978" s="375" t="s">
        <v>1864</v>
      </c>
      <c r="I978" s="63" t="s">
        <v>1865</v>
      </c>
      <c r="J978" s="47"/>
      <c r="K978" s="46" t="s">
        <v>10735</v>
      </c>
      <c r="L978" s="47"/>
      <c r="M978" s="47"/>
      <c r="N978" s="47"/>
      <c r="O978" s="47"/>
      <c r="P978" s="47"/>
      <c r="Q978" s="47"/>
      <c r="R978" s="47"/>
      <c r="S978" s="47"/>
      <c r="T978" s="47">
        <f t="shared" si="215"/>
        <v>780</v>
      </c>
      <c r="U978" s="47"/>
      <c r="V978" s="47"/>
      <c r="W978" s="47"/>
      <c r="X978" s="47"/>
      <c r="Y978" s="47"/>
      <c r="Z978" s="47">
        <f t="shared" si="213"/>
        <v>4620</v>
      </c>
      <c r="AA978" s="47"/>
      <c r="AB978" s="47"/>
      <c r="AC978" s="47"/>
      <c r="AD978" s="47"/>
      <c r="AE978" s="47"/>
      <c r="AF978" s="47"/>
      <c r="AG978" s="47"/>
      <c r="AH978" s="47" t="str">
        <f>IFERROR(_xlfn.XLOOKUP(Table6[[#This Row],[Suburb]],Table5[Travel Surcharge],Table5[$$]),"")</f>
        <v/>
      </c>
      <c r="AI978" s="47"/>
      <c r="AJ978" s="47"/>
    </row>
    <row r="979" spans="1:36">
      <c r="A979" s="374" t="s">
        <v>1860</v>
      </c>
      <c r="B979" s="374">
        <v>5</v>
      </c>
      <c r="C979" s="374" t="s">
        <v>1590</v>
      </c>
      <c r="D979" s="375" t="str">
        <f t="shared" si="200"/>
        <v>Catalina Estate 5</v>
      </c>
      <c r="E979" s="375" t="s">
        <v>1869</v>
      </c>
      <c r="F979" s="375" t="s">
        <v>1862</v>
      </c>
      <c r="G979" s="375" t="s">
        <v>1863</v>
      </c>
      <c r="H979" s="375" t="s">
        <v>1864</v>
      </c>
      <c r="I979" s="63" t="s">
        <v>1865</v>
      </c>
      <c r="J979" s="47"/>
      <c r="K979" s="46" t="s">
        <v>10735</v>
      </c>
      <c r="L979" s="47"/>
      <c r="M979" s="47"/>
      <c r="N979" s="47"/>
      <c r="O979" s="47"/>
      <c r="P979" s="47"/>
      <c r="Q979" s="47"/>
      <c r="R979" s="47"/>
      <c r="S979" s="47"/>
      <c r="T979" s="47">
        <f t="shared" si="215"/>
        <v>780</v>
      </c>
      <c r="U979" s="47"/>
      <c r="V979" s="47"/>
      <c r="W979" s="47"/>
      <c r="X979" s="47"/>
      <c r="Y979" s="47"/>
      <c r="Z979" s="47">
        <f t="shared" si="213"/>
        <v>4620</v>
      </c>
      <c r="AA979" s="47"/>
      <c r="AB979" s="47"/>
      <c r="AC979" s="47"/>
      <c r="AD979" s="47"/>
      <c r="AE979" s="47"/>
      <c r="AF979" s="47"/>
      <c r="AG979" s="47"/>
      <c r="AH979" s="47" t="str">
        <f>IFERROR(_xlfn.XLOOKUP(Table6[[#This Row],[Suburb]],Table5[Travel Surcharge],Table5[$$]),"")</f>
        <v/>
      </c>
      <c r="AI979" s="47"/>
      <c r="AJ979" s="47"/>
    </row>
    <row r="980" spans="1:36">
      <c r="A980" s="374" t="s">
        <v>1860</v>
      </c>
      <c r="B980" s="374">
        <v>6</v>
      </c>
      <c r="C980" s="374" t="s">
        <v>1590</v>
      </c>
      <c r="D980" s="375" t="str">
        <f t="shared" si="200"/>
        <v>Catalina Estate 6</v>
      </c>
      <c r="E980" s="375" t="s">
        <v>1870</v>
      </c>
      <c r="F980" s="375" t="s">
        <v>1862</v>
      </c>
      <c r="G980" s="375" t="s">
        <v>1863</v>
      </c>
      <c r="H980" s="375" t="s">
        <v>1864</v>
      </c>
      <c r="I980" s="63" t="s">
        <v>1865</v>
      </c>
      <c r="J980" s="47"/>
      <c r="K980" s="46" t="s">
        <v>10735</v>
      </c>
      <c r="L980" s="47"/>
      <c r="M980" s="47"/>
      <c r="N980" s="47"/>
      <c r="O980" s="47"/>
      <c r="P980" s="47"/>
      <c r="Q980" s="47"/>
      <c r="R980" s="47"/>
      <c r="S980" s="47"/>
      <c r="T980" s="47">
        <f t="shared" si="215"/>
        <v>780</v>
      </c>
      <c r="U980" s="47"/>
      <c r="V980" s="47"/>
      <c r="W980" s="47"/>
      <c r="X980" s="47"/>
      <c r="Y980" s="47"/>
      <c r="Z980" s="47">
        <f t="shared" si="213"/>
        <v>4620</v>
      </c>
      <c r="AA980" s="47"/>
      <c r="AB980" s="47"/>
      <c r="AC980" s="47"/>
      <c r="AD980" s="47"/>
      <c r="AE980" s="47"/>
      <c r="AF980" s="47"/>
      <c r="AG980" s="47"/>
      <c r="AH980" s="47" t="str">
        <f>IFERROR(_xlfn.XLOOKUP(Table6[[#This Row],[Suburb]],Table5[Travel Surcharge],Table5[$$]),"")</f>
        <v/>
      </c>
      <c r="AI980" s="47"/>
      <c r="AJ980" s="47"/>
    </row>
    <row r="981" spans="1:36">
      <c r="A981" s="374" t="s">
        <v>1860</v>
      </c>
      <c r="B981" s="374">
        <v>7</v>
      </c>
      <c r="C981" s="374" t="s">
        <v>1590</v>
      </c>
      <c r="D981" s="375" t="str">
        <f t="shared" si="200"/>
        <v>Catalina Estate 7</v>
      </c>
      <c r="E981" s="375" t="s">
        <v>1871</v>
      </c>
      <c r="F981" s="375" t="s">
        <v>1862</v>
      </c>
      <c r="G981" s="375" t="s">
        <v>1863</v>
      </c>
      <c r="H981" s="375" t="s">
        <v>1864</v>
      </c>
      <c r="I981" s="63" t="s">
        <v>1865</v>
      </c>
      <c r="J981" s="47"/>
      <c r="K981" s="46" t="s">
        <v>10735</v>
      </c>
      <c r="L981" s="47"/>
      <c r="M981" s="47"/>
      <c r="N981" s="47"/>
      <c r="O981" s="47"/>
      <c r="P981" s="47"/>
      <c r="Q981" s="47"/>
      <c r="R981" s="47"/>
      <c r="S981" s="47"/>
      <c r="T981" s="47">
        <f t="shared" si="215"/>
        <v>780</v>
      </c>
      <c r="U981" s="47"/>
      <c r="V981" s="47"/>
      <c r="W981" s="47"/>
      <c r="X981" s="47"/>
      <c r="Y981" s="47"/>
      <c r="Z981" s="47">
        <f t="shared" si="213"/>
        <v>4620</v>
      </c>
      <c r="AA981" s="47"/>
      <c r="AB981" s="47"/>
      <c r="AC981" s="47"/>
      <c r="AD981" s="47"/>
      <c r="AE981" s="47"/>
      <c r="AF981" s="47"/>
      <c r="AG981" s="47"/>
      <c r="AH981" s="47" t="str">
        <f>IFERROR(_xlfn.XLOOKUP(Table6[[#This Row],[Suburb]],Table5[Travel Surcharge],Table5[$$]),"")</f>
        <v/>
      </c>
      <c r="AI981" s="47"/>
      <c r="AJ981" s="47"/>
    </row>
    <row r="982" spans="1:36">
      <c r="A982" s="374" t="s">
        <v>1860</v>
      </c>
      <c r="B982" s="374">
        <v>8</v>
      </c>
      <c r="C982" s="374" t="s">
        <v>1590</v>
      </c>
      <c r="D982" s="375" t="str">
        <f t="shared" si="200"/>
        <v>Catalina Estate 8</v>
      </c>
      <c r="E982" s="375" t="s">
        <v>1872</v>
      </c>
      <c r="F982" s="375" t="s">
        <v>1862</v>
      </c>
      <c r="G982" s="375" t="s">
        <v>1863</v>
      </c>
      <c r="H982" s="375" t="s">
        <v>1864</v>
      </c>
      <c r="I982" s="63" t="s">
        <v>1865</v>
      </c>
      <c r="J982" s="47"/>
      <c r="K982" s="46" t="s">
        <v>10735</v>
      </c>
      <c r="L982" s="47"/>
      <c r="M982" s="47"/>
      <c r="N982" s="47"/>
      <c r="O982" s="47"/>
      <c r="P982" s="47"/>
      <c r="Q982" s="47"/>
      <c r="R982" s="47"/>
      <c r="S982" s="47"/>
      <c r="T982" s="47">
        <f t="shared" si="215"/>
        <v>780</v>
      </c>
      <c r="U982" s="47"/>
      <c r="V982" s="47"/>
      <c r="W982" s="47"/>
      <c r="X982" s="47"/>
      <c r="Y982" s="47"/>
      <c r="Z982" s="47">
        <f t="shared" si="213"/>
        <v>4620</v>
      </c>
      <c r="AA982" s="47"/>
      <c r="AB982" s="47"/>
      <c r="AC982" s="47"/>
      <c r="AD982" s="47"/>
      <c r="AE982" s="47"/>
      <c r="AF982" s="47"/>
      <c r="AG982" s="47"/>
      <c r="AH982" s="47" t="str">
        <f>IFERROR(_xlfn.XLOOKUP(Table6[[#This Row],[Suburb]],Table5[Travel Surcharge],Table5[$$]),"")</f>
        <v/>
      </c>
      <c r="AI982" s="47"/>
      <c r="AJ982" s="47"/>
    </row>
    <row r="983" spans="1:36">
      <c r="A983" s="374" t="s">
        <v>1860</v>
      </c>
      <c r="B983" s="374">
        <v>10</v>
      </c>
      <c r="C983" s="374" t="s">
        <v>1590</v>
      </c>
      <c r="D983" s="375" t="str">
        <f t="shared" si="200"/>
        <v>Catalina Estate 10</v>
      </c>
      <c r="E983" s="375" t="s">
        <v>1873</v>
      </c>
      <c r="F983" s="375" t="s">
        <v>1862</v>
      </c>
      <c r="G983" s="375" t="s">
        <v>1863</v>
      </c>
      <c r="H983" s="375" t="s">
        <v>1864</v>
      </c>
      <c r="I983" s="63" t="s">
        <v>1865</v>
      </c>
      <c r="J983" s="47"/>
      <c r="K983" s="46" t="s">
        <v>10735</v>
      </c>
      <c r="L983" s="47"/>
      <c r="M983" s="47"/>
      <c r="N983" s="47"/>
      <c r="O983" s="47"/>
      <c r="P983" s="47"/>
      <c r="Q983" s="47"/>
      <c r="R983" s="47"/>
      <c r="S983" s="47"/>
      <c r="T983" s="47">
        <f t="shared" si="215"/>
        <v>780</v>
      </c>
      <c r="U983" s="47"/>
      <c r="V983" s="47"/>
      <c r="W983" s="47"/>
      <c r="X983" s="47"/>
      <c r="Y983" s="47"/>
      <c r="Z983" s="47">
        <f t="shared" si="213"/>
        <v>4620</v>
      </c>
      <c r="AA983" s="47"/>
      <c r="AB983" s="47"/>
      <c r="AC983" s="47"/>
      <c r="AD983" s="47"/>
      <c r="AE983" s="47"/>
      <c r="AF983" s="47"/>
      <c r="AG983" s="47"/>
      <c r="AH983" s="47" t="str">
        <f>IFERROR(_xlfn.XLOOKUP(Table6[[#This Row],[Suburb]],Table5[Travel Surcharge],Table5[$$]),"")</f>
        <v/>
      </c>
      <c r="AI983" s="47"/>
      <c r="AJ983" s="47"/>
    </row>
    <row r="984" spans="1:36">
      <c r="A984" s="374" t="s">
        <v>1860</v>
      </c>
      <c r="B984" s="374">
        <v>11</v>
      </c>
      <c r="C984" s="374" t="s">
        <v>1590</v>
      </c>
      <c r="D984" s="375" t="str">
        <f t="shared" si="200"/>
        <v>Catalina Estate 11</v>
      </c>
      <c r="E984" s="375" t="s">
        <v>1874</v>
      </c>
      <c r="F984" s="375" t="s">
        <v>1862</v>
      </c>
      <c r="G984" s="375" t="s">
        <v>1863</v>
      </c>
      <c r="H984" s="375" t="s">
        <v>1864</v>
      </c>
      <c r="I984" s="63" t="s">
        <v>1865</v>
      </c>
      <c r="J984" s="47"/>
      <c r="K984" s="46" t="s">
        <v>10735</v>
      </c>
      <c r="L984" s="47"/>
      <c r="M984" s="47"/>
      <c r="N984" s="47"/>
      <c r="O984" s="47" t="s">
        <v>1875</v>
      </c>
      <c r="P984" s="47"/>
      <c r="Q984" s="47"/>
      <c r="R984" s="47"/>
      <c r="S984" s="47"/>
      <c r="T984" s="47">
        <f t="shared" si="215"/>
        <v>780</v>
      </c>
      <c r="U984" s="47"/>
      <c r="V984" s="47"/>
      <c r="W984" s="47"/>
      <c r="X984" s="47"/>
      <c r="Y984" s="47"/>
      <c r="Z984" s="47">
        <f t="shared" si="213"/>
        <v>4620</v>
      </c>
      <c r="AA984" s="47"/>
      <c r="AB984" s="47"/>
      <c r="AC984" s="47"/>
      <c r="AD984" s="47"/>
      <c r="AE984" s="47"/>
      <c r="AF984" s="47"/>
      <c r="AG984" s="47"/>
      <c r="AH984" s="47" t="str">
        <f>IFERROR(_xlfn.XLOOKUP(Table6[[#This Row],[Suburb]],Table5[Travel Surcharge],Table5[$$]),"")</f>
        <v/>
      </c>
      <c r="AI984" s="47"/>
      <c r="AJ984" s="47"/>
    </row>
    <row r="985" spans="1:36">
      <c r="A985" s="374" t="s">
        <v>10262</v>
      </c>
      <c r="B985" s="374">
        <v>1</v>
      </c>
      <c r="C985" s="374" t="s">
        <v>10263</v>
      </c>
      <c r="D985" s="375" t="str">
        <f>CONCATENATE(A985,B985)</f>
        <v>Catalina Heights1</v>
      </c>
      <c r="E985" s="375" t="s">
        <v>10264</v>
      </c>
      <c r="F985" s="375" t="s">
        <v>10265</v>
      </c>
      <c r="G985" s="375" t="s">
        <v>10266</v>
      </c>
      <c r="H985" s="375" t="s">
        <v>10267</v>
      </c>
      <c r="I985" s="63"/>
      <c r="J985" s="47" t="s">
        <v>10261</v>
      </c>
      <c r="K985" s="46" t="s">
        <v>10735</v>
      </c>
      <c r="L985" s="47"/>
      <c r="M985" s="47"/>
      <c r="N985" s="47"/>
      <c r="O985" s="47"/>
      <c r="P985" s="47"/>
      <c r="Q985" s="47">
        <v>0</v>
      </c>
      <c r="R985" s="47"/>
      <c r="S985" s="47"/>
      <c r="T985" s="47"/>
      <c r="U985" s="47"/>
      <c r="V985" s="47"/>
      <c r="W985" s="47"/>
      <c r="X985" s="47"/>
      <c r="Y985" s="47"/>
      <c r="Z985" s="47"/>
      <c r="AA985" s="47"/>
      <c r="AB985" s="47"/>
      <c r="AC985" s="47"/>
      <c r="AD985" s="47"/>
      <c r="AE985" s="47"/>
      <c r="AF985" s="47"/>
      <c r="AG985" s="47"/>
      <c r="AH985" s="47">
        <v>7000</v>
      </c>
      <c r="AI985" s="47"/>
      <c r="AJ985" s="47"/>
    </row>
    <row r="986" spans="1:36">
      <c r="A986" s="374" t="s">
        <v>10262</v>
      </c>
      <c r="B986" s="374">
        <v>2</v>
      </c>
      <c r="C986" s="374" t="s">
        <v>10263</v>
      </c>
      <c r="D986" s="375" t="str">
        <f>CONCATENATE(A986,B986)</f>
        <v>Catalina Heights2</v>
      </c>
      <c r="E986" s="375" t="s">
        <v>10268</v>
      </c>
      <c r="F986" s="375" t="s">
        <v>10265</v>
      </c>
      <c r="G986" s="375" t="s">
        <v>10266</v>
      </c>
      <c r="H986" s="375" t="s">
        <v>10267</v>
      </c>
      <c r="I986" s="63"/>
      <c r="J986" s="47" t="s">
        <v>10261</v>
      </c>
      <c r="K986" s="46" t="s">
        <v>10735</v>
      </c>
      <c r="L986" s="47"/>
      <c r="M986" s="47"/>
      <c r="N986" s="47"/>
      <c r="O986" s="47"/>
      <c r="P986" s="47"/>
      <c r="Q986" s="47">
        <v>0</v>
      </c>
      <c r="R986" s="47"/>
      <c r="S986" s="47"/>
      <c r="T986" s="47"/>
      <c r="U986" s="47"/>
      <c r="V986" s="47"/>
      <c r="W986" s="47"/>
      <c r="X986" s="47"/>
      <c r="Y986" s="47"/>
      <c r="Z986" s="47"/>
      <c r="AA986" s="47"/>
      <c r="AB986" s="47"/>
      <c r="AC986" s="47"/>
      <c r="AD986" s="47"/>
      <c r="AE986" s="47"/>
      <c r="AF986" s="47"/>
      <c r="AG986" s="47"/>
      <c r="AH986" s="47">
        <v>7000</v>
      </c>
      <c r="AI986" s="47"/>
      <c r="AJ986" s="47"/>
    </row>
    <row r="987" spans="1:36">
      <c r="A987" s="374" t="s">
        <v>1876</v>
      </c>
      <c r="B987" s="374">
        <v>2</v>
      </c>
      <c r="C987" s="374" t="s">
        <v>631</v>
      </c>
      <c r="D987" s="375" t="str">
        <f t="shared" si="200"/>
        <v>Central Park Estate2</v>
      </c>
      <c r="E987" s="375" t="s">
        <v>1877</v>
      </c>
      <c r="F987" s="375" t="s">
        <v>1878</v>
      </c>
      <c r="G987" s="375" t="s">
        <v>1879</v>
      </c>
      <c r="H987" s="375" t="s">
        <v>1880</v>
      </c>
      <c r="I987" s="63" t="s">
        <v>1881</v>
      </c>
      <c r="J987" s="47"/>
      <c r="K987" s="46" t="s">
        <v>10735</v>
      </c>
      <c r="L987" s="47" t="s">
        <v>504</v>
      </c>
      <c r="M987" s="47">
        <f>M$7</f>
        <v>1430.0000000000002</v>
      </c>
      <c r="N987" s="47"/>
      <c r="O987" s="47">
        <f>O$7</f>
        <v>4950</v>
      </c>
      <c r="P987" s="47" t="s">
        <v>1882</v>
      </c>
      <c r="Q987" s="47"/>
      <c r="R987" s="47"/>
      <c r="S987" s="47" t="s">
        <v>637</v>
      </c>
      <c r="T987" s="47" t="s">
        <v>1883</v>
      </c>
      <c r="U987" s="47"/>
      <c r="V987" s="47"/>
      <c r="W987" s="47" t="s">
        <v>1884</v>
      </c>
      <c r="X987" s="47"/>
      <c r="Y987" s="47"/>
      <c r="Z987" s="47">
        <f t="shared" si="213"/>
        <v>4620</v>
      </c>
      <c r="AA987" s="47"/>
      <c r="AB987" s="47"/>
      <c r="AC987" s="47"/>
      <c r="AD987" s="47"/>
      <c r="AE987" s="47"/>
      <c r="AF987" s="47">
        <f>AF$7</f>
        <v>1485</v>
      </c>
      <c r="AG987" s="47"/>
      <c r="AH987" s="47" t="str">
        <f>IFERROR(_xlfn.XLOOKUP(Table6[[#This Row],[Suburb]],Table5[Travel Surcharge],Table5[$$]),"")</f>
        <v/>
      </c>
      <c r="AI987" s="47"/>
      <c r="AJ987" s="47"/>
    </row>
    <row r="988" spans="1:36">
      <c r="A988" s="374" t="s">
        <v>1885</v>
      </c>
      <c r="B988" s="374">
        <v>1</v>
      </c>
      <c r="C988" s="374" t="s">
        <v>1886</v>
      </c>
      <c r="D988" s="375" t="str">
        <f t="shared" si="200"/>
        <v>Central Walk Estate1</v>
      </c>
      <c r="E988" s="375" t="s">
        <v>1887</v>
      </c>
      <c r="F988" s="375" t="s">
        <v>1888</v>
      </c>
      <c r="G988" s="375" t="s">
        <v>1889</v>
      </c>
      <c r="H988" s="375" t="s">
        <v>1890</v>
      </c>
      <c r="I988" s="63" t="s">
        <v>1891</v>
      </c>
      <c r="J988" s="47"/>
      <c r="K988" s="46" t="s">
        <v>10735</v>
      </c>
      <c r="L988" s="47"/>
      <c r="M988" s="47"/>
      <c r="N988" s="47">
        <f>N$7</f>
        <v>2640</v>
      </c>
      <c r="O988" s="47"/>
      <c r="P988" s="47"/>
      <c r="Q988" s="47"/>
      <c r="R988" s="47">
        <f>R$2</f>
        <v>540</v>
      </c>
      <c r="S988" s="47"/>
      <c r="T988" s="47"/>
      <c r="U988" s="47"/>
      <c r="V988" s="47"/>
      <c r="W988" s="47"/>
      <c r="X988" s="47"/>
      <c r="Y988" s="47"/>
      <c r="Z988" s="47">
        <f t="shared" si="213"/>
        <v>4620</v>
      </c>
      <c r="AA988" s="47"/>
      <c r="AB988" s="47"/>
      <c r="AC988" s="47"/>
      <c r="AD988" s="47"/>
      <c r="AE988" s="47"/>
      <c r="AF988" s="47"/>
      <c r="AG988" s="47"/>
      <c r="AH988" s="47" t="str">
        <f>IFERROR(_xlfn.XLOOKUP(Table6[[#This Row],[Suburb]],Table5[Travel Surcharge],Table5[$$]),"")</f>
        <v/>
      </c>
      <c r="AI988" s="47"/>
      <c r="AJ988" s="47"/>
    </row>
    <row r="989" spans="1:36">
      <c r="A989" s="374" t="s">
        <v>1885</v>
      </c>
      <c r="B989" s="374">
        <v>2</v>
      </c>
      <c r="C989" s="374" t="s">
        <v>1886</v>
      </c>
      <c r="D989" s="375" t="str">
        <f t="shared" si="200"/>
        <v>Central Walk Estate2</v>
      </c>
      <c r="E989" s="375" t="s">
        <v>1892</v>
      </c>
      <c r="F989" s="375" t="s">
        <v>1888</v>
      </c>
      <c r="G989" s="375" t="s">
        <v>1889</v>
      </c>
      <c r="H989" s="375" t="s">
        <v>1890</v>
      </c>
      <c r="I989" s="63" t="s">
        <v>1891</v>
      </c>
      <c r="J989" s="47"/>
      <c r="K989" s="46" t="s">
        <v>10735</v>
      </c>
      <c r="L989" s="47"/>
      <c r="M989" s="47"/>
      <c r="N989" s="47">
        <f>N$7</f>
        <v>2640</v>
      </c>
      <c r="O989" s="47"/>
      <c r="P989" s="47"/>
      <c r="Q989" s="47"/>
      <c r="R989" s="47">
        <f>R$2</f>
        <v>540</v>
      </c>
      <c r="S989" s="47"/>
      <c r="T989" s="47"/>
      <c r="U989" s="47"/>
      <c r="V989" s="47"/>
      <c r="W989" s="47"/>
      <c r="X989" s="47"/>
      <c r="Y989" s="47"/>
      <c r="Z989" s="47">
        <f t="shared" si="213"/>
        <v>4620</v>
      </c>
      <c r="AA989" s="47"/>
      <c r="AB989" s="47"/>
      <c r="AC989" s="47"/>
      <c r="AD989" s="47"/>
      <c r="AE989" s="47"/>
      <c r="AF989" s="47"/>
      <c r="AG989" s="47"/>
      <c r="AH989" s="47" t="str">
        <f>IFERROR(_xlfn.XLOOKUP(Table6[[#This Row],[Suburb]],Table5[Travel Surcharge],Table5[$$]),"")</f>
        <v/>
      </c>
      <c r="AI989" s="47"/>
      <c r="AJ989" s="47"/>
    </row>
    <row r="990" spans="1:36">
      <c r="A990" s="374" t="s">
        <v>1885</v>
      </c>
      <c r="B990" s="374">
        <v>3</v>
      </c>
      <c r="C990" s="374" t="s">
        <v>1886</v>
      </c>
      <c r="D990" s="375" t="str">
        <f t="shared" si="200"/>
        <v>Central Walk Estate3</v>
      </c>
      <c r="E990" s="375" t="s">
        <v>1893</v>
      </c>
      <c r="F990" s="375" t="s">
        <v>1888</v>
      </c>
      <c r="G990" s="375" t="s">
        <v>1889</v>
      </c>
      <c r="H990" s="375" t="s">
        <v>1890</v>
      </c>
      <c r="I990" s="63" t="s">
        <v>1891</v>
      </c>
      <c r="J990" s="47"/>
      <c r="K990" s="46" t="s">
        <v>10735</v>
      </c>
      <c r="L990" s="47"/>
      <c r="M990" s="47"/>
      <c r="N990" s="47">
        <f>N$7</f>
        <v>2640</v>
      </c>
      <c r="O990" s="47"/>
      <c r="P990" s="47"/>
      <c r="Q990" s="47"/>
      <c r="R990" s="47">
        <f>R$2</f>
        <v>540</v>
      </c>
      <c r="S990" s="47"/>
      <c r="T990" s="47"/>
      <c r="U990" s="47"/>
      <c r="V990" s="47"/>
      <c r="W990" s="47"/>
      <c r="X990" s="47"/>
      <c r="Y990" s="47"/>
      <c r="Z990" s="47">
        <f t="shared" si="213"/>
        <v>4620</v>
      </c>
      <c r="AA990" s="47"/>
      <c r="AB990" s="47"/>
      <c r="AC990" s="47"/>
      <c r="AD990" s="47"/>
      <c r="AE990" s="47"/>
      <c r="AF990" s="47"/>
      <c r="AG990" s="47"/>
      <c r="AH990" s="47" t="str">
        <f>IFERROR(_xlfn.XLOOKUP(Table6[[#This Row],[Suburb]],Table5[Travel Surcharge],Table5[$$]),"")</f>
        <v/>
      </c>
      <c r="AI990" s="47"/>
      <c r="AJ990" s="47"/>
    </row>
    <row r="991" spans="1:36">
      <c r="A991" s="374" t="s">
        <v>1885</v>
      </c>
      <c r="B991" s="374">
        <v>7</v>
      </c>
      <c r="C991" s="374" t="s">
        <v>1886</v>
      </c>
      <c r="D991" s="375" t="str">
        <f t="shared" si="200"/>
        <v>Central Walk Estate7</v>
      </c>
      <c r="E991" s="375" t="s">
        <v>1894</v>
      </c>
      <c r="F991" s="375" t="s">
        <v>1888</v>
      </c>
      <c r="G991" s="375" t="s">
        <v>1889</v>
      </c>
      <c r="H991" s="375" t="s">
        <v>1890</v>
      </c>
      <c r="I991" s="63" t="s">
        <v>1891</v>
      </c>
      <c r="J991" s="47"/>
      <c r="K991" s="46" t="s">
        <v>10735</v>
      </c>
      <c r="L991" s="47"/>
      <c r="M991" s="47"/>
      <c r="N991" s="47">
        <f>N$7</f>
        <v>2640</v>
      </c>
      <c r="O991" s="47"/>
      <c r="P991" s="47"/>
      <c r="Q991" s="47"/>
      <c r="R991" s="47">
        <f>R$2</f>
        <v>540</v>
      </c>
      <c r="S991" s="47"/>
      <c r="T991" s="47"/>
      <c r="U991" s="47"/>
      <c r="V991" s="47"/>
      <c r="W991" s="47"/>
      <c r="X991" s="47"/>
      <c r="Y991" s="47"/>
      <c r="Z991" s="47">
        <f t="shared" si="213"/>
        <v>4620</v>
      </c>
      <c r="AA991" s="47"/>
      <c r="AB991" s="47"/>
      <c r="AC991" s="47"/>
      <c r="AD991" s="47"/>
      <c r="AE991" s="47"/>
      <c r="AF991" s="47"/>
      <c r="AG991" s="47"/>
      <c r="AH991" s="47" t="str">
        <f>IFERROR(_xlfn.XLOOKUP(Table6[[#This Row],[Suburb]],Table5[Travel Surcharge],Table5[$$]),"")</f>
        <v/>
      </c>
      <c r="AI991" s="47"/>
      <c r="AJ991" s="47"/>
    </row>
    <row r="992" spans="1:36">
      <c r="A992" s="374" t="s">
        <v>1895</v>
      </c>
      <c r="B992" s="374">
        <v>3</v>
      </c>
      <c r="C992" s="374" t="s">
        <v>296</v>
      </c>
      <c r="D992" s="375" t="str">
        <f t="shared" si="200"/>
        <v>Champions Estate3</v>
      </c>
      <c r="E992" s="375" t="s">
        <v>1896</v>
      </c>
      <c r="F992" s="375"/>
      <c r="G992" s="375"/>
      <c r="H992" s="375"/>
      <c r="I992" s="63"/>
      <c r="J992" s="47"/>
      <c r="K992" s="46" t="s">
        <v>7938</v>
      </c>
      <c r="L992" s="47"/>
      <c r="M992" s="47"/>
      <c r="N992" s="47"/>
      <c r="O992" s="47">
        <f>O$7</f>
        <v>4950</v>
      </c>
      <c r="P992" s="47" t="s">
        <v>8788</v>
      </c>
      <c r="Q992" s="47">
        <f>Q$2</f>
        <v>0</v>
      </c>
      <c r="R992" s="47"/>
      <c r="S992" s="47"/>
      <c r="T992" s="47"/>
      <c r="U992" s="47"/>
      <c r="V992" s="47"/>
      <c r="W992" s="47"/>
      <c r="X992" s="47"/>
      <c r="Y992" s="47"/>
      <c r="Z992" s="47">
        <f t="shared" si="213"/>
        <v>4620</v>
      </c>
      <c r="AA992" s="47"/>
      <c r="AB992" s="47"/>
      <c r="AC992" s="47"/>
      <c r="AD992" s="47"/>
      <c r="AE992" s="47"/>
      <c r="AF992" s="47"/>
      <c r="AG992" s="47"/>
      <c r="AH992" s="47">
        <f>IFERROR(_xlfn.XLOOKUP(Table6[[#This Row],[Suburb]],Table5[Travel Surcharge],Table5[$$]),"")</f>
        <v>8000</v>
      </c>
      <c r="AI992" s="47"/>
      <c r="AJ992" s="47">
        <f>AJ$7</f>
        <v>4400</v>
      </c>
    </row>
    <row r="993" spans="1:36">
      <c r="A993" s="374" t="s">
        <v>1895</v>
      </c>
      <c r="B993" s="374">
        <v>5</v>
      </c>
      <c r="C993" s="374" t="s">
        <v>296</v>
      </c>
      <c r="D993" s="375" t="str">
        <f t="shared" ref="D993:D1063" si="216">CONCATENATE(A993,B993)</f>
        <v>Champions Estate5</v>
      </c>
      <c r="E993" s="375" t="s">
        <v>1897</v>
      </c>
      <c r="F993" s="375"/>
      <c r="G993" s="375"/>
      <c r="H993" s="375"/>
      <c r="I993" s="63"/>
      <c r="J993" s="47"/>
      <c r="K993" s="46" t="s">
        <v>7938</v>
      </c>
      <c r="L993" s="47"/>
      <c r="M993" s="47"/>
      <c r="N993" s="47"/>
      <c r="O993" s="47">
        <f>O$7</f>
        <v>4950</v>
      </c>
      <c r="P993" s="47" t="s">
        <v>8788</v>
      </c>
      <c r="Q993" s="47">
        <f>Q$2</f>
        <v>0</v>
      </c>
      <c r="R993" s="47"/>
      <c r="S993" s="47"/>
      <c r="T993" s="47"/>
      <c r="U993" s="47"/>
      <c r="V993" s="47"/>
      <c r="W993" s="47"/>
      <c r="X993" s="47"/>
      <c r="Y993" s="47"/>
      <c r="Z993" s="47">
        <f t="shared" si="213"/>
        <v>4620</v>
      </c>
      <c r="AA993" s="47"/>
      <c r="AB993" s="47"/>
      <c r="AC993" s="47"/>
      <c r="AD993" s="47"/>
      <c r="AE993" s="47"/>
      <c r="AF993" s="47"/>
      <c r="AG993" s="47"/>
      <c r="AH993" s="47">
        <f>IFERROR(_xlfn.XLOOKUP(Table6[[#This Row],[Suburb]],Table5[Travel Surcharge],Table5[$$]),"")</f>
        <v>8000</v>
      </c>
      <c r="AI993" s="47"/>
      <c r="AJ993" s="47">
        <f>AJ$7</f>
        <v>4400</v>
      </c>
    </row>
    <row r="994" spans="1:36">
      <c r="A994" s="374" t="s">
        <v>1895</v>
      </c>
      <c r="B994" s="374">
        <v>6</v>
      </c>
      <c r="C994" s="374" t="s">
        <v>296</v>
      </c>
      <c r="D994" s="375" t="str">
        <f t="shared" si="216"/>
        <v>Champions Estate6</v>
      </c>
      <c r="E994" s="375" t="s">
        <v>1898</v>
      </c>
      <c r="F994" s="375"/>
      <c r="G994" s="375"/>
      <c r="H994" s="375"/>
      <c r="I994" s="63"/>
      <c r="J994" s="47"/>
      <c r="K994" s="46" t="s">
        <v>7938</v>
      </c>
      <c r="L994" s="47"/>
      <c r="M994" s="47"/>
      <c r="N994" s="47"/>
      <c r="O994" s="47">
        <f>O$7</f>
        <v>4950</v>
      </c>
      <c r="P994" s="47" t="s">
        <v>8788</v>
      </c>
      <c r="Q994" s="47">
        <f>Q$2</f>
        <v>0</v>
      </c>
      <c r="R994" s="47"/>
      <c r="S994" s="47"/>
      <c r="T994" s="47"/>
      <c r="U994" s="47"/>
      <c r="V994" s="47"/>
      <c r="W994" s="47"/>
      <c r="X994" s="47"/>
      <c r="Y994" s="47"/>
      <c r="Z994" s="47">
        <f t="shared" si="213"/>
        <v>4620</v>
      </c>
      <c r="AA994" s="47"/>
      <c r="AB994" s="47"/>
      <c r="AC994" s="47"/>
      <c r="AD994" s="47"/>
      <c r="AE994" s="47"/>
      <c r="AF994" s="47"/>
      <c r="AG994" s="47"/>
      <c r="AH994" s="47">
        <f>IFERROR(_xlfn.XLOOKUP(Table6[[#This Row],[Suburb]],Table5[Travel Surcharge],Table5[$$]),"")</f>
        <v>8000</v>
      </c>
      <c r="AI994" s="47"/>
      <c r="AJ994" s="47">
        <f>AJ$7</f>
        <v>4400</v>
      </c>
    </row>
    <row r="995" spans="1:36">
      <c r="A995" s="157" t="s">
        <v>1895</v>
      </c>
      <c r="B995" s="157">
        <v>7</v>
      </c>
      <c r="C995" s="157" t="s">
        <v>296</v>
      </c>
      <c r="D995" s="157" t="str">
        <f t="shared" si="216"/>
        <v>Champions Estate7</v>
      </c>
      <c r="E995" s="157" t="s">
        <v>7949</v>
      </c>
      <c r="F995" s="157"/>
      <c r="G995" s="157"/>
      <c r="H995" s="157"/>
      <c r="I995" s="158"/>
      <c r="J995" s="47"/>
      <c r="K995" s="46" t="s">
        <v>7938</v>
      </c>
      <c r="L995" s="47"/>
      <c r="M995" s="47"/>
      <c r="N995" s="47"/>
      <c r="O995" s="47">
        <f>O$7</f>
        <v>4950</v>
      </c>
      <c r="P995" s="47" t="s">
        <v>8788</v>
      </c>
      <c r="Q995" s="47">
        <f>Q$2</f>
        <v>0</v>
      </c>
      <c r="R995" s="47"/>
      <c r="S995" s="47"/>
      <c r="T995" s="47"/>
      <c r="U995" s="47"/>
      <c r="V995" s="47"/>
      <c r="W995" s="47"/>
      <c r="X995" s="47"/>
      <c r="Y995" s="47"/>
      <c r="Z995" s="47">
        <f t="shared" si="213"/>
        <v>4620</v>
      </c>
      <c r="AA995" s="47"/>
      <c r="AB995" s="47"/>
      <c r="AC995" s="47"/>
      <c r="AD995" s="47"/>
      <c r="AE995" s="47"/>
      <c r="AF995" s="47"/>
      <c r="AG995" s="47"/>
      <c r="AH995" s="47">
        <f>IFERROR(_xlfn.XLOOKUP(Table6[[#This Row],[Suburb]],Table5[Travel Surcharge],Table5[$$]),"")</f>
        <v>8000</v>
      </c>
      <c r="AI995" s="47"/>
      <c r="AJ995" s="47">
        <f>AJ$7</f>
        <v>4400</v>
      </c>
    </row>
    <row r="996" spans="1:36">
      <c r="A996" s="374" t="s">
        <v>1895</v>
      </c>
      <c r="B996" s="374">
        <v>8</v>
      </c>
      <c r="C996" s="374" t="s">
        <v>296</v>
      </c>
      <c r="D996" s="375" t="str">
        <f t="shared" si="216"/>
        <v>Champions Estate8</v>
      </c>
      <c r="E996" s="375" t="s">
        <v>1899</v>
      </c>
      <c r="F996" s="375"/>
      <c r="G996" s="375"/>
      <c r="H996" s="375"/>
      <c r="I996" s="63"/>
      <c r="J996" s="47"/>
      <c r="K996" s="46" t="s">
        <v>7938</v>
      </c>
      <c r="L996" s="47"/>
      <c r="M996" s="47"/>
      <c r="N996" s="47"/>
      <c r="O996" s="47">
        <f>O$7</f>
        <v>4950</v>
      </c>
      <c r="P996" s="47" t="s">
        <v>8788</v>
      </c>
      <c r="Q996" s="47">
        <f>Q$2</f>
        <v>0</v>
      </c>
      <c r="R996" s="47"/>
      <c r="S996" s="47"/>
      <c r="T996" s="47"/>
      <c r="U996" s="47"/>
      <c r="V996" s="47"/>
      <c r="W996" s="47"/>
      <c r="X996" s="47"/>
      <c r="Y996" s="47"/>
      <c r="Z996" s="47">
        <f t="shared" si="213"/>
        <v>4620</v>
      </c>
      <c r="AA996" s="47"/>
      <c r="AB996" s="47"/>
      <c r="AC996" s="47"/>
      <c r="AD996" s="47"/>
      <c r="AE996" s="47"/>
      <c r="AF996" s="47"/>
      <c r="AG996" s="47"/>
      <c r="AH996" s="47">
        <f>IFERROR(_xlfn.XLOOKUP(Table6[[#This Row],[Suburb]],Table5[Travel Surcharge],Table5[$$]),"")</f>
        <v>8000</v>
      </c>
      <c r="AI996" s="47"/>
      <c r="AJ996" s="47">
        <f>AJ$7</f>
        <v>4400</v>
      </c>
    </row>
    <row r="997" spans="1:36">
      <c r="A997" s="374" t="s">
        <v>1900</v>
      </c>
      <c r="B997" s="374">
        <v>20</v>
      </c>
      <c r="C997" s="374" t="s">
        <v>284</v>
      </c>
      <c r="D997" s="375" t="str">
        <f t="shared" si="216"/>
        <v>Charlemont Rise Estate20</v>
      </c>
      <c r="E997" s="375" t="s">
        <v>9613</v>
      </c>
      <c r="F997" s="375" t="s">
        <v>1428</v>
      </c>
      <c r="G997" s="375" t="s">
        <v>1902</v>
      </c>
      <c r="H997" s="375" t="s">
        <v>1903</v>
      </c>
      <c r="I997" s="63"/>
      <c r="J997" s="47">
        <v>3740</v>
      </c>
      <c r="K997" s="46" t="s">
        <v>10735</v>
      </c>
      <c r="L997" s="47"/>
      <c r="M997" s="47" t="s">
        <v>10482</v>
      </c>
      <c r="N997" s="47"/>
      <c r="O997" s="47"/>
      <c r="P997" s="47"/>
      <c r="Q997" s="47"/>
      <c r="R997" s="47"/>
      <c r="S997" s="47"/>
      <c r="T997" s="47"/>
      <c r="U997" s="47">
        <v>540</v>
      </c>
      <c r="V997" s="47" t="s">
        <v>10483</v>
      </c>
      <c r="W997" s="47"/>
      <c r="X997" s="47"/>
      <c r="Y997" s="47"/>
      <c r="Z997" s="47">
        <v>4620</v>
      </c>
      <c r="AA997" s="47"/>
      <c r="AB997" s="47"/>
      <c r="AC997" s="47"/>
      <c r="AD997" s="47"/>
      <c r="AE997" s="47"/>
      <c r="AF997" s="47">
        <v>1485</v>
      </c>
      <c r="AG997" s="47" t="s">
        <v>1904</v>
      </c>
      <c r="AH997" s="47">
        <f>IFERROR(_xlfn.XLOOKUP(Table6[[#This Row],[Suburb]],Table5[Travel Surcharge],Table5[$$]),"")</f>
        <v>1500</v>
      </c>
      <c r="AI997" s="47"/>
      <c r="AJ997" s="47"/>
    </row>
    <row r="998" spans="1:36">
      <c r="A998" s="374" t="s">
        <v>1900</v>
      </c>
      <c r="B998" s="374">
        <v>1</v>
      </c>
      <c r="C998" s="374" t="s">
        <v>284</v>
      </c>
      <c r="D998" s="375" t="str">
        <f t="shared" si="216"/>
        <v>Charlemont Rise Estate1</v>
      </c>
      <c r="E998" s="375" t="s">
        <v>1901</v>
      </c>
      <c r="F998" s="375" t="s">
        <v>1428</v>
      </c>
      <c r="G998" s="375" t="s">
        <v>1902</v>
      </c>
      <c r="H998" s="375" t="s">
        <v>1903</v>
      </c>
      <c r="I998" s="63"/>
      <c r="J998" s="47">
        <v>3740</v>
      </c>
      <c r="K998" s="46" t="s">
        <v>10735</v>
      </c>
      <c r="L998" s="47"/>
      <c r="M998" s="47" t="s">
        <v>10482</v>
      </c>
      <c r="N998" s="47"/>
      <c r="O998" s="47"/>
      <c r="P998" s="47"/>
      <c r="Q998" s="47"/>
      <c r="R998" s="47"/>
      <c r="S998" s="47"/>
      <c r="T998" s="47"/>
      <c r="U998" s="47">
        <v>540</v>
      </c>
      <c r="V998" s="47" t="s">
        <v>10483</v>
      </c>
      <c r="W998" s="47"/>
      <c r="X998" s="47"/>
      <c r="Y998" s="47"/>
      <c r="Z998" s="47">
        <v>4620</v>
      </c>
      <c r="AA998" s="47"/>
      <c r="AB998" s="47"/>
      <c r="AC998" s="47"/>
      <c r="AD998" s="47"/>
      <c r="AE998" s="47"/>
      <c r="AF998" s="47">
        <v>1485</v>
      </c>
      <c r="AG998" s="47" t="s">
        <v>1904</v>
      </c>
      <c r="AH998" s="47">
        <f>IFERROR(_xlfn.XLOOKUP(Table6[[#This Row],[Suburb]],Table5[Travel Surcharge],Table5[$$]),"")</f>
        <v>1500</v>
      </c>
      <c r="AI998" s="47"/>
      <c r="AJ998" s="47"/>
    </row>
    <row r="999" spans="1:36">
      <c r="A999" s="374" t="s">
        <v>1900</v>
      </c>
      <c r="B999" s="374">
        <v>24</v>
      </c>
      <c r="C999" s="374" t="s">
        <v>284</v>
      </c>
      <c r="D999" s="375" t="str">
        <f>CONCATENATE(A999,B999)</f>
        <v>Charlemont Rise Estate24</v>
      </c>
      <c r="E999" s="375" t="s">
        <v>10843</v>
      </c>
      <c r="F999" s="375" t="s">
        <v>1428</v>
      </c>
      <c r="G999" s="375" t="s">
        <v>1902</v>
      </c>
      <c r="H999" s="375" t="s">
        <v>1903</v>
      </c>
      <c r="I999" s="63"/>
      <c r="J999" s="47">
        <v>3740</v>
      </c>
      <c r="K999" s="46" t="s">
        <v>10735</v>
      </c>
      <c r="L999" s="47"/>
      <c r="M999" s="47" t="s">
        <v>10482</v>
      </c>
      <c r="N999" s="47"/>
      <c r="O999" s="47"/>
      <c r="P999" s="47"/>
      <c r="Q999" s="47"/>
      <c r="R999" s="47"/>
      <c r="S999" s="47"/>
      <c r="T999" s="47"/>
      <c r="U999" s="47">
        <v>540</v>
      </c>
      <c r="V999" s="47" t="s">
        <v>10483</v>
      </c>
      <c r="W999" s="47"/>
      <c r="X999" s="47"/>
      <c r="Y999" s="47"/>
      <c r="Z999" s="47">
        <v>4620</v>
      </c>
      <c r="AA999" s="47"/>
      <c r="AB999" s="47"/>
      <c r="AC999" s="47"/>
      <c r="AD999" s="47"/>
      <c r="AE999" s="47"/>
      <c r="AF999" s="47">
        <v>1485</v>
      </c>
      <c r="AG999" s="47" t="s">
        <v>1904</v>
      </c>
      <c r="AH999" s="47">
        <v>1500</v>
      </c>
      <c r="AI999" s="47"/>
      <c r="AJ999" s="47"/>
    </row>
    <row r="1000" spans="1:36">
      <c r="A1000" s="374" t="s">
        <v>1900</v>
      </c>
      <c r="B1000" s="374">
        <v>25</v>
      </c>
      <c r="C1000" s="374" t="s">
        <v>284</v>
      </c>
      <c r="D1000" s="375" t="str">
        <f t="shared" si="216"/>
        <v>Charlemont Rise Estate25</v>
      </c>
      <c r="E1000" s="375" t="s">
        <v>9310</v>
      </c>
      <c r="F1000" s="375" t="s">
        <v>1428</v>
      </c>
      <c r="G1000" s="375" t="s">
        <v>1902</v>
      </c>
      <c r="H1000" s="375" t="s">
        <v>1903</v>
      </c>
      <c r="I1000" s="63"/>
      <c r="J1000" s="47">
        <v>3740</v>
      </c>
      <c r="K1000" s="46" t="s">
        <v>10735</v>
      </c>
      <c r="L1000" s="47"/>
      <c r="M1000" s="47" t="s">
        <v>10482</v>
      </c>
      <c r="N1000" s="47"/>
      <c r="O1000" s="47"/>
      <c r="P1000" s="47"/>
      <c r="Q1000" s="47"/>
      <c r="R1000" s="47"/>
      <c r="S1000" s="47"/>
      <c r="T1000" s="47"/>
      <c r="U1000" s="47">
        <v>540</v>
      </c>
      <c r="V1000" s="47" t="s">
        <v>10483</v>
      </c>
      <c r="W1000" s="47"/>
      <c r="X1000" s="47"/>
      <c r="Y1000" s="47"/>
      <c r="Z1000" s="47">
        <v>4620</v>
      </c>
      <c r="AA1000" s="47"/>
      <c r="AB1000" s="47"/>
      <c r="AC1000" s="47"/>
      <c r="AD1000" s="47"/>
      <c r="AE1000" s="47"/>
      <c r="AF1000" s="47">
        <v>1485</v>
      </c>
      <c r="AG1000" s="47" t="s">
        <v>1904</v>
      </c>
      <c r="AH1000" s="47">
        <f>IFERROR(_xlfn.XLOOKUP(Table6[[#This Row],[Suburb]],Table5[Travel Surcharge],Table5[$$]),"")</f>
        <v>1500</v>
      </c>
      <c r="AI1000" s="47"/>
      <c r="AJ1000" s="47"/>
    </row>
    <row r="1001" spans="1:36">
      <c r="A1001" s="374" t="s">
        <v>1900</v>
      </c>
      <c r="B1001" s="374">
        <v>18</v>
      </c>
      <c r="C1001" s="374" t="s">
        <v>284</v>
      </c>
      <c r="D1001" s="375" t="str">
        <f t="shared" si="216"/>
        <v>Charlemont Rise Estate18</v>
      </c>
      <c r="E1001" s="375" t="s">
        <v>9414</v>
      </c>
      <c r="F1001" s="375" t="s">
        <v>1428</v>
      </c>
      <c r="G1001" s="375" t="s">
        <v>1902</v>
      </c>
      <c r="H1001" s="375" t="s">
        <v>1903</v>
      </c>
      <c r="I1001" s="63"/>
      <c r="J1001" s="47">
        <v>3740</v>
      </c>
      <c r="K1001" s="46" t="s">
        <v>10735</v>
      </c>
      <c r="L1001" s="47"/>
      <c r="M1001" s="47" t="s">
        <v>10482</v>
      </c>
      <c r="N1001" s="47"/>
      <c r="O1001" s="47"/>
      <c r="P1001" s="47"/>
      <c r="Q1001" s="47"/>
      <c r="R1001" s="47"/>
      <c r="S1001" s="47"/>
      <c r="T1001" s="47"/>
      <c r="U1001" s="47">
        <v>540</v>
      </c>
      <c r="V1001" s="47" t="s">
        <v>10483</v>
      </c>
      <c r="W1001" s="47"/>
      <c r="X1001" s="47"/>
      <c r="Y1001" s="47"/>
      <c r="Z1001" s="47">
        <v>4620</v>
      </c>
      <c r="AA1001" s="47"/>
      <c r="AB1001" s="47"/>
      <c r="AC1001" s="47"/>
      <c r="AD1001" s="47"/>
      <c r="AE1001" s="47"/>
      <c r="AF1001" s="47">
        <v>1485</v>
      </c>
      <c r="AG1001" s="47" t="s">
        <v>1904</v>
      </c>
      <c r="AH1001" s="47">
        <f>IFERROR(_xlfn.XLOOKUP(Table6[[#This Row],[Suburb]],Table5[Travel Surcharge],Table5[$$]),"")</f>
        <v>1500</v>
      </c>
      <c r="AI1001" s="47"/>
      <c r="AJ1001" s="47"/>
    </row>
    <row r="1002" spans="1:36">
      <c r="A1002" s="374" t="s">
        <v>1900</v>
      </c>
      <c r="B1002" s="374">
        <v>2</v>
      </c>
      <c r="C1002" s="374" t="s">
        <v>284</v>
      </c>
      <c r="D1002" s="375" t="str">
        <f t="shared" si="216"/>
        <v>Charlemont Rise Estate2</v>
      </c>
      <c r="E1002" s="375" t="s">
        <v>1905</v>
      </c>
      <c r="F1002" s="375" t="s">
        <v>1428</v>
      </c>
      <c r="G1002" s="375" t="s">
        <v>1902</v>
      </c>
      <c r="H1002" s="375" t="s">
        <v>1903</v>
      </c>
      <c r="I1002" s="63"/>
      <c r="J1002" s="47">
        <f t="shared" ref="J1002:J1021" si="217">J$7</f>
        <v>3740</v>
      </c>
      <c r="K1002" s="46" t="s">
        <v>10735</v>
      </c>
      <c r="L1002" s="47"/>
      <c r="M1002" s="47" t="s">
        <v>10482</v>
      </c>
      <c r="N1002" s="47"/>
      <c r="O1002" s="47"/>
      <c r="P1002" s="47"/>
      <c r="Q1002" s="47"/>
      <c r="R1002" s="47"/>
      <c r="S1002" s="47"/>
      <c r="T1002" s="47"/>
      <c r="U1002" s="47">
        <f t="shared" ref="U1002:U1021" si="218">U$2</f>
        <v>430</v>
      </c>
      <c r="V1002" s="47" t="s">
        <v>10483</v>
      </c>
      <c r="W1002" s="47"/>
      <c r="X1002" s="47"/>
      <c r="Y1002" s="47"/>
      <c r="Z1002" s="47">
        <f t="shared" ref="Z1002:Z1051" si="219">Z$7</f>
        <v>4620</v>
      </c>
      <c r="AA1002" s="47"/>
      <c r="AB1002" s="47"/>
      <c r="AC1002" s="47"/>
      <c r="AD1002" s="47"/>
      <c r="AE1002" s="47"/>
      <c r="AF1002" s="47">
        <v>1485</v>
      </c>
      <c r="AG1002" s="47" t="s">
        <v>1904</v>
      </c>
      <c r="AH1002" s="47">
        <f>IFERROR(_xlfn.XLOOKUP(Table6[[#This Row],[Suburb]],Table5[Travel Surcharge],Table5[$$]),"")</f>
        <v>1500</v>
      </c>
      <c r="AI1002" s="47"/>
      <c r="AJ1002" s="47"/>
    </row>
    <row r="1003" spans="1:36">
      <c r="A1003" s="374" t="s">
        <v>1900</v>
      </c>
      <c r="B1003" s="374">
        <v>5</v>
      </c>
      <c r="C1003" s="374" t="s">
        <v>284</v>
      </c>
      <c r="D1003" s="375" t="str">
        <f t="shared" si="216"/>
        <v>Charlemont Rise Estate5</v>
      </c>
      <c r="E1003" s="375" t="s">
        <v>1906</v>
      </c>
      <c r="F1003" s="375" t="s">
        <v>1428</v>
      </c>
      <c r="G1003" s="375" t="s">
        <v>1902</v>
      </c>
      <c r="H1003" s="375" t="s">
        <v>1903</v>
      </c>
      <c r="I1003" s="63"/>
      <c r="J1003" s="47">
        <f t="shared" si="217"/>
        <v>3740</v>
      </c>
      <c r="K1003" s="46" t="s">
        <v>10735</v>
      </c>
      <c r="L1003" s="47"/>
      <c r="M1003" s="47" t="s">
        <v>10482</v>
      </c>
      <c r="N1003" s="47"/>
      <c r="O1003" s="47"/>
      <c r="P1003" s="47"/>
      <c r="Q1003" s="47"/>
      <c r="R1003" s="47"/>
      <c r="S1003" s="47"/>
      <c r="T1003" s="47"/>
      <c r="U1003" s="47">
        <f t="shared" si="218"/>
        <v>430</v>
      </c>
      <c r="V1003" s="47" t="s">
        <v>10483</v>
      </c>
      <c r="W1003" s="47"/>
      <c r="X1003" s="47"/>
      <c r="Y1003" s="47"/>
      <c r="Z1003" s="47">
        <f t="shared" si="219"/>
        <v>4620</v>
      </c>
      <c r="AA1003" s="47"/>
      <c r="AB1003" s="47"/>
      <c r="AC1003" s="47"/>
      <c r="AD1003" s="47"/>
      <c r="AE1003" s="47"/>
      <c r="AF1003" s="47">
        <v>1485</v>
      </c>
      <c r="AG1003" s="47" t="s">
        <v>1904</v>
      </c>
      <c r="AH1003" s="47">
        <f>IFERROR(_xlfn.XLOOKUP(Table6[[#This Row],[Suburb]],Table5[Travel Surcharge],Table5[$$]),"")</f>
        <v>1500</v>
      </c>
      <c r="AI1003" s="47"/>
      <c r="AJ1003" s="47"/>
    </row>
    <row r="1004" spans="1:36">
      <c r="A1004" s="374" t="s">
        <v>1900</v>
      </c>
      <c r="B1004" s="374">
        <v>6</v>
      </c>
      <c r="C1004" s="374" t="s">
        <v>284</v>
      </c>
      <c r="D1004" s="375" t="str">
        <f t="shared" si="216"/>
        <v>Charlemont Rise Estate6</v>
      </c>
      <c r="E1004" s="375" t="s">
        <v>1907</v>
      </c>
      <c r="F1004" s="375" t="s">
        <v>1428</v>
      </c>
      <c r="G1004" s="375" t="s">
        <v>1902</v>
      </c>
      <c r="H1004" s="375" t="s">
        <v>1903</v>
      </c>
      <c r="I1004" s="63"/>
      <c r="J1004" s="47">
        <f t="shared" si="217"/>
        <v>3740</v>
      </c>
      <c r="K1004" s="46" t="s">
        <v>10735</v>
      </c>
      <c r="L1004" s="47"/>
      <c r="M1004" s="47" t="s">
        <v>10482</v>
      </c>
      <c r="N1004" s="47"/>
      <c r="O1004" s="47"/>
      <c r="P1004" s="47"/>
      <c r="Q1004" s="47"/>
      <c r="R1004" s="47"/>
      <c r="S1004" s="47"/>
      <c r="T1004" s="47"/>
      <c r="U1004" s="47">
        <f t="shared" si="218"/>
        <v>430</v>
      </c>
      <c r="V1004" s="47" t="s">
        <v>10483</v>
      </c>
      <c r="W1004" s="47"/>
      <c r="X1004" s="47"/>
      <c r="Y1004" s="47"/>
      <c r="Z1004" s="47">
        <f t="shared" si="219"/>
        <v>4620</v>
      </c>
      <c r="AA1004" s="47"/>
      <c r="AB1004" s="47"/>
      <c r="AC1004" s="47"/>
      <c r="AD1004" s="47"/>
      <c r="AE1004" s="47"/>
      <c r="AF1004" s="47">
        <v>1485</v>
      </c>
      <c r="AG1004" s="47" t="s">
        <v>1904</v>
      </c>
      <c r="AH1004" s="47">
        <f>IFERROR(_xlfn.XLOOKUP(Table6[[#This Row],[Suburb]],Table5[Travel Surcharge],Table5[$$]),"")</f>
        <v>1500</v>
      </c>
      <c r="AI1004" s="47"/>
      <c r="AJ1004" s="47"/>
    </row>
    <row r="1005" spans="1:36">
      <c r="A1005" s="374" t="s">
        <v>1900</v>
      </c>
      <c r="B1005" s="374">
        <v>7</v>
      </c>
      <c r="C1005" s="374" t="s">
        <v>284</v>
      </c>
      <c r="D1005" s="375" t="str">
        <f t="shared" si="216"/>
        <v>Charlemont Rise Estate7</v>
      </c>
      <c r="E1005" s="375" t="s">
        <v>1908</v>
      </c>
      <c r="F1005" s="375" t="s">
        <v>1428</v>
      </c>
      <c r="G1005" s="375" t="s">
        <v>1902</v>
      </c>
      <c r="H1005" s="375" t="s">
        <v>1903</v>
      </c>
      <c r="I1005" s="63"/>
      <c r="J1005" s="47">
        <f t="shared" si="217"/>
        <v>3740</v>
      </c>
      <c r="K1005" s="46" t="s">
        <v>10735</v>
      </c>
      <c r="L1005" s="47"/>
      <c r="M1005" s="47" t="s">
        <v>10482</v>
      </c>
      <c r="N1005" s="47"/>
      <c r="O1005" s="47"/>
      <c r="P1005" s="47"/>
      <c r="Q1005" s="47"/>
      <c r="R1005" s="47"/>
      <c r="S1005" s="47"/>
      <c r="T1005" s="47"/>
      <c r="U1005" s="47">
        <f t="shared" si="218"/>
        <v>430</v>
      </c>
      <c r="V1005" s="47" t="s">
        <v>10483</v>
      </c>
      <c r="W1005" s="47"/>
      <c r="X1005" s="47"/>
      <c r="Y1005" s="47"/>
      <c r="Z1005" s="47">
        <f t="shared" si="219"/>
        <v>4620</v>
      </c>
      <c r="AA1005" s="47"/>
      <c r="AB1005" s="47"/>
      <c r="AC1005" s="47"/>
      <c r="AD1005" s="47"/>
      <c r="AE1005" s="47"/>
      <c r="AF1005" s="47">
        <v>1485</v>
      </c>
      <c r="AG1005" s="47" t="s">
        <v>1904</v>
      </c>
      <c r="AH1005" s="47">
        <f>IFERROR(_xlfn.XLOOKUP(Table6[[#This Row],[Suburb]],Table5[Travel Surcharge],Table5[$$]),"")</f>
        <v>1500</v>
      </c>
      <c r="AI1005" s="47"/>
      <c r="AJ1005" s="47"/>
    </row>
    <row r="1006" spans="1:36">
      <c r="A1006" s="374" t="s">
        <v>1900</v>
      </c>
      <c r="B1006" s="374">
        <v>8</v>
      </c>
      <c r="C1006" s="374" t="s">
        <v>284</v>
      </c>
      <c r="D1006" s="375" t="str">
        <f t="shared" si="216"/>
        <v>Charlemont Rise Estate8</v>
      </c>
      <c r="E1006" s="375" t="s">
        <v>1909</v>
      </c>
      <c r="F1006" s="375" t="s">
        <v>1428</v>
      </c>
      <c r="G1006" s="375" t="s">
        <v>1902</v>
      </c>
      <c r="H1006" s="375" t="s">
        <v>1903</v>
      </c>
      <c r="I1006" s="63"/>
      <c r="J1006" s="47">
        <f t="shared" si="217"/>
        <v>3740</v>
      </c>
      <c r="K1006" s="46" t="s">
        <v>10735</v>
      </c>
      <c r="L1006" s="47"/>
      <c r="M1006" s="47" t="s">
        <v>10482</v>
      </c>
      <c r="N1006" s="47"/>
      <c r="O1006" s="47"/>
      <c r="P1006" s="47"/>
      <c r="Q1006" s="47"/>
      <c r="R1006" s="47"/>
      <c r="S1006" s="47"/>
      <c r="T1006" s="47"/>
      <c r="U1006" s="47">
        <f t="shared" si="218"/>
        <v>430</v>
      </c>
      <c r="V1006" s="47" t="s">
        <v>10483</v>
      </c>
      <c r="W1006" s="47"/>
      <c r="X1006" s="47"/>
      <c r="Y1006" s="47"/>
      <c r="Z1006" s="47">
        <f t="shared" si="219"/>
        <v>4620</v>
      </c>
      <c r="AA1006" s="47"/>
      <c r="AB1006" s="47"/>
      <c r="AC1006" s="47"/>
      <c r="AD1006" s="47"/>
      <c r="AE1006" s="47"/>
      <c r="AF1006" s="47">
        <v>1485</v>
      </c>
      <c r="AG1006" s="47" t="s">
        <v>1904</v>
      </c>
      <c r="AH1006" s="47">
        <f>IFERROR(_xlfn.XLOOKUP(Table6[[#This Row],[Suburb]],Table5[Travel Surcharge],Table5[$$]),"")</f>
        <v>1500</v>
      </c>
      <c r="AI1006" s="47"/>
      <c r="AJ1006" s="47"/>
    </row>
    <row r="1007" spans="1:36">
      <c r="A1007" s="374" t="s">
        <v>1900</v>
      </c>
      <c r="B1007" s="374">
        <v>9</v>
      </c>
      <c r="C1007" s="374" t="s">
        <v>284</v>
      </c>
      <c r="D1007" s="375" t="str">
        <f t="shared" si="216"/>
        <v>Charlemont Rise Estate9</v>
      </c>
      <c r="E1007" s="375" t="s">
        <v>1910</v>
      </c>
      <c r="F1007" s="375" t="s">
        <v>1428</v>
      </c>
      <c r="G1007" s="375" t="s">
        <v>1902</v>
      </c>
      <c r="H1007" s="375" t="s">
        <v>1903</v>
      </c>
      <c r="I1007" s="63"/>
      <c r="J1007" s="47">
        <f t="shared" si="217"/>
        <v>3740</v>
      </c>
      <c r="K1007" s="46" t="s">
        <v>10735</v>
      </c>
      <c r="L1007" s="47"/>
      <c r="M1007" s="47" t="s">
        <v>10482</v>
      </c>
      <c r="N1007" s="47"/>
      <c r="O1007" s="47"/>
      <c r="P1007" s="47"/>
      <c r="Q1007" s="47"/>
      <c r="R1007" s="47"/>
      <c r="S1007" s="47"/>
      <c r="T1007" s="47"/>
      <c r="U1007" s="47">
        <f t="shared" si="218"/>
        <v>430</v>
      </c>
      <c r="V1007" s="47" t="s">
        <v>10483</v>
      </c>
      <c r="W1007" s="47"/>
      <c r="X1007" s="47"/>
      <c r="Y1007" s="47"/>
      <c r="Z1007" s="47">
        <f t="shared" si="219"/>
        <v>4620</v>
      </c>
      <c r="AA1007" s="47"/>
      <c r="AB1007" s="47"/>
      <c r="AC1007" s="47"/>
      <c r="AD1007" s="47"/>
      <c r="AE1007" s="47"/>
      <c r="AF1007" s="47">
        <v>1485</v>
      </c>
      <c r="AG1007" s="47" t="s">
        <v>1904</v>
      </c>
      <c r="AH1007" s="47">
        <f>IFERROR(_xlfn.XLOOKUP(Table6[[#This Row],[Suburb]],Table5[Travel Surcharge],Table5[$$]),"")</f>
        <v>1500</v>
      </c>
      <c r="AI1007" s="47"/>
      <c r="AJ1007" s="47"/>
    </row>
    <row r="1008" spans="1:36">
      <c r="A1008" s="374" t="s">
        <v>1900</v>
      </c>
      <c r="B1008" s="374">
        <v>10</v>
      </c>
      <c r="C1008" s="374" t="s">
        <v>284</v>
      </c>
      <c r="D1008" s="375" t="str">
        <f t="shared" si="216"/>
        <v>Charlemont Rise Estate10</v>
      </c>
      <c r="E1008" s="375" t="s">
        <v>1911</v>
      </c>
      <c r="F1008" s="375" t="s">
        <v>1428</v>
      </c>
      <c r="G1008" s="375" t="s">
        <v>1902</v>
      </c>
      <c r="H1008" s="375" t="s">
        <v>1903</v>
      </c>
      <c r="I1008" s="63"/>
      <c r="J1008" s="47">
        <f t="shared" si="217"/>
        <v>3740</v>
      </c>
      <c r="K1008" s="46" t="s">
        <v>10735</v>
      </c>
      <c r="L1008" s="47"/>
      <c r="M1008" s="47" t="s">
        <v>10482</v>
      </c>
      <c r="N1008" s="47"/>
      <c r="O1008" s="47"/>
      <c r="P1008" s="47"/>
      <c r="Q1008" s="47"/>
      <c r="R1008" s="47"/>
      <c r="S1008" s="47"/>
      <c r="T1008" s="47"/>
      <c r="U1008" s="47">
        <f t="shared" si="218"/>
        <v>430</v>
      </c>
      <c r="V1008" s="47" t="s">
        <v>10483</v>
      </c>
      <c r="W1008" s="47"/>
      <c r="X1008" s="47"/>
      <c r="Y1008" s="47"/>
      <c r="Z1008" s="47">
        <f t="shared" si="219"/>
        <v>4620</v>
      </c>
      <c r="AA1008" s="47"/>
      <c r="AB1008" s="47"/>
      <c r="AC1008" s="47"/>
      <c r="AD1008" s="47"/>
      <c r="AE1008" s="47"/>
      <c r="AF1008" s="47">
        <v>1485</v>
      </c>
      <c r="AG1008" s="47" t="s">
        <v>1904</v>
      </c>
      <c r="AH1008" s="47">
        <f>IFERROR(_xlfn.XLOOKUP(Table6[[#This Row],[Suburb]],Table5[Travel Surcharge],Table5[$$]),"")</f>
        <v>1500</v>
      </c>
      <c r="AI1008" s="47"/>
      <c r="AJ1008" s="47"/>
    </row>
    <row r="1009" spans="1:36">
      <c r="A1009" s="374" t="s">
        <v>1900</v>
      </c>
      <c r="B1009" s="374">
        <v>11</v>
      </c>
      <c r="C1009" s="374" t="s">
        <v>284</v>
      </c>
      <c r="D1009" s="375" t="str">
        <f t="shared" si="216"/>
        <v>Charlemont Rise Estate11</v>
      </c>
      <c r="E1009" s="375" t="s">
        <v>1912</v>
      </c>
      <c r="F1009" s="375" t="s">
        <v>1428</v>
      </c>
      <c r="G1009" s="375" t="s">
        <v>1902</v>
      </c>
      <c r="H1009" s="375" t="s">
        <v>1903</v>
      </c>
      <c r="I1009" s="63"/>
      <c r="J1009" s="47">
        <f t="shared" si="217"/>
        <v>3740</v>
      </c>
      <c r="K1009" s="46" t="s">
        <v>10735</v>
      </c>
      <c r="L1009" s="47"/>
      <c r="M1009" s="47" t="s">
        <v>10482</v>
      </c>
      <c r="N1009" s="47"/>
      <c r="O1009" s="47"/>
      <c r="P1009" s="47"/>
      <c r="Q1009" s="47"/>
      <c r="R1009" s="47"/>
      <c r="S1009" s="47"/>
      <c r="T1009" s="47"/>
      <c r="U1009" s="47">
        <f t="shared" si="218"/>
        <v>430</v>
      </c>
      <c r="V1009" s="47" t="s">
        <v>10483</v>
      </c>
      <c r="W1009" s="47"/>
      <c r="X1009" s="47"/>
      <c r="Y1009" s="47"/>
      <c r="Z1009" s="47">
        <f t="shared" si="219"/>
        <v>4620</v>
      </c>
      <c r="AA1009" s="47"/>
      <c r="AB1009" s="47"/>
      <c r="AC1009" s="47"/>
      <c r="AD1009" s="47"/>
      <c r="AE1009" s="47"/>
      <c r="AF1009" s="47">
        <v>1485</v>
      </c>
      <c r="AG1009" s="47" t="s">
        <v>1904</v>
      </c>
      <c r="AH1009" s="47">
        <f>IFERROR(_xlfn.XLOOKUP(Table6[[#This Row],[Suburb]],Table5[Travel Surcharge],Table5[$$]),"")</f>
        <v>1500</v>
      </c>
      <c r="AI1009" s="47"/>
      <c r="AJ1009" s="47"/>
    </row>
    <row r="1010" spans="1:36">
      <c r="A1010" s="374" t="s">
        <v>1900</v>
      </c>
      <c r="B1010" s="374">
        <v>12</v>
      </c>
      <c r="C1010" s="374" t="s">
        <v>284</v>
      </c>
      <c r="D1010" s="375" t="str">
        <f t="shared" si="216"/>
        <v>Charlemont Rise Estate12</v>
      </c>
      <c r="E1010" s="375" t="s">
        <v>1913</v>
      </c>
      <c r="F1010" s="375" t="s">
        <v>1428</v>
      </c>
      <c r="G1010" s="375" t="s">
        <v>1902</v>
      </c>
      <c r="H1010" s="375" t="s">
        <v>1903</v>
      </c>
      <c r="I1010" s="63"/>
      <c r="J1010" s="47">
        <f t="shared" si="217"/>
        <v>3740</v>
      </c>
      <c r="K1010" s="46" t="s">
        <v>10735</v>
      </c>
      <c r="L1010" s="47"/>
      <c r="M1010" s="47" t="s">
        <v>10482</v>
      </c>
      <c r="N1010" s="47"/>
      <c r="O1010" s="47"/>
      <c r="P1010" s="47"/>
      <c r="Q1010" s="47"/>
      <c r="R1010" s="47"/>
      <c r="S1010" s="47"/>
      <c r="T1010" s="47"/>
      <c r="U1010" s="47">
        <f t="shared" si="218"/>
        <v>430</v>
      </c>
      <c r="V1010" s="47" t="s">
        <v>10483</v>
      </c>
      <c r="W1010" s="47"/>
      <c r="X1010" s="47"/>
      <c r="Y1010" s="47"/>
      <c r="Z1010" s="47">
        <f t="shared" si="219"/>
        <v>4620</v>
      </c>
      <c r="AA1010" s="47"/>
      <c r="AB1010" s="47"/>
      <c r="AC1010" s="47"/>
      <c r="AD1010" s="47"/>
      <c r="AE1010" s="47"/>
      <c r="AF1010" s="47">
        <v>1485</v>
      </c>
      <c r="AG1010" s="47" t="s">
        <v>1904</v>
      </c>
      <c r="AH1010" s="47">
        <f>IFERROR(_xlfn.XLOOKUP(Table6[[#This Row],[Suburb]],Table5[Travel Surcharge],Table5[$$]),"")</f>
        <v>1500</v>
      </c>
      <c r="AI1010" s="47"/>
      <c r="AJ1010" s="47"/>
    </row>
    <row r="1011" spans="1:36">
      <c r="A1011" s="374" t="s">
        <v>1900</v>
      </c>
      <c r="B1011" s="374">
        <v>13</v>
      </c>
      <c r="C1011" s="374" t="s">
        <v>284</v>
      </c>
      <c r="D1011" s="375" t="str">
        <f t="shared" si="216"/>
        <v>Charlemont Rise Estate13</v>
      </c>
      <c r="E1011" s="375" t="s">
        <v>1914</v>
      </c>
      <c r="F1011" s="375" t="s">
        <v>1428</v>
      </c>
      <c r="G1011" s="375" t="s">
        <v>1902</v>
      </c>
      <c r="H1011" s="375" t="s">
        <v>1903</v>
      </c>
      <c r="I1011" s="63"/>
      <c r="J1011" s="47">
        <f t="shared" si="217"/>
        <v>3740</v>
      </c>
      <c r="K1011" s="46" t="s">
        <v>10735</v>
      </c>
      <c r="L1011" s="47"/>
      <c r="M1011" s="47" t="s">
        <v>10482</v>
      </c>
      <c r="N1011" s="47"/>
      <c r="O1011" s="47"/>
      <c r="P1011" s="47"/>
      <c r="Q1011" s="47"/>
      <c r="R1011" s="47"/>
      <c r="S1011" s="47"/>
      <c r="T1011" s="47"/>
      <c r="U1011" s="47">
        <f t="shared" si="218"/>
        <v>430</v>
      </c>
      <c r="V1011" s="47" t="s">
        <v>10483</v>
      </c>
      <c r="W1011" s="47"/>
      <c r="X1011" s="47"/>
      <c r="Y1011" s="47"/>
      <c r="Z1011" s="47">
        <f t="shared" si="219"/>
        <v>4620</v>
      </c>
      <c r="AA1011" s="47"/>
      <c r="AB1011" s="47"/>
      <c r="AC1011" s="47"/>
      <c r="AD1011" s="47"/>
      <c r="AE1011" s="47"/>
      <c r="AF1011" s="47">
        <v>1485</v>
      </c>
      <c r="AG1011" s="47" t="s">
        <v>1904</v>
      </c>
      <c r="AH1011" s="47">
        <f>IFERROR(_xlfn.XLOOKUP(Table6[[#This Row],[Suburb]],Table5[Travel Surcharge],Table5[$$]),"")</f>
        <v>1500</v>
      </c>
      <c r="AI1011" s="47"/>
      <c r="AJ1011" s="47"/>
    </row>
    <row r="1012" spans="1:36">
      <c r="A1012" s="374" t="s">
        <v>1900</v>
      </c>
      <c r="B1012" s="374">
        <v>15</v>
      </c>
      <c r="C1012" s="374" t="s">
        <v>284</v>
      </c>
      <c r="D1012" s="375" t="str">
        <f t="shared" si="216"/>
        <v>Charlemont Rise Estate15</v>
      </c>
      <c r="E1012" s="375" t="s">
        <v>1915</v>
      </c>
      <c r="F1012" s="375" t="s">
        <v>1428</v>
      </c>
      <c r="G1012" s="375" t="s">
        <v>1902</v>
      </c>
      <c r="H1012" s="375" t="s">
        <v>1903</v>
      </c>
      <c r="I1012" s="63"/>
      <c r="J1012" s="47">
        <f t="shared" si="217"/>
        <v>3740</v>
      </c>
      <c r="K1012" s="46" t="s">
        <v>10735</v>
      </c>
      <c r="L1012" s="47"/>
      <c r="M1012" s="47" t="s">
        <v>10482</v>
      </c>
      <c r="N1012" s="47"/>
      <c r="O1012" s="47"/>
      <c r="P1012" s="47"/>
      <c r="Q1012" s="47"/>
      <c r="R1012" s="47"/>
      <c r="S1012" s="47"/>
      <c r="T1012" s="47"/>
      <c r="U1012" s="47">
        <f t="shared" si="218"/>
        <v>430</v>
      </c>
      <c r="V1012" s="47" t="s">
        <v>10483</v>
      </c>
      <c r="W1012" s="47"/>
      <c r="X1012" s="47"/>
      <c r="Y1012" s="47"/>
      <c r="Z1012" s="47">
        <f t="shared" si="219"/>
        <v>4620</v>
      </c>
      <c r="AA1012" s="47"/>
      <c r="AB1012" s="47"/>
      <c r="AC1012" s="47"/>
      <c r="AD1012" s="47"/>
      <c r="AE1012" s="47"/>
      <c r="AF1012" s="47">
        <v>1485</v>
      </c>
      <c r="AG1012" s="47" t="s">
        <v>1904</v>
      </c>
      <c r="AH1012" s="47">
        <f>IFERROR(_xlfn.XLOOKUP(Table6[[#This Row],[Suburb]],Table5[Travel Surcharge],Table5[$$]),"")</f>
        <v>1500</v>
      </c>
      <c r="AI1012" s="47"/>
      <c r="AJ1012" s="47"/>
    </row>
    <row r="1013" spans="1:36">
      <c r="A1013" s="374" t="s">
        <v>1900</v>
      </c>
      <c r="B1013" s="374">
        <v>17</v>
      </c>
      <c r="C1013" s="374" t="s">
        <v>284</v>
      </c>
      <c r="D1013" s="375" t="str">
        <f t="shared" si="216"/>
        <v>Charlemont Rise Estate17</v>
      </c>
      <c r="E1013" s="375" t="s">
        <v>1916</v>
      </c>
      <c r="F1013" s="375" t="s">
        <v>1428</v>
      </c>
      <c r="G1013" s="375" t="s">
        <v>1902</v>
      </c>
      <c r="H1013" s="375" t="s">
        <v>1903</v>
      </c>
      <c r="I1013" s="63"/>
      <c r="J1013" s="47">
        <f t="shared" si="217"/>
        <v>3740</v>
      </c>
      <c r="K1013" s="46" t="s">
        <v>10735</v>
      </c>
      <c r="L1013" s="47"/>
      <c r="M1013" s="47" t="s">
        <v>10482</v>
      </c>
      <c r="N1013" s="47"/>
      <c r="O1013" s="47"/>
      <c r="P1013" s="47"/>
      <c r="Q1013" s="47"/>
      <c r="R1013" s="47"/>
      <c r="S1013" s="47"/>
      <c r="T1013" s="47"/>
      <c r="U1013" s="47">
        <f t="shared" si="218"/>
        <v>430</v>
      </c>
      <c r="V1013" s="47" t="s">
        <v>10483</v>
      </c>
      <c r="W1013" s="47"/>
      <c r="X1013" s="47"/>
      <c r="Y1013" s="47"/>
      <c r="Z1013" s="47">
        <f t="shared" si="219"/>
        <v>4620</v>
      </c>
      <c r="AA1013" s="47"/>
      <c r="AB1013" s="47"/>
      <c r="AC1013" s="47"/>
      <c r="AD1013" s="47"/>
      <c r="AE1013" s="47"/>
      <c r="AF1013" s="47">
        <v>1485</v>
      </c>
      <c r="AG1013" s="47" t="s">
        <v>1904</v>
      </c>
      <c r="AH1013" s="47">
        <f>IFERROR(_xlfn.XLOOKUP(Table6[[#This Row],[Suburb]],Table5[Travel Surcharge],Table5[$$]),"")</f>
        <v>1500</v>
      </c>
      <c r="AI1013" s="47"/>
      <c r="AJ1013" s="47"/>
    </row>
    <row r="1014" spans="1:36">
      <c r="A1014" s="374" t="s">
        <v>1900</v>
      </c>
      <c r="B1014" s="374">
        <v>19</v>
      </c>
      <c r="C1014" s="374" t="s">
        <v>284</v>
      </c>
      <c r="D1014" s="375" t="str">
        <f t="shared" si="216"/>
        <v>Charlemont Rise Estate19</v>
      </c>
      <c r="E1014" s="375" t="s">
        <v>1917</v>
      </c>
      <c r="F1014" s="375" t="s">
        <v>1428</v>
      </c>
      <c r="G1014" s="375" t="s">
        <v>1902</v>
      </c>
      <c r="H1014" s="375" t="s">
        <v>1903</v>
      </c>
      <c r="I1014" s="63"/>
      <c r="J1014" s="47">
        <f t="shared" si="217"/>
        <v>3740</v>
      </c>
      <c r="K1014" s="46" t="s">
        <v>10735</v>
      </c>
      <c r="L1014" s="47"/>
      <c r="M1014" s="47" t="s">
        <v>10482</v>
      </c>
      <c r="N1014" s="47" t="s">
        <v>1918</v>
      </c>
      <c r="O1014" s="47"/>
      <c r="P1014" s="47"/>
      <c r="Q1014" s="47"/>
      <c r="R1014" s="47"/>
      <c r="S1014" s="47"/>
      <c r="T1014" s="47"/>
      <c r="U1014" s="47">
        <f t="shared" si="218"/>
        <v>430</v>
      </c>
      <c r="V1014" s="47" t="s">
        <v>10483</v>
      </c>
      <c r="W1014" s="47"/>
      <c r="X1014" s="47"/>
      <c r="Y1014" s="47"/>
      <c r="Z1014" s="47">
        <f t="shared" si="219"/>
        <v>4620</v>
      </c>
      <c r="AA1014" s="47"/>
      <c r="AB1014" s="47"/>
      <c r="AC1014" s="47"/>
      <c r="AD1014" s="47"/>
      <c r="AE1014" s="47"/>
      <c r="AF1014" s="47">
        <v>1485</v>
      </c>
      <c r="AG1014" s="47" t="s">
        <v>1904</v>
      </c>
      <c r="AH1014" s="47">
        <f>IFERROR(_xlfn.XLOOKUP(Table6[[#This Row],[Suburb]],Table5[Travel Surcharge],Table5[$$]),"")</f>
        <v>1500</v>
      </c>
      <c r="AI1014" s="47"/>
      <c r="AJ1014" s="47"/>
    </row>
    <row r="1015" spans="1:36">
      <c r="A1015" s="374" t="s">
        <v>1900</v>
      </c>
      <c r="B1015" s="374">
        <v>21</v>
      </c>
      <c r="C1015" s="374" t="s">
        <v>284</v>
      </c>
      <c r="D1015" s="375" t="str">
        <f t="shared" si="216"/>
        <v>Charlemont Rise Estate21</v>
      </c>
      <c r="E1015" s="375" t="s">
        <v>7657</v>
      </c>
      <c r="F1015" s="375" t="s">
        <v>1428</v>
      </c>
      <c r="G1015" s="375" t="s">
        <v>1902</v>
      </c>
      <c r="H1015" s="375" t="s">
        <v>1903</v>
      </c>
      <c r="I1015" s="63"/>
      <c r="J1015" s="47">
        <f t="shared" si="217"/>
        <v>3740</v>
      </c>
      <c r="K1015" s="46" t="s">
        <v>10735</v>
      </c>
      <c r="L1015" s="47"/>
      <c r="M1015" s="47" t="s">
        <v>10482</v>
      </c>
      <c r="N1015" s="47" t="s">
        <v>1922</v>
      </c>
      <c r="O1015" s="47"/>
      <c r="P1015" s="47"/>
      <c r="Q1015" s="47"/>
      <c r="R1015" s="47"/>
      <c r="S1015" s="47"/>
      <c r="T1015" s="47"/>
      <c r="U1015" s="47">
        <f t="shared" si="218"/>
        <v>430</v>
      </c>
      <c r="V1015" s="47" t="s">
        <v>10483</v>
      </c>
      <c r="W1015" s="47"/>
      <c r="X1015" s="47"/>
      <c r="Y1015" s="47"/>
      <c r="Z1015" s="47">
        <f t="shared" si="219"/>
        <v>4620</v>
      </c>
      <c r="AA1015" s="47"/>
      <c r="AB1015" s="47"/>
      <c r="AC1015" s="47"/>
      <c r="AD1015" s="47"/>
      <c r="AE1015" s="47"/>
      <c r="AF1015" s="47">
        <v>1485</v>
      </c>
      <c r="AG1015" s="47" t="s">
        <v>1904</v>
      </c>
      <c r="AH1015" s="47">
        <f>IFERROR(_xlfn.XLOOKUP(Table6[[#This Row],[Suburb]],Table5[Travel Surcharge],Table5[$$]),"")</f>
        <v>1500</v>
      </c>
      <c r="AI1015" s="47"/>
      <c r="AJ1015" s="47"/>
    </row>
    <row r="1016" spans="1:36">
      <c r="A1016" s="374" t="s">
        <v>1900</v>
      </c>
      <c r="B1016" s="374">
        <v>22</v>
      </c>
      <c r="C1016" s="374" t="s">
        <v>284</v>
      </c>
      <c r="D1016" s="375" t="str">
        <f t="shared" si="216"/>
        <v>Charlemont Rise Estate22</v>
      </c>
      <c r="E1016" s="375" t="s">
        <v>1919</v>
      </c>
      <c r="F1016" s="375" t="s">
        <v>1428</v>
      </c>
      <c r="G1016" s="375" t="s">
        <v>1902</v>
      </c>
      <c r="H1016" s="375" t="s">
        <v>1903</v>
      </c>
      <c r="I1016" s="63"/>
      <c r="J1016" s="47">
        <f t="shared" si="217"/>
        <v>3740</v>
      </c>
      <c r="K1016" s="46" t="s">
        <v>10735</v>
      </c>
      <c r="L1016" s="47"/>
      <c r="M1016" s="47" t="s">
        <v>10482</v>
      </c>
      <c r="N1016" s="47"/>
      <c r="O1016" s="47"/>
      <c r="P1016" s="47"/>
      <c r="Q1016" s="47"/>
      <c r="R1016" s="47"/>
      <c r="S1016" s="47"/>
      <c r="T1016" s="47"/>
      <c r="U1016" s="47">
        <f t="shared" si="218"/>
        <v>430</v>
      </c>
      <c r="V1016" s="47" t="s">
        <v>10483</v>
      </c>
      <c r="W1016" s="47"/>
      <c r="X1016" s="47"/>
      <c r="Y1016" s="47"/>
      <c r="Z1016" s="47">
        <f t="shared" si="219"/>
        <v>4620</v>
      </c>
      <c r="AA1016" s="47"/>
      <c r="AB1016" s="47"/>
      <c r="AC1016" s="47"/>
      <c r="AD1016" s="47"/>
      <c r="AE1016" s="47"/>
      <c r="AF1016" s="47">
        <v>1485</v>
      </c>
      <c r="AG1016" s="47" t="s">
        <v>1904</v>
      </c>
      <c r="AH1016" s="47">
        <f>IFERROR(_xlfn.XLOOKUP(Table6[[#This Row],[Suburb]],Table5[Travel Surcharge],Table5[$$]),"")</f>
        <v>1500</v>
      </c>
      <c r="AI1016" s="47"/>
      <c r="AJ1016" s="47"/>
    </row>
    <row r="1017" spans="1:36">
      <c r="A1017" s="374" t="s">
        <v>1900</v>
      </c>
      <c r="B1017" s="374">
        <v>23</v>
      </c>
      <c r="C1017" s="374" t="s">
        <v>284</v>
      </c>
      <c r="D1017" s="375" t="str">
        <f t="shared" si="216"/>
        <v>Charlemont Rise Estate23</v>
      </c>
      <c r="E1017" s="375" t="s">
        <v>1920</v>
      </c>
      <c r="F1017" s="375" t="s">
        <v>1428</v>
      </c>
      <c r="G1017" s="375" t="s">
        <v>1902</v>
      </c>
      <c r="H1017" s="375" t="s">
        <v>1903</v>
      </c>
      <c r="I1017" s="63"/>
      <c r="J1017" s="47">
        <f t="shared" si="217"/>
        <v>3740</v>
      </c>
      <c r="K1017" s="46" t="s">
        <v>10735</v>
      </c>
      <c r="L1017" s="47"/>
      <c r="M1017" s="47" t="s">
        <v>10482</v>
      </c>
      <c r="N1017" s="47"/>
      <c r="O1017" s="47"/>
      <c r="P1017" s="47"/>
      <c r="Q1017" s="47"/>
      <c r="R1017" s="47"/>
      <c r="S1017" s="47"/>
      <c r="T1017" s="47"/>
      <c r="U1017" s="47">
        <f t="shared" si="218"/>
        <v>430</v>
      </c>
      <c r="V1017" s="47" t="s">
        <v>10483</v>
      </c>
      <c r="W1017" s="47"/>
      <c r="X1017" s="47"/>
      <c r="Y1017" s="47"/>
      <c r="Z1017" s="47">
        <f t="shared" si="219"/>
        <v>4620</v>
      </c>
      <c r="AA1017" s="47"/>
      <c r="AB1017" s="47"/>
      <c r="AC1017" s="47"/>
      <c r="AD1017" s="47"/>
      <c r="AE1017" s="47"/>
      <c r="AF1017" s="47">
        <v>1485</v>
      </c>
      <c r="AG1017" s="47" t="s">
        <v>1904</v>
      </c>
      <c r="AH1017" s="47">
        <f>IFERROR(_xlfn.XLOOKUP(Table6[[#This Row],[Suburb]],Table5[Travel Surcharge],Table5[$$]),"")</f>
        <v>1500</v>
      </c>
      <c r="AI1017" s="47"/>
      <c r="AJ1017" s="47"/>
    </row>
    <row r="1018" spans="1:36">
      <c r="A1018" s="374" t="s">
        <v>1900</v>
      </c>
      <c r="B1018" s="374">
        <v>26</v>
      </c>
      <c r="C1018" s="374" t="s">
        <v>284</v>
      </c>
      <c r="D1018" s="375" t="str">
        <f t="shared" si="216"/>
        <v>Charlemont Rise Estate26</v>
      </c>
      <c r="E1018" s="375" t="s">
        <v>9947</v>
      </c>
      <c r="F1018" s="375" t="s">
        <v>1428</v>
      </c>
      <c r="G1018" s="375" t="s">
        <v>1902</v>
      </c>
      <c r="H1018" s="375" t="s">
        <v>1903</v>
      </c>
      <c r="I1018" s="63"/>
      <c r="J1018" s="47">
        <v>3740</v>
      </c>
      <c r="K1018" s="46" t="s">
        <v>10735</v>
      </c>
      <c r="L1018" s="47"/>
      <c r="M1018" s="47" t="s">
        <v>10482</v>
      </c>
      <c r="N1018" s="47" t="s">
        <v>1922</v>
      </c>
      <c r="O1018" s="47"/>
      <c r="P1018" s="47"/>
      <c r="Q1018" s="47"/>
      <c r="R1018" s="47"/>
      <c r="S1018" s="47"/>
      <c r="T1018" s="47"/>
      <c r="U1018" s="47">
        <v>540</v>
      </c>
      <c r="V1018" s="47" t="s">
        <v>10483</v>
      </c>
      <c r="W1018" s="47"/>
      <c r="X1018" s="47"/>
      <c r="Y1018" s="47"/>
      <c r="Z1018" s="47">
        <v>4620</v>
      </c>
      <c r="AA1018" s="47"/>
      <c r="AB1018" s="47"/>
      <c r="AC1018" s="47"/>
      <c r="AD1018" s="47"/>
      <c r="AE1018" s="47"/>
      <c r="AF1018" s="47">
        <v>1485</v>
      </c>
      <c r="AG1018" s="47" t="s">
        <v>1904</v>
      </c>
      <c r="AH1018" s="47">
        <f>IFERROR(_xlfn.XLOOKUP(Table6[[#This Row],[Suburb]],Table5[Travel Surcharge],Table5[$$]),"")</f>
        <v>1500</v>
      </c>
      <c r="AI1018" s="47"/>
      <c r="AJ1018" s="47"/>
    </row>
    <row r="1019" spans="1:36">
      <c r="A1019" s="374" t="s">
        <v>1900</v>
      </c>
      <c r="B1019" s="374">
        <v>27</v>
      </c>
      <c r="C1019" s="374" t="s">
        <v>284</v>
      </c>
      <c r="D1019" s="375" t="str">
        <f t="shared" si="216"/>
        <v>Charlemont Rise Estate27</v>
      </c>
      <c r="E1019" s="375" t="s">
        <v>1921</v>
      </c>
      <c r="F1019" s="375" t="s">
        <v>1428</v>
      </c>
      <c r="G1019" s="375" t="s">
        <v>1902</v>
      </c>
      <c r="H1019" s="375" t="s">
        <v>1903</v>
      </c>
      <c r="I1019" s="63"/>
      <c r="J1019" s="47">
        <f t="shared" si="217"/>
        <v>3740</v>
      </c>
      <c r="K1019" s="46" t="s">
        <v>10735</v>
      </c>
      <c r="L1019" s="47"/>
      <c r="M1019" s="47" t="s">
        <v>10482</v>
      </c>
      <c r="N1019" s="47" t="s">
        <v>1922</v>
      </c>
      <c r="O1019" s="47"/>
      <c r="P1019" s="47"/>
      <c r="Q1019" s="47"/>
      <c r="R1019" s="47"/>
      <c r="S1019" s="47"/>
      <c r="T1019" s="47"/>
      <c r="U1019" s="47">
        <f t="shared" si="218"/>
        <v>430</v>
      </c>
      <c r="V1019" s="47" t="s">
        <v>10483</v>
      </c>
      <c r="W1019" s="47"/>
      <c r="X1019" s="47"/>
      <c r="Y1019" s="47"/>
      <c r="Z1019" s="47">
        <f t="shared" si="219"/>
        <v>4620</v>
      </c>
      <c r="AA1019" s="47"/>
      <c r="AB1019" s="47"/>
      <c r="AC1019" s="47"/>
      <c r="AD1019" s="47"/>
      <c r="AE1019" s="47"/>
      <c r="AF1019" s="47">
        <v>1485</v>
      </c>
      <c r="AG1019" s="47" t="s">
        <v>1904</v>
      </c>
      <c r="AH1019" s="47">
        <f>IFERROR(_xlfn.XLOOKUP(Table6[[#This Row],[Suburb]],Table5[Travel Surcharge],Table5[$$]),"")</f>
        <v>1500</v>
      </c>
      <c r="AI1019" s="47"/>
      <c r="AJ1019" s="47"/>
    </row>
    <row r="1020" spans="1:36">
      <c r="A1020" s="374" t="s">
        <v>1900</v>
      </c>
      <c r="B1020" s="374">
        <v>29</v>
      </c>
      <c r="C1020" s="374" t="s">
        <v>284</v>
      </c>
      <c r="D1020" s="375" t="str">
        <f t="shared" si="216"/>
        <v>Charlemont Rise Estate29</v>
      </c>
      <c r="E1020" s="375" t="s">
        <v>7935</v>
      </c>
      <c r="F1020" s="375" t="s">
        <v>1428</v>
      </c>
      <c r="G1020" s="375" t="s">
        <v>1902</v>
      </c>
      <c r="H1020" s="375" t="s">
        <v>1903</v>
      </c>
      <c r="I1020" s="63"/>
      <c r="J1020" s="47">
        <f t="shared" si="217"/>
        <v>3740</v>
      </c>
      <c r="K1020" s="46" t="s">
        <v>10735</v>
      </c>
      <c r="L1020" s="47"/>
      <c r="M1020" s="47" t="s">
        <v>10482</v>
      </c>
      <c r="N1020" s="47" t="s">
        <v>1922</v>
      </c>
      <c r="O1020" s="47"/>
      <c r="P1020" s="47"/>
      <c r="Q1020" s="47"/>
      <c r="R1020" s="47"/>
      <c r="S1020" s="47"/>
      <c r="T1020" s="47"/>
      <c r="U1020" s="47">
        <f t="shared" si="218"/>
        <v>430</v>
      </c>
      <c r="V1020" s="47" t="s">
        <v>10483</v>
      </c>
      <c r="W1020" s="47"/>
      <c r="X1020" s="47"/>
      <c r="Y1020" s="47"/>
      <c r="Z1020" s="47">
        <f t="shared" si="219"/>
        <v>4620</v>
      </c>
      <c r="AA1020" s="47"/>
      <c r="AB1020" s="47"/>
      <c r="AC1020" s="47"/>
      <c r="AD1020" s="47"/>
      <c r="AE1020" s="47"/>
      <c r="AF1020" s="47">
        <v>1485</v>
      </c>
      <c r="AG1020" s="47" t="s">
        <v>1904</v>
      </c>
      <c r="AH1020" s="47">
        <f>IFERROR(_xlfn.XLOOKUP(Table6[[#This Row],[Suburb]],Table5[Travel Surcharge],Table5[$$]),"")</f>
        <v>1500</v>
      </c>
      <c r="AI1020" s="47"/>
      <c r="AJ1020" s="47"/>
    </row>
    <row r="1021" spans="1:36">
      <c r="A1021" s="374" t="s">
        <v>1900</v>
      </c>
      <c r="B1021" s="374">
        <v>30</v>
      </c>
      <c r="C1021" s="374" t="s">
        <v>284</v>
      </c>
      <c r="D1021" s="375" t="str">
        <f t="shared" si="216"/>
        <v>Charlemont Rise Estate30</v>
      </c>
      <c r="E1021" s="375" t="s">
        <v>1923</v>
      </c>
      <c r="F1021" s="375" t="s">
        <v>1428</v>
      </c>
      <c r="G1021" s="375" t="s">
        <v>1902</v>
      </c>
      <c r="H1021" s="375" t="s">
        <v>1903</v>
      </c>
      <c r="I1021" s="63"/>
      <c r="J1021" s="47">
        <f t="shared" si="217"/>
        <v>3740</v>
      </c>
      <c r="K1021" s="46" t="s">
        <v>10735</v>
      </c>
      <c r="L1021" s="47"/>
      <c r="M1021" s="47" t="s">
        <v>10482</v>
      </c>
      <c r="N1021" s="47"/>
      <c r="O1021" s="47"/>
      <c r="P1021" s="47"/>
      <c r="Q1021" s="47"/>
      <c r="R1021" s="47"/>
      <c r="S1021" s="47"/>
      <c r="T1021" s="47"/>
      <c r="U1021" s="47">
        <f t="shared" si="218"/>
        <v>430</v>
      </c>
      <c r="V1021" s="47" t="s">
        <v>10483</v>
      </c>
      <c r="W1021" s="47"/>
      <c r="X1021" s="47"/>
      <c r="Y1021" s="47"/>
      <c r="Z1021" s="47">
        <f t="shared" si="219"/>
        <v>4620</v>
      </c>
      <c r="AA1021" s="47"/>
      <c r="AB1021" s="47"/>
      <c r="AC1021" s="47"/>
      <c r="AD1021" s="47"/>
      <c r="AE1021" s="47"/>
      <c r="AF1021" s="47">
        <v>1485</v>
      </c>
      <c r="AG1021" s="47" t="s">
        <v>1904</v>
      </c>
      <c r="AH1021" s="47">
        <f>IFERROR(_xlfn.XLOOKUP(Table6[[#This Row],[Suburb]],Table5[Travel Surcharge],Table5[$$]),"")</f>
        <v>1500</v>
      </c>
      <c r="AI1021" s="47"/>
      <c r="AJ1021" s="47"/>
    </row>
    <row r="1022" spans="1:36">
      <c r="A1022" s="374" t="s">
        <v>1924</v>
      </c>
      <c r="B1022" s="374">
        <v>1</v>
      </c>
      <c r="C1022" s="374" t="s">
        <v>1925</v>
      </c>
      <c r="D1022" s="375" t="str">
        <f t="shared" si="216"/>
        <v>Chelsea Heights1</v>
      </c>
      <c r="E1022" s="375" t="s">
        <v>1926</v>
      </c>
      <c r="F1022" s="375"/>
      <c r="G1022" s="375" t="s">
        <v>576</v>
      </c>
      <c r="H1022" s="375" t="s">
        <v>577</v>
      </c>
      <c r="I1022" s="63" t="s">
        <v>683</v>
      </c>
      <c r="J1022" s="47"/>
      <c r="K1022" s="46" t="s">
        <v>10735</v>
      </c>
      <c r="L1022" s="47"/>
      <c r="M1022" s="47"/>
      <c r="N1022" s="47" t="s">
        <v>1927</v>
      </c>
      <c r="O1022" s="47">
        <f>O$7</f>
        <v>4950</v>
      </c>
      <c r="P1022" s="47"/>
      <c r="Q1022" s="47"/>
      <c r="R1022" s="47"/>
      <c r="S1022" s="47" t="s">
        <v>1928</v>
      </c>
      <c r="T1022" s="47"/>
      <c r="U1022" s="47"/>
      <c r="V1022" s="47"/>
      <c r="W1022" s="47"/>
      <c r="X1022" s="47"/>
      <c r="Y1022" s="47"/>
      <c r="Z1022" s="47">
        <f t="shared" si="219"/>
        <v>4620</v>
      </c>
      <c r="AA1022" s="47"/>
      <c r="AB1022" s="47"/>
      <c r="AC1022" s="47"/>
      <c r="AD1022" s="47"/>
      <c r="AE1022" s="47"/>
      <c r="AF1022" s="47">
        <f>AF$7</f>
        <v>1485</v>
      </c>
      <c r="AG1022" s="47"/>
      <c r="AH1022" s="47">
        <f>IFERROR(_xlfn.XLOOKUP(Table6[[#This Row],[Suburb]],Table5[Travel Surcharge],Table5[$$]),"")</f>
        <v>8000</v>
      </c>
      <c r="AI1022" s="47"/>
      <c r="AJ1022" s="47">
        <f>AJ$7</f>
        <v>4400</v>
      </c>
    </row>
    <row r="1023" spans="1:36">
      <c r="A1023" s="374" t="s">
        <v>1924</v>
      </c>
      <c r="B1023" s="374">
        <v>2</v>
      </c>
      <c r="C1023" s="374" t="s">
        <v>1925</v>
      </c>
      <c r="D1023" s="375" t="str">
        <f t="shared" si="216"/>
        <v>Chelsea Heights2</v>
      </c>
      <c r="E1023" s="375" t="s">
        <v>1929</v>
      </c>
      <c r="F1023" s="375"/>
      <c r="G1023" s="375" t="s">
        <v>576</v>
      </c>
      <c r="H1023" s="375" t="s">
        <v>577</v>
      </c>
      <c r="I1023" s="63" t="s">
        <v>683</v>
      </c>
      <c r="J1023" s="47"/>
      <c r="K1023" s="46" t="s">
        <v>10735</v>
      </c>
      <c r="L1023" s="47"/>
      <c r="M1023" s="47"/>
      <c r="N1023" s="47" t="s">
        <v>1927</v>
      </c>
      <c r="O1023" s="47">
        <f>O$7</f>
        <v>4950</v>
      </c>
      <c r="P1023" s="47"/>
      <c r="Q1023" s="47"/>
      <c r="R1023" s="47"/>
      <c r="S1023" s="47" t="s">
        <v>1928</v>
      </c>
      <c r="T1023" s="47"/>
      <c r="U1023" s="47"/>
      <c r="V1023" s="47"/>
      <c r="W1023" s="47"/>
      <c r="X1023" s="47"/>
      <c r="Y1023" s="47"/>
      <c r="Z1023" s="47">
        <f t="shared" si="219"/>
        <v>4620</v>
      </c>
      <c r="AA1023" s="47"/>
      <c r="AB1023" s="47"/>
      <c r="AC1023" s="47"/>
      <c r="AD1023" s="47"/>
      <c r="AE1023" s="47"/>
      <c r="AF1023" s="47">
        <f>AF$7</f>
        <v>1485</v>
      </c>
      <c r="AG1023" s="47"/>
      <c r="AH1023" s="47">
        <f>IFERROR(_xlfn.XLOOKUP(Table6[[#This Row],[Suburb]],Table5[Travel Surcharge],Table5[$$]),"")</f>
        <v>8000</v>
      </c>
      <c r="AI1023" s="47"/>
      <c r="AJ1023" s="47">
        <f>AJ$7</f>
        <v>4400</v>
      </c>
    </row>
    <row r="1024" spans="1:36">
      <c r="A1024" s="374" t="s">
        <v>1930</v>
      </c>
      <c r="B1024" s="374">
        <v>4</v>
      </c>
      <c r="C1024" s="374" t="s">
        <v>802</v>
      </c>
      <c r="D1024" s="375" t="str">
        <f t="shared" si="216"/>
        <v>Cherrington Estate4</v>
      </c>
      <c r="E1024" s="375" t="s">
        <v>1931</v>
      </c>
      <c r="F1024" s="375" t="s">
        <v>1294</v>
      </c>
      <c r="G1024" s="375" t="s">
        <v>1932</v>
      </c>
      <c r="H1024" s="375" t="s">
        <v>1933</v>
      </c>
      <c r="I1024" s="63" t="s">
        <v>1934</v>
      </c>
      <c r="J1024" s="47">
        <f>J$7</f>
        <v>3740</v>
      </c>
      <c r="K1024" s="46" t="s">
        <v>10735</v>
      </c>
      <c r="L1024" s="47"/>
      <c r="M1024" s="47">
        <f>M$7</f>
        <v>1430.0000000000002</v>
      </c>
      <c r="N1024" s="47"/>
      <c r="O1024" s="47"/>
      <c r="P1024" s="47"/>
      <c r="Q1024" s="47"/>
      <c r="R1024" s="47"/>
      <c r="S1024" s="47"/>
      <c r="T1024" s="47">
        <f>T$2</f>
        <v>780</v>
      </c>
      <c r="U1024" s="47"/>
      <c r="V1024" s="47"/>
      <c r="W1024" s="47"/>
      <c r="X1024" s="47"/>
      <c r="Y1024" s="47"/>
      <c r="Z1024" s="47">
        <f t="shared" si="219"/>
        <v>4620</v>
      </c>
      <c r="AA1024" s="47"/>
      <c r="AB1024" s="47"/>
      <c r="AC1024" s="47"/>
      <c r="AD1024" s="47"/>
      <c r="AE1024" s="47"/>
      <c r="AF1024" s="47"/>
      <c r="AG1024" s="47"/>
      <c r="AH1024" s="47" t="str">
        <f>IFERROR(_xlfn.XLOOKUP(Table6[[#This Row],[Suburb]],Table5[Travel Surcharge],Table5[$$]),"")</f>
        <v/>
      </c>
      <c r="AI1024" s="47"/>
      <c r="AJ1024" s="47"/>
    </row>
    <row r="1025" spans="1:36">
      <c r="A1025" s="374" t="s">
        <v>10698</v>
      </c>
      <c r="B1025" s="374">
        <v>1</v>
      </c>
      <c r="C1025" s="374" t="s">
        <v>292</v>
      </c>
      <c r="D1025" s="375" t="str">
        <f t="shared" si="216"/>
        <v>Cherry Side Estate1</v>
      </c>
      <c r="E1025" s="375" t="s">
        <v>9749</v>
      </c>
      <c r="F1025" s="375" t="s">
        <v>8455</v>
      </c>
      <c r="G1025" s="375"/>
      <c r="H1025" s="375"/>
      <c r="I1025" s="63"/>
      <c r="J1025" s="47"/>
      <c r="K1025" s="46" t="s">
        <v>10735</v>
      </c>
      <c r="L1025" s="47"/>
      <c r="M1025" s="47">
        <f>M$7</f>
        <v>1430.0000000000002</v>
      </c>
      <c r="N1025" s="47"/>
      <c r="O1025" s="47">
        <f>O$7</f>
        <v>4950</v>
      </c>
      <c r="P1025" s="47"/>
      <c r="Q1025" s="47">
        <f>Q$2</f>
        <v>0</v>
      </c>
      <c r="R1025" s="47"/>
      <c r="S1025" s="47"/>
      <c r="T1025" s="47"/>
      <c r="U1025" s="47"/>
      <c r="V1025" s="47"/>
      <c r="W1025" s="47"/>
      <c r="X1025" s="47"/>
      <c r="Y1025" s="47"/>
      <c r="Z1025" s="47">
        <f t="shared" si="219"/>
        <v>4620</v>
      </c>
      <c r="AA1025" s="47">
        <f>AA6</f>
        <v>0</v>
      </c>
      <c r="AB1025" s="47"/>
      <c r="AC1025" s="47"/>
      <c r="AD1025" s="47"/>
      <c r="AE1025" s="47"/>
      <c r="AF1025" s="47">
        <f>AF$7</f>
        <v>1485</v>
      </c>
      <c r="AG1025" s="47"/>
      <c r="AH1025" s="47">
        <f>IFERROR(_xlfn.XLOOKUP(Table6[[#This Row],[Suburb]],Table5[Travel Surcharge],Table5[$$]),"")</f>
        <v>8000</v>
      </c>
      <c r="AI1025" s="47"/>
      <c r="AJ1025" s="47"/>
    </row>
    <row r="1026" spans="1:36">
      <c r="A1026" s="374" t="s">
        <v>1935</v>
      </c>
      <c r="B1026" s="374" t="s">
        <v>1936</v>
      </c>
      <c r="C1026" s="374" t="s">
        <v>287</v>
      </c>
      <c r="D1026" s="375" t="str">
        <f t="shared" si="216"/>
        <v>Chesterfield15A</v>
      </c>
      <c r="E1026" s="375" t="s">
        <v>1937</v>
      </c>
      <c r="F1026" s="375"/>
      <c r="G1026" s="375"/>
      <c r="H1026" s="375"/>
      <c r="I1026" s="63"/>
      <c r="J1026" s="47">
        <f t="shared" ref="J1026:J1037" si="220">J$7</f>
        <v>3740</v>
      </c>
      <c r="K1026" s="46" t="s">
        <v>10735</v>
      </c>
      <c r="L1026" s="47"/>
      <c r="M1026" s="47"/>
      <c r="N1026" s="47" t="s">
        <v>1938</v>
      </c>
      <c r="O1026" s="47"/>
      <c r="P1026" s="47"/>
      <c r="Q1026" s="47"/>
      <c r="R1026" s="47">
        <f>R$2</f>
        <v>540</v>
      </c>
      <c r="S1026" s="47"/>
      <c r="T1026" s="47">
        <f>T$2</f>
        <v>780</v>
      </c>
      <c r="U1026" s="47"/>
      <c r="V1026" s="47"/>
      <c r="W1026" s="47"/>
      <c r="X1026" s="47"/>
      <c r="Y1026" s="47"/>
      <c r="Z1026" s="47">
        <f t="shared" si="219"/>
        <v>4620</v>
      </c>
      <c r="AA1026" s="47"/>
      <c r="AB1026" s="47"/>
      <c r="AC1026" s="47"/>
      <c r="AD1026" s="47"/>
      <c r="AE1026" s="47"/>
      <c r="AF1026" s="47"/>
      <c r="AG1026" s="47"/>
      <c r="AH1026" s="47">
        <f>IFERROR(_xlfn.XLOOKUP(Table6[[#This Row],[Suburb]],Table5[Travel Surcharge],Table5[$$]),"")</f>
        <v>7000</v>
      </c>
      <c r="AI1026" s="47"/>
      <c r="AJ1026" s="47"/>
    </row>
    <row r="1027" spans="1:36">
      <c r="A1027" s="374" t="s">
        <v>9943</v>
      </c>
      <c r="B1027" s="374">
        <v>1</v>
      </c>
      <c r="C1027" s="374" t="s">
        <v>302</v>
      </c>
      <c r="D1027" s="375" t="str">
        <f>CONCATENATE(A1027,B1027)</f>
        <v>Chillingham Rd 1</v>
      </c>
      <c r="E1027" s="375" t="s">
        <v>9566</v>
      </c>
      <c r="F1027" s="375"/>
      <c r="G1027" s="375"/>
      <c r="H1027" s="375"/>
      <c r="I1027" s="63"/>
      <c r="J1027" s="47" t="s">
        <v>9944</v>
      </c>
      <c r="K1027" s="46" t="s">
        <v>10735</v>
      </c>
      <c r="L1027" s="47"/>
      <c r="M1027" s="47"/>
      <c r="N1027" s="47"/>
      <c r="O1027" s="47">
        <v>4950</v>
      </c>
      <c r="P1027" s="47"/>
      <c r="Q1027" s="47">
        <v>0</v>
      </c>
      <c r="R1027" s="47"/>
      <c r="S1027" s="47"/>
      <c r="T1027" s="47"/>
      <c r="U1027" s="47"/>
      <c r="V1027" s="47"/>
      <c r="W1027" s="47"/>
      <c r="X1027" s="47"/>
      <c r="Y1027" s="47"/>
      <c r="Z1027" s="47">
        <f>Z$7</f>
        <v>4620</v>
      </c>
      <c r="AA1027" s="47"/>
      <c r="AB1027" s="47"/>
      <c r="AC1027" s="47"/>
      <c r="AD1027" s="47"/>
      <c r="AE1027" s="47"/>
      <c r="AF1027" s="47"/>
      <c r="AG1027" s="47"/>
      <c r="AH1027" s="47">
        <f>IFERROR(_xlfn.XLOOKUP(Table6[[#This Row],[Suburb]],Table5[Travel Surcharge],Table5[$$]),"")</f>
        <v>7000</v>
      </c>
      <c r="AI1027" s="47"/>
      <c r="AJ1027" s="47"/>
    </row>
    <row r="1028" spans="1:36" ht="15" customHeight="1">
      <c r="A1028" s="374" t="s">
        <v>1939</v>
      </c>
      <c r="B1028" s="374">
        <v>1</v>
      </c>
      <c r="C1028" s="374" t="s">
        <v>722</v>
      </c>
      <c r="D1028" s="375" t="str">
        <f t="shared" si="216"/>
        <v>Chittering Place1</v>
      </c>
      <c r="E1028" s="375" t="s">
        <v>1940</v>
      </c>
      <c r="F1028" s="375"/>
      <c r="G1028" s="375" t="s">
        <v>1941</v>
      </c>
      <c r="H1028" s="375" t="s">
        <v>1942</v>
      </c>
      <c r="I1028" s="63" t="s">
        <v>1943</v>
      </c>
      <c r="J1028" s="47">
        <f t="shared" si="220"/>
        <v>3740</v>
      </c>
      <c r="K1028" s="46" t="s">
        <v>10735</v>
      </c>
      <c r="L1028" s="47"/>
      <c r="M1028" s="47"/>
      <c r="N1028" s="47" t="s">
        <v>1944</v>
      </c>
      <c r="O1028" s="47" t="s">
        <v>1945</v>
      </c>
      <c r="P1028" s="47" t="s">
        <v>1946</v>
      </c>
      <c r="Q1028" s="47">
        <f>Q$2</f>
        <v>0</v>
      </c>
      <c r="R1028" s="47"/>
      <c r="S1028" s="47"/>
      <c r="T1028" s="47"/>
      <c r="U1028" s="47"/>
      <c r="V1028" s="47"/>
      <c r="W1028" s="47"/>
      <c r="X1028" s="47"/>
      <c r="Y1028" s="47"/>
      <c r="Z1028" s="47">
        <f t="shared" si="219"/>
        <v>4620</v>
      </c>
      <c r="AA1028" s="47"/>
      <c r="AB1028" s="47"/>
      <c r="AC1028" s="47"/>
      <c r="AD1028" s="47"/>
      <c r="AE1028" s="47"/>
      <c r="AF1028" s="47"/>
      <c r="AG1028" s="47"/>
      <c r="AH1028" s="47" t="str">
        <f>IFERROR(_xlfn.XLOOKUP(Table6[[#This Row],[Suburb]],Table5[Travel Surcharge],Table5[$$]),"")</f>
        <v/>
      </c>
      <c r="AI1028" s="47"/>
      <c r="AJ1028" s="47"/>
    </row>
    <row r="1029" spans="1:36" ht="15" customHeight="1">
      <c r="A1029" s="374" t="s">
        <v>1947</v>
      </c>
      <c r="B1029" s="374">
        <v>5</v>
      </c>
      <c r="C1029" s="374" t="s">
        <v>1042</v>
      </c>
      <c r="D1029" s="375" t="str">
        <f t="shared" si="216"/>
        <v>Circa 1886 Estate5</v>
      </c>
      <c r="E1029" s="375" t="s">
        <v>1948</v>
      </c>
      <c r="F1029" s="375" t="s">
        <v>1949</v>
      </c>
      <c r="G1029" s="375" t="s">
        <v>1950</v>
      </c>
      <c r="H1029" s="375" t="s">
        <v>1951</v>
      </c>
      <c r="I1029" s="63" t="s">
        <v>1952</v>
      </c>
      <c r="J1029" s="47">
        <f t="shared" si="220"/>
        <v>3740</v>
      </c>
      <c r="K1029" s="46" t="s">
        <v>10735</v>
      </c>
      <c r="L1029" s="47"/>
      <c r="M1029" s="47"/>
      <c r="N1029" s="47"/>
      <c r="O1029" s="47"/>
      <c r="P1029" s="47"/>
      <c r="Q1029" s="47"/>
      <c r="R1029" s="47">
        <f t="shared" ref="R1029:R1035" si="221">R$2</f>
        <v>540</v>
      </c>
      <c r="S1029" s="47" t="s">
        <v>1765</v>
      </c>
      <c r="T1029" s="47" t="s">
        <v>1847</v>
      </c>
      <c r="U1029" s="47"/>
      <c r="V1029" s="47"/>
      <c r="W1029" s="47"/>
      <c r="X1029" s="47"/>
      <c r="Y1029" s="47"/>
      <c r="Z1029" s="47">
        <f t="shared" si="219"/>
        <v>4620</v>
      </c>
      <c r="AA1029" s="47"/>
      <c r="AB1029" s="47"/>
      <c r="AC1029" s="47">
        <v>4400</v>
      </c>
      <c r="AD1029" s="47"/>
      <c r="AE1029" s="47"/>
      <c r="AF1029" s="47">
        <f t="shared" ref="AF1029:AF1039" si="222">AF$7</f>
        <v>1485</v>
      </c>
      <c r="AG1029" s="47"/>
      <c r="AH1029" s="47" t="str">
        <f>IFERROR(_xlfn.XLOOKUP(Table6[[#This Row],[Suburb]],Table5[Travel Surcharge],Table5[$$]),"")</f>
        <v/>
      </c>
      <c r="AI1029" s="47"/>
      <c r="AJ1029" s="47"/>
    </row>
    <row r="1030" spans="1:36">
      <c r="A1030" s="374" t="s">
        <v>1947</v>
      </c>
      <c r="B1030" s="374">
        <v>7</v>
      </c>
      <c r="C1030" s="374" t="s">
        <v>1042</v>
      </c>
      <c r="D1030" s="375" t="str">
        <f t="shared" si="216"/>
        <v>Circa 1886 Estate7</v>
      </c>
      <c r="E1030" s="375" t="s">
        <v>1953</v>
      </c>
      <c r="F1030" s="375" t="s">
        <v>1949</v>
      </c>
      <c r="G1030" s="375" t="s">
        <v>1950</v>
      </c>
      <c r="H1030" s="375" t="s">
        <v>1951</v>
      </c>
      <c r="I1030" s="63" t="s">
        <v>1952</v>
      </c>
      <c r="J1030" s="47">
        <f t="shared" si="220"/>
        <v>3740</v>
      </c>
      <c r="K1030" s="46" t="s">
        <v>10735</v>
      </c>
      <c r="L1030" s="47"/>
      <c r="M1030" s="47"/>
      <c r="N1030" s="47"/>
      <c r="O1030" s="47"/>
      <c r="P1030" s="47"/>
      <c r="Q1030" s="47"/>
      <c r="R1030" s="47">
        <f t="shared" si="221"/>
        <v>540</v>
      </c>
      <c r="S1030" s="47" t="s">
        <v>1765</v>
      </c>
      <c r="T1030" s="47" t="s">
        <v>1847</v>
      </c>
      <c r="U1030" s="47"/>
      <c r="V1030" s="47"/>
      <c r="W1030" s="47"/>
      <c r="X1030" s="47"/>
      <c r="Y1030" s="47"/>
      <c r="Z1030" s="47">
        <f t="shared" si="219"/>
        <v>4620</v>
      </c>
      <c r="AA1030" s="47"/>
      <c r="AB1030" s="47"/>
      <c r="AC1030" s="47">
        <v>4400</v>
      </c>
      <c r="AD1030" s="47"/>
      <c r="AE1030" s="47"/>
      <c r="AF1030" s="47">
        <f t="shared" si="222"/>
        <v>1485</v>
      </c>
      <c r="AG1030" s="47"/>
      <c r="AH1030" s="47" t="str">
        <f>IFERROR(_xlfn.XLOOKUP(Table6[[#This Row],[Suburb]],Table5[Travel Surcharge],Table5[$$]),"")</f>
        <v/>
      </c>
      <c r="AI1030" s="47"/>
      <c r="AJ1030" s="47"/>
    </row>
    <row r="1031" spans="1:36">
      <c r="A1031" s="374" t="s">
        <v>1947</v>
      </c>
      <c r="B1031" s="374">
        <v>8</v>
      </c>
      <c r="C1031" s="374" t="s">
        <v>1042</v>
      </c>
      <c r="D1031" s="375" t="str">
        <f t="shared" si="216"/>
        <v>Circa 1886 Estate8</v>
      </c>
      <c r="E1031" s="375" t="s">
        <v>1954</v>
      </c>
      <c r="F1031" s="375" t="s">
        <v>1949</v>
      </c>
      <c r="G1031" s="375" t="s">
        <v>1950</v>
      </c>
      <c r="H1031" s="375" t="s">
        <v>1951</v>
      </c>
      <c r="I1031" s="63" t="s">
        <v>1952</v>
      </c>
      <c r="J1031" s="47">
        <f t="shared" si="220"/>
        <v>3740</v>
      </c>
      <c r="K1031" s="46" t="s">
        <v>10735</v>
      </c>
      <c r="L1031" s="47"/>
      <c r="M1031" s="47"/>
      <c r="N1031" s="47"/>
      <c r="O1031" s="47"/>
      <c r="P1031" s="47"/>
      <c r="Q1031" s="47"/>
      <c r="R1031" s="47">
        <f t="shared" si="221"/>
        <v>540</v>
      </c>
      <c r="S1031" s="47" t="s">
        <v>1765</v>
      </c>
      <c r="T1031" s="47" t="s">
        <v>1847</v>
      </c>
      <c r="U1031" s="47"/>
      <c r="V1031" s="47"/>
      <c r="W1031" s="47"/>
      <c r="X1031" s="47"/>
      <c r="Y1031" s="47"/>
      <c r="Z1031" s="47">
        <f t="shared" si="219"/>
        <v>4620</v>
      </c>
      <c r="AA1031" s="47"/>
      <c r="AB1031" s="47"/>
      <c r="AC1031" s="47">
        <v>4400</v>
      </c>
      <c r="AD1031" s="47"/>
      <c r="AE1031" s="47"/>
      <c r="AF1031" s="47">
        <f t="shared" si="222"/>
        <v>1485</v>
      </c>
      <c r="AG1031" s="47"/>
      <c r="AH1031" s="47" t="str">
        <f>IFERROR(_xlfn.XLOOKUP(Table6[[#This Row],[Suburb]],Table5[Travel Surcharge],Table5[$$]),"")</f>
        <v/>
      </c>
      <c r="AI1031" s="47"/>
      <c r="AJ1031" s="47"/>
    </row>
    <row r="1032" spans="1:36">
      <c r="A1032" s="374" t="s">
        <v>1947</v>
      </c>
      <c r="B1032" s="374">
        <v>10</v>
      </c>
      <c r="C1032" s="374" t="s">
        <v>1042</v>
      </c>
      <c r="D1032" s="375" t="str">
        <f t="shared" si="216"/>
        <v>Circa 1886 Estate10</v>
      </c>
      <c r="E1032" s="375" t="s">
        <v>1955</v>
      </c>
      <c r="F1032" s="375" t="s">
        <v>1949</v>
      </c>
      <c r="G1032" s="375" t="s">
        <v>1950</v>
      </c>
      <c r="H1032" s="375" t="s">
        <v>1951</v>
      </c>
      <c r="I1032" s="63" t="s">
        <v>1952</v>
      </c>
      <c r="J1032" s="47">
        <f t="shared" si="220"/>
        <v>3740</v>
      </c>
      <c r="K1032" s="46" t="s">
        <v>10735</v>
      </c>
      <c r="L1032" s="47"/>
      <c r="M1032" s="47"/>
      <c r="N1032" s="47"/>
      <c r="O1032" s="47"/>
      <c r="P1032" s="47"/>
      <c r="Q1032" s="47"/>
      <c r="R1032" s="47">
        <f t="shared" si="221"/>
        <v>540</v>
      </c>
      <c r="S1032" s="47" t="s">
        <v>1765</v>
      </c>
      <c r="T1032" s="47" t="s">
        <v>1847</v>
      </c>
      <c r="U1032" s="47"/>
      <c r="V1032" s="47"/>
      <c r="W1032" s="47"/>
      <c r="X1032" s="47"/>
      <c r="Y1032" s="47"/>
      <c r="Z1032" s="47">
        <f t="shared" si="219"/>
        <v>4620</v>
      </c>
      <c r="AA1032" s="47"/>
      <c r="AB1032" s="47"/>
      <c r="AC1032" s="47">
        <v>4400</v>
      </c>
      <c r="AD1032" s="47"/>
      <c r="AE1032" s="47"/>
      <c r="AF1032" s="47">
        <f t="shared" si="222"/>
        <v>1485</v>
      </c>
      <c r="AG1032" s="47"/>
      <c r="AH1032" s="47" t="str">
        <f>IFERROR(_xlfn.XLOOKUP(Table6[[#This Row],[Suburb]],Table5[Travel Surcharge],Table5[$$]),"")</f>
        <v/>
      </c>
      <c r="AI1032" s="47"/>
      <c r="AJ1032" s="47"/>
    </row>
    <row r="1033" spans="1:36">
      <c r="A1033" s="374" t="s">
        <v>1947</v>
      </c>
      <c r="B1033" s="374">
        <v>11</v>
      </c>
      <c r="C1033" s="374" t="s">
        <v>1042</v>
      </c>
      <c r="D1033" s="375" t="str">
        <f t="shared" si="216"/>
        <v>Circa 1886 Estate11</v>
      </c>
      <c r="E1033" s="375" t="s">
        <v>1956</v>
      </c>
      <c r="F1033" s="375" t="s">
        <v>1949</v>
      </c>
      <c r="G1033" s="375" t="s">
        <v>1950</v>
      </c>
      <c r="H1033" s="375" t="s">
        <v>1951</v>
      </c>
      <c r="I1033" s="63" t="s">
        <v>1952</v>
      </c>
      <c r="J1033" s="47">
        <f t="shared" si="220"/>
        <v>3740</v>
      </c>
      <c r="K1033" s="46" t="s">
        <v>10735</v>
      </c>
      <c r="L1033" s="47"/>
      <c r="M1033" s="47"/>
      <c r="N1033" s="47"/>
      <c r="O1033" s="47"/>
      <c r="P1033" s="47"/>
      <c r="Q1033" s="47"/>
      <c r="R1033" s="47">
        <f t="shared" si="221"/>
        <v>540</v>
      </c>
      <c r="S1033" s="47" t="s">
        <v>1765</v>
      </c>
      <c r="T1033" s="47" t="s">
        <v>1847</v>
      </c>
      <c r="U1033" s="47"/>
      <c r="V1033" s="47"/>
      <c r="W1033" s="47"/>
      <c r="X1033" s="47"/>
      <c r="Y1033" s="47"/>
      <c r="Z1033" s="47">
        <f t="shared" si="219"/>
        <v>4620</v>
      </c>
      <c r="AA1033" s="47"/>
      <c r="AB1033" s="47"/>
      <c r="AC1033" s="47">
        <v>4400</v>
      </c>
      <c r="AD1033" s="47"/>
      <c r="AE1033" s="47"/>
      <c r="AF1033" s="47">
        <f t="shared" si="222"/>
        <v>1485</v>
      </c>
      <c r="AG1033" s="47"/>
      <c r="AH1033" s="47" t="str">
        <f>IFERROR(_xlfn.XLOOKUP(Table6[[#This Row],[Suburb]],Table5[Travel Surcharge],Table5[$$]),"")</f>
        <v/>
      </c>
      <c r="AI1033" s="47"/>
      <c r="AJ1033" s="47"/>
    </row>
    <row r="1034" spans="1:36">
      <c r="A1034" s="374" t="s">
        <v>1947</v>
      </c>
      <c r="B1034" s="374">
        <v>12</v>
      </c>
      <c r="C1034" s="374" t="s">
        <v>1042</v>
      </c>
      <c r="D1034" s="375" t="str">
        <f t="shared" si="216"/>
        <v>Circa 1886 Estate12</v>
      </c>
      <c r="E1034" s="375" t="s">
        <v>1957</v>
      </c>
      <c r="F1034" s="375" t="s">
        <v>1949</v>
      </c>
      <c r="G1034" s="375" t="s">
        <v>1950</v>
      </c>
      <c r="H1034" s="375" t="s">
        <v>1951</v>
      </c>
      <c r="I1034" s="63" t="s">
        <v>1952</v>
      </c>
      <c r="J1034" s="47">
        <f t="shared" si="220"/>
        <v>3740</v>
      </c>
      <c r="K1034" s="46" t="s">
        <v>10735</v>
      </c>
      <c r="L1034" s="47"/>
      <c r="M1034" s="47"/>
      <c r="N1034" s="47"/>
      <c r="O1034" s="47"/>
      <c r="P1034" s="47"/>
      <c r="Q1034" s="47"/>
      <c r="R1034" s="47">
        <f t="shared" si="221"/>
        <v>540</v>
      </c>
      <c r="S1034" s="47" t="s">
        <v>1765</v>
      </c>
      <c r="T1034" s="47" t="s">
        <v>1847</v>
      </c>
      <c r="U1034" s="47"/>
      <c r="V1034" s="47"/>
      <c r="W1034" s="47"/>
      <c r="X1034" s="47"/>
      <c r="Y1034" s="47"/>
      <c r="Z1034" s="47">
        <f t="shared" si="219"/>
        <v>4620</v>
      </c>
      <c r="AA1034" s="47"/>
      <c r="AB1034" s="47"/>
      <c r="AC1034" s="47">
        <v>4400</v>
      </c>
      <c r="AD1034" s="47"/>
      <c r="AE1034" s="47"/>
      <c r="AF1034" s="47">
        <f t="shared" si="222"/>
        <v>1485</v>
      </c>
      <c r="AG1034" s="47"/>
      <c r="AH1034" s="47" t="str">
        <f>IFERROR(_xlfn.XLOOKUP(Table6[[#This Row],[Suburb]],Table5[Travel Surcharge],Table5[$$]),"")</f>
        <v/>
      </c>
      <c r="AI1034" s="47"/>
      <c r="AJ1034" s="47"/>
    </row>
    <row r="1035" spans="1:36">
      <c r="A1035" s="374" t="s">
        <v>1947</v>
      </c>
      <c r="B1035" s="374" t="s">
        <v>617</v>
      </c>
      <c r="C1035" s="374" t="s">
        <v>1042</v>
      </c>
      <c r="D1035" s="375" t="str">
        <f t="shared" si="216"/>
        <v>Circa 1886 Estate5A</v>
      </c>
      <c r="E1035" s="375" t="s">
        <v>1958</v>
      </c>
      <c r="F1035" s="375" t="s">
        <v>1949</v>
      </c>
      <c r="G1035" s="375" t="s">
        <v>1950</v>
      </c>
      <c r="H1035" s="375" t="s">
        <v>1951</v>
      </c>
      <c r="I1035" s="63" t="s">
        <v>1952</v>
      </c>
      <c r="J1035" s="47">
        <f t="shared" si="220"/>
        <v>3740</v>
      </c>
      <c r="K1035" s="46" t="s">
        <v>10735</v>
      </c>
      <c r="L1035" s="47"/>
      <c r="M1035" s="47"/>
      <c r="N1035" s="47"/>
      <c r="O1035" s="47"/>
      <c r="P1035" s="47"/>
      <c r="Q1035" s="47"/>
      <c r="R1035" s="47">
        <f t="shared" si="221"/>
        <v>540</v>
      </c>
      <c r="S1035" s="47" t="s">
        <v>1765</v>
      </c>
      <c r="T1035" s="47" t="s">
        <v>1847</v>
      </c>
      <c r="U1035" s="47"/>
      <c r="V1035" s="47"/>
      <c r="W1035" s="47"/>
      <c r="X1035" s="47"/>
      <c r="Y1035" s="47"/>
      <c r="Z1035" s="47">
        <f t="shared" si="219"/>
        <v>4620</v>
      </c>
      <c r="AA1035" s="47"/>
      <c r="AB1035" s="47"/>
      <c r="AC1035" s="47">
        <v>4400</v>
      </c>
      <c r="AD1035" s="47"/>
      <c r="AE1035" s="47"/>
      <c r="AF1035" s="47">
        <f t="shared" si="222"/>
        <v>1485</v>
      </c>
      <c r="AG1035" s="47"/>
      <c r="AH1035" s="47" t="str">
        <f>IFERROR(_xlfn.XLOOKUP(Table6[[#This Row],[Suburb]],Table5[Travel Surcharge],Table5[$$]),"")</f>
        <v/>
      </c>
      <c r="AI1035" s="47"/>
      <c r="AJ1035" s="47"/>
    </row>
    <row r="1036" spans="1:36">
      <c r="A1036" s="374" t="s">
        <v>9682</v>
      </c>
      <c r="B1036" s="374">
        <v>1</v>
      </c>
      <c r="C1036" s="374" t="s">
        <v>455</v>
      </c>
      <c r="D1036" s="375" t="str">
        <f t="shared" si="216"/>
        <v>City Views Estate1</v>
      </c>
      <c r="E1036" s="375" t="s">
        <v>9683</v>
      </c>
      <c r="F1036" s="375" t="s">
        <v>2393</v>
      </c>
      <c r="G1036" s="375" t="s">
        <v>9685</v>
      </c>
      <c r="H1036" s="375"/>
      <c r="I1036" s="63" t="s">
        <v>9684</v>
      </c>
      <c r="J1036" s="47">
        <f t="shared" si="220"/>
        <v>3740</v>
      </c>
      <c r="K1036" s="46" t="s">
        <v>7938</v>
      </c>
      <c r="L1036" s="47"/>
      <c r="M1036" s="47"/>
      <c r="N1036" s="47"/>
      <c r="O1036" s="47"/>
      <c r="P1036" s="47" t="s">
        <v>9686</v>
      </c>
      <c r="Q1036" s="47"/>
      <c r="R1036" s="47"/>
      <c r="S1036" s="47" t="s">
        <v>9687</v>
      </c>
      <c r="T1036" s="47" t="s">
        <v>9688</v>
      </c>
      <c r="U1036" s="47"/>
      <c r="V1036" s="47" t="s">
        <v>9689</v>
      </c>
      <c r="W1036" s="47"/>
      <c r="X1036" s="47"/>
      <c r="Y1036" s="47"/>
      <c r="Z1036" s="47">
        <f t="shared" si="219"/>
        <v>4620</v>
      </c>
      <c r="AA1036" s="47"/>
      <c r="AB1036" s="47"/>
      <c r="AC1036" s="47"/>
      <c r="AD1036" s="47"/>
      <c r="AE1036" s="47"/>
      <c r="AF1036" s="47">
        <f t="shared" si="222"/>
        <v>1485</v>
      </c>
      <c r="AG1036" s="47"/>
      <c r="AH1036" s="47" t="str">
        <f>IFERROR(_xlfn.XLOOKUP(Table6[[#This Row],[Suburb]],Table5[Travel Surcharge],Table5[$$]),"")</f>
        <v/>
      </c>
      <c r="AI1036" s="47"/>
      <c r="AJ1036" s="47"/>
    </row>
    <row r="1037" spans="1:36">
      <c r="A1037" s="374" t="s">
        <v>9682</v>
      </c>
      <c r="B1037" s="374">
        <v>2</v>
      </c>
      <c r="C1037" s="374" t="s">
        <v>455</v>
      </c>
      <c r="D1037" s="375" t="str">
        <f t="shared" ref="D1037" si="223">CONCATENATE(A1037,B1037)</f>
        <v>City Views Estate2</v>
      </c>
      <c r="E1037" s="375" t="s">
        <v>9863</v>
      </c>
      <c r="F1037" s="375" t="s">
        <v>2393</v>
      </c>
      <c r="G1037" s="375" t="s">
        <v>9685</v>
      </c>
      <c r="H1037" s="375"/>
      <c r="I1037" s="63" t="s">
        <v>9684</v>
      </c>
      <c r="J1037" s="47">
        <f t="shared" si="220"/>
        <v>3740</v>
      </c>
      <c r="K1037" s="46" t="s">
        <v>7938</v>
      </c>
      <c r="L1037" s="47"/>
      <c r="M1037" s="47"/>
      <c r="N1037" s="47"/>
      <c r="O1037" s="47"/>
      <c r="P1037" s="47" t="s">
        <v>9686</v>
      </c>
      <c r="Q1037" s="47"/>
      <c r="R1037" s="47"/>
      <c r="S1037" s="47" t="s">
        <v>9687</v>
      </c>
      <c r="T1037" s="47" t="s">
        <v>9688</v>
      </c>
      <c r="U1037" s="47"/>
      <c r="V1037" s="47" t="s">
        <v>9689</v>
      </c>
      <c r="W1037" s="47"/>
      <c r="X1037" s="47"/>
      <c r="Y1037" s="47"/>
      <c r="Z1037" s="47">
        <f t="shared" si="219"/>
        <v>4620</v>
      </c>
      <c r="AA1037" s="47"/>
      <c r="AB1037" s="47"/>
      <c r="AC1037" s="47"/>
      <c r="AD1037" s="47"/>
      <c r="AE1037" s="47"/>
      <c r="AF1037" s="47">
        <f t="shared" si="222"/>
        <v>1485</v>
      </c>
      <c r="AG1037" s="47"/>
      <c r="AH1037" s="47" t="str">
        <f>IFERROR(_xlfn.XLOOKUP(Table6[[#This Row],[Suburb]],Table5[Travel Surcharge],Table5[$$]),"")</f>
        <v/>
      </c>
      <c r="AI1037" s="47"/>
      <c r="AJ1037" s="47"/>
    </row>
    <row r="1038" spans="1:36">
      <c r="A1038" s="157" t="s">
        <v>8098</v>
      </c>
      <c r="B1038" s="157">
        <v>1</v>
      </c>
      <c r="C1038" s="157" t="s">
        <v>550</v>
      </c>
      <c r="D1038" s="157" t="str">
        <f t="shared" si="216"/>
        <v>Clara Place1</v>
      </c>
      <c r="E1038" s="157" t="s">
        <v>8099</v>
      </c>
      <c r="F1038" s="157" t="s">
        <v>6813</v>
      </c>
      <c r="G1038" s="157" t="s">
        <v>3608</v>
      </c>
      <c r="H1038" s="157" t="s">
        <v>8100</v>
      </c>
      <c r="I1038" s="158" t="s">
        <v>8101</v>
      </c>
      <c r="J1038" s="47"/>
      <c r="K1038" s="46" t="s">
        <v>7938</v>
      </c>
      <c r="L1038" s="47"/>
      <c r="M1038" s="47">
        <f>$M$7</f>
        <v>1430.0000000000002</v>
      </c>
      <c r="N1038" s="47" t="s">
        <v>8102</v>
      </c>
      <c r="O1038" s="47" t="s">
        <v>8106</v>
      </c>
      <c r="P1038" s="47" t="s">
        <v>8103</v>
      </c>
      <c r="Q1038" s="47" t="s">
        <v>8104</v>
      </c>
      <c r="R1038" s="47" t="s">
        <v>8105</v>
      </c>
      <c r="S1038" s="47"/>
      <c r="T1038" s="47"/>
      <c r="U1038" s="47">
        <f>$U$2</f>
        <v>430</v>
      </c>
      <c r="V1038" s="47"/>
      <c r="W1038" s="47"/>
      <c r="X1038" s="47"/>
      <c r="Y1038" s="47"/>
      <c r="Z1038" s="47">
        <f t="shared" si="219"/>
        <v>4620</v>
      </c>
      <c r="AA1038" s="47">
        <f>$AA$7</f>
        <v>1400</v>
      </c>
      <c r="AB1038" s="47"/>
      <c r="AC1038" s="47"/>
      <c r="AD1038" s="47"/>
      <c r="AE1038" s="47"/>
      <c r="AF1038" s="47">
        <f t="shared" si="222"/>
        <v>1485</v>
      </c>
      <c r="AG1038" s="47"/>
      <c r="AH1038" s="47" t="str">
        <f>IFERROR(_xlfn.XLOOKUP(Table6[[#This Row],[Suburb]],Table5[Travel Surcharge],Table5[$$]),"")</f>
        <v/>
      </c>
      <c r="AI1038" s="47"/>
      <c r="AJ1038" s="47"/>
    </row>
    <row r="1039" spans="1:36">
      <c r="A1039" s="157" t="s">
        <v>8098</v>
      </c>
      <c r="B1039" s="157">
        <v>2</v>
      </c>
      <c r="C1039" s="157" t="s">
        <v>550</v>
      </c>
      <c r="D1039" s="157" t="str">
        <f t="shared" si="216"/>
        <v>Clara Place2</v>
      </c>
      <c r="E1039" s="157" t="s">
        <v>8107</v>
      </c>
      <c r="F1039" s="157" t="s">
        <v>6813</v>
      </c>
      <c r="G1039" s="157" t="s">
        <v>3608</v>
      </c>
      <c r="H1039" s="157" t="s">
        <v>8100</v>
      </c>
      <c r="I1039" s="158" t="s">
        <v>8101</v>
      </c>
      <c r="J1039" s="47"/>
      <c r="K1039" s="46" t="s">
        <v>7938</v>
      </c>
      <c r="L1039" s="47"/>
      <c r="M1039" s="47">
        <f>$M$7</f>
        <v>1430.0000000000002</v>
      </c>
      <c r="N1039" s="47" t="s">
        <v>8102</v>
      </c>
      <c r="O1039" s="47" t="s">
        <v>8106</v>
      </c>
      <c r="P1039" s="47" t="s">
        <v>8103</v>
      </c>
      <c r="Q1039" s="47" t="s">
        <v>8104</v>
      </c>
      <c r="R1039" s="47" t="s">
        <v>8105</v>
      </c>
      <c r="S1039" s="47"/>
      <c r="T1039" s="47"/>
      <c r="U1039" s="47">
        <f>$U$2</f>
        <v>430</v>
      </c>
      <c r="V1039" s="47"/>
      <c r="W1039" s="47"/>
      <c r="X1039" s="47"/>
      <c r="Y1039" s="47"/>
      <c r="Z1039" s="47">
        <f t="shared" si="219"/>
        <v>4620</v>
      </c>
      <c r="AA1039" s="47">
        <f>$AA$7</f>
        <v>1400</v>
      </c>
      <c r="AB1039" s="47"/>
      <c r="AC1039" s="47"/>
      <c r="AD1039" s="47"/>
      <c r="AE1039" s="47"/>
      <c r="AF1039" s="47">
        <f t="shared" si="222"/>
        <v>1485</v>
      </c>
      <c r="AG1039" s="47"/>
      <c r="AH1039" s="47" t="str">
        <f>IFERROR(_xlfn.XLOOKUP(Table6[[#This Row],[Suburb]],Table5[Travel Surcharge],Table5[$$]),"")</f>
        <v/>
      </c>
      <c r="AI1039" s="47"/>
      <c r="AJ1039" s="47"/>
    </row>
    <row r="1040" spans="1:36">
      <c r="A1040" s="374" t="s">
        <v>8098</v>
      </c>
      <c r="B1040" s="374" t="s">
        <v>606</v>
      </c>
      <c r="C1040" s="374" t="s">
        <v>550</v>
      </c>
      <c r="D1040" s="375" t="str">
        <f t="shared" si="216"/>
        <v>Clara Place3A</v>
      </c>
      <c r="E1040" s="375" t="s">
        <v>10885</v>
      </c>
      <c r="F1040" s="375" t="s">
        <v>6813</v>
      </c>
      <c r="G1040" s="375" t="s">
        <v>3608</v>
      </c>
      <c r="H1040" s="375" t="s">
        <v>8100</v>
      </c>
      <c r="I1040" s="63" t="s">
        <v>8101</v>
      </c>
      <c r="J1040" s="47"/>
      <c r="K1040" s="46" t="s">
        <v>7938</v>
      </c>
      <c r="L1040" s="47"/>
      <c r="M1040" s="47">
        <v>1430.0000000000002</v>
      </c>
      <c r="N1040" s="47" t="s">
        <v>8102</v>
      </c>
      <c r="O1040" s="47" t="s">
        <v>8106</v>
      </c>
      <c r="P1040" s="47" t="s">
        <v>8103</v>
      </c>
      <c r="Q1040" s="47" t="s">
        <v>8104</v>
      </c>
      <c r="R1040" s="47" t="s">
        <v>8105</v>
      </c>
      <c r="S1040" s="47"/>
      <c r="T1040" s="47"/>
      <c r="U1040" s="47">
        <v>430</v>
      </c>
      <c r="V1040" s="47"/>
      <c r="W1040" s="47"/>
      <c r="X1040" s="47"/>
      <c r="Y1040" s="47"/>
      <c r="Z1040" s="47">
        <v>4620</v>
      </c>
      <c r="AA1040" s="47">
        <v>1400</v>
      </c>
      <c r="AB1040" s="47"/>
      <c r="AC1040" s="47"/>
      <c r="AD1040" s="47"/>
      <c r="AE1040" s="47"/>
      <c r="AF1040" s="47">
        <v>1485</v>
      </c>
      <c r="AG1040" s="47"/>
      <c r="AH1040" s="47" t="s">
        <v>9976</v>
      </c>
      <c r="AI1040" s="47"/>
      <c r="AJ1040" s="47"/>
    </row>
    <row r="1041" spans="1:36">
      <c r="A1041" s="374" t="s">
        <v>1966</v>
      </c>
      <c r="B1041" s="374">
        <v>1</v>
      </c>
      <c r="C1041" s="374" t="s">
        <v>1886</v>
      </c>
      <c r="D1041" s="375" t="str">
        <f t="shared" si="216"/>
        <v>Clarendon Park1</v>
      </c>
      <c r="E1041" s="375" t="s">
        <v>1967</v>
      </c>
      <c r="F1041" s="375" t="s">
        <v>1968</v>
      </c>
      <c r="G1041" s="375"/>
      <c r="H1041" s="375"/>
      <c r="I1041" s="63" t="s">
        <v>1368</v>
      </c>
      <c r="J1041" s="47"/>
      <c r="K1041" s="46" t="s">
        <v>10735</v>
      </c>
      <c r="L1041" s="47"/>
      <c r="M1041" s="47"/>
      <c r="N1041" s="47"/>
      <c r="O1041" s="47"/>
      <c r="P1041" s="47"/>
      <c r="Q1041" s="47"/>
      <c r="R1041" s="47"/>
      <c r="S1041" s="47"/>
      <c r="T1041" s="47" t="s">
        <v>1969</v>
      </c>
      <c r="U1041" s="47"/>
      <c r="V1041" s="47"/>
      <c r="W1041" s="47"/>
      <c r="X1041" s="47"/>
      <c r="Y1041" s="47"/>
      <c r="Z1041" s="47">
        <f t="shared" si="219"/>
        <v>4620</v>
      </c>
      <c r="AA1041" s="47"/>
      <c r="AB1041" s="47"/>
      <c r="AC1041" s="47"/>
      <c r="AD1041" s="47"/>
      <c r="AE1041" s="47"/>
      <c r="AF1041" s="47"/>
      <c r="AG1041" s="47"/>
      <c r="AH1041" s="47" t="str">
        <f>IFERROR(_xlfn.XLOOKUP(Table6[[#This Row],[Suburb]],Table5[Travel Surcharge],Table5[$$]),"")</f>
        <v/>
      </c>
      <c r="AI1041" s="47"/>
      <c r="AJ1041" s="47"/>
    </row>
    <row r="1042" spans="1:36">
      <c r="A1042" s="374" t="s">
        <v>1966</v>
      </c>
      <c r="B1042" s="374">
        <v>3</v>
      </c>
      <c r="C1042" s="374" t="s">
        <v>1886</v>
      </c>
      <c r="D1042" s="375" t="str">
        <f t="shared" si="216"/>
        <v>Clarendon Park3</v>
      </c>
      <c r="E1042" s="375" t="s">
        <v>1970</v>
      </c>
      <c r="F1042" s="375" t="s">
        <v>1968</v>
      </c>
      <c r="G1042" s="375"/>
      <c r="H1042" s="375"/>
      <c r="I1042" s="63" t="s">
        <v>1368</v>
      </c>
      <c r="J1042" s="47"/>
      <c r="K1042" s="46" t="s">
        <v>10735</v>
      </c>
      <c r="L1042" s="47"/>
      <c r="M1042" s="47"/>
      <c r="N1042" s="47"/>
      <c r="O1042" s="47"/>
      <c r="P1042" s="47"/>
      <c r="Q1042" s="47"/>
      <c r="R1042" s="47"/>
      <c r="S1042" s="47"/>
      <c r="T1042" s="47" t="s">
        <v>1969</v>
      </c>
      <c r="U1042" s="47"/>
      <c r="V1042" s="47"/>
      <c r="W1042" s="47"/>
      <c r="X1042" s="47"/>
      <c r="Y1042" s="47"/>
      <c r="Z1042" s="47">
        <f t="shared" si="219"/>
        <v>4620</v>
      </c>
      <c r="AA1042" s="47"/>
      <c r="AB1042" s="47"/>
      <c r="AC1042" s="47"/>
      <c r="AD1042" s="47"/>
      <c r="AE1042" s="47"/>
      <c r="AF1042" s="47"/>
      <c r="AG1042" s="47"/>
      <c r="AH1042" s="47" t="str">
        <f>IFERROR(_xlfn.XLOOKUP(Table6[[#This Row],[Suburb]],Table5[Travel Surcharge],Table5[$$]),"")</f>
        <v/>
      </c>
      <c r="AI1042" s="47"/>
      <c r="AJ1042" s="47"/>
    </row>
    <row r="1043" spans="1:36">
      <c r="A1043" s="374" t="s">
        <v>1959</v>
      </c>
      <c r="B1043" s="374">
        <v>6</v>
      </c>
      <c r="C1043" s="374" t="s">
        <v>388</v>
      </c>
      <c r="D1043" s="375" t="str">
        <f t="shared" si="216"/>
        <v>Clarinda Park Estate6</v>
      </c>
      <c r="E1043" s="375" t="s">
        <v>1960</v>
      </c>
      <c r="F1043" s="375" t="s">
        <v>1961</v>
      </c>
      <c r="G1043" s="375" t="s">
        <v>1962</v>
      </c>
      <c r="H1043" s="375" t="s">
        <v>1963</v>
      </c>
      <c r="I1043" s="63" t="s">
        <v>1964</v>
      </c>
      <c r="J1043" s="47">
        <f>J$7</f>
        <v>3740</v>
      </c>
      <c r="K1043" s="46" t="s">
        <v>10735</v>
      </c>
      <c r="L1043" s="47">
        <f>L$7</f>
        <v>1210</v>
      </c>
      <c r="M1043" s="47"/>
      <c r="N1043" s="47"/>
      <c r="O1043" s="47"/>
      <c r="P1043" s="47"/>
      <c r="Q1043" s="47"/>
      <c r="R1043" s="47"/>
      <c r="S1043" s="47"/>
      <c r="T1043" s="47">
        <f>T$2</f>
        <v>780</v>
      </c>
      <c r="U1043" s="47"/>
      <c r="V1043" s="47"/>
      <c r="W1043" s="47"/>
      <c r="X1043" s="47"/>
      <c r="Y1043" s="47"/>
      <c r="Z1043" s="47">
        <f t="shared" si="219"/>
        <v>4620</v>
      </c>
      <c r="AA1043" s="47"/>
      <c r="AB1043" s="47"/>
      <c r="AC1043" s="47"/>
      <c r="AD1043" s="47"/>
      <c r="AE1043" s="47"/>
      <c r="AF1043" s="47"/>
      <c r="AG1043" s="47"/>
      <c r="AH1043" s="47" t="str">
        <f>IFERROR(_xlfn.XLOOKUP(Table6[[#This Row],[Suburb]],Table5[Travel Surcharge],Table5[$$]),"")</f>
        <v/>
      </c>
      <c r="AI1043" s="47"/>
      <c r="AJ1043" s="47"/>
    </row>
    <row r="1044" spans="1:36">
      <c r="A1044" s="374" t="s">
        <v>1959</v>
      </c>
      <c r="B1044" s="374" t="s">
        <v>781</v>
      </c>
      <c r="C1044" s="374" t="s">
        <v>388</v>
      </c>
      <c r="D1044" s="375" t="str">
        <f t="shared" si="216"/>
        <v>Clarinda Park Estate12B</v>
      </c>
      <c r="E1044" s="375" t="s">
        <v>1965</v>
      </c>
      <c r="F1044" s="375" t="s">
        <v>1961</v>
      </c>
      <c r="G1044" s="375" t="s">
        <v>1962</v>
      </c>
      <c r="H1044" s="375" t="s">
        <v>1963</v>
      </c>
      <c r="I1044" s="63" t="s">
        <v>1964</v>
      </c>
      <c r="J1044" s="47">
        <f>J$7</f>
        <v>3740</v>
      </c>
      <c r="K1044" s="46" t="s">
        <v>10735</v>
      </c>
      <c r="L1044" s="47">
        <f>L$7</f>
        <v>1210</v>
      </c>
      <c r="M1044" s="47"/>
      <c r="N1044" s="47"/>
      <c r="O1044" s="47"/>
      <c r="P1044" s="47"/>
      <c r="Q1044" s="47"/>
      <c r="R1044" s="47"/>
      <c r="S1044" s="47"/>
      <c r="T1044" s="47">
        <f>T$2</f>
        <v>780</v>
      </c>
      <c r="U1044" s="47"/>
      <c r="V1044" s="47"/>
      <c r="W1044" s="47"/>
      <c r="X1044" s="47"/>
      <c r="Y1044" s="47"/>
      <c r="Z1044" s="47">
        <f t="shared" si="219"/>
        <v>4620</v>
      </c>
      <c r="AA1044" s="47"/>
      <c r="AB1044" s="47"/>
      <c r="AC1044" s="47"/>
      <c r="AD1044" s="47"/>
      <c r="AE1044" s="47"/>
      <c r="AF1044" s="47"/>
      <c r="AG1044" s="47"/>
      <c r="AH1044" s="47" t="str">
        <f>IFERROR(_xlfn.XLOOKUP(Table6[[#This Row],[Suburb]],Table5[Travel Surcharge],Table5[$$]),"")</f>
        <v/>
      </c>
      <c r="AI1044" s="47"/>
      <c r="AJ1044" s="47"/>
    </row>
    <row r="1045" spans="1:36">
      <c r="A1045" s="374" t="s">
        <v>9637</v>
      </c>
      <c r="B1045" s="374">
        <v>1</v>
      </c>
      <c r="C1045" s="374" t="s">
        <v>7568</v>
      </c>
      <c r="D1045" s="375" t="str">
        <f t="shared" si="216"/>
        <v>Clayton Rise1</v>
      </c>
      <c r="E1045" s="375" t="s">
        <v>9638</v>
      </c>
      <c r="F1045" s="375"/>
      <c r="G1045" s="375"/>
      <c r="H1045" s="63"/>
      <c r="I1045" s="63"/>
      <c r="J1045" s="47"/>
      <c r="K1045" s="46" t="s">
        <v>10735</v>
      </c>
      <c r="L1045" s="47"/>
      <c r="M1045" s="47"/>
      <c r="N1045" s="47"/>
      <c r="O1045" s="47" t="s">
        <v>9639</v>
      </c>
      <c r="P1045" s="47"/>
      <c r="Q1045" s="47"/>
      <c r="R1045" s="47"/>
      <c r="S1045" s="47" t="s">
        <v>9640</v>
      </c>
      <c r="T1045" s="47"/>
      <c r="U1045" s="47"/>
      <c r="V1045" s="47"/>
      <c r="W1045" s="47"/>
      <c r="X1045" s="47"/>
      <c r="Y1045" s="47"/>
      <c r="Z1045" s="47">
        <f t="shared" si="219"/>
        <v>4620</v>
      </c>
      <c r="AA1045" s="47"/>
      <c r="AB1045" s="47"/>
      <c r="AC1045" s="47"/>
      <c r="AD1045" s="47"/>
      <c r="AE1045" s="47"/>
      <c r="AF1045" s="47"/>
      <c r="AG1045" s="47"/>
      <c r="AH1045" s="47">
        <v>18000</v>
      </c>
      <c r="AI1045" s="47"/>
      <c r="AJ1045" s="47"/>
    </row>
    <row r="1046" spans="1:36">
      <c r="A1046" s="374" t="s">
        <v>9071</v>
      </c>
      <c r="B1046" s="374">
        <v>1</v>
      </c>
      <c r="C1046" s="374" t="s">
        <v>9072</v>
      </c>
      <c r="D1046" s="375" t="str">
        <f t="shared" si="216"/>
        <v>Clearwater1</v>
      </c>
      <c r="E1046" s="375" t="s">
        <v>9073</v>
      </c>
      <c r="F1046" s="375"/>
      <c r="G1046" s="375" t="s">
        <v>9074</v>
      </c>
      <c r="H1046" s="375" t="s">
        <v>9075</v>
      </c>
      <c r="I1046" s="217" t="s">
        <v>9076</v>
      </c>
      <c r="J1046" s="47"/>
      <c r="K1046" s="46" t="s">
        <v>10735</v>
      </c>
      <c r="L1046" s="47"/>
      <c r="M1046" s="47"/>
      <c r="N1046" s="47"/>
      <c r="O1046" s="47">
        <f>O$7</f>
        <v>4950</v>
      </c>
      <c r="P1046" s="47"/>
      <c r="Q1046" s="47"/>
      <c r="R1046" s="47"/>
      <c r="S1046" s="47">
        <f>S$2</f>
        <v>590</v>
      </c>
      <c r="T1046" s="47"/>
      <c r="U1046" s="47"/>
      <c r="V1046" s="47"/>
      <c r="W1046" s="47"/>
      <c r="X1046" s="47"/>
      <c r="Y1046" s="47"/>
      <c r="Z1046" s="47">
        <f t="shared" si="219"/>
        <v>4620</v>
      </c>
      <c r="AA1046" s="47"/>
      <c r="AB1046" s="47"/>
      <c r="AC1046" s="47"/>
      <c r="AD1046" s="47"/>
      <c r="AE1046" s="47"/>
      <c r="AF1046" s="47"/>
      <c r="AG1046" s="47"/>
      <c r="AH1046" s="47">
        <v>18000</v>
      </c>
      <c r="AI1046" s="47"/>
      <c r="AJ1046" s="47"/>
    </row>
    <row r="1047" spans="1:36">
      <c r="A1047" s="374" t="s">
        <v>9071</v>
      </c>
      <c r="B1047" s="374">
        <v>2</v>
      </c>
      <c r="C1047" s="374" t="s">
        <v>9072</v>
      </c>
      <c r="D1047" s="375" t="str">
        <f t="shared" si="216"/>
        <v>Clearwater2</v>
      </c>
      <c r="E1047" s="375" t="s">
        <v>9785</v>
      </c>
      <c r="F1047" s="375"/>
      <c r="G1047" s="375" t="s">
        <v>9074</v>
      </c>
      <c r="H1047" s="375" t="s">
        <v>9075</v>
      </c>
      <c r="I1047" s="217" t="s">
        <v>9076</v>
      </c>
      <c r="J1047" s="47"/>
      <c r="K1047" s="46" t="s">
        <v>10735</v>
      </c>
      <c r="L1047" s="47"/>
      <c r="M1047" s="47"/>
      <c r="N1047" s="47"/>
      <c r="O1047" s="47">
        <f>O$7</f>
        <v>4950</v>
      </c>
      <c r="P1047" s="47"/>
      <c r="Q1047" s="47"/>
      <c r="R1047" s="47"/>
      <c r="S1047" s="47">
        <f>S$2</f>
        <v>590</v>
      </c>
      <c r="T1047" s="47"/>
      <c r="U1047" s="47"/>
      <c r="V1047" s="47"/>
      <c r="W1047" s="47"/>
      <c r="X1047" s="47"/>
      <c r="Y1047" s="47"/>
      <c r="Z1047" s="47">
        <f t="shared" si="219"/>
        <v>4620</v>
      </c>
      <c r="AA1047" s="47"/>
      <c r="AB1047" s="47"/>
      <c r="AC1047" s="47"/>
      <c r="AD1047" s="47"/>
      <c r="AE1047" s="47"/>
      <c r="AF1047" s="47"/>
      <c r="AG1047" s="47"/>
      <c r="AH1047" s="47">
        <v>18000</v>
      </c>
      <c r="AI1047" s="47"/>
      <c r="AJ1047" s="47"/>
    </row>
    <row r="1048" spans="1:36">
      <c r="A1048" s="374" t="s">
        <v>9071</v>
      </c>
      <c r="B1048" s="374">
        <v>3</v>
      </c>
      <c r="C1048" s="374" t="s">
        <v>9072</v>
      </c>
      <c r="D1048" s="375" t="str">
        <f t="shared" si="216"/>
        <v>Clearwater3</v>
      </c>
      <c r="E1048" s="375" t="s">
        <v>9786</v>
      </c>
      <c r="F1048" s="375"/>
      <c r="G1048" s="375" t="s">
        <v>9074</v>
      </c>
      <c r="H1048" s="375" t="s">
        <v>9075</v>
      </c>
      <c r="I1048" s="217" t="s">
        <v>9076</v>
      </c>
      <c r="J1048" s="47"/>
      <c r="K1048" s="46" t="s">
        <v>10735</v>
      </c>
      <c r="L1048" s="47"/>
      <c r="M1048" s="47"/>
      <c r="N1048" s="47"/>
      <c r="O1048" s="47">
        <f>O$7</f>
        <v>4950</v>
      </c>
      <c r="P1048" s="47"/>
      <c r="Q1048" s="47"/>
      <c r="R1048" s="47"/>
      <c r="S1048" s="47">
        <f>S$2</f>
        <v>590</v>
      </c>
      <c r="T1048" s="47"/>
      <c r="U1048" s="47"/>
      <c r="V1048" s="47"/>
      <c r="W1048" s="47"/>
      <c r="X1048" s="47"/>
      <c r="Y1048" s="47"/>
      <c r="Z1048" s="47">
        <f t="shared" si="219"/>
        <v>4620</v>
      </c>
      <c r="AA1048" s="47"/>
      <c r="AB1048" s="47"/>
      <c r="AC1048" s="47"/>
      <c r="AD1048" s="47"/>
      <c r="AE1048" s="47"/>
      <c r="AF1048" s="47"/>
      <c r="AG1048" s="47"/>
      <c r="AH1048" s="47">
        <v>18000</v>
      </c>
      <c r="AI1048" s="47"/>
      <c r="AJ1048" s="47"/>
    </row>
    <row r="1049" spans="1:36">
      <c r="A1049" s="374" t="s">
        <v>9071</v>
      </c>
      <c r="B1049" s="374">
        <v>4</v>
      </c>
      <c r="C1049" s="374" t="s">
        <v>9072</v>
      </c>
      <c r="D1049" s="375" t="str">
        <f t="shared" si="216"/>
        <v>Clearwater4</v>
      </c>
      <c r="E1049" s="375" t="s">
        <v>10857</v>
      </c>
      <c r="F1049" s="375"/>
      <c r="G1049" s="375" t="s">
        <v>9074</v>
      </c>
      <c r="H1049" s="375" t="s">
        <v>9075</v>
      </c>
      <c r="I1049" s="63" t="s">
        <v>9076</v>
      </c>
      <c r="J1049" s="47"/>
      <c r="K1049" s="46" t="s">
        <v>10735</v>
      </c>
      <c r="L1049" s="47"/>
      <c r="M1049" s="47"/>
      <c r="N1049" s="47"/>
      <c r="O1049" s="47">
        <v>4950</v>
      </c>
      <c r="P1049" s="47"/>
      <c r="Q1049" s="47"/>
      <c r="R1049" s="47"/>
      <c r="S1049" s="47">
        <v>590</v>
      </c>
      <c r="T1049" s="47"/>
      <c r="U1049" s="47"/>
      <c r="V1049" s="47"/>
      <c r="W1049" s="47"/>
      <c r="X1049" s="47"/>
      <c r="Y1049" s="47"/>
      <c r="Z1049" s="47">
        <v>4620</v>
      </c>
      <c r="AA1049" s="47"/>
      <c r="AB1049" s="47"/>
      <c r="AC1049" s="47"/>
      <c r="AD1049" s="47"/>
      <c r="AE1049" s="47"/>
      <c r="AF1049" s="47"/>
      <c r="AG1049" s="47"/>
      <c r="AH1049" s="47">
        <v>18000</v>
      </c>
      <c r="AI1049" s="47"/>
      <c r="AJ1049" s="47"/>
    </row>
    <row r="1050" spans="1:36">
      <c r="A1050" s="374" t="s">
        <v>9071</v>
      </c>
      <c r="B1050" s="374">
        <v>5</v>
      </c>
      <c r="C1050" s="374" t="s">
        <v>9072</v>
      </c>
      <c r="D1050" s="375" t="str">
        <f t="shared" ref="D1050" si="224">CONCATENATE(A1050,B1050)</f>
        <v>Clearwater5</v>
      </c>
      <c r="E1050" s="375" t="s">
        <v>10901</v>
      </c>
      <c r="F1050" s="375"/>
      <c r="G1050" s="375" t="s">
        <v>9074</v>
      </c>
      <c r="H1050" s="375" t="s">
        <v>9075</v>
      </c>
      <c r="I1050" s="63" t="s">
        <v>9076</v>
      </c>
      <c r="J1050" s="47"/>
      <c r="K1050" s="46" t="s">
        <v>10735</v>
      </c>
      <c r="L1050" s="47"/>
      <c r="M1050" s="47"/>
      <c r="N1050" s="47"/>
      <c r="O1050" s="47">
        <v>4950</v>
      </c>
      <c r="P1050" s="47"/>
      <c r="Q1050" s="47"/>
      <c r="R1050" s="47"/>
      <c r="S1050" s="47">
        <v>590</v>
      </c>
      <c r="T1050" s="47"/>
      <c r="U1050" s="47"/>
      <c r="V1050" s="47"/>
      <c r="W1050" s="47"/>
      <c r="X1050" s="47"/>
      <c r="Y1050" s="47"/>
      <c r="Z1050" s="47">
        <v>4620</v>
      </c>
      <c r="AA1050" s="47"/>
      <c r="AB1050" s="47"/>
      <c r="AC1050" s="47"/>
      <c r="AD1050" s="47"/>
      <c r="AE1050" s="47"/>
      <c r="AF1050" s="47"/>
      <c r="AG1050" s="47"/>
      <c r="AH1050" s="47">
        <v>18000</v>
      </c>
      <c r="AI1050" s="47"/>
      <c r="AJ1050" s="47"/>
    </row>
    <row r="1051" spans="1:36">
      <c r="A1051" s="374" t="s">
        <v>1971</v>
      </c>
      <c r="B1051" s="374">
        <v>100</v>
      </c>
      <c r="C1051" s="374" t="s">
        <v>1972</v>
      </c>
      <c r="D1051" s="375" t="str">
        <f t="shared" si="216"/>
        <v>Cloverton Estate100</v>
      </c>
      <c r="E1051" s="375" t="s">
        <v>9025</v>
      </c>
      <c r="F1051" s="375" t="s">
        <v>650</v>
      </c>
      <c r="G1051" s="375" t="s">
        <v>1974</v>
      </c>
      <c r="H1051" s="375" t="s">
        <v>1975</v>
      </c>
      <c r="I1051" s="63" t="s">
        <v>1976</v>
      </c>
      <c r="J1051" s="47">
        <f>J$7</f>
        <v>3740</v>
      </c>
      <c r="K1051" s="46" t="s">
        <v>10735</v>
      </c>
      <c r="L1051" s="47"/>
      <c r="M1051" s="47" t="s">
        <v>10026</v>
      </c>
      <c r="N1051" s="47"/>
      <c r="O1051" s="47"/>
      <c r="P1051" s="47"/>
      <c r="Q1051" s="47"/>
      <c r="R1051" s="47"/>
      <c r="S1051" s="47" t="s">
        <v>463</v>
      </c>
      <c r="T1051" s="47"/>
      <c r="U1051" s="47"/>
      <c r="V1051" s="47"/>
      <c r="W1051" s="47"/>
      <c r="X1051" s="47"/>
      <c r="Y1051" s="47"/>
      <c r="Z1051" s="47">
        <f t="shared" si="219"/>
        <v>4620</v>
      </c>
      <c r="AA1051" s="47"/>
      <c r="AB1051" s="47"/>
      <c r="AC1051" s="47"/>
      <c r="AD1051" s="47"/>
      <c r="AE1051" s="47" t="s">
        <v>1977</v>
      </c>
      <c r="AF1051" s="47"/>
      <c r="AG1051" s="47"/>
      <c r="AH1051" s="47" t="str">
        <f>IFERROR(_xlfn.XLOOKUP(Table6[[#This Row],[Suburb]],Table5[Travel Surcharge],Table5[$$]),"")</f>
        <v/>
      </c>
      <c r="AI1051" s="47"/>
      <c r="AJ1051" s="47"/>
    </row>
    <row r="1052" spans="1:36">
      <c r="A1052" s="374" t="s">
        <v>1971</v>
      </c>
      <c r="B1052" s="374">
        <v>377</v>
      </c>
      <c r="C1052" s="374" t="s">
        <v>1972</v>
      </c>
      <c r="D1052" s="375" t="str">
        <f t="shared" si="216"/>
        <v>Cloverton Estate377</v>
      </c>
      <c r="E1052" s="375" t="s">
        <v>9275</v>
      </c>
      <c r="F1052" s="375" t="s">
        <v>650</v>
      </c>
      <c r="G1052" s="375" t="s">
        <v>1974</v>
      </c>
      <c r="H1052" s="375" t="s">
        <v>1975</v>
      </c>
      <c r="I1052" s="63" t="s">
        <v>1976</v>
      </c>
      <c r="J1052" s="47">
        <v>3740</v>
      </c>
      <c r="K1052" s="46" t="s">
        <v>10735</v>
      </c>
      <c r="L1052" s="47"/>
      <c r="M1052" s="47" t="s">
        <v>10027</v>
      </c>
      <c r="N1052" s="47"/>
      <c r="O1052" s="47"/>
      <c r="P1052" s="47"/>
      <c r="Q1052" s="47"/>
      <c r="R1052" s="47"/>
      <c r="S1052" s="47" t="s">
        <v>463</v>
      </c>
      <c r="T1052" s="47"/>
      <c r="U1052" s="47"/>
      <c r="V1052" s="47"/>
      <c r="W1052" s="47"/>
      <c r="X1052" s="47"/>
      <c r="Y1052" s="47"/>
      <c r="Z1052" s="47">
        <v>4620</v>
      </c>
      <c r="AA1052" s="47"/>
      <c r="AB1052" s="47"/>
      <c r="AC1052" s="47"/>
      <c r="AD1052" s="47"/>
      <c r="AE1052" s="47" t="s">
        <v>1977</v>
      </c>
      <c r="AF1052" s="47"/>
      <c r="AG1052" s="47"/>
      <c r="AH1052" s="47" t="str">
        <f>IFERROR(_xlfn.XLOOKUP(Table6[[#This Row],[Suburb]],Table5[Travel Surcharge],Table5[$$]),"")</f>
        <v/>
      </c>
      <c r="AI1052" s="47"/>
      <c r="AJ1052" s="47"/>
    </row>
    <row r="1053" spans="1:36">
      <c r="A1053" s="374" t="s">
        <v>1971</v>
      </c>
      <c r="B1053" s="374">
        <v>378</v>
      </c>
      <c r="C1053" s="374" t="s">
        <v>1972</v>
      </c>
      <c r="D1053" s="375" t="str">
        <f t="shared" si="216"/>
        <v>Cloverton Estate378</v>
      </c>
      <c r="E1053" s="375" t="s">
        <v>9276</v>
      </c>
      <c r="F1053" s="375" t="s">
        <v>650</v>
      </c>
      <c r="G1053" s="375" t="s">
        <v>1974</v>
      </c>
      <c r="H1053" s="375" t="s">
        <v>1975</v>
      </c>
      <c r="I1053" s="63" t="s">
        <v>1976</v>
      </c>
      <c r="J1053" s="47">
        <v>3740</v>
      </c>
      <c r="K1053" s="46" t="s">
        <v>10735</v>
      </c>
      <c r="L1053" s="47"/>
      <c r="M1053" s="47" t="s">
        <v>10028</v>
      </c>
      <c r="N1053" s="47"/>
      <c r="O1053" s="47"/>
      <c r="P1053" s="47"/>
      <c r="Q1053" s="47"/>
      <c r="R1053" s="47"/>
      <c r="S1053" s="47" t="s">
        <v>463</v>
      </c>
      <c r="T1053" s="47"/>
      <c r="U1053" s="47"/>
      <c r="V1053" s="47"/>
      <c r="W1053" s="47"/>
      <c r="X1053" s="47"/>
      <c r="Y1053" s="47"/>
      <c r="Z1053" s="47">
        <v>4620</v>
      </c>
      <c r="AA1053" s="47"/>
      <c r="AB1053" s="47"/>
      <c r="AC1053" s="47"/>
      <c r="AD1053" s="47"/>
      <c r="AE1053" s="47" t="s">
        <v>1977</v>
      </c>
      <c r="AF1053" s="47"/>
      <c r="AG1053" s="47"/>
      <c r="AH1053" s="47" t="str">
        <f>IFERROR(_xlfn.XLOOKUP(Table6[[#This Row],[Suburb]],Table5[Travel Surcharge],Table5[$$]),"")</f>
        <v/>
      </c>
      <c r="AI1053" s="47"/>
      <c r="AJ1053" s="47"/>
    </row>
    <row r="1054" spans="1:36">
      <c r="A1054" s="374" t="s">
        <v>1971</v>
      </c>
      <c r="B1054" s="374">
        <v>201</v>
      </c>
      <c r="C1054" s="374" t="s">
        <v>1972</v>
      </c>
      <c r="D1054" s="375" t="str">
        <f t="shared" si="216"/>
        <v>Cloverton Estate201</v>
      </c>
      <c r="E1054" s="375" t="s">
        <v>1973</v>
      </c>
      <c r="F1054" s="375" t="s">
        <v>650</v>
      </c>
      <c r="G1054" s="375" t="s">
        <v>1974</v>
      </c>
      <c r="H1054" s="375" t="s">
        <v>1975</v>
      </c>
      <c r="I1054" s="63" t="s">
        <v>1976</v>
      </c>
      <c r="J1054" s="47">
        <f t="shared" ref="J1054:J1085" si="225">J$7</f>
        <v>3740</v>
      </c>
      <c r="K1054" s="46" t="s">
        <v>10735</v>
      </c>
      <c r="L1054" s="47"/>
      <c r="M1054" s="47" t="s">
        <v>10029</v>
      </c>
      <c r="N1054" s="47"/>
      <c r="O1054" s="47"/>
      <c r="P1054" s="47"/>
      <c r="Q1054" s="47"/>
      <c r="R1054" s="47"/>
      <c r="S1054" s="47" t="s">
        <v>463</v>
      </c>
      <c r="T1054" s="47"/>
      <c r="U1054" s="47"/>
      <c r="V1054" s="47"/>
      <c r="W1054" s="47"/>
      <c r="X1054" s="47"/>
      <c r="Y1054" s="47"/>
      <c r="Z1054" s="47">
        <f t="shared" ref="Z1054:Z1085" si="226">Z$7</f>
        <v>4620</v>
      </c>
      <c r="AA1054" s="47"/>
      <c r="AB1054" s="47"/>
      <c r="AC1054" s="47"/>
      <c r="AD1054" s="47"/>
      <c r="AE1054" s="47" t="s">
        <v>1977</v>
      </c>
      <c r="AF1054" s="47"/>
      <c r="AG1054" s="47"/>
      <c r="AH1054" s="47" t="str">
        <f>IFERROR(_xlfn.XLOOKUP(Table6[[#This Row],[Suburb]],Table5[Travel Surcharge],Table5[$$]),"")</f>
        <v/>
      </c>
      <c r="AI1054" s="47"/>
      <c r="AJ1054" s="47"/>
    </row>
    <row r="1055" spans="1:36">
      <c r="A1055" s="374" t="s">
        <v>1971</v>
      </c>
      <c r="B1055" s="374">
        <v>203</v>
      </c>
      <c r="C1055" s="374" t="s">
        <v>1972</v>
      </c>
      <c r="D1055" s="375" t="str">
        <f t="shared" si="216"/>
        <v>Cloverton Estate203</v>
      </c>
      <c r="E1055" s="375" t="s">
        <v>1978</v>
      </c>
      <c r="F1055" s="375" t="s">
        <v>650</v>
      </c>
      <c r="G1055" s="375" t="s">
        <v>1974</v>
      </c>
      <c r="H1055" s="375" t="s">
        <v>1975</v>
      </c>
      <c r="I1055" s="63" t="s">
        <v>1976</v>
      </c>
      <c r="J1055" s="47">
        <f t="shared" si="225"/>
        <v>3740</v>
      </c>
      <c r="K1055" s="46" t="s">
        <v>10735</v>
      </c>
      <c r="L1055" s="47"/>
      <c r="M1055" s="47" t="s">
        <v>10030</v>
      </c>
      <c r="N1055" s="47"/>
      <c r="O1055" s="47"/>
      <c r="P1055" s="47"/>
      <c r="Q1055" s="47"/>
      <c r="R1055" s="47"/>
      <c r="S1055" s="47" t="s">
        <v>463</v>
      </c>
      <c r="T1055" s="47"/>
      <c r="U1055" s="47"/>
      <c r="V1055" s="47"/>
      <c r="W1055" s="47"/>
      <c r="X1055" s="47"/>
      <c r="Y1055" s="47"/>
      <c r="Z1055" s="47">
        <f t="shared" si="226"/>
        <v>4620</v>
      </c>
      <c r="AA1055" s="47"/>
      <c r="AB1055" s="47"/>
      <c r="AC1055" s="47"/>
      <c r="AD1055" s="47"/>
      <c r="AE1055" s="47" t="s">
        <v>1977</v>
      </c>
      <c r="AF1055" s="47"/>
      <c r="AG1055" s="47"/>
      <c r="AH1055" s="47" t="str">
        <f>IFERROR(_xlfn.XLOOKUP(Table6[[#This Row],[Suburb]],Table5[Travel Surcharge],Table5[$$]),"")</f>
        <v/>
      </c>
      <c r="AI1055" s="47"/>
      <c r="AJ1055" s="47"/>
    </row>
    <row r="1056" spans="1:36">
      <c r="A1056" s="374" t="s">
        <v>1971</v>
      </c>
      <c r="B1056" s="374">
        <v>209</v>
      </c>
      <c r="C1056" s="374" t="s">
        <v>1972</v>
      </c>
      <c r="D1056" s="375" t="str">
        <f t="shared" si="216"/>
        <v>Cloverton Estate209</v>
      </c>
      <c r="E1056" s="375" t="s">
        <v>1979</v>
      </c>
      <c r="F1056" s="375" t="s">
        <v>650</v>
      </c>
      <c r="G1056" s="375" t="s">
        <v>1974</v>
      </c>
      <c r="H1056" s="375" t="s">
        <v>1975</v>
      </c>
      <c r="I1056" s="63" t="s">
        <v>1976</v>
      </c>
      <c r="J1056" s="47">
        <f t="shared" si="225"/>
        <v>3740</v>
      </c>
      <c r="K1056" s="46" t="s">
        <v>10735</v>
      </c>
      <c r="L1056" s="47"/>
      <c r="M1056" s="47" t="s">
        <v>10031</v>
      </c>
      <c r="N1056" s="47"/>
      <c r="O1056" s="47"/>
      <c r="P1056" s="47"/>
      <c r="Q1056" s="47"/>
      <c r="R1056" s="47"/>
      <c r="S1056" s="47" t="s">
        <v>463</v>
      </c>
      <c r="T1056" s="47"/>
      <c r="U1056" s="47"/>
      <c r="V1056" s="47"/>
      <c r="W1056" s="47"/>
      <c r="X1056" s="47"/>
      <c r="Y1056" s="47"/>
      <c r="Z1056" s="47">
        <f t="shared" si="226"/>
        <v>4620</v>
      </c>
      <c r="AA1056" s="47"/>
      <c r="AB1056" s="47"/>
      <c r="AC1056" s="47"/>
      <c r="AD1056" s="47"/>
      <c r="AE1056" s="47" t="s">
        <v>1977</v>
      </c>
      <c r="AF1056" s="47"/>
      <c r="AG1056" s="47"/>
      <c r="AH1056" s="47" t="str">
        <f>IFERROR(_xlfn.XLOOKUP(Table6[[#This Row],[Suburb]],Table5[Travel Surcharge],Table5[$$]),"")</f>
        <v/>
      </c>
      <c r="AI1056" s="47"/>
      <c r="AJ1056" s="47"/>
    </row>
    <row r="1057" spans="1:36">
      <c r="A1057" s="374" t="s">
        <v>1971</v>
      </c>
      <c r="B1057" s="374">
        <v>302</v>
      </c>
      <c r="C1057" s="374" t="s">
        <v>1972</v>
      </c>
      <c r="D1057" s="375" t="str">
        <f t="shared" si="216"/>
        <v>Cloverton Estate302</v>
      </c>
      <c r="E1057" s="375" t="s">
        <v>1980</v>
      </c>
      <c r="F1057" s="375" t="s">
        <v>650</v>
      </c>
      <c r="G1057" s="375" t="s">
        <v>1974</v>
      </c>
      <c r="H1057" s="375" t="s">
        <v>1975</v>
      </c>
      <c r="I1057" s="63" t="s">
        <v>1976</v>
      </c>
      <c r="J1057" s="47">
        <f t="shared" si="225"/>
        <v>3740</v>
      </c>
      <c r="K1057" s="46" t="s">
        <v>10735</v>
      </c>
      <c r="L1057" s="47"/>
      <c r="M1057" s="47" t="s">
        <v>10032</v>
      </c>
      <c r="N1057" s="47"/>
      <c r="O1057" s="47"/>
      <c r="P1057" s="47"/>
      <c r="Q1057" s="47"/>
      <c r="R1057" s="47"/>
      <c r="S1057" s="47" t="s">
        <v>463</v>
      </c>
      <c r="T1057" s="47"/>
      <c r="U1057" s="47"/>
      <c r="V1057" s="47"/>
      <c r="W1057" s="47"/>
      <c r="X1057" s="47"/>
      <c r="Y1057" s="47"/>
      <c r="Z1057" s="47">
        <f t="shared" si="226"/>
        <v>4620</v>
      </c>
      <c r="AA1057" s="47"/>
      <c r="AB1057" s="47"/>
      <c r="AC1057" s="47"/>
      <c r="AD1057" s="47"/>
      <c r="AE1057" s="47" t="s">
        <v>1977</v>
      </c>
      <c r="AF1057" s="47"/>
      <c r="AG1057" s="47"/>
      <c r="AH1057" s="47" t="str">
        <f>IFERROR(_xlfn.XLOOKUP(Table6[[#This Row],[Suburb]],Table5[Travel Surcharge],Table5[$$]),"")</f>
        <v/>
      </c>
      <c r="AI1057" s="47"/>
      <c r="AJ1057" s="47"/>
    </row>
    <row r="1058" spans="1:36">
      <c r="A1058" s="374" t="s">
        <v>1971</v>
      </c>
      <c r="B1058" s="374">
        <v>303</v>
      </c>
      <c r="C1058" s="374" t="s">
        <v>1972</v>
      </c>
      <c r="D1058" s="375" t="str">
        <f t="shared" si="216"/>
        <v>Cloverton Estate303</v>
      </c>
      <c r="E1058" s="375" t="s">
        <v>1981</v>
      </c>
      <c r="F1058" s="375" t="s">
        <v>650</v>
      </c>
      <c r="G1058" s="375" t="s">
        <v>1974</v>
      </c>
      <c r="H1058" s="375" t="s">
        <v>1975</v>
      </c>
      <c r="I1058" s="63" t="s">
        <v>1976</v>
      </c>
      <c r="J1058" s="47">
        <f t="shared" si="225"/>
        <v>3740</v>
      </c>
      <c r="K1058" s="46" t="s">
        <v>10735</v>
      </c>
      <c r="L1058" s="47"/>
      <c r="M1058" s="47" t="s">
        <v>10033</v>
      </c>
      <c r="N1058" s="47"/>
      <c r="O1058" s="47"/>
      <c r="P1058" s="47"/>
      <c r="Q1058" s="47"/>
      <c r="R1058" s="47"/>
      <c r="S1058" s="47" t="s">
        <v>463</v>
      </c>
      <c r="T1058" s="47"/>
      <c r="U1058" s="47"/>
      <c r="V1058" s="47"/>
      <c r="W1058" s="47"/>
      <c r="X1058" s="47"/>
      <c r="Y1058" s="47"/>
      <c r="Z1058" s="47">
        <f t="shared" si="226"/>
        <v>4620</v>
      </c>
      <c r="AA1058" s="47"/>
      <c r="AB1058" s="47"/>
      <c r="AC1058" s="47"/>
      <c r="AD1058" s="47"/>
      <c r="AE1058" s="47" t="s">
        <v>1977</v>
      </c>
      <c r="AF1058" s="47"/>
      <c r="AG1058" s="47"/>
      <c r="AH1058" s="47" t="str">
        <f>IFERROR(_xlfn.XLOOKUP(Table6[[#This Row],[Suburb]],Table5[Travel Surcharge],Table5[$$]),"")</f>
        <v/>
      </c>
      <c r="AI1058" s="47"/>
      <c r="AJ1058" s="47"/>
    </row>
    <row r="1059" spans="1:36">
      <c r="A1059" s="374" t="s">
        <v>1971</v>
      </c>
      <c r="B1059" s="374">
        <v>304</v>
      </c>
      <c r="C1059" s="374" t="s">
        <v>1972</v>
      </c>
      <c r="D1059" s="375" t="str">
        <f t="shared" si="216"/>
        <v>Cloverton Estate304</v>
      </c>
      <c r="E1059" s="375" t="s">
        <v>1982</v>
      </c>
      <c r="F1059" s="375" t="s">
        <v>650</v>
      </c>
      <c r="G1059" s="375" t="s">
        <v>1974</v>
      </c>
      <c r="H1059" s="375" t="s">
        <v>1975</v>
      </c>
      <c r="I1059" s="63" t="s">
        <v>1976</v>
      </c>
      <c r="J1059" s="47">
        <f t="shared" si="225"/>
        <v>3740</v>
      </c>
      <c r="K1059" s="46" t="s">
        <v>10735</v>
      </c>
      <c r="L1059" s="47"/>
      <c r="M1059" s="47" t="s">
        <v>10034</v>
      </c>
      <c r="N1059" s="47"/>
      <c r="O1059" s="47"/>
      <c r="P1059" s="47"/>
      <c r="Q1059" s="47"/>
      <c r="R1059" s="47"/>
      <c r="S1059" s="47" t="s">
        <v>463</v>
      </c>
      <c r="T1059" s="47"/>
      <c r="U1059" s="47"/>
      <c r="V1059" s="47"/>
      <c r="W1059" s="47"/>
      <c r="X1059" s="47"/>
      <c r="Y1059" s="47"/>
      <c r="Z1059" s="47">
        <f t="shared" si="226"/>
        <v>4620</v>
      </c>
      <c r="AA1059" s="47"/>
      <c r="AB1059" s="47"/>
      <c r="AC1059" s="47"/>
      <c r="AD1059" s="47"/>
      <c r="AE1059" s="47" t="s">
        <v>1977</v>
      </c>
      <c r="AF1059" s="47"/>
      <c r="AG1059" s="47"/>
      <c r="AH1059" s="47" t="str">
        <f>IFERROR(_xlfn.XLOOKUP(Table6[[#This Row],[Suburb]],Table5[Travel Surcharge],Table5[$$]),"")</f>
        <v/>
      </c>
      <c r="AI1059" s="47"/>
      <c r="AJ1059" s="47"/>
    </row>
    <row r="1060" spans="1:36">
      <c r="A1060" s="374" t="s">
        <v>1971</v>
      </c>
      <c r="B1060" s="374">
        <v>305</v>
      </c>
      <c r="C1060" s="374" t="s">
        <v>1972</v>
      </c>
      <c r="D1060" s="375" t="str">
        <f t="shared" si="216"/>
        <v>Cloverton Estate305</v>
      </c>
      <c r="E1060" s="375" t="s">
        <v>1983</v>
      </c>
      <c r="F1060" s="375" t="s">
        <v>650</v>
      </c>
      <c r="G1060" s="375" t="s">
        <v>1974</v>
      </c>
      <c r="H1060" s="375" t="s">
        <v>1975</v>
      </c>
      <c r="I1060" s="63" t="s">
        <v>1976</v>
      </c>
      <c r="J1060" s="47">
        <f t="shared" si="225"/>
        <v>3740</v>
      </c>
      <c r="K1060" s="46" t="s">
        <v>10735</v>
      </c>
      <c r="L1060" s="47"/>
      <c r="M1060" s="47" t="s">
        <v>10035</v>
      </c>
      <c r="N1060" s="47"/>
      <c r="O1060" s="47"/>
      <c r="P1060" s="47"/>
      <c r="Q1060" s="47"/>
      <c r="R1060" s="47"/>
      <c r="S1060" s="47" t="s">
        <v>463</v>
      </c>
      <c r="T1060" s="47"/>
      <c r="U1060" s="47"/>
      <c r="V1060" s="47"/>
      <c r="W1060" s="47"/>
      <c r="X1060" s="47"/>
      <c r="Y1060" s="47"/>
      <c r="Z1060" s="47">
        <f t="shared" si="226"/>
        <v>4620</v>
      </c>
      <c r="AA1060" s="47"/>
      <c r="AB1060" s="47"/>
      <c r="AC1060" s="47"/>
      <c r="AD1060" s="47"/>
      <c r="AE1060" s="47" t="s">
        <v>1977</v>
      </c>
      <c r="AF1060" s="47"/>
      <c r="AG1060" s="47"/>
      <c r="AH1060" s="47" t="str">
        <f>IFERROR(_xlfn.XLOOKUP(Table6[[#This Row],[Suburb]],Table5[Travel Surcharge],Table5[$$]),"")</f>
        <v/>
      </c>
      <c r="AI1060" s="47"/>
      <c r="AJ1060" s="47"/>
    </row>
    <row r="1061" spans="1:36">
      <c r="A1061" s="374" t="s">
        <v>1971</v>
      </c>
      <c r="B1061" s="374">
        <v>306</v>
      </c>
      <c r="C1061" s="374" t="s">
        <v>1972</v>
      </c>
      <c r="D1061" s="375" t="str">
        <f t="shared" si="216"/>
        <v>Cloverton Estate306</v>
      </c>
      <c r="E1061" s="375" t="s">
        <v>1984</v>
      </c>
      <c r="F1061" s="375" t="s">
        <v>650</v>
      </c>
      <c r="G1061" s="375" t="s">
        <v>1974</v>
      </c>
      <c r="H1061" s="375" t="s">
        <v>1975</v>
      </c>
      <c r="I1061" s="63" t="s">
        <v>1976</v>
      </c>
      <c r="J1061" s="47">
        <f t="shared" si="225"/>
        <v>3740</v>
      </c>
      <c r="K1061" s="46" t="s">
        <v>10735</v>
      </c>
      <c r="L1061" s="47"/>
      <c r="M1061" s="47" t="s">
        <v>10036</v>
      </c>
      <c r="N1061" s="47"/>
      <c r="O1061" s="47"/>
      <c r="P1061" s="47"/>
      <c r="Q1061" s="47"/>
      <c r="R1061" s="47"/>
      <c r="S1061" s="47" t="s">
        <v>463</v>
      </c>
      <c r="T1061" s="47"/>
      <c r="U1061" s="47"/>
      <c r="V1061" s="47"/>
      <c r="W1061" s="47"/>
      <c r="X1061" s="47"/>
      <c r="Y1061" s="47"/>
      <c r="Z1061" s="47">
        <f t="shared" si="226"/>
        <v>4620</v>
      </c>
      <c r="AA1061" s="47"/>
      <c r="AB1061" s="47"/>
      <c r="AC1061" s="47"/>
      <c r="AD1061" s="47"/>
      <c r="AE1061" s="47" t="s">
        <v>1977</v>
      </c>
      <c r="AF1061" s="47"/>
      <c r="AG1061" s="47"/>
      <c r="AH1061" s="47" t="str">
        <f>IFERROR(_xlfn.XLOOKUP(Table6[[#This Row],[Suburb]],Table5[Travel Surcharge],Table5[$$]),"")</f>
        <v/>
      </c>
      <c r="AI1061" s="47"/>
      <c r="AJ1061" s="47"/>
    </row>
    <row r="1062" spans="1:36">
      <c r="A1062" s="374" t="s">
        <v>1971</v>
      </c>
      <c r="B1062" s="374">
        <v>307</v>
      </c>
      <c r="C1062" s="374" t="s">
        <v>1972</v>
      </c>
      <c r="D1062" s="375" t="str">
        <f t="shared" si="216"/>
        <v>Cloverton Estate307</v>
      </c>
      <c r="E1062" s="375" t="s">
        <v>1985</v>
      </c>
      <c r="F1062" s="375" t="s">
        <v>650</v>
      </c>
      <c r="G1062" s="375" t="s">
        <v>1974</v>
      </c>
      <c r="H1062" s="375" t="s">
        <v>1975</v>
      </c>
      <c r="I1062" s="63" t="s">
        <v>1976</v>
      </c>
      <c r="J1062" s="47">
        <f t="shared" si="225"/>
        <v>3740</v>
      </c>
      <c r="K1062" s="46" t="s">
        <v>10735</v>
      </c>
      <c r="L1062" s="47"/>
      <c r="M1062" s="47" t="s">
        <v>10037</v>
      </c>
      <c r="N1062" s="47"/>
      <c r="O1062" s="47"/>
      <c r="P1062" s="47"/>
      <c r="Q1062" s="47"/>
      <c r="R1062" s="47"/>
      <c r="S1062" s="47" t="s">
        <v>463</v>
      </c>
      <c r="T1062" s="47"/>
      <c r="U1062" s="47"/>
      <c r="V1062" s="47"/>
      <c r="W1062" s="47"/>
      <c r="X1062" s="47"/>
      <c r="Y1062" s="47"/>
      <c r="Z1062" s="47">
        <f t="shared" si="226"/>
        <v>4620</v>
      </c>
      <c r="AA1062" s="47"/>
      <c r="AB1062" s="47"/>
      <c r="AC1062" s="47"/>
      <c r="AD1062" s="47"/>
      <c r="AE1062" s="47" t="s">
        <v>1977</v>
      </c>
      <c r="AF1062" s="47"/>
      <c r="AG1062" s="47"/>
      <c r="AH1062" s="47" t="str">
        <f>IFERROR(_xlfn.XLOOKUP(Table6[[#This Row],[Suburb]],Table5[Travel Surcharge],Table5[$$]),"")</f>
        <v/>
      </c>
      <c r="AI1062" s="47"/>
      <c r="AJ1062" s="47"/>
    </row>
    <row r="1063" spans="1:36">
      <c r="A1063" s="374" t="s">
        <v>1971</v>
      </c>
      <c r="B1063" s="374">
        <v>308</v>
      </c>
      <c r="C1063" s="374" t="s">
        <v>1972</v>
      </c>
      <c r="D1063" s="375" t="str">
        <f t="shared" si="216"/>
        <v>Cloverton Estate308</v>
      </c>
      <c r="E1063" s="375" t="s">
        <v>1986</v>
      </c>
      <c r="F1063" s="375" t="s">
        <v>650</v>
      </c>
      <c r="G1063" s="375" t="s">
        <v>1974</v>
      </c>
      <c r="H1063" s="375" t="s">
        <v>1975</v>
      </c>
      <c r="I1063" s="63" t="s">
        <v>1976</v>
      </c>
      <c r="J1063" s="47">
        <f t="shared" si="225"/>
        <v>3740</v>
      </c>
      <c r="K1063" s="46" t="s">
        <v>10735</v>
      </c>
      <c r="L1063" s="47"/>
      <c r="M1063" s="47" t="s">
        <v>10038</v>
      </c>
      <c r="N1063" s="47"/>
      <c r="O1063" s="47"/>
      <c r="P1063" s="47"/>
      <c r="Q1063" s="47"/>
      <c r="R1063" s="47"/>
      <c r="S1063" s="47" t="s">
        <v>463</v>
      </c>
      <c r="T1063" s="47"/>
      <c r="U1063" s="47"/>
      <c r="V1063" s="47"/>
      <c r="W1063" s="47"/>
      <c r="X1063" s="47"/>
      <c r="Y1063" s="47"/>
      <c r="Z1063" s="47">
        <f t="shared" si="226"/>
        <v>4620</v>
      </c>
      <c r="AA1063" s="47"/>
      <c r="AB1063" s="47"/>
      <c r="AC1063" s="47"/>
      <c r="AD1063" s="47"/>
      <c r="AE1063" s="47" t="s">
        <v>1977</v>
      </c>
      <c r="AF1063" s="47"/>
      <c r="AG1063" s="47"/>
      <c r="AH1063" s="47" t="str">
        <f>IFERROR(_xlfn.XLOOKUP(Table6[[#This Row],[Suburb]],Table5[Travel Surcharge],Table5[$$]),"")</f>
        <v/>
      </c>
      <c r="AI1063" s="47"/>
      <c r="AJ1063" s="47"/>
    </row>
    <row r="1064" spans="1:36">
      <c r="A1064" s="374" t="s">
        <v>1971</v>
      </c>
      <c r="B1064" s="374">
        <v>313</v>
      </c>
      <c r="C1064" s="374" t="s">
        <v>1972</v>
      </c>
      <c r="D1064" s="375" t="str">
        <f t="shared" ref="D1064:D1132" si="227">CONCATENATE(A1064,B1064)</f>
        <v>Cloverton Estate313</v>
      </c>
      <c r="E1064" s="375" t="s">
        <v>1987</v>
      </c>
      <c r="F1064" s="375" t="s">
        <v>650</v>
      </c>
      <c r="G1064" s="375" t="s">
        <v>1974</v>
      </c>
      <c r="H1064" s="375" t="s">
        <v>1975</v>
      </c>
      <c r="I1064" s="63" t="s">
        <v>1976</v>
      </c>
      <c r="J1064" s="47">
        <f t="shared" si="225"/>
        <v>3740</v>
      </c>
      <c r="K1064" s="46" t="s">
        <v>10735</v>
      </c>
      <c r="L1064" s="47"/>
      <c r="M1064" s="47" t="s">
        <v>10039</v>
      </c>
      <c r="N1064" s="47"/>
      <c r="O1064" s="47"/>
      <c r="P1064" s="47"/>
      <c r="Q1064" s="47"/>
      <c r="R1064" s="47"/>
      <c r="S1064" s="47" t="s">
        <v>463</v>
      </c>
      <c r="T1064" s="47"/>
      <c r="U1064" s="47"/>
      <c r="V1064" s="47"/>
      <c r="W1064" s="47"/>
      <c r="X1064" s="47"/>
      <c r="Y1064" s="47"/>
      <c r="Z1064" s="47">
        <f t="shared" si="226"/>
        <v>4620</v>
      </c>
      <c r="AA1064" s="47"/>
      <c r="AB1064" s="47"/>
      <c r="AC1064" s="47"/>
      <c r="AD1064" s="47"/>
      <c r="AE1064" s="47" t="s">
        <v>1977</v>
      </c>
      <c r="AF1064" s="47"/>
      <c r="AG1064" s="47"/>
      <c r="AH1064" s="47" t="str">
        <f>IFERROR(_xlfn.XLOOKUP(Table6[[#This Row],[Suburb]],Table5[Travel Surcharge],Table5[$$]),"")</f>
        <v/>
      </c>
      <c r="AI1064" s="47"/>
      <c r="AJ1064" s="47"/>
    </row>
    <row r="1065" spans="1:36">
      <c r="A1065" s="374" t="s">
        <v>1971</v>
      </c>
      <c r="B1065" s="374">
        <v>314</v>
      </c>
      <c r="C1065" s="374" t="s">
        <v>1972</v>
      </c>
      <c r="D1065" s="375" t="str">
        <f t="shared" si="227"/>
        <v>Cloverton Estate314</v>
      </c>
      <c r="E1065" s="375" t="s">
        <v>1988</v>
      </c>
      <c r="F1065" s="375" t="s">
        <v>650</v>
      </c>
      <c r="G1065" s="375" t="s">
        <v>1974</v>
      </c>
      <c r="H1065" s="375" t="s">
        <v>1975</v>
      </c>
      <c r="I1065" s="63" t="s">
        <v>1976</v>
      </c>
      <c r="J1065" s="47">
        <f t="shared" si="225"/>
        <v>3740</v>
      </c>
      <c r="K1065" s="46" t="s">
        <v>10735</v>
      </c>
      <c r="L1065" s="47"/>
      <c r="M1065" s="47" t="s">
        <v>10040</v>
      </c>
      <c r="N1065" s="47"/>
      <c r="O1065" s="47"/>
      <c r="P1065" s="47"/>
      <c r="Q1065" s="47"/>
      <c r="R1065" s="47"/>
      <c r="S1065" s="47" t="s">
        <v>463</v>
      </c>
      <c r="T1065" s="47"/>
      <c r="U1065" s="47"/>
      <c r="V1065" s="47"/>
      <c r="W1065" s="47"/>
      <c r="X1065" s="47"/>
      <c r="Y1065" s="47"/>
      <c r="Z1065" s="47">
        <f t="shared" si="226"/>
        <v>4620</v>
      </c>
      <c r="AA1065" s="47"/>
      <c r="AB1065" s="47"/>
      <c r="AC1065" s="47"/>
      <c r="AD1065" s="47"/>
      <c r="AE1065" s="47" t="s">
        <v>1977</v>
      </c>
      <c r="AF1065" s="47"/>
      <c r="AG1065" s="47"/>
      <c r="AH1065" s="47" t="str">
        <f>IFERROR(_xlfn.XLOOKUP(Table6[[#This Row],[Suburb]],Table5[Travel Surcharge],Table5[$$]),"")</f>
        <v/>
      </c>
      <c r="AI1065" s="47"/>
      <c r="AJ1065" s="47"/>
    </row>
    <row r="1066" spans="1:36">
      <c r="A1066" s="374" t="s">
        <v>1971</v>
      </c>
      <c r="B1066" s="374">
        <v>315</v>
      </c>
      <c r="C1066" s="374" t="s">
        <v>1972</v>
      </c>
      <c r="D1066" s="375" t="str">
        <f t="shared" si="227"/>
        <v>Cloverton Estate315</v>
      </c>
      <c r="E1066" s="375" t="s">
        <v>1989</v>
      </c>
      <c r="F1066" s="375" t="s">
        <v>650</v>
      </c>
      <c r="G1066" s="375" t="s">
        <v>1974</v>
      </c>
      <c r="H1066" s="375" t="s">
        <v>1975</v>
      </c>
      <c r="I1066" s="63" t="s">
        <v>1976</v>
      </c>
      <c r="J1066" s="47">
        <f t="shared" si="225"/>
        <v>3740</v>
      </c>
      <c r="K1066" s="46" t="s">
        <v>10735</v>
      </c>
      <c r="L1066" s="47"/>
      <c r="M1066" s="47" t="s">
        <v>10041</v>
      </c>
      <c r="N1066" s="47"/>
      <c r="O1066" s="47"/>
      <c r="P1066" s="47"/>
      <c r="Q1066" s="47"/>
      <c r="R1066" s="47"/>
      <c r="S1066" s="47" t="s">
        <v>463</v>
      </c>
      <c r="T1066" s="47"/>
      <c r="U1066" s="47"/>
      <c r="V1066" s="47"/>
      <c r="W1066" s="47"/>
      <c r="X1066" s="47"/>
      <c r="Y1066" s="47"/>
      <c r="Z1066" s="47">
        <f t="shared" si="226"/>
        <v>4620</v>
      </c>
      <c r="AA1066" s="47"/>
      <c r="AB1066" s="47"/>
      <c r="AC1066" s="47"/>
      <c r="AD1066" s="47"/>
      <c r="AE1066" s="47" t="s">
        <v>1977</v>
      </c>
      <c r="AF1066" s="47"/>
      <c r="AG1066" s="47"/>
      <c r="AH1066" s="47" t="str">
        <f>IFERROR(_xlfn.XLOOKUP(Table6[[#This Row],[Suburb]],Table5[Travel Surcharge],Table5[$$]),"")</f>
        <v/>
      </c>
      <c r="AI1066" s="47"/>
      <c r="AJ1066" s="47"/>
    </row>
    <row r="1067" spans="1:36">
      <c r="A1067" s="374" t="s">
        <v>1971</v>
      </c>
      <c r="B1067" s="374">
        <v>316</v>
      </c>
      <c r="C1067" s="374" t="s">
        <v>1972</v>
      </c>
      <c r="D1067" s="375" t="str">
        <f t="shared" si="227"/>
        <v>Cloverton Estate316</v>
      </c>
      <c r="E1067" s="375" t="s">
        <v>1990</v>
      </c>
      <c r="F1067" s="375" t="s">
        <v>650</v>
      </c>
      <c r="G1067" s="375" t="s">
        <v>1974</v>
      </c>
      <c r="H1067" s="375" t="s">
        <v>1975</v>
      </c>
      <c r="I1067" s="63" t="s">
        <v>1976</v>
      </c>
      <c r="J1067" s="47">
        <f t="shared" si="225"/>
        <v>3740</v>
      </c>
      <c r="K1067" s="46" t="s">
        <v>10735</v>
      </c>
      <c r="L1067" s="47"/>
      <c r="M1067" s="47" t="s">
        <v>10042</v>
      </c>
      <c r="N1067" s="47"/>
      <c r="O1067" s="47"/>
      <c r="P1067" s="47"/>
      <c r="Q1067" s="47"/>
      <c r="R1067" s="47"/>
      <c r="S1067" s="47" t="s">
        <v>463</v>
      </c>
      <c r="T1067" s="47"/>
      <c r="U1067" s="47"/>
      <c r="V1067" s="47"/>
      <c r="W1067" s="47"/>
      <c r="X1067" s="47"/>
      <c r="Y1067" s="47"/>
      <c r="Z1067" s="47">
        <f t="shared" si="226"/>
        <v>4620</v>
      </c>
      <c r="AA1067" s="47"/>
      <c r="AB1067" s="47"/>
      <c r="AC1067" s="47"/>
      <c r="AD1067" s="47"/>
      <c r="AE1067" s="47" t="s">
        <v>1977</v>
      </c>
      <c r="AF1067" s="47"/>
      <c r="AG1067" s="47"/>
      <c r="AH1067" s="47" t="str">
        <f>IFERROR(_xlfn.XLOOKUP(Table6[[#This Row],[Suburb]],Table5[Travel Surcharge],Table5[$$]),"")</f>
        <v/>
      </c>
      <c r="AI1067" s="47"/>
      <c r="AJ1067" s="47"/>
    </row>
    <row r="1068" spans="1:36">
      <c r="A1068" s="374" t="s">
        <v>1971</v>
      </c>
      <c r="B1068" s="374">
        <v>317</v>
      </c>
      <c r="C1068" s="374" t="s">
        <v>1972</v>
      </c>
      <c r="D1068" s="375" t="str">
        <f t="shared" si="227"/>
        <v>Cloverton Estate317</v>
      </c>
      <c r="E1068" s="375" t="s">
        <v>1991</v>
      </c>
      <c r="F1068" s="375" t="s">
        <v>650</v>
      </c>
      <c r="G1068" s="375" t="s">
        <v>1974</v>
      </c>
      <c r="H1068" s="375" t="s">
        <v>1975</v>
      </c>
      <c r="I1068" s="63" t="s">
        <v>1976</v>
      </c>
      <c r="J1068" s="47">
        <f t="shared" si="225"/>
        <v>3740</v>
      </c>
      <c r="K1068" s="46" t="s">
        <v>10735</v>
      </c>
      <c r="L1068" s="47"/>
      <c r="M1068" s="47" t="s">
        <v>10043</v>
      </c>
      <c r="N1068" s="47"/>
      <c r="O1068" s="47"/>
      <c r="P1068" s="47"/>
      <c r="Q1068" s="47"/>
      <c r="R1068" s="47"/>
      <c r="S1068" s="47" t="s">
        <v>463</v>
      </c>
      <c r="T1068" s="47"/>
      <c r="U1068" s="47"/>
      <c r="V1068" s="47"/>
      <c r="W1068" s="47"/>
      <c r="X1068" s="47"/>
      <c r="Y1068" s="47"/>
      <c r="Z1068" s="47">
        <f t="shared" si="226"/>
        <v>4620</v>
      </c>
      <c r="AA1068" s="47"/>
      <c r="AB1068" s="47"/>
      <c r="AC1068" s="47"/>
      <c r="AD1068" s="47"/>
      <c r="AE1068" s="47" t="s">
        <v>1977</v>
      </c>
      <c r="AF1068" s="47"/>
      <c r="AG1068" s="47"/>
      <c r="AH1068" s="47" t="str">
        <f>IFERROR(_xlfn.XLOOKUP(Table6[[#This Row],[Suburb]],Table5[Travel Surcharge],Table5[$$]),"")</f>
        <v/>
      </c>
      <c r="AI1068" s="47"/>
      <c r="AJ1068" s="47"/>
    </row>
    <row r="1069" spans="1:36">
      <c r="A1069" s="374" t="s">
        <v>1971</v>
      </c>
      <c r="B1069" s="374">
        <v>318</v>
      </c>
      <c r="C1069" s="374" t="s">
        <v>1972</v>
      </c>
      <c r="D1069" s="375" t="str">
        <f t="shared" si="227"/>
        <v>Cloverton Estate318</v>
      </c>
      <c r="E1069" s="375" t="s">
        <v>1992</v>
      </c>
      <c r="F1069" s="375" t="s">
        <v>650</v>
      </c>
      <c r="G1069" s="375" t="s">
        <v>1974</v>
      </c>
      <c r="H1069" s="375" t="s">
        <v>1975</v>
      </c>
      <c r="I1069" s="63" t="s">
        <v>1976</v>
      </c>
      <c r="J1069" s="47">
        <f t="shared" si="225"/>
        <v>3740</v>
      </c>
      <c r="K1069" s="46" t="s">
        <v>10735</v>
      </c>
      <c r="L1069" s="47"/>
      <c r="M1069" s="47" t="s">
        <v>10044</v>
      </c>
      <c r="N1069" s="47"/>
      <c r="O1069" s="47"/>
      <c r="P1069" s="47"/>
      <c r="Q1069" s="47"/>
      <c r="R1069" s="47"/>
      <c r="S1069" s="47" t="s">
        <v>463</v>
      </c>
      <c r="T1069" s="47"/>
      <c r="U1069" s="47"/>
      <c r="V1069" s="47"/>
      <c r="W1069" s="47"/>
      <c r="X1069" s="47"/>
      <c r="Y1069" s="47"/>
      <c r="Z1069" s="47">
        <f t="shared" si="226"/>
        <v>4620</v>
      </c>
      <c r="AA1069" s="47"/>
      <c r="AB1069" s="47"/>
      <c r="AC1069" s="47"/>
      <c r="AD1069" s="47"/>
      <c r="AE1069" s="47" t="s">
        <v>1977</v>
      </c>
      <c r="AF1069" s="47"/>
      <c r="AG1069" s="47"/>
      <c r="AH1069" s="47" t="str">
        <f>IFERROR(_xlfn.XLOOKUP(Table6[[#This Row],[Suburb]],Table5[Travel Surcharge],Table5[$$]),"")</f>
        <v/>
      </c>
      <c r="AI1069" s="47"/>
      <c r="AJ1069" s="47"/>
    </row>
    <row r="1070" spans="1:36">
      <c r="A1070" s="374" t="s">
        <v>1971</v>
      </c>
      <c r="B1070" s="374">
        <v>319</v>
      </c>
      <c r="C1070" s="374" t="s">
        <v>1972</v>
      </c>
      <c r="D1070" s="375" t="str">
        <f t="shared" si="227"/>
        <v>Cloverton Estate319</v>
      </c>
      <c r="E1070" s="375" t="s">
        <v>1993</v>
      </c>
      <c r="F1070" s="375" t="s">
        <v>650</v>
      </c>
      <c r="G1070" s="375" t="s">
        <v>1974</v>
      </c>
      <c r="H1070" s="375" t="s">
        <v>1975</v>
      </c>
      <c r="I1070" s="63" t="s">
        <v>1976</v>
      </c>
      <c r="J1070" s="47">
        <f t="shared" si="225"/>
        <v>3740</v>
      </c>
      <c r="K1070" s="46" t="s">
        <v>10735</v>
      </c>
      <c r="L1070" s="47"/>
      <c r="M1070" s="47" t="s">
        <v>10045</v>
      </c>
      <c r="N1070" s="47"/>
      <c r="O1070" s="47"/>
      <c r="P1070" s="47"/>
      <c r="Q1070" s="47"/>
      <c r="R1070" s="47"/>
      <c r="S1070" s="47" t="s">
        <v>463</v>
      </c>
      <c r="T1070" s="47"/>
      <c r="U1070" s="47"/>
      <c r="V1070" s="47"/>
      <c r="W1070" s="47"/>
      <c r="X1070" s="47"/>
      <c r="Y1070" s="47"/>
      <c r="Z1070" s="47">
        <f t="shared" si="226"/>
        <v>4620</v>
      </c>
      <c r="AA1070" s="47"/>
      <c r="AB1070" s="47"/>
      <c r="AC1070" s="47"/>
      <c r="AD1070" s="47"/>
      <c r="AE1070" s="47" t="s">
        <v>1977</v>
      </c>
      <c r="AF1070" s="47"/>
      <c r="AG1070" s="47"/>
      <c r="AH1070" s="47" t="str">
        <f>IFERROR(_xlfn.XLOOKUP(Table6[[#This Row],[Suburb]],Table5[Travel Surcharge],Table5[$$]),"")</f>
        <v/>
      </c>
      <c r="AI1070" s="47"/>
      <c r="AJ1070" s="47"/>
    </row>
    <row r="1071" spans="1:36">
      <c r="A1071" s="374" t="s">
        <v>1971</v>
      </c>
      <c r="B1071" s="374">
        <v>320</v>
      </c>
      <c r="C1071" s="374" t="s">
        <v>1972</v>
      </c>
      <c r="D1071" s="375" t="str">
        <f t="shared" si="227"/>
        <v>Cloverton Estate320</v>
      </c>
      <c r="E1071" s="375" t="s">
        <v>1994</v>
      </c>
      <c r="F1071" s="375" t="s">
        <v>650</v>
      </c>
      <c r="G1071" s="375" t="s">
        <v>1974</v>
      </c>
      <c r="H1071" s="375" t="s">
        <v>1975</v>
      </c>
      <c r="I1071" s="63" t="s">
        <v>1976</v>
      </c>
      <c r="J1071" s="47">
        <f t="shared" si="225"/>
        <v>3740</v>
      </c>
      <c r="K1071" s="46" t="s">
        <v>10735</v>
      </c>
      <c r="L1071" s="47"/>
      <c r="M1071" s="47" t="s">
        <v>10046</v>
      </c>
      <c r="N1071" s="47"/>
      <c r="O1071" s="47"/>
      <c r="P1071" s="47"/>
      <c r="Q1071" s="47"/>
      <c r="R1071" s="47"/>
      <c r="S1071" s="47" t="s">
        <v>463</v>
      </c>
      <c r="T1071" s="47"/>
      <c r="U1071" s="47"/>
      <c r="V1071" s="47"/>
      <c r="W1071" s="47"/>
      <c r="X1071" s="47"/>
      <c r="Y1071" s="47"/>
      <c r="Z1071" s="47">
        <f t="shared" si="226"/>
        <v>4620</v>
      </c>
      <c r="AA1071" s="47"/>
      <c r="AB1071" s="47"/>
      <c r="AC1071" s="47"/>
      <c r="AD1071" s="47"/>
      <c r="AE1071" s="47" t="s">
        <v>1977</v>
      </c>
      <c r="AF1071" s="47"/>
      <c r="AG1071" s="47"/>
      <c r="AH1071" s="47" t="str">
        <f>IFERROR(_xlfn.XLOOKUP(Table6[[#This Row],[Suburb]],Table5[Travel Surcharge],Table5[$$]),"")</f>
        <v/>
      </c>
      <c r="AI1071" s="47"/>
      <c r="AJ1071" s="47"/>
    </row>
    <row r="1072" spans="1:36">
      <c r="A1072" s="374" t="s">
        <v>1971</v>
      </c>
      <c r="B1072" s="374">
        <v>321</v>
      </c>
      <c r="C1072" s="374" t="s">
        <v>1972</v>
      </c>
      <c r="D1072" s="375" t="str">
        <f t="shared" si="227"/>
        <v>Cloverton Estate321</v>
      </c>
      <c r="E1072" s="375" t="s">
        <v>1995</v>
      </c>
      <c r="F1072" s="375" t="s">
        <v>650</v>
      </c>
      <c r="G1072" s="375" t="s">
        <v>1974</v>
      </c>
      <c r="H1072" s="375" t="s">
        <v>1975</v>
      </c>
      <c r="I1072" s="63" t="s">
        <v>1976</v>
      </c>
      <c r="J1072" s="47">
        <f t="shared" si="225"/>
        <v>3740</v>
      </c>
      <c r="K1072" s="46" t="s">
        <v>10735</v>
      </c>
      <c r="L1072" s="47"/>
      <c r="M1072" s="47" t="s">
        <v>10047</v>
      </c>
      <c r="N1072" s="47"/>
      <c r="O1072" s="47"/>
      <c r="P1072" s="47"/>
      <c r="Q1072" s="47"/>
      <c r="R1072" s="47"/>
      <c r="S1072" s="47" t="s">
        <v>463</v>
      </c>
      <c r="T1072" s="47"/>
      <c r="U1072" s="47"/>
      <c r="V1072" s="47"/>
      <c r="W1072" s="47"/>
      <c r="X1072" s="47"/>
      <c r="Y1072" s="47"/>
      <c r="Z1072" s="47">
        <f t="shared" si="226"/>
        <v>4620</v>
      </c>
      <c r="AA1072" s="47"/>
      <c r="AB1072" s="47"/>
      <c r="AC1072" s="47"/>
      <c r="AD1072" s="47"/>
      <c r="AE1072" s="47" t="s">
        <v>1977</v>
      </c>
      <c r="AF1072" s="47"/>
      <c r="AG1072" s="47"/>
      <c r="AH1072" s="47" t="str">
        <f>IFERROR(_xlfn.XLOOKUP(Table6[[#This Row],[Suburb]],Table5[Travel Surcharge],Table5[$$]),"")</f>
        <v/>
      </c>
      <c r="AI1072" s="47"/>
      <c r="AJ1072" s="47"/>
    </row>
    <row r="1073" spans="1:36">
      <c r="A1073" s="374" t="s">
        <v>1971</v>
      </c>
      <c r="B1073" s="374">
        <v>322</v>
      </c>
      <c r="C1073" s="374" t="s">
        <v>1972</v>
      </c>
      <c r="D1073" s="375" t="str">
        <f t="shared" si="227"/>
        <v>Cloverton Estate322</v>
      </c>
      <c r="E1073" s="375" t="s">
        <v>1996</v>
      </c>
      <c r="F1073" s="375" t="s">
        <v>650</v>
      </c>
      <c r="G1073" s="375" t="s">
        <v>1974</v>
      </c>
      <c r="H1073" s="375" t="s">
        <v>1975</v>
      </c>
      <c r="I1073" s="63" t="s">
        <v>1976</v>
      </c>
      <c r="J1073" s="47">
        <f t="shared" si="225"/>
        <v>3740</v>
      </c>
      <c r="K1073" s="46" t="s">
        <v>10735</v>
      </c>
      <c r="L1073" s="47"/>
      <c r="M1073" s="47" t="s">
        <v>10048</v>
      </c>
      <c r="N1073" s="47"/>
      <c r="O1073" s="47"/>
      <c r="P1073" s="47"/>
      <c r="Q1073" s="47"/>
      <c r="R1073" s="47"/>
      <c r="S1073" s="47" t="s">
        <v>463</v>
      </c>
      <c r="T1073" s="47"/>
      <c r="U1073" s="47"/>
      <c r="V1073" s="47"/>
      <c r="W1073" s="47"/>
      <c r="X1073" s="47"/>
      <c r="Y1073" s="47"/>
      <c r="Z1073" s="47">
        <f t="shared" si="226"/>
        <v>4620</v>
      </c>
      <c r="AA1073" s="47"/>
      <c r="AB1073" s="47"/>
      <c r="AC1073" s="47"/>
      <c r="AD1073" s="47"/>
      <c r="AE1073" s="47" t="s">
        <v>1977</v>
      </c>
      <c r="AF1073" s="47"/>
      <c r="AG1073" s="47"/>
      <c r="AH1073" s="47" t="str">
        <f>IFERROR(_xlfn.XLOOKUP(Table6[[#This Row],[Suburb]],Table5[Travel Surcharge],Table5[$$]),"")</f>
        <v/>
      </c>
      <c r="AI1073" s="47"/>
      <c r="AJ1073" s="47"/>
    </row>
    <row r="1074" spans="1:36">
      <c r="A1074" s="157" t="s">
        <v>1971</v>
      </c>
      <c r="B1074" s="157">
        <v>323</v>
      </c>
      <c r="C1074" s="157" t="s">
        <v>7419</v>
      </c>
      <c r="D1074" s="157" t="str">
        <f t="shared" si="227"/>
        <v>Cloverton Estate323</v>
      </c>
      <c r="E1074" s="157" t="s">
        <v>8389</v>
      </c>
      <c r="F1074" s="157" t="s">
        <v>650</v>
      </c>
      <c r="G1074" s="157" t="s">
        <v>1974</v>
      </c>
      <c r="H1074" s="157" t="s">
        <v>7420</v>
      </c>
      <c r="I1074" s="158" t="s">
        <v>1976</v>
      </c>
      <c r="J1074" s="47">
        <f t="shared" si="225"/>
        <v>3740</v>
      </c>
      <c r="K1074" s="46" t="s">
        <v>10735</v>
      </c>
      <c r="L1074" s="47"/>
      <c r="M1074" s="47" t="s">
        <v>10049</v>
      </c>
      <c r="N1074" s="47"/>
      <c r="O1074" s="47"/>
      <c r="P1074" s="47"/>
      <c r="Q1074" s="47"/>
      <c r="R1074" s="47"/>
      <c r="S1074" s="47" t="s">
        <v>463</v>
      </c>
      <c r="T1074" s="47"/>
      <c r="U1074" s="47"/>
      <c r="V1074" s="47"/>
      <c r="W1074" s="47"/>
      <c r="X1074" s="47"/>
      <c r="Y1074" s="47"/>
      <c r="Z1074" s="47">
        <f t="shared" si="226"/>
        <v>4620</v>
      </c>
      <c r="AA1074" s="47"/>
      <c r="AB1074" s="47"/>
      <c r="AC1074" s="47"/>
      <c r="AD1074" s="47"/>
      <c r="AE1074" s="47" t="s">
        <v>1977</v>
      </c>
      <c r="AF1074" s="47"/>
      <c r="AG1074" s="47"/>
      <c r="AH1074" s="47" t="str">
        <f>IFERROR(_xlfn.XLOOKUP(Table6[[#This Row],[Suburb]],Table5[Travel Surcharge],Table5[$$]),"")</f>
        <v/>
      </c>
      <c r="AI1074" s="47"/>
      <c r="AJ1074" s="47"/>
    </row>
    <row r="1075" spans="1:36">
      <c r="A1075" s="374" t="s">
        <v>1971</v>
      </c>
      <c r="B1075" s="374">
        <v>325</v>
      </c>
      <c r="C1075" s="374" t="s">
        <v>1972</v>
      </c>
      <c r="D1075" s="375" t="str">
        <f t="shared" si="227"/>
        <v>Cloverton Estate325</v>
      </c>
      <c r="E1075" s="375" t="s">
        <v>1997</v>
      </c>
      <c r="F1075" s="375" t="s">
        <v>650</v>
      </c>
      <c r="G1075" s="375" t="s">
        <v>1974</v>
      </c>
      <c r="H1075" s="375" t="s">
        <v>1975</v>
      </c>
      <c r="I1075" s="63" t="s">
        <v>1976</v>
      </c>
      <c r="J1075" s="47">
        <f t="shared" si="225"/>
        <v>3740</v>
      </c>
      <c r="K1075" s="46" t="s">
        <v>10735</v>
      </c>
      <c r="L1075" s="47"/>
      <c r="M1075" s="47" t="s">
        <v>10050</v>
      </c>
      <c r="N1075" s="47"/>
      <c r="O1075" s="47"/>
      <c r="P1075" s="47"/>
      <c r="Q1075" s="47"/>
      <c r="R1075" s="47"/>
      <c r="S1075" s="47" t="s">
        <v>463</v>
      </c>
      <c r="T1075" s="47"/>
      <c r="U1075" s="47"/>
      <c r="V1075" s="47"/>
      <c r="W1075" s="47"/>
      <c r="X1075" s="47"/>
      <c r="Y1075" s="47"/>
      <c r="Z1075" s="47">
        <f t="shared" si="226"/>
        <v>4620</v>
      </c>
      <c r="AA1075" s="47"/>
      <c r="AB1075" s="47"/>
      <c r="AC1075" s="47"/>
      <c r="AD1075" s="47"/>
      <c r="AE1075" s="47" t="s">
        <v>1977</v>
      </c>
      <c r="AF1075" s="47"/>
      <c r="AG1075" s="47"/>
      <c r="AH1075" s="47" t="str">
        <f>IFERROR(_xlfn.XLOOKUP(Table6[[#This Row],[Suburb]],Table5[Travel Surcharge],Table5[$$]),"")</f>
        <v/>
      </c>
      <c r="AI1075" s="47"/>
      <c r="AJ1075" s="47"/>
    </row>
    <row r="1076" spans="1:36">
      <c r="A1076" s="374" t="s">
        <v>1971</v>
      </c>
      <c r="B1076" s="374">
        <v>326</v>
      </c>
      <c r="C1076" s="374" t="s">
        <v>1972</v>
      </c>
      <c r="D1076" s="375" t="str">
        <f t="shared" si="227"/>
        <v>Cloverton Estate326</v>
      </c>
      <c r="E1076" s="375" t="s">
        <v>1998</v>
      </c>
      <c r="F1076" s="375" t="s">
        <v>650</v>
      </c>
      <c r="G1076" s="375" t="s">
        <v>1974</v>
      </c>
      <c r="H1076" s="375" t="s">
        <v>1975</v>
      </c>
      <c r="I1076" s="63" t="s">
        <v>1976</v>
      </c>
      <c r="J1076" s="47">
        <f t="shared" si="225"/>
        <v>3740</v>
      </c>
      <c r="K1076" s="46" t="s">
        <v>10735</v>
      </c>
      <c r="L1076" s="47"/>
      <c r="M1076" s="47" t="s">
        <v>10051</v>
      </c>
      <c r="N1076" s="47"/>
      <c r="O1076" s="47"/>
      <c r="P1076" s="47"/>
      <c r="Q1076" s="47"/>
      <c r="R1076" s="47"/>
      <c r="S1076" s="47" t="s">
        <v>463</v>
      </c>
      <c r="T1076" s="47"/>
      <c r="U1076" s="47"/>
      <c r="V1076" s="47"/>
      <c r="W1076" s="47"/>
      <c r="X1076" s="47"/>
      <c r="Y1076" s="47"/>
      <c r="Z1076" s="47">
        <f t="shared" si="226"/>
        <v>4620</v>
      </c>
      <c r="AA1076" s="47"/>
      <c r="AB1076" s="47"/>
      <c r="AC1076" s="47"/>
      <c r="AD1076" s="47"/>
      <c r="AE1076" s="47" t="s">
        <v>1977</v>
      </c>
      <c r="AF1076" s="47"/>
      <c r="AG1076" s="47"/>
      <c r="AH1076" s="47" t="str">
        <f>IFERROR(_xlfn.XLOOKUP(Table6[[#This Row],[Suburb]],Table5[Travel Surcharge],Table5[$$]),"")</f>
        <v/>
      </c>
      <c r="AI1076" s="47"/>
      <c r="AJ1076" s="47"/>
    </row>
    <row r="1077" spans="1:36">
      <c r="A1077" s="374" t="s">
        <v>1971</v>
      </c>
      <c r="B1077" s="374">
        <v>327</v>
      </c>
      <c r="C1077" s="374" t="s">
        <v>1972</v>
      </c>
      <c r="D1077" s="375" t="str">
        <f t="shared" si="227"/>
        <v>Cloverton Estate327</v>
      </c>
      <c r="E1077" s="375" t="s">
        <v>1999</v>
      </c>
      <c r="F1077" s="375" t="s">
        <v>650</v>
      </c>
      <c r="G1077" s="375" t="s">
        <v>1974</v>
      </c>
      <c r="H1077" s="375" t="s">
        <v>1975</v>
      </c>
      <c r="I1077" s="63" t="s">
        <v>1976</v>
      </c>
      <c r="J1077" s="47">
        <f t="shared" si="225"/>
        <v>3740</v>
      </c>
      <c r="K1077" s="46" t="s">
        <v>10735</v>
      </c>
      <c r="L1077" s="47"/>
      <c r="M1077" s="47" t="s">
        <v>10052</v>
      </c>
      <c r="N1077" s="47"/>
      <c r="O1077" s="47"/>
      <c r="P1077" s="47"/>
      <c r="Q1077" s="47"/>
      <c r="R1077" s="47"/>
      <c r="S1077" s="47" t="s">
        <v>463</v>
      </c>
      <c r="T1077" s="47"/>
      <c r="U1077" s="47"/>
      <c r="V1077" s="47"/>
      <c r="W1077" s="47"/>
      <c r="X1077" s="47"/>
      <c r="Y1077" s="47"/>
      <c r="Z1077" s="47">
        <f t="shared" si="226"/>
        <v>4620</v>
      </c>
      <c r="AA1077" s="47"/>
      <c r="AB1077" s="47"/>
      <c r="AC1077" s="47"/>
      <c r="AD1077" s="47"/>
      <c r="AE1077" s="47" t="s">
        <v>1977</v>
      </c>
      <c r="AF1077" s="47"/>
      <c r="AG1077" s="47"/>
      <c r="AH1077" s="47" t="str">
        <f>IFERROR(_xlfn.XLOOKUP(Table6[[#This Row],[Suburb]],Table5[Travel Surcharge],Table5[$$]),"")</f>
        <v/>
      </c>
      <c r="AI1077" s="47"/>
      <c r="AJ1077" s="47"/>
    </row>
    <row r="1078" spans="1:36">
      <c r="A1078" s="157" t="s">
        <v>1971</v>
      </c>
      <c r="B1078" s="157">
        <v>328</v>
      </c>
      <c r="C1078" s="157" t="s">
        <v>1972</v>
      </c>
      <c r="D1078" s="157" t="str">
        <f t="shared" si="227"/>
        <v>Cloverton Estate328</v>
      </c>
      <c r="E1078" s="157" t="s">
        <v>7421</v>
      </c>
      <c r="F1078" s="157" t="s">
        <v>650</v>
      </c>
      <c r="G1078" s="157" t="s">
        <v>1974</v>
      </c>
      <c r="H1078" s="157" t="s">
        <v>7420</v>
      </c>
      <c r="I1078" s="158" t="s">
        <v>1976</v>
      </c>
      <c r="J1078" s="47">
        <f t="shared" si="225"/>
        <v>3740</v>
      </c>
      <c r="K1078" s="46" t="s">
        <v>10735</v>
      </c>
      <c r="L1078" s="47"/>
      <c r="M1078" s="47" t="s">
        <v>10053</v>
      </c>
      <c r="N1078" s="47"/>
      <c r="O1078" s="47"/>
      <c r="P1078" s="47"/>
      <c r="Q1078" s="47"/>
      <c r="R1078" s="47"/>
      <c r="S1078" s="47" t="s">
        <v>463</v>
      </c>
      <c r="T1078" s="47"/>
      <c r="U1078" s="47"/>
      <c r="V1078" s="47"/>
      <c r="W1078" s="47"/>
      <c r="X1078" s="47"/>
      <c r="Y1078" s="47"/>
      <c r="Z1078" s="47">
        <f t="shared" si="226"/>
        <v>4620</v>
      </c>
      <c r="AA1078" s="47"/>
      <c r="AB1078" s="47"/>
      <c r="AC1078" s="47"/>
      <c r="AD1078" s="47"/>
      <c r="AE1078" s="47" t="s">
        <v>1977</v>
      </c>
      <c r="AF1078" s="47"/>
      <c r="AG1078" s="47"/>
      <c r="AH1078" s="47" t="str">
        <f>IFERROR(_xlfn.XLOOKUP(Table6[[#This Row],[Suburb]],Table5[Travel Surcharge],Table5[$$]),"")</f>
        <v/>
      </c>
      <c r="AI1078" s="47"/>
      <c r="AJ1078" s="47"/>
    </row>
    <row r="1079" spans="1:36">
      <c r="A1079" s="157" t="s">
        <v>1971</v>
      </c>
      <c r="B1079" s="157">
        <v>329</v>
      </c>
      <c r="C1079" s="157" t="s">
        <v>1972</v>
      </c>
      <c r="D1079" s="157" t="str">
        <f t="shared" si="227"/>
        <v>Cloverton Estate329</v>
      </c>
      <c r="E1079" s="157" t="s">
        <v>7905</v>
      </c>
      <c r="F1079" s="157" t="s">
        <v>650</v>
      </c>
      <c r="G1079" s="157" t="s">
        <v>1974</v>
      </c>
      <c r="H1079" s="157" t="s">
        <v>7420</v>
      </c>
      <c r="I1079" s="158" t="s">
        <v>1976</v>
      </c>
      <c r="J1079" s="47">
        <f t="shared" si="225"/>
        <v>3740</v>
      </c>
      <c r="K1079" s="46" t="s">
        <v>10735</v>
      </c>
      <c r="L1079" s="47"/>
      <c r="M1079" s="47" t="s">
        <v>10054</v>
      </c>
      <c r="N1079" s="47"/>
      <c r="O1079" s="47"/>
      <c r="P1079" s="47"/>
      <c r="Q1079" s="47"/>
      <c r="R1079" s="47"/>
      <c r="S1079" s="47" t="s">
        <v>463</v>
      </c>
      <c r="T1079" s="47"/>
      <c r="U1079" s="47"/>
      <c r="V1079" s="47"/>
      <c r="W1079" s="47"/>
      <c r="X1079" s="47"/>
      <c r="Y1079" s="47"/>
      <c r="Z1079" s="47">
        <f t="shared" si="226"/>
        <v>4620</v>
      </c>
      <c r="AA1079" s="47"/>
      <c r="AB1079" s="47"/>
      <c r="AC1079" s="47"/>
      <c r="AD1079" s="47"/>
      <c r="AE1079" s="47" t="s">
        <v>1977</v>
      </c>
      <c r="AF1079" s="47"/>
      <c r="AG1079" s="47"/>
      <c r="AH1079" s="47" t="str">
        <f>IFERROR(_xlfn.XLOOKUP(Table6[[#This Row],[Suburb]],Table5[Travel Surcharge],Table5[$$]),"")</f>
        <v/>
      </c>
      <c r="AI1079" s="47"/>
      <c r="AJ1079" s="47"/>
    </row>
    <row r="1080" spans="1:36">
      <c r="A1080" s="157" t="s">
        <v>1971</v>
      </c>
      <c r="B1080" s="157">
        <v>332</v>
      </c>
      <c r="C1080" s="157" t="s">
        <v>7419</v>
      </c>
      <c r="D1080" s="157" t="str">
        <f t="shared" si="227"/>
        <v>Cloverton Estate332</v>
      </c>
      <c r="E1080" s="157" t="s">
        <v>8435</v>
      </c>
      <c r="F1080" s="157" t="s">
        <v>650</v>
      </c>
      <c r="G1080" s="157" t="s">
        <v>1974</v>
      </c>
      <c r="H1080" s="157" t="s">
        <v>8434</v>
      </c>
      <c r="I1080" s="158" t="s">
        <v>1976</v>
      </c>
      <c r="J1080" s="47">
        <f t="shared" si="225"/>
        <v>3740</v>
      </c>
      <c r="K1080" s="46" t="s">
        <v>10735</v>
      </c>
      <c r="L1080" s="47"/>
      <c r="M1080" s="47" t="s">
        <v>10055</v>
      </c>
      <c r="N1080" s="47"/>
      <c r="O1080" s="47"/>
      <c r="P1080" s="47"/>
      <c r="Q1080" s="47"/>
      <c r="R1080" s="47"/>
      <c r="S1080" s="47" t="s">
        <v>463</v>
      </c>
      <c r="T1080" s="47"/>
      <c r="U1080" s="47"/>
      <c r="V1080" s="47"/>
      <c r="W1080" s="47"/>
      <c r="X1080" s="47"/>
      <c r="Y1080" s="47"/>
      <c r="Z1080" s="47">
        <f t="shared" si="226"/>
        <v>4620</v>
      </c>
      <c r="AA1080" s="47"/>
      <c r="AB1080" s="47"/>
      <c r="AC1080" s="47"/>
      <c r="AD1080" s="47"/>
      <c r="AE1080" s="47" t="s">
        <v>1977</v>
      </c>
      <c r="AF1080" s="47"/>
      <c r="AG1080" s="47"/>
      <c r="AH1080" s="47" t="str">
        <f>IFERROR(_xlfn.XLOOKUP(Table6[[#This Row],[Suburb]],Table5[Travel Surcharge],Table5[$$]),"")</f>
        <v/>
      </c>
      <c r="AI1080" s="47"/>
      <c r="AJ1080" s="47"/>
    </row>
    <row r="1081" spans="1:36" ht="1.5" customHeight="1">
      <c r="A1081" s="374" t="s">
        <v>1971</v>
      </c>
      <c r="B1081" s="374">
        <v>333</v>
      </c>
      <c r="C1081" s="374" t="s">
        <v>1972</v>
      </c>
      <c r="D1081" s="375" t="str">
        <f t="shared" si="227"/>
        <v>Cloverton Estate333</v>
      </c>
      <c r="E1081" s="375" t="s">
        <v>2000</v>
      </c>
      <c r="F1081" s="375" t="s">
        <v>650</v>
      </c>
      <c r="G1081" s="375" t="s">
        <v>1974</v>
      </c>
      <c r="H1081" s="375" t="s">
        <v>1975</v>
      </c>
      <c r="I1081" s="63" t="s">
        <v>1976</v>
      </c>
      <c r="J1081" s="47">
        <f t="shared" si="225"/>
        <v>3740</v>
      </c>
      <c r="K1081" s="46" t="s">
        <v>10735</v>
      </c>
      <c r="L1081" s="47"/>
      <c r="M1081" s="47" t="s">
        <v>10056</v>
      </c>
      <c r="N1081" s="47"/>
      <c r="O1081" s="47"/>
      <c r="P1081" s="47"/>
      <c r="Q1081" s="47"/>
      <c r="R1081" s="47"/>
      <c r="S1081" s="47" t="s">
        <v>463</v>
      </c>
      <c r="T1081" s="47"/>
      <c r="U1081" s="47"/>
      <c r="V1081" s="47"/>
      <c r="W1081" s="47"/>
      <c r="X1081" s="47"/>
      <c r="Y1081" s="47"/>
      <c r="Z1081" s="47">
        <f t="shared" si="226"/>
        <v>4620</v>
      </c>
      <c r="AA1081" s="47"/>
      <c r="AB1081" s="47"/>
      <c r="AC1081" s="47"/>
      <c r="AD1081" s="47"/>
      <c r="AE1081" s="47" t="s">
        <v>1977</v>
      </c>
      <c r="AF1081" s="47"/>
      <c r="AG1081" s="47"/>
      <c r="AH1081" s="47" t="str">
        <f>IFERROR(_xlfn.XLOOKUP(Table6[[#This Row],[Suburb]],Table5[Travel Surcharge],Table5[$$]),"")</f>
        <v/>
      </c>
      <c r="AI1081" s="47"/>
      <c r="AJ1081" s="47"/>
    </row>
    <row r="1082" spans="1:36">
      <c r="A1082" s="374" t="s">
        <v>1971</v>
      </c>
      <c r="B1082" s="374">
        <v>334</v>
      </c>
      <c r="C1082" s="374" t="s">
        <v>1972</v>
      </c>
      <c r="D1082" s="375" t="str">
        <f t="shared" si="227"/>
        <v>Cloverton Estate334</v>
      </c>
      <c r="E1082" s="375" t="s">
        <v>2001</v>
      </c>
      <c r="F1082" s="375" t="s">
        <v>650</v>
      </c>
      <c r="G1082" s="375" t="s">
        <v>1974</v>
      </c>
      <c r="H1082" s="375" t="s">
        <v>1975</v>
      </c>
      <c r="I1082" s="63" t="s">
        <v>1976</v>
      </c>
      <c r="J1082" s="47">
        <f t="shared" si="225"/>
        <v>3740</v>
      </c>
      <c r="K1082" s="46" t="s">
        <v>10735</v>
      </c>
      <c r="L1082" s="47"/>
      <c r="M1082" s="47" t="s">
        <v>10057</v>
      </c>
      <c r="N1082" s="47"/>
      <c r="O1082" s="47"/>
      <c r="P1082" s="47"/>
      <c r="Q1082" s="47"/>
      <c r="R1082" s="47"/>
      <c r="S1082" s="47" t="s">
        <v>463</v>
      </c>
      <c r="T1082" s="47"/>
      <c r="U1082" s="47"/>
      <c r="V1082" s="47"/>
      <c r="W1082" s="47"/>
      <c r="X1082" s="47"/>
      <c r="Y1082" s="47"/>
      <c r="Z1082" s="47">
        <f t="shared" si="226"/>
        <v>4620</v>
      </c>
      <c r="AA1082" s="47"/>
      <c r="AB1082" s="47"/>
      <c r="AC1082" s="47"/>
      <c r="AD1082" s="47"/>
      <c r="AE1082" s="47" t="s">
        <v>1977</v>
      </c>
      <c r="AF1082" s="47"/>
      <c r="AG1082" s="47"/>
      <c r="AH1082" s="47" t="str">
        <f>IFERROR(_xlfn.XLOOKUP(Table6[[#This Row],[Suburb]],Table5[Travel Surcharge],Table5[$$]),"")</f>
        <v/>
      </c>
      <c r="AI1082" s="47"/>
      <c r="AJ1082" s="47"/>
    </row>
    <row r="1083" spans="1:36">
      <c r="A1083" s="374" t="s">
        <v>1971</v>
      </c>
      <c r="B1083" s="374">
        <v>335</v>
      </c>
      <c r="C1083" s="374" t="s">
        <v>1972</v>
      </c>
      <c r="D1083" s="375" t="str">
        <f t="shared" si="227"/>
        <v>Cloverton Estate335</v>
      </c>
      <c r="E1083" s="375" t="s">
        <v>2002</v>
      </c>
      <c r="F1083" s="375" t="s">
        <v>650</v>
      </c>
      <c r="G1083" s="375" t="s">
        <v>1974</v>
      </c>
      <c r="H1083" s="375" t="s">
        <v>1975</v>
      </c>
      <c r="I1083" s="63" t="s">
        <v>1976</v>
      </c>
      <c r="J1083" s="47">
        <f t="shared" si="225"/>
        <v>3740</v>
      </c>
      <c r="K1083" s="46" t="s">
        <v>10735</v>
      </c>
      <c r="L1083" s="47"/>
      <c r="M1083" s="47" t="s">
        <v>10058</v>
      </c>
      <c r="N1083" s="47"/>
      <c r="O1083" s="47"/>
      <c r="P1083" s="47"/>
      <c r="Q1083" s="47"/>
      <c r="R1083" s="47"/>
      <c r="S1083" s="47" t="s">
        <v>463</v>
      </c>
      <c r="T1083" s="47"/>
      <c r="U1083" s="47"/>
      <c r="V1083" s="47"/>
      <c r="W1083" s="47"/>
      <c r="X1083" s="47"/>
      <c r="Y1083" s="47"/>
      <c r="Z1083" s="47">
        <f t="shared" si="226"/>
        <v>4620</v>
      </c>
      <c r="AA1083" s="47"/>
      <c r="AB1083" s="47"/>
      <c r="AC1083" s="47"/>
      <c r="AD1083" s="47"/>
      <c r="AE1083" s="47" t="s">
        <v>1977</v>
      </c>
      <c r="AF1083" s="47"/>
      <c r="AG1083" s="47"/>
      <c r="AH1083" s="47" t="str">
        <f>IFERROR(_xlfn.XLOOKUP(Table6[[#This Row],[Suburb]],Table5[Travel Surcharge],Table5[$$]),"")</f>
        <v/>
      </c>
      <c r="AI1083" s="47"/>
      <c r="AJ1083" s="47"/>
    </row>
    <row r="1084" spans="1:36">
      <c r="A1084" s="157" t="s">
        <v>1971</v>
      </c>
      <c r="B1084" s="157">
        <v>336</v>
      </c>
      <c r="C1084" s="157" t="s">
        <v>1972</v>
      </c>
      <c r="D1084" s="157" t="str">
        <f t="shared" si="227"/>
        <v>Cloverton Estate336</v>
      </c>
      <c r="E1084" s="157" t="s">
        <v>8209</v>
      </c>
      <c r="F1084" s="157" t="s">
        <v>650</v>
      </c>
      <c r="G1084" s="157" t="s">
        <v>1974</v>
      </c>
      <c r="H1084" s="157" t="s">
        <v>1975</v>
      </c>
      <c r="I1084" s="158" t="s">
        <v>1976</v>
      </c>
      <c r="J1084" s="47">
        <f t="shared" si="225"/>
        <v>3740</v>
      </c>
      <c r="K1084" s="46" t="s">
        <v>10735</v>
      </c>
      <c r="L1084" s="47"/>
      <c r="M1084" s="47" t="s">
        <v>10059</v>
      </c>
      <c r="N1084" s="47"/>
      <c r="O1084" s="47"/>
      <c r="P1084" s="47"/>
      <c r="Q1084" s="47"/>
      <c r="R1084" s="47"/>
      <c r="S1084" s="47" t="s">
        <v>463</v>
      </c>
      <c r="T1084" s="47"/>
      <c r="U1084" s="47"/>
      <c r="V1084" s="47"/>
      <c r="W1084" s="47"/>
      <c r="X1084" s="47"/>
      <c r="Y1084" s="47"/>
      <c r="Z1084" s="47">
        <f t="shared" si="226"/>
        <v>4620</v>
      </c>
      <c r="AA1084" s="47"/>
      <c r="AB1084" s="47" t="s">
        <v>8210</v>
      </c>
      <c r="AC1084" s="47"/>
      <c r="AD1084" s="47"/>
      <c r="AE1084" s="47" t="s">
        <v>1977</v>
      </c>
      <c r="AF1084" s="47"/>
      <c r="AG1084" s="47"/>
      <c r="AH1084" s="47" t="str">
        <f>IFERROR(_xlfn.XLOOKUP(Table6[[#This Row],[Suburb]],Table5[Travel Surcharge],Table5[$$]),"")</f>
        <v/>
      </c>
      <c r="AI1084" s="47"/>
      <c r="AJ1084" s="47"/>
    </row>
    <row r="1085" spans="1:36">
      <c r="A1085" s="374" t="s">
        <v>1971</v>
      </c>
      <c r="B1085" s="374">
        <v>340</v>
      </c>
      <c r="C1085" s="374" t="s">
        <v>1972</v>
      </c>
      <c r="D1085" s="375" t="str">
        <f t="shared" si="227"/>
        <v>Cloverton Estate340</v>
      </c>
      <c r="E1085" s="375" t="s">
        <v>2003</v>
      </c>
      <c r="F1085" s="375" t="s">
        <v>650</v>
      </c>
      <c r="G1085" s="375" t="s">
        <v>1974</v>
      </c>
      <c r="H1085" s="375" t="s">
        <v>1975</v>
      </c>
      <c r="I1085" s="63" t="s">
        <v>1976</v>
      </c>
      <c r="J1085" s="47">
        <f t="shared" si="225"/>
        <v>3740</v>
      </c>
      <c r="K1085" s="46" t="s">
        <v>10735</v>
      </c>
      <c r="L1085" s="47"/>
      <c r="M1085" s="47" t="s">
        <v>10060</v>
      </c>
      <c r="N1085" s="47"/>
      <c r="O1085" s="47"/>
      <c r="P1085" s="47"/>
      <c r="Q1085" s="47"/>
      <c r="R1085" s="47"/>
      <c r="S1085" s="47" t="s">
        <v>463</v>
      </c>
      <c r="T1085" s="47"/>
      <c r="U1085" s="47"/>
      <c r="V1085" s="47"/>
      <c r="W1085" s="47"/>
      <c r="X1085" s="47"/>
      <c r="Y1085" s="47"/>
      <c r="Z1085" s="47">
        <f t="shared" si="226"/>
        <v>4620</v>
      </c>
      <c r="AA1085" s="47"/>
      <c r="AB1085" s="47"/>
      <c r="AC1085" s="47"/>
      <c r="AD1085" s="47"/>
      <c r="AE1085" s="47" t="s">
        <v>1977</v>
      </c>
      <c r="AF1085" s="47"/>
      <c r="AG1085" s="47"/>
      <c r="AH1085" s="47" t="str">
        <f>IFERROR(_xlfn.XLOOKUP(Table6[[#This Row],[Suburb]],Table5[Travel Surcharge],Table5[$$]),"")</f>
        <v/>
      </c>
      <c r="AI1085" s="47"/>
      <c r="AJ1085" s="47"/>
    </row>
    <row r="1086" spans="1:36">
      <c r="A1086" s="374" t="s">
        <v>1971</v>
      </c>
      <c r="B1086" s="374">
        <v>341</v>
      </c>
      <c r="C1086" s="374" t="s">
        <v>1972</v>
      </c>
      <c r="D1086" s="375" t="str">
        <f t="shared" si="227"/>
        <v>Cloverton Estate341</v>
      </c>
      <c r="E1086" s="375" t="s">
        <v>2004</v>
      </c>
      <c r="F1086" s="375" t="s">
        <v>650</v>
      </c>
      <c r="G1086" s="375" t="s">
        <v>1974</v>
      </c>
      <c r="H1086" s="375" t="s">
        <v>1975</v>
      </c>
      <c r="I1086" s="63" t="s">
        <v>1976</v>
      </c>
      <c r="J1086" s="47">
        <f t="shared" ref="J1086:J1110" si="228">J$7</f>
        <v>3740</v>
      </c>
      <c r="K1086" s="46" t="s">
        <v>10735</v>
      </c>
      <c r="L1086" s="47"/>
      <c r="M1086" s="47" t="s">
        <v>10061</v>
      </c>
      <c r="N1086" s="47"/>
      <c r="O1086" s="47"/>
      <c r="P1086" s="47"/>
      <c r="Q1086" s="47"/>
      <c r="R1086" s="47"/>
      <c r="S1086" s="47" t="s">
        <v>463</v>
      </c>
      <c r="T1086" s="47"/>
      <c r="U1086" s="47"/>
      <c r="V1086" s="47"/>
      <c r="W1086" s="47"/>
      <c r="X1086" s="47"/>
      <c r="Y1086" s="47"/>
      <c r="Z1086" s="47">
        <f t="shared" ref="Z1086:Z1110" si="229">Z$7</f>
        <v>4620</v>
      </c>
      <c r="AA1086" s="47"/>
      <c r="AB1086" s="47"/>
      <c r="AC1086" s="47"/>
      <c r="AD1086" s="47"/>
      <c r="AE1086" s="47" t="s">
        <v>1977</v>
      </c>
      <c r="AF1086" s="47"/>
      <c r="AG1086" s="47"/>
      <c r="AH1086" s="47" t="str">
        <f>IFERROR(_xlfn.XLOOKUP(Table6[[#This Row],[Suburb]],Table5[Travel Surcharge],Table5[$$]),"")</f>
        <v/>
      </c>
      <c r="AI1086" s="47"/>
      <c r="AJ1086" s="47"/>
    </row>
    <row r="1087" spans="1:36">
      <c r="A1087" s="374" t="s">
        <v>1971</v>
      </c>
      <c r="B1087" s="374">
        <v>342</v>
      </c>
      <c r="C1087" s="374" t="s">
        <v>1972</v>
      </c>
      <c r="D1087" s="375" t="str">
        <f t="shared" si="227"/>
        <v>Cloverton Estate342</v>
      </c>
      <c r="E1087" s="375" t="s">
        <v>2005</v>
      </c>
      <c r="F1087" s="375" t="s">
        <v>650</v>
      </c>
      <c r="G1087" s="375" t="s">
        <v>1974</v>
      </c>
      <c r="H1087" s="375" t="s">
        <v>1975</v>
      </c>
      <c r="I1087" s="63" t="s">
        <v>1976</v>
      </c>
      <c r="J1087" s="47">
        <f t="shared" si="228"/>
        <v>3740</v>
      </c>
      <c r="K1087" s="46" t="s">
        <v>10735</v>
      </c>
      <c r="L1087" s="47"/>
      <c r="M1087" s="47" t="s">
        <v>10062</v>
      </c>
      <c r="N1087" s="47"/>
      <c r="O1087" s="47"/>
      <c r="P1087" s="47"/>
      <c r="Q1087" s="47"/>
      <c r="R1087" s="47"/>
      <c r="S1087" s="47" t="s">
        <v>463</v>
      </c>
      <c r="T1087" s="47"/>
      <c r="U1087" s="47"/>
      <c r="V1087" s="47"/>
      <c r="W1087" s="47"/>
      <c r="X1087" s="47"/>
      <c r="Y1087" s="47"/>
      <c r="Z1087" s="47">
        <f t="shared" si="229"/>
        <v>4620</v>
      </c>
      <c r="AA1087" s="47"/>
      <c r="AB1087" s="47"/>
      <c r="AC1087" s="47"/>
      <c r="AD1087" s="47"/>
      <c r="AE1087" s="47" t="s">
        <v>1977</v>
      </c>
      <c r="AF1087" s="47"/>
      <c r="AG1087" s="47"/>
      <c r="AH1087" s="47" t="str">
        <f>IFERROR(_xlfn.XLOOKUP(Table6[[#This Row],[Suburb]],Table5[Travel Surcharge],Table5[$$]),"")</f>
        <v/>
      </c>
      <c r="AI1087" s="47"/>
      <c r="AJ1087" s="47"/>
    </row>
    <row r="1088" spans="1:36">
      <c r="A1088" s="374" t="s">
        <v>1971</v>
      </c>
      <c r="B1088" s="374">
        <v>343</v>
      </c>
      <c r="C1088" s="374" t="s">
        <v>1972</v>
      </c>
      <c r="D1088" s="375" t="str">
        <f t="shared" si="227"/>
        <v>Cloverton Estate343</v>
      </c>
      <c r="E1088" s="375" t="s">
        <v>2006</v>
      </c>
      <c r="F1088" s="375" t="s">
        <v>650</v>
      </c>
      <c r="G1088" s="375" t="s">
        <v>1974</v>
      </c>
      <c r="H1088" s="375" t="s">
        <v>1975</v>
      </c>
      <c r="I1088" s="63" t="s">
        <v>1976</v>
      </c>
      <c r="J1088" s="47">
        <f t="shared" si="228"/>
        <v>3740</v>
      </c>
      <c r="K1088" s="46" t="s">
        <v>10735</v>
      </c>
      <c r="L1088" s="47"/>
      <c r="M1088" s="47" t="s">
        <v>10063</v>
      </c>
      <c r="N1088" s="47"/>
      <c r="O1088" s="47"/>
      <c r="P1088" s="47"/>
      <c r="Q1088" s="47"/>
      <c r="R1088" s="47"/>
      <c r="S1088" s="47" t="s">
        <v>463</v>
      </c>
      <c r="T1088" s="47"/>
      <c r="U1088" s="47"/>
      <c r="V1088" s="47"/>
      <c r="W1088" s="47"/>
      <c r="X1088" s="47"/>
      <c r="Y1088" s="47"/>
      <c r="Z1088" s="47">
        <f t="shared" si="229"/>
        <v>4620</v>
      </c>
      <c r="AA1088" s="47"/>
      <c r="AB1088" s="47"/>
      <c r="AC1088" s="47"/>
      <c r="AD1088" s="47"/>
      <c r="AE1088" s="47" t="s">
        <v>1977</v>
      </c>
      <c r="AF1088" s="47"/>
      <c r="AG1088" s="47"/>
      <c r="AH1088" s="47" t="str">
        <f>IFERROR(_xlfn.XLOOKUP(Table6[[#This Row],[Suburb]],Table5[Travel Surcharge],Table5[$$]),"")</f>
        <v/>
      </c>
      <c r="AI1088" s="47"/>
      <c r="AJ1088" s="47"/>
    </row>
    <row r="1089" spans="1:36">
      <c r="A1089" s="374" t="s">
        <v>1971</v>
      </c>
      <c r="B1089" s="374">
        <v>349</v>
      </c>
      <c r="C1089" s="374" t="s">
        <v>1972</v>
      </c>
      <c r="D1089" s="375" t="str">
        <f t="shared" si="227"/>
        <v>Cloverton Estate349</v>
      </c>
      <c r="E1089" s="375" t="s">
        <v>2007</v>
      </c>
      <c r="F1089" s="375" t="s">
        <v>650</v>
      </c>
      <c r="G1089" s="375" t="s">
        <v>1974</v>
      </c>
      <c r="H1089" s="375" t="s">
        <v>1975</v>
      </c>
      <c r="I1089" s="63" t="s">
        <v>1976</v>
      </c>
      <c r="J1089" s="47">
        <f t="shared" si="228"/>
        <v>3740</v>
      </c>
      <c r="K1089" s="46" t="s">
        <v>10735</v>
      </c>
      <c r="L1089" s="47"/>
      <c r="M1089" s="47" t="s">
        <v>10064</v>
      </c>
      <c r="N1089" s="47"/>
      <c r="O1089" s="47"/>
      <c r="P1089" s="47"/>
      <c r="Q1089" s="47"/>
      <c r="R1089" s="47"/>
      <c r="S1089" s="47" t="s">
        <v>463</v>
      </c>
      <c r="T1089" s="47"/>
      <c r="U1089" s="47"/>
      <c r="V1089" s="47"/>
      <c r="W1089" s="47"/>
      <c r="X1089" s="47"/>
      <c r="Y1089" s="47"/>
      <c r="Z1089" s="47">
        <f t="shared" si="229"/>
        <v>4620</v>
      </c>
      <c r="AA1089" s="47"/>
      <c r="AB1089" s="47"/>
      <c r="AC1089" s="47"/>
      <c r="AD1089" s="47"/>
      <c r="AE1089" s="47" t="s">
        <v>1977</v>
      </c>
      <c r="AF1089" s="47"/>
      <c r="AG1089" s="47"/>
      <c r="AH1089" s="47" t="str">
        <f>IFERROR(_xlfn.XLOOKUP(Table6[[#This Row],[Suburb]],Table5[Travel Surcharge],Table5[$$]),"")</f>
        <v/>
      </c>
      <c r="AI1089" s="47"/>
      <c r="AJ1089" s="47"/>
    </row>
    <row r="1090" spans="1:36">
      <c r="A1090" s="157" t="s">
        <v>1971</v>
      </c>
      <c r="B1090" s="157">
        <v>351</v>
      </c>
      <c r="C1090" s="157" t="s">
        <v>1972</v>
      </c>
      <c r="D1090" s="157" t="str">
        <f t="shared" si="227"/>
        <v>Cloverton Estate351</v>
      </c>
      <c r="E1090" s="157" t="s">
        <v>7768</v>
      </c>
      <c r="F1090" s="157" t="s">
        <v>650</v>
      </c>
      <c r="G1090" s="157" t="s">
        <v>1974</v>
      </c>
      <c r="H1090" s="157" t="s">
        <v>1975</v>
      </c>
      <c r="I1090" s="158" t="s">
        <v>1976</v>
      </c>
      <c r="J1090" s="47">
        <f t="shared" si="228"/>
        <v>3740</v>
      </c>
      <c r="K1090" s="46" t="s">
        <v>10735</v>
      </c>
      <c r="L1090" s="47"/>
      <c r="M1090" s="47" t="s">
        <v>10065</v>
      </c>
      <c r="N1090" s="47"/>
      <c r="O1090" s="47"/>
      <c r="P1090" s="47"/>
      <c r="Q1090" s="47"/>
      <c r="R1090" s="47"/>
      <c r="S1090" s="47" t="s">
        <v>463</v>
      </c>
      <c r="T1090" s="47"/>
      <c r="U1090" s="47"/>
      <c r="V1090" s="47"/>
      <c r="W1090" s="47"/>
      <c r="X1090" s="47"/>
      <c r="Y1090" s="47"/>
      <c r="Z1090" s="47">
        <f t="shared" si="229"/>
        <v>4620</v>
      </c>
      <c r="AA1090" s="47"/>
      <c r="AB1090" s="47"/>
      <c r="AC1090" s="47"/>
      <c r="AD1090" s="47"/>
      <c r="AE1090" s="47" t="s">
        <v>1977</v>
      </c>
      <c r="AF1090" s="47"/>
      <c r="AG1090" s="47"/>
      <c r="AH1090" s="47" t="str">
        <f>IFERROR(_xlfn.XLOOKUP(Table6[[#This Row],[Suburb]],Table5[Travel Surcharge],Table5[$$]),"")</f>
        <v/>
      </c>
      <c r="AI1090" s="47"/>
      <c r="AJ1090" s="47"/>
    </row>
    <row r="1091" spans="1:36">
      <c r="A1091" s="374" t="s">
        <v>1971</v>
      </c>
      <c r="B1091" s="374">
        <v>352</v>
      </c>
      <c r="C1091" s="374" t="s">
        <v>1972</v>
      </c>
      <c r="D1091" s="375" t="str">
        <f t="shared" si="227"/>
        <v>Cloverton Estate352</v>
      </c>
      <c r="E1091" s="375" t="s">
        <v>2008</v>
      </c>
      <c r="F1091" s="375" t="s">
        <v>650</v>
      </c>
      <c r="G1091" s="375" t="s">
        <v>1974</v>
      </c>
      <c r="H1091" s="375" t="s">
        <v>1975</v>
      </c>
      <c r="I1091" s="63" t="s">
        <v>1976</v>
      </c>
      <c r="J1091" s="47">
        <f t="shared" si="228"/>
        <v>3740</v>
      </c>
      <c r="K1091" s="46" t="s">
        <v>10735</v>
      </c>
      <c r="L1091" s="47"/>
      <c r="M1091" s="47" t="s">
        <v>10066</v>
      </c>
      <c r="N1091" s="47"/>
      <c r="O1091" s="47"/>
      <c r="P1091" s="47"/>
      <c r="Q1091" s="47"/>
      <c r="R1091" s="47"/>
      <c r="S1091" s="47" t="s">
        <v>463</v>
      </c>
      <c r="T1091" s="47"/>
      <c r="U1091" s="47"/>
      <c r="V1091" s="47"/>
      <c r="W1091" s="47"/>
      <c r="X1091" s="47"/>
      <c r="Y1091" s="47"/>
      <c r="Z1091" s="47">
        <f t="shared" si="229"/>
        <v>4620</v>
      </c>
      <c r="AA1091" s="47"/>
      <c r="AB1091" s="47"/>
      <c r="AC1091" s="47"/>
      <c r="AD1091" s="47"/>
      <c r="AE1091" s="47" t="s">
        <v>1977</v>
      </c>
      <c r="AF1091" s="47"/>
      <c r="AG1091" s="47"/>
      <c r="AH1091" s="47" t="str">
        <f>IFERROR(_xlfn.XLOOKUP(Table6[[#This Row],[Suburb]],Table5[Travel Surcharge],Table5[$$]),"")</f>
        <v/>
      </c>
      <c r="AI1091" s="47"/>
      <c r="AJ1091" s="47"/>
    </row>
    <row r="1092" spans="1:36">
      <c r="A1092" s="374" t="s">
        <v>1971</v>
      </c>
      <c r="B1092" s="374">
        <v>353</v>
      </c>
      <c r="C1092" s="374" t="s">
        <v>1972</v>
      </c>
      <c r="D1092" s="375" t="str">
        <f t="shared" si="227"/>
        <v>Cloverton Estate353</v>
      </c>
      <c r="E1092" s="375" t="s">
        <v>2009</v>
      </c>
      <c r="F1092" s="375" t="s">
        <v>650</v>
      </c>
      <c r="G1092" s="375" t="s">
        <v>1974</v>
      </c>
      <c r="H1092" s="375" t="s">
        <v>1975</v>
      </c>
      <c r="I1092" s="63" t="s">
        <v>1976</v>
      </c>
      <c r="J1092" s="47">
        <f t="shared" si="228"/>
        <v>3740</v>
      </c>
      <c r="K1092" s="46" t="s">
        <v>10735</v>
      </c>
      <c r="L1092" s="47"/>
      <c r="M1092" s="47" t="s">
        <v>10067</v>
      </c>
      <c r="N1092" s="47"/>
      <c r="O1092" s="47"/>
      <c r="P1092" s="47"/>
      <c r="Q1092" s="47"/>
      <c r="R1092" s="47"/>
      <c r="S1092" s="47" t="s">
        <v>463</v>
      </c>
      <c r="T1092" s="47"/>
      <c r="U1092" s="47"/>
      <c r="V1092" s="47"/>
      <c r="W1092" s="47"/>
      <c r="X1092" s="47"/>
      <c r="Y1092" s="47"/>
      <c r="Z1092" s="47">
        <f t="shared" si="229"/>
        <v>4620</v>
      </c>
      <c r="AA1092" s="47"/>
      <c r="AB1092" s="47"/>
      <c r="AC1092" s="47"/>
      <c r="AD1092" s="47"/>
      <c r="AE1092" s="47" t="s">
        <v>1977</v>
      </c>
      <c r="AF1092" s="47"/>
      <c r="AG1092" s="47"/>
      <c r="AH1092" s="47" t="str">
        <f>IFERROR(_xlfn.XLOOKUP(Table6[[#This Row],[Suburb]],Table5[Travel Surcharge],Table5[$$]),"")</f>
        <v/>
      </c>
      <c r="AI1092" s="47"/>
      <c r="AJ1092" s="47"/>
    </row>
    <row r="1093" spans="1:36">
      <c r="A1093" s="374" t="s">
        <v>1971</v>
      </c>
      <c r="B1093" s="374">
        <v>355</v>
      </c>
      <c r="C1093" s="374" t="s">
        <v>1972</v>
      </c>
      <c r="D1093" s="375" t="str">
        <f t="shared" si="227"/>
        <v>Cloverton Estate355</v>
      </c>
      <c r="E1093" s="375" t="s">
        <v>2010</v>
      </c>
      <c r="F1093" s="375" t="s">
        <v>650</v>
      </c>
      <c r="G1093" s="375" t="s">
        <v>1974</v>
      </c>
      <c r="H1093" s="375" t="s">
        <v>1975</v>
      </c>
      <c r="I1093" s="63" t="s">
        <v>1976</v>
      </c>
      <c r="J1093" s="47">
        <f t="shared" si="228"/>
        <v>3740</v>
      </c>
      <c r="K1093" s="46" t="s">
        <v>10735</v>
      </c>
      <c r="L1093" s="47"/>
      <c r="M1093" s="47" t="s">
        <v>10068</v>
      </c>
      <c r="N1093" s="47"/>
      <c r="O1093" s="47"/>
      <c r="P1093" s="47"/>
      <c r="Q1093" s="47"/>
      <c r="R1093" s="47"/>
      <c r="S1093" s="47" t="s">
        <v>463</v>
      </c>
      <c r="T1093" s="47"/>
      <c r="U1093" s="47"/>
      <c r="V1093" s="47"/>
      <c r="W1093" s="47"/>
      <c r="X1093" s="47"/>
      <c r="Y1093" s="47"/>
      <c r="Z1093" s="47">
        <f t="shared" si="229"/>
        <v>4620</v>
      </c>
      <c r="AA1093" s="47"/>
      <c r="AB1093" s="47"/>
      <c r="AC1093" s="47"/>
      <c r="AD1093" s="47"/>
      <c r="AE1093" s="47" t="s">
        <v>1977</v>
      </c>
      <c r="AF1093" s="47"/>
      <c r="AG1093" s="47"/>
      <c r="AH1093" s="47" t="str">
        <f>IFERROR(_xlfn.XLOOKUP(Table6[[#This Row],[Suburb]],Table5[Travel Surcharge],Table5[$$]),"")</f>
        <v/>
      </c>
      <c r="AI1093" s="47"/>
      <c r="AJ1093" s="47"/>
    </row>
    <row r="1094" spans="1:36">
      <c r="A1094" s="374" t="s">
        <v>1971</v>
      </c>
      <c r="B1094" s="374">
        <v>356</v>
      </c>
      <c r="C1094" s="374" t="s">
        <v>1972</v>
      </c>
      <c r="D1094" s="375" t="str">
        <f t="shared" si="227"/>
        <v>Cloverton Estate356</v>
      </c>
      <c r="E1094" s="375" t="s">
        <v>2011</v>
      </c>
      <c r="F1094" s="375" t="s">
        <v>650</v>
      </c>
      <c r="G1094" s="375" t="s">
        <v>1974</v>
      </c>
      <c r="H1094" s="375" t="s">
        <v>1975</v>
      </c>
      <c r="I1094" s="63" t="s">
        <v>1976</v>
      </c>
      <c r="J1094" s="47">
        <f t="shared" si="228"/>
        <v>3740</v>
      </c>
      <c r="K1094" s="46" t="s">
        <v>10735</v>
      </c>
      <c r="L1094" s="47"/>
      <c r="M1094" s="47" t="s">
        <v>10069</v>
      </c>
      <c r="N1094" s="47"/>
      <c r="O1094" s="47"/>
      <c r="P1094" s="47"/>
      <c r="Q1094" s="47"/>
      <c r="R1094" s="47"/>
      <c r="S1094" s="47" t="s">
        <v>463</v>
      </c>
      <c r="T1094" s="47"/>
      <c r="U1094" s="47"/>
      <c r="V1094" s="47"/>
      <c r="W1094" s="47"/>
      <c r="X1094" s="47"/>
      <c r="Y1094" s="47"/>
      <c r="Z1094" s="47">
        <f t="shared" si="229"/>
        <v>4620</v>
      </c>
      <c r="AA1094" s="47"/>
      <c r="AB1094" s="47"/>
      <c r="AC1094" s="47"/>
      <c r="AD1094" s="47"/>
      <c r="AE1094" s="47" t="s">
        <v>1977</v>
      </c>
      <c r="AF1094" s="47"/>
      <c r="AG1094" s="47"/>
      <c r="AH1094" s="47" t="str">
        <f>IFERROR(_xlfn.XLOOKUP(Table6[[#This Row],[Suburb]],Table5[Travel Surcharge],Table5[$$]),"")</f>
        <v/>
      </c>
      <c r="AI1094" s="47"/>
      <c r="AJ1094" s="47"/>
    </row>
    <row r="1095" spans="1:36">
      <c r="A1095" s="374" t="s">
        <v>1971</v>
      </c>
      <c r="B1095" s="374">
        <v>360</v>
      </c>
      <c r="C1095" s="374" t="s">
        <v>1972</v>
      </c>
      <c r="D1095" s="375" t="str">
        <f t="shared" si="227"/>
        <v>Cloverton Estate360</v>
      </c>
      <c r="E1095" s="375" t="s">
        <v>2012</v>
      </c>
      <c r="F1095" s="375" t="s">
        <v>650</v>
      </c>
      <c r="G1095" s="375" t="s">
        <v>1974</v>
      </c>
      <c r="H1095" s="375" t="s">
        <v>1975</v>
      </c>
      <c r="I1095" s="63" t="s">
        <v>1976</v>
      </c>
      <c r="J1095" s="47">
        <f t="shared" si="228"/>
        <v>3740</v>
      </c>
      <c r="K1095" s="46" t="s">
        <v>10735</v>
      </c>
      <c r="L1095" s="47"/>
      <c r="M1095" s="47" t="s">
        <v>10070</v>
      </c>
      <c r="N1095" s="47"/>
      <c r="O1095" s="47"/>
      <c r="P1095" s="47"/>
      <c r="Q1095" s="47"/>
      <c r="R1095" s="47"/>
      <c r="S1095" s="47" t="s">
        <v>463</v>
      </c>
      <c r="T1095" s="47"/>
      <c r="U1095" s="47"/>
      <c r="V1095" s="47"/>
      <c r="W1095" s="47"/>
      <c r="X1095" s="47"/>
      <c r="Y1095" s="47"/>
      <c r="Z1095" s="47">
        <f t="shared" si="229"/>
        <v>4620</v>
      </c>
      <c r="AA1095" s="47"/>
      <c r="AB1095" s="47"/>
      <c r="AC1095" s="47"/>
      <c r="AD1095" s="47"/>
      <c r="AE1095" s="47" t="s">
        <v>1977</v>
      </c>
      <c r="AF1095" s="47"/>
      <c r="AG1095" s="47"/>
      <c r="AH1095" s="47" t="str">
        <f>IFERROR(_xlfn.XLOOKUP(Table6[[#This Row],[Suburb]],Table5[Travel Surcharge],Table5[$$]),"")</f>
        <v/>
      </c>
      <c r="AI1095" s="47"/>
      <c r="AJ1095" s="47"/>
    </row>
    <row r="1096" spans="1:36">
      <c r="A1096" s="374" t="s">
        <v>1971</v>
      </c>
      <c r="B1096" s="374">
        <v>366</v>
      </c>
      <c r="C1096" s="374" t="s">
        <v>1972</v>
      </c>
      <c r="D1096" s="375" t="str">
        <f t="shared" si="227"/>
        <v>Cloverton Estate366</v>
      </c>
      <c r="E1096" s="375" t="s">
        <v>2013</v>
      </c>
      <c r="F1096" s="375" t="s">
        <v>650</v>
      </c>
      <c r="G1096" s="375" t="s">
        <v>1974</v>
      </c>
      <c r="H1096" s="375" t="s">
        <v>1975</v>
      </c>
      <c r="I1096" s="63" t="s">
        <v>1976</v>
      </c>
      <c r="J1096" s="47">
        <f t="shared" si="228"/>
        <v>3740</v>
      </c>
      <c r="K1096" s="46" t="s">
        <v>10735</v>
      </c>
      <c r="L1096" s="47"/>
      <c r="M1096" s="47" t="s">
        <v>10071</v>
      </c>
      <c r="N1096" s="47"/>
      <c r="O1096" s="47"/>
      <c r="P1096" s="47"/>
      <c r="Q1096" s="47"/>
      <c r="R1096" s="47"/>
      <c r="S1096" s="47" t="s">
        <v>463</v>
      </c>
      <c r="T1096" s="47"/>
      <c r="U1096" s="47"/>
      <c r="V1096" s="47"/>
      <c r="W1096" s="47"/>
      <c r="X1096" s="47"/>
      <c r="Y1096" s="47"/>
      <c r="Z1096" s="47">
        <f t="shared" si="229"/>
        <v>4620</v>
      </c>
      <c r="AA1096" s="47"/>
      <c r="AB1096" s="47"/>
      <c r="AC1096" s="47"/>
      <c r="AD1096" s="47"/>
      <c r="AE1096" s="47" t="s">
        <v>1977</v>
      </c>
      <c r="AF1096" s="47"/>
      <c r="AG1096" s="47"/>
      <c r="AH1096" s="47" t="str">
        <f>IFERROR(_xlfn.XLOOKUP(Table6[[#This Row],[Suburb]],Table5[Travel Surcharge],Table5[$$]),"")</f>
        <v/>
      </c>
      <c r="AI1096" s="47"/>
      <c r="AJ1096" s="47"/>
    </row>
    <row r="1097" spans="1:36">
      <c r="A1097" s="374" t="s">
        <v>1971</v>
      </c>
      <c r="B1097" s="374">
        <v>368</v>
      </c>
      <c r="C1097" s="374" t="s">
        <v>1972</v>
      </c>
      <c r="D1097" s="375" t="str">
        <f t="shared" si="227"/>
        <v>Cloverton Estate368</v>
      </c>
      <c r="E1097" s="375" t="s">
        <v>2014</v>
      </c>
      <c r="F1097" s="375" t="s">
        <v>650</v>
      </c>
      <c r="G1097" s="375" t="s">
        <v>1974</v>
      </c>
      <c r="H1097" s="375" t="s">
        <v>1975</v>
      </c>
      <c r="I1097" s="63" t="s">
        <v>1976</v>
      </c>
      <c r="J1097" s="47">
        <f t="shared" si="228"/>
        <v>3740</v>
      </c>
      <c r="K1097" s="46" t="s">
        <v>10735</v>
      </c>
      <c r="L1097" s="47"/>
      <c r="M1097" s="47" t="s">
        <v>10072</v>
      </c>
      <c r="N1097" s="47"/>
      <c r="O1097" s="47"/>
      <c r="P1097" s="47"/>
      <c r="Q1097" s="47"/>
      <c r="R1097" s="47"/>
      <c r="S1097" s="47" t="s">
        <v>463</v>
      </c>
      <c r="T1097" s="47"/>
      <c r="U1097" s="47"/>
      <c r="V1097" s="47"/>
      <c r="W1097" s="47"/>
      <c r="X1097" s="47"/>
      <c r="Y1097" s="47"/>
      <c r="Z1097" s="47">
        <f t="shared" si="229"/>
        <v>4620</v>
      </c>
      <c r="AA1097" s="47"/>
      <c r="AB1097" s="47"/>
      <c r="AC1097" s="47"/>
      <c r="AD1097" s="47"/>
      <c r="AE1097" s="47" t="s">
        <v>1977</v>
      </c>
      <c r="AF1097" s="47"/>
      <c r="AG1097" s="47"/>
      <c r="AH1097" s="47" t="str">
        <f>IFERROR(_xlfn.XLOOKUP(Table6[[#This Row],[Suburb]],Table5[Travel Surcharge],Table5[$$]),"")</f>
        <v/>
      </c>
      <c r="AI1097" s="47"/>
      <c r="AJ1097" s="47"/>
    </row>
    <row r="1098" spans="1:36">
      <c r="A1098" s="374" t="s">
        <v>1971</v>
      </c>
      <c r="B1098" s="374">
        <v>371</v>
      </c>
      <c r="C1098" s="374" t="s">
        <v>1972</v>
      </c>
      <c r="D1098" s="375" t="str">
        <f t="shared" si="227"/>
        <v>Cloverton Estate371</v>
      </c>
      <c r="E1098" s="375" t="s">
        <v>8968</v>
      </c>
      <c r="F1098" s="375" t="s">
        <v>650</v>
      </c>
      <c r="G1098" s="375" t="s">
        <v>1974</v>
      </c>
      <c r="H1098" s="375" t="s">
        <v>1975</v>
      </c>
      <c r="I1098" s="63" t="s">
        <v>1976</v>
      </c>
      <c r="J1098" s="47">
        <f t="shared" si="228"/>
        <v>3740</v>
      </c>
      <c r="K1098" s="46" t="s">
        <v>10735</v>
      </c>
      <c r="L1098" s="47" t="s">
        <v>2016</v>
      </c>
      <c r="M1098" s="47" t="s">
        <v>10073</v>
      </c>
      <c r="N1098" s="47" t="s">
        <v>2017</v>
      </c>
      <c r="O1098" s="47" t="s">
        <v>2018</v>
      </c>
      <c r="P1098" s="47"/>
      <c r="Q1098" s="47"/>
      <c r="R1098" s="47"/>
      <c r="S1098" s="47" t="s">
        <v>1030</v>
      </c>
      <c r="T1098" s="47" t="s">
        <v>2019</v>
      </c>
      <c r="U1098" s="47"/>
      <c r="V1098" s="47"/>
      <c r="W1098" s="47"/>
      <c r="X1098" s="47"/>
      <c r="Y1098" s="47"/>
      <c r="Z1098" s="47">
        <f t="shared" si="229"/>
        <v>4620</v>
      </c>
      <c r="AA1098" s="47"/>
      <c r="AB1098" s="47"/>
      <c r="AC1098" s="47"/>
      <c r="AD1098" s="47"/>
      <c r="AE1098" s="47" t="s">
        <v>1977</v>
      </c>
      <c r="AF1098" s="47"/>
      <c r="AG1098" s="47"/>
      <c r="AH1098" s="47" t="str">
        <f>IFERROR(_xlfn.XLOOKUP(Table6[[#This Row],[Suburb]],Table5[Travel Surcharge],Table5[$$]),"")</f>
        <v/>
      </c>
      <c r="AI1098" s="47"/>
      <c r="AJ1098" s="47"/>
    </row>
    <row r="1099" spans="1:36">
      <c r="A1099" s="374" t="s">
        <v>1971</v>
      </c>
      <c r="B1099" s="374">
        <v>372</v>
      </c>
      <c r="C1099" s="374" t="s">
        <v>1972</v>
      </c>
      <c r="D1099" s="375" t="str">
        <f t="shared" si="227"/>
        <v>Cloverton Estate372</v>
      </c>
      <c r="E1099" s="375" t="s">
        <v>2015</v>
      </c>
      <c r="F1099" s="375" t="s">
        <v>650</v>
      </c>
      <c r="G1099" s="375" t="s">
        <v>1974</v>
      </c>
      <c r="H1099" s="375" t="s">
        <v>1975</v>
      </c>
      <c r="I1099" s="63" t="s">
        <v>1976</v>
      </c>
      <c r="J1099" s="47">
        <f t="shared" si="228"/>
        <v>3740</v>
      </c>
      <c r="K1099" s="46" t="s">
        <v>10735</v>
      </c>
      <c r="L1099" s="47" t="s">
        <v>2016</v>
      </c>
      <c r="M1099" s="47" t="s">
        <v>10074</v>
      </c>
      <c r="N1099" s="47" t="s">
        <v>2017</v>
      </c>
      <c r="O1099" s="47" t="s">
        <v>2018</v>
      </c>
      <c r="P1099" s="47"/>
      <c r="Q1099" s="47"/>
      <c r="R1099" s="47"/>
      <c r="S1099" s="47" t="s">
        <v>1030</v>
      </c>
      <c r="T1099" s="47" t="s">
        <v>2019</v>
      </c>
      <c r="U1099" s="47"/>
      <c r="V1099" s="47"/>
      <c r="W1099" s="47"/>
      <c r="X1099" s="47"/>
      <c r="Y1099" s="47"/>
      <c r="Z1099" s="47">
        <f t="shared" si="229"/>
        <v>4620</v>
      </c>
      <c r="AA1099" s="47"/>
      <c r="AB1099" s="47"/>
      <c r="AC1099" s="47"/>
      <c r="AD1099" s="47"/>
      <c r="AE1099" s="47" t="s">
        <v>1977</v>
      </c>
      <c r="AF1099" s="47"/>
      <c r="AG1099" s="47"/>
      <c r="AH1099" s="47" t="str">
        <f>IFERROR(_xlfn.XLOOKUP(Table6[[#This Row],[Suburb]],Table5[Travel Surcharge],Table5[$$]),"")</f>
        <v/>
      </c>
      <c r="AI1099" s="47"/>
      <c r="AJ1099" s="47"/>
    </row>
    <row r="1100" spans="1:36">
      <c r="A1100" s="374" t="s">
        <v>1971</v>
      </c>
      <c r="B1100" s="374">
        <v>373</v>
      </c>
      <c r="C1100" s="374" t="s">
        <v>7419</v>
      </c>
      <c r="D1100" s="375" t="str">
        <f t="shared" si="227"/>
        <v>Cloverton Estate373</v>
      </c>
      <c r="E1100" s="157" t="s">
        <v>7422</v>
      </c>
      <c r="F1100" s="157" t="s">
        <v>650</v>
      </c>
      <c r="G1100" s="157" t="s">
        <v>1974</v>
      </c>
      <c r="H1100" s="157" t="s">
        <v>7420</v>
      </c>
      <c r="I1100" s="158" t="s">
        <v>1976</v>
      </c>
      <c r="J1100" s="47">
        <f t="shared" si="228"/>
        <v>3740</v>
      </c>
      <c r="K1100" s="46" t="s">
        <v>10735</v>
      </c>
      <c r="L1100" s="47" t="s">
        <v>2016</v>
      </c>
      <c r="M1100" s="47" t="s">
        <v>10075</v>
      </c>
      <c r="N1100" s="47" t="s">
        <v>2017</v>
      </c>
      <c r="O1100" s="47" t="s">
        <v>2018</v>
      </c>
      <c r="P1100" s="47"/>
      <c r="Q1100" s="47"/>
      <c r="R1100" s="47"/>
      <c r="S1100" s="47" t="s">
        <v>1030</v>
      </c>
      <c r="T1100" s="47" t="s">
        <v>2019</v>
      </c>
      <c r="U1100" s="47"/>
      <c r="V1100" s="47"/>
      <c r="W1100" s="47"/>
      <c r="X1100" s="47"/>
      <c r="Y1100" s="47"/>
      <c r="Z1100" s="47">
        <f t="shared" si="229"/>
        <v>4620</v>
      </c>
      <c r="AA1100" s="47"/>
      <c r="AB1100" s="47"/>
      <c r="AC1100" s="47"/>
      <c r="AD1100" s="47"/>
      <c r="AE1100" s="47" t="s">
        <v>1977</v>
      </c>
      <c r="AF1100" s="47"/>
      <c r="AG1100" s="47"/>
      <c r="AH1100" s="47" t="str">
        <f>IFERROR(_xlfn.XLOOKUP(Table6[[#This Row],[Suburb]],Table5[Travel Surcharge],Table5[$$]),"")</f>
        <v/>
      </c>
      <c r="AI1100" s="47"/>
      <c r="AJ1100" s="47"/>
    </row>
    <row r="1101" spans="1:36">
      <c r="A1101" s="374" t="s">
        <v>1971</v>
      </c>
      <c r="B1101" s="374">
        <v>375</v>
      </c>
      <c r="C1101" s="374" t="s">
        <v>7419</v>
      </c>
      <c r="D1101" s="375" t="str">
        <f t="shared" si="227"/>
        <v>Cloverton Estate375</v>
      </c>
      <c r="E1101" s="157" t="s">
        <v>8066</v>
      </c>
      <c r="F1101" s="157" t="s">
        <v>650</v>
      </c>
      <c r="G1101" s="157" t="s">
        <v>1974</v>
      </c>
      <c r="H1101" s="157" t="s">
        <v>7420</v>
      </c>
      <c r="I1101" s="158" t="s">
        <v>1976</v>
      </c>
      <c r="J1101" s="47">
        <f t="shared" si="228"/>
        <v>3740</v>
      </c>
      <c r="K1101" s="46" t="s">
        <v>10735</v>
      </c>
      <c r="L1101" s="47" t="s">
        <v>2016</v>
      </c>
      <c r="M1101" s="47" t="s">
        <v>10076</v>
      </c>
      <c r="N1101" s="47" t="s">
        <v>2017</v>
      </c>
      <c r="O1101" s="47" t="s">
        <v>2018</v>
      </c>
      <c r="P1101" s="47"/>
      <c r="Q1101" s="47"/>
      <c r="R1101" s="47"/>
      <c r="S1101" s="47" t="s">
        <v>1030</v>
      </c>
      <c r="T1101" s="47" t="s">
        <v>2019</v>
      </c>
      <c r="U1101" s="47"/>
      <c r="V1101" s="47"/>
      <c r="W1101" s="47"/>
      <c r="X1101" s="47"/>
      <c r="Y1101" s="47"/>
      <c r="Z1101" s="47">
        <f t="shared" si="229"/>
        <v>4620</v>
      </c>
      <c r="AA1101" s="47"/>
      <c r="AB1101" s="47"/>
      <c r="AC1101" s="47"/>
      <c r="AD1101" s="47"/>
      <c r="AE1101" s="47" t="s">
        <v>1977</v>
      </c>
      <c r="AF1101" s="47"/>
      <c r="AG1101" s="47"/>
      <c r="AH1101" s="47" t="str">
        <f>IFERROR(_xlfn.XLOOKUP(Table6[[#This Row],[Suburb]],Table5[Travel Surcharge],Table5[$$]),"")</f>
        <v/>
      </c>
      <c r="AI1101" s="47"/>
      <c r="AJ1101" s="47"/>
    </row>
    <row r="1102" spans="1:36">
      <c r="A1102" s="374" t="s">
        <v>1971</v>
      </c>
      <c r="B1102" s="374">
        <v>604</v>
      </c>
      <c r="C1102" s="374" t="s">
        <v>1972</v>
      </c>
      <c r="D1102" s="375" t="str">
        <f t="shared" si="227"/>
        <v>Cloverton Estate604</v>
      </c>
      <c r="E1102" s="375" t="s">
        <v>9941</v>
      </c>
      <c r="F1102" s="375" t="s">
        <v>650</v>
      </c>
      <c r="G1102" s="375" t="s">
        <v>1974</v>
      </c>
      <c r="H1102" s="375" t="s">
        <v>1975</v>
      </c>
      <c r="I1102" s="63" t="s">
        <v>1976</v>
      </c>
      <c r="J1102" s="47">
        <v>3740</v>
      </c>
      <c r="K1102" s="46" t="s">
        <v>10735</v>
      </c>
      <c r="L1102" s="47"/>
      <c r="M1102" s="47" t="s">
        <v>10077</v>
      </c>
      <c r="N1102" s="47"/>
      <c r="O1102" s="47"/>
      <c r="P1102" s="47"/>
      <c r="Q1102" s="47"/>
      <c r="R1102" s="47"/>
      <c r="S1102" s="47" t="s">
        <v>463</v>
      </c>
      <c r="T1102" s="47"/>
      <c r="U1102" s="47"/>
      <c r="V1102" s="47"/>
      <c r="W1102" s="47"/>
      <c r="X1102" s="47"/>
      <c r="Y1102" s="47"/>
      <c r="Z1102" s="47">
        <v>4620</v>
      </c>
      <c r="AA1102" s="47"/>
      <c r="AB1102" s="47"/>
      <c r="AC1102" s="47"/>
      <c r="AD1102" s="47"/>
      <c r="AE1102" s="47" t="s">
        <v>1977</v>
      </c>
      <c r="AF1102" s="47"/>
      <c r="AG1102" s="47"/>
      <c r="AH1102" s="47" t="str">
        <f>IFERROR(_xlfn.XLOOKUP(Table6[[#This Row],[Suburb]],Table5[Travel Surcharge],Table5[$$]),"")</f>
        <v/>
      </c>
      <c r="AI1102" s="47"/>
      <c r="AJ1102" s="47"/>
    </row>
    <row r="1103" spans="1:36">
      <c r="A1103" s="374" t="s">
        <v>1971</v>
      </c>
      <c r="B1103" s="374">
        <v>606</v>
      </c>
      <c r="C1103" s="374" t="s">
        <v>1972</v>
      </c>
      <c r="D1103" s="375" t="str">
        <f t="shared" si="227"/>
        <v>Cloverton Estate606</v>
      </c>
      <c r="E1103" s="375" t="s">
        <v>10869</v>
      </c>
      <c r="F1103" s="375" t="s">
        <v>650</v>
      </c>
      <c r="G1103" s="375" t="s">
        <v>1974</v>
      </c>
      <c r="H1103" s="375" t="s">
        <v>1975</v>
      </c>
      <c r="I1103" s="63" t="s">
        <v>1976</v>
      </c>
      <c r="J1103" s="47">
        <v>3740</v>
      </c>
      <c r="K1103" s="46" t="s">
        <v>10735</v>
      </c>
      <c r="L1103" s="47"/>
      <c r="M1103" s="47" t="s">
        <v>10077</v>
      </c>
      <c r="N1103" s="47"/>
      <c r="O1103" s="47"/>
      <c r="P1103" s="47"/>
      <c r="Q1103" s="47"/>
      <c r="R1103" s="47"/>
      <c r="S1103" s="47" t="s">
        <v>463</v>
      </c>
      <c r="T1103" s="47"/>
      <c r="U1103" s="47"/>
      <c r="V1103" s="47"/>
      <c r="W1103" s="47"/>
      <c r="X1103" s="47"/>
      <c r="Y1103" s="47"/>
      <c r="Z1103" s="47">
        <v>4620</v>
      </c>
      <c r="AA1103" s="47"/>
      <c r="AB1103" s="47"/>
      <c r="AC1103" s="47"/>
      <c r="AD1103" s="47"/>
      <c r="AE1103" s="47" t="s">
        <v>1977</v>
      </c>
      <c r="AF1103" s="47"/>
      <c r="AG1103" s="47"/>
      <c r="AH1103" s="47" t="s">
        <v>9976</v>
      </c>
      <c r="AI1103" s="47"/>
      <c r="AJ1103" s="47"/>
    </row>
    <row r="1104" spans="1:36">
      <c r="A1104" s="374" t="s">
        <v>1971</v>
      </c>
      <c r="B1104" s="374">
        <v>607</v>
      </c>
      <c r="C1104" s="374" t="s">
        <v>1972</v>
      </c>
      <c r="D1104" s="375" t="str">
        <f t="shared" si="227"/>
        <v>Cloverton Estate607</v>
      </c>
      <c r="E1104" s="375" t="s">
        <v>10729</v>
      </c>
      <c r="F1104" s="375" t="s">
        <v>650</v>
      </c>
      <c r="G1104" s="375" t="s">
        <v>1974</v>
      </c>
      <c r="H1104" s="375" t="s">
        <v>1975</v>
      </c>
      <c r="I1104" s="63" t="s">
        <v>1976</v>
      </c>
      <c r="J1104" s="47">
        <v>3740</v>
      </c>
      <c r="K1104" s="46" t="s">
        <v>10735</v>
      </c>
      <c r="L1104" s="47"/>
      <c r="M1104" s="47" t="s">
        <v>10077</v>
      </c>
      <c r="N1104" s="47"/>
      <c r="O1104" s="47"/>
      <c r="P1104" s="47"/>
      <c r="Q1104" s="47"/>
      <c r="R1104" s="47"/>
      <c r="S1104" s="47" t="s">
        <v>463</v>
      </c>
      <c r="T1104" s="47"/>
      <c r="U1104" s="47"/>
      <c r="V1104" s="47"/>
      <c r="W1104" s="47"/>
      <c r="X1104" s="47"/>
      <c r="Y1104" s="47"/>
      <c r="Z1104" s="47">
        <v>4620</v>
      </c>
      <c r="AA1104" s="47"/>
      <c r="AB1104" s="47"/>
      <c r="AC1104" s="47"/>
      <c r="AD1104" s="47"/>
      <c r="AE1104" s="47" t="s">
        <v>1977</v>
      </c>
      <c r="AF1104" s="47"/>
      <c r="AG1104" s="47"/>
      <c r="AH1104" s="47" t="s">
        <v>9976</v>
      </c>
      <c r="AI1104" s="47"/>
      <c r="AJ1104" s="47"/>
    </row>
    <row r="1105" spans="1:36">
      <c r="A1105" s="374" t="s">
        <v>1971</v>
      </c>
      <c r="B1105" s="374">
        <v>609</v>
      </c>
      <c r="C1105" s="374" t="s">
        <v>1972</v>
      </c>
      <c r="D1105" s="375" t="str">
        <f t="shared" si="227"/>
        <v>Cloverton Estate609</v>
      </c>
      <c r="E1105" s="375" t="s">
        <v>10619</v>
      </c>
      <c r="F1105" s="375" t="s">
        <v>650</v>
      </c>
      <c r="G1105" s="375" t="s">
        <v>1974</v>
      </c>
      <c r="H1105" s="375" t="s">
        <v>1975</v>
      </c>
      <c r="I1105" s="63" t="s">
        <v>1976</v>
      </c>
      <c r="J1105" s="47">
        <v>3740</v>
      </c>
      <c r="K1105" s="46" t="s">
        <v>10735</v>
      </c>
      <c r="L1105" s="47"/>
      <c r="M1105" s="47" t="s">
        <v>10077</v>
      </c>
      <c r="N1105" s="47"/>
      <c r="O1105" s="47"/>
      <c r="P1105" s="47"/>
      <c r="Q1105" s="47"/>
      <c r="R1105" s="47"/>
      <c r="S1105" s="47" t="s">
        <v>463</v>
      </c>
      <c r="T1105" s="47"/>
      <c r="U1105" s="47"/>
      <c r="V1105" s="47"/>
      <c r="W1105" s="47"/>
      <c r="X1105" s="47"/>
      <c r="Y1105" s="47"/>
      <c r="Z1105" s="47">
        <v>4620</v>
      </c>
      <c r="AA1105" s="47"/>
      <c r="AB1105" s="47"/>
      <c r="AC1105" s="47"/>
      <c r="AD1105" s="47"/>
      <c r="AE1105" s="47" t="s">
        <v>1977</v>
      </c>
      <c r="AF1105" s="47"/>
      <c r="AG1105" s="47"/>
      <c r="AH1105" s="47" t="s">
        <v>9976</v>
      </c>
      <c r="AI1105" s="47"/>
      <c r="AJ1105" s="47"/>
    </row>
    <row r="1106" spans="1:36">
      <c r="A1106" s="374" t="s">
        <v>1971</v>
      </c>
      <c r="B1106" s="374">
        <v>1206</v>
      </c>
      <c r="C1106" s="374" t="s">
        <v>1972</v>
      </c>
      <c r="D1106" s="375" t="str">
        <f t="shared" si="227"/>
        <v>Cloverton Estate1206</v>
      </c>
      <c r="E1106" s="375" t="s">
        <v>2020</v>
      </c>
      <c r="F1106" s="375" t="s">
        <v>650</v>
      </c>
      <c r="G1106" s="375" t="s">
        <v>1974</v>
      </c>
      <c r="H1106" s="375" t="s">
        <v>1975</v>
      </c>
      <c r="I1106" s="63" t="s">
        <v>1976</v>
      </c>
      <c r="J1106" s="47">
        <f t="shared" si="228"/>
        <v>3740</v>
      </c>
      <c r="K1106" s="46" t="s">
        <v>10735</v>
      </c>
      <c r="L1106" s="47"/>
      <c r="M1106" s="47" t="s">
        <v>10078</v>
      </c>
      <c r="N1106" s="47"/>
      <c r="O1106" s="47"/>
      <c r="P1106" s="47"/>
      <c r="Q1106" s="47"/>
      <c r="R1106" s="47"/>
      <c r="S1106" s="47" t="s">
        <v>463</v>
      </c>
      <c r="T1106" s="47"/>
      <c r="U1106" s="47"/>
      <c r="V1106" s="47"/>
      <c r="W1106" s="47"/>
      <c r="X1106" s="47"/>
      <c r="Y1106" s="47"/>
      <c r="Z1106" s="47">
        <f t="shared" si="229"/>
        <v>4620</v>
      </c>
      <c r="AA1106" s="47"/>
      <c r="AB1106" s="47"/>
      <c r="AC1106" s="47"/>
      <c r="AD1106" s="47"/>
      <c r="AE1106" s="47" t="s">
        <v>1977</v>
      </c>
      <c r="AF1106" s="47"/>
      <c r="AG1106" s="47"/>
      <c r="AH1106" s="47" t="str">
        <f>IFERROR(_xlfn.XLOOKUP(Table6[[#This Row],[Suburb]],Table5[Travel Surcharge],Table5[$$]),"")</f>
        <v/>
      </c>
      <c r="AI1106" s="47"/>
      <c r="AJ1106" s="47"/>
    </row>
    <row r="1107" spans="1:36">
      <c r="A1107" s="374" t="s">
        <v>2021</v>
      </c>
      <c r="B1107" s="374">
        <v>6</v>
      </c>
      <c r="C1107" s="374" t="s">
        <v>529</v>
      </c>
      <c r="D1107" s="375" t="s">
        <v>9856</v>
      </c>
      <c r="E1107" s="375" t="s">
        <v>9857</v>
      </c>
      <c r="F1107" s="375" t="s">
        <v>761</v>
      </c>
      <c r="G1107" s="375" t="s">
        <v>2023</v>
      </c>
      <c r="H1107" s="375" t="s">
        <v>2024</v>
      </c>
      <c r="I1107" s="63" t="s">
        <v>2025</v>
      </c>
      <c r="J1107" s="47">
        <v>3740</v>
      </c>
      <c r="K1107" s="46" t="s">
        <v>10735</v>
      </c>
      <c r="L1107" s="47"/>
      <c r="M1107" s="47">
        <v>1430.0000000000002</v>
      </c>
      <c r="N1107" s="47"/>
      <c r="O1107" s="47"/>
      <c r="P1107" s="47"/>
      <c r="Q1107" s="47"/>
      <c r="R1107" s="47"/>
      <c r="S1107" s="47"/>
      <c r="T1107" s="47">
        <v>1420</v>
      </c>
      <c r="U1107" s="47"/>
      <c r="V1107" s="47"/>
      <c r="W1107" s="47"/>
      <c r="X1107" s="47"/>
      <c r="Y1107" s="47"/>
      <c r="Z1107" s="47">
        <v>4620</v>
      </c>
      <c r="AA1107" s="47"/>
      <c r="AB1107" s="47"/>
      <c r="AC1107" s="47"/>
      <c r="AD1107" s="47"/>
      <c r="AE1107" s="47"/>
      <c r="AF1107" s="47">
        <v>1485</v>
      </c>
      <c r="AG1107" s="47"/>
      <c r="AH1107" s="47" t="str">
        <f>IFERROR(_xlfn.XLOOKUP(Table6[[#This Row],[Suburb]],Table5[Travel Surcharge],Table5[$$]),"")</f>
        <v/>
      </c>
      <c r="AI1107" s="47"/>
      <c r="AJ1107" s="47"/>
    </row>
    <row r="1108" spans="1:36">
      <c r="A1108" s="374" t="s">
        <v>2021</v>
      </c>
      <c r="B1108" s="374">
        <v>4</v>
      </c>
      <c r="C1108" s="374" t="s">
        <v>529</v>
      </c>
      <c r="D1108" s="375" t="str">
        <f t="shared" si="227"/>
        <v>Clyde Springs Estate4</v>
      </c>
      <c r="E1108" s="375" t="s">
        <v>2022</v>
      </c>
      <c r="F1108" s="375" t="s">
        <v>761</v>
      </c>
      <c r="G1108" s="375" t="s">
        <v>2023</v>
      </c>
      <c r="H1108" s="375" t="s">
        <v>2024</v>
      </c>
      <c r="I1108" s="63" t="s">
        <v>2025</v>
      </c>
      <c r="J1108" s="47">
        <f t="shared" si="228"/>
        <v>3740</v>
      </c>
      <c r="K1108" s="46" t="s">
        <v>10735</v>
      </c>
      <c r="L1108" s="47"/>
      <c r="M1108" s="47">
        <f>M$7</f>
        <v>1430.0000000000002</v>
      </c>
      <c r="N1108" s="47"/>
      <c r="O1108" s="47"/>
      <c r="P1108" s="47"/>
      <c r="Q1108" s="47"/>
      <c r="R1108" s="47"/>
      <c r="S1108" s="47"/>
      <c r="T1108" s="47">
        <f>T$2</f>
        <v>780</v>
      </c>
      <c r="U1108" s="47"/>
      <c r="V1108" s="47"/>
      <c r="W1108" s="47"/>
      <c r="X1108" s="47"/>
      <c r="Y1108" s="47"/>
      <c r="Z1108" s="47">
        <f t="shared" si="229"/>
        <v>4620</v>
      </c>
      <c r="AA1108" s="47"/>
      <c r="AB1108" s="47"/>
      <c r="AC1108" s="47"/>
      <c r="AD1108" s="47"/>
      <c r="AE1108" s="47"/>
      <c r="AF1108" s="47">
        <f>AF$7</f>
        <v>1485</v>
      </c>
      <c r="AG1108" s="47"/>
      <c r="AH1108" s="47" t="str">
        <f>IFERROR(_xlfn.XLOOKUP(Table6[[#This Row],[Suburb]],Table5[Travel Surcharge],Table5[$$]),"")</f>
        <v/>
      </c>
      <c r="AI1108" s="47"/>
      <c r="AJ1108" s="47"/>
    </row>
    <row r="1109" spans="1:36">
      <c r="A1109" s="374" t="s">
        <v>2021</v>
      </c>
      <c r="B1109" s="374">
        <v>5</v>
      </c>
      <c r="C1109" s="374" t="s">
        <v>529</v>
      </c>
      <c r="D1109" s="375" t="str">
        <f t="shared" si="227"/>
        <v>Clyde Springs Estate5</v>
      </c>
      <c r="E1109" s="375" t="s">
        <v>2026</v>
      </c>
      <c r="F1109" s="375" t="s">
        <v>761</v>
      </c>
      <c r="G1109" s="375" t="s">
        <v>2023</v>
      </c>
      <c r="H1109" s="375" t="s">
        <v>2024</v>
      </c>
      <c r="I1109" s="63" t="s">
        <v>2025</v>
      </c>
      <c r="J1109" s="47">
        <f t="shared" si="228"/>
        <v>3740</v>
      </c>
      <c r="K1109" s="46" t="s">
        <v>10735</v>
      </c>
      <c r="L1109" s="47"/>
      <c r="M1109" s="47">
        <f>M$7</f>
        <v>1430.0000000000002</v>
      </c>
      <c r="N1109" s="47"/>
      <c r="O1109" s="47"/>
      <c r="P1109" s="47"/>
      <c r="Q1109" s="47"/>
      <c r="R1109" s="47"/>
      <c r="S1109" s="47"/>
      <c r="T1109" s="47">
        <f>T$2</f>
        <v>780</v>
      </c>
      <c r="U1109" s="47"/>
      <c r="V1109" s="47"/>
      <c r="W1109" s="47"/>
      <c r="X1109" s="47"/>
      <c r="Y1109" s="47"/>
      <c r="Z1109" s="47">
        <f t="shared" si="229"/>
        <v>4620</v>
      </c>
      <c r="AA1109" s="47"/>
      <c r="AB1109" s="47"/>
      <c r="AC1109" s="47"/>
      <c r="AD1109" s="47"/>
      <c r="AE1109" s="47"/>
      <c r="AF1109" s="47">
        <f>AF$7</f>
        <v>1485</v>
      </c>
      <c r="AG1109" s="47"/>
      <c r="AH1109" s="47" t="str">
        <f>IFERROR(_xlfn.XLOOKUP(Table6[[#This Row],[Suburb]],Table5[Travel Surcharge],Table5[$$]),"")</f>
        <v/>
      </c>
      <c r="AI1109" s="47"/>
      <c r="AJ1109" s="47"/>
    </row>
    <row r="1110" spans="1:36">
      <c r="A1110" s="374" t="s">
        <v>2021</v>
      </c>
      <c r="B1110" s="374">
        <v>7</v>
      </c>
      <c r="C1110" s="374" t="s">
        <v>529</v>
      </c>
      <c r="D1110" s="375" t="str">
        <f t="shared" si="227"/>
        <v>Clyde Springs Estate7</v>
      </c>
      <c r="E1110" s="375" t="s">
        <v>2027</v>
      </c>
      <c r="F1110" s="375" t="s">
        <v>761</v>
      </c>
      <c r="G1110" s="375" t="s">
        <v>2023</v>
      </c>
      <c r="H1110" s="375" t="s">
        <v>2024</v>
      </c>
      <c r="I1110" s="63" t="s">
        <v>2025</v>
      </c>
      <c r="J1110" s="47">
        <f t="shared" si="228"/>
        <v>3740</v>
      </c>
      <c r="K1110" s="46" t="s">
        <v>10735</v>
      </c>
      <c r="L1110" s="47"/>
      <c r="M1110" s="47">
        <f>M$7</f>
        <v>1430.0000000000002</v>
      </c>
      <c r="N1110" s="47"/>
      <c r="O1110" s="47"/>
      <c r="P1110" s="47"/>
      <c r="Q1110" s="47"/>
      <c r="R1110" s="47"/>
      <c r="S1110" s="47"/>
      <c r="T1110" s="47">
        <f>T$2</f>
        <v>780</v>
      </c>
      <c r="U1110" s="47"/>
      <c r="V1110" s="47"/>
      <c r="W1110" s="47"/>
      <c r="X1110" s="47"/>
      <c r="Y1110" s="47"/>
      <c r="Z1110" s="47">
        <f t="shared" si="229"/>
        <v>4620</v>
      </c>
      <c r="AA1110" s="47"/>
      <c r="AB1110" s="47"/>
      <c r="AC1110" s="47"/>
      <c r="AD1110" s="47"/>
      <c r="AE1110" s="47"/>
      <c r="AF1110" s="47">
        <f>AF$7</f>
        <v>1485</v>
      </c>
      <c r="AG1110" s="47"/>
      <c r="AH1110" s="47" t="str">
        <f>IFERROR(_xlfn.XLOOKUP(Table6[[#This Row],[Suburb]],Table5[Travel Surcharge],Table5[$$]),"")</f>
        <v/>
      </c>
      <c r="AI1110" s="47"/>
      <c r="AJ1110" s="47"/>
    </row>
    <row r="1111" spans="1:36">
      <c r="A1111" s="374" t="s">
        <v>2021</v>
      </c>
      <c r="B1111" s="374">
        <v>8</v>
      </c>
      <c r="C1111" s="374" t="s">
        <v>529</v>
      </c>
      <c r="D1111" s="375" t="str">
        <f t="shared" si="227"/>
        <v>Clyde Springs Estate8</v>
      </c>
      <c r="E1111" s="375" t="s">
        <v>2028</v>
      </c>
      <c r="F1111" s="375" t="s">
        <v>761</v>
      </c>
      <c r="G1111" s="375" t="s">
        <v>2023</v>
      </c>
      <c r="H1111" s="375" t="s">
        <v>2024</v>
      </c>
      <c r="I1111" s="63" t="s">
        <v>2025</v>
      </c>
      <c r="J1111" s="47">
        <v>3740</v>
      </c>
      <c r="K1111" s="46" t="s">
        <v>10735</v>
      </c>
      <c r="L1111" s="47"/>
      <c r="M1111" s="47">
        <v>1430.0000000000002</v>
      </c>
      <c r="N1111" s="47"/>
      <c r="O1111" s="47"/>
      <c r="P1111" s="47"/>
      <c r="Q1111" s="47"/>
      <c r="R1111" s="47"/>
      <c r="S1111" s="47"/>
      <c r="T1111" s="47">
        <v>1420</v>
      </c>
      <c r="U1111" s="47"/>
      <c r="V1111" s="47"/>
      <c r="W1111" s="47"/>
      <c r="X1111" s="47"/>
      <c r="Y1111" s="47"/>
      <c r="Z1111" s="47">
        <v>4620</v>
      </c>
      <c r="AA1111" s="47"/>
      <c r="AB1111" s="47"/>
      <c r="AC1111" s="47"/>
      <c r="AD1111" s="47"/>
      <c r="AE1111" s="47"/>
      <c r="AF1111" s="47">
        <v>1650.0000000000002</v>
      </c>
      <c r="AG1111" s="47"/>
      <c r="AH1111" s="47" t="str">
        <f>IFERROR(_xlfn.XLOOKUP(Table6[[#This Row],[Suburb]],Table5[Travel Surcharge],Table5[$$]),"")</f>
        <v/>
      </c>
      <c r="AI1111" s="47"/>
      <c r="AJ1111" s="47"/>
    </row>
    <row r="1112" spans="1:36">
      <c r="A1112" s="374" t="s">
        <v>2021</v>
      </c>
      <c r="B1112" s="374">
        <v>9</v>
      </c>
      <c r="C1112" s="374" t="s">
        <v>529</v>
      </c>
      <c r="D1112" s="375" t="str">
        <f t="shared" si="227"/>
        <v>Clyde Springs Estate9</v>
      </c>
      <c r="E1112" s="375" t="s">
        <v>2029</v>
      </c>
      <c r="F1112" s="375" t="s">
        <v>761</v>
      </c>
      <c r="G1112" s="375" t="s">
        <v>2023</v>
      </c>
      <c r="H1112" s="375" t="s">
        <v>2024</v>
      </c>
      <c r="I1112" s="63" t="s">
        <v>2025</v>
      </c>
      <c r="J1112" s="47">
        <v>3740</v>
      </c>
      <c r="K1112" s="46" t="s">
        <v>10735</v>
      </c>
      <c r="L1112" s="47"/>
      <c r="M1112" s="47">
        <v>1430.0000000000002</v>
      </c>
      <c r="N1112" s="47"/>
      <c r="O1112" s="47"/>
      <c r="P1112" s="47"/>
      <c r="Q1112" s="47"/>
      <c r="R1112" s="47"/>
      <c r="S1112" s="47"/>
      <c r="T1112" s="47">
        <v>1420</v>
      </c>
      <c r="U1112" s="47"/>
      <c r="V1112" s="47"/>
      <c r="W1112" s="47"/>
      <c r="X1112" s="47"/>
      <c r="Y1112" s="47"/>
      <c r="Z1112" s="47">
        <v>4620</v>
      </c>
      <c r="AA1112" s="47"/>
      <c r="AB1112" s="47"/>
      <c r="AC1112" s="47"/>
      <c r="AD1112" s="47"/>
      <c r="AE1112" s="47"/>
      <c r="AF1112" s="47">
        <v>1650.0000000000002</v>
      </c>
      <c r="AG1112" s="47"/>
      <c r="AH1112" s="47" t="str">
        <f>IFERROR(_xlfn.XLOOKUP(Table6[[#This Row],[Suburb]],Table5[Travel Surcharge],Table5[$$]),"")</f>
        <v/>
      </c>
      <c r="AI1112" s="47"/>
      <c r="AJ1112" s="47"/>
    </row>
    <row r="1113" spans="1:36">
      <c r="A1113" s="374" t="s">
        <v>2021</v>
      </c>
      <c r="B1113" s="374">
        <v>10</v>
      </c>
      <c r="C1113" s="374" t="s">
        <v>529</v>
      </c>
      <c r="D1113" s="375" t="str">
        <f t="shared" si="227"/>
        <v>Clyde Springs Estate10</v>
      </c>
      <c r="E1113" s="375" t="s">
        <v>2030</v>
      </c>
      <c r="F1113" s="375" t="s">
        <v>761</v>
      </c>
      <c r="G1113" s="375" t="s">
        <v>2023</v>
      </c>
      <c r="H1113" s="375" t="s">
        <v>2024</v>
      </c>
      <c r="I1113" s="63" t="s">
        <v>2025</v>
      </c>
      <c r="J1113" s="47">
        <v>3740</v>
      </c>
      <c r="K1113" s="46" t="s">
        <v>10735</v>
      </c>
      <c r="L1113" s="47"/>
      <c r="M1113" s="47">
        <v>1430.0000000000002</v>
      </c>
      <c r="N1113" s="47"/>
      <c r="O1113" s="47"/>
      <c r="P1113" s="47"/>
      <c r="Q1113" s="47"/>
      <c r="R1113" s="47"/>
      <c r="S1113" s="47"/>
      <c r="T1113" s="47">
        <v>1420</v>
      </c>
      <c r="U1113" s="47"/>
      <c r="V1113" s="47"/>
      <c r="W1113" s="47"/>
      <c r="X1113" s="47"/>
      <c r="Y1113" s="47"/>
      <c r="Z1113" s="47">
        <v>4620</v>
      </c>
      <c r="AA1113" s="47"/>
      <c r="AB1113" s="47"/>
      <c r="AC1113" s="47"/>
      <c r="AD1113" s="47"/>
      <c r="AE1113" s="47"/>
      <c r="AF1113" s="47">
        <v>1650.0000000000002</v>
      </c>
      <c r="AG1113" s="47"/>
      <c r="AH1113" s="47" t="str">
        <f>IFERROR(_xlfn.XLOOKUP(Table6[[#This Row],[Suburb]],Table5[Travel Surcharge],Table5[$$]),"")</f>
        <v/>
      </c>
      <c r="AI1113" s="47"/>
      <c r="AJ1113" s="47"/>
    </row>
    <row r="1114" spans="1:36">
      <c r="A1114" s="374" t="s">
        <v>2031</v>
      </c>
      <c r="B1114" s="374">
        <v>1</v>
      </c>
      <c r="C1114" s="374" t="s">
        <v>428</v>
      </c>
      <c r="D1114" s="375" t="str">
        <f t="shared" si="227"/>
        <v>Clydevale Estate1</v>
      </c>
      <c r="E1114" s="375" t="s">
        <v>2032</v>
      </c>
      <c r="F1114" s="375" t="s">
        <v>1294</v>
      </c>
      <c r="G1114" s="375" t="s">
        <v>1932</v>
      </c>
      <c r="H1114" s="375" t="s">
        <v>1933</v>
      </c>
      <c r="I1114" s="63" t="s">
        <v>1934</v>
      </c>
      <c r="J1114" s="47">
        <f t="shared" ref="J1114:J1143" si="230">J$7</f>
        <v>3740</v>
      </c>
      <c r="K1114" s="46" t="s">
        <v>10735</v>
      </c>
      <c r="L1114" s="47">
        <f t="shared" ref="L1114:L1137" si="231">L$7</f>
        <v>1210</v>
      </c>
      <c r="M1114" s="47" t="s">
        <v>2033</v>
      </c>
      <c r="N1114" s="47" t="s">
        <v>2034</v>
      </c>
      <c r="O1114" s="47"/>
      <c r="P1114" s="47"/>
      <c r="Q1114" s="47"/>
      <c r="R1114" s="47"/>
      <c r="S1114" s="47"/>
      <c r="T1114" s="47">
        <f t="shared" ref="T1114:T1137" si="232">T$2</f>
        <v>780</v>
      </c>
      <c r="U1114" s="47"/>
      <c r="V1114" s="47"/>
      <c r="W1114" s="47"/>
      <c r="X1114" s="47"/>
      <c r="Y1114" s="47"/>
      <c r="Z1114" s="47">
        <f t="shared" ref="Z1114:AA1137" si="233">Z$7</f>
        <v>4620</v>
      </c>
      <c r="AA1114" s="47">
        <f t="shared" si="233"/>
        <v>1400</v>
      </c>
      <c r="AB1114" s="47"/>
      <c r="AC1114" s="47"/>
      <c r="AD1114" s="47"/>
      <c r="AE1114" s="47"/>
      <c r="AF1114" s="47"/>
      <c r="AG1114" s="47"/>
      <c r="AH1114" s="47" t="str">
        <f>IFERROR(_xlfn.XLOOKUP(Table6[[#This Row],[Suburb]],Table5[Travel Surcharge],Table5[$$]),"")</f>
        <v/>
      </c>
      <c r="AI1114" s="47"/>
      <c r="AJ1114" s="47"/>
    </row>
    <row r="1115" spans="1:36">
      <c r="A1115" s="374" t="s">
        <v>2031</v>
      </c>
      <c r="B1115" s="374">
        <v>4</v>
      </c>
      <c r="C1115" s="374" t="s">
        <v>428</v>
      </c>
      <c r="D1115" s="375" t="str">
        <f t="shared" si="227"/>
        <v>Clydevale Estate4</v>
      </c>
      <c r="E1115" s="375" t="s">
        <v>2035</v>
      </c>
      <c r="F1115" s="375" t="s">
        <v>1294</v>
      </c>
      <c r="G1115" s="375" t="s">
        <v>1932</v>
      </c>
      <c r="H1115" s="375" t="s">
        <v>1933</v>
      </c>
      <c r="I1115" s="63" t="s">
        <v>1934</v>
      </c>
      <c r="J1115" s="47">
        <f t="shared" si="230"/>
        <v>3740</v>
      </c>
      <c r="K1115" s="46" t="s">
        <v>10735</v>
      </c>
      <c r="L1115" s="47">
        <f t="shared" si="231"/>
        <v>1210</v>
      </c>
      <c r="M1115" s="47" t="s">
        <v>2033</v>
      </c>
      <c r="N1115" s="47"/>
      <c r="O1115" s="47"/>
      <c r="P1115" s="47"/>
      <c r="Q1115" s="47"/>
      <c r="R1115" s="47"/>
      <c r="S1115" s="47"/>
      <c r="T1115" s="47">
        <f t="shared" si="232"/>
        <v>780</v>
      </c>
      <c r="U1115" s="47"/>
      <c r="V1115" s="47"/>
      <c r="W1115" s="47"/>
      <c r="X1115" s="47"/>
      <c r="Y1115" s="47"/>
      <c r="Z1115" s="47">
        <f t="shared" si="233"/>
        <v>4620</v>
      </c>
      <c r="AA1115" s="47">
        <f t="shared" si="233"/>
        <v>1400</v>
      </c>
      <c r="AB1115" s="47"/>
      <c r="AC1115" s="47"/>
      <c r="AD1115" s="47"/>
      <c r="AE1115" s="47"/>
      <c r="AF1115" s="47"/>
      <c r="AG1115" s="47"/>
      <c r="AH1115" s="47" t="str">
        <f>IFERROR(_xlfn.XLOOKUP(Table6[[#This Row],[Suburb]],Table5[Travel Surcharge],Table5[$$]),"")</f>
        <v/>
      </c>
      <c r="AI1115" s="47"/>
      <c r="AJ1115" s="47"/>
    </row>
    <row r="1116" spans="1:36">
      <c r="A1116" s="374" t="s">
        <v>2031</v>
      </c>
      <c r="B1116" s="374">
        <v>6</v>
      </c>
      <c r="C1116" s="374" t="s">
        <v>428</v>
      </c>
      <c r="D1116" s="375" t="str">
        <f t="shared" si="227"/>
        <v>Clydevale Estate6</v>
      </c>
      <c r="E1116" s="375" t="s">
        <v>2036</v>
      </c>
      <c r="F1116" s="375" t="s">
        <v>1294</v>
      </c>
      <c r="G1116" s="375" t="s">
        <v>1932</v>
      </c>
      <c r="H1116" s="375" t="s">
        <v>1933</v>
      </c>
      <c r="I1116" s="63" t="s">
        <v>1934</v>
      </c>
      <c r="J1116" s="47">
        <f t="shared" si="230"/>
        <v>3740</v>
      </c>
      <c r="K1116" s="46" t="s">
        <v>10735</v>
      </c>
      <c r="L1116" s="47">
        <f t="shared" si="231"/>
        <v>1210</v>
      </c>
      <c r="M1116" s="47" t="s">
        <v>2033</v>
      </c>
      <c r="N1116" s="47"/>
      <c r="O1116" s="47"/>
      <c r="P1116" s="47"/>
      <c r="Q1116" s="47"/>
      <c r="R1116" s="47"/>
      <c r="S1116" s="47"/>
      <c r="T1116" s="47">
        <f t="shared" si="232"/>
        <v>780</v>
      </c>
      <c r="U1116" s="47"/>
      <c r="V1116" s="47"/>
      <c r="W1116" s="47"/>
      <c r="X1116" s="47"/>
      <c r="Y1116" s="47"/>
      <c r="Z1116" s="47">
        <f t="shared" si="233"/>
        <v>4620</v>
      </c>
      <c r="AA1116" s="47">
        <f t="shared" si="233"/>
        <v>1400</v>
      </c>
      <c r="AB1116" s="47"/>
      <c r="AC1116" s="47"/>
      <c r="AD1116" s="47"/>
      <c r="AE1116" s="47"/>
      <c r="AF1116" s="47"/>
      <c r="AG1116" s="47"/>
      <c r="AH1116" s="47" t="str">
        <f>IFERROR(_xlfn.XLOOKUP(Table6[[#This Row],[Suburb]],Table5[Travel Surcharge],Table5[$$]),"")</f>
        <v/>
      </c>
      <c r="AI1116" s="47"/>
      <c r="AJ1116" s="47"/>
    </row>
    <row r="1117" spans="1:36">
      <c r="A1117" s="374" t="s">
        <v>2031</v>
      </c>
      <c r="B1117" s="374">
        <v>7</v>
      </c>
      <c r="C1117" s="374" t="s">
        <v>428</v>
      </c>
      <c r="D1117" s="375" t="str">
        <f t="shared" si="227"/>
        <v>Clydevale Estate7</v>
      </c>
      <c r="E1117" s="375" t="s">
        <v>2037</v>
      </c>
      <c r="F1117" s="375" t="s">
        <v>1294</v>
      </c>
      <c r="G1117" s="375" t="s">
        <v>1932</v>
      </c>
      <c r="H1117" s="375" t="s">
        <v>1933</v>
      </c>
      <c r="I1117" s="63" t="s">
        <v>1934</v>
      </c>
      <c r="J1117" s="47">
        <f t="shared" si="230"/>
        <v>3740</v>
      </c>
      <c r="K1117" s="46" t="s">
        <v>10735</v>
      </c>
      <c r="L1117" s="47">
        <f t="shared" si="231"/>
        <v>1210</v>
      </c>
      <c r="M1117" s="47" t="s">
        <v>2033</v>
      </c>
      <c r="N1117" s="47"/>
      <c r="O1117" s="47"/>
      <c r="P1117" s="47"/>
      <c r="Q1117" s="47"/>
      <c r="R1117" s="47"/>
      <c r="S1117" s="47"/>
      <c r="T1117" s="47">
        <f t="shared" si="232"/>
        <v>780</v>
      </c>
      <c r="U1117" s="47"/>
      <c r="V1117" s="47"/>
      <c r="W1117" s="47"/>
      <c r="X1117" s="47"/>
      <c r="Y1117" s="47"/>
      <c r="Z1117" s="47">
        <f t="shared" si="233"/>
        <v>4620</v>
      </c>
      <c r="AA1117" s="47">
        <f t="shared" si="233"/>
        <v>1400</v>
      </c>
      <c r="AB1117" s="47"/>
      <c r="AC1117" s="47"/>
      <c r="AD1117" s="47"/>
      <c r="AE1117" s="47"/>
      <c r="AF1117" s="47"/>
      <c r="AG1117" s="47"/>
      <c r="AH1117" s="47" t="str">
        <f>IFERROR(_xlfn.XLOOKUP(Table6[[#This Row],[Suburb]],Table5[Travel Surcharge],Table5[$$]),"")</f>
        <v/>
      </c>
      <c r="AI1117" s="47"/>
      <c r="AJ1117" s="47"/>
    </row>
    <row r="1118" spans="1:36">
      <c r="A1118" s="374" t="s">
        <v>2031</v>
      </c>
      <c r="B1118" s="374">
        <v>8</v>
      </c>
      <c r="C1118" s="374" t="s">
        <v>428</v>
      </c>
      <c r="D1118" s="375" t="str">
        <f t="shared" si="227"/>
        <v>Clydevale Estate8</v>
      </c>
      <c r="E1118" s="375" t="s">
        <v>2038</v>
      </c>
      <c r="F1118" s="375" t="s">
        <v>1294</v>
      </c>
      <c r="G1118" s="375" t="s">
        <v>1932</v>
      </c>
      <c r="H1118" s="375" t="s">
        <v>1933</v>
      </c>
      <c r="I1118" s="63" t="s">
        <v>1934</v>
      </c>
      <c r="J1118" s="47">
        <f t="shared" si="230"/>
        <v>3740</v>
      </c>
      <c r="K1118" s="46" t="s">
        <v>10735</v>
      </c>
      <c r="L1118" s="47">
        <f t="shared" si="231"/>
        <v>1210</v>
      </c>
      <c r="M1118" s="47" t="s">
        <v>2033</v>
      </c>
      <c r="N1118" s="47"/>
      <c r="O1118" s="47"/>
      <c r="P1118" s="47"/>
      <c r="Q1118" s="47"/>
      <c r="R1118" s="47"/>
      <c r="S1118" s="47"/>
      <c r="T1118" s="47">
        <f t="shared" si="232"/>
        <v>780</v>
      </c>
      <c r="U1118" s="47"/>
      <c r="V1118" s="47"/>
      <c r="W1118" s="47"/>
      <c r="X1118" s="47"/>
      <c r="Y1118" s="47"/>
      <c r="Z1118" s="47">
        <f t="shared" si="233"/>
        <v>4620</v>
      </c>
      <c r="AA1118" s="47">
        <f t="shared" si="233"/>
        <v>1400</v>
      </c>
      <c r="AB1118" s="47"/>
      <c r="AC1118" s="47"/>
      <c r="AD1118" s="47"/>
      <c r="AE1118" s="47"/>
      <c r="AF1118" s="47"/>
      <c r="AG1118" s="47"/>
      <c r="AH1118" s="47" t="str">
        <f>IFERROR(_xlfn.XLOOKUP(Table6[[#This Row],[Suburb]],Table5[Travel Surcharge],Table5[$$]),"")</f>
        <v/>
      </c>
      <c r="AI1118" s="47"/>
      <c r="AJ1118" s="47"/>
    </row>
    <row r="1119" spans="1:36">
      <c r="A1119" s="374" t="s">
        <v>2031</v>
      </c>
      <c r="B1119" s="374">
        <v>9</v>
      </c>
      <c r="C1119" s="374" t="s">
        <v>428</v>
      </c>
      <c r="D1119" s="375" t="str">
        <f t="shared" si="227"/>
        <v>Clydevale Estate9</v>
      </c>
      <c r="E1119" s="375" t="s">
        <v>2039</v>
      </c>
      <c r="F1119" s="375" t="s">
        <v>1294</v>
      </c>
      <c r="G1119" s="375" t="s">
        <v>1932</v>
      </c>
      <c r="H1119" s="375" t="s">
        <v>1933</v>
      </c>
      <c r="I1119" s="63" t="s">
        <v>1934</v>
      </c>
      <c r="J1119" s="47">
        <f t="shared" si="230"/>
        <v>3740</v>
      </c>
      <c r="K1119" s="46" t="s">
        <v>10735</v>
      </c>
      <c r="L1119" s="47">
        <f t="shared" si="231"/>
        <v>1210</v>
      </c>
      <c r="M1119" s="47" t="s">
        <v>2033</v>
      </c>
      <c r="N1119" s="47"/>
      <c r="O1119" s="47"/>
      <c r="P1119" s="47"/>
      <c r="Q1119" s="47"/>
      <c r="R1119" s="47"/>
      <c r="S1119" s="47"/>
      <c r="T1119" s="47">
        <f t="shared" si="232"/>
        <v>780</v>
      </c>
      <c r="U1119" s="47"/>
      <c r="V1119" s="47"/>
      <c r="W1119" s="47"/>
      <c r="X1119" s="47"/>
      <c r="Y1119" s="47"/>
      <c r="Z1119" s="47">
        <f t="shared" si="233"/>
        <v>4620</v>
      </c>
      <c r="AA1119" s="47">
        <f t="shared" si="233"/>
        <v>1400</v>
      </c>
      <c r="AB1119" s="47"/>
      <c r="AC1119" s="47"/>
      <c r="AD1119" s="47"/>
      <c r="AE1119" s="47"/>
      <c r="AF1119" s="47"/>
      <c r="AG1119" s="47"/>
      <c r="AH1119" s="47" t="str">
        <f>IFERROR(_xlfn.XLOOKUP(Table6[[#This Row],[Suburb]],Table5[Travel Surcharge],Table5[$$]),"")</f>
        <v/>
      </c>
      <c r="AI1119" s="47"/>
      <c r="AJ1119" s="47"/>
    </row>
    <row r="1120" spans="1:36">
      <c r="A1120" s="374" t="s">
        <v>2031</v>
      </c>
      <c r="B1120" s="374">
        <v>10</v>
      </c>
      <c r="C1120" s="374" t="s">
        <v>428</v>
      </c>
      <c r="D1120" s="375" t="str">
        <f t="shared" si="227"/>
        <v>Clydevale Estate10</v>
      </c>
      <c r="E1120" s="375" t="s">
        <v>2040</v>
      </c>
      <c r="F1120" s="375" t="s">
        <v>1294</v>
      </c>
      <c r="G1120" s="375" t="s">
        <v>1932</v>
      </c>
      <c r="H1120" s="375" t="s">
        <v>1933</v>
      </c>
      <c r="I1120" s="63" t="s">
        <v>1934</v>
      </c>
      <c r="J1120" s="47">
        <f t="shared" si="230"/>
        <v>3740</v>
      </c>
      <c r="K1120" s="46" t="s">
        <v>10735</v>
      </c>
      <c r="L1120" s="47">
        <f t="shared" si="231"/>
        <v>1210</v>
      </c>
      <c r="M1120" s="47" t="s">
        <v>2033</v>
      </c>
      <c r="N1120" s="47"/>
      <c r="O1120" s="47"/>
      <c r="P1120" s="47"/>
      <c r="Q1120" s="47"/>
      <c r="R1120" s="47"/>
      <c r="S1120" s="47"/>
      <c r="T1120" s="47">
        <f t="shared" si="232"/>
        <v>780</v>
      </c>
      <c r="U1120" s="47"/>
      <c r="V1120" s="47"/>
      <c r="W1120" s="47"/>
      <c r="X1120" s="47"/>
      <c r="Y1120" s="47"/>
      <c r="Z1120" s="47">
        <f t="shared" si="233"/>
        <v>4620</v>
      </c>
      <c r="AA1120" s="47">
        <f t="shared" si="233"/>
        <v>1400</v>
      </c>
      <c r="AB1120" s="47"/>
      <c r="AC1120" s="47"/>
      <c r="AD1120" s="47"/>
      <c r="AE1120" s="47"/>
      <c r="AF1120" s="47"/>
      <c r="AG1120" s="47"/>
      <c r="AH1120" s="47" t="str">
        <f>IFERROR(_xlfn.XLOOKUP(Table6[[#This Row],[Suburb]],Table5[Travel Surcharge],Table5[$$]),"")</f>
        <v/>
      </c>
      <c r="AI1120" s="47"/>
      <c r="AJ1120" s="47"/>
    </row>
    <row r="1121" spans="1:36">
      <c r="A1121" s="374" t="s">
        <v>2031</v>
      </c>
      <c r="B1121" s="374">
        <v>13</v>
      </c>
      <c r="C1121" s="374" t="s">
        <v>428</v>
      </c>
      <c r="D1121" s="375" t="str">
        <f t="shared" si="227"/>
        <v>Clydevale Estate13</v>
      </c>
      <c r="E1121" s="375" t="s">
        <v>2041</v>
      </c>
      <c r="F1121" s="375" t="s">
        <v>1294</v>
      </c>
      <c r="G1121" s="375" t="s">
        <v>1932</v>
      </c>
      <c r="H1121" s="375" t="s">
        <v>1933</v>
      </c>
      <c r="I1121" s="63" t="s">
        <v>1934</v>
      </c>
      <c r="J1121" s="47">
        <f t="shared" si="230"/>
        <v>3740</v>
      </c>
      <c r="K1121" s="46" t="s">
        <v>10735</v>
      </c>
      <c r="L1121" s="47">
        <f t="shared" si="231"/>
        <v>1210</v>
      </c>
      <c r="M1121" s="47" t="s">
        <v>2033</v>
      </c>
      <c r="N1121" s="47"/>
      <c r="O1121" s="47"/>
      <c r="P1121" s="47"/>
      <c r="Q1121" s="47"/>
      <c r="R1121" s="47"/>
      <c r="S1121" s="47"/>
      <c r="T1121" s="47">
        <f t="shared" si="232"/>
        <v>780</v>
      </c>
      <c r="U1121" s="47"/>
      <c r="V1121" s="47"/>
      <c r="W1121" s="47"/>
      <c r="X1121" s="47"/>
      <c r="Y1121" s="47"/>
      <c r="Z1121" s="47">
        <f t="shared" si="233"/>
        <v>4620</v>
      </c>
      <c r="AA1121" s="47">
        <f t="shared" si="233"/>
        <v>1400</v>
      </c>
      <c r="AB1121" s="47"/>
      <c r="AC1121" s="47"/>
      <c r="AD1121" s="47"/>
      <c r="AE1121" s="47"/>
      <c r="AF1121" s="47"/>
      <c r="AG1121" s="47"/>
      <c r="AH1121" s="47" t="str">
        <f>IFERROR(_xlfn.XLOOKUP(Table6[[#This Row],[Suburb]],Table5[Travel Surcharge],Table5[$$]),"")</f>
        <v/>
      </c>
      <c r="AI1121" s="47"/>
      <c r="AJ1121" s="47"/>
    </row>
    <row r="1122" spans="1:36">
      <c r="A1122" s="374" t="s">
        <v>2031</v>
      </c>
      <c r="B1122" s="374">
        <v>14</v>
      </c>
      <c r="C1122" s="374" t="s">
        <v>428</v>
      </c>
      <c r="D1122" s="375" t="str">
        <f t="shared" si="227"/>
        <v>Clydevale Estate14</v>
      </c>
      <c r="E1122" s="375" t="s">
        <v>2042</v>
      </c>
      <c r="F1122" s="375" t="s">
        <v>1294</v>
      </c>
      <c r="G1122" s="375" t="s">
        <v>1932</v>
      </c>
      <c r="H1122" s="375" t="s">
        <v>1933</v>
      </c>
      <c r="I1122" s="63" t="s">
        <v>1934</v>
      </c>
      <c r="J1122" s="47">
        <f t="shared" si="230"/>
        <v>3740</v>
      </c>
      <c r="K1122" s="46" t="s">
        <v>10735</v>
      </c>
      <c r="L1122" s="47">
        <f t="shared" si="231"/>
        <v>1210</v>
      </c>
      <c r="M1122" s="47" t="s">
        <v>2033</v>
      </c>
      <c r="N1122" s="47"/>
      <c r="O1122" s="47"/>
      <c r="P1122" s="47"/>
      <c r="Q1122" s="47"/>
      <c r="R1122" s="47"/>
      <c r="S1122" s="47"/>
      <c r="T1122" s="47">
        <f t="shared" si="232"/>
        <v>780</v>
      </c>
      <c r="U1122" s="47"/>
      <c r="V1122" s="47"/>
      <c r="W1122" s="47"/>
      <c r="X1122" s="47"/>
      <c r="Y1122" s="47"/>
      <c r="Z1122" s="47">
        <f t="shared" si="233"/>
        <v>4620</v>
      </c>
      <c r="AA1122" s="47">
        <f t="shared" si="233"/>
        <v>1400</v>
      </c>
      <c r="AB1122" s="47"/>
      <c r="AC1122" s="47"/>
      <c r="AD1122" s="47"/>
      <c r="AE1122" s="47"/>
      <c r="AF1122" s="47"/>
      <c r="AG1122" s="47"/>
      <c r="AH1122" s="47" t="str">
        <f>IFERROR(_xlfn.XLOOKUP(Table6[[#This Row],[Suburb]],Table5[Travel Surcharge],Table5[$$]),"")</f>
        <v/>
      </c>
      <c r="AI1122" s="47"/>
      <c r="AJ1122" s="47"/>
    </row>
    <row r="1123" spans="1:36">
      <c r="A1123" s="374" t="s">
        <v>2031</v>
      </c>
      <c r="B1123" s="374">
        <v>15</v>
      </c>
      <c r="C1123" s="374" t="s">
        <v>428</v>
      </c>
      <c r="D1123" s="375" t="str">
        <f t="shared" si="227"/>
        <v>Clydevale Estate15</v>
      </c>
      <c r="E1123" s="375" t="s">
        <v>2043</v>
      </c>
      <c r="F1123" s="375" t="s">
        <v>1294</v>
      </c>
      <c r="G1123" s="375" t="s">
        <v>1932</v>
      </c>
      <c r="H1123" s="375" t="s">
        <v>1933</v>
      </c>
      <c r="I1123" s="63" t="s">
        <v>1934</v>
      </c>
      <c r="J1123" s="47">
        <f t="shared" si="230"/>
        <v>3740</v>
      </c>
      <c r="K1123" s="46" t="s">
        <v>10735</v>
      </c>
      <c r="L1123" s="47">
        <f t="shared" si="231"/>
        <v>1210</v>
      </c>
      <c r="M1123" s="47" t="s">
        <v>2033</v>
      </c>
      <c r="N1123" s="47"/>
      <c r="O1123" s="47"/>
      <c r="P1123" s="47"/>
      <c r="Q1123" s="47"/>
      <c r="R1123" s="47"/>
      <c r="S1123" s="47"/>
      <c r="T1123" s="47">
        <f t="shared" si="232"/>
        <v>780</v>
      </c>
      <c r="U1123" s="47"/>
      <c r="V1123" s="47"/>
      <c r="W1123" s="47"/>
      <c r="X1123" s="47"/>
      <c r="Y1123" s="47"/>
      <c r="Z1123" s="47">
        <f t="shared" si="233"/>
        <v>4620</v>
      </c>
      <c r="AA1123" s="47">
        <f t="shared" si="233"/>
        <v>1400</v>
      </c>
      <c r="AB1123" s="47"/>
      <c r="AC1123" s="47"/>
      <c r="AD1123" s="47"/>
      <c r="AE1123" s="47"/>
      <c r="AF1123" s="47"/>
      <c r="AG1123" s="47"/>
      <c r="AH1123" s="47" t="str">
        <f>IFERROR(_xlfn.XLOOKUP(Table6[[#This Row],[Suburb]],Table5[Travel Surcharge],Table5[$$]),"")</f>
        <v/>
      </c>
      <c r="AI1123" s="47"/>
      <c r="AJ1123" s="47"/>
    </row>
    <row r="1124" spans="1:36">
      <c r="A1124" s="374" t="s">
        <v>2031</v>
      </c>
      <c r="B1124" s="374">
        <v>17</v>
      </c>
      <c r="C1124" s="374" t="s">
        <v>428</v>
      </c>
      <c r="D1124" s="375" t="str">
        <f t="shared" si="227"/>
        <v>Clydevale Estate17</v>
      </c>
      <c r="E1124" s="375" t="s">
        <v>2044</v>
      </c>
      <c r="F1124" s="375" t="s">
        <v>1294</v>
      </c>
      <c r="G1124" s="375" t="s">
        <v>1932</v>
      </c>
      <c r="H1124" s="375" t="s">
        <v>1933</v>
      </c>
      <c r="I1124" s="63" t="s">
        <v>1934</v>
      </c>
      <c r="J1124" s="47">
        <f t="shared" si="230"/>
        <v>3740</v>
      </c>
      <c r="K1124" s="46" t="s">
        <v>10735</v>
      </c>
      <c r="L1124" s="47">
        <f t="shared" si="231"/>
        <v>1210</v>
      </c>
      <c r="M1124" s="47" t="s">
        <v>2033</v>
      </c>
      <c r="N1124" s="47"/>
      <c r="O1124" s="47"/>
      <c r="P1124" s="47"/>
      <c r="Q1124" s="47"/>
      <c r="R1124" s="47"/>
      <c r="S1124" s="47"/>
      <c r="T1124" s="47">
        <f t="shared" si="232"/>
        <v>780</v>
      </c>
      <c r="U1124" s="47"/>
      <c r="V1124" s="47"/>
      <c r="W1124" s="47"/>
      <c r="X1124" s="47"/>
      <c r="Y1124" s="47"/>
      <c r="Z1124" s="47">
        <f t="shared" si="233"/>
        <v>4620</v>
      </c>
      <c r="AA1124" s="47">
        <f t="shared" si="233"/>
        <v>1400</v>
      </c>
      <c r="AB1124" s="47"/>
      <c r="AC1124" s="47"/>
      <c r="AD1124" s="47"/>
      <c r="AE1124" s="47"/>
      <c r="AF1124" s="47"/>
      <c r="AG1124" s="47"/>
      <c r="AH1124" s="47" t="str">
        <f>IFERROR(_xlfn.XLOOKUP(Table6[[#This Row],[Suburb]],Table5[Travel Surcharge],Table5[$$]),"")</f>
        <v/>
      </c>
      <c r="AI1124" s="47"/>
      <c r="AJ1124" s="47"/>
    </row>
    <row r="1125" spans="1:36">
      <c r="A1125" s="374" t="s">
        <v>2031</v>
      </c>
      <c r="B1125" s="374">
        <v>18</v>
      </c>
      <c r="C1125" s="374" t="s">
        <v>428</v>
      </c>
      <c r="D1125" s="375" t="str">
        <f t="shared" si="227"/>
        <v>Clydevale Estate18</v>
      </c>
      <c r="E1125" s="375" t="s">
        <v>2045</v>
      </c>
      <c r="F1125" s="375" t="s">
        <v>1294</v>
      </c>
      <c r="G1125" s="375" t="s">
        <v>1932</v>
      </c>
      <c r="H1125" s="375" t="s">
        <v>1933</v>
      </c>
      <c r="I1125" s="63" t="s">
        <v>1934</v>
      </c>
      <c r="J1125" s="47">
        <f t="shared" si="230"/>
        <v>3740</v>
      </c>
      <c r="K1125" s="46" t="s">
        <v>10735</v>
      </c>
      <c r="L1125" s="47">
        <f t="shared" si="231"/>
        <v>1210</v>
      </c>
      <c r="M1125" s="47" t="s">
        <v>2033</v>
      </c>
      <c r="N1125" s="47"/>
      <c r="O1125" s="47"/>
      <c r="P1125" s="47"/>
      <c r="Q1125" s="47"/>
      <c r="R1125" s="47"/>
      <c r="S1125" s="47"/>
      <c r="T1125" s="47">
        <f t="shared" si="232"/>
        <v>780</v>
      </c>
      <c r="U1125" s="47"/>
      <c r="V1125" s="47"/>
      <c r="W1125" s="47"/>
      <c r="X1125" s="47"/>
      <c r="Y1125" s="47"/>
      <c r="Z1125" s="47">
        <f t="shared" si="233"/>
        <v>4620</v>
      </c>
      <c r="AA1125" s="47">
        <f t="shared" si="233"/>
        <v>1400</v>
      </c>
      <c r="AB1125" s="47"/>
      <c r="AC1125" s="47"/>
      <c r="AD1125" s="47"/>
      <c r="AE1125" s="47"/>
      <c r="AF1125" s="47"/>
      <c r="AG1125" s="47"/>
      <c r="AH1125" s="47" t="str">
        <f>IFERROR(_xlfn.XLOOKUP(Table6[[#This Row],[Suburb]],Table5[Travel Surcharge],Table5[$$]),"")</f>
        <v/>
      </c>
      <c r="AI1125" s="47"/>
      <c r="AJ1125" s="47"/>
    </row>
    <row r="1126" spans="1:36">
      <c r="A1126" s="374" t="s">
        <v>2031</v>
      </c>
      <c r="B1126" s="374">
        <v>19</v>
      </c>
      <c r="C1126" s="374" t="s">
        <v>428</v>
      </c>
      <c r="D1126" s="375" t="str">
        <f t="shared" si="227"/>
        <v>Clydevale Estate19</v>
      </c>
      <c r="E1126" s="375" t="s">
        <v>2046</v>
      </c>
      <c r="F1126" s="375" t="s">
        <v>1294</v>
      </c>
      <c r="G1126" s="375" t="s">
        <v>1932</v>
      </c>
      <c r="H1126" s="375" t="s">
        <v>1933</v>
      </c>
      <c r="I1126" s="63" t="s">
        <v>1934</v>
      </c>
      <c r="J1126" s="47">
        <f t="shared" si="230"/>
        <v>3740</v>
      </c>
      <c r="K1126" s="46" t="s">
        <v>10735</v>
      </c>
      <c r="L1126" s="47">
        <f t="shared" si="231"/>
        <v>1210</v>
      </c>
      <c r="M1126" s="47" t="s">
        <v>2033</v>
      </c>
      <c r="N1126" s="47"/>
      <c r="O1126" s="47"/>
      <c r="P1126" s="47"/>
      <c r="Q1126" s="47"/>
      <c r="R1126" s="47"/>
      <c r="S1126" s="47"/>
      <c r="T1126" s="47">
        <f t="shared" si="232"/>
        <v>780</v>
      </c>
      <c r="U1126" s="47"/>
      <c r="V1126" s="47"/>
      <c r="W1126" s="47"/>
      <c r="X1126" s="47"/>
      <c r="Y1126" s="47"/>
      <c r="Z1126" s="47">
        <f t="shared" si="233"/>
        <v>4620</v>
      </c>
      <c r="AA1126" s="47">
        <f t="shared" si="233"/>
        <v>1400</v>
      </c>
      <c r="AB1126" s="47"/>
      <c r="AC1126" s="47"/>
      <c r="AD1126" s="47"/>
      <c r="AE1126" s="47"/>
      <c r="AF1126" s="47"/>
      <c r="AG1126" s="47"/>
      <c r="AH1126" s="47" t="str">
        <f>IFERROR(_xlfn.XLOOKUP(Table6[[#This Row],[Suburb]],Table5[Travel Surcharge],Table5[$$]),"")</f>
        <v/>
      </c>
      <c r="AI1126" s="47"/>
      <c r="AJ1126" s="47"/>
    </row>
    <row r="1127" spans="1:36">
      <c r="A1127" s="374" t="s">
        <v>2031</v>
      </c>
      <c r="B1127" s="374">
        <v>20</v>
      </c>
      <c r="C1127" s="374" t="s">
        <v>428</v>
      </c>
      <c r="D1127" s="375" t="str">
        <f t="shared" si="227"/>
        <v>Clydevale Estate20</v>
      </c>
      <c r="E1127" s="375" t="s">
        <v>2047</v>
      </c>
      <c r="F1127" s="375" t="s">
        <v>1294</v>
      </c>
      <c r="G1127" s="375" t="s">
        <v>1932</v>
      </c>
      <c r="H1127" s="375" t="s">
        <v>1933</v>
      </c>
      <c r="I1127" s="63" t="s">
        <v>1934</v>
      </c>
      <c r="J1127" s="47">
        <f t="shared" si="230"/>
        <v>3740</v>
      </c>
      <c r="K1127" s="46" t="s">
        <v>10735</v>
      </c>
      <c r="L1127" s="47">
        <f t="shared" si="231"/>
        <v>1210</v>
      </c>
      <c r="M1127" s="47" t="s">
        <v>2033</v>
      </c>
      <c r="N1127" s="47"/>
      <c r="O1127" s="47"/>
      <c r="P1127" s="47"/>
      <c r="Q1127" s="47"/>
      <c r="R1127" s="47"/>
      <c r="S1127" s="47"/>
      <c r="T1127" s="47">
        <f t="shared" si="232"/>
        <v>780</v>
      </c>
      <c r="U1127" s="47"/>
      <c r="V1127" s="47"/>
      <c r="W1127" s="47"/>
      <c r="X1127" s="47"/>
      <c r="Y1127" s="47"/>
      <c r="Z1127" s="47">
        <f t="shared" si="233"/>
        <v>4620</v>
      </c>
      <c r="AA1127" s="47">
        <f t="shared" si="233"/>
        <v>1400</v>
      </c>
      <c r="AB1127" s="47"/>
      <c r="AC1127" s="47"/>
      <c r="AD1127" s="47"/>
      <c r="AE1127" s="47"/>
      <c r="AF1127" s="47"/>
      <c r="AG1127" s="47"/>
      <c r="AH1127" s="47" t="str">
        <f>IFERROR(_xlfn.XLOOKUP(Table6[[#This Row],[Suburb]],Table5[Travel Surcharge],Table5[$$]),"")</f>
        <v/>
      </c>
      <c r="AI1127" s="47"/>
      <c r="AJ1127" s="47"/>
    </row>
    <row r="1128" spans="1:36">
      <c r="A1128" s="374" t="s">
        <v>2031</v>
      </c>
      <c r="B1128" s="374">
        <v>21</v>
      </c>
      <c r="C1128" s="374" t="s">
        <v>428</v>
      </c>
      <c r="D1128" s="375" t="str">
        <f t="shared" si="227"/>
        <v>Clydevale Estate21</v>
      </c>
      <c r="E1128" s="375" t="s">
        <v>2048</v>
      </c>
      <c r="F1128" s="375" t="s">
        <v>1294</v>
      </c>
      <c r="G1128" s="375" t="s">
        <v>1932</v>
      </c>
      <c r="H1128" s="375" t="s">
        <v>1933</v>
      </c>
      <c r="I1128" s="63" t="s">
        <v>1934</v>
      </c>
      <c r="J1128" s="47">
        <f t="shared" si="230"/>
        <v>3740</v>
      </c>
      <c r="K1128" s="46" t="s">
        <v>10735</v>
      </c>
      <c r="L1128" s="47">
        <f t="shared" si="231"/>
        <v>1210</v>
      </c>
      <c r="M1128" s="47" t="s">
        <v>2033</v>
      </c>
      <c r="N1128" s="47"/>
      <c r="O1128" s="47"/>
      <c r="P1128" s="47"/>
      <c r="Q1128" s="47"/>
      <c r="R1128" s="47"/>
      <c r="S1128" s="47"/>
      <c r="T1128" s="47">
        <f t="shared" si="232"/>
        <v>780</v>
      </c>
      <c r="U1128" s="47"/>
      <c r="V1128" s="47"/>
      <c r="W1128" s="47"/>
      <c r="X1128" s="47"/>
      <c r="Y1128" s="47"/>
      <c r="Z1128" s="47">
        <f t="shared" si="233"/>
        <v>4620</v>
      </c>
      <c r="AA1128" s="47">
        <f t="shared" si="233"/>
        <v>1400</v>
      </c>
      <c r="AB1128" s="47"/>
      <c r="AC1128" s="47"/>
      <c r="AD1128" s="47"/>
      <c r="AE1128" s="47"/>
      <c r="AF1128" s="47"/>
      <c r="AG1128" s="47"/>
      <c r="AH1128" s="47" t="str">
        <f>IFERROR(_xlfn.XLOOKUP(Table6[[#This Row],[Suburb]],Table5[Travel Surcharge],Table5[$$]),"")</f>
        <v/>
      </c>
      <c r="AI1128" s="47"/>
      <c r="AJ1128" s="47"/>
    </row>
    <row r="1129" spans="1:36">
      <c r="A1129" s="374" t="s">
        <v>2031</v>
      </c>
      <c r="B1129" s="374">
        <v>22</v>
      </c>
      <c r="C1129" s="374" t="s">
        <v>428</v>
      </c>
      <c r="D1129" s="375" t="str">
        <f t="shared" si="227"/>
        <v>Clydevale Estate22</v>
      </c>
      <c r="E1129" s="375" t="s">
        <v>2049</v>
      </c>
      <c r="F1129" s="375" t="s">
        <v>1294</v>
      </c>
      <c r="G1129" s="375" t="s">
        <v>1932</v>
      </c>
      <c r="H1129" s="375" t="s">
        <v>1933</v>
      </c>
      <c r="I1129" s="63" t="s">
        <v>1934</v>
      </c>
      <c r="J1129" s="47">
        <f t="shared" si="230"/>
        <v>3740</v>
      </c>
      <c r="K1129" s="46" t="s">
        <v>10735</v>
      </c>
      <c r="L1129" s="47">
        <f t="shared" si="231"/>
        <v>1210</v>
      </c>
      <c r="M1129" s="47" t="s">
        <v>2033</v>
      </c>
      <c r="N1129" s="47"/>
      <c r="O1129" s="47"/>
      <c r="P1129" s="47"/>
      <c r="Q1129" s="47"/>
      <c r="R1129" s="47"/>
      <c r="S1129" s="47"/>
      <c r="T1129" s="47">
        <f t="shared" si="232"/>
        <v>780</v>
      </c>
      <c r="U1129" s="47"/>
      <c r="V1129" s="47"/>
      <c r="W1129" s="47"/>
      <c r="X1129" s="47"/>
      <c r="Y1129" s="47"/>
      <c r="Z1129" s="47">
        <f t="shared" si="233"/>
        <v>4620</v>
      </c>
      <c r="AA1129" s="47">
        <f t="shared" si="233"/>
        <v>1400</v>
      </c>
      <c r="AB1129" s="47"/>
      <c r="AC1129" s="47"/>
      <c r="AD1129" s="47"/>
      <c r="AE1129" s="47"/>
      <c r="AF1129" s="47"/>
      <c r="AG1129" s="47"/>
      <c r="AH1129" s="47" t="str">
        <f>IFERROR(_xlfn.XLOOKUP(Table6[[#This Row],[Suburb]],Table5[Travel Surcharge],Table5[$$]),"")</f>
        <v/>
      </c>
      <c r="AI1129" s="47"/>
      <c r="AJ1129" s="47"/>
    </row>
    <row r="1130" spans="1:36">
      <c r="A1130" s="374" t="s">
        <v>2031</v>
      </c>
      <c r="B1130" s="374">
        <v>23</v>
      </c>
      <c r="C1130" s="374" t="s">
        <v>428</v>
      </c>
      <c r="D1130" s="375" t="str">
        <f t="shared" si="227"/>
        <v>Clydevale Estate23</v>
      </c>
      <c r="E1130" s="375" t="s">
        <v>2050</v>
      </c>
      <c r="F1130" s="375" t="s">
        <v>1294</v>
      </c>
      <c r="G1130" s="375" t="s">
        <v>1932</v>
      </c>
      <c r="H1130" s="375" t="s">
        <v>1933</v>
      </c>
      <c r="I1130" s="63" t="s">
        <v>1934</v>
      </c>
      <c r="J1130" s="47">
        <f t="shared" si="230"/>
        <v>3740</v>
      </c>
      <c r="K1130" s="46" t="s">
        <v>10735</v>
      </c>
      <c r="L1130" s="47">
        <f t="shared" si="231"/>
        <v>1210</v>
      </c>
      <c r="M1130" s="47" t="s">
        <v>2033</v>
      </c>
      <c r="N1130" s="47"/>
      <c r="O1130" s="47"/>
      <c r="P1130" s="47"/>
      <c r="Q1130" s="47"/>
      <c r="R1130" s="47"/>
      <c r="S1130" s="47"/>
      <c r="T1130" s="47">
        <f t="shared" si="232"/>
        <v>780</v>
      </c>
      <c r="U1130" s="47"/>
      <c r="V1130" s="47"/>
      <c r="W1130" s="47"/>
      <c r="X1130" s="47"/>
      <c r="Y1130" s="47"/>
      <c r="Z1130" s="47">
        <f t="shared" si="233"/>
        <v>4620</v>
      </c>
      <c r="AA1130" s="47">
        <f t="shared" si="233"/>
        <v>1400</v>
      </c>
      <c r="AB1130" s="47"/>
      <c r="AC1130" s="47"/>
      <c r="AD1130" s="47"/>
      <c r="AE1130" s="47"/>
      <c r="AF1130" s="47"/>
      <c r="AG1130" s="47"/>
      <c r="AH1130" s="47" t="str">
        <f>IFERROR(_xlfn.XLOOKUP(Table6[[#This Row],[Suburb]],Table5[Travel Surcharge],Table5[$$]),"")</f>
        <v/>
      </c>
      <c r="AI1130" s="47"/>
      <c r="AJ1130" s="47"/>
    </row>
    <row r="1131" spans="1:36">
      <c r="A1131" s="374" t="s">
        <v>2031</v>
      </c>
      <c r="B1131" s="374">
        <v>24</v>
      </c>
      <c r="C1131" s="374" t="s">
        <v>428</v>
      </c>
      <c r="D1131" s="375" t="str">
        <f t="shared" si="227"/>
        <v>Clydevale Estate24</v>
      </c>
      <c r="E1131" s="375" t="s">
        <v>2051</v>
      </c>
      <c r="F1131" s="375" t="s">
        <v>1294</v>
      </c>
      <c r="G1131" s="375" t="s">
        <v>1932</v>
      </c>
      <c r="H1131" s="375" t="s">
        <v>1933</v>
      </c>
      <c r="I1131" s="63" t="s">
        <v>1934</v>
      </c>
      <c r="J1131" s="47">
        <f t="shared" si="230"/>
        <v>3740</v>
      </c>
      <c r="K1131" s="46" t="s">
        <v>10735</v>
      </c>
      <c r="L1131" s="47">
        <f t="shared" si="231"/>
        <v>1210</v>
      </c>
      <c r="M1131" s="47" t="s">
        <v>2033</v>
      </c>
      <c r="N1131" s="47"/>
      <c r="O1131" s="47"/>
      <c r="P1131" s="47"/>
      <c r="Q1131" s="47"/>
      <c r="R1131" s="47"/>
      <c r="S1131" s="47"/>
      <c r="T1131" s="47">
        <f t="shared" si="232"/>
        <v>780</v>
      </c>
      <c r="U1131" s="47"/>
      <c r="V1131" s="47"/>
      <c r="W1131" s="47"/>
      <c r="X1131" s="47"/>
      <c r="Y1131" s="47"/>
      <c r="Z1131" s="47">
        <f t="shared" si="233"/>
        <v>4620</v>
      </c>
      <c r="AA1131" s="47">
        <f t="shared" si="233"/>
        <v>1400</v>
      </c>
      <c r="AB1131" s="47"/>
      <c r="AC1131" s="47"/>
      <c r="AD1131" s="47"/>
      <c r="AE1131" s="47"/>
      <c r="AF1131" s="47"/>
      <c r="AG1131" s="47"/>
      <c r="AH1131" s="47" t="str">
        <f>IFERROR(_xlfn.XLOOKUP(Table6[[#This Row],[Suburb]],Table5[Travel Surcharge],Table5[$$]),"")</f>
        <v/>
      </c>
      <c r="AI1131" s="47"/>
      <c r="AJ1131" s="47"/>
    </row>
    <row r="1132" spans="1:36">
      <c r="A1132" s="374" t="s">
        <v>2031</v>
      </c>
      <c r="B1132" s="374">
        <v>25</v>
      </c>
      <c r="C1132" s="374" t="s">
        <v>428</v>
      </c>
      <c r="D1132" s="375" t="str">
        <f t="shared" si="227"/>
        <v>Clydevale Estate25</v>
      </c>
      <c r="E1132" s="375" t="s">
        <v>2052</v>
      </c>
      <c r="F1132" s="375" t="s">
        <v>1294</v>
      </c>
      <c r="G1132" s="375" t="s">
        <v>1932</v>
      </c>
      <c r="H1132" s="375" t="s">
        <v>1933</v>
      </c>
      <c r="I1132" s="63" t="s">
        <v>1934</v>
      </c>
      <c r="J1132" s="47">
        <f t="shared" si="230"/>
        <v>3740</v>
      </c>
      <c r="K1132" s="46" t="s">
        <v>10735</v>
      </c>
      <c r="L1132" s="47">
        <f t="shared" si="231"/>
        <v>1210</v>
      </c>
      <c r="M1132" s="47" t="s">
        <v>2033</v>
      </c>
      <c r="N1132" s="47"/>
      <c r="O1132" s="47"/>
      <c r="P1132" s="47"/>
      <c r="Q1132" s="47"/>
      <c r="R1132" s="47"/>
      <c r="S1132" s="47"/>
      <c r="T1132" s="47">
        <f t="shared" si="232"/>
        <v>780</v>
      </c>
      <c r="U1132" s="47"/>
      <c r="V1132" s="47"/>
      <c r="W1132" s="47"/>
      <c r="X1132" s="47"/>
      <c r="Y1132" s="47"/>
      <c r="Z1132" s="47">
        <f t="shared" si="233"/>
        <v>4620</v>
      </c>
      <c r="AA1132" s="47">
        <f t="shared" si="233"/>
        <v>1400</v>
      </c>
      <c r="AB1132" s="47"/>
      <c r="AC1132" s="47"/>
      <c r="AD1132" s="47"/>
      <c r="AE1132" s="47"/>
      <c r="AF1132" s="47"/>
      <c r="AG1132" s="47"/>
      <c r="AH1132" s="47" t="str">
        <f>IFERROR(_xlfn.XLOOKUP(Table6[[#This Row],[Suburb]],Table5[Travel Surcharge],Table5[$$]),"")</f>
        <v/>
      </c>
      <c r="AI1132" s="47"/>
      <c r="AJ1132" s="47"/>
    </row>
    <row r="1133" spans="1:36">
      <c r="A1133" s="374" t="s">
        <v>2031</v>
      </c>
      <c r="B1133" s="374">
        <v>26</v>
      </c>
      <c r="C1133" s="374" t="s">
        <v>428</v>
      </c>
      <c r="D1133" s="375" t="str">
        <f t="shared" ref="D1133:D1200" si="234">CONCATENATE(A1133,B1133)</f>
        <v>Clydevale Estate26</v>
      </c>
      <c r="E1133" s="375" t="s">
        <v>2053</v>
      </c>
      <c r="F1133" s="375" t="s">
        <v>1294</v>
      </c>
      <c r="G1133" s="375" t="s">
        <v>1932</v>
      </c>
      <c r="H1133" s="375" t="s">
        <v>1933</v>
      </c>
      <c r="I1133" s="63" t="s">
        <v>1934</v>
      </c>
      <c r="J1133" s="47">
        <f t="shared" si="230"/>
        <v>3740</v>
      </c>
      <c r="K1133" s="46" t="s">
        <v>10735</v>
      </c>
      <c r="L1133" s="47">
        <f t="shared" si="231"/>
        <v>1210</v>
      </c>
      <c r="M1133" s="47" t="s">
        <v>2033</v>
      </c>
      <c r="N1133" s="47"/>
      <c r="O1133" s="47"/>
      <c r="P1133" s="47"/>
      <c r="Q1133" s="47"/>
      <c r="R1133" s="47"/>
      <c r="S1133" s="47"/>
      <c r="T1133" s="47">
        <f t="shared" si="232"/>
        <v>780</v>
      </c>
      <c r="U1133" s="47"/>
      <c r="V1133" s="47"/>
      <c r="W1133" s="47"/>
      <c r="X1133" s="47"/>
      <c r="Y1133" s="47"/>
      <c r="Z1133" s="47">
        <f t="shared" si="233"/>
        <v>4620</v>
      </c>
      <c r="AA1133" s="47">
        <f t="shared" si="233"/>
        <v>1400</v>
      </c>
      <c r="AB1133" s="47"/>
      <c r="AC1133" s="47"/>
      <c r="AD1133" s="47"/>
      <c r="AE1133" s="47"/>
      <c r="AF1133" s="47"/>
      <c r="AG1133" s="47"/>
      <c r="AH1133" s="47" t="str">
        <f>IFERROR(_xlfn.XLOOKUP(Table6[[#This Row],[Suburb]],Table5[Travel Surcharge],Table5[$$]),"")</f>
        <v/>
      </c>
      <c r="AI1133" s="47"/>
      <c r="AJ1133" s="47"/>
    </row>
    <row r="1134" spans="1:36">
      <c r="A1134" s="374" t="s">
        <v>2031</v>
      </c>
      <c r="B1134" s="374">
        <v>41</v>
      </c>
      <c r="C1134" s="374" t="s">
        <v>428</v>
      </c>
      <c r="D1134" s="375" t="str">
        <f t="shared" si="234"/>
        <v>Clydevale Estate41</v>
      </c>
      <c r="E1134" s="375" t="s">
        <v>2054</v>
      </c>
      <c r="F1134" s="375" t="s">
        <v>1294</v>
      </c>
      <c r="G1134" s="375" t="s">
        <v>1932</v>
      </c>
      <c r="H1134" s="375" t="s">
        <v>1933</v>
      </c>
      <c r="I1134" s="63" t="s">
        <v>1934</v>
      </c>
      <c r="J1134" s="47">
        <f t="shared" si="230"/>
        <v>3740</v>
      </c>
      <c r="K1134" s="46" t="s">
        <v>10735</v>
      </c>
      <c r="L1134" s="47">
        <f t="shared" si="231"/>
        <v>1210</v>
      </c>
      <c r="M1134" s="47" t="s">
        <v>2033</v>
      </c>
      <c r="N1134" s="47"/>
      <c r="O1134" s="47"/>
      <c r="P1134" s="47"/>
      <c r="Q1134" s="47"/>
      <c r="R1134" s="47"/>
      <c r="S1134" s="47"/>
      <c r="T1134" s="47">
        <f t="shared" si="232"/>
        <v>780</v>
      </c>
      <c r="U1134" s="47"/>
      <c r="V1134" s="47"/>
      <c r="W1134" s="47"/>
      <c r="X1134" s="47"/>
      <c r="Y1134" s="47"/>
      <c r="Z1134" s="47">
        <f t="shared" si="233"/>
        <v>4620</v>
      </c>
      <c r="AA1134" s="47">
        <f t="shared" si="233"/>
        <v>1400</v>
      </c>
      <c r="AB1134" s="47"/>
      <c r="AC1134" s="47"/>
      <c r="AD1134" s="47"/>
      <c r="AE1134" s="47"/>
      <c r="AF1134" s="47"/>
      <c r="AG1134" s="47"/>
      <c r="AH1134" s="47" t="str">
        <f>IFERROR(_xlfn.XLOOKUP(Table6[[#This Row],[Suburb]],Table5[Travel Surcharge],Table5[$$]),"")</f>
        <v/>
      </c>
      <c r="AI1134" s="47"/>
      <c r="AJ1134" s="47"/>
    </row>
    <row r="1135" spans="1:36">
      <c r="A1135" s="374" t="s">
        <v>2031</v>
      </c>
      <c r="B1135" s="374">
        <v>42</v>
      </c>
      <c r="C1135" s="374" t="s">
        <v>428</v>
      </c>
      <c r="D1135" s="375" t="str">
        <f t="shared" si="234"/>
        <v>Clydevale Estate42</v>
      </c>
      <c r="E1135" s="375" t="s">
        <v>2055</v>
      </c>
      <c r="F1135" s="375" t="s">
        <v>1294</v>
      </c>
      <c r="G1135" s="375" t="s">
        <v>1932</v>
      </c>
      <c r="H1135" s="375" t="s">
        <v>1933</v>
      </c>
      <c r="I1135" s="63" t="s">
        <v>1934</v>
      </c>
      <c r="J1135" s="47">
        <f t="shared" si="230"/>
        <v>3740</v>
      </c>
      <c r="K1135" s="46" t="s">
        <v>10735</v>
      </c>
      <c r="L1135" s="47">
        <f t="shared" si="231"/>
        <v>1210</v>
      </c>
      <c r="M1135" s="47" t="s">
        <v>2033</v>
      </c>
      <c r="N1135" s="47"/>
      <c r="O1135" s="47"/>
      <c r="P1135" s="47"/>
      <c r="Q1135" s="47"/>
      <c r="R1135" s="47"/>
      <c r="S1135" s="47"/>
      <c r="T1135" s="47">
        <f t="shared" si="232"/>
        <v>780</v>
      </c>
      <c r="U1135" s="47"/>
      <c r="V1135" s="47"/>
      <c r="W1135" s="47"/>
      <c r="X1135" s="47"/>
      <c r="Y1135" s="47"/>
      <c r="Z1135" s="47">
        <f t="shared" si="233"/>
        <v>4620</v>
      </c>
      <c r="AA1135" s="47">
        <f t="shared" si="233"/>
        <v>1400</v>
      </c>
      <c r="AB1135" s="47"/>
      <c r="AC1135" s="47"/>
      <c r="AD1135" s="47"/>
      <c r="AE1135" s="47"/>
      <c r="AF1135" s="47"/>
      <c r="AG1135" s="47"/>
      <c r="AH1135" s="47" t="str">
        <f>IFERROR(_xlfn.XLOOKUP(Table6[[#This Row],[Suburb]],Table5[Travel Surcharge],Table5[$$]),"")</f>
        <v/>
      </c>
      <c r="AI1135" s="47"/>
      <c r="AJ1135" s="47"/>
    </row>
    <row r="1136" spans="1:36">
      <c r="A1136" s="374" t="s">
        <v>2031</v>
      </c>
      <c r="B1136" s="374">
        <v>43</v>
      </c>
      <c r="C1136" s="374" t="s">
        <v>428</v>
      </c>
      <c r="D1136" s="375" t="str">
        <f t="shared" si="234"/>
        <v>Clydevale Estate43</v>
      </c>
      <c r="E1136" s="375" t="s">
        <v>2056</v>
      </c>
      <c r="F1136" s="375" t="s">
        <v>1294</v>
      </c>
      <c r="G1136" s="375" t="s">
        <v>1932</v>
      </c>
      <c r="H1136" s="375" t="s">
        <v>1933</v>
      </c>
      <c r="I1136" s="63" t="s">
        <v>1934</v>
      </c>
      <c r="J1136" s="47">
        <f t="shared" si="230"/>
        <v>3740</v>
      </c>
      <c r="K1136" s="46" t="s">
        <v>10735</v>
      </c>
      <c r="L1136" s="47">
        <f t="shared" si="231"/>
        <v>1210</v>
      </c>
      <c r="M1136" s="47" t="s">
        <v>2033</v>
      </c>
      <c r="N1136" s="47"/>
      <c r="O1136" s="47"/>
      <c r="P1136" s="47"/>
      <c r="Q1136" s="47"/>
      <c r="R1136" s="47"/>
      <c r="S1136" s="47"/>
      <c r="T1136" s="47">
        <f t="shared" si="232"/>
        <v>780</v>
      </c>
      <c r="U1136" s="47"/>
      <c r="V1136" s="47"/>
      <c r="W1136" s="47"/>
      <c r="X1136" s="47"/>
      <c r="Y1136" s="47"/>
      <c r="Z1136" s="47">
        <f t="shared" si="233"/>
        <v>4620</v>
      </c>
      <c r="AA1136" s="47">
        <f t="shared" si="233"/>
        <v>1400</v>
      </c>
      <c r="AB1136" s="47"/>
      <c r="AC1136" s="47"/>
      <c r="AD1136" s="47"/>
      <c r="AE1136" s="47"/>
      <c r="AF1136" s="47"/>
      <c r="AG1136" s="47"/>
      <c r="AH1136" s="47" t="str">
        <f>IFERROR(_xlfn.XLOOKUP(Table6[[#This Row],[Suburb]],Table5[Travel Surcharge],Table5[$$]),"")</f>
        <v/>
      </c>
      <c r="AI1136" s="47"/>
      <c r="AJ1136" s="47"/>
    </row>
    <row r="1137" spans="1:36">
      <c r="A1137" s="374" t="s">
        <v>2031</v>
      </c>
      <c r="B1137" s="374" t="s">
        <v>2057</v>
      </c>
      <c r="C1137" s="374" t="s">
        <v>428</v>
      </c>
      <c r="D1137" s="375" t="str">
        <f t="shared" si="234"/>
        <v>Clydevale EstateJade</v>
      </c>
      <c r="E1137" s="375" t="s">
        <v>2058</v>
      </c>
      <c r="F1137" s="375" t="s">
        <v>1294</v>
      </c>
      <c r="G1137" s="375" t="s">
        <v>1932</v>
      </c>
      <c r="H1137" s="375" t="s">
        <v>1933</v>
      </c>
      <c r="I1137" s="63" t="s">
        <v>1934</v>
      </c>
      <c r="J1137" s="47">
        <f t="shared" si="230"/>
        <v>3740</v>
      </c>
      <c r="K1137" s="46" t="s">
        <v>10735</v>
      </c>
      <c r="L1137" s="47">
        <f t="shared" si="231"/>
        <v>1210</v>
      </c>
      <c r="M1137" s="47" t="s">
        <v>2033</v>
      </c>
      <c r="N1137" s="47"/>
      <c r="O1137" s="47"/>
      <c r="P1137" s="47"/>
      <c r="Q1137" s="47"/>
      <c r="R1137" s="47"/>
      <c r="S1137" s="47"/>
      <c r="T1137" s="47">
        <f t="shared" si="232"/>
        <v>780</v>
      </c>
      <c r="U1137" s="47"/>
      <c r="V1137" s="47"/>
      <c r="W1137" s="47"/>
      <c r="X1137" s="47"/>
      <c r="Y1137" s="47"/>
      <c r="Z1137" s="47">
        <f t="shared" si="233"/>
        <v>4620</v>
      </c>
      <c r="AA1137" s="47">
        <f t="shared" si="233"/>
        <v>1400</v>
      </c>
      <c r="AB1137" s="47"/>
      <c r="AC1137" s="47"/>
      <c r="AD1137" s="47"/>
      <c r="AE1137" s="47"/>
      <c r="AF1137" s="47"/>
      <c r="AG1137" s="47"/>
      <c r="AH1137" s="47" t="str">
        <f>IFERROR(_xlfn.XLOOKUP(Table6[[#This Row],[Suburb]],Table5[Travel Surcharge],Table5[$$]),"")</f>
        <v/>
      </c>
      <c r="AI1137" s="47"/>
      <c r="AJ1137" s="47"/>
    </row>
    <row r="1138" spans="1:36">
      <c r="A1138" s="157" t="s">
        <v>8689</v>
      </c>
      <c r="B1138" s="157">
        <v>1</v>
      </c>
      <c r="C1138" s="157" t="s">
        <v>286</v>
      </c>
      <c r="D1138" s="157" t="str">
        <f t="shared" si="234"/>
        <v>Coastal Rise 1</v>
      </c>
      <c r="E1138" s="157" t="s">
        <v>9277</v>
      </c>
      <c r="F1138" s="157"/>
      <c r="G1138" s="157"/>
      <c r="H1138" s="157"/>
      <c r="I1138" s="158"/>
      <c r="J1138" s="47">
        <f t="shared" si="230"/>
        <v>3740</v>
      </c>
      <c r="K1138" s="46" t="s">
        <v>7938</v>
      </c>
      <c r="L1138" s="47" t="s">
        <v>8651</v>
      </c>
      <c r="M1138" s="47"/>
      <c r="N1138" s="47" t="s">
        <v>9279</v>
      </c>
      <c r="O1138" s="47" t="s">
        <v>9281</v>
      </c>
      <c r="P1138" s="47" t="s">
        <v>9280</v>
      </c>
      <c r="Q1138" s="47"/>
      <c r="R1138" s="47"/>
      <c r="S1138" s="47">
        <v>590</v>
      </c>
      <c r="T1138" s="47"/>
      <c r="U1138" s="47"/>
      <c r="V1138" s="47" t="s">
        <v>9278</v>
      </c>
      <c r="W1138" s="47"/>
      <c r="X1138" s="47"/>
      <c r="Y1138" s="47"/>
      <c r="Z1138" s="47">
        <f t="shared" ref="Z1138:Z1171" si="235">Z$7</f>
        <v>4620</v>
      </c>
      <c r="AA1138" s="47"/>
      <c r="AB1138" s="47"/>
      <c r="AC1138" s="47"/>
      <c r="AD1138" s="47"/>
      <c r="AE1138" s="47"/>
      <c r="AF1138" s="47"/>
      <c r="AG1138" s="47"/>
      <c r="AH1138" s="47">
        <f>IFERROR(_xlfn.XLOOKUP(Table6[[#This Row],[Suburb]],Table5[Travel Surcharge],Table5[$$]),"")</f>
        <v>1500</v>
      </c>
      <c r="AI1138" s="47"/>
      <c r="AJ1138" s="47"/>
    </row>
    <row r="1139" spans="1:36">
      <c r="A1139" s="157" t="s">
        <v>8689</v>
      </c>
      <c r="B1139" s="157">
        <v>2</v>
      </c>
      <c r="C1139" s="157" t="s">
        <v>286</v>
      </c>
      <c r="D1139" s="157" t="str">
        <f t="shared" si="234"/>
        <v>Coastal Rise 2</v>
      </c>
      <c r="E1139" s="157" t="s">
        <v>8690</v>
      </c>
      <c r="F1139" s="157"/>
      <c r="G1139" s="157"/>
      <c r="H1139" s="157"/>
      <c r="I1139" s="158"/>
      <c r="J1139" s="47">
        <f t="shared" si="230"/>
        <v>3740</v>
      </c>
      <c r="K1139" s="46" t="s">
        <v>7938</v>
      </c>
      <c r="L1139" s="47" t="s">
        <v>8651</v>
      </c>
      <c r="M1139" s="47"/>
      <c r="N1139" s="47" t="s">
        <v>9279</v>
      </c>
      <c r="O1139" s="47" t="s">
        <v>9281</v>
      </c>
      <c r="P1139" s="47" t="s">
        <v>9280</v>
      </c>
      <c r="Q1139" s="47"/>
      <c r="R1139" s="47"/>
      <c r="S1139" s="47">
        <v>590</v>
      </c>
      <c r="T1139" s="47"/>
      <c r="U1139" s="47"/>
      <c r="V1139" s="47" t="s">
        <v>9278</v>
      </c>
      <c r="W1139" s="47"/>
      <c r="X1139" s="47"/>
      <c r="Y1139" s="47"/>
      <c r="Z1139" s="47">
        <f t="shared" si="235"/>
        <v>4620</v>
      </c>
      <c r="AA1139" s="47"/>
      <c r="AB1139" s="47"/>
      <c r="AC1139" s="47"/>
      <c r="AD1139" s="47"/>
      <c r="AE1139" s="47"/>
      <c r="AF1139" s="47"/>
      <c r="AG1139" s="47"/>
      <c r="AH1139" s="47">
        <f>IFERROR(_xlfn.XLOOKUP(Table6[[#This Row],[Suburb]],Table5[Travel Surcharge],Table5[$$]),"")</f>
        <v>1500</v>
      </c>
      <c r="AI1139" s="47"/>
      <c r="AJ1139" s="47"/>
    </row>
    <row r="1140" spans="1:36">
      <c r="A1140" s="157" t="s">
        <v>8158</v>
      </c>
      <c r="B1140" s="157">
        <v>1</v>
      </c>
      <c r="C1140" s="157" t="s">
        <v>728</v>
      </c>
      <c r="D1140" s="157" t="str">
        <f t="shared" si="234"/>
        <v>Cobble Springs1</v>
      </c>
      <c r="E1140" s="157" t="s">
        <v>8159</v>
      </c>
      <c r="F1140" s="157" t="s">
        <v>8160</v>
      </c>
      <c r="G1140" s="157"/>
      <c r="H1140" s="157" t="s">
        <v>8161</v>
      </c>
      <c r="I1140" s="158" t="s">
        <v>2218</v>
      </c>
      <c r="J1140" s="47">
        <f t="shared" si="230"/>
        <v>3740</v>
      </c>
      <c r="K1140" s="46" t="s">
        <v>10735</v>
      </c>
      <c r="L1140" s="47"/>
      <c r="M1140" s="47">
        <f t="shared" ref="M1140:M1145" si="236">$M$7</f>
        <v>1430.0000000000002</v>
      </c>
      <c r="N1140" s="47" t="s">
        <v>8162</v>
      </c>
      <c r="O1140" s="47" t="s">
        <v>8166</v>
      </c>
      <c r="P1140" s="47" t="s">
        <v>8167</v>
      </c>
      <c r="Q1140" s="47">
        <f>Q$2</f>
        <v>0</v>
      </c>
      <c r="R1140" s="47" t="s">
        <v>8165</v>
      </c>
      <c r="S1140" s="47"/>
      <c r="T1140" s="47"/>
      <c r="U1140" s="47"/>
      <c r="V1140" s="47" t="s">
        <v>8163</v>
      </c>
      <c r="W1140" s="47"/>
      <c r="X1140" s="47"/>
      <c r="Y1140" s="47" t="s">
        <v>8164</v>
      </c>
      <c r="Z1140" s="47">
        <f t="shared" si="235"/>
        <v>4620</v>
      </c>
      <c r="AA1140" s="47">
        <f>AA$7</f>
        <v>1400</v>
      </c>
      <c r="AB1140" s="47"/>
      <c r="AC1140" s="47"/>
      <c r="AD1140" s="47"/>
      <c r="AE1140" s="47"/>
      <c r="AF1140" s="47">
        <v>1650.0000000000002</v>
      </c>
      <c r="AG1140" s="47"/>
      <c r="AH1140" s="47" t="str">
        <f>IFERROR(_xlfn.XLOOKUP(Table6[[#This Row],[Suburb]],Table5[Travel Surcharge],Table5[$$]),"")</f>
        <v/>
      </c>
      <c r="AI1140" s="47"/>
      <c r="AJ1140" s="47"/>
    </row>
    <row r="1141" spans="1:36">
      <c r="A1141" s="157" t="s">
        <v>8158</v>
      </c>
      <c r="B1141" s="157">
        <v>2</v>
      </c>
      <c r="C1141" s="157" t="s">
        <v>728</v>
      </c>
      <c r="D1141" s="157" t="str">
        <f t="shared" si="234"/>
        <v>Cobble Springs2</v>
      </c>
      <c r="E1141" s="157" t="s">
        <v>8168</v>
      </c>
      <c r="F1141" s="157" t="s">
        <v>8160</v>
      </c>
      <c r="G1141" s="157"/>
      <c r="H1141" s="157" t="s">
        <v>8161</v>
      </c>
      <c r="I1141" s="158" t="s">
        <v>2218</v>
      </c>
      <c r="J1141" s="47">
        <f t="shared" si="230"/>
        <v>3740</v>
      </c>
      <c r="K1141" s="46" t="s">
        <v>10735</v>
      </c>
      <c r="L1141" s="47"/>
      <c r="M1141" s="47">
        <f t="shared" si="236"/>
        <v>1430.0000000000002</v>
      </c>
      <c r="N1141" s="47" t="s">
        <v>8162</v>
      </c>
      <c r="O1141" s="47" t="s">
        <v>8166</v>
      </c>
      <c r="P1141" s="47" t="s">
        <v>8167</v>
      </c>
      <c r="Q1141" s="47">
        <f>Q$2</f>
        <v>0</v>
      </c>
      <c r="R1141" s="47" t="s">
        <v>8165</v>
      </c>
      <c r="S1141" s="47"/>
      <c r="T1141" s="47"/>
      <c r="U1141" s="47"/>
      <c r="V1141" s="47" t="s">
        <v>8163</v>
      </c>
      <c r="W1141" s="47"/>
      <c r="X1141" s="47"/>
      <c r="Y1141" s="47" t="s">
        <v>8164</v>
      </c>
      <c r="Z1141" s="47">
        <f t="shared" si="235"/>
        <v>4620</v>
      </c>
      <c r="AA1141" s="47">
        <f>AA$7</f>
        <v>1400</v>
      </c>
      <c r="AB1141" s="47"/>
      <c r="AC1141" s="47"/>
      <c r="AD1141" s="47"/>
      <c r="AE1141" s="47"/>
      <c r="AF1141" s="47">
        <v>1650.0000000000002</v>
      </c>
      <c r="AG1141" s="47"/>
      <c r="AH1141" s="47" t="str">
        <f>IFERROR(_xlfn.XLOOKUP(Table6[[#This Row],[Suburb]],Table5[Travel Surcharge],Table5[$$]),"")</f>
        <v/>
      </c>
      <c r="AI1141" s="47"/>
      <c r="AJ1141" s="47"/>
    </row>
    <row r="1142" spans="1:36">
      <c r="A1142" s="157" t="s">
        <v>8158</v>
      </c>
      <c r="B1142" s="157">
        <v>3</v>
      </c>
      <c r="C1142" s="157" t="s">
        <v>728</v>
      </c>
      <c r="D1142" s="157" t="str">
        <f t="shared" si="234"/>
        <v>Cobble Springs3</v>
      </c>
      <c r="E1142" s="157" t="s">
        <v>8169</v>
      </c>
      <c r="F1142" s="157" t="s">
        <v>8160</v>
      </c>
      <c r="G1142" s="157"/>
      <c r="H1142" s="157" t="s">
        <v>8161</v>
      </c>
      <c r="I1142" s="158" t="s">
        <v>2218</v>
      </c>
      <c r="J1142" s="47">
        <f t="shared" si="230"/>
        <v>3740</v>
      </c>
      <c r="K1142" s="46" t="s">
        <v>10735</v>
      </c>
      <c r="L1142" s="47"/>
      <c r="M1142" s="47">
        <f t="shared" si="236"/>
        <v>1430.0000000000002</v>
      </c>
      <c r="N1142" s="47" t="s">
        <v>8162</v>
      </c>
      <c r="O1142" s="47" t="s">
        <v>8166</v>
      </c>
      <c r="P1142" s="47" t="s">
        <v>8167</v>
      </c>
      <c r="Q1142" s="47">
        <f>Q$2</f>
        <v>0</v>
      </c>
      <c r="R1142" s="47" t="s">
        <v>8165</v>
      </c>
      <c r="S1142" s="47"/>
      <c r="T1142" s="47"/>
      <c r="U1142" s="47"/>
      <c r="V1142" s="47" t="s">
        <v>8163</v>
      </c>
      <c r="W1142" s="47"/>
      <c r="X1142" s="47"/>
      <c r="Y1142" s="47" t="s">
        <v>8164</v>
      </c>
      <c r="Z1142" s="47">
        <f t="shared" si="235"/>
        <v>4620</v>
      </c>
      <c r="AA1142" s="47">
        <f>AA$7</f>
        <v>1400</v>
      </c>
      <c r="AB1142" s="47"/>
      <c r="AC1142" s="47"/>
      <c r="AD1142" s="47"/>
      <c r="AE1142" s="47"/>
      <c r="AF1142" s="47">
        <v>1650.0000000000002</v>
      </c>
      <c r="AG1142" s="47"/>
      <c r="AH1142" s="47" t="str">
        <f>IFERROR(_xlfn.XLOOKUP(Table6[[#This Row],[Suburb]],Table5[Travel Surcharge],Table5[$$]),"")</f>
        <v/>
      </c>
      <c r="AI1142" s="47"/>
      <c r="AJ1142" s="47"/>
    </row>
    <row r="1143" spans="1:36">
      <c r="A1143" s="157" t="s">
        <v>8158</v>
      </c>
      <c r="B1143" s="157">
        <v>4</v>
      </c>
      <c r="C1143" s="157" t="s">
        <v>728</v>
      </c>
      <c r="D1143" s="157" t="str">
        <f t="shared" si="234"/>
        <v>Cobble Springs4</v>
      </c>
      <c r="E1143" s="157" t="s">
        <v>8170</v>
      </c>
      <c r="F1143" s="157" t="s">
        <v>8160</v>
      </c>
      <c r="G1143" s="157"/>
      <c r="H1143" s="157" t="s">
        <v>8161</v>
      </c>
      <c r="I1143" s="158" t="s">
        <v>2218</v>
      </c>
      <c r="J1143" s="47">
        <f t="shared" si="230"/>
        <v>3740</v>
      </c>
      <c r="K1143" s="46" t="s">
        <v>10735</v>
      </c>
      <c r="L1143" s="47"/>
      <c r="M1143" s="47">
        <f t="shared" si="236"/>
        <v>1430.0000000000002</v>
      </c>
      <c r="N1143" s="47" t="s">
        <v>8162</v>
      </c>
      <c r="O1143" s="47" t="s">
        <v>8166</v>
      </c>
      <c r="P1143" s="47" t="s">
        <v>8167</v>
      </c>
      <c r="Q1143" s="47">
        <f>Q$2</f>
        <v>0</v>
      </c>
      <c r="R1143" s="47" t="s">
        <v>8165</v>
      </c>
      <c r="S1143" s="47"/>
      <c r="T1143" s="47"/>
      <c r="U1143" s="47"/>
      <c r="V1143" s="47" t="s">
        <v>8163</v>
      </c>
      <c r="W1143" s="47"/>
      <c r="X1143" s="47"/>
      <c r="Y1143" s="47" t="s">
        <v>8164</v>
      </c>
      <c r="Z1143" s="47">
        <f t="shared" si="235"/>
        <v>4620</v>
      </c>
      <c r="AA1143" s="47">
        <f>AA$7</f>
        <v>1400</v>
      </c>
      <c r="AB1143" s="47"/>
      <c r="AC1143" s="47"/>
      <c r="AD1143" s="47"/>
      <c r="AE1143" s="47"/>
      <c r="AF1143" s="47">
        <v>1650.0000000000002</v>
      </c>
      <c r="AG1143" s="47"/>
      <c r="AH1143" s="47" t="str">
        <f>IFERROR(_xlfn.XLOOKUP(Table6[[#This Row],[Suburb]],Table5[Travel Surcharge],Table5[$$]),"")</f>
        <v/>
      </c>
      <c r="AI1143" s="47"/>
      <c r="AJ1143" s="47"/>
    </row>
    <row r="1144" spans="1:36">
      <c r="A1144" s="157" t="s">
        <v>8031</v>
      </c>
      <c r="B1144" s="157">
        <v>2</v>
      </c>
      <c r="C1144" s="157" t="s">
        <v>928</v>
      </c>
      <c r="D1144" s="157" t="str">
        <f t="shared" si="234"/>
        <v>Coburns Rise 2</v>
      </c>
      <c r="E1144" s="157" t="s">
        <v>8032</v>
      </c>
      <c r="F1144" s="157" t="s">
        <v>8033</v>
      </c>
      <c r="G1144" s="157" t="s">
        <v>8036</v>
      </c>
      <c r="H1144" s="157" t="s">
        <v>8034</v>
      </c>
      <c r="I1144" s="158" t="s">
        <v>8035</v>
      </c>
      <c r="J1144" s="47"/>
      <c r="K1144" s="46" t="s">
        <v>10735</v>
      </c>
      <c r="L1144" s="47" t="s">
        <v>8038</v>
      </c>
      <c r="M1144" s="47">
        <f t="shared" si="236"/>
        <v>1430.0000000000002</v>
      </c>
      <c r="N1144" s="47"/>
      <c r="O1144" s="47" t="s">
        <v>8037</v>
      </c>
      <c r="P1144" s="47"/>
      <c r="Q1144" s="47"/>
      <c r="R1144" s="47" t="s">
        <v>448</v>
      </c>
      <c r="S1144" s="47" t="s">
        <v>967</v>
      </c>
      <c r="T1144" s="47"/>
      <c r="U1144" s="47"/>
      <c r="V1144" s="47" t="s">
        <v>8040</v>
      </c>
      <c r="W1144" s="47" t="s">
        <v>8041</v>
      </c>
      <c r="X1144" s="47" t="s">
        <v>8039</v>
      </c>
      <c r="Y1144" s="47"/>
      <c r="Z1144" s="47">
        <f t="shared" si="235"/>
        <v>4620</v>
      </c>
      <c r="AA1144" s="47"/>
      <c r="AB1144" s="47"/>
      <c r="AC1144" s="47"/>
      <c r="AD1144" s="47"/>
      <c r="AE1144" s="47"/>
      <c r="AF1144" s="47">
        <v>1650.0000000000002</v>
      </c>
      <c r="AG1144" s="47"/>
      <c r="AH1144" s="47" t="str">
        <f>IFERROR(_xlfn.XLOOKUP(Table6[[#This Row],[Suburb]],Table5[Travel Surcharge],Table5[$$]),"")</f>
        <v/>
      </c>
      <c r="AI1144" s="47"/>
      <c r="AJ1144" s="47"/>
    </row>
    <row r="1145" spans="1:36">
      <c r="A1145" s="157" t="s">
        <v>8031</v>
      </c>
      <c r="B1145" s="157">
        <v>3</v>
      </c>
      <c r="C1145" s="157" t="s">
        <v>928</v>
      </c>
      <c r="D1145" s="157" t="str">
        <f t="shared" si="234"/>
        <v>Coburns Rise 3</v>
      </c>
      <c r="E1145" s="157" t="s">
        <v>8385</v>
      </c>
      <c r="F1145" s="157" t="s">
        <v>8033</v>
      </c>
      <c r="G1145" s="157" t="s">
        <v>8036</v>
      </c>
      <c r="H1145" s="157" t="s">
        <v>8034</v>
      </c>
      <c r="I1145" s="158" t="s">
        <v>8035</v>
      </c>
      <c r="J1145" s="47"/>
      <c r="K1145" s="46" t="s">
        <v>10735</v>
      </c>
      <c r="L1145" s="47" t="s">
        <v>8038</v>
      </c>
      <c r="M1145" s="47">
        <f t="shared" si="236"/>
        <v>1430.0000000000002</v>
      </c>
      <c r="N1145" s="47"/>
      <c r="O1145" s="47" t="s">
        <v>8037</v>
      </c>
      <c r="P1145" s="47"/>
      <c r="Q1145" s="47"/>
      <c r="R1145" s="47" t="s">
        <v>448</v>
      </c>
      <c r="S1145" s="47" t="s">
        <v>967</v>
      </c>
      <c r="T1145" s="47"/>
      <c r="U1145" s="47"/>
      <c r="V1145" s="47" t="s">
        <v>8040</v>
      </c>
      <c r="W1145" s="47" t="s">
        <v>8041</v>
      </c>
      <c r="X1145" s="47" t="s">
        <v>8039</v>
      </c>
      <c r="Y1145" s="47"/>
      <c r="Z1145" s="47">
        <f t="shared" si="235"/>
        <v>4620</v>
      </c>
      <c r="AA1145" s="47"/>
      <c r="AB1145" s="47"/>
      <c r="AC1145" s="47"/>
      <c r="AD1145" s="47"/>
      <c r="AE1145" s="47"/>
      <c r="AF1145" s="47">
        <v>1650.0000000000002</v>
      </c>
      <c r="AG1145" s="47"/>
      <c r="AH1145" s="47" t="str">
        <f>IFERROR(_xlfn.XLOOKUP(Table6[[#This Row],[Suburb]],Table5[Travel Surcharge],Table5[$$]),"")</f>
        <v/>
      </c>
      <c r="AI1145" s="47"/>
      <c r="AJ1145" s="47"/>
    </row>
    <row r="1146" spans="1:36">
      <c r="A1146" s="374" t="s">
        <v>2065</v>
      </c>
      <c r="B1146" s="374">
        <v>1</v>
      </c>
      <c r="C1146" s="374" t="s">
        <v>802</v>
      </c>
      <c r="D1146" s="375" t="str">
        <f t="shared" si="234"/>
        <v>College Fields - Officer1</v>
      </c>
      <c r="E1146" s="375" t="s">
        <v>2066</v>
      </c>
      <c r="F1146" s="375"/>
      <c r="G1146" s="375"/>
      <c r="H1146" s="375"/>
      <c r="I1146" s="63"/>
      <c r="J1146" s="47">
        <f>J$7</f>
        <v>3740</v>
      </c>
      <c r="K1146" s="46" t="s">
        <v>10735</v>
      </c>
      <c r="L1146" s="47">
        <f>L$7</f>
        <v>1210</v>
      </c>
      <c r="M1146" s="47" t="s">
        <v>474</v>
      </c>
      <c r="N1146" s="47" t="s">
        <v>2067</v>
      </c>
      <c r="O1146" s="47" t="s">
        <v>2068</v>
      </c>
      <c r="P1146" s="47"/>
      <c r="Q1146" s="47">
        <f t="shared" ref="Q1146:Q1153" si="237">Q$2</f>
        <v>0</v>
      </c>
      <c r="R1146" s="47"/>
      <c r="S1146" s="47" t="s">
        <v>2069</v>
      </c>
      <c r="T1146" s="47"/>
      <c r="U1146" s="47"/>
      <c r="V1146" s="47"/>
      <c r="W1146" s="47"/>
      <c r="X1146" s="47"/>
      <c r="Y1146" s="47"/>
      <c r="Z1146" s="47">
        <f t="shared" si="235"/>
        <v>4620</v>
      </c>
      <c r="AA1146" s="47"/>
      <c r="AB1146" s="47"/>
      <c r="AC1146" s="47"/>
      <c r="AD1146" s="47"/>
      <c r="AE1146" s="47"/>
      <c r="AF1146" s="47"/>
      <c r="AG1146" s="47"/>
      <c r="AH1146" s="47" t="str">
        <f>IFERROR(_xlfn.XLOOKUP(Table6[[#This Row],[Suburb]],Table5[Travel Surcharge],Table5[$$]),"")</f>
        <v/>
      </c>
      <c r="AI1146" s="47"/>
      <c r="AJ1146" s="47"/>
    </row>
    <row r="1147" spans="1:36">
      <c r="A1147" s="374" t="s">
        <v>2059</v>
      </c>
      <c r="B1147" s="374">
        <v>1</v>
      </c>
      <c r="C1147" s="374" t="s">
        <v>2060</v>
      </c>
      <c r="D1147" s="375" t="str">
        <f t="shared" si="234"/>
        <v>College Fields - Wyndham Vale1</v>
      </c>
      <c r="E1147" s="375" t="s">
        <v>2061</v>
      </c>
      <c r="F1147" s="375"/>
      <c r="G1147" s="375" t="s">
        <v>1515</v>
      </c>
      <c r="H1147" s="375"/>
      <c r="I1147" s="63" t="s">
        <v>2062</v>
      </c>
      <c r="J1147" s="47">
        <f>J$7</f>
        <v>3740</v>
      </c>
      <c r="K1147" s="46" t="s">
        <v>10735</v>
      </c>
      <c r="L1147" s="47"/>
      <c r="M1147" s="47"/>
      <c r="N1147" s="47"/>
      <c r="O1147" s="47"/>
      <c r="P1147" s="47"/>
      <c r="Q1147" s="47">
        <f t="shared" si="237"/>
        <v>0</v>
      </c>
      <c r="R1147" s="47"/>
      <c r="S1147" s="47"/>
      <c r="T1147" s="47"/>
      <c r="U1147" s="47"/>
      <c r="V1147" s="47"/>
      <c r="W1147" s="47"/>
      <c r="X1147" s="47"/>
      <c r="Y1147" s="47"/>
      <c r="Z1147" s="47">
        <f t="shared" si="235"/>
        <v>4620</v>
      </c>
      <c r="AA1147" s="47"/>
      <c r="AB1147" s="47"/>
      <c r="AC1147" s="47"/>
      <c r="AD1147" s="47"/>
      <c r="AE1147" s="47"/>
      <c r="AF1147" s="47"/>
      <c r="AG1147" s="47"/>
      <c r="AH1147" s="47" t="str">
        <f>IFERROR(_xlfn.XLOOKUP(Table6[[#This Row],[Suburb]],Table5[Travel Surcharge],Table5[$$]),"")</f>
        <v/>
      </c>
      <c r="AI1147" s="47"/>
      <c r="AJ1147" s="47"/>
    </row>
    <row r="1148" spans="1:36">
      <c r="A1148" s="374" t="s">
        <v>2059</v>
      </c>
      <c r="B1148" s="374">
        <v>3</v>
      </c>
      <c r="C1148" s="374" t="s">
        <v>2060</v>
      </c>
      <c r="D1148" s="375" t="str">
        <f t="shared" si="234"/>
        <v>College Fields - Wyndham Vale3</v>
      </c>
      <c r="E1148" s="375" t="s">
        <v>2063</v>
      </c>
      <c r="F1148" s="375"/>
      <c r="G1148" s="375" t="s">
        <v>1515</v>
      </c>
      <c r="H1148" s="375"/>
      <c r="I1148" s="63" t="s">
        <v>2062</v>
      </c>
      <c r="J1148" s="47">
        <f>J$7</f>
        <v>3740</v>
      </c>
      <c r="K1148" s="46" t="s">
        <v>10735</v>
      </c>
      <c r="L1148" s="47"/>
      <c r="M1148" s="47"/>
      <c r="N1148" s="47"/>
      <c r="O1148" s="47"/>
      <c r="P1148" s="47"/>
      <c r="Q1148" s="47">
        <f t="shared" si="237"/>
        <v>0</v>
      </c>
      <c r="R1148" s="47"/>
      <c r="S1148" s="47"/>
      <c r="T1148" s="47"/>
      <c r="U1148" s="47"/>
      <c r="V1148" s="47"/>
      <c r="W1148" s="47"/>
      <c r="X1148" s="47"/>
      <c r="Y1148" s="47"/>
      <c r="Z1148" s="47">
        <f t="shared" si="235"/>
        <v>4620</v>
      </c>
      <c r="AA1148" s="47"/>
      <c r="AB1148" s="47"/>
      <c r="AC1148" s="47"/>
      <c r="AD1148" s="47"/>
      <c r="AE1148" s="47"/>
      <c r="AF1148" s="47"/>
      <c r="AG1148" s="47"/>
      <c r="AH1148" s="47" t="str">
        <f>IFERROR(_xlfn.XLOOKUP(Table6[[#This Row],[Suburb]],Table5[Travel Surcharge],Table5[$$]),"")</f>
        <v/>
      </c>
      <c r="AI1148" s="47"/>
      <c r="AJ1148" s="47"/>
    </row>
    <row r="1149" spans="1:36">
      <c r="A1149" s="374" t="s">
        <v>2059</v>
      </c>
      <c r="B1149" s="374">
        <v>5</v>
      </c>
      <c r="C1149" s="374" t="s">
        <v>2060</v>
      </c>
      <c r="D1149" s="375" t="str">
        <f t="shared" si="234"/>
        <v>College Fields - Wyndham Vale5</v>
      </c>
      <c r="E1149" s="375" t="s">
        <v>2064</v>
      </c>
      <c r="F1149" s="375"/>
      <c r="G1149" s="375" t="s">
        <v>1515</v>
      </c>
      <c r="H1149" s="375"/>
      <c r="I1149" s="63" t="s">
        <v>2062</v>
      </c>
      <c r="J1149" s="47">
        <f>J$7</f>
        <v>3740</v>
      </c>
      <c r="K1149" s="46" t="s">
        <v>10735</v>
      </c>
      <c r="L1149" s="47"/>
      <c r="M1149" s="47"/>
      <c r="N1149" s="47"/>
      <c r="O1149" s="47"/>
      <c r="P1149" s="47"/>
      <c r="Q1149" s="47">
        <f t="shared" si="237"/>
        <v>0</v>
      </c>
      <c r="R1149" s="47"/>
      <c r="S1149" s="47"/>
      <c r="T1149" s="47"/>
      <c r="U1149" s="47"/>
      <c r="V1149" s="47"/>
      <c r="W1149" s="47"/>
      <c r="X1149" s="47"/>
      <c r="Y1149" s="47"/>
      <c r="Z1149" s="47">
        <f t="shared" si="235"/>
        <v>4620</v>
      </c>
      <c r="AA1149" s="47"/>
      <c r="AB1149" s="47"/>
      <c r="AC1149" s="47"/>
      <c r="AD1149" s="47"/>
      <c r="AE1149" s="47"/>
      <c r="AF1149" s="47"/>
      <c r="AG1149" s="47"/>
      <c r="AH1149" s="47" t="str">
        <f>IFERROR(_xlfn.XLOOKUP(Table6[[#This Row],[Suburb]],Table5[Travel Surcharge],Table5[$$]),"")</f>
        <v/>
      </c>
      <c r="AI1149" s="47"/>
      <c r="AJ1149" s="47"/>
    </row>
    <row r="1150" spans="1:36">
      <c r="A1150" s="374" t="s">
        <v>2070</v>
      </c>
      <c r="B1150" s="374">
        <v>1</v>
      </c>
      <c r="C1150" s="374" t="s">
        <v>538</v>
      </c>
      <c r="D1150" s="375" t="str">
        <f t="shared" si="234"/>
        <v>College Green Estate1</v>
      </c>
      <c r="E1150" s="375" t="s">
        <v>2071</v>
      </c>
      <c r="F1150" s="375" t="s">
        <v>2072</v>
      </c>
      <c r="G1150" s="375" t="s">
        <v>2073</v>
      </c>
      <c r="H1150" s="375" t="s">
        <v>2074</v>
      </c>
      <c r="I1150" s="63" t="s">
        <v>2075</v>
      </c>
      <c r="J1150" s="47"/>
      <c r="K1150" s="46" t="s">
        <v>10735</v>
      </c>
      <c r="L1150" s="47"/>
      <c r="M1150" s="47"/>
      <c r="N1150" s="47"/>
      <c r="O1150" s="47"/>
      <c r="P1150" s="47"/>
      <c r="Q1150" s="47">
        <f t="shared" si="237"/>
        <v>0</v>
      </c>
      <c r="R1150" s="47" t="s">
        <v>2076</v>
      </c>
      <c r="S1150" s="47"/>
      <c r="T1150" s="47"/>
      <c r="U1150" s="47"/>
      <c r="V1150" s="47"/>
      <c r="W1150" s="47"/>
      <c r="X1150" s="47"/>
      <c r="Y1150" s="47"/>
      <c r="Z1150" s="47">
        <f t="shared" si="235"/>
        <v>4620</v>
      </c>
      <c r="AA1150" s="47"/>
      <c r="AB1150" s="47"/>
      <c r="AC1150" s="47"/>
      <c r="AD1150" s="47"/>
      <c r="AE1150" s="47"/>
      <c r="AF1150" s="47"/>
      <c r="AG1150" s="47"/>
      <c r="AH1150" s="47" t="str">
        <f>IFERROR(_xlfn.XLOOKUP(Table6[[#This Row],[Suburb]],Table5[Travel Surcharge],Table5[$$]),"")</f>
        <v/>
      </c>
      <c r="AI1150" s="47"/>
      <c r="AJ1150" s="47"/>
    </row>
    <row r="1151" spans="1:36">
      <c r="A1151" s="374" t="s">
        <v>2070</v>
      </c>
      <c r="B1151" s="374">
        <v>2</v>
      </c>
      <c r="C1151" s="374" t="s">
        <v>538</v>
      </c>
      <c r="D1151" s="375" t="str">
        <f t="shared" si="234"/>
        <v>College Green Estate2</v>
      </c>
      <c r="E1151" s="375" t="s">
        <v>2077</v>
      </c>
      <c r="F1151" s="375" t="s">
        <v>2072</v>
      </c>
      <c r="G1151" s="375" t="s">
        <v>2073</v>
      </c>
      <c r="H1151" s="375" t="s">
        <v>2074</v>
      </c>
      <c r="I1151" s="63" t="s">
        <v>2075</v>
      </c>
      <c r="J1151" s="47"/>
      <c r="K1151" s="46" t="s">
        <v>10735</v>
      </c>
      <c r="L1151" s="47"/>
      <c r="M1151" s="47"/>
      <c r="N1151" s="47"/>
      <c r="O1151" s="47"/>
      <c r="P1151" s="47"/>
      <c r="Q1151" s="47">
        <f t="shared" si="237"/>
        <v>0</v>
      </c>
      <c r="R1151" s="47" t="s">
        <v>2076</v>
      </c>
      <c r="S1151" s="47"/>
      <c r="T1151" s="47"/>
      <c r="U1151" s="47"/>
      <c r="V1151" s="47"/>
      <c r="W1151" s="47"/>
      <c r="X1151" s="47"/>
      <c r="Y1151" s="47"/>
      <c r="Z1151" s="47">
        <f t="shared" si="235"/>
        <v>4620</v>
      </c>
      <c r="AA1151" s="47"/>
      <c r="AB1151" s="47"/>
      <c r="AC1151" s="47"/>
      <c r="AD1151" s="47"/>
      <c r="AE1151" s="47"/>
      <c r="AF1151" s="47"/>
      <c r="AG1151" s="47"/>
      <c r="AH1151" s="47" t="str">
        <f>IFERROR(_xlfn.XLOOKUP(Table6[[#This Row],[Suburb]],Table5[Travel Surcharge],Table5[$$]),"")</f>
        <v/>
      </c>
      <c r="AI1151" s="47"/>
      <c r="AJ1151" s="47"/>
    </row>
    <row r="1152" spans="1:36">
      <c r="A1152" s="374" t="s">
        <v>2070</v>
      </c>
      <c r="B1152" s="374">
        <v>3</v>
      </c>
      <c r="C1152" s="374" t="s">
        <v>538</v>
      </c>
      <c r="D1152" s="375" t="str">
        <f t="shared" si="234"/>
        <v>College Green Estate3</v>
      </c>
      <c r="E1152" s="375" t="s">
        <v>2078</v>
      </c>
      <c r="F1152" s="375" t="s">
        <v>2072</v>
      </c>
      <c r="G1152" s="375" t="s">
        <v>2073</v>
      </c>
      <c r="H1152" s="375" t="s">
        <v>2074</v>
      </c>
      <c r="I1152" s="63" t="s">
        <v>2075</v>
      </c>
      <c r="J1152" s="47"/>
      <c r="K1152" s="46" t="s">
        <v>10735</v>
      </c>
      <c r="L1152" s="47"/>
      <c r="M1152" s="47"/>
      <c r="N1152" s="47"/>
      <c r="O1152" s="47"/>
      <c r="P1152" s="47"/>
      <c r="Q1152" s="47">
        <f t="shared" si="237"/>
        <v>0</v>
      </c>
      <c r="R1152" s="47" t="s">
        <v>2076</v>
      </c>
      <c r="S1152" s="47"/>
      <c r="T1152" s="47"/>
      <c r="U1152" s="47"/>
      <c r="V1152" s="47"/>
      <c r="W1152" s="47"/>
      <c r="X1152" s="47"/>
      <c r="Y1152" s="47"/>
      <c r="Z1152" s="47">
        <f t="shared" si="235"/>
        <v>4620</v>
      </c>
      <c r="AA1152" s="47"/>
      <c r="AB1152" s="47"/>
      <c r="AC1152" s="47"/>
      <c r="AD1152" s="47"/>
      <c r="AE1152" s="47"/>
      <c r="AF1152" s="47"/>
      <c r="AG1152" s="47"/>
      <c r="AH1152" s="47" t="str">
        <f>IFERROR(_xlfn.XLOOKUP(Table6[[#This Row],[Suburb]],Table5[Travel Surcharge],Table5[$$]),"")</f>
        <v/>
      </c>
      <c r="AI1152" s="47"/>
      <c r="AJ1152" s="47"/>
    </row>
    <row r="1153" spans="1:36">
      <c r="A1153" s="374" t="s">
        <v>2070</v>
      </c>
      <c r="B1153" s="374">
        <v>4</v>
      </c>
      <c r="C1153" s="374" t="s">
        <v>538</v>
      </c>
      <c r="D1153" s="375" t="str">
        <f t="shared" si="234"/>
        <v>College Green Estate4</v>
      </c>
      <c r="E1153" s="375" t="s">
        <v>2079</v>
      </c>
      <c r="F1153" s="375" t="s">
        <v>2072</v>
      </c>
      <c r="G1153" s="375" t="s">
        <v>2073</v>
      </c>
      <c r="H1153" s="375" t="s">
        <v>2074</v>
      </c>
      <c r="I1153" s="63" t="s">
        <v>2075</v>
      </c>
      <c r="J1153" s="47"/>
      <c r="K1153" s="46" t="s">
        <v>10735</v>
      </c>
      <c r="L1153" s="47"/>
      <c r="M1153" s="47"/>
      <c r="N1153" s="47"/>
      <c r="O1153" s="47"/>
      <c r="P1153" s="47"/>
      <c r="Q1153" s="47">
        <f t="shared" si="237"/>
        <v>0</v>
      </c>
      <c r="R1153" s="47" t="s">
        <v>2076</v>
      </c>
      <c r="S1153" s="47"/>
      <c r="T1153" s="47"/>
      <c r="U1153" s="47"/>
      <c r="V1153" s="47"/>
      <c r="W1153" s="47"/>
      <c r="X1153" s="47"/>
      <c r="Y1153" s="47"/>
      <c r="Z1153" s="47">
        <f t="shared" si="235"/>
        <v>4620</v>
      </c>
      <c r="AA1153" s="47"/>
      <c r="AB1153" s="47"/>
      <c r="AC1153" s="47"/>
      <c r="AD1153" s="47"/>
      <c r="AE1153" s="47"/>
      <c r="AF1153" s="47"/>
      <c r="AG1153" s="47"/>
      <c r="AH1153" s="47" t="str">
        <f>IFERROR(_xlfn.XLOOKUP(Table6[[#This Row],[Suburb]],Table5[Travel Surcharge],Table5[$$]),"")</f>
        <v/>
      </c>
      <c r="AI1153" s="47"/>
      <c r="AJ1153" s="47"/>
    </row>
    <row r="1154" spans="1:36">
      <c r="A1154" s="374" t="s">
        <v>2080</v>
      </c>
      <c r="B1154" s="374">
        <v>1</v>
      </c>
      <c r="C1154" s="374" t="s">
        <v>296</v>
      </c>
      <c r="D1154" s="375" t="str">
        <f t="shared" si="234"/>
        <v>Conroys Green1</v>
      </c>
      <c r="E1154" s="375" t="s">
        <v>2081</v>
      </c>
      <c r="F1154" s="375" t="s">
        <v>2082</v>
      </c>
      <c r="G1154" s="375" t="s">
        <v>2083</v>
      </c>
      <c r="H1154" s="375" t="s">
        <v>2084</v>
      </c>
      <c r="I1154" s="63"/>
      <c r="J1154" s="47" t="s">
        <v>669</v>
      </c>
      <c r="K1154" s="46" t="s">
        <v>10735</v>
      </c>
      <c r="L1154" s="47"/>
      <c r="M1154" s="47"/>
      <c r="N1154" s="47" t="s">
        <v>2085</v>
      </c>
      <c r="O1154" s="47">
        <v>4950</v>
      </c>
      <c r="P1154" s="47" t="s">
        <v>8788</v>
      </c>
      <c r="Q1154" s="47"/>
      <c r="R1154" s="47"/>
      <c r="S1154" s="47" t="s">
        <v>463</v>
      </c>
      <c r="T1154" s="47"/>
      <c r="U1154" s="47"/>
      <c r="V1154" s="47"/>
      <c r="W1154" s="47"/>
      <c r="X1154" s="47"/>
      <c r="Y1154" s="47"/>
      <c r="Z1154" s="47">
        <f t="shared" si="235"/>
        <v>4620</v>
      </c>
      <c r="AA1154" s="47"/>
      <c r="AB1154" s="47"/>
      <c r="AC1154" s="47"/>
      <c r="AD1154" s="47"/>
      <c r="AE1154" s="47"/>
      <c r="AF1154" s="47"/>
      <c r="AG1154" s="47"/>
      <c r="AH1154" s="47">
        <f>IFERROR(_xlfn.XLOOKUP(Table6[[#This Row],[Suburb]],Table5[Travel Surcharge],Table5[$$]),"")</f>
        <v>8000</v>
      </c>
      <c r="AI1154" s="47"/>
      <c r="AJ1154" s="47">
        <f t="shared" ref="AJ1154:AJ1162" si="238">AJ$7</f>
        <v>4400</v>
      </c>
    </row>
    <row r="1155" spans="1:36">
      <c r="A1155" s="374" t="s">
        <v>2080</v>
      </c>
      <c r="B1155" s="374">
        <v>2</v>
      </c>
      <c r="C1155" s="374" t="s">
        <v>296</v>
      </c>
      <c r="D1155" s="375" t="str">
        <f t="shared" si="234"/>
        <v>Conroys Green2</v>
      </c>
      <c r="E1155" s="375" t="s">
        <v>2086</v>
      </c>
      <c r="F1155" s="375" t="s">
        <v>2082</v>
      </c>
      <c r="G1155" s="375" t="s">
        <v>2083</v>
      </c>
      <c r="H1155" s="375" t="s">
        <v>2084</v>
      </c>
      <c r="I1155" s="63"/>
      <c r="J1155" s="47" t="s">
        <v>669</v>
      </c>
      <c r="K1155" s="46" t="s">
        <v>10735</v>
      </c>
      <c r="L1155" s="47"/>
      <c r="M1155" s="47"/>
      <c r="N1155" s="47" t="s">
        <v>2085</v>
      </c>
      <c r="O1155" s="47">
        <v>4950</v>
      </c>
      <c r="P1155" s="47" t="s">
        <v>8788</v>
      </c>
      <c r="Q1155" s="47"/>
      <c r="R1155" s="47"/>
      <c r="S1155" s="47" t="s">
        <v>463</v>
      </c>
      <c r="T1155" s="47"/>
      <c r="U1155" s="47"/>
      <c r="V1155" s="47"/>
      <c r="W1155" s="47"/>
      <c r="X1155" s="47"/>
      <c r="Y1155" s="47"/>
      <c r="Z1155" s="47">
        <f t="shared" si="235"/>
        <v>4620</v>
      </c>
      <c r="AA1155" s="47"/>
      <c r="AB1155" s="47"/>
      <c r="AC1155" s="47"/>
      <c r="AD1155" s="47"/>
      <c r="AE1155" s="47"/>
      <c r="AF1155" s="47"/>
      <c r="AG1155" s="47"/>
      <c r="AH1155" s="47">
        <f>IFERROR(_xlfn.XLOOKUP(Table6[[#This Row],[Suburb]],Table5[Travel Surcharge],Table5[$$]),"")</f>
        <v>8000</v>
      </c>
      <c r="AI1155" s="47"/>
      <c r="AJ1155" s="47">
        <f t="shared" si="238"/>
        <v>4400</v>
      </c>
    </row>
    <row r="1156" spans="1:36">
      <c r="A1156" s="374" t="s">
        <v>2080</v>
      </c>
      <c r="B1156" s="374">
        <v>3</v>
      </c>
      <c r="C1156" s="374" t="s">
        <v>296</v>
      </c>
      <c r="D1156" s="375" t="str">
        <f t="shared" si="234"/>
        <v>Conroys Green3</v>
      </c>
      <c r="E1156" s="375" t="s">
        <v>2087</v>
      </c>
      <c r="F1156" s="375" t="s">
        <v>2082</v>
      </c>
      <c r="G1156" s="375" t="s">
        <v>2083</v>
      </c>
      <c r="H1156" s="375" t="s">
        <v>2084</v>
      </c>
      <c r="I1156" s="63"/>
      <c r="J1156" s="47" t="s">
        <v>669</v>
      </c>
      <c r="K1156" s="46" t="s">
        <v>10735</v>
      </c>
      <c r="L1156" s="47"/>
      <c r="M1156" s="47"/>
      <c r="N1156" s="47" t="s">
        <v>2085</v>
      </c>
      <c r="O1156" s="47">
        <v>4950</v>
      </c>
      <c r="P1156" s="47" t="s">
        <v>8788</v>
      </c>
      <c r="Q1156" s="47"/>
      <c r="R1156" s="47"/>
      <c r="S1156" s="47" t="s">
        <v>463</v>
      </c>
      <c r="T1156" s="47"/>
      <c r="U1156" s="47"/>
      <c r="V1156" s="47"/>
      <c r="W1156" s="47"/>
      <c r="X1156" s="47"/>
      <c r="Y1156" s="47"/>
      <c r="Z1156" s="47">
        <f t="shared" si="235"/>
        <v>4620</v>
      </c>
      <c r="AA1156" s="47"/>
      <c r="AB1156" s="47"/>
      <c r="AC1156" s="47"/>
      <c r="AD1156" s="47"/>
      <c r="AE1156" s="47"/>
      <c r="AF1156" s="47"/>
      <c r="AG1156" s="47"/>
      <c r="AH1156" s="47">
        <f>IFERROR(_xlfn.XLOOKUP(Table6[[#This Row],[Suburb]],Table5[Travel Surcharge],Table5[$$]),"")</f>
        <v>8000</v>
      </c>
      <c r="AI1156" s="47"/>
      <c r="AJ1156" s="47">
        <f t="shared" si="238"/>
        <v>4400</v>
      </c>
    </row>
    <row r="1157" spans="1:36">
      <c r="A1157" s="374" t="s">
        <v>2080</v>
      </c>
      <c r="B1157" s="374">
        <v>4</v>
      </c>
      <c r="C1157" s="374" t="s">
        <v>296</v>
      </c>
      <c r="D1157" s="375" t="str">
        <f t="shared" si="234"/>
        <v>Conroys Green4</v>
      </c>
      <c r="E1157" s="375" t="s">
        <v>2088</v>
      </c>
      <c r="F1157" s="375" t="s">
        <v>2082</v>
      </c>
      <c r="G1157" s="375" t="s">
        <v>2083</v>
      </c>
      <c r="H1157" s="375" t="s">
        <v>2084</v>
      </c>
      <c r="I1157" s="63"/>
      <c r="J1157" s="47" t="s">
        <v>669</v>
      </c>
      <c r="K1157" s="46" t="s">
        <v>10735</v>
      </c>
      <c r="L1157" s="47"/>
      <c r="M1157" s="47"/>
      <c r="N1157" s="47" t="s">
        <v>2085</v>
      </c>
      <c r="O1157" s="47">
        <v>4950</v>
      </c>
      <c r="P1157" s="47" t="s">
        <v>8788</v>
      </c>
      <c r="Q1157" s="47"/>
      <c r="R1157" s="47"/>
      <c r="S1157" s="47" t="s">
        <v>463</v>
      </c>
      <c r="T1157" s="47"/>
      <c r="U1157" s="47"/>
      <c r="V1157" s="47"/>
      <c r="W1157" s="47"/>
      <c r="X1157" s="47"/>
      <c r="Y1157" s="47"/>
      <c r="Z1157" s="47">
        <f t="shared" si="235"/>
        <v>4620</v>
      </c>
      <c r="AA1157" s="47"/>
      <c r="AB1157" s="47"/>
      <c r="AC1157" s="47"/>
      <c r="AD1157" s="47"/>
      <c r="AE1157" s="47"/>
      <c r="AF1157" s="47"/>
      <c r="AG1157" s="47"/>
      <c r="AH1157" s="47">
        <f>IFERROR(_xlfn.XLOOKUP(Table6[[#This Row],[Suburb]],Table5[Travel Surcharge],Table5[$$]),"")</f>
        <v>8000</v>
      </c>
      <c r="AI1157" s="47"/>
      <c r="AJ1157" s="47">
        <f t="shared" si="238"/>
        <v>4400</v>
      </c>
    </row>
    <row r="1158" spans="1:36">
      <c r="A1158" s="374" t="s">
        <v>2080</v>
      </c>
      <c r="B1158" s="374">
        <v>5</v>
      </c>
      <c r="C1158" s="374" t="s">
        <v>296</v>
      </c>
      <c r="D1158" s="375" t="str">
        <f t="shared" si="234"/>
        <v>Conroys Green5</v>
      </c>
      <c r="E1158" s="375" t="s">
        <v>2089</v>
      </c>
      <c r="F1158" s="375" t="s">
        <v>2082</v>
      </c>
      <c r="G1158" s="375" t="s">
        <v>2083</v>
      </c>
      <c r="H1158" s="375" t="s">
        <v>2084</v>
      </c>
      <c r="I1158" s="63"/>
      <c r="J1158" s="47" t="s">
        <v>669</v>
      </c>
      <c r="K1158" s="46" t="s">
        <v>10735</v>
      </c>
      <c r="L1158" s="47"/>
      <c r="M1158" s="47"/>
      <c r="N1158" s="47" t="s">
        <v>2085</v>
      </c>
      <c r="O1158" s="47">
        <v>4950</v>
      </c>
      <c r="P1158" s="47" t="s">
        <v>8788</v>
      </c>
      <c r="Q1158" s="47"/>
      <c r="R1158" s="47"/>
      <c r="S1158" s="47" t="s">
        <v>463</v>
      </c>
      <c r="T1158" s="47"/>
      <c r="U1158" s="47"/>
      <c r="V1158" s="47"/>
      <c r="W1158" s="47"/>
      <c r="X1158" s="47"/>
      <c r="Y1158" s="47"/>
      <c r="Z1158" s="47">
        <f t="shared" si="235"/>
        <v>4620</v>
      </c>
      <c r="AA1158" s="47"/>
      <c r="AB1158" s="47"/>
      <c r="AC1158" s="47"/>
      <c r="AD1158" s="47"/>
      <c r="AE1158" s="47"/>
      <c r="AF1158" s="47"/>
      <c r="AG1158" s="47"/>
      <c r="AH1158" s="47">
        <f>IFERROR(_xlfn.XLOOKUP(Table6[[#This Row],[Suburb]],Table5[Travel Surcharge],Table5[$$]),"")</f>
        <v>8000</v>
      </c>
      <c r="AI1158" s="47"/>
      <c r="AJ1158" s="47">
        <f t="shared" si="238"/>
        <v>4400</v>
      </c>
    </row>
    <row r="1159" spans="1:36">
      <c r="A1159" s="374" t="s">
        <v>2080</v>
      </c>
      <c r="B1159" s="374">
        <v>6</v>
      </c>
      <c r="C1159" s="374" t="s">
        <v>296</v>
      </c>
      <c r="D1159" s="375" t="str">
        <f t="shared" si="234"/>
        <v>Conroys Green6</v>
      </c>
      <c r="E1159" s="375" t="s">
        <v>2090</v>
      </c>
      <c r="F1159" s="375" t="s">
        <v>2082</v>
      </c>
      <c r="G1159" s="375" t="s">
        <v>2083</v>
      </c>
      <c r="H1159" s="375" t="s">
        <v>2084</v>
      </c>
      <c r="I1159" s="63"/>
      <c r="J1159" s="47" t="s">
        <v>669</v>
      </c>
      <c r="K1159" s="46" t="s">
        <v>10735</v>
      </c>
      <c r="L1159" s="47"/>
      <c r="M1159" s="47"/>
      <c r="N1159" s="47" t="s">
        <v>2085</v>
      </c>
      <c r="O1159" s="47">
        <v>4950</v>
      </c>
      <c r="P1159" s="47" t="s">
        <v>8788</v>
      </c>
      <c r="Q1159" s="47"/>
      <c r="R1159" s="47"/>
      <c r="S1159" s="47" t="s">
        <v>463</v>
      </c>
      <c r="T1159" s="47"/>
      <c r="U1159" s="47"/>
      <c r="V1159" s="47"/>
      <c r="W1159" s="47"/>
      <c r="X1159" s="47"/>
      <c r="Y1159" s="47"/>
      <c r="Z1159" s="47">
        <f t="shared" si="235"/>
        <v>4620</v>
      </c>
      <c r="AA1159" s="47"/>
      <c r="AB1159" s="47"/>
      <c r="AC1159" s="47"/>
      <c r="AD1159" s="47"/>
      <c r="AE1159" s="47"/>
      <c r="AF1159" s="47"/>
      <c r="AG1159" s="47"/>
      <c r="AH1159" s="47">
        <f>IFERROR(_xlfn.XLOOKUP(Table6[[#This Row],[Suburb]],Table5[Travel Surcharge],Table5[$$]),"")</f>
        <v>8000</v>
      </c>
      <c r="AI1159" s="47"/>
      <c r="AJ1159" s="47">
        <f t="shared" si="238"/>
        <v>4400</v>
      </c>
    </row>
    <row r="1160" spans="1:36">
      <c r="A1160" s="374" t="s">
        <v>2080</v>
      </c>
      <c r="B1160" s="374">
        <v>7</v>
      </c>
      <c r="C1160" s="374" t="s">
        <v>296</v>
      </c>
      <c r="D1160" s="375" t="str">
        <f t="shared" si="234"/>
        <v>Conroys Green7</v>
      </c>
      <c r="E1160" s="375" t="s">
        <v>2091</v>
      </c>
      <c r="F1160" s="375" t="s">
        <v>2082</v>
      </c>
      <c r="G1160" s="375" t="s">
        <v>2083</v>
      </c>
      <c r="H1160" s="375" t="s">
        <v>2084</v>
      </c>
      <c r="I1160" s="63"/>
      <c r="J1160" s="47" t="s">
        <v>669</v>
      </c>
      <c r="K1160" s="46" t="s">
        <v>10735</v>
      </c>
      <c r="L1160" s="47"/>
      <c r="M1160" s="47"/>
      <c r="N1160" s="47" t="s">
        <v>2085</v>
      </c>
      <c r="O1160" s="47">
        <v>4950</v>
      </c>
      <c r="P1160" s="47" t="s">
        <v>8788</v>
      </c>
      <c r="Q1160" s="47"/>
      <c r="R1160" s="47"/>
      <c r="S1160" s="47" t="s">
        <v>463</v>
      </c>
      <c r="T1160" s="47"/>
      <c r="U1160" s="47"/>
      <c r="V1160" s="47"/>
      <c r="W1160" s="47"/>
      <c r="X1160" s="47"/>
      <c r="Y1160" s="47"/>
      <c r="Z1160" s="47">
        <f t="shared" si="235"/>
        <v>4620</v>
      </c>
      <c r="AA1160" s="47"/>
      <c r="AB1160" s="47"/>
      <c r="AC1160" s="47"/>
      <c r="AD1160" s="47"/>
      <c r="AE1160" s="47"/>
      <c r="AF1160" s="47"/>
      <c r="AG1160" s="47"/>
      <c r="AH1160" s="47">
        <f>IFERROR(_xlfn.XLOOKUP(Table6[[#This Row],[Suburb]],Table5[Travel Surcharge],Table5[$$]),"")</f>
        <v>8000</v>
      </c>
      <c r="AI1160" s="47"/>
      <c r="AJ1160" s="47">
        <f t="shared" si="238"/>
        <v>4400</v>
      </c>
    </row>
    <row r="1161" spans="1:36">
      <c r="A1161" s="374" t="s">
        <v>2080</v>
      </c>
      <c r="B1161" s="374">
        <v>8</v>
      </c>
      <c r="C1161" s="374" t="s">
        <v>296</v>
      </c>
      <c r="D1161" s="375" t="str">
        <f t="shared" si="234"/>
        <v>Conroys Green8</v>
      </c>
      <c r="E1161" s="375" t="s">
        <v>2092</v>
      </c>
      <c r="F1161" s="375" t="s">
        <v>2082</v>
      </c>
      <c r="G1161" s="375" t="s">
        <v>2083</v>
      </c>
      <c r="H1161" s="375" t="s">
        <v>2084</v>
      </c>
      <c r="I1161" s="63"/>
      <c r="J1161" s="47" t="s">
        <v>669</v>
      </c>
      <c r="K1161" s="46" t="s">
        <v>10735</v>
      </c>
      <c r="L1161" s="47"/>
      <c r="M1161" s="47"/>
      <c r="N1161" s="47" t="s">
        <v>2085</v>
      </c>
      <c r="O1161" s="47">
        <v>4950</v>
      </c>
      <c r="P1161" s="47" t="s">
        <v>8788</v>
      </c>
      <c r="Q1161" s="47"/>
      <c r="R1161" s="47"/>
      <c r="S1161" s="47" t="s">
        <v>463</v>
      </c>
      <c r="T1161" s="47"/>
      <c r="U1161" s="47"/>
      <c r="V1161" s="47"/>
      <c r="W1161" s="47"/>
      <c r="X1161" s="47"/>
      <c r="Y1161" s="47"/>
      <c r="Z1161" s="47">
        <f t="shared" si="235"/>
        <v>4620</v>
      </c>
      <c r="AA1161" s="47"/>
      <c r="AB1161" s="47"/>
      <c r="AC1161" s="47"/>
      <c r="AD1161" s="47"/>
      <c r="AE1161" s="47"/>
      <c r="AF1161" s="47"/>
      <c r="AG1161" s="47"/>
      <c r="AH1161" s="47">
        <f>IFERROR(_xlfn.XLOOKUP(Table6[[#This Row],[Suburb]],Table5[Travel Surcharge],Table5[$$]),"")</f>
        <v>8000</v>
      </c>
      <c r="AI1161" s="47"/>
      <c r="AJ1161" s="47">
        <f t="shared" si="238"/>
        <v>4400</v>
      </c>
    </row>
    <row r="1162" spans="1:36">
      <c r="A1162" s="374" t="s">
        <v>2080</v>
      </c>
      <c r="B1162" s="374">
        <v>9</v>
      </c>
      <c r="C1162" s="374" t="s">
        <v>296</v>
      </c>
      <c r="D1162" s="375" t="str">
        <f t="shared" si="234"/>
        <v>Conroys Green9</v>
      </c>
      <c r="E1162" s="375" t="s">
        <v>7376</v>
      </c>
      <c r="F1162" s="375" t="s">
        <v>2082</v>
      </c>
      <c r="G1162" s="375" t="s">
        <v>2083</v>
      </c>
      <c r="H1162" s="375" t="s">
        <v>2084</v>
      </c>
      <c r="I1162" s="63"/>
      <c r="J1162" s="47"/>
      <c r="K1162" s="46" t="s">
        <v>10735</v>
      </c>
      <c r="L1162" s="47"/>
      <c r="M1162" s="47"/>
      <c r="N1162" s="47" t="s">
        <v>2085</v>
      </c>
      <c r="O1162" s="47">
        <f>O$7</f>
        <v>4950</v>
      </c>
      <c r="P1162" s="47" t="s">
        <v>8788</v>
      </c>
      <c r="Q1162" s="47"/>
      <c r="R1162" s="47"/>
      <c r="S1162" s="47" t="s">
        <v>463</v>
      </c>
      <c r="T1162" s="47"/>
      <c r="U1162" s="47"/>
      <c r="V1162" s="47"/>
      <c r="W1162" s="47"/>
      <c r="X1162" s="47"/>
      <c r="Y1162" s="47"/>
      <c r="Z1162" s="47">
        <f t="shared" si="235"/>
        <v>4620</v>
      </c>
      <c r="AA1162" s="47"/>
      <c r="AB1162" s="47"/>
      <c r="AC1162" s="47"/>
      <c r="AD1162" s="47"/>
      <c r="AE1162" s="47"/>
      <c r="AF1162" s="47"/>
      <c r="AG1162" s="47"/>
      <c r="AH1162" s="47">
        <f>IFERROR(_xlfn.XLOOKUP(Table6[[#This Row],[Suburb]],Table5[Travel Surcharge],Table5[$$]),"")</f>
        <v>8000</v>
      </c>
      <c r="AI1162" s="47"/>
      <c r="AJ1162" s="47">
        <f t="shared" si="238"/>
        <v>4400</v>
      </c>
    </row>
    <row r="1163" spans="1:36">
      <c r="A1163" s="374" t="s">
        <v>2093</v>
      </c>
      <c r="B1163" s="374">
        <v>1</v>
      </c>
      <c r="C1163" s="374" t="s">
        <v>2094</v>
      </c>
      <c r="D1163" s="375" t="str">
        <f t="shared" si="234"/>
        <v>Coomoora1</v>
      </c>
      <c r="E1163" s="375" t="s">
        <v>2095</v>
      </c>
      <c r="F1163" s="375"/>
      <c r="G1163" s="375"/>
      <c r="H1163" s="375"/>
      <c r="I1163" s="63"/>
      <c r="J1163" s="47"/>
      <c r="K1163" s="46" t="s">
        <v>10735</v>
      </c>
      <c r="L1163" s="47" t="s">
        <v>2096</v>
      </c>
      <c r="M1163" s="47"/>
      <c r="N1163" s="47" t="s">
        <v>2097</v>
      </c>
      <c r="O1163" s="47" t="s">
        <v>8256</v>
      </c>
      <c r="P1163" s="47"/>
      <c r="Q1163" s="47">
        <f>Q$2</f>
        <v>0</v>
      </c>
      <c r="R1163" s="47" t="s">
        <v>2098</v>
      </c>
      <c r="S1163" s="47"/>
      <c r="T1163" s="47"/>
      <c r="U1163" s="47"/>
      <c r="V1163" s="47"/>
      <c r="W1163" s="47"/>
      <c r="X1163" s="47"/>
      <c r="Y1163" s="47"/>
      <c r="Z1163" s="47">
        <f t="shared" si="235"/>
        <v>4620</v>
      </c>
      <c r="AA1163" s="47"/>
      <c r="AB1163" s="47"/>
      <c r="AC1163" s="47" t="s">
        <v>2099</v>
      </c>
      <c r="AD1163" s="47" t="s">
        <v>2100</v>
      </c>
      <c r="AE1163" s="47"/>
      <c r="AF1163" s="47"/>
      <c r="AG1163" s="47"/>
      <c r="AH1163" s="47" t="str">
        <f>IFERROR(_xlfn.XLOOKUP(Table6[[#This Row],[Suburb]],Table5[Travel Surcharge],Table5[$$]),"")</f>
        <v/>
      </c>
      <c r="AI1163" s="47"/>
      <c r="AJ1163" s="47"/>
    </row>
    <row r="1164" spans="1:36">
      <c r="A1164" s="374" t="s">
        <v>2101</v>
      </c>
      <c r="B1164" s="374">
        <v>2</v>
      </c>
      <c r="C1164" s="374" t="s">
        <v>287</v>
      </c>
      <c r="D1164" s="375" t="str">
        <f t="shared" si="234"/>
        <v>Copelands Estate2</v>
      </c>
      <c r="E1164" s="375" t="s">
        <v>2102</v>
      </c>
      <c r="F1164" s="375"/>
      <c r="G1164" s="375"/>
      <c r="H1164" s="375"/>
      <c r="I1164" s="63"/>
      <c r="J1164" s="47"/>
      <c r="K1164" s="46" t="s">
        <v>10735</v>
      </c>
      <c r="L1164" s="47" t="s">
        <v>2103</v>
      </c>
      <c r="M1164" s="47"/>
      <c r="N1164" s="47"/>
      <c r="O1164" s="47"/>
      <c r="P1164" s="47"/>
      <c r="Q1164" s="47"/>
      <c r="R1164" s="47">
        <f t="shared" ref="R1164:R1171" si="239">R$2</f>
        <v>540</v>
      </c>
      <c r="S1164" s="47"/>
      <c r="T1164" s="47"/>
      <c r="U1164" s="47"/>
      <c r="V1164" s="47"/>
      <c r="W1164" s="47"/>
      <c r="X1164" s="47"/>
      <c r="Y1164" s="47"/>
      <c r="Z1164" s="47">
        <f t="shared" si="235"/>
        <v>4620</v>
      </c>
      <c r="AA1164" s="47"/>
      <c r="AB1164" s="47"/>
      <c r="AC1164" s="47"/>
      <c r="AD1164" s="47"/>
      <c r="AE1164" s="47"/>
      <c r="AF1164" s="47"/>
      <c r="AG1164" s="47"/>
      <c r="AH1164" s="47">
        <f>IFERROR(_xlfn.XLOOKUP(Table6[[#This Row],[Suburb]],Table5[Travel Surcharge],Table5[$$]),"")</f>
        <v>7000</v>
      </c>
      <c r="AI1164" s="47"/>
      <c r="AJ1164" s="47"/>
    </row>
    <row r="1165" spans="1:36">
      <c r="A1165" s="374" t="s">
        <v>2101</v>
      </c>
      <c r="B1165" s="374">
        <v>4</v>
      </c>
      <c r="C1165" s="374" t="s">
        <v>287</v>
      </c>
      <c r="D1165" s="375" t="str">
        <f t="shared" si="234"/>
        <v>Copelands Estate4</v>
      </c>
      <c r="E1165" s="375" t="s">
        <v>2104</v>
      </c>
      <c r="F1165" s="375"/>
      <c r="G1165" s="375"/>
      <c r="H1165" s="375"/>
      <c r="I1165" s="63"/>
      <c r="J1165" s="47"/>
      <c r="K1165" s="46" t="s">
        <v>10735</v>
      </c>
      <c r="L1165" s="47" t="s">
        <v>2103</v>
      </c>
      <c r="M1165" s="47"/>
      <c r="N1165" s="47"/>
      <c r="O1165" s="47"/>
      <c r="P1165" s="47"/>
      <c r="Q1165" s="47"/>
      <c r="R1165" s="47">
        <f t="shared" si="239"/>
        <v>540</v>
      </c>
      <c r="S1165" s="47"/>
      <c r="T1165" s="47"/>
      <c r="U1165" s="47"/>
      <c r="V1165" s="47"/>
      <c r="W1165" s="47"/>
      <c r="X1165" s="47"/>
      <c r="Y1165" s="47"/>
      <c r="Z1165" s="47">
        <f t="shared" si="235"/>
        <v>4620</v>
      </c>
      <c r="AA1165" s="47"/>
      <c r="AB1165" s="47"/>
      <c r="AC1165" s="47"/>
      <c r="AD1165" s="47"/>
      <c r="AE1165" s="47"/>
      <c r="AF1165" s="47"/>
      <c r="AG1165" s="47"/>
      <c r="AH1165" s="47">
        <f>IFERROR(_xlfn.XLOOKUP(Table6[[#This Row],[Suburb]],Table5[Travel Surcharge],Table5[$$]),"")</f>
        <v>7000</v>
      </c>
      <c r="AI1165" s="47"/>
      <c r="AJ1165" s="47"/>
    </row>
    <row r="1166" spans="1:36">
      <c r="A1166" s="374" t="s">
        <v>2101</v>
      </c>
      <c r="B1166" s="374">
        <v>5</v>
      </c>
      <c r="C1166" s="374" t="s">
        <v>287</v>
      </c>
      <c r="D1166" s="375" t="str">
        <f t="shared" si="234"/>
        <v>Copelands Estate5</v>
      </c>
      <c r="E1166" s="375" t="s">
        <v>2105</v>
      </c>
      <c r="F1166" s="375"/>
      <c r="G1166" s="375"/>
      <c r="H1166" s="375"/>
      <c r="I1166" s="63"/>
      <c r="J1166" s="47"/>
      <c r="K1166" s="46" t="s">
        <v>10735</v>
      </c>
      <c r="L1166" s="47" t="s">
        <v>2103</v>
      </c>
      <c r="M1166" s="47"/>
      <c r="N1166" s="47"/>
      <c r="O1166" s="47"/>
      <c r="P1166" s="47"/>
      <c r="Q1166" s="47"/>
      <c r="R1166" s="47">
        <f t="shared" si="239"/>
        <v>540</v>
      </c>
      <c r="S1166" s="47"/>
      <c r="T1166" s="47"/>
      <c r="U1166" s="47"/>
      <c r="V1166" s="47"/>
      <c r="W1166" s="47"/>
      <c r="X1166" s="47"/>
      <c r="Y1166" s="47"/>
      <c r="Z1166" s="47">
        <f t="shared" si="235"/>
        <v>4620</v>
      </c>
      <c r="AA1166" s="47"/>
      <c r="AB1166" s="47"/>
      <c r="AC1166" s="47"/>
      <c r="AD1166" s="47"/>
      <c r="AE1166" s="47"/>
      <c r="AF1166" s="47"/>
      <c r="AG1166" s="47"/>
      <c r="AH1166" s="47">
        <f>IFERROR(_xlfn.XLOOKUP(Table6[[#This Row],[Suburb]],Table5[Travel Surcharge],Table5[$$]),"")</f>
        <v>7000</v>
      </c>
      <c r="AI1166" s="47"/>
      <c r="AJ1166" s="47"/>
    </row>
    <row r="1167" spans="1:36">
      <c r="A1167" s="374" t="s">
        <v>2101</v>
      </c>
      <c r="B1167" s="374">
        <v>6</v>
      </c>
      <c r="C1167" s="374" t="s">
        <v>287</v>
      </c>
      <c r="D1167" s="375" t="str">
        <f t="shared" si="234"/>
        <v>Copelands Estate6</v>
      </c>
      <c r="E1167" s="375" t="s">
        <v>2106</v>
      </c>
      <c r="F1167" s="375"/>
      <c r="G1167" s="375"/>
      <c r="H1167" s="375"/>
      <c r="I1167" s="63"/>
      <c r="J1167" s="47"/>
      <c r="K1167" s="46" t="s">
        <v>10735</v>
      </c>
      <c r="L1167" s="47" t="s">
        <v>2103</v>
      </c>
      <c r="M1167" s="47"/>
      <c r="N1167" s="47"/>
      <c r="O1167" s="47"/>
      <c r="P1167" s="47"/>
      <c r="Q1167" s="47"/>
      <c r="R1167" s="47">
        <f t="shared" si="239"/>
        <v>540</v>
      </c>
      <c r="S1167" s="47"/>
      <c r="T1167" s="47"/>
      <c r="U1167" s="47"/>
      <c r="V1167" s="47"/>
      <c r="W1167" s="47"/>
      <c r="X1167" s="47"/>
      <c r="Y1167" s="47"/>
      <c r="Z1167" s="47">
        <f t="shared" si="235"/>
        <v>4620</v>
      </c>
      <c r="AA1167" s="47"/>
      <c r="AB1167" s="47"/>
      <c r="AC1167" s="47"/>
      <c r="AD1167" s="47"/>
      <c r="AE1167" s="47"/>
      <c r="AF1167" s="47"/>
      <c r="AG1167" s="47"/>
      <c r="AH1167" s="47">
        <f>IFERROR(_xlfn.XLOOKUP(Table6[[#This Row],[Suburb]],Table5[Travel Surcharge],Table5[$$]),"")</f>
        <v>7000</v>
      </c>
      <c r="AI1167" s="47"/>
      <c r="AJ1167" s="47"/>
    </row>
    <row r="1168" spans="1:36">
      <c r="A1168" s="374" t="s">
        <v>2101</v>
      </c>
      <c r="B1168" s="374">
        <v>7</v>
      </c>
      <c r="C1168" s="374" t="s">
        <v>287</v>
      </c>
      <c r="D1168" s="375" t="str">
        <f t="shared" si="234"/>
        <v>Copelands Estate7</v>
      </c>
      <c r="E1168" s="375" t="s">
        <v>2107</v>
      </c>
      <c r="F1168" s="375"/>
      <c r="G1168" s="375"/>
      <c r="H1168" s="375"/>
      <c r="I1168" s="63"/>
      <c r="J1168" s="47"/>
      <c r="K1168" s="46" t="s">
        <v>10735</v>
      </c>
      <c r="L1168" s="47" t="s">
        <v>2103</v>
      </c>
      <c r="M1168" s="47"/>
      <c r="N1168" s="47"/>
      <c r="O1168" s="47"/>
      <c r="P1168" s="47"/>
      <c r="Q1168" s="47"/>
      <c r="R1168" s="47">
        <f t="shared" si="239"/>
        <v>540</v>
      </c>
      <c r="S1168" s="47"/>
      <c r="T1168" s="47"/>
      <c r="U1168" s="47"/>
      <c r="V1168" s="47"/>
      <c r="W1168" s="47"/>
      <c r="X1168" s="47"/>
      <c r="Y1168" s="47"/>
      <c r="Z1168" s="47">
        <f t="shared" si="235"/>
        <v>4620</v>
      </c>
      <c r="AA1168" s="47"/>
      <c r="AB1168" s="47"/>
      <c r="AC1168" s="47"/>
      <c r="AD1168" s="47"/>
      <c r="AE1168" s="47"/>
      <c r="AF1168" s="47"/>
      <c r="AG1168" s="47"/>
      <c r="AH1168" s="47">
        <f>IFERROR(_xlfn.XLOOKUP(Table6[[#This Row],[Suburb]],Table5[Travel Surcharge],Table5[$$]),"")</f>
        <v>7000</v>
      </c>
      <c r="AI1168" s="47"/>
      <c r="AJ1168" s="47"/>
    </row>
    <row r="1169" spans="1:36">
      <c r="A1169" s="374" t="s">
        <v>2101</v>
      </c>
      <c r="B1169" s="374">
        <v>12</v>
      </c>
      <c r="C1169" s="374" t="s">
        <v>287</v>
      </c>
      <c r="D1169" s="375" t="str">
        <f t="shared" si="234"/>
        <v>Copelands Estate12</v>
      </c>
      <c r="E1169" s="375" t="s">
        <v>9575</v>
      </c>
      <c r="F1169" s="375"/>
      <c r="G1169" s="375"/>
      <c r="H1169" s="375"/>
      <c r="I1169" s="63"/>
      <c r="J1169" s="47"/>
      <c r="K1169" s="46" t="s">
        <v>10735</v>
      </c>
      <c r="L1169" s="47" t="s">
        <v>2103</v>
      </c>
      <c r="M1169" s="47"/>
      <c r="N1169" s="47"/>
      <c r="O1169" s="47"/>
      <c r="P1169" s="47"/>
      <c r="Q1169" s="47"/>
      <c r="R1169" s="47">
        <f t="shared" si="239"/>
        <v>540</v>
      </c>
      <c r="S1169" s="47"/>
      <c r="T1169" s="47"/>
      <c r="U1169" s="47"/>
      <c r="V1169" s="47"/>
      <c r="W1169" s="47"/>
      <c r="X1169" s="47"/>
      <c r="Y1169" s="47"/>
      <c r="Z1169" s="47">
        <f t="shared" si="235"/>
        <v>4620</v>
      </c>
      <c r="AA1169" s="47"/>
      <c r="AB1169" s="47"/>
      <c r="AC1169" s="47"/>
      <c r="AD1169" s="47"/>
      <c r="AE1169" s="47"/>
      <c r="AF1169" s="47"/>
      <c r="AG1169" s="47"/>
      <c r="AH1169" s="47">
        <f>IFERROR(_xlfn.XLOOKUP(Table6[[#This Row],[Suburb]],Table5[Travel Surcharge],Table5[$$]),"")</f>
        <v>7000</v>
      </c>
      <c r="AI1169" s="47"/>
      <c r="AJ1169" s="47"/>
    </row>
    <row r="1170" spans="1:36">
      <c r="A1170" s="374" t="s">
        <v>2101</v>
      </c>
      <c r="B1170" s="374">
        <v>14</v>
      </c>
      <c r="C1170" s="374" t="s">
        <v>287</v>
      </c>
      <c r="D1170" s="375" t="str">
        <f t="shared" ref="D1170:D1171" si="240">CONCATENATE(A1170,B1170)</f>
        <v>Copelands Estate14</v>
      </c>
      <c r="E1170" s="375"/>
      <c r="F1170" s="375"/>
      <c r="G1170" s="375"/>
      <c r="H1170" s="375"/>
      <c r="I1170" s="63"/>
      <c r="J1170" s="47"/>
      <c r="K1170" s="46" t="s">
        <v>10735</v>
      </c>
      <c r="L1170" s="47" t="s">
        <v>2103</v>
      </c>
      <c r="M1170" s="47"/>
      <c r="N1170" s="47"/>
      <c r="O1170" s="47"/>
      <c r="P1170" s="47"/>
      <c r="Q1170" s="47"/>
      <c r="R1170" s="47">
        <f t="shared" si="239"/>
        <v>540</v>
      </c>
      <c r="S1170" s="47"/>
      <c r="T1170" s="47"/>
      <c r="U1170" s="47"/>
      <c r="V1170" s="47"/>
      <c r="W1170" s="47"/>
      <c r="X1170" s="47"/>
      <c r="Y1170" s="47"/>
      <c r="Z1170" s="47">
        <f t="shared" si="235"/>
        <v>4620</v>
      </c>
      <c r="AA1170" s="47"/>
      <c r="AB1170" s="47"/>
      <c r="AC1170" s="47"/>
      <c r="AD1170" s="47"/>
      <c r="AE1170" s="47"/>
      <c r="AF1170" s="47"/>
      <c r="AG1170" s="47"/>
      <c r="AH1170" s="47">
        <f>IFERROR(_xlfn.XLOOKUP(Table6[[#This Row],[Suburb]],Table5[Travel Surcharge],Table5[$$]),"")</f>
        <v>7000</v>
      </c>
      <c r="AI1170" s="47"/>
      <c r="AJ1170" s="47"/>
    </row>
    <row r="1171" spans="1:36">
      <c r="A1171" s="374" t="s">
        <v>2101</v>
      </c>
      <c r="B1171" s="374">
        <v>15</v>
      </c>
      <c r="C1171" s="374" t="s">
        <v>287</v>
      </c>
      <c r="D1171" s="375" t="str">
        <f t="shared" si="240"/>
        <v>Copelands Estate15</v>
      </c>
      <c r="E1171" s="375"/>
      <c r="F1171" s="375"/>
      <c r="G1171" s="375"/>
      <c r="H1171" s="375"/>
      <c r="I1171" s="63"/>
      <c r="J1171" s="47"/>
      <c r="K1171" s="46" t="s">
        <v>10735</v>
      </c>
      <c r="L1171" s="47" t="s">
        <v>2103</v>
      </c>
      <c r="M1171" s="47"/>
      <c r="N1171" s="47"/>
      <c r="O1171" s="47"/>
      <c r="P1171" s="47"/>
      <c r="Q1171" s="47"/>
      <c r="R1171" s="47">
        <f t="shared" si="239"/>
        <v>540</v>
      </c>
      <c r="S1171" s="47"/>
      <c r="T1171" s="47"/>
      <c r="U1171" s="47"/>
      <c r="V1171" s="47"/>
      <c r="W1171" s="47"/>
      <c r="X1171" s="47"/>
      <c r="Y1171" s="47"/>
      <c r="Z1171" s="47">
        <f t="shared" si="235"/>
        <v>4620</v>
      </c>
      <c r="AA1171" s="47"/>
      <c r="AB1171" s="47"/>
      <c r="AC1171" s="47"/>
      <c r="AD1171" s="47"/>
      <c r="AE1171" s="47"/>
      <c r="AF1171" s="47"/>
      <c r="AG1171" s="47"/>
      <c r="AH1171" s="47">
        <f>IFERROR(_xlfn.XLOOKUP(Table6[[#This Row],[Suburb]],Table5[Travel Surcharge],Table5[$$]),"")</f>
        <v>7000</v>
      </c>
      <c r="AI1171" s="47"/>
      <c r="AJ1171" s="47"/>
    </row>
    <row r="1172" spans="1:36">
      <c r="A1172" s="374" t="s">
        <v>2108</v>
      </c>
      <c r="B1172" s="374">
        <v>1</v>
      </c>
      <c r="C1172" s="374" t="s">
        <v>794</v>
      </c>
      <c r="D1172" s="375" t="str">
        <f t="shared" si="234"/>
        <v>Coridale1</v>
      </c>
      <c r="E1172" s="375" t="s">
        <v>2109</v>
      </c>
      <c r="F1172" s="375" t="s">
        <v>1428</v>
      </c>
      <c r="G1172" s="375" t="s">
        <v>2110</v>
      </c>
      <c r="H1172" s="375" t="s">
        <v>2111</v>
      </c>
      <c r="I1172" s="63"/>
      <c r="J1172" s="47">
        <f t="shared" ref="J1172:J1188" si="241">J$7</f>
        <v>3740</v>
      </c>
      <c r="K1172" s="46" t="s">
        <v>7938</v>
      </c>
      <c r="L1172" s="47"/>
      <c r="M1172" s="47"/>
      <c r="N1172" s="47" t="s">
        <v>2112</v>
      </c>
      <c r="O1172" s="47"/>
      <c r="P1172" s="47"/>
      <c r="Q1172" s="47"/>
      <c r="R1172" s="47"/>
      <c r="S1172" s="47"/>
      <c r="T1172" s="47">
        <f t="shared" ref="T1172:T1188" si="242">T$2</f>
        <v>780</v>
      </c>
      <c r="U1172" s="47"/>
      <c r="V1172" s="47"/>
      <c r="W1172" s="47"/>
      <c r="X1172" s="47"/>
      <c r="Y1172" s="47"/>
      <c r="Z1172" s="47">
        <f t="shared" ref="Z1172:Z1205" si="243">Z$7</f>
        <v>4620</v>
      </c>
      <c r="AA1172" s="47"/>
      <c r="AB1172" s="47"/>
      <c r="AC1172" s="47"/>
      <c r="AD1172" s="47"/>
      <c r="AE1172" s="47"/>
      <c r="AF1172" s="47"/>
      <c r="AG1172" s="47"/>
      <c r="AH1172" s="47" t="str">
        <f>IFERROR(_xlfn.XLOOKUP(Table6[[#This Row],[Suburb]],Table5[Travel Surcharge],Table5[$$]),"")</f>
        <v/>
      </c>
      <c r="AI1172" s="47">
        <f t="shared" ref="AI1172:AI1188" si="244">AI$7</f>
        <v>1650.0000000000002</v>
      </c>
      <c r="AJ1172" s="47"/>
    </row>
    <row r="1173" spans="1:36">
      <c r="A1173" s="374" t="s">
        <v>2108</v>
      </c>
      <c r="B1173" s="374">
        <v>2</v>
      </c>
      <c r="C1173" s="374" t="s">
        <v>794</v>
      </c>
      <c r="D1173" s="375" t="str">
        <f t="shared" si="234"/>
        <v>Coridale2</v>
      </c>
      <c r="E1173" s="375" t="s">
        <v>2113</v>
      </c>
      <c r="F1173" s="375" t="s">
        <v>1428</v>
      </c>
      <c r="G1173" s="375" t="s">
        <v>2110</v>
      </c>
      <c r="H1173" s="375" t="s">
        <v>2111</v>
      </c>
      <c r="I1173" s="63"/>
      <c r="J1173" s="47">
        <f t="shared" si="241"/>
        <v>3740</v>
      </c>
      <c r="K1173" s="46" t="s">
        <v>7938</v>
      </c>
      <c r="L1173" s="47"/>
      <c r="M1173" s="47"/>
      <c r="N1173" s="47" t="s">
        <v>2112</v>
      </c>
      <c r="O1173" s="47"/>
      <c r="P1173" s="47"/>
      <c r="Q1173" s="47"/>
      <c r="R1173" s="47"/>
      <c r="S1173" s="47"/>
      <c r="T1173" s="47">
        <f t="shared" si="242"/>
        <v>780</v>
      </c>
      <c r="U1173" s="47"/>
      <c r="V1173" s="47"/>
      <c r="W1173" s="47"/>
      <c r="X1173" s="47"/>
      <c r="Y1173" s="47"/>
      <c r="Z1173" s="47">
        <f t="shared" si="243"/>
        <v>4620</v>
      </c>
      <c r="AA1173" s="47"/>
      <c r="AB1173" s="47"/>
      <c r="AC1173" s="47"/>
      <c r="AD1173" s="47"/>
      <c r="AE1173" s="47"/>
      <c r="AF1173" s="47"/>
      <c r="AG1173" s="47"/>
      <c r="AH1173" s="47" t="str">
        <f>IFERROR(_xlfn.XLOOKUP(Table6[[#This Row],[Suburb]],Table5[Travel Surcharge],Table5[$$]),"")</f>
        <v/>
      </c>
      <c r="AI1173" s="47">
        <f t="shared" si="244"/>
        <v>1650.0000000000002</v>
      </c>
      <c r="AJ1173" s="47"/>
    </row>
    <row r="1174" spans="1:36">
      <c r="A1174" s="374" t="s">
        <v>2108</v>
      </c>
      <c r="B1174" s="374">
        <v>3</v>
      </c>
      <c r="C1174" s="374" t="s">
        <v>794</v>
      </c>
      <c r="D1174" s="375" t="str">
        <f t="shared" si="234"/>
        <v>Coridale3</v>
      </c>
      <c r="E1174" s="375" t="s">
        <v>2114</v>
      </c>
      <c r="F1174" s="375" t="s">
        <v>1428</v>
      </c>
      <c r="G1174" s="375" t="s">
        <v>2110</v>
      </c>
      <c r="H1174" s="375" t="s">
        <v>2111</v>
      </c>
      <c r="I1174" s="63"/>
      <c r="J1174" s="47">
        <f t="shared" si="241"/>
        <v>3740</v>
      </c>
      <c r="K1174" s="46" t="s">
        <v>7938</v>
      </c>
      <c r="L1174" s="47"/>
      <c r="M1174" s="47"/>
      <c r="N1174" s="47" t="s">
        <v>2112</v>
      </c>
      <c r="O1174" s="47"/>
      <c r="P1174" s="47"/>
      <c r="Q1174" s="47"/>
      <c r="R1174" s="47"/>
      <c r="S1174" s="47"/>
      <c r="T1174" s="47">
        <f t="shared" si="242"/>
        <v>780</v>
      </c>
      <c r="U1174" s="47"/>
      <c r="V1174" s="47"/>
      <c r="W1174" s="47"/>
      <c r="X1174" s="47"/>
      <c r="Y1174" s="47"/>
      <c r="Z1174" s="47">
        <f t="shared" si="243"/>
        <v>4620</v>
      </c>
      <c r="AA1174" s="47"/>
      <c r="AB1174" s="47"/>
      <c r="AC1174" s="47"/>
      <c r="AD1174" s="47"/>
      <c r="AE1174" s="47"/>
      <c r="AF1174" s="47"/>
      <c r="AG1174" s="47"/>
      <c r="AH1174" s="47" t="str">
        <f>IFERROR(_xlfn.XLOOKUP(Table6[[#This Row],[Suburb]],Table5[Travel Surcharge],Table5[$$]),"")</f>
        <v/>
      </c>
      <c r="AI1174" s="47">
        <f t="shared" si="244"/>
        <v>1650.0000000000002</v>
      </c>
      <c r="AJ1174" s="47"/>
    </row>
    <row r="1175" spans="1:36">
      <c r="A1175" s="374" t="s">
        <v>2108</v>
      </c>
      <c r="B1175" s="374">
        <v>4</v>
      </c>
      <c r="C1175" s="374" t="s">
        <v>794</v>
      </c>
      <c r="D1175" s="375" t="str">
        <f t="shared" si="234"/>
        <v>Coridale4</v>
      </c>
      <c r="E1175" s="375" t="s">
        <v>2115</v>
      </c>
      <c r="F1175" s="375" t="s">
        <v>1428</v>
      </c>
      <c r="G1175" s="375" t="s">
        <v>2110</v>
      </c>
      <c r="H1175" s="375" t="s">
        <v>2111</v>
      </c>
      <c r="I1175" s="63"/>
      <c r="J1175" s="47">
        <f t="shared" si="241"/>
        <v>3740</v>
      </c>
      <c r="K1175" s="46" t="s">
        <v>7938</v>
      </c>
      <c r="L1175" s="47"/>
      <c r="M1175" s="47"/>
      <c r="N1175" s="47" t="s">
        <v>2112</v>
      </c>
      <c r="O1175" s="47"/>
      <c r="P1175" s="47"/>
      <c r="Q1175" s="47"/>
      <c r="R1175" s="47"/>
      <c r="S1175" s="47"/>
      <c r="T1175" s="47">
        <f t="shared" si="242"/>
        <v>780</v>
      </c>
      <c r="U1175" s="47"/>
      <c r="V1175" s="47"/>
      <c r="W1175" s="47"/>
      <c r="X1175" s="47"/>
      <c r="Y1175" s="47"/>
      <c r="Z1175" s="47">
        <f t="shared" si="243"/>
        <v>4620</v>
      </c>
      <c r="AA1175" s="47"/>
      <c r="AB1175" s="47"/>
      <c r="AC1175" s="47"/>
      <c r="AD1175" s="47"/>
      <c r="AE1175" s="47"/>
      <c r="AF1175" s="47"/>
      <c r="AG1175" s="47"/>
      <c r="AH1175" s="47" t="str">
        <f>IFERROR(_xlfn.XLOOKUP(Table6[[#This Row],[Suburb]],Table5[Travel Surcharge],Table5[$$]),"")</f>
        <v/>
      </c>
      <c r="AI1175" s="47">
        <f t="shared" si="244"/>
        <v>1650.0000000000002</v>
      </c>
      <c r="AJ1175" s="47"/>
    </row>
    <row r="1176" spans="1:36">
      <c r="A1176" s="374" t="s">
        <v>2108</v>
      </c>
      <c r="B1176" s="374">
        <v>5</v>
      </c>
      <c r="C1176" s="374" t="s">
        <v>794</v>
      </c>
      <c r="D1176" s="375" t="str">
        <f t="shared" si="234"/>
        <v>Coridale5</v>
      </c>
      <c r="E1176" s="375" t="s">
        <v>2116</v>
      </c>
      <c r="F1176" s="375" t="s">
        <v>1428</v>
      </c>
      <c r="G1176" s="375" t="s">
        <v>2110</v>
      </c>
      <c r="H1176" s="375" t="s">
        <v>2111</v>
      </c>
      <c r="I1176" s="63"/>
      <c r="J1176" s="47">
        <f t="shared" si="241"/>
        <v>3740</v>
      </c>
      <c r="K1176" s="46" t="s">
        <v>7938</v>
      </c>
      <c r="L1176" s="47"/>
      <c r="M1176" s="47"/>
      <c r="N1176" s="47" t="s">
        <v>2112</v>
      </c>
      <c r="O1176" s="47"/>
      <c r="P1176" s="47"/>
      <c r="Q1176" s="47"/>
      <c r="R1176" s="47"/>
      <c r="S1176" s="47"/>
      <c r="T1176" s="47">
        <f t="shared" si="242"/>
        <v>780</v>
      </c>
      <c r="U1176" s="47"/>
      <c r="V1176" s="47"/>
      <c r="W1176" s="47"/>
      <c r="X1176" s="47"/>
      <c r="Y1176" s="47"/>
      <c r="Z1176" s="47">
        <f t="shared" si="243"/>
        <v>4620</v>
      </c>
      <c r="AA1176" s="47"/>
      <c r="AB1176" s="47"/>
      <c r="AC1176" s="47"/>
      <c r="AD1176" s="47"/>
      <c r="AE1176" s="47"/>
      <c r="AF1176" s="47"/>
      <c r="AG1176" s="47"/>
      <c r="AH1176" s="47" t="str">
        <f>IFERROR(_xlfn.XLOOKUP(Table6[[#This Row],[Suburb]],Table5[Travel Surcharge],Table5[$$]),"")</f>
        <v/>
      </c>
      <c r="AI1176" s="47">
        <f t="shared" si="244"/>
        <v>1650.0000000000002</v>
      </c>
      <c r="AJ1176" s="47"/>
    </row>
    <row r="1177" spans="1:36">
      <c r="A1177" s="374" t="s">
        <v>2108</v>
      </c>
      <c r="B1177" s="374">
        <v>8</v>
      </c>
      <c r="C1177" s="374" t="s">
        <v>794</v>
      </c>
      <c r="D1177" s="375" t="str">
        <f t="shared" si="234"/>
        <v>Coridale8</v>
      </c>
      <c r="E1177" s="375" t="s">
        <v>2121</v>
      </c>
      <c r="F1177" s="375" t="s">
        <v>1428</v>
      </c>
      <c r="G1177" s="375" t="s">
        <v>2110</v>
      </c>
      <c r="H1177" s="375" t="s">
        <v>2111</v>
      </c>
      <c r="I1177" s="63"/>
      <c r="J1177" s="47">
        <f t="shared" si="241"/>
        <v>3740</v>
      </c>
      <c r="K1177" s="46" t="s">
        <v>7938</v>
      </c>
      <c r="L1177" s="47"/>
      <c r="M1177" s="47"/>
      <c r="N1177" s="47" t="s">
        <v>2112</v>
      </c>
      <c r="O1177" s="47"/>
      <c r="P1177" s="47"/>
      <c r="Q1177" s="47"/>
      <c r="R1177" s="47"/>
      <c r="S1177" s="47"/>
      <c r="T1177" s="47">
        <f t="shared" si="242"/>
        <v>780</v>
      </c>
      <c r="U1177" s="47"/>
      <c r="V1177" s="47" t="s">
        <v>2122</v>
      </c>
      <c r="W1177" s="47"/>
      <c r="X1177" s="47"/>
      <c r="Y1177" s="47"/>
      <c r="Z1177" s="47">
        <f t="shared" si="243"/>
        <v>4620</v>
      </c>
      <c r="AA1177" s="47"/>
      <c r="AB1177" s="47"/>
      <c r="AC1177" s="47"/>
      <c r="AD1177" s="47"/>
      <c r="AE1177" s="47"/>
      <c r="AF1177" s="47"/>
      <c r="AG1177" s="47"/>
      <c r="AH1177" s="47" t="str">
        <f>IFERROR(_xlfn.XLOOKUP(Table6[[#This Row],[Suburb]],Table5[Travel Surcharge],Table5[$$]),"")</f>
        <v/>
      </c>
      <c r="AI1177" s="47">
        <f t="shared" si="244"/>
        <v>1650.0000000000002</v>
      </c>
      <c r="AJ1177" s="47"/>
    </row>
    <row r="1178" spans="1:36">
      <c r="A1178" s="157" t="s">
        <v>2108</v>
      </c>
      <c r="B1178" s="157">
        <v>9</v>
      </c>
      <c r="C1178" s="157" t="s">
        <v>794</v>
      </c>
      <c r="D1178" s="157" t="str">
        <f t="shared" si="234"/>
        <v>Coridale9</v>
      </c>
      <c r="E1178" s="157" t="s">
        <v>8502</v>
      </c>
      <c r="F1178" s="157" t="s">
        <v>1428</v>
      </c>
      <c r="G1178" s="157" t="s">
        <v>2110</v>
      </c>
      <c r="H1178" s="157" t="s">
        <v>2111</v>
      </c>
      <c r="I1178" s="158"/>
      <c r="J1178" s="47">
        <f t="shared" si="241"/>
        <v>3740</v>
      </c>
      <c r="K1178" s="46" t="s">
        <v>7938</v>
      </c>
      <c r="L1178" s="47"/>
      <c r="M1178" s="47"/>
      <c r="N1178" s="47" t="s">
        <v>2112</v>
      </c>
      <c r="O1178" s="47"/>
      <c r="P1178" s="47"/>
      <c r="Q1178" s="47"/>
      <c r="R1178" s="47"/>
      <c r="S1178" s="47"/>
      <c r="T1178" s="47">
        <f t="shared" si="242"/>
        <v>780</v>
      </c>
      <c r="U1178" s="47"/>
      <c r="V1178" s="47" t="s">
        <v>2122</v>
      </c>
      <c r="W1178" s="47"/>
      <c r="X1178" s="47"/>
      <c r="Y1178" s="47"/>
      <c r="Z1178" s="47">
        <f t="shared" si="243"/>
        <v>4620</v>
      </c>
      <c r="AA1178" s="47"/>
      <c r="AB1178" s="47"/>
      <c r="AC1178" s="47"/>
      <c r="AD1178" s="47"/>
      <c r="AE1178" s="47"/>
      <c r="AF1178" s="47"/>
      <c r="AG1178" s="47"/>
      <c r="AH1178" s="47" t="str">
        <f>IFERROR(_xlfn.XLOOKUP(Table6[[#This Row],[Suburb]],Table5[Travel Surcharge],Table5[$$]),"")</f>
        <v/>
      </c>
      <c r="AI1178" s="47">
        <f t="shared" si="244"/>
        <v>1650.0000000000002</v>
      </c>
      <c r="AJ1178" s="47"/>
    </row>
    <row r="1179" spans="1:36">
      <c r="A1179" s="374" t="s">
        <v>2108</v>
      </c>
      <c r="B1179" s="374">
        <v>10</v>
      </c>
      <c r="C1179" s="374" t="s">
        <v>794</v>
      </c>
      <c r="D1179" s="375" t="str">
        <f t="shared" si="234"/>
        <v>Coridale10</v>
      </c>
      <c r="E1179" s="375" t="s">
        <v>2123</v>
      </c>
      <c r="F1179" s="375" t="s">
        <v>1428</v>
      </c>
      <c r="G1179" s="375" t="s">
        <v>2110</v>
      </c>
      <c r="H1179" s="375" t="s">
        <v>2111</v>
      </c>
      <c r="I1179" s="63"/>
      <c r="J1179" s="47">
        <f t="shared" si="241"/>
        <v>3740</v>
      </c>
      <c r="K1179" s="46" t="s">
        <v>7938</v>
      </c>
      <c r="L1179" s="47"/>
      <c r="M1179" s="47"/>
      <c r="N1179" s="47" t="s">
        <v>2112</v>
      </c>
      <c r="O1179" s="47"/>
      <c r="P1179" s="47"/>
      <c r="Q1179" s="47"/>
      <c r="R1179" s="47"/>
      <c r="S1179" s="47"/>
      <c r="T1179" s="47">
        <f t="shared" si="242"/>
        <v>780</v>
      </c>
      <c r="U1179" s="47"/>
      <c r="V1179" s="47" t="s">
        <v>2122</v>
      </c>
      <c r="W1179" s="47"/>
      <c r="X1179" s="47"/>
      <c r="Y1179" s="47"/>
      <c r="Z1179" s="47">
        <f t="shared" si="243"/>
        <v>4620</v>
      </c>
      <c r="AA1179" s="47"/>
      <c r="AB1179" s="47"/>
      <c r="AC1179" s="47"/>
      <c r="AD1179" s="47"/>
      <c r="AE1179" s="47"/>
      <c r="AF1179" s="47"/>
      <c r="AG1179" s="47"/>
      <c r="AH1179" s="47" t="str">
        <f>IFERROR(_xlfn.XLOOKUP(Table6[[#This Row],[Suburb]],Table5[Travel Surcharge],Table5[$$]),"")</f>
        <v/>
      </c>
      <c r="AI1179" s="47">
        <f t="shared" si="244"/>
        <v>1650.0000000000002</v>
      </c>
      <c r="AJ1179" s="47"/>
    </row>
    <row r="1180" spans="1:36">
      <c r="A1180" s="157" t="s">
        <v>2108</v>
      </c>
      <c r="B1180" s="157">
        <v>11</v>
      </c>
      <c r="C1180" s="157" t="s">
        <v>794</v>
      </c>
      <c r="D1180" s="157" t="str">
        <f t="shared" si="234"/>
        <v>Coridale11</v>
      </c>
      <c r="E1180" s="157" t="s">
        <v>7742</v>
      </c>
      <c r="F1180" s="157" t="s">
        <v>1428</v>
      </c>
      <c r="G1180" s="157" t="s">
        <v>2110</v>
      </c>
      <c r="H1180" s="157" t="s">
        <v>2111</v>
      </c>
      <c r="I1180" s="158"/>
      <c r="J1180" s="47">
        <f t="shared" si="241"/>
        <v>3740</v>
      </c>
      <c r="K1180" s="46" t="s">
        <v>7938</v>
      </c>
      <c r="L1180" s="47"/>
      <c r="M1180" s="47"/>
      <c r="N1180" s="47" t="s">
        <v>2112</v>
      </c>
      <c r="O1180" s="47"/>
      <c r="P1180" s="47"/>
      <c r="Q1180" s="47"/>
      <c r="R1180" s="47"/>
      <c r="S1180" s="47"/>
      <c r="T1180" s="47">
        <f t="shared" si="242"/>
        <v>780</v>
      </c>
      <c r="U1180" s="47"/>
      <c r="V1180" s="47" t="s">
        <v>2122</v>
      </c>
      <c r="W1180" s="47"/>
      <c r="X1180" s="47"/>
      <c r="Y1180" s="47"/>
      <c r="Z1180" s="47">
        <f t="shared" si="243"/>
        <v>4620</v>
      </c>
      <c r="AA1180" s="47"/>
      <c r="AB1180" s="47"/>
      <c r="AC1180" s="47"/>
      <c r="AD1180" s="47"/>
      <c r="AE1180" s="47"/>
      <c r="AF1180" s="47"/>
      <c r="AG1180" s="47"/>
      <c r="AH1180" s="47" t="str">
        <f>IFERROR(_xlfn.XLOOKUP(Table6[[#This Row],[Suburb]],Table5[Travel Surcharge],Table5[$$]),"")</f>
        <v/>
      </c>
      <c r="AI1180" s="47">
        <f t="shared" si="244"/>
        <v>1650.0000000000002</v>
      </c>
      <c r="AJ1180" s="47"/>
    </row>
    <row r="1181" spans="1:36">
      <c r="A1181" s="157" t="s">
        <v>2108</v>
      </c>
      <c r="B1181" s="157">
        <v>15</v>
      </c>
      <c r="C1181" s="157" t="s">
        <v>794</v>
      </c>
      <c r="D1181" s="157" t="str">
        <f t="shared" si="234"/>
        <v>Coridale15</v>
      </c>
      <c r="E1181" s="157" t="s">
        <v>9665</v>
      </c>
      <c r="F1181" s="157" t="s">
        <v>1428</v>
      </c>
      <c r="G1181" s="157" t="s">
        <v>2110</v>
      </c>
      <c r="H1181" s="157" t="s">
        <v>2111</v>
      </c>
      <c r="I1181" s="158"/>
      <c r="J1181" s="47">
        <f t="shared" si="241"/>
        <v>3740</v>
      </c>
      <c r="K1181" s="46" t="s">
        <v>7938</v>
      </c>
      <c r="L1181" s="47"/>
      <c r="M1181" s="47"/>
      <c r="N1181" s="47" t="s">
        <v>2112</v>
      </c>
      <c r="O1181" s="47"/>
      <c r="P1181" s="47"/>
      <c r="Q1181" s="47"/>
      <c r="R1181" s="47"/>
      <c r="S1181" s="47"/>
      <c r="T1181" s="47">
        <f t="shared" si="242"/>
        <v>780</v>
      </c>
      <c r="U1181" s="47"/>
      <c r="V1181" s="47"/>
      <c r="W1181" s="47"/>
      <c r="X1181" s="47"/>
      <c r="Y1181" s="47"/>
      <c r="Z1181" s="47">
        <f t="shared" si="243"/>
        <v>4620</v>
      </c>
      <c r="AA1181" s="47"/>
      <c r="AB1181" s="47"/>
      <c r="AC1181" s="47"/>
      <c r="AD1181" s="47"/>
      <c r="AE1181" s="47"/>
      <c r="AF1181" s="47"/>
      <c r="AG1181" s="47"/>
      <c r="AH1181" s="47" t="str">
        <f>IFERROR(_xlfn.XLOOKUP(Table6[[#This Row],[Suburb]],Table5[Travel Surcharge],Table5[$$]),"")</f>
        <v/>
      </c>
      <c r="AI1181" s="47">
        <f t="shared" si="244"/>
        <v>1650.0000000000002</v>
      </c>
      <c r="AJ1181" s="47"/>
    </row>
    <row r="1182" spans="1:36">
      <c r="A1182" s="374" t="s">
        <v>2108</v>
      </c>
      <c r="B1182" s="374">
        <v>16</v>
      </c>
      <c r="C1182" s="374" t="s">
        <v>794</v>
      </c>
      <c r="D1182" s="375" t="str">
        <f t="shared" si="234"/>
        <v>Coridale16</v>
      </c>
      <c r="E1182" s="375" t="s">
        <v>10740</v>
      </c>
      <c r="F1182" s="375" t="s">
        <v>1428</v>
      </c>
      <c r="G1182" s="375" t="s">
        <v>2110</v>
      </c>
      <c r="H1182" s="375" t="s">
        <v>2111</v>
      </c>
      <c r="I1182" s="63"/>
      <c r="J1182" s="47">
        <v>3740</v>
      </c>
      <c r="K1182" s="46" t="s">
        <v>7938</v>
      </c>
      <c r="L1182" s="47"/>
      <c r="M1182" s="47"/>
      <c r="N1182" s="47" t="s">
        <v>2112</v>
      </c>
      <c r="O1182" s="47"/>
      <c r="P1182" s="47"/>
      <c r="Q1182" s="47"/>
      <c r="R1182" s="47"/>
      <c r="S1182" s="47"/>
      <c r="T1182" s="47">
        <v>1420</v>
      </c>
      <c r="U1182" s="47"/>
      <c r="V1182" s="47"/>
      <c r="W1182" s="47"/>
      <c r="X1182" s="47"/>
      <c r="Y1182" s="47"/>
      <c r="Z1182" s="47">
        <v>4620</v>
      </c>
      <c r="AA1182" s="47"/>
      <c r="AB1182" s="47"/>
      <c r="AC1182" s="47"/>
      <c r="AD1182" s="47"/>
      <c r="AE1182" s="47"/>
      <c r="AF1182" s="47"/>
      <c r="AG1182" s="47"/>
      <c r="AH1182" s="47" t="s">
        <v>9976</v>
      </c>
      <c r="AI1182" s="47">
        <v>1650.0000000000002</v>
      </c>
      <c r="AJ1182" s="47"/>
    </row>
    <row r="1183" spans="1:36">
      <c r="A1183" s="374" t="s">
        <v>2108</v>
      </c>
      <c r="B1183" s="374">
        <v>17</v>
      </c>
      <c r="C1183" s="374" t="s">
        <v>794</v>
      </c>
      <c r="D1183" s="375" t="str">
        <f t="shared" si="234"/>
        <v>Coridale17</v>
      </c>
      <c r="E1183" s="375" t="s">
        <v>2124</v>
      </c>
      <c r="F1183" s="375" t="s">
        <v>1428</v>
      </c>
      <c r="G1183" s="375" t="s">
        <v>2110</v>
      </c>
      <c r="H1183" s="375" t="s">
        <v>2111</v>
      </c>
      <c r="I1183" s="63"/>
      <c r="J1183" s="47">
        <f t="shared" si="241"/>
        <v>3740</v>
      </c>
      <c r="K1183" s="46" t="s">
        <v>7938</v>
      </c>
      <c r="L1183" s="47"/>
      <c r="M1183" s="47"/>
      <c r="N1183" s="47" t="s">
        <v>2112</v>
      </c>
      <c r="O1183" s="47"/>
      <c r="P1183" s="47"/>
      <c r="Q1183" s="47"/>
      <c r="R1183" s="47"/>
      <c r="S1183" s="47"/>
      <c r="T1183" s="47">
        <f t="shared" si="242"/>
        <v>780</v>
      </c>
      <c r="U1183" s="47"/>
      <c r="V1183" s="47"/>
      <c r="W1183" s="47"/>
      <c r="X1183" s="47"/>
      <c r="Y1183" s="47"/>
      <c r="Z1183" s="47">
        <f t="shared" si="243"/>
        <v>4620</v>
      </c>
      <c r="AA1183" s="47"/>
      <c r="AB1183" s="47"/>
      <c r="AC1183" s="47"/>
      <c r="AD1183" s="47"/>
      <c r="AE1183" s="47"/>
      <c r="AF1183" s="47"/>
      <c r="AG1183" s="47"/>
      <c r="AH1183" s="47" t="str">
        <f>IFERROR(_xlfn.XLOOKUP(Table6[[#This Row],[Suburb]],Table5[Travel Surcharge],Table5[$$]),"")</f>
        <v/>
      </c>
      <c r="AI1183" s="47">
        <f t="shared" si="244"/>
        <v>1650.0000000000002</v>
      </c>
      <c r="AJ1183" s="47"/>
    </row>
    <row r="1184" spans="1:36">
      <c r="A1184" s="157" t="s">
        <v>2108</v>
      </c>
      <c r="B1184" s="157">
        <v>19</v>
      </c>
      <c r="C1184" s="157" t="s">
        <v>794</v>
      </c>
      <c r="D1184" s="157" t="str">
        <f t="shared" si="234"/>
        <v>Coridale19</v>
      </c>
      <c r="E1184" s="157" t="s">
        <v>8526</v>
      </c>
      <c r="F1184" s="157" t="s">
        <v>1428</v>
      </c>
      <c r="G1184" s="157" t="s">
        <v>2110</v>
      </c>
      <c r="H1184" s="157" t="s">
        <v>2111</v>
      </c>
      <c r="I1184" s="158"/>
      <c r="J1184" s="47">
        <f t="shared" si="241"/>
        <v>3740</v>
      </c>
      <c r="K1184" s="46" t="s">
        <v>7938</v>
      </c>
      <c r="L1184" s="47"/>
      <c r="M1184" s="47"/>
      <c r="N1184" s="47" t="s">
        <v>2112</v>
      </c>
      <c r="O1184" s="47"/>
      <c r="P1184" s="47"/>
      <c r="Q1184" s="47"/>
      <c r="R1184" s="47"/>
      <c r="S1184" s="47"/>
      <c r="T1184" s="47">
        <f t="shared" si="242"/>
        <v>780</v>
      </c>
      <c r="U1184" s="47"/>
      <c r="V1184" s="47"/>
      <c r="W1184" s="47"/>
      <c r="X1184" s="47"/>
      <c r="Y1184" s="47"/>
      <c r="Z1184" s="47">
        <f t="shared" si="243"/>
        <v>4620</v>
      </c>
      <c r="AA1184" s="47"/>
      <c r="AB1184" s="47"/>
      <c r="AC1184" s="47"/>
      <c r="AD1184" s="47"/>
      <c r="AE1184" s="47"/>
      <c r="AF1184" s="47"/>
      <c r="AG1184" s="47"/>
      <c r="AH1184" s="47" t="str">
        <f>IFERROR(_xlfn.XLOOKUP(Table6[[#This Row],[Suburb]],Table5[Travel Surcharge],Table5[$$]),"")</f>
        <v/>
      </c>
      <c r="AI1184" s="47">
        <f t="shared" si="244"/>
        <v>1650.0000000000002</v>
      </c>
      <c r="AJ1184" s="47"/>
    </row>
    <row r="1185" spans="1:43">
      <c r="A1185" s="374" t="s">
        <v>2108</v>
      </c>
      <c r="B1185" s="374">
        <v>20</v>
      </c>
      <c r="C1185" s="374" t="s">
        <v>794</v>
      </c>
      <c r="D1185" s="157" t="str">
        <f t="shared" si="234"/>
        <v>Coridale20</v>
      </c>
      <c r="E1185" s="375"/>
      <c r="F1185" s="375" t="s">
        <v>1428</v>
      </c>
      <c r="G1185" s="375" t="s">
        <v>2110</v>
      </c>
      <c r="H1185" s="375" t="s">
        <v>2111</v>
      </c>
      <c r="I1185" s="63"/>
      <c r="J1185" s="47">
        <v>3740</v>
      </c>
      <c r="K1185" s="46" t="s">
        <v>7938</v>
      </c>
      <c r="L1185" s="47"/>
      <c r="M1185" s="47"/>
      <c r="N1185" s="47" t="s">
        <v>2112</v>
      </c>
      <c r="O1185" s="47"/>
      <c r="P1185" s="47"/>
      <c r="Q1185" s="47"/>
      <c r="R1185" s="47"/>
      <c r="S1185" s="47"/>
      <c r="T1185" s="47">
        <v>1420</v>
      </c>
      <c r="U1185" s="47"/>
      <c r="V1185" s="47"/>
      <c r="W1185" s="47"/>
      <c r="X1185" s="47"/>
      <c r="Y1185" s="47"/>
      <c r="Z1185" s="47">
        <v>4620</v>
      </c>
      <c r="AA1185" s="47"/>
      <c r="AB1185" s="47"/>
      <c r="AC1185" s="47"/>
      <c r="AD1185" s="47"/>
      <c r="AE1185" s="47"/>
      <c r="AF1185" s="47"/>
      <c r="AG1185" s="47"/>
      <c r="AH1185" s="47" t="s">
        <v>9976</v>
      </c>
      <c r="AI1185" s="47">
        <v>1650.0000000000002</v>
      </c>
      <c r="AJ1185" s="47"/>
    </row>
    <row r="1186" spans="1:43" s="378" customFormat="1">
      <c r="A1186" s="157" t="s">
        <v>2108</v>
      </c>
      <c r="B1186" s="157">
        <v>21</v>
      </c>
      <c r="C1186" s="157" t="s">
        <v>794</v>
      </c>
      <c r="D1186" s="157" t="str">
        <f t="shared" si="234"/>
        <v>Coridale21</v>
      </c>
      <c r="E1186" s="157" t="s">
        <v>9635</v>
      </c>
      <c r="F1186" s="157" t="s">
        <v>1428</v>
      </c>
      <c r="G1186" s="157" t="s">
        <v>2110</v>
      </c>
      <c r="H1186" s="157" t="s">
        <v>2111</v>
      </c>
      <c r="I1186" s="158"/>
      <c r="J1186" s="47">
        <f t="shared" si="241"/>
        <v>3740</v>
      </c>
      <c r="K1186" s="46" t="s">
        <v>7938</v>
      </c>
      <c r="L1186" s="47"/>
      <c r="M1186" s="47"/>
      <c r="N1186" s="47" t="s">
        <v>2112</v>
      </c>
      <c r="O1186" s="47"/>
      <c r="P1186" s="47"/>
      <c r="Q1186" s="47"/>
      <c r="R1186" s="47"/>
      <c r="S1186" s="47"/>
      <c r="T1186" s="47">
        <f t="shared" si="242"/>
        <v>780</v>
      </c>
      <c r="U1186" s="47"/>
      <c r="V1186" s="47"/>
      <c r="W1186" s="47"/>
      <c r="X1186" s="47"/>
      <c r="Y1186" s="47"/>
      <c r="Z1186" s="47">
        <f t="shared" si="243"/>
        <v>4620</v>
      </c>
      <c r="AA1186" s="47"/>
      <c r="AB1186" s="47"/>
      <c r="AC1186" s="47"/>
      <c r="AD1186" s="47"/>
      <c r="AE1186" s="47"/>
      <c r="AF1186" s="47"/>
      <c r="AG1186" s="47"/>
      <c r="AH1186" s="47" t="str">
        <f>IFERROR(_xlfn.XLOOKUP(Table6[[#This Row],[Suburb]],Table5[Travel Surcharge],Table5[$$]),"")</f>
        <v/>
      </c>
      <c r="AI1186" s="47">
        <f t="shared" si="244"/>
        <v>1650.0000000000002</v>
      </c>
      <c r="AJ1186" s="47"/>
      <c r="AM1186" s="161"/>
      <c r="AO1186"/>
      <c r="AP1186"/>
      <c r="AQ1186"/>
    </row>
    <row r="1187" spans="1:43">
      <c r="A1187" s="374" t="s">
        <v>2108</v>
      </c>
      <c r="B1187" s="374" t="s">
        <v>2117</v>
      </c>
      <c r="C1187" s="374" t="s">
        <v>794</v>
      </c>
      <c r="D1187" s="375" t="str">
        <f t="shared" si="234"/>
        <v>Coridale7a</v>
      </c>
      <c r="E1187" s="375" t="s">
        <v>2118</v>
      </c>
      <c r="F1187" s="375" t="s">
        <v>1428</v>
      </c>
      <c r="G1187" s="375" t="s">
        <v>2110</v>
      </c>
      <c r="H1187" s="375" t="s">
        <v>2111</v>
      </c>
      <c r="I1187" s="63"/>
      <c r="J1187" s="47">
        <f t="shared" si="241"/>
        <v>3740</v>
      </c>
      <c r="K1187" s="46" t="s">
        <v>7938</v>
      </c>
      <c r="L1187" s="47"/>
      <c r="M1187" s="47"/>
      <c r="N1187" s="47" t="s">
        <v>2112</v>
      </c>
      <c r="O1187" s="47"/>
      <c r="P1187" s="47"/>
      <c r="Q1187" s="47"/>
      <c r="R1187" s="47"/>
      <c r="S1187" s="47"/>
      <c r="T1187" s="47">
        <f t="shared" si="242"/>
        <v>780</v>
      </c>
      <c r="U1187" s="47"/>
      <c r="V1187" s="47"/>
      <c r="W1187" s="47"/>
      <c r="X1187" s="47"/>
      <c r="Y1187" s="47"/>
      <c r="Z1187" s="47">
        <f t="shared" si="243"/>
        <v>4620</v>
      </c>
      <c r="AA1187" s="47"/>
      <c r="AB1187" s="47"/>
      <c r="AC1187" s="47"/>
      <c r="AD1187" s="47"/>
      <c r="AE1187" s="47"/>
      <c r="AF1187" s="47"/>
      <c r="AG1187" s="47"/>
      <c r="AH1187" s="47" t="str">
        <f>IFERROR(_xlfn.XLOOKUP(Table6[[#This Row],[Suburb]],Table5[Travel Surcharge],Table5[$$]),"")</f>
        <v/>
      </c>
      <c r="AI1187" s="47">
        <f t="shared" si="244"/>
        <v>1650.0000000000002</v>
      </c>
      <c r="AJ1187" s="47"/>
      <c r="AO1187" s="378"/>
      <c r="AP1187" s="378"/>
      <c r="AQ1187" s="378"/>
    </row>
    <row r="1188" spans="1:43">
      <c r="A1188" s="374" t="s">
        <v>2108</v>
      </c>
      <c r="B1188" s="374" t="s">
        <v>2119</v>
      </c>
      <c r="C1188" s="374" t="s">
        <v>794</v>
      </c>
      <c r="D1188" s="375" t="str">
        <f t="shared" si="234"/>
        <v>Coridale7b</v>
      </c>
      <c r="E1188" s="375" t="s">
        <v>2120</v>
      </c>
      <c r="F1188" s="375" t="s">
        <v>1428</v>
      </c>
      <c r="G1188" s="375" t="s">
        <v>2110</v>
      </c>
      <c r="H1188" s="375" t="s">
        <v>2111</v>
      </c>
      <c r="I1188" s="63"/>
      <c r="J1188" s="47">
        <f t="shared" si="241"/>
        <v>3740</v>
      </c>
      <c r="K1188" s="46" t="s">
        <v>7938</v>
      </c>
      <c r="L1188" s="47"/>
      <c r="M1188" s="47"/>
      <c r="N1188" s="47" t="s">
        <v>2112</v>
      </c>
      <c r="O1188" s="47"/>
      <c r="P1188" s="47"/>
      <c r="Q1188" s="47"/>
      <c r="R1188" s="47"/>
      <c r="S1188" s="47"/>
      <c r="T1188" s="47">
        <f t="shared" si="242"/>
        <v>780</v>
      </c>
      <c r="U1188" s="47"/>
      <c r="V1188" s="47"/>
      <c r="W1188" s="47"/>
      <c r="X1188" s="47"/>
      <c r="Y1188" s="47"/>
      <c r="Z1188" s="47">
        <f t="shared" si="243"/>
        <v>4620</v>
      </c>
      <c r="AA1188" s="47"/>
      <c r="AB1188" s="47"/>
      <c r="AC1188" s="47"/>
      <c r="AD1188" s="47"/>
      <c r="AE1188" s="47"/>
      <c r="AF1188" s="47"/>
      <c r="AG1188" s="47"/>
      <c r="AH1188" s="47" t="str">
        <f>IFERROR(_xlfn.XLOOKUP(Table6[[#This Row],[Suburb]],Table5[Travel Surcharge],Table5[$$]),"")</f>
        <v/>
      </c>
      <c r="AI1188" s="47">
        <f t="shared" si="244"/>
        <v>1650.0000000000002</v>
      </c>
      <c r="AJ1188" s="47"/>
    </row>
    <row r="1189" spans="1:43">
      <c r="A1189" s="374" t="s">
        <v>2125</v>
      </c>
      <c r="B1189" s="374">
        <v>1</v>
      </c>
      <c r="C1189" s="374" t="s">
        <v>279</v>
      </c>
      <c r="D1189" s="375" t="str">
        <f t="shared" si="234"/>
        <v>Coriyule Estate1</v>
      </c>
      <c r="E1189" s="375" t="s">
        <v>2126</v>
      </c>
      <c r="F1189" s="375" t="s">
        <v>2127</v>
      </c>
      <c r="G1189" s="375" t="s">
        <v>2128</v>
      </c>
      <c r="H1189" s="375" t="s">
        <v>2129</v>
      </c>
      <c r="I1189" s="63"/>
      <c r="J1189" s="47"/>
      <c r="K1189" s="46" t="s">
        <v>10735</v>
      </c>
      <c r="L1189" s="47"/>
      <c r="M1189" s="47"/>
      <c r="N1189" s="47"/>
      <c r="O1189" s="47"/>
      <c r="P1189" s="47"/>
      <c r="Q1189" s="47">
        <f t="shared" ref="Q1189:Q1197" si="245">Q$2</f>
        <v>0</v>
      </c>
      <c r="R1189" s="47"/>
      <c r="S1189" s="47"/>
      <c r="T1189" s="47"/>
      <c r="U1189" s="47"/>
      <c r="V1189" s="47"/>
      <c r="W1189" s="47"/>
      <c r="X1189" s="47"/>
      <c r="Y1189" s="47"/>
      <c r="Z1189" s="47">
        <f t="shared" si="243"/>
        <v>4620</v>
      </c>
      <c r="AA1189" s="47"/>
      <c r="AB1189" s="47"/>
      <c r="AC1189" s="47"/>
      <c r="AD1189" s="47"/>
      <c r="AE1189" s="47"/>
      <c r="AF1189" s="47"/>
      <c r="AG1189" s="47"/>
      <c r="AH1189" s="47">
        <f>IFERROR(_xlfn.XLOOKUP(Table6[[#This Row],[Suburb]],Table5[Travel Surcharge],Table5[$$]),"")</f>
        <v>1500</v>
      </c>
      <c r="AI1189" s="47"/>
      <c r="AJ1189" s="47">
        <f t="shared" ref="AJ1189:AJ1197" si="246">AJ$7</f>
        <v>4400</v>
      </c>
    </row>
    <row r="1190" spans="1:43">
      <c r="A1190" s="374" t="s">
        <v>2125</v>
      </c>
      <c r="B1190" s="374">
        <v>2</v>
      </c>
      <c r="C1190" s="374" t="s">
        <v>279</v>
      </c>
      <c r="D1190" s="375" t="str">
        <f t="shared" si="234"/>
        <v>Coriyule Estate2</v>
      </c>
      <c r="E1190" s="375" t="s">
        <v>2130</v>
      </c>
      <c r="F1190" s="375" t="s">
        <v>2127</v>
      </c>
      <c r="G1190" s="375" t="s">
        <v>2128</v>
      </c>
      <c r="H1190" s="375" t="s">
        <v>2129</v>
      </c>
      <c r="I1190" s="63"/>
      <c r="J1190" s="47"/>
      <c r="K1190" s="46" t="s">
        <v>10735</v>
      </c>
      <c r="L1190" s="47"/>
      <c r="M1190" s="47"/>
      <c r="N1190" s="47"/>
      <c r="O1190" s="47"/>
      <c r="P1190" s="47"/>
      <c r="Q1190" s="47">
        <f t="shared" si="245"/>
        <v>0</v>
      </c>
      <c r="R1190" s="47"/>
      <c r="S1190" s="47"/>
      <c r="T1190" s="47"/>
      <c r="U1190" s="47"/>
      <c r="V1190" s="47"/>
      <c r="W1190" s="47"/>
      <c r="X1190" s="47"/>
      <c r="Y1190" s="47"/>
      <c r="Z1190" s="47">
        <f t="shared" si="243"/>
        <v>4620</v>
      </c>
      <c r="AA1190" s="47"/>
      <c r="AB1190" s="47"/>
      <c r="AC1190" s="47"/>
      <c r="AD1190" s="47"/>
      <c r="AE1190" s="47"/>
      <c r="AF1190" s="47"/>
      <c r="AG1190" s="47"/>
      <c r="AH1190" s="47">
        <f>IFERROR(_xlfn.XLOOKUP(Table6[[#This Row],[Suburb]],Table5[Travel Surcharge],Table5[$$]),"")</f>
        <v>1500</v>
      </c>
      <c r="AI1190" s="47"/>
      <c r="AJ1190" s="47">
        <f t="shared" si="246"/>
        <v>4400</v>
      </c>
    </row>
    <row r="1191" spans="1:43">
      <c r="A1191" s="374" t="s">
        <v>2125</v>
      </c>
      <c r="B1191" s="374">
        <v>3</v>
      </c>
      <c r="C1191" s="374" t="s">
        <v>279</v>
      </c>
      <c r="D1191" s="375" t="str">
        <f t="shared" si="234"/>
        <v>Coriyule Estate3</v>
      </c>
      <c r="E1191" s="375" t="s">
        <v>2131</v>
      </c>
      <c r="F1191" s="375" t="s">
        <v>2127</v>
      </c>
      <c r="G1191" s="375" t="s">
        <v>2128</v>
      </c>
      <c r="H1191" s="375" t="s">
        <v>2129</v>
      </c>
      <c r="I1191" s="63"/>
      <c r="J1191" s="47"/>
      <c r="K1191" s="46" t="s">
        <v>10735</v>
      </c>
      <c r="L1191" s="47"/>
      <c r="M1191" s="47"/>
      <c r="N1191" s="47"/>
      <c r="O1191" s="47"/>
      <c r="P1191" s="47"/>
      <c r="Q1191" s="47">
        <f t="shared" si="245"/>
        <v>0</v>
      </c>
      <c r="R1191" s="47"/>
      <c r="S1191" s="47"/>
      <c r="T1191" s="47"/>
      <c r="U1191" s="47"/>
      <c r="V1191" s="47"/>
      <c r="W1191" s="47"/>
      <c r="X1191" s="47"/>
      <c r="Y1191" s="47"/>
      <c r="Z1191" s="47">
        <f t="shared" si="243"/>
        <v>4620</v>
      </c>
      <c r="AA1191" s="47"/>
      <c r="AB1191" s="47"/>
      <c r="AC1191" s="47"/>
      <c r="AD1191" s="47"/>
      <c r="AE1191" s="47"/>
      <c r="AF1191" s="47"/>
      <c r="AG1191" s="47"/>
      <c r="AH1191" s="47">
        <f>IFERROR(_xlfn.XLOOKUP(Table6[[#This Row],[Suburb]],Table5[Travel Surcharge],Table5[$$]),"")</f>
        <v>1500</v>
      </c>
      <c r="AI1191" s="47"/>
      <c r="AJ1191" s="47">
        <f t="shared" si="246"/>
        <v>4400</v>
      </c>
    </row>
    <row r="1192" spans="1:43">
      <c r="A1192" s="374" t="s">
        <v>2125</v>
      </c>
      <c r="B1192" s="374">
        <v>4</v>
      </c>
      <c r="C1192" s="374" t="s">
        <v>279</v>
      </c>
      <c r="D1192" s="375" t="str">
        <f t="shared" si="234"/>
        <v>Coriyule Estate4</v>
      </c>
      <c r="E1192" s="375" t="s">
        <v>2132</v>
      </c>
      <c r="F1192" s="375" t="s">
        <v>2127</v>
      </c>
      <c r="G1192" s="375" t="s">
        <v>2128</v>
      </c>
      <c r="H1192" s="375" t="s">
        <v>2129</v>
      </c>
      <c r="I1192" s="63"/>
      <c r="J1192" s="47"/>
      <c r="K1192" s="46" t="s">
        <v>10735</v>
      </c>
      <c r="L1192" s="47"/>
      <c r="M1192" s="47"/>
      <c r="N1192" s="47"/>
      <c r="O1192" s="47"/>
      <c r="P1192" s="47"/>
      <c r="Q1192" s="47">
        <f t="shared" si="245"/>
        <v>0</v>
      </c>
      <c r="R1192" s="47"/>
      <c r="S1192" s="47"/>
      <c r="T1192" s="47"/>
      <c r="U1192" s="47"/>
      <c r="V1192" s="47"/>
      <c r="W1192" s="47"/>
      <c r="X1192" s="47"/>
      <c r="Y1192" s="47"/>
      <c r="Z1192" s="47">
        <f t="shared" si="243"/>
        <v>4620</v>
      </c>
      <c r="AA1192" s="47"/>
      <c r="AB1192" s="47"/>
      <c r="AC1192" s="47"/>
      <c r="AD1192" s="47"/>
      <c r="AE1192" s="47"/>
      <c r="AF1192" s="47"/>
      <c r="AG1192" s="47"/>
      <c r="AH1192" s="47">
        <f>IFERROR(_xlfn.XLOOKUP(Table6[[#This Row],[Suburb]],Table5[Travel Surcharge],Table5[$$]),"")</f>
        <v>1500</v>
      </c>
      <c r="AI1192" s="47"/>
      <c r="AJ1192" s="47">
        <f t="shared" si="246"/>
        <v>4400</v>
      </c>
    </row>
    <row r="1193" spans="1:43">
      <c r="A1193" s="374" t="s">
        <v>2125</v>
      </c>
      <c r="B1193" s="374">
        <v>5</v>
      </c>
      <c r="C1193" s="374" t="s">
        <v>279</v>
      </c>
      <c r="D1193" s="375" t="str">
        <f t="shared" si="234"/>
        <v>Coriyule Estate5</v>
      </c>
      <c r="E1193" s="375" t="s">
        <v>2133</v>
      </c>
      <c r="F1193" s="375" t="s">
        <v>2127</v>
      </c>
      <c r="G1193" s="375" t="s">
        <v>2128</v>
      </c>
      <c r="H1193" s="375" t="s">
        <v>2129</v>
      </c>
      <c r="I1193" s="63"/>
      <c r="J1193" s="47"/>
      <c r="K1193" s="46" t="s">
        <v>10735</v>
      </c>
      <c r="L1193" s="47"/>
      <c r="M1193" s="47"/>
      <c r="N1193" s="47"/>
      <c r="O1193" s="47"/>
      <c r="P1193" s="47"/>
      <c r="Q1193" s="47">
        <f t="shared" si="245"/>
        <v>0</v>
      </c>
      <c r="R1193" s="47"/>
      <c r="S1193" s="47"/>
      <c r="T1193" s="47"/>
      <c r="U1193" s="47"/>
      <c r="V1193" s="47"/>
      <c r="W1193" s="47"/>
      <c r="X1193" s="47"/>
      <c r="Y1193" s="47"/>
      <c r="Z1193" s="47">
        <f t="shared" si="243"/>
        <v>4620</v>
      </c>
      <c r="AA1193" s="47"/>
      <c r="AB1193" s="47"/>
      <c r="AC1193" s="47"/>
      <c r="AD1193" s="47"/>
      <c r="AE1193" s="47"/>
      <c r="AF1193" s="47"/>
      <c r="AG1193" s="47"/>
      <c r="AH1193" s="47">
        <f>IFERROR(_xlfn.XLOOKUP(Table6[[#This Row],[Suburb]],Table5[Travel Surcharge],Table5[$$]),"")</f>
        <v>1500</v>
      </c>
      <c r="AI1193" s="47"/>
      <c r="AJ1193" s="47">
        <f t="shared" si="246"/>
        <v>4400</v>
      </c>
    </row>
    <row r="1194" spans="1:43">
      <c r="A1194" s="374" t="s">
        <v>2125</v>
      </c>
      <c r="B1194" s="374">
        <v>6</v>
      </c>
      <c r="C1194" s="374" t="s">
        <v>279</v>
      </c>
      <c r="D1194" s="375" t="str">
        <f t="shared" si="234"/>
        <v>Coriyule Estate6</v>
      </c>
      <c r="E1194" s="375" t="s">
        <v>2134</v>
      </c>
      <c r="F1194" s="375" t="s">
        <v>2127</v>
      </c>
      <c r="G1194" s="375" t="s">
        <v>2128</v>
      </c>
      <c r="H1194" s="375" t="s">
        <v>2129</v>
      </c>
      <c r="I1194" s="63"/>
      <c r="J1194" s="47"/>
      <c r="K1194" s="46" t="s">
        <v>10735</v>
      </c>
      <c r="L1194" s="47"/>
      <c r="M1194" s="47"/>
      <c r="N1194" s="47"/>
      <c r="O1194" s="47"/>
      <c r="P1194" s="47"/>
      <c r="Q1194" s="47">
        <f t="shared" si="245"/>
        <v>0</v>
      </c>
      <c r="R1194" s="47"/>
      <c r="S1194" s="47"/>
      <c r="T1194" s="47"/>
      <c r="U1194" s="47"/>
      <c r="V1194" s="47"/>
      <c r="W1194" s="47"/>
      <c r="X1194" s="47"/>
      <c r="Y1194" s="47"/>
      <c r="Z1194" s="47">
        <f t="shared" si="243"/>
        <v>4620</v>
      </c>
      <c r="AA1194" s="47"/>
      <c r="AB1194" s="47"/>
      <c r="AC1194" s="47"/>
      <c r="AD1194" s="47"/>
      <c r="AE1194" s="47"/>
      <c r="AF1194" s="47"/>
      <c r="AG1194" s="47"/>
      <c r="AH1194" s="47">
        <f>IFERROR(_xlfn.XLOOKUP(Table6[[#This Row],[Suburb]],Table5[Travel Surcharge],Table5[$$]),"")</f>
        <v>1500</v>
      </c>
      <c r="AI1194" s="47"/>
      <c r="AJ1194" s="47">
        <f t="shared" si="246"/>
        <v>4400</v>
      </c>
    </row>
    <row r="1195" spans="1:43">
      <c r="A1195" s="374" t="s">
        <v>2125</v>
      </c>
      <c r="B1195" s="374">
        <v>8</v>
      </c>
      <c r="C1195" s="374" t="s">
        <v>279</v>
      </c>
      <c r="D1195" s="375" t="str">
        <f t="shared" si="234"/>
        <v>Coriyule Estate8</v>
      </c>
      <c r="E1195" s="375" t="s">
        <v>2135</v>
      </c>
      <c r="F1195" s="375" t="s">
        <v>2127</v>
      </c>
      <c r="G1195" s="375" t="s">
        <v>2128</v>
      </c>
      <c r="H1195" s="375" t="s">
        <v>2129</v>
      </c>
      <c r="I1195" s="63"/>
      <c r="J1195" s="47"/>
      <c r="K1195" s="46" t="s">
        <v>10735</v>
      </c>
      <c r="L1195" s="47"/>
      <c r="M1195" s="47"/>
      <c r="N1195" s="47"/>
      <c r="O1195" s="47"/>
      <c r="P1195" s="47"/>
      <c r="Q1195" s="47">
        <f t="shared" si="245"/>
        <v>0</v>
      </c>
      <c r="R1195" s="47"/>
      <c r="S1195" s="47"/>
      <c r="T1195" s="47"/>
      <c r="U1195" s="47"/>
      <c r="V1195" s="47"/>
      <c r="W1195" s="47"/>
      <c r="X1195" s="47"/>
      <c r="Y1195" s="47"/>
      <c r="Z1195" s="47">
        <f t="shared" si="243"/>
        <v>4620</v>
      </c>
      <c r="AA1195" s="47"/>
      <c r="AB1195" s="47"/>
      <c r="AC1195" s="47"/>
      <c r="AD1195" s="47"/>
      <c r="AE1195" s="47"/>
      <c r="AF1195" s="47"/>
      <c r="AG1195" s="47"/>
      <c r="AH1195" s="47">
        <f>IFERROR(_xlfn.XLOOKUP(Table6[[#This Row],[Suburb]],Table5[Travel Surcharge],Table5[$$]),"")</f>
        <v>1500</v>
      </c>
      <c r="AI1195" s="47"/>
      <c r="AJ1195" s="47">
        <f t="shared" si="246"/>
        <v>4400</v>
      </c>
    </row>
    <row r="1196" spans="1:43">
      <c r="A1196" s="374" t="s">
        <v>2125</v>
      </c>
      <c r="B1196" s="374">
        <v>9</v>
      </c>
      <c r="C1196" s="374" t="s">
        <v>279</v>
      </c>
      <c r="D1196" s="375" t="str">
        <f t="shared" si="234"/>
        <v>Coriyule Estate9</v>
      </c>
      <c r="E1196" s="375" t="s">
        <v>2136</v>
      </c>
      <c r="F1196" s="375" t="s">
        <v>2127</v>
      </c>
      <c r="G1196" s="375" t="s">
        <v>2128</v>
      </c>
      <c r="H1196" s="375" t="s">
        <v>2129</v>
      </c>
      <c r="I1196" s="63"/>
      <c r="J1196" s="47"/>
      <c r="K1196" s="46" t="s">
        <v>10735</v>
      </c>
      <c r="L1196" s="47"/>
      <c r="M1196" s="47"/>
      <c r="N1196" s="47"/>
      <c r="O1196" s="47"/>
      <c r="P1196" s="47"/>
      <c r="Q1196" s="47">
        <f t="shared" si="245"/>
        <v>0</v>
      </c>
      <c r="R1196" s="47"/>
      <c r="S1196" s="47"/>
      <c r="T1196" s="47"/>
      <c r="U1196" s="47"/>
      <c r="V1196" s="47"/>
      <c r="W1196" s="47"/>
      <c r="X1196" s="47"/>
      <c r="Y1196" s="47"/>
      <c r="Z1196" s="47">
        <f t="shared" si="243"/>
        <v>4620</v>
      </c>
      <c r="AA1196" s="47"/>
      <c r="AB1196" s="47"/>
      <c r="AC1196" s="47"/>
      <c r="AD1196" s="47"/>
      <c r="AE1196" s="47"/>
      <c r="AF1196" s="47"/>
      <c r="AG1196" s="47"/>
      <c r="AH1196" s="47">
        <f>IFERROR(_xlfn.XLOOKUP(Table6[[#This Row],[Suburb]],Table5[Travel Surcharge],Table5[$$]),"")</f>
        <v>1500</v>
      </c>
      <c r="AI1196" s="47"/>
      <c r="AJ1196" s="47">
        <f t="shared" si="246"/>
        <v>4400</v>
      </c>
    </row>
    <row r="1197" spans="1:43">
      <c r="A1197" s="374" t="s">
        <v>2125</v>
      </c>
      <c r="B1197" s="374">
        <v>10</v>
      </c>
      <c r="C1197" s="374" t="s">
        <v>279</v>
      </c>
      <c r="D1197" s="375" t="str">
        <f t="shared" si="234"/>
        <v>Coriyule Estate10</v>
      </c>
      <c r="E1197" s="375" t="s">
        <v>2137</v>
      </c>
      <c r="F1197" s="375" t="s">
        <v>2127</v>
      </c>
      <c r="G1197" s="375" t="s">
        <v>2128</v>
      </c>
      <c r="H1197" s="375" t="s">
        <v>2129</v>
      </c>
      <c r="I1197" s="63"/>
      <c r="J1197" s="47"/>
      <c r="K1197" s="46" t="s">
        <v>10735</v>
      </c>
      <c r="L1197" s="47"/>
      <c r="M1197" s="47"/>
      <c r="N1197" s="47"/>
      <c r="O1197" s="47"/>
      <c r="P1197" s="47"/>
      <c r="Q1197" s="47">
        <f t="shared" si="245"/>
        <v>0</v>
      </c>
      <c r="R1197" s="47"/>
      <c r="S1197" s="47"/>
      <c r="T1197" s="47"/>
      <c r="U1197" s="47"/>
      <c r="V1197" s="47"/>
      <c r="W1197" s="47"/>
      <c r="X1197" s="47"/>
      <c r="Y1197" s="47"/>
      <c r="Z1197" s="47">
        <f t="shared" si="243"/>
        <v>4620</v>
      </c>
      <c r="AA1197" s="47"/>
      <c r="AB1197" s="47"/>
      <c r="AC1197" s="47"/>
      <c r="AD1197" s="47"/>
      <c r="AE1197" s="47"/>
      <c r="AF1197" s="47"/>
      <c r="AG1197" s="47"/>
      <c r="AH1197" s="47">
        <f>IFERROR(_xlfn.XLOOKUP(Table6[[#This Row],[Suburb]],Table5[Travel Surcharge],Table5[$$]),"")</f>
        <v>1500</v>
      </c>
      <c r="AI1197" s="47"/>
      <c r="AJ1197" s="47">
        <f t="shared" si="246"/>
        <v>4400</v>
      </c>
    </row>
    <row r="1198" spans="1:43">
      <c r="A1198" s="374" t="s">
        <v>2138</v>
      </c>
      <c r="B1198" s="374">
        <v>1</v>
      </c>
      <c r="C1198" s="374" t="s">
        <v>688</v>
      </c>
      <c r="D1198" s="375" t="str">
        <f t="shared" si="234"/>
        <v>Cornerstone Estate1</v>
      </c>
      <c r="E1198" s="375" t="s">
        <v>2139</v>
      </c>
      <c r="F1198" s="375" t="s">
        <v>444</v>
      </c>
      <c r="G1198" s="375" t="s">
        <v>2140</v>
      </c>
      <c r="H1198" s="375" t="s">
        <v>2141</v>
      </c>
      <c r="I1198" s="63" t="s">
        <v>2142</v>
      </c>
      <c r="J1198" s="47">
        <f t="shared" ref="J1198:J1216" si="247">J$7</f>
        <v>3740</v>
      </c>
      <c r="K1198" s="46" t="s">
        <v>10735</v>
      </c>
      <c r="L1198" s="47"/>
      <c r="M1198" s="47">
        <f t="shared" ref="M1198:M1216" si="248">M$7</f>
        <v>1430.0000000000002</v>
      </c>
      <c r="N1198" s="47"/>
      <c r="O1198" s="47"/>
      <c r="P1198" s="47"/>
      <c r="Q1198" s="47"/>
      <c r="R1198" s="47"/>
      <c r="S1198" s="47" t="s">
        <v>463</v>
      </c>
      <c r="T1198" s="47"/>
      <c r="U1198" s="47"/>
      <c r="V1198" s="47"/>
      <c r="W1198" s="47"/>
      <c r="X1198" s="47"/>
      <c r="Y1198" s="47"/>
      <c r="Z1198" s="47">
        <f t="shared" si="243"/>
        <v>4620</v>
      </c>
      <c r="AA1198" s="47"/>
      <c r="AB1198" s="47"/>
      <c r="AC1198" s="47"/>
      <c r="AD1198" s="47"/>
      <c r="AE1198" s="47"/>
      <c r="AF1198" s="47"/>
      <c r="AG1198" s="47"/>
      <c r="AH1198" s="47" t="str">
        <f>IFERROR(_xlfn.XLOOKUP(Table6[[#This Row],[Suburb]],Table5[Travel Surcharge],Table5[$$]),"")</f>
        <v/>
      </c>
      <c r="AI1198" s="47" t="s">
        <v>2143</v>
      </c>
      <c r="AJ1198" s="47"/>
    </row>
    <row r="1199" spans="1:43">
      <c r="A1199" s="374" t="s">
        <v>2138</v>
      </c>
      <c r="B1199" s="374">
        <v>2</v>
      </c>
      <c r="C1199" s="374" t="s">
        <v>688</v>
      </c>
      <c r="D1199" s="375" t="str">
        <f t="shared" si="234"/>
        <v>Cornerstone Estate2</v>
      </c>
      <c r="E1199" s="375" t="s">
        <v>2144</v>
      </c>
      <c r="F1199" s="375" t="s">
        <v>444</v>
      </c>
      <c r="G1199" s="375" t="s">
        <v>2140</v>
      </c>
      <c r="H1199" s="375" t="s">
        <v>2141</v>
      </c>
      <c r="I1199" s="63" t="s">
        <v>2142</v>
      </c>
      <c r="J1199" s="47">
        <f t="shared" si="247"/>
        <v>3740</v>
      </c>
      <c r="K1199" s="46" t="s">
        <v>10735</v>
      </c>
      <c r="L1199" s="47"/>
      <c r="M1199" s="47">
        <f t="shared" si="248"/>
        <v>1430.0000000000002</v>
      </c>
      <c r="N1199" s="47"/>
      <c r="O1199" s="47"/>
      <c r="P1199" s="47"/>
      <c r="Q1199" s="47"/>
      <c r="R1199" s="47"/>
      <c r="S1199" s="47" t="s">
        <v>463</v>
      </c>
      <c r="T1199" s="47"/>
      <c r="U1199" s="47"/>
      <c r="V1199" s="47"/>
      <c r="W1199" s="47"/>
      <c r="X1199" s="47"/>
      <c r="Y1199" s="47"/>
      <c r="Z1199" s="47">
        <f t="shared" si="243"/>
        <v>4620</v>
      </c>
      <c r="AA1199" s="47"/>
      <c r="AB1199" s="47"/>
      <c r="AC1199" s="47"/>
      <c r="AD1199" s="47"/>
      <c r="AE1199" s="47"/>
      <c r="AF1199" s="47"/>
      <c r="AG1199" s="47"/>
      <c r="AH1199" s="47" t="str">
        <f>IFERROR(_xlfn.XLOOKUP(Table6[[#This Row],[Suburb]],Table5[Travel Surcharge],Table5[$$]),"")</f>
        <v/>
      </c>
      <c r="AI1199" s="47" t="s">
        <v>2143</v>
      </c>
      <c r="AJ1199" s="47"/>
    </row>
    <row r="1200" spans="1:43">
      <c r="A1200" s="374" t="s">
        <v>2138</v>
      </c>
      <c r="B1200" s="374">
        <v>3</v>
      </c>
      <c r="C1200" s="374" t="s">
        <v>688</v>
      </c>
      <c r="D1200" s="375" t="str">
        <f t="shared" si="234"/>
        <v>Cornerstone Estate3</v>
      </c>
      <c r="E1200" s="375" t="s">
        <v>2145</v>
      </c>
      <c r="F1200" s="375" t="s">
        <v>444</v>
      </c>
      <c r="G1200" s="375" t="s">
        <v>2140</v>
      </c>
      <c r="H1200" s="375" t="s">
        <v>2141</v>
      </c>
      <c r="I1200" s="63" t="s">
        <v>2142</v>
      </c>
      <c r="J1200" s="47">
        <f t="shared" si="247"/>
        <v>3740</v>
      </c>
      <c r="K1200" s="46" t="s">
        <v>10735</v>
      </c>
      <c r="L1200" s="47"/>
      <c r="M1200" s="47">
        <f t="shared" si="248"/>
        <v>1430.0000000000002</v>
      </c>
      <c r="N1200" s="47"/>
      <c r="O1200" s="47"/>
      <c r="P1200" s="47"/>
      <c r="Q1200" s="47"/>
      <c r="R1200" s="47"/>
      <c r="S1200" s="47" t="s">
        <v>463</v>
      </c>
      <c r="T1200" s="47"/>
      <c r="U1200" s="47"/>
      <c r="V1200" s="47"/>
      <c r="W1200" s="47"/>
      <c r="X1200" s="47"/>
      <c r="Y1200" s="47"/>
      <c r="Z1200" s="47">
        <f t="shared" si="243"/>
        <v>4620</v>
      </c>
      <c r="AA1200" s="47"/>
      <c r="AB1200" s="47"/>
      <c r="AC1200" s="47"/>
      <c r="AD1200" s="47"/>
      <c r="AE1200" s="47"/>
      <c r="AF1200" s="47"/>
      <c r="AG1200" s="47"/>
      <c r="AH1200" s="47" t="str">
        <f>IFERROR(_xlfn.XLOOKUP(Table6[[#This Row],[Suburb]],Table5[Travel Surcharge],Table5[$$]),"")</f>
        <v/>
      </c>
      <c r="AI1200" s="47" t="s">
        <v>2143</v>
      </c>
      <c r="AJ1200" s="47"/>
    </row>
    <row r="1201" spans="1:36">
      <c r="A1201" s="374" t="s">
        <v>2138</v>
      </c>
      <c r="B1201" s="374">
        <v>4</v>
      </c>
      <c r="C1201" s="374" t="s">
        <v>688</v>
      </c>
      <c r="D1201" s="375" t="str">
        <f t="shared" ref="D1201:D1267" si="249">CONCATENATE(A1201,B1201)</f>
        <v>Cornerstone Estate4</v>
      </c>
      <c r="E1201" s="375" t="s">
        <v>2146</v>
      </c>
      <c r="F1201" s="375" t="s">
        <v>444</v>
      </c>
      <c r="G1201" s="375" t="s">
        <v>2140</v>
      </c>
      <c r="H1201" s="375" t="s">
        <v>2141</v>
      </c>
      <c r="I1201" s="63" t="s">
        <v>2142</v>
      </c>
      <c r="J1201" s="47">
        <f t="shared" si="247"/>
        <v>3740</v>
      </c>
      <c r="K1201" s="46" t="s">
        <v>10735</v>
      </c>
      <c r="L1201" s="47"/>
      <c r="M1201" s="47">
        <f t="shared" si="248"/>
        <v>1430.0000000000002</v>
      </c>
      <c r="N1201" s="47"/>
      <c r="O1201" s="47"/>
      <c r="P1201" s="47"/>
      <c r="Q1201" s="47"/>
      <c r="R1201" s="47"/>
      <c r="S1201" s="47" t="s">
        <v>463</v>
      </c>
      <c r="T1201" s="47"/>
      <c r="U1201" s="47"/>
      <c r="V1201" s="47"/>
      <c r="W1201" s="47"/>
      <c r="X1201" s="47"/>
      <c r="Y1201" s="47"/>
      <c r="Z1201" s="47">
        <f t="shared" si="243"/>
        <v>4620</v>
      </c>
      <c r="AA1201" s="47"/>
      <c r="AB1201" s="47"/>
      <c r="AC1201" s="47"/>
      <c r="AD1201" s="47"/>
      <c r="AE1201" s="47"/>
      <c r="AF1201" s="47"/>
      <c r="AG1201" s="47"/>
      <c r="AH1201" s="47" t="str">
        <f>IFERROR(_xlfn.XLOOKUP(Table6[[#This Row],[Suburb]],Table5[Travel Surcharge],Table5[$$]),"")</f>
        <v/>
      </c>
      <c r="AI1201" s="47" t="s">
        <v>2143</v>
      </c>
      <c r="AJ1201" s="47"/>
    </row>
    <row r="1202" spans="1:36">
      <c r="A1202" s="374" t="s">
        <v>2138</v>
      </c>
      <c r="B1202" s="374">
        <v>5</v>
      </c>
      <c r="C1202" s="374" t="s">
        <v>688</v>
      </c>
      <c r="D1202" s="375" t="str">
        <f t="shared" si="249"/>
        <v>Cornerstone Estate5</v>
      </c>
      <c r="E1202" s="375" t="s">
        <v>2147</v>
      </c>
      <c r="F1202" s="375" t="s">
        <v>444</v>
      </c>
      <c r="G1202" s="375" t="s">
        <v>2140</v>
      </c>
      <c r="H1202" s="375" t="s">
        <v>2141</v>
      </c>
      <c r="I1202" s="63" t="s">
        <v>2142</v>
      </c>
      <c r="J1202" s="47">
        <f t="shared" si="247"/>
        <v>3740</v>
      </c>
      <c r="K1202" s="46" t="s">
        <v>10735</v>
      </c>
      <c r="L1202" s="47"/>
      <c r="M1202" s="47">
        <f t="shared" si="248"/>
        <v>1430.0000000000002</v>
      </c>
      <c r="N1202" s="47"/>
      <c r="O1202" s="47"/>
      <c r="P1202" s="47"/>
      <c r="Q1202" s="47"/>
      <c r="R1202" s="47"/>
      <c r="S1202" s="47" t="s">
        <v>463</v>
      </c>
      <c r="T1202" s="47"/>
      <c r="U1202" s="47"/>
      <c r="V1202" s="47"/>
      <c r="W1202" s="47"/>
      <c r="X1202" s="47"/>
      <c r="Y1202" s="47"/>
      <c r="Z1202" s="47">
        <f t="shared" si="243"/>
        <v>4620</v>
      </c>
      <c r="AA1202" s="47"/>
      <c r="AB1202" s="47"/>
      <c r="AC1202" s="47"/>
      <c r="AD1202" s="47"/>
      <c r="AE1202" s="47"/>
      <c r="AF1202" s="47"/>
      <c r="AG1202" s="47"/>
      <c r="AH1202" s="47" t="str">
        <f>IFERROR(_xlfn.XLOOKUP(Table6[[#This Row],[Suburb]],Table5[Travel Surcharge],Table5[$$]),"")</f>
        <v/>
      </c>
      <c r="AI1202" s="47" t="s">
        <v>2143</v>
      </c>
      <c r="AJ1202" s="47"/>
    </row>
    <row r="1203" spans="1:36">
      <c r="A1203" s="374" t="s">
        <v>2138</v>
      </c>
      <c r="B1203" s="374">
        <v>6</v>
      </c>
      <c r="C1203" s="374" t="s">
        <v>688</v>
      </c>
      <c r="D1203" s="375" t="str">
        <f t="shared" si="249"/>
        <v>Cornerstone Estate6</v>
      </c>
      <c r="E1203" s="375" t="s">
        <v>2148</v>
      </c>
      <c r="F1203" s="375" t="s">
        <v>444</v>
      </c>
      <c r="G1203" s="375" t="s">
        <v>2140</v>
      </c>
      <c r="H1203" s="375" t="s">
        <v>2141</v>
      </c>
      <c r="I1203" s="63" t="s">
        <v>2142</v>
      </c>
      <c r="J1203" s="47">
        <f t="shared" si="247"/>
        <v>3740</v>
      </c>
      <c r="K1203" s="46" t="s">
        <v>10735</v>
      </c>
      <c r="L1203" s="47"/>
      <c r="M1203" s="47">
        <f t="shared" si="248"/>
        <v>1430.0000000000002</v>
      </c>
      <c r="N1203" s="47"/>
      <c r="O1203" s="47"/>
      <c r="P1203" s="47"/>
      <c r="Q1203" s="47"/>
      <c r="R1203" s="47"/>
      <c r="S1203" s="47" t="s">
        <v>463</v>
      </c>
      <c r="T1203" s="47"/>
      <c r="U1203" s="47"/>
      <c r="V1203" s="47"/>
      <c r="W1203" s="47"/>
      <c r="X1203" s="47"/>
      <c r="Y1203" s="47"/>
      <c r="Z1203" s="47">
        <f t="shared" si="243"/>
        <v>4620</v>
      </c>
      <c r="AA1203" s="47"/>
      <c r="AB1203" s="47"/>
      <c r="AC1203" s="47"/>
      <c r="AD1203" s="47"/>
      <c r="AE1203" s="47"/>
      <c r="AF1203" s="47"/>
      <c r="AG1203" s="47"/>
      <c r="AH1203" s="47" t="str">
        <f>IFERROR(_xlfn.XLOOKUP(Table6[[#This Row],[Suburb]],Table5[Travel Surcharge],Table5[$$]),"")</f>
        <v/>
      </c>
      <c r="AI1203" s="47" t="s">
        <v>2143</v>
      </c>
      <c r="AJ1203" s="47"/>
    </row>
    <row r="1204" spans="1:36">
      <c r="A1204" s="374" t="s">
        <v>2138</v>
      </c>
      <c r="B1204" s="374">
        <v>7</v>
      </c>
      <c r="C1204" s="374" t="s">
        <v>688</v>
      </c>
      <c r="D1204" s="375" t="str">
        <f t="shared" si="249"/>
        <v>Cornerstone Estate7</v>
      </c>
      <c r="E1204" s="375" t="s">
        <v>2149</v>
      </c>
      <c r="F1204" s="375" t="s">
        <v>444</v>
      </c>
      <c r="G1204" s="375" t="s">
        <v>2140</v>
      </c>
      <c r="H1204" s="375" t="s">
        <v>2141</v>
      </c>
      <c r="I1204" s="63" t="s">
        <v>2142</v>
      </c>
      <c r="J1204" s="47">
        <f t="shared" si="247"/>
        <v>3740</v>
      </c>
      <c r="K1204" s="46" t="s">
        <v>10735</v>
      </c>
      <c r="L1204" s="47"/>
      <c r="M1204" s="47">
        <f t="shared" si="248"/>
        <v>1430.0000000000002</v>
      </c>
      <c r="N1204" s="47"/>
      <c r="O1204" s="47"/>
      <c r="P1204" s="47"/>
      <c r="Q1204" s="47"/>
      <c r="R1204" s="47"/>
      <c r="S1204" s="47" t="s">
        <v>463</v>
      </c>
      <c r="T1204" s="47"/>
      <c r="U1204" s="47"/>
      <c r="V1204" s="47"/>
      <c r="W1204" s="47"/>
      <c r="X1204" s="47"/>
      <c r="Y1204" s="47"/>
      <c r="Z1204" s="47">
        <f t="shared" si="243"/>
        <v>4620</v>
      </c>
      <c r="AA1204" s="47"/>
      <c r="AB1204" s="47"/>
      <c r="AC1204" s="47"/>
      <c r="AD1204" s="47"/>
      <c r="AE1204" s="47"/>
      <c r="AF1204" s="47"/>
      <c r="AG1204" s="47"/>
      <c r="AH1204" s="47" t="str">
        <f>IFERROR(_xlfn.XLOOKUP(Table6[[#This Row],[Suburb]],Table5[Travel Surcharge],Table5[$$]),"")</f>
        <v/>
      </c>
      <c r="AI1204" s="47" t="s">
        <v>2143</v>
      </c>
      <c r="AJ1204" s="47"/>
    </row>
    <row r="1205" spans="1:36">
      <c r="A1205" s="374" t="s">
        <v>2138</v>
      </c>
      <c r="B1205" s="374">
        <v>8</v>
      </c>
      <c r="C1205" s="374" t="s">
        <v>688</v>
      </c>
      <c r="D1205" s="375" t="str">
        <f t="shared" si="249"/>
        <v>Cornerstone Estate8</v>
      </c>
      <c r="E1205" s="375" t="s">
        <v>2150</v>
      </c>
      <c r="F1205" s="375" t="s">
        <v>444</v>
      </c>
      <c r="G1205" s="375" t="s">
        <v>2140</v>
      </c>
      <c r="H1205" s="375" t="s">
        <v>2141</v>
      </c>
      <c r="I1205" s="63" t="s">
        <v>2142</v>
      </c>
      <c r="J1205" s="47">
        <f t="shared" si="247"/>
        <v>3740</v>
      </c>
      <c r="K1205" s="46" t="s">
        <v>10735</v>
      </c>
      <c r="L1205" s="47"/>
      <c r="M1205" s="47">
        <f t="shared" si="248"/>
        <v>1430.0000000000002</v>
      </c>
      <c r="N1205" s="47"/>
      <c r="O1205" s="47"/>
      <c r="P1205" s="47"/>
      <c r="Q1205" s="47"/>
      <c r="R1205" s="47"/>
      <c r="S1205" s="47" t="s">
        <v>463</v>
      </c>
      <c r="T1205" s="47"/>
      <c r="U1205" s="47"/>
      <c r="V1205" s="47"/>
      <c r="W1205" s="47"/>
      <c r="X1205" s="47"/>
      <c r="Y1205" s="47"/>
      <c r="Z1205" s="47">
        <f t="shared" si="243"/>
        <v>4620</v>
      </c>
      <c r="AA1205" s="47"/>
      <c r="AB1205" s="47"/>
      <c r="AC1205" s="47"/>
      <c r="AD1205" s="47"/>
      <c r="AE1205" s="47"/>
      <c r="AF1205" s="47"/>
      <c r="AG1205" s="47"/>
      <c r="AH1205" s="47" t="str">
        <f>IFERROR(_xlfn.XLOOKUP(Table6[[#This Row],[Suburb]],Table5[Travel Surcharge],Table5[$$]),"")</f>
        <v/>
      </c>
      <c r="AI1205" s="47" t="s">
        <v>2143</v>
      </c>
      <c r="AJ1205" s="47"/>
    </row>
    <row r="1206" spans="1:36">
      <c r="A1206" s="374" t="s">
        <v>2138</v>
      </c>
      <c r="B1206" s="374">
        <v>9</v>
      </c>
      <c r="C1206" s="374" t="s">
        <v>688</v>
      </c>
      <c r="D1206" s="375" t="str">
        <f t="shared" si="249"/>
        <v>Cornerstone Estate9</v>
      </c>
      <c r="E1206" s="375" t="s">
        <v>2151</v>
      </c>
      <c r="F1206" s="375" t="s">
        <v>444</v>
      </c>
      <c r="G1206" s="375" t="s">
        <v>2140</v>
      </c>
      <c r="H1206" s="375" t="s">
        <v>2141</v>
      </c>
      <c r="I1206" s="63" t="s">
        <v>2142</v>
      </c>
      <c r="J1206" s="47">
        <f t="shared" si="247"/>
        <v>3740</v>
      </c>
      <c r="K1206" s="46" t="s">
        <v>10735</v>
      </c>
      <c r="L1206" s="47"/>
      <c r="M1206" s="47">
        <f t="shared" si="248"/>
        <v>1430.0000000000002</v>
      </c>
      <c r="N1206" s="47"/>
      <c r="O1206" s="47"/>
      <c r="P1206" s="47"/>
      <c r="Q1206" s="47"/>
      <c r="R1206" s="47"/>
      <c r="S1206" s="47" t="s">
        <v>463</v>
      </c>
      <c r="T1206" s="47"/>
      <c r="U1206" s="47"/>
      <c r="V1206" s="47"/>
      <c r="W1206" s="47"/>
      <c r="X1206" s="47"/>
      <c r="Y1206" s="47"/>
      <c r="Z1206" s="47">
        <f t="shared" ref="Z1206:Z1216" si="250">Z$7</f>
        <v>4620</v>
      </c>
      <c r="AA1206" s="47"/>
      <c r="AB1206" s="47"/>
      <c r="AC1206" s="47"/>
      <c r="AD1206" s="47"/>
      <c r="AE1206" s="47"/>
      <c r="AF1206" s="47"/>
      <c r="AG1206" s="47"/>
      <c r="AH1206" s="47" t="str">
        <f>IFERROR(_xlfn.XLOOKUP(Table6[[#This Row],[Suburb]],Table5[Travel Surcharge],Table5[$$]),"")</f>
        <v/>
      </c>
      <c r="AI1206" s="47" t="s">
        <v>2143</v>
      </c>
      <c r="AJ1206" s="47"/>
    </row>
    <row r="1207" spans="1:36">
      <c r="A1207" s="374" t="s">
        <v>2138</v>
      </c>
      <c r="B1207" s="374">
        <v>10</v>
      </c>
      <c r="C1207" s="374" t="s">
        <v>688</v>
      </c>
      <c r="D1207" s="375" t="str">
        <f t="shared" si="249"/>
        <v>Cornerstone Estate10</v>
      </c>
      <c r="E1207" s="375" t="s">
        <v>2152</v>
      </c>
      <c r="F1207" s="375" t="s">
        <v>444</v>
      </c>
      <c r="G1207" s="375" t="s">
        <v>2140</v>
      </c>
      <c r="H1207" s="375" t="s">
        <v>2141</v>
      </c>
      <c r="I1207" s="63" t="s">
        <v>2142</v>
      </c>
      <c r="J1207" s="47">
        <f t="shared" si="247"/>
        <v>3740</v>
      </c>
      <c r="K1207" s="46" t="s">
        <v>10735</v>
      </c>
      <c r="L1207" s="47"/>
      <c r="M1207" s="47">
        <f t="shared" si="248"/>
        <v>1430.0000000000002</v>
      </c>
      <c r="N1207" s="47"/>
      <c r="O1207" s="47"/>
      <c r="P1207" s="47"/>
      <c r="Q1207" s="47"/>
      <c r="R1207" s="47"/>
      <c r="S1207" s="47" t="s">
        <v>463</v>
      </c>
      <c r="T1207" s="47"/>
      <c r="U1207" s="47"/>
      <c r="V1207" s="47"/>
      <c r="W1207" s="47"/>
      <c r="X1207" s="47"/>
      <c r="Y1207" s="47"/>
      <c r="Z1207" s="47">
        <f t="shared" si="250"/>
        <v>4620</v>
      </c>
      <c r="AA1207" s="47"/>
      <c r="AB1207" s="47"/>
      <c r="AC1207" s="47"/>
      <c r="AD1207" s="47"/>
      <c r="AE1207" s="47"/>
      <c r="AF1207" s="47"/>
      <c r="AG1207" s="47"/>
      <c r="AH1207" s="47" t="str">
        <f>IFERROR(_xlfn.XLOOKUP(Table6[[#This Row],[Suburb]],Table5[Travel Surcharge],Table5[$$]),"")</f>
        <v/>
      </c>
      <c r="AI1207" s="47" t="s">
        <v>2143</v>
      </c>
      <c r="AJ1207" s="47"/>
    </row>
    <row r="1208" spans="1:36">
      <c r="A1208" s="374" t="s">
        <v>2138</v>
      </c>
      <c r="B1208" s="374">
        <v>11</v>
      </c>
      <c r="C1208" s="374" t="s">
        <v>688</v>
      </c>
      <c r="D1208" s="375" t="str">
        <f t="shared" si="249"/>
        <v>Cornerstone Estate11</v>
      </c>
      <c r="E1208" s="375" t="s">
        <v>2153</v>
      </c>
      <c r="F1208" s="375" t="s">
        <v>444</v>
      </c>
      <c r="G1208" s="375" t="s">
        <v>2140</v>
      </c>
      <c r="H1208" s="375" t="s">
        <v>2141</v>
      </c>
      <c r="I1208" s="63" t="s">
        <v>2142</v>
      </c>
      <c r="J1208" s="47">
        <f t="shared" si="247"/>
        <v>3740</v>
      </c>
      <c r="K1208" s="46" t="s">
        <v>10735</v>
      </c>
      <c r="L1208" s="47"/>
      <c r="M1208" s="47">
        <f t="shared" si="248"/>
        <v>1430.0000000000002</v>
      </c>
      <c r="N1208" s="47"/>
      <c r="O1208" s="47"/>
      <c r="P1208" s="47"/>
      <c r="Q1208" s="47"/>
      <c r="R1208" s="47"/>
      <c r="S1208" s="47" t="s">
        <v>463</v>
      </c>
      <c r="T1208" s="47"/>
      <c r="U1208" s="47"/>
      <c r="V1208" s="47"/>
      <c r="W1208" s="47"/>
      <c r="X1208" s="47"/>
      <c r="Y1208" s="47"/>
      <c r="Z1208" s="47">
        <f t="shared" si="250"/>
        <v>4620</v>
      </c>
      <c r="AA1208" s="47"/>
      <c r="AB1208" s="47"/>
      <c r="AC1208" s="47"/>
      <c r="AD1208" s="47"/>
      <c r="AE1208" s="47"/>
      <c r="AF1208" s="47"/>
      <c r="AG1208" s="47"/>
      <c r="AH1208" s="47" t="str">
        <f>IFERROR(_xlfn.XLOOKUP(Table6[[#This Row],[Suburb]],Table5[Travel Surcharge],Table5[$$]),"")</f>
        <v/>
      </c>
      <c r="AI1208" s="47" t="s">
        <v>2143</v>
      </c>
      <c r="AJ1208" s="47"/>
    </row>
    <row r="1209" spans="1:36">
      <c r="A1209" s="374" t="s">
        <v>2138</v>
      </c>
      <c r="B1209" s="374">
        <v>12</v>
      </c>
      <c r="C1209" s="374" t="s">
        <v>688</v>
      </c>
      <c r="D1209" s="375" t="str">
        <f t="shared" si="249"/>
        <v>Cornerstone Estate12</v>
      </c>
      <c r="E1209" s="375" t="s">
        <v>2154</v>
      </c>
      <c r="F1209" s="375" t="s">
        <v>444</v>
      </c>
      <c r="G1209" s="375" t="s">
        <v>2140</v>
      </c>
      <c r="H1209" s="375" t="s">
        <v>2141</v>
      </c>
      <c r="I1209" s="63" t="s">
        <v>2142</v>
      </c>
      <c r="J1209" s="47">
        <f t="shared" si="247"/>
        <v>3740</v>
      </c>
      <c r="K1209" s="46" t="s">
        <v>10735</v>
      </c>
      <c r="L1209" s="47"/>
      <c r="M1209" s="47">
        <f t="shared" si="248"/>
        <v>1430.0000000000002</v>
      </c>
      <c r="N1209" s="47"/>
      <c r="O1209" s="47"/>
      <c r="P1209" s="47"/>
      <c r="Q1209" s="47"/>
      <c r="R1209" s="47"/>
      <c r="S1209" s="47" t="s">
        <v>463</v>
      </c>
      <c r="T1209" s="47"/>
      <c r="U1209" s="47"/>
      <c r="V1209" s="47"/>
      <c r="W1209" s="47"/>
      <c r="X1209" s="47"/>
      <c r="Y1209" s="47"/>
      <c r="Z1209" s="47">
        <f t="shared" si="250"/>
        <v>4620</v>
      </c>
      <c r="AA1209" s="47"/>
      <c r="AB1209" s="47"/>
      <c r="AC1209" s="47"/>
      <c r="AD1209" s="47"/>
      <c r="AE1209" s="47"/>
      <c r="AF1209" s="47"/>
      <c r="AG1209" s="47"/>
      <c r="AH1209" s="47" t="str">
        <f>IFERROR(_xlfn.XLOOKUP(Table6[[#This Row],[Suburb]],Table5[Travel Surcharge],Table5[$$]),"")</f>
        <v/>
      </c>
      <c r="AI1209" s="47" t="s">
        <v>2143</v>
      </c>
      <c r="AJ1209" s="47"/>
    </row>
    <row r="1210" spans="1:36">
      <c r="A1210" s="374" t="s">
        <v>2138</v>
      </c>
      <c r="B1210" s="374">
        <v>13</v>
      </c>
      <c r="C1210" s="374" t="s">
        <v>688</v>
      </c>
      <c r="D1210" s="375" t="str">
        <f t="shared" si="249"/>
        <v>Cornerstone Estate13</v>
      </c>
      <c r="E1210" s="375" t="s">
        <v>2155</v>
      </c>
      <c r="F1210" s="375" t="s">
        <v>444</v>
      </c>
      <c r="G1210" s="375" t="s">
        <v>2140</v>
      </c>
      <c r="H1210" s="375" t="s">
        <v>2141</v>
      </c>
      <c r="I1210" s="63" t="s">
        <v>2142</v>
      </c>
      <c r="J1210" s="47">
        <f t="shared" si="247"/>
        <v>3740</v>
      </c>
      <c r="K1210" s="46" t="s">
        <v>10735</v>
      </c>
      <c r="L1210" s="47"/>
      <c r="M1210" s="47">
        <f t="shared" si="248"/>
        <v>1430.0000000000002</v>
      </c>
      <c r="N1210" s="47"/>
      <c r="O1210" s="47"/>
      <c r="P1210" s="47"/>
      <c r="Q1210" s="47"/>
      <c r="R1210" s="47"/>
      <c r="S1210" s="47" t="s">
        <v>463</v>
      </c>
      <c r="T1210" s="47"/>
      <c r="U1210" s="47"/>
      <c r="V1210" s="47"/>
      <c r="W1210" s="47"/>
      <c r="X1210" s="47"/>
      <c r="Y1210" s="47"/>
      <c r="Z1210" s="47">
        <f t="shared" si="250"/>
        <v>4620</v>
      </c>
      <c r="AA1210" s="47"/>
      <c r="AB1210" s="47"/>
      <c r="AC1210" s="47"/>
      <c r="AD1210" s="47"/>
      <c r="AE1210" s="47"/>
      <c r="AF1210" s="47"/>
      <c r="AG1210" s="47"/>
      <c r="AH1210" s="47" t="str">
        <f>IFERROR(_xlfn.XLOOKUP(Table6[[#This Row],[Suburb]],Table5[Travel Surcharge],Table5[$$]),"")</f>
        <v/>
      </c>
      <c r="AI1210" s="47" t="s">
        <v>2143</v>
      </c>
      <c r="AJ1210" s="47"/>
    </row>
    <row r="1211" spans="1:36">
      <c r="A1211" s="374" t="s">
        <v>2138</v>
      </c>
      <c r="B1211" s="374">
        <v>14</v>
      </c>
      <c r="C1211" s="374" t="s">
        <v>688</v>
      </c>
      <c r="D1211" s="375" t="str">
        <f t="shared" si="249"/>
        <v>Cornerstone Estate14</v>
      </c>
      <c r="E1211" s="375" t="s">
        <v>2156</v>
      </c>
      <c r="F1211" s="375" t="s">
        <v>444</v>
      </c>
      <c r="G1211" s="375" t="s">
        <v>2140</v>
      </c>
      <c r="H1211" s="375" t="s">
        <v>2141</v>
      </c>
      <c r="I1211" s="63" t="s">
        <v>2142</v>
      </c>
      <c r="J1211" s="47">
        <f t="shared" si="247"/>
        <v>3740</v>
      </c>
      <c r="K1211" s="46" t="s">
        <v>10735</v>
      </c>
      <c r="L1211" s="47"/>
      <c r="M1211" s="47">
        <f t="shared" si="248"/>
        <v>1430.0000000000002</v>
      </c>
      <c r="N1211" s="47"/>
      <c r="O1211" s="47"/>
      <c r="P1211" s="47"/>
      <c r="Q1211" s="47"/>
      <c r="R1211" s="47"/>
      <c r="S1211" s="47" t="s">
        <v>463</v>
      </c>
      <c r="T1211" s="47"/>
      <c r="U1211" s="47"/>
      <c r="V1211" s="47"/>
      <c r="W1211" s="47"/>
      <c r="X1211" s="47"/>
      <c r="Y1211" s="47"/>
      <c r="Z1211" s="47">
        <f t="shared" si="250"/>
        <v>4620</v>
      </c>
      <c r="AA1211" s="47"/>
      <c r="AB1211" s="47"/>
      <c r="AC1211" s="47"/>
      <c r="AD1211" s="47"/>
      <c r="AE1211" s="47"/>
      <c r="AF1211" s="47"/>
      <c r="AG1211" s="47"/>
      <c r="AH1211" s="47" t="str">
        <f>IFERROR(_xlfn.XLOOKUP(Table6[[#This Row],[Suburb]],Table5[Travel Surcharge],Table5[$$]),"")</f>
        <v/>
      </c>
      <c r="AI1211" s="47" t="s">
        <v>2143</v>
      </c>
      <c r="AJ1211" s="47"/>
    </row>
    <row r="1212" spans="1:36">
      <c r="A1212" s="374" t="s">
        <v>2138</v>
      </c>
      <c r="B1212" s="374">
        <v>15</v>
      </c>
      <c r="C1212" s="374" t="s">
        <v>688</v>
      </c>
      <c r="D1212" s="375" t="str">
        <f t="shared" si="249"/>
        <v>Cornerstone Estate15</v>
      </c>
      <c r="E1212" s="375" t="s">
        <v>2157</v>
      </c>
      <c r="F1212" s="375" t="s">
        <v>444</v>
      </c>
      <c r="G1212" s="375" t="s">
        <v>2140</v>
      </c>
      <c r="H1212" s="375" t="s">
        <v>2141</v>
      </c>
      <c r="I1212" s="63" t="s">
        <v>2142</v>
      </c>
      <c r="J1212" s="47">
        <f t="shared" si="247"/>
        <v>3740</v>
      </c>
      <c r="K1212" s="46" t="s">
        <v>10735</v>
      </c>
      <c r="L1212" s="47"/>
      <c r="M1212" s="47">
        <f t="shared" si="248"/>
        <v>1430.0000000000002</v>
      </c>
      <c r="N1212" s="47"/>
      <c r="O1212" s="47"/>
      <c r="P1212" s="47"/>
      <c r="Q1212" s="47"/>
      <c r="R1212" s="47"/>
      <c r="S1212" s="47" t="s">
        <v>463</v>
      </c>
      <c r="T1212" s="47"/>
      <c r="U1212" s="47"/>
      <c r="V1212" s="47"/>
      <c r="W1212" s="47"/>
      <c r="X1212" s="47"/>
      <c r="Y1212" s="47"/>
      <c r="Z1212" s="47">
        <f t="shared" si="250"/>
        <v>4620</v>
      </c>
      <c r="AA1212" s="47"/>
      <c r="AB1212" s="47"/>
      <c r="AC1212" s="47"/>
      <c r="AD1212" s="47"/>
      <c r="AE1212" s="47"/>
      <c r="AF1212" s="47"/>
      <c r="AG1212" s="47"/>
      <c r="AH1212" s="47" t="str">
        <f>IFERROR(_xlfn.XLOOKUP(Table6[[#This Row],[Suburb]],Table5[Travel Surcharge],Table5[$$]),"")</f>
        <v/>
      </c>
      <c r="AI1212" s="47" t="s">
        <v>2143</v>
      </c>
      <c r="AJ1212" s="47"/>
    </row>
    <row r="1213" spans="1:36">
      <c r="A1213" s="374" t="s">
        <v>2138</v>
      </c>
      <c r="B1213" s="374">
        <v>16</v>
      </c>
      <c r="C1213" s="374" t="s">
        <v>688</v>
      </c>
      <c r="D1213" s="375" t="str">
        <f t="shared" si="249"/>
        <v>Cornerstone Estate16</v>
      </c>
      <c r="E1213" s="375" t="s">
        <v>2158</v>
      </c>
      <c r="F1213" s="375" t="s">
        <v>444</v>
      </c>
      <c r="G1213" s="375" t="s">
        <v>2140</v>
      </c>
      <c r="H1213" s="375" t="s">
        <v>2141</v>
      </c>
      <c r="I1213" s="63" t="s">
        <v>2142</v>
      </c>
      <c r="J1213" s="47">
        <f t="shared" si="247"/>
        <v>3740</v>
      </c>
      <c r="K1213" s="46" t="s">
        <v>10735</v>
      </c>
      <c r="L1213" s="47"/>
      <c r="M1213" s="47">
        <f t="shared" si="248"/>
        <v>1430.0000000000002</v>
      </c>
      <c r="N1213" s="47"/>
      <c r="O1213" s="47"/>
      <c r="P1213" s="47"/>
      <c r="Q1213" s="47"/>
      <c r="R1213" s="47"/>
      <c r="S1213" s="47" t="s">
        <v>463</v>
      </c>
      <c r="T1213" s="47"/>
      <c r="U1213" s="47"/>
      <c r="V1213" s="47"/>
      <c r="W1213" s="47"/>
      <c r="X1213" s="47"/>
      <c r="Y1213" s="47"/>
      <c r="Z1213" s="47">
        <f t="shared" si="250"/>
        <v>4620</v>
      </c>
      <c r="AA1213" s="47"/>
      <c r="AB1213" s="47"/>
      <c r="AC1213" s="47"/>
      <c r="AD1213" s="47"/>
      <c r="AE1213" s="47"/>
      <c r="AF1213" s="47"/>
      <c r="AG1213" s="47"/>
      <c r="AH1213" s="47" t="str">
        <f>IFERROR(_xlfn.XLOOKUP(Table6[[#This Row],[Suburb]],Table5[Travel Surcharge],Table5[$$]),"")</f>
        <v/>
      </c>
      <c r="AI1213" s="47" t="s">
        <v>2143</v>
      </c>
      <c r="AJ1213" s="47"/>
    </row>
    <row r="1214" spans="1:36">
      <c r="A1214" s="374" t="s">
        <v>2138</v>
      </c>
      <c r="B1214" s="374">
        <v>17</v>
      </c>
      <c r="C1214" s="374" t="s">
        <v>688</v>
      </c>
      <c r="D1214" s="375" t="str">
        <f t="shared" si="249"/>
        <v>Cornerstone Estate17</v>
      </c>
      <c r="E1214" s="375" t="s">
        <v>2158</v>
      </c>
      <c r="F1214" s="375" t="s">
        <v>444</v>
      </c>
      <c r="G1214" s="375" t="s">
        <v>2140</v>
      </c>
      <c r="H1214" s="375" t="s">
        <v>2141</v>
      </c>
      <c r="I1214" s="63" t="s">
        <v>2142</v>
      </c>
      <c r="J1214" s="47">
        <f t="shared" si="247"/>
        <v>3740</v>
      </c>
      <c r="K1214" s="46" t="s">
        <v>10735</v>
      </c>
      <c r="L1214" s="47"/>
      <c r="M1214" s="47">
        <f t="shared" si="248"/>
        <v>1430.0000000000002</v>
      </c>
      <c r="N1214" s="47"/>
      <c r="O1214" s="47"/>
      <c r="P1214" s="47"/>
      <c r="Q1214" s="47"/>
      <c r="R1214" s="47"/>
      <c r="S1214" s="47" t="s">
        <v>463</v>
      </c>
      <c r="T1214" s="47"/>
      <c r="U1214" s="47"/>
      <c r="V1214" s="47"/>
      <c r="W1214" s="47"/>
      <c r="X1214" s="47"/>
      <c r="Y1214" s="47"/>
      <c r="Z1214" s="47">
        <f t="shared" si="250"/>
        <v>4620</v>
      </c>
      <c r="AA1214" s="47"/>
      <c r="AB1214" s="47"/>
      <c r="AC1214" s="47"/>
      <c r="AD1214" s="47"/>
      <c r="AE1214" s="47"/>
      <c r="AF1214" s="47"/>
      <c r="AG1214" s="47"/>
      <c r="AH1214" s="47" t="str">
        <f>IFERROR(_xlfn.XLOOKUP(Table6[[#This Row],[Suburb]],Table5[Travel Surcharge],Table5[$$]),"")</f>
        <v/>
      </c>
      <c r="AI1214" s="47" t="s">
        <v>2143</v>
      </c>
      <c r="AJ1214" s="47"/>
    </row>
    <row r="1215" spans="1:36">
      <c r="A1215" s="374" t="s">
        <v>2138</v>
      </c>
      <c r="B1215" s="374">
        <v>18</v>
      </c>
      <c r="C1215" s="374" t="s">
        <v>688</v>
      </c>
      <c r="D1215" s="375" t="str">
        <f t="shared" si="249"/>
        <v>Cornerstone Estate18</v>
      </c>
      <c r="E1215" s="375" t="s">
        <v>2160</v>
      </c>
      <c r="F1215" s="375" t="s">
        <v>444</v>
      </c>
      <c r="G1215" s="375" t="s">
        <v>2140</v>
      </c>
      <c r="H1215" s="375" t="s">
        <v>2141</v>
      </c>
      <c r="I1215" s="63" t="s">
        <v>2142</v>
      </c>
      <c r="J1215" s="47">
        <f t="shared" si="247"/>
        <v>3740</v>
      </c>
      <c r="K1215" s="46" t="s">
        <v>10735</v>
      </c>
      <c r="L1215" s="47"/>
      <c r="M1215" s="47">
        <f t="shared" si="248"/>
        <v>1430.0000000000002</v>
      </c>
      <c r="N1215" s="47"/>
      <c r="O1215" s="47"/>
      <c r="P1215" s="47"/>
      <c r="Q1215" s="47"/>
      <c r="R1215" s="47"/>
      <c r="S1215" s="47" t="s">
        <v>463</v>
      </c>
      <c r="T1215" s="47"/>
      <c r="U1215" s="47"/>
      <c r="V1215" s="47"/>
      <c r="W1215" s="47"/>
      <c r="X1215" s="47"/>
      <c r="Y1215" s="47"/>
      <c r="Z1215" s="47">
        <f t="shared" si="250"/>
        <v>4620</v>
      </c>
      <c r="AA1215" s="47"/>
      <c r="AB1215" s="47"/>
      <c r="AC1215" s="47"/>
      <c r="AD1215" s="47"/>
      <c r="AE1215" s="47"/>
      <c r="AF1215" s="47"/>
      <c r="AG1215" s="47"/>
      <c r="AH1215" s="47" t="str">
        <f>IFERROR(_xlfn.XLOOKUP(Table6[[#This Row],[Suburb]],Table5[Travel Surcharge],Table5[$$]),"")</f>
        <v/>
      </c>
      <c r="AI1215" s="47" t="s">
        <v>2143</v>
      </c>
      <c r="AJ1215" s="47"/>
    </row>
    <row r="1216" spans="1:36">
      <c r="A1216" s="374" t="s">
        <v>2138</v>
      </c>
      <c r="B1216" s="374">
        <v>19</v>
      </c>
      <c r="C1216" s="374" t="s">
        <v>688</v>
      </c>
      <c r="D1216" s="375" t="str">
        <f t="shared" si="249"/>
        <v>Cornerstone Estate19</v>
      </c>
      <c r="E1216" s="375" t="s">
        <v>2161</v>
      </c>
      <c r="F1216" s="375" t="s">
        <v>444</v>
      </c>
      <c r="G1216" s="375" t="s">
        <v>2140</v>
      </c>
      <c r="H1216" s="375" t="s">
        <v>2141</v>
      </c>
      <c r="I1216" s="63" t="s">
        <v>2142</v>
      </c>
      <c r="J1216" s="47">
        <f t="shared" si="247"/>
        <v>3740</v>
      </c>
      <c r="K1216" s="46" t="s">
        <v>10735</v>
      </c>
      <c r="L1216" s="47"/>
      <c r="M1216" s="47">
        <f t="shared" si="248"/>
        <v>1430.0000000000002</v>
      </c>
      <c r="N1216" s="47"/>
      <c r="O1216" s="47"/>
      <c r="P1216" s="47"/>
      <c r="Q1216" s="47"/>
      <c r="R1216" s="47"/>
      <c r="S1216" s="47" t="s">
        <v>463</v>
      </c>
      <c r="T1216" s="47"/>
      <c r="U1216" s="47"/>
      <c r="V1216" s="47"/>
      <c r="W1216" s="47"/>
      <c r="X1216" s="47"/>
      <c r="Y1216" s="47"/>
      <c r="Z1216" s="47">
        <f t="shared" si="250"/>
        <v>4620</v>
      </c>
      <c r="AA1216" s="47"/>
      <c r="AB1216" s="47"/>
      <c r="AC1216" s="47"/>
      <c r="AD1216" s="47"/>
      <c r="AE1216" s="47"/>
      <c r="AF1216" s="47"/>
      <c r="AG1216" s="47"/>
      <c r="AH1216" s="47" t="str">
        <f>IFERROR(_xlfn.XLOOKUP(Table6[[#This Row],[Suburb]],Table5[Travel Surcharge],Table5[$$]),"")</f>
        <v/>
      </c>
      <c r="AI1216" s="47" t="s">
        <v>2143</v>
      </c>
      <c r="AJ1216" s="47"/>
    </row>
    <row r="1217" spans="1:36">
      <c r="A1217" s="374" t="s">
        <v>2138</v>
      </c>
      <c r="B1217" s="374">
        <v>19</v>
      </c>
      <c r="C1217" s="374" t="s">
        <v>688</v>
      </c>
      <c r="D1217" s="375" t="str">
        <f t="shared" si="249"/>
        <v>Cornerstone Estate19</v>
      </c>
      <c r="E1217" s="375" t="s">
        <v>2161</v>
      </c>
      <c r="F1217" s="375" t="s">
        <v>444</v>
      </c>
      <c r="G1217" s="375" t="s">
        <v>2140</v>
      </c>
      <c r="H1217" s="375" t="s">
        <v>2141</v>
      </c>
      <c r="I1217" s="63" t="s">
        <v>2142</v>
      </c>
      <c r="J1217" s="47">
        <v>3740</v>
      </c>
      <c r="K1217" s="46" t="s">
        <v>10735</v>
      </c>
      <c r="L1217" s="47"/>
      <c r="M1217" s="47">
        <v>1430.0000000000002</v>
      </c>
      <c r="N1217" s="47"/>
      <c r="O1217" s="47"/>
      <c r="P1217" s="47"/>
      <c r="Q1217" s="47"/>
      <c r="R1217" s="47"/>
      <c r="S1217" s="47" t="s">
        <v>463</v>
      </c>
      <c r="T1217" s="47"/>
      <c r="U1217" s="47"/>
      <c r="V1217" s="47"/>
      <c r="W1217" s="47"/>
      <c r="X1217" s="47"/>
      <c r="Y1217" s="47"/>
      <c r="Z1217" s="47">
        <v>4620</v>
      </c>
      <c r="AA1217" s="47"/>
      <c r="AB1217" s="47"/>
      <c r="AC1217" s="47"/>
      <c r="AD1217" s="47"/>
      <c r="AE1217" s="47"/>
      <c r="AF1217" s="47"/>
      <c r="AG1217" s="47"/>
      <c r="AH1217" s="47" t="str">
        <f>IFERROR(_xlfn.XLOOKUP(Table6[[#This Row],[Suburb]],Table5[Travel Surcharge],Table5[$$]),"")</f>
        <v/>
      </c>
      <c r="AI1217" s="47" t="s">
        <v>2143</v>
      </c>
      <c r="AJ1217" s="47"/>
    </row>
    <row r="1218" spans="1:36">
      <c r="A1218" s="374" t="s">
        <v>2138</v>
      </c>
      <c r="B1218" s="374">
        <v>20</v>
      </c>
      <c r="C1218" s="374" t="s">
        <v>688</v>
      </c>
      <c r="D1218" s="375" t="str">
        <f t="shared" si="249"/>
        <v>Cornerstone Estate20</v>
      </c>
      <c r="E1218" s="375" t="s">
        <v>2162</v>
      </c>
      <c r="F1218" s="375" t="s">
        <v>444</v>
      </c>
      <c r="G1218" s="375" t="s">
        <v>2140</v>
      </c>
      <c r="H1218" s="375" t="s">
        <v>2141</v>
      </c>
      <c r="I1218" s="63" t="s">
        <v>2142</v>
      </c>
      <c r="J1218" s="47">
        <f t="shared" ref="J1218:J1243" si="251">J$7</f>
        <v>3740</v>
      </c>
      <c r="K1218" s="46" t="s">
        <v>10735</v>
      </c>
      <c r="L1218" s="47"/>
      <c r="M1218" s="47">
        <f>M$7</f>
        <v>1430.0000000000002</v>
      </c>
      <c r="N1218" s="47"/>
      <c r="O1218" s="47"/>
      <c r="P1218" s="47"/>
      <c r="Q1218" s="47"/>
      <c r="R1218" s="47"/>
      <c r="S1218" s="47" t="s">
        <v>463</v>
      </c>
      <c r="T1218" s="47"/>
      <c r="U1218" s="47"/>
      <c r="V1218" s="47"/>
      <c r="W1218" s="47"/>
      <c r="X1218" s="47"/>
      <c r="Y1218" s="47"/>
      <c r="Z1218" s="47">
        <f t="shared" ref="Z1218:Z1257" si="252">Z$7</f>
        <v>4620</v>
      </c>
      <c r="AA1218" s="47"/>
      <c r="AB1218" s="47"/>
      <c r="AC1218" s="47"/>
      <c r="AD1218" s="47"/>
      <c r="AE1218" s="47"/>
      <c r="AF1218" s="47"/>
      <c r="AG1218" s="47"/>
      <c r="AH1218" s="47" t="str">
        <f>IFERROR(_xlfn.XLOOKUP(Table6[[#This Row],[Suburb]],Table5[Travel Surcharge],Table5[$$]),"")</f>
        <v/>
      </c>
      <c r="AI1218" s="47" t="s">
        <v>2143</v>
      </c>
      <c r="AJ1218" s="47"/>
    </row>
    <row r="1219" spans="1:36">
      <c r="A1219" s="374" t="s">
        <v>2138</v>
      </c>
      <c r="B1219" s="374">
        <v>21</v>
      </c>
      <c r="C1219" s="374" t="s">
        <v>688</v>
      </c>
      <c r="D1219" s="375" t="str">
        <f t="shared" si="249"/>
        <v>Cornerstone Estate21</v>
      </c>
      <c r="E1219" s="375" t="s">
        <v>10959</v>
      </c>
      <c r="F1219" s="375" t="s">
        <v>444</v>
      </c>
      <c r="G1219" s="375" t="s">
        <v>2140</v>
      </c>
      <c r="H1219" s="375" t="s">
        <v>2141</v>
      </c>
      <c r="I1219" s="63" t="s">
        <v>2142</v>
      </c>
      <c r="J1219" s="47">
        <v>3740</v>
      </c>
      <c r="K1219" s="46" t="s">
        <v>10735</v>
      </c>
      <c r="L1219" s="47"/>
      <c r="M1219" s="47">
        <v>1430.0000000000002</v>
      </c>
      <c r="N1219" s="47"/>
      <c r="O1219" s="47"/>
      <c r="P1219" s="47"/>
      <c r="Q1219" s="47"/>
      <c r="R1219" s="47"/>
      <c r="S1219" s="47" t="s">
        <v>463</v>
      </c>
      <c r="T1219" s="47"/>
      <c r="U1219" s="47"/>
      <c r="V1219" s="47"/>
      <c r="W1219" s="47"/>
      <c r="X1219" s="47"/>
      <c r="Y1219" s="47"/>
      <c r="Z1219" s="47">
        <v>4620</v>
      </c>
      <c r="AA1219" s="47"/>
      <c r="AB1219" s="47"/>
      <c r="AC1219" s="47"/>
      <c r="AD1219" s="47"/>
      <c r="AE1219" s="47"/>
      <c r="AF1219" s="47"/>
      <c r="AG1219" s="47"/>
      <c r="AH1219" s="47" t="s">
        <v>9976</v>
      </c>
      <c r="AI1219" s="47" t="s">
        <v>2143</v>
      </c>
      <c r="AJ1219" s="47"/>
    </row>
    <row r="1220" spans="1:36">
      <c r="A1220" s="157" t="s">
        <v>2138</v>
      </c>
      <c r="B1220" s="157">
        <v>22</v>
      </c>
      <c r="C1220" s="157" t="s">
        <v>688</v>
      </c>
      <c r="D1220" s="157" t="str">
        <f t="shared" si="249"/>
        <v>Cornerstone Estate22</v>
      </c>
      <c r="E1220" s="157" t="s">
        <v>8297</v>
      </c>
      <c r="F1220" s="157" t="s">
        <v>444</v>
      </c>
      <c r="G1220" s="157" t="s">
        <v>2140</v>
      </c>
      <c r="H1220" s="157" t="s">
        <v>2141</v>
      </c>
      <c r="I1220" s="158" t="s">
        <v>2142</v>
      </c>
      <c r="J1220" s="47">
        <f t="shared" si="251"/>
        <v>3740</v>
      </c>
      <c r="K1220" s="46" t="s">
        <v>10735</v>
      </c>
      <c r="L1220" s="47"/>
      <c r="M1220" s="47">
        <f>M$7</f>
        <v>1430.0000000000002</v>
      </c>
      <c r="N1220" s="47"/>
      <c r="O1220" s="47"/>
      <c r="P1220" s="47"/>
      <c r="Q1220" s="47"/>
      <c r="R1220" s="47"/>
      <c r="S1220" s="47" t="s">
        <v>463</v>
      </c>
      <c r="T1220" s="47"/>
      <c r="U1220" s="47"/>
      <c r="V1220" s="47"/>
      <c r="W1220" s="47"/>
      <c r="X1220" s="47"/>
      <c r="Y1220" s="47"/>
      <c r="Z1220" s="47">
        <f t="shared" si="252"/>
        <v>4620</v>
      </c>
      <c r="AA1220" s="47"/>
      <c r="AB1220" s="47"/>
      <c r="AC1220" s="47"/>
      <c r="AD1220" s="47"/>
      <c r="AE1220" s="47"/>
      <c r="AF1220" s="47"/>
      <c r="AG1220" s="47"/>
      <c r="AH1220" s="47" t="str">
        <f>IFERROR(_xlfn.XLOOKUP(Table6[[#This Row],[Suburb]],Table5[Travel Surcharge],Table5[$$]),"")</f>
        <v/>
      </c>
      <c r="AI1220" s="47" t="s">
        <v>2143</v>
      </c>
      <c r="AJ1220" s="47"/>
    </row>
    <row r="1221" spans="1:36">
      <c r="A1221" s="374" t="s">
        <v>2138</v>
      </c>
      <c r="B1221" s="374" t="s">
        <v>1458</v>
      </c>
      <c r="C1221" s="374" t="s">
        <v>688</v>
      </c>
      <c r="D1221" s="375" t="str">
        <f t="shared" si="249"/>
        <v>Cornerstone Estate16B</v>
      </c>
      <c r="E1221" s="375" t="s">
        <v>2159</v>
      </c>
      <c r="F1221" s="375" t="s">
        <v>444</v>
      </c>
      <c r="G1221" s="375" t="s">
        <v>2140</v>
      </c>
      <c r="H1221" s="375" t="s">
        <v>2141</v>
      </c>
      <c r="I1221" s="63" t="s">
        <v>2142</v>
      </c>
      <c r="J1221" s="47">
        <f t="shared" si="251"/>
        <v>3740</v>
      </c>
      <c r="K1221" s="46" t="s">
        <v>10735</v>
      </c>
      <c r="L1221" s="47"/>
      <c r="M1221" s="47">
        <f>M$7</f>
        <v>1430.0000000000002</v>
      </c>
      <c r="N1221" s="47"/>
      <c r="O1221" s="47"/>
      <c r="P1221" s="47"/>
      <c r="Q1221" s="47"/>
      <c r="R1221" s="47"/>
      <c r="S1221" s="47" t="s">
        <v>463</v>
      </c>
      <c r="T1221" s="47"/>
      <c r="U1221" s="47"/>
      <c r="V1221" s="47"/>
      <c r="W1221" s="47"/>
      <c r="X1221" s="47"/>
      <c r="Y1221" s="47"/>
      <c r="Z1221" s="47">
        <f t="shared" si="252"/>
        <v>4620</v>
      </c>
      <c r="AA1221" s="47"/>
      <c r="AB1221" s="47"/>
      <c r="AC1221" s="47"/>
      <c r="AD1221" s="47"/>
      <c r="AE1221" s="47"/>
      <c r="AF1221" s="47"/>
      <c r="AG1221" s="47"/>
      <c r="AH1221" s="47" t="str">
        <f>IFERROR(_xlfn.XLOOKUP(Table6[[#This Row],[Suburb]],Table5[Travel Surcharge],Table5[$$]),"")</f>
        <v/>
      </c>
      <c r="AI1221" s="47" t="s">
        <v>2143</v>
      </c>
      <c r="AJ1221" s="47"/>
    </row>
    <row r="1222" spans="1:36">
      <c r="A1222" s="374" t="s">
        <v>2138</v>
      </c>
      <c r="B1222" s="374" t="s">
        <v>501</v>
      </c>
      <c r="C1222" s="374" t="s">
        <v>688</v>
      </c>
      <c r="D1222" s="375" t="str">
        <f t="shared" si="249"/>
        <v>Cornerstone Estate1A</v>
      </c>
      <c r="E1222" s="375" t="s">
        <v>2163</v>
      </c>
      <c r="F1222" s="375" t="s">
        <v>444</v>
      </c>
      <c r="G1222" s="375" t="s">
        <v>2140</v>
      </c>
      <c r="H1222" s="375" t="s">
        <v>2141</v>
      </c>
      <c r="I1222" s="63" t="s">
        <v>2142</v>
      </c>
      <c r="J1222" s="47">
        <f t="shared" si="251"/>
        <v>3740</v>
      </c>
      <c r="K1222" s="46" t="s">
        <v>10735</v>
      </c>
      <c r="L1222" s="47"/>
      <c r="M1222" s="47">
        <f>M$7</f>
        <v>1430.0000000000002</v>
      </c>
      <c r="N1222" s="47"/>
      <c r="O1222" s="47"/>
      <c r="P1222" s="47"/>
      <c r="Q1222" s="47"/>
      <c r="R1222" s="47"/>
      <c r="S1222" s="47" t="s">
        <v>463</v>
      </c>
      <c r="T1222" s="47"/>
      <c r="U1222" s="47"/>
      <c r="V1222" s="47"/>
      <c r="W1222" s="47"/>
      <c r="X1222" s="47"/>
      <c r="Y1222" s="47"/>
      <c r="Z1222" s="47">
        <f t="shared" si="252"/>
        <v>4620</v>
      </c>
      <c r="AA1222" s="47"/>
      <c r="AB1222" s="47"/>
      <c r="AC1222" s="47"/>
      <c r="AD1222" s="47"/>
      <c r="AE1222" s="47"/>
      <c r="AF1222" s="47"/>
      <c r="AG1222" s="47"/>
      <c r="AH1222" s="47" t="str">
        <f>IFERROR(_xlfn.XLOOKUP(Table6[[#This Row],[Suburb]],Table5[Travel Surcharge],Table5[$$]),"")</f>
        <v/>
      </c>
      <c r="AI1222" s="47" t="s">
        <v>2143</v>
      </c>
      <c r="AJ1222" s="47"/>
    </row>
    <row r="1223" spans="1:36">
      <c r="A1223" s="157" t="s">
        <v>7931</v>
      </c>
      <c r="B1223" s="157">
        <v>1</v>
      </c>
      <c r="C1223" s="157" t="s">
        <v>1660</v>
      </c>
      <c r="D1223" s="157" t="str">
        <f t="shared" si="249"/>
        <v>Creekbank1</v>
      </c>
      <c r="E1223" s="157" t="s">
        <v>7959</v>
      </c>
      <c r="F1223" s="157"/>
      <c r="G1223" s="157"/>
      <c r="H1223" s="157"/>
      <c r="I1223" s="158"/>
      <c r="J1223" s="47">
        <f t="shared" si="251"/>
        <v>3740</v>
      </c>
      <c r="K1223" s="46" t="s">
        <v>10735</v>
      </c>
      <c r="L1223" s="47">
        <f>$L$7</f>
        <v>1210</v>
      </c>
      <c r="M1223" s="47"/>
      <c r="N1223" s="47"/>
      <c r="O1223" s="47"/>
      <c r="P1223" s="47"/>
      <c r="Q1223" s="47"/>
      <c r="R1223" s="47"/>
      <c r="S1223" s="47"/>
      <c r="T1223" s="47"/>
      <c r="U1223" s="47">
        <f t="shared" ref="U1223:U1243" si="253">U$2</f>
        <v>430</v>
      </c>
      <c r="V1223" s="47"/>
      <c r="W1223" s="47"/>
      <c r="X1223" s="47">
        <f>$X$7</f>
        <v>3000</v>
      </c>
      <c r="Y1223" s="47"/>
      <c r="Z1223" s="47">
        <f t="shared" si="252"/>
        <v>4620</v>
      </c>
      <c r="AA1223" s="47">
        <f>$AA$7</f>
        <v>1400</v>
      </c>
      <c r="AB1223" s="47"/>
      <c r="AC1223" s="47"/>
      <c r="AD1223" s="47"/>
      <c r="AE1223" s="47"/>
      <c r="AF1223" s="47">
        <f t="shared" ref="AF1223:AF1243" si="254">AF$7</f>
        <v>1485</v>
      </c>
      <c r="AG1223" s="47"/>
      <c r="AH1223" s="47" t="str">
        <f>IFERROR(_xlfn.XLOOKUP(Table6[[#This Row],[Suburb]],Table5[Travel Surcharge],Table5[$$]),"")</f>
        <v/>
      </c>
      <c r="AI1223" s="47"/>
      <c r="AJ1223" s="47"/>
    </row>
    <row r="1224" spans="1:36">
      <c r="A1224" s="157" t="s">
        <v>7931</v>
      </c>
      <c r="B1224" s="157">
        <v>2</v>
      </c>
      <c r="C1224" s="157" t="s">
        <v>1660</v>
      </c>
      <c r="D1224" s="157" t="str">
        <f t="shared" si="249"/>
        <v>Creekbank2</v>
      </c>
      <c r="E1224" s="157" t="s">
        <v>7932</v>
      </c>
      <c r="F1224" s="157"/>
      <c r="G1224" s="157"/>
      <c r="H1224" s="157"/>
      <c r="I1224" s="158"/>
      <c r="J1224" s="47">
        <f t="shared" si="251"/>
        <v>3740</v>
      </c>
      <c r="K1224" s="46" t="s">
        <v>10735</v>
      </c>
      <c r="L1224" s="47">
        <f>$L$7</f>
        <v>1210</v>
      </c>
      <c r="M1224" s="47"/>
      <c r="N1224" s="47"/>
      <c r="O1224" s="47"/>
      <c r="P1224" s="47"/>
      <c r="Q1224" s="47"/>
      <c r="R1224" s="47"/>
      <c r="S1224" s="47"/>
      <c r="T1224" s="47"/>
      <c r="U1224" s="47">
        <f t="shared" si="253"/>
        <v>430</v>
      </c>
      <c r="V1224" s="47"/>
      <c r="W1224" s="47"/>
      <c r="X1224" s="47">
        <f>$X$7</f>
        <v>3000</v>
      </c>
      <c r="Y1224" s="47"/>
      <c r="Z1224" s="47">
        <f t="shared" si="252"/>
        <v>4620</v>
      </c>
      <c r="AA1224" s="47">
        <f>$AA$7</f>
        <v>1400</v>
      </c>
      <c r="AB1224" s="47"/>
      <c r="AC1224" s="47"/>
      <c r="AD1224" s="47"/>
      <c r="AE1224" s="47"/>
      <c r="AF1224" s="47">
        <f t="shared" si="254"/>
        <v>1485</v>
      </c>
      <c r="AG1224" s="47"/>
      <c r="AH1224" s="47" t="str">
        <f>IFERROR(_xlfn.XLOOKUP(Table6[[#This Row],[Suburb]],Table5[Travel Surcharge],Table5[$$]),"")</f>
        <v/>
      </c>
      <c r="AI1224" s="47"/>
      <c r="AJ1224" s="47"/>
    </row>
    <row r="1225" spans="1:36">
      <c r="A1225" s="374" t="s">
        <v>7931</v>
      </c>
      <c r="B1225" s="374">
        <v>3</v>
      </c>
      <c r="C1225" s="374" t="s">
        <v>1660</v>
      </c>
      <c r="D1225" s="375" t="str">
        <f t="shared" si="249"/>
        <v>Creekbank3</v>
      </c>
      <c r="E1225" s="375" t="s">
        <v>10470</v>
      </c>
      <c r="F1225" s="375"/>
      <c r="G1225" s="375"/>
      <c r="H1225" s="375"/>
      <c r="I1225" s="63"/>
      <c r="J1225" s="47">
        <v>3740</v>
      </c>
      <c r="K1225" s="46" t="s">
        <v>10735</v>
      </c>
      <c r="L1225" s="47">
        <v>1210</v>
      </c>
      <c r="M1225" s="47"/>
      <c r="N1225" s="47"/>
      <c r="O1225" s="47"/>
      <c r="P1225" s="47"/>
      <c r="Q1225" s="47"/>
      <c r="R1225" s="47"/>
      <c r="S1225" s="47"/>
      <c r="T1225" s="47"/>
      <c r="U1225" s="47">
        <v>540</v>
      </c>
      <c r="V1225" s="47"/>
      <c r="W1225" s="47"/>
      <c r="X1225" s="47">
        <v>3000</v>
      </c>
      <c r="Y1225" s="47"/>
      <c r="Z1225" s="47">
        <v>4620</v>
      </c>
      <c r="AA1225" s="47">
        <v>1400</v>
      </c>
      <c r="AB1225" s="47"/>
      <c r="AC1225" s="47"/>
      <c r="AD1225" s="47"/>
      <c r="AE1225" s="47"/>
      <c r="AF1225" s="47">
        <v>1485</v>
      </c>
      <c r="AG1225" s="47"/>
      <c r="AH1225" s="47" t="s">
        <v>9976</v>
      </c>
      <c r="AI1225" s="47"/>
      <c r="AJ1225" s="47"/>
    </row>
    <row r="1226" spans="1:36">
      <c r="A1226" s="374" t="s">
        <v>7931</v>
      </c>
      <c r="B1226" s="374">
        <v>4</v>
      </c>
      <c r="C1226" s="374" t="s">
        <v>1660</v>
      </c>
      <c r="D1226" s="375" t="str">
        <f t="shared" si="249"/>
        <v>Creekbank4</v>
      </c>
      <c r="E1226" s="375" t="s">
        <v>10747</v>
      </c>
      <c r="F1226" s="375"/>
      <c r="G1226" s="375"/>
      <c r="H1226" s="375"/>
      <c r="I1226" s="63"/>
      <c r="J1226" s="47">
        <v>3740</v>
      </c>
      <c r="K1226" s="46" t="s">
        <v>10735</v>
      </c>
      <c r="L1226" s="47">
        <v>1210</v>
      </c>
      <c r="M1226" s="47"/>
      <c r="N1226" s="47"/>
      <c r="O1226" s="47"/>
      <c r="P1226" s="47"/>
      <c r="Q1226" s="47"/>
      <c r="R1226" s="47"/>
      <c r="S1226" s="47"/>
      <c r="T1226" s="47"/>
      <c r="U1226" s="47">
        <v>540</v>
      </c>
      <c r="V1226" s="47"/>
      <c r="W1226" s="47"/>
      <c r="X1226" s="47">
        <v>3000</v>
      </c>
      <c r="Y1226" s="47"/>
      <c r="Z1226" s="47">
        <v>4620</v>
      </c>
      <c r="AA1226" s="47">
        <v>1400</v>
      </c>
      <c r="AB1226" s="47"/>
      <c r="AC1226" s="47"/>
      <c r="AD1226" s="47"/>
      <c r="AE1226" s="47"/>
      <c r="AF1226" s="47">
        <v>1485</v>
      </c>
      <c r="AG1226" s="47"/>
      <c r="AH1226" s="47" t="s">
        <v>9976</v>
      </c>
      <c r="AI1226" s="47"/>
      <c r="AJ1226" s="47"/>
    </row>
    <row r="1227" spans="1:36">
      <c r="A1227" s="374" t="s">
        <v>2164</v>
      </c>
      <c r="B1227" s="374">
        <v>1</v>
      </c>
      <c r="C1227" s="374" t="s">
        <v>502</v>
      </c>
      <c r="D1227" s="375" t="str">
        <f t="shared" si="249"/>
        <v>Creekstone Estate1</v>
      </c>
      <c r="E1227" s="375" t="s">
        <v>2165</v>
      </c>
      <c r="F1227" s="375"/>
      <c r="G1227" s="375" t="s">
        <v>2166</v>
      </c>
      <c r="H1227" s="375" t="s">
        <v>2167</v>
      </c>
      <c r="I1227" s="63" t="s">
        <v>2168</v>
      </c>
      <c r="J1227" s="47">
        <f t="shared" si="251"/>
        <v>3740</v>
      </c>
      <c r="K1227" s="46" t="s">
        <v>10735</v>
      </c>
      <c r="L1227" s="47" t="s">
        <v>2169</v>
      </c>
      <c r="M1227" s="47"/>
      <c r="N1227" s="47"/>
      <c r="O1227" s="47"/>
      <c r="P1227" s="47"/>
      <c r="Q1227" s="47"/>
      <c r="R1227" s="47"/>
      <c r="S1227" s="47"/>
      <c r="T1227" s="47"/>
      <c r="U1227" s="47">
        <f t="shared" si="253"/>
        <v>430</v>
      </c>
      <c r="V1227" s="47"/>
      <c r="W1227" s="47"/>
      <c r="X1227" s="47"/>
      <c r="Y1227" s="47"/>
      <c r="Z1227" s="47">
        <f t="shared" si="252"/>
        <v>4620</v>
      </c>
      <c r="AA1227" s="47"/>
      <c r="AB1227" s="47"/>
      <c r="AC1227" s="47"/>
      <c r="AD1227" s="47"/>
      <c r="AE1227" s="47"/>
      <c r="AF1227" s="47">
        <f t="shared" si="254"/>
        <v>1485</v>
      </c>
      <c r="AG1227" s="47"/>
      <c r="AH1227" s="47" t="str">
        <f>IFERROR(_xlfn.XLOOKUP(Table6[[#This Row],[Suburb]],Table5[Travel Surcharge],Table5[$$]),"")</f>
        <v/>
      </c>
      <c r="AI1227" s="47">
        <f t="shared" ref="AI1227:AI1243" si="255">AI$7</f>
        <v>1650.0000000000002</v>
      </c>
      <c r="AJ1227" s="47"/>
    </row>
    <row r="1228" spans="1:36">
      <c r="A1228" s="374" t="s">
        <v>2164</v>
      </c>
      <c r="B1228" s="374">
        <v>2</v>
      </c>
      <c r="C1228" s="374" t="s">
        <v>502</v>
      </c>
      <c r="D1228" s="375" t="str">
        <f t="shared" si="249"/>
        <v>Creekstone Estate2</v>
      </c>
      <c r="E1228" s="375" t="s">
        <v>2170</v>
      </c>
      <c r="F1228" s="375"/>
      <c r="G1228" s="375" t="s">
        <v>2166</v>
      </c>
      <c r="H1228" s="375" t="s">
        <v>2167</v>
      </c>
      <c r="I1228" s="63" t="s">
        <v>2168</v>
      </c>
      <c r="J1228" s="47">
        <f t="shared" si="251"/>
        <v>3740</v>
      </c>
      <c r="K1228" s="46" t="s">
        <v>10735</v>
      </c>
      <c r="L1228" s="47" t="s">
        <v>2169</v>
      </c>
      <c r="M1228" s="47"/>
      <c r="N1228" s="47"/>
      <c r="O1228" s="47"/>
      <c r="P1228" s="47"/>
      <c r="Q1228" s="47"/>
      <c r="R1228" s="47"/>
      <c r="S1228" s="47"/>
      <c r="T1228" s="47"/>
      <c r="U1228" s="47">
        <f t="shared" si="253"/>
        <v>430</v>
      </c>
      <c r="V1228" s="47"/>
      <c r="W1228" s="47"/>
      <c r="X1228" s="47"/>
      <c r="Y1228" s="47"/>
      <c r="Z1228" s="47">
        <f t="shared" si="252"/>
        <v>4620</v>
      </c>
      <c r="AA1228" s="47"/>
      <c r="AB1228" s="47"/>
      <c r="AC1228" s="47"/>
      <c r="AD1228" s="47"/>
      <c r="AE1228" s="47"/>
      <c r="AF1228" s="47">
        <f t="shared" si="254"/>
        <v>1485</v>
      </c>
      <c r="AG1228" s="47"/>
      <c r="AH1228" s="47" t="str">
        <f>IFERROR(_xlfn.XLOOKUP(Table6[[#This Row],[Suburb]],Table5[Travel Surcharge],Table5[$$]),"")</f>
        <v/>
      </c>
      <c r="AI1228" s="47">
        <f t="shared" si="255"/>
        <v>1650.0000000000002</v>
      </c>
      <c r="AJ1228" s="47"/>
    </row>
    <row r="1229" spans="1:36">
      <c r="A1229" s="374" t="s">
        <v>2164</v>
      </c>
      <c r="B1229" s="374">
        <v>3</v>
      </c>
      <c r="C1229" s="374" t="s">
        <v>502</v>
      </c>
      <c r="D1229" s="375" t="str">
        <f t="shared" si="249"/>
        <v>Creekstone Estate3</v>
      </c>
      <c r="E1229" s="375" t="s">
        <v>2171</v>
      </c>
      <c r="F1229" s="375"/>
      <c r="G1229" s="375" t="s">
        <v>2166</v>
      </c>
      <c r="H1229" s="375" t="s">
        <v>2167</v>
      </c>
      <c r="I1229" s="63" t="s">
        <v>2168</v>
      </c>
      <c r="J1229" s="47">
        <f t="shared" si="251"/>
        <v>3740</v>
      </c>
      <c r="K1229" s="46" t="s">
        <v>10735</v>
      </c>
      <c r="L1229" s="47" t="s">
        <v>2169</v>
      </c>
      <c r="M1229" s="47"/>
      <c r="N1229" s="47"/>
      <c r="O1229" s="47"/>
      <c r="P1229" s="47"/>
      <c r="Q1229" s="47"/>
      <c r="R1229" s="47"/>
      <c r="S1229" s="47"/>
      <c r="T1229" s="47"/>
      <c r="U1229" s="47">
        <f t="shared" si="253"/>
        <v>430</v>
      </c>
      <c r="V1229" s="47"/>
      <c r="W1229" s="47"/>
      <c r="X1229" s="47"/>
      <c r="Y1229" s="47"/>
      <c r="Z1229" s="47">
        <f t="shared" si="252"/>
        <v>4620</v>
      </c>
      <c r="AA1229" s="47"/>
      <c r="AB1229" s="47"/>
      <c r="AC1229" s="47"/>
      <c r="AD1229" s="47"/>
      <c r="AE1229" s="47"/>
      <c r="AF1229" s="47">
        <f t="shared" si="254"/>
        <v>1485</v>
      </c>
      <c r="AG1229" s="47"/>
      <c r="AH1229" s="47" t="str">
        <f>IFERROR(_xlfn.XLOOKUP(Table6[[#This Row],[Suburb]],Table5[Travel Surcharge],Table5[$$]),"")</f>
        <v/>
      </c>
      <c r="AI1229" s="47">
        <f t="shared" si="255"/>
        <v>1650.0000000000002</v>
      </c>
      <c r="AJ1229" s="47"/>
    </row>
    <row r="1230" spans="1:36">
      <c r="A1230" s="374" t="s">
        <v>2164</v>
      </c>
      <c r="B1230" s="374">
        <v>4</v>
      </c>
      <c r="C1230" s="374" t="s">
        <v>502</v>
      </c>
      <c r="D1230" s="375" t="str">
        <f t="shared" si="249"/>
        <v>Creekstone Estate4</v>
      </c>
      <c r="E1230" s="375" t="s">
        <v>8951</v>
      </c>
      <c r="F1230" s="375"/>
      <c r="G1230" s="375" t="s">
        <v>2166</v>
      </c>
      <c r="H1230" s="375" t="s">
        <v>2167</v>
      </c>
      <c r="I1230" s="63" t="s">
        <v>2168</v>
      </c>
      <c r="J1230" s="47">
        <f t="shared" si="251"/>
        <v>3740</v>
      </c>
      <c r="K1230" s="46" t="s">
        <v>10735</v>
      </c>
      <c r="L1230" s="47" t="s">
        <v>2169</v>
      </c>
      <c r="M1230" s="47"/>
      <c r="N1230" s="47"/>
      <c r="O1230" s="47">
        <f>O$7</f>
        <v>4950</v>
      </c>
      <c r="P1230" s="47"/>
      <c r="Q1230" s="47"/>
      <c r="R1230" s="47"/>
      <c r="S1230" s="47"/>
      <c r="T1230" s="47"/>
      <c r="U1230" s="47">
        <f t="shared" si="253"/>
        <v>430</v>
      </c>
      <c r="V1230" s="47"/>
      <c r="W1230" s="47"/>
      <c r="X1230" s="47"/>
      <c r="Y1230" s="47"/>
      <c r="Z1230" s="47">
        <f t="shared" si="252"/>
        <v>4620</v>
      </c>
      <c r="AA1230" s="47"/>
      <c r="AB1230" s="47"/>
      <c r="AC1230" s="47"/>
      <c r="AD1230" s="47"/>
      <c r="AE1230" s="47"/>
      <c r="AF1230" s="47">
        <f t="shared" si="254"/>
        <v>1485</v>
      </c>
      <c r="AG1230" s="47"/>
      <c r="AH1230" s="47" t="str">
        <f>IFERROR(_xlfn.XLOOKUP(Table6[[#This Row],[Suburb]],Table5[Travel Surcharge],Table5[$$]),"")</f>
        <v/>
      </c>
      <c r="AI1230" s="47">
        <f t="shared" si="255"/>
        <v>1650.0000000000002</v>
      </c>
      <c r="AJ1230" s="47"/>
    </row>
    <row r="1231" spans="1:36">
      <c r="A1231" s="157" t="s">
        <v>2164</v>
      </c>
      <c r="B1231" s="157">
        <v>5</v>
      </c>
      <c r="C1231" s="157" t="s">
        <v>502</v>
      </c>
      <c r="D1231" s="375" t="str">
        <f t="shared" si="249"/>
        <v>Creekstone Estate5</v>
      </c>
      <c r="E1231" s="375" t="s">
        <v>8000</v>
      </c>
      <c r="F1231" s="375"/>
      <c r="G1231" s="375" t="s">
        <v>2166</v>
      </c>
      <c r="H1231" s="375" t="s">
        <v>2167</v>
      </c>
      <c r="I1231" s="63" t="s">
        <v>2168</v>
      </c>
      <c r="J1231" s="47">
        <f t="shared" si="251"/>
        <v>3740</v>
      </c>
      <c r="K1231" s="46" t="s">
        <v>10735</v>
      </c>
      <c r="L1231" s="47" t="s">
        <v>2169</v>
      </c>
      <c r="M1231" s="47"/>
      <c r="N1231" s="47"/>
      <c r="O1231" s="47"/>
      <c r="P1231" s="47"/>
      <c r="Q1231" s="47"/>
      <c r="R1231" s="47"/>
      <c r="S1231" s="47"/>
      <c r="T1231" s="47"/>
      <c r="U1231" s="47">
        <f t="shared" si="253"/>
        <v>430</v>
      </c>
      <c r="V1231" s="47"/>
      <c r="W1231" s="47"/>
      <c r="X1231" s="47"/>
      <c r="Y1231" s="47"/>
      <c r="Z1231" s="47">
        <f t="shared" si="252"/>
        <v>4620</v>
      </c>
      <c r="AA1231" s="47"/>
      <c r="AB1231" s="47"/>
      <c r="AC1231" s="47"/>
      <c r="AD1231" s="47"/>
      <c r="AE1231" s="47"/>
      <c r="AF1231" s="47">
        <f t="shared" si="254"/>
        <v>1485</v>
      </c>
      <c r="AG1231" s="47"/>
      <c r="AH1231" s="47" t="str">
        <f>IFERROR(_xlfn.XLOOKUP(Table6[[#This Row],[Suburb]],Table5[Travel Surcharge],Table5[$$]),"")</f>
        <v/>
      </c>
      <c r="AI1231" s="47">
        <f t="shared" si="255"/>
        <v>1650.0000000000002</v>
      </c>
      <c r="AJ1231" s="47"/>
    </row>
    <row r="1232" spans="1:36">
      <c r="A1232" s="157" t="s">
        <v>2164</v>
      </c>
      <c r="B1232" s="157">
        <v>6</v>
      </c>
      <c r="C1232" s="157" t="s">
        <v>502</v>
      </c>
      <c r="D1232" s="375" t="str">
        <f t="shared" si="249"/>
        <v>Creekstone Estate6</v>
      </c>
      <c r="E1232" s="375" t="s">
        <v>8069</v>
      </c>
      <c r="F1232" s="375"/>
      <c r="G1232" s="375" t="s">
        <v>2166</v>
      </c>
      <c r="H1232" s="375" t="s">
        <v>2167</v>
      </c>
      <c r="I1232" s="63" t="s">
        <v>2168</v>
      </c>
      <c r="J1232" s="47">
        <f t="shared" si="251"/>
        <v>3740</v>
      </c>
      <c r="K1232" s="46" t="s">
        <v>10735</v>
      </c>
      <c r="L1232" s="47" t="s">
        <v>2169</v>
      </c>
      <c r="M1232" s="47"/>
      <c r="N1232" s="47"/>
      <c r="O1232" s="47"/>
      <c r="P1232" s="47"/>
      <c r="Q1232" s="47"/>
      <c r="R1232" s="47"/>
      <c r="S1232" s="47"/>
      <c r="T1232" s="47"/>
      <c r="U1232" s="47">
        <f t="shared" si="253"/>
        <v>430</v>
      </c>
      <c r="V1232" s="47"/>
      <c r="W1232" s="47"/>
      <c r="X1232" s="47"/>
      <c r="Y1232" s="47"/>
      <c r="Z1232" s="47">
        <f t="shared" si="252"/>
        <v>4620</v>
      </c>
      <c r="AA1232" s="47"/>
      <c r="AB1232" s="47"/>
      <c r="AC1232" s="47"/>
      <c r="AD1232" s="47"/>
      <c r="AE1232" s="47"/>
      <c r="AF1232" s="47">
        <f t="shared" si="254"/>
        <v>1485</v>
      </c>
      <c r="AG1232" s="47"/>
      <c r="AH1232" s="47" t="str">
        <f>IFERROR(_xlfn.XLOOKUP(Table6[[#This Row],[Suburb]],Table5[Travel Surcharge],Table5[$$]),"")</f>
        <v/>
      </c>
      <c r="AI1232" s="47">
        <f t="shared" si="255"/>
        <v>1650.0000000000002</v>
      </c>
      <c r="AJ1232" s="47"/>
    </row>
    <row r="1233" spans="1:36">
      <c r="A1233" s="374" t="s">
        <v>2164</v>
      </c>
      <c r="B1233" s="374">
        <v>14</v>
      </c>
      <c r="C1233" s="374" t="s">
        <v>502</v>
      </c>
      <c r="D1233" s="375" t="str">
        <f t="shared" si="249"/>
        <v>Creekstone Estate14</v>
      </c>
      <c r="E1233" s="375" t="s">
        <v>2172</v>
      </c>
      <c r="F1233" s="375"/>
      <c r="G1233" s="375" t="s">
        <v>2166</v>
      </c>
      <c r="H1233" s="375" t="s">
        <v>2167</v>
      </c>
      <c r="I1233" s="63" t="s">
        <v>2168</v>
      </c>
      <c r="J1233" s="47">
        <f t="shared" si="251"/>
        <v>3740</v>
      </c>
      <c r="K1233" s="46" t="s">
        <v>10735</v>
      </c>
      <c r="L1233" s="47" t="s">
        <v>2169</v>
      </c>
      <c r="M1233" s="47"/>
      <c r="N1233" s="47"/>
      <c r="O1233" s="47"/>
      <c r="P1233" s="47"/>
      <c r="Q1233" s="47"/>
      <c r="R1233" s="47"/>
      <c r="S1233" s="47"/>
      <c r="T1233" s="47"/>
      <c r="U1233" s="47">
        <f t="shared" si="253"/>
        <v>430</v>
      </c>
      <c r="V1233" s="47"/>
      <c r="W1233" s="47"/>
      <c r="X1233" s="47"/>
      <c r="Y1233" s="47"/>
      <c r="Z1233" s="47">
        <f t="shared" si="252"/>
        <v>4620</v>
      </c>
      <c r="AA1233" s="47"/>
      <c r="AB1233" s="47"/>
      <c r="AC1233" s="47"/>
      <c r="AD1233" s="47"/>
      <c r="AE1233" s="47"/>
      <c r="AF1233" s="47">
        <f t="shared" si="254"/>
        <v>1485</v>
      </c>
      <c r="AG1233" s="47"/>
      <c r="AH1233" s="47" t="str">
        <f>IFERROR(_xlfn.XLOOKUP(Table6[[#This Row],[Suburb]],Table5[Travel Surcharge],Table5[$$]),"")</f>
        <v/>
      </c>
      <c r="AI1233" s="47">
        <f t="shared" si="255"/>
        <v>1650.0000000000002</v>
      </c>
      <c r="AJ1233" s="47"/>
    </row>
    <row r="1234" spans="1:36">
      <c r="A1234" s="374" t="s">
        <v>2164</v>
      </c>
      <c r="B1234" s="374">
        <v>15</v>
      </c>
      <c r="C1234" s="374" t="s">
        <v>502</v>
      </c>
      <c r="D1234" s="375" t="str">
        <f t="shared" si="249"/>
        <v>Creekstone Estate15</v>
      </c>
      <c r="E1234" s="375" t="s">
        <v>2173</v>
      </c>
      <c r="F1234" s="375"/>
      <c r="G1234" s="375" t="s">
        <v>2166</v>
      </c>
      <c r="H1234" s="375" t="s">
        <v>2167</v>
      </c>
      <c r="I1234" s="63" t="s">
        <v>2168</v>
      </c>
      <c r="J1234" s="47">
        <f t="shared" si="251"/>
        <v>3740</v>
      </c>
      <c r="K1234" s="46" t="s">
        <v>10735</v>
      </c>
      <c r="L1234" s="47" t="s">
        <v>2169</v>
      </c>
      <c r="M1234" s="47"/>
      <c r="N1234" s="47"/>
      <c r="O1234" s="47"/>
      <c r="P1234" s="47"/>
      <c r="Q1234" s="47"/>
      <c r="R1234" s="47"/>
      <c r="S1234" s="47"/>
      <c r="T1234" s="47"/>
      <c r="U1234" s="47">
        <f t="shared" si="253"/>
        <v>430</v>
      </c>
      <c r="V1234" s="47"/>
      <c r="W1234" s="47"/>
      <c r="X1234" s="47"/>
      <c r="Y1234" s="47"/>
      <c r="Z1234" s="47">
        <f t="shared" si="252"/>
        <v>4620</v>
      </c>
      <c r="AA1234" s="47"/>
      <c r="AB1234" s="47"/>
      <c r="AC1234" s="47"/>
      <c r="AD1234" s="47"/>
      <c r="AE1234" s="47"/>
      <c r="AF1234" s="47">
        <f t="shared" si="254"/>
        <v>1485</v>
      </c>
      <c r="AG1234" s="47"/>
      <c r="AH1234" s="47" t="str">
        <f>IFERROR(_xlfn.XLOOKUP(Table6[[#This Row],[Suburb]],Table5[Travel Surcharge],Table5[$$]),"")</f>
        <v/>
      </c>
      <c r="AI1234" s="47">
        <f t="shared" si="255"/>
        <v>1650.0000000000002</v>
      </c>
      <c r="AJ1234" s="47"/>
    </row>
    <row r="1235" spans="1:36">
      <c r="A1235" s="374" t="s">
        <v>2164</v>
      </c>
      <c r="B1235" s="374">
        <v>16</v>
      </c>
      <c r="C1235" s="374" t="s">
        <v>502</v>
      </c>
      <c r="D1235" s="375" t="str">
        <f t="shared" si="249"/>
        <v>Creekstone Estate16</v>
      </c>
      <c r="E1235" s="375" t="s">
        <v>2174</v>
      </c>
      <c r="F1235" s="375"/>
      <c r="G1235" s="375" t="s">
        <v>2166</v>
      </c>
      <c r="H1235" s="375" t="s">
        <v>2167</v>
      </c>
      <c r="I1235" s="63" t="s">
        <v>2168</v>
      </c>
      <c r="J1235" s="47">
        <f t="shared" si="251"/>
        <v>3740</v>
      </c>
      <c r="K1235" s="46" t="s">
        <v>10735</v>
      </c>
      <c r="L1235" s="47" t="s">
        <v>2169</v>
      </c>
      <c r="M1235" s="47"/>
      <c r="N1235" s="47"/>
      <c r="O1235" s="47"/>
      <c r="P1235" s="47"/>
      <c r="Q1235" s="47"/>
      <c r="R1235" s="47"/>
      <c r="S1235" s="47"/>
      <c r="T1235" s="47"/>
      <c r="U1235" s="47">
        <f t="shared" si="253"/>
        <v>430</v>
      </c>
      <c r="V1235" s="47"/>
      <c r="W1235" s="47"/>
      <c r="X1235" s="47"/>
      <c r="Y1235" s="47"/>
      <c r="Z1235" s="47">
        <f t="shared" si="252"/>
        <v>4620</v>
      </c>
      <c r="AA1235" s="47"/>
      <c r="AB1235" s="47"/>
      <c r="AC1235" s="47"/>
      <c r="AD1235" s="47"/>
      <c r="AE1235" s="47"/>
      <c r="AF1235" s="47">
        <f t="shared" si="254"/>
        <v>1485</v>
      </c>
      <c r="AG1235" s="47"/>
      <c r="AH1235" s="47" t="str">
        <f>IFERROR(_xlfn.XLOOKUP(Table6[[#This Row],[Suburb]],Table5[Travel Surcharge],Table5[$$]),"")</f>
        <v/>
      </c>
      <c r="AI1235" s="47">
        <f t="shared" si="255"/>
        <v>1650.0000000000002</v>
      </c>
      <c r="AJ1235" s="47"/>
    </row>
    <row r="1236" spans="1:36">
      <c r="A1236" s="374" t="s">
        <v>2164</v>
      </c>
      <c r="B1236" s="374">
        <v>17</v>
      </c>
      <c r="C1236" s="374" t="s">
        <v>502</v>
      </c>
      <c r="D1236" s="375" t="str">
        <f t="shared" si="249"/>
        <v>Creekstone Estate17</v>
      </c>
      <c r="E1236" s="375" t="s">
        <v>2175</v>
      </c>
      <c r="F1236" s="375"/>
      <c r="G1236" s="375" t="s">
        <v>2166</v>
      </c>
      <c r="H1236" s="375" t="s">
        <v>2167</v>
      </c>
      <c r="I1236" s="63" t="s">
        <v>2168</v>
      </c>
      <c r="J1236" s="47">
        <f t="shared" si="251"/>
        <v>3740</v>
      </c>
      <c r="K1236" s="46" t="s">
        <v>10735</v>
      </c>
      <c r="L1236" s="47" t="s">
        <v>2169</v>
      </c>
      <c r="M1236" s="47"/>
      <c r="N1236" s="47"/>
      <c r="O1236" s="47"/>
      <c r="P1236" s="47"/>
      <c r="Q1236" s="47"/>
      <c r="R1236" s="47"/>
      <c r="S1236" s="47"/>
      <c r="T1236" s="47"/>
      <c r="U1236" s="47">
        <f t="shared" si="253"/>
        <v>430</v>
      </c>
      <c r="V1236" s="47"/>
      <c r="W1236" s="47"/>
      <c r="X1236" s="47"/>
      <c r="Y1236" s="47"/>
      <c r="Z1236" s="47">
        <f t="shared" si="252"/>
        <v>4620</v>
      </c>
      <c r="AA1236" s="47"/>
      <c r="AB1236" s="47"/>
      <c r="AC1236" s="47"/>
      <c r="AD1236" s="47"/>
      <c r="AE1236" s="47"/>
      <c r="AF1236" s="47">
        <f t="shared" si="254"/>
        <v>1485</v>
      </c>
      <c r="AG1236" s="47"/>
      <c r="AH1236" s="47" t="str">
        <f>IFERROR(_xlfn.XLOOKUP(Table6[[#This Row],[Suburb]],Table5[Travel Surcharge],Table5[$$]),"")</f>
        <v/>
      </c>
      <c r="AI1236" s="47">
        <f t="shared" si="255"/>
        <v>1650.0000000000002</v>
      </c>
      <c r="AJ1236" s="47"/>
    </row>
    <row r="1237" spans="1:36">
      <c r="A1237" s="374" t="s">
        <v>2164</v>
      </c>
      <c r="B1237" s="374">
        <v>18</v>
      </c>
      <c r="C1237" s="374" t="s">
        <v>502</v>
      </c>
      <c r="D1237" s="375" t="str">
        <f t="shared" si="249"/>
        <v>Creekstone Estate18</v>
      </c>
      <c r="E1237" s="375" t="s">
        <v>2176</v>
      </c>
      <c r="F1237" s="375"/>
      <c r="G1237" s="375" t="s">
        <v>2166</v>
      </c>
      <c r="H1237" s="375" t="s">
        <v>2167</v>
      </c>
      <c r="I1237" s="63" t="s">
        <v>2168</v>
      </c>
      <c r="J1237" s="47">
        <f t="shared" si="251"/>
        <v>3740</v>
      </c>
      <c r="K1237" s="46" t="s">
        <v>10735</v>
      </c>
      <c r="L1237" s="47" t="s">
        <v>2169</v>
      </c>
      <c r="M1237" s="47"/>
      <c r="N1237" s="47"/>
      <c r="O1237" s="47"/>
      <c r="P1237" s="47"/>
      <c r="Q1237" s="47"/>
      <c r="R1237" s="47"/>
      <c r="S1237" s="47"/>
      <c r="T1237" s="47"/>
      <c r="U1237" s="47">
        <f t="shared" si="253"/>
        <v>430</v>
      </c>
      <c r="V1237" s="47"/>
      <c r="W1237" s="47"/>
      <c r="X1237" s="47"/>
      <c r="Y1237" s="47"/>
      <c r="Z1237" s="47">
        <f t="shared" si="252"/>
        <v>4620</v>
      </c>
      <c r="AA1237" s="47"/>
      <c r="AB1237" s="47"/>
      <c r="AC1237" s="47"/>
      <c r="AD1237" s="47"/>
      <c r="AE1237" s="47"/>
      <c r="AF1237" s="47">
        <f t="shared" si="254"/>
        <v>1485</v>
      </c>
      <c r="AG1237" s="47"/>
      <c r="AH1237" s="47" t="str">
        <f>IFERROR(_xlfn.XLOOKUP(Table6[[#This Row],[Suburb]],Table5[Travel Surcharge],Table5[$$]),"")</f>
        <v/>
      </c>
      <c r="AI1237" s="47">
        <f t="shared" si="255"/>
        <v>1650.0000000000002</v>
      </c>
      <c r="AJ1237" s="47"/>
    </row>
    <row r="1238" spans="1:36">
      <c r="A1238" s="374" t="s">
        <v>2164</v>
      </c>
      <c r="B1238" s="374">
        <v>19</v>
      </c>
      <c r="C1238" s="374" t="s">
        <v>502</v>
      </c>
      <c r="D1238" s="375" t="str">
        <f t="shared" si="249"/>
        <v>Creekstone Estate19</v>
      </c>
      <c r="E1238" s="375" t="s">
        <v>2177</v>
      </c>
      <c r="F1238" s="375"/>
      <c r="G1238" s="375" t="s">
        <v>2166</v>
      </c>
      <c r="H1238" s="375" t="s">
        <v>2167</v>
      </c>
      <c r="I1238" s="63" t="s">
        <v>2168</v>
      </c>
      <c r="J1238" s="47">
        <f t="shared" si="251"/>
        <v>3740</v>
      </c>
      <c r="K1238" s="46" t="s">
        <v>10735</v>
      </c>
      <c r="L1238" s="47" t="s">
        <v>2169</v>
      </c>
      <c r="M1238" s="47"/>
      <c r="N1238" s="47"/>
      <c r="O1238" s="47"/>
      <c r="P1238" s="47"/>
      <c r="Q1238" s="47"/>
      <c r="R1238" s="47"/>
      <c r="S1238" s="47"/>
      <c r="T1238" s="47"/>
      <c r="U1238" s="47">
        <f t="shared" si="253"/>
        <v>430</v>
      </c>
      <c r="V1238" s="47"/>
      <c r="W1238" s="47"/>
      <c r="X1238" s="47"/>
      <c r="Y1238" s="47"/>
      <c r="Z1238" s="47">
        <f t="shared" si="252"/>
        <v>4620</v>
      </c>
      <c r="AA1238" s="47"/>
      <c r="AB1238" s="47"/>
      <c r="AC1238" s="47"/>
      <c r="AD1238" s="47"/>
      <c r="AE1238" s="47"/>
      <c r="AF1238" s="47">
        <f t="shared" si="254"/>
        <v>1485</v>
      </c>
      <c r="AG1238" s="47"/>
      <c r="AH1238" s="47" t="str">
        <f>IFERROR(_xlfn.XLOOKUP(Table6[[#This Row],[Suburb]],Table5[Travel Surcharge],Table5[$$]),"")</f>
        <v/>
      </c>
      <c r="AI1238" s="47">
        <f t="shared" si="255"/>
        <v>1650.0000000000002</v>
      </c>
      <c r="AJ1238" s="47"/>
    </row>
    <row r="1239" spans="1:36">
      <c r="A1239" s="374" t="s">
        <v>2164</v>
      </c>
      <c r="B1239" s="374">
        <v>20</v>
      </c>
      <c r="C1239" s="374" t="s">
        <v>502</v>
      </c>
      <c r="D1239" s="375" t="str">
        <f t="shared" si="249"/>
        <v>Creekstone Estate20</v>
      </c>
      <c r="E1239" s="375" t="s">
        <v>2178</v>
      </c>
      <c r="F1239" s="375"/>
      <c r="G1239" s="375" t="s">
        <v>2166</v>
      </c>
      <c r="H1239" s="375" t="s">
        <v>2167</v>
      </c>
      <c r="I1239" s="63" t="s">
        <v>2168</v>
      </c>
      <c r="J1239" s="47">
        <f t="shared" si="251"/>
        <v>3740</v>
      </c>
      <c r="K1239" s="46" t="s">
        <v>10735</v>
      </c>
      <c r="L1239" s="47" t="s">
        <v>2169</v>
      </c>
      <c r="M1239" s="47"/>
      <c r="N1239" s="47"/>
      <c r="O1239" s="47"/>
      <c r="P1239" s="47"/>
      <c r="Q1239" s="47"/>
      <c r="R1239" s="47"/>
      <c r="S1239" s="47"/>
      <c r="T1239" s="47"/>
      <c r="U1239" s="47">
        <f t="shared" si="253"/>
        <v>430</v>
      </c>
      <c r="V1239" s="47"/>
      <c r="W1239" s="47"/>
      <c r="X1239" s="47"/>
      <c r="Y1239" s="47"/>
      <c r="Z1239" s="47">
        <f t="shared" si="252"/>
        <v>4620</v>
      </c>
      <c r="AA1239" s="47"/>
      <c r="AB1239" s="47"/>
      <c r="AC1239" s="47"/>
      <c r="AD1239" s="47"/>
      <c r="AE1239" s="47"/>
      <c r="AF1239" s="47">
        <f t="shared" si="254"/>
        <v>1485</v>
      </c>
      <c r="AG1239" s="47"/>
      <c r="AH1239" s="47" t="str">
        <f>IFERROR(_xlfn.XLOOKUP(Table6[[#This Row],[Suburb]],Table5[Travel Surcharge],Table5[$$]),"")</f>
        <v/>
      </c>
      <c r="AI1239" s="47">
        <f t="shared" si="255"/>
        <v>1650.0000000000002</v>
      </c>
      <c r="AJ1239" s="47"/>
    </row>
    <row r="1240" spans="1:36">
      <c r="A1240" s="374" t="s">
        <v>2164</v>
      </c>
      <c r="B1240" s="374">
        <v>21</v>
      </c>
      <c r="C1240" s="374" t="s">
        <v>502</v>
      </c>
      <c r="D1240" s="375" t="str">
        <f t="shared" si="249"/>
        <v>Creekstone Estate21</v>
      </c>
      <c r="E1240" s="375" t="s">
        <v>2179</v>
      </c>
      <c r="F1240" s="375"/>
      <c r="G1240" s="375" t="s">
        <v>2166</v>
      </c>
      <c r="H1240" s="375" t="s">
        <v>2167</v>
      </c>
      <c r="I1240" s="63" t="s">
        <v>2168</v>
      </c>
      <c r="J1240" s="47">
        <f t="shared" si="251"/>
        <v>3740</v>
      </c>
      <c r="K1240" s="46" t="s">
        <v>10735</v>
      </c>
      <c r="L1240" s="47" t="s">
        <v>2169</v>
      </c>
      <c r="M1240" s="47"/>
      <c r="N1240" s="47"/>
      <c r="O1240" s="47"/>
      <c r="P1240" s="47"/>
      <c r="Q1240" s="47"/>
      <c r="R1240" s="47"/>
      <c r="S1240" s="47"/>
      <c r="T1240" s="47"/>
      <c r="U1240" s="47">
        <f t="shared" si="253"/>
        <v>430</v>
      </c>
      <c r="V1240" s="47"/>
      <c r="W1240" s="47"/>
      <c r="X1240" s="47"/>
      <c r="Y1240" s="47"/>
      <c r="Z1240" s="47">
        <f t="shared" si="252"/>
        <v>4620</v>
      </c>
      <c r="AA1240" s="47"/>
      <c r="AB1240" s="47"/>
      <c r="AC1240" s="47"/>
      <c r="AD1240" s="47"/>
      <c r="AE1240" s="47"/>
      <c r="AF1240" s="47">
        <f t="shared" si="254"/>
        <v>1485</v>
      </c>
      <c r="AG1240" s="47"/>
      <c r="AH1240" s="47" t="str">
        <f>IFERROR(_xlfn.XLOOKUP(Table6[[#This Row],[Suburb]],Table5[Travel Surcharge],Table5[$$]),"")</f>
        <v/>
      </c>
      <c r="AI1240" s="47">
        <f t="shared" si="255"/>
        <v>1650.0000000000002</v>
      </c>
      <c r="AJ1240" s="47"/>
    </row>
    <row r="1241" spans="1:36">
      <c r="A1241" s="374" t="s">
        <v>2164</v>
      </c>
      <c r="B1241" s="374">
        <v>22</v>
      </c>
      <c r="C1241" s="374" t="s">
        <v>502</v>
      </c>
      <c r="D1241" s="375" t="str">
        <f t="shared" si="249"/>
        <v>Creekstone Estate22</v>
      </c>
      <c r="E1241" s="375" t="s">
        <v>2180</v>
      </c>
      <c r="F1241" s="375"/>
      <c r="G1241" s="375" t="s">
        <v>2166</v>
      </c>
      <c r="H1241" s="375" t="s">
        <v>2167</v>
      </c>
      <c r="I1241" s="63" t="s">
        <v>2168</v>
      </c>
      <c r="J1241" s="47">
        <f t="shared" si="251"/>
        <v>3740</v>
      </c>
      <c r="K1241" s="46" t="s">
        <v>10735</v>
      </c>
      <c r="L1241" s="47" t="s">
        <v>2169</v>
      </c>
      <c r="M1241" s="47"/>
      <c r="N1241" s="47"/>
      <c r="O1241" s="47"/>
      <c r="P1241" s="47"/>
      <c r="Q1241" s="47"/>
      <c r="R1241" s="47"/>
      <c r="S1241" s="47"/>
      <c r="T1241" s="47"/>
      <c r="U1241" s="47">
        <f t="shared" si="253"/>
        <v>430</v>
      </c>
      <c r="V1241" s="47"/>
      <c r="W1241" s="47"/>
      <c r="X1241" s="47"/>
      <c r="Y1241" s="47"/>
      <c r="Z1241" s="47">
        <f t="shared" si="252"/>
        <v>4620</v>
      </c>
      <c r="AA1241" s="47"/>
      <c r="AB1241" s="47"/>
      <c r="AC1241" s="47"/>
      <c r="AD1241" s="47"/>
      <c r="AE1241" s="47"/>
      <c r="AF1241" s="47">
        <f t="shared" si="254"/>
        <v>1485</v>
      </c>
      <c r="AG1241" s="47"/>
      <c r="AH1241" s="47" t="str">
        <f>IFERROR(_xlfn.XLOOKUP(Table6[[#This Row],[Suburb]],Table5[Travel Surcharge],Table5[$$]),"")</f>
        <v/>
      </c>
      <c r="AI1241" s="47">
        <f t="shared" si="255"/>
        <v>1650.0000000000002</v>
      </c>
      <c r="AJ1241" s="47"/>
    </row>
    <row r="1242" spans="1:36">
      <c r="A1242" s="374" t="s">
        <v>2164</v>
      </c>
      <c r="B1242" s="374">
        <v>23</v>
      </c>
      <c r="C1242" s="374" t="s">
        <v>502</v>
      </c>
      <c r="D1242" s="375" t="str">
        <f t="shared" si="249"/>
        <v>Creekstone Estate23</v>
      </c>
      <c r="E1242" s="375" t="s">
        <v>2181</v>
      </c>
      <c r="F1242" s="375"/>
      <c r="G1242" s="375" t="s">
        <v>2166</v>
      </c>
      <c r="H1242" s="375" t="s">
        <v>2167</v>
      </c>
      <c r="I1242" s="63" t="s">
        <v>2168</v>
      </c>
      <c r="J1242" s="47">
        <f t="shared" si="251"/>
        <v>3740</v>
      </c>
      <c r="K1242" s="46" t="s">
        <v>10735</v>
      </c>
      <c r="L1242" s="47" t="s">
        <v>2169</v>
      </c>
      <c r="M1242" s="47"/>
      <c r="N1242" s="47"/>
      <c r="O1242" s="47"/>
      <c r="P1242" s="47"/>
      <c r="Q1242" s="47"/>
      <c r="R1242" s="47"/>
      <c r="S1242" s="47"/>
      <c r="T1242" s="47"/>
      <c r="U1242" s="47">
        <f t="shared" si="253"/>
        <v>430</v>
      </c>
      <c r="V1242" s="47"/>
      <c r="W1242" s="47"/>
      <c r="X1242" s="47"/>
      <c r="Y1242" s="47"/>
      <c r="Z1242" s="47">
        <f t="shared" si="252"/>
        <v>4620</v>
      </c>
      <c r="AA1242" s="47"/>
      <c r="AB1242" s="47"/>
      <c r="AC1242" s="47"/>
      <c r="AD1242" s="47"/>
      <c r="AE1242" s="47"/>
      <c r="AF1242" s="47">
        <f t="shared" si="254"/>
        <v>1485</v>
      </c>
      <c r="AG1242" s="47"/>
      <c r="AH1242" s="47" t="str">
        <f>IFERROR(_xlfn.XLOOKUP(Table6[[#This Row],[Suburb]],Table5[Travel Surcharge],Table5[$$]),"")</f>
        <v/>
      </c>
      <c r="AI1242" s="47">
        <f t="shared" si="255"/>
        <v>1650.0000000000002</v>
      </c>
      <c r="AJ1242" s="47"/>
    </row>
    <row r="1243" spans="1:36">
      <c r="A1243" s="374" t="s">
        <v>2164</v>
      </c>
      <c r="B1243" s="374">
        <v>25</v>
      </c>
      <c r="C1243" s="374" t="s">
        <v>502</v>
      </c>
      <c r="D1243" s="375" t="str">
        <f t="shared" si="249"/>
        <v>Creekstone Estate25</v>
      </c>
      <c r="E1243" s="375" t="s">
        <v>5449</v>
      </c>
      <c r="F1243" s="375"/>
      <c r="G1243" s="375" t="s">
        <v>2166</v>
      </c>
      <c r="H1243" s="375" t="s">
        <v>2167</v>
      </c>
      <c r="I1243" s="63" t="s">
        <v>2168</v>
      </c>
      <c r="J1243" s="47">
        <f t="shared" si="251"/>
        <v>3740</v>
      </c>
      <c r="K1243" s="46" t="s">
        <v>10735</v>
      </c>
      <c r="L1243" s="47">
        <f>L$7</f>
        <v>1210</v>
      </c>
      <c r="M1243" s="47"/>
      <c r="N1243" s="47"/>
      <c r="O1243" s="47"/>
      <c r="P1243" s="47"/>
      <c r="Q1243" s="47"/>
      <c r="R1243" s="47"/>
      <c r="S1243" s="47"/>
      <c r="T1243" s="47"/>
      <c r="U1243" s="47">
        <f t="shared" si="253"/>
        <v>430</v>
      </c>
      <c r="V1243" s="47"/>
      <c r="W1243" s="47"/>
      <c r="X1243" s="47"/>
      <c r="Y1243" s="47"/>
      <c r="Z1243" s="47">
        <f t="shared" si="252"/>
        <v>4620</v>
      </c>
      <c r="AA1243" s="47"/>
      <c r="AB1243" s="47"/>
      <c r="AC1243" s="47"/>
      <c r="AD1243" s="47"/>
      <c r="AE1243" s="47"/>
      <c r="AF1243" s="47">
        <f t="shared" si="254"/>
        <v>1485</v>
      </c>
      <c r="AG1243" s="47"/>
      <c r="AH1243" s="47" t="str">
        <f>IFERROR(_xlfn.XLOOKUP(Table6[[#This Row],[Suburb]],Table5[Travel Surcharge],Table5[$$]),"")</f>
        <v/>
      </c>
      <c r="AI1243" s="47">
        <f t="shared" si="255"/>
        <v>1650.0000000000002</v>
      </c>
      <c r="AJ1243" s="47"/>
    </row>
    <row r="1244" spans="1:36">
      <c r="A1244" s="374" t="s">
        <v>400</v>
      </c>
      <c r="B1244" s="374">
        <v>1</v>
      </c>
      <c r="C1244" s="374" t="s">
        <v>394</v>
      </c>
      <c r="D1244" s="375" t="str">
        <f t="shared" si="249"/>
        <v>Cressida Rise (920 Bridge Inn)1</v>
      </c>
      <c r="E1244" s="375" t="s">
        <v>401</v>
      </c>
      <c r="F1244" s="375"/>
      <c r="G1244" s="375" t="s">
        <v>397</v>
      </c>
      <c r="H1244" s="375" t="s">
        <v>398</v>
      </c>
      <c r="I1244" s="63" t="s">
        <v>399</v>
      </c>
      <c r="J1244" s="47"/>
      <c r="K1244" s="46" t="s">
        <v>10735</v>
      </c>
      <c r="L1244" s="47"/>
      <c r="M1244" s="47"/>
      <c r="N1244" s="47"/>
      <c r="O1244" s="47"/>
      <c r="P1244" s="47"/>
      <c r="Q1244" s="47">
        <f>Q$2</f>
        <v>0</v>
      </c>
      <c r="R1244" s="47" t="s">
        <v>402</v>
      </c>
      <c r="S1244" s="47"/>
      <c r="T1244" s="47"/>
      <c r="U1244" s="47"/>
      <c r="V1244" s="47"/>
      <c r="W1244" s="47"/>
      <c r="X1244" s="47"/>
      <c r="Y1244" s="47"/>
      <c r="Z1244" s="47">
        <f t="shared" si="252"/>
        <v>4620</v>
      </c>
      <c r="AA1244" s="47"/>
      <c r="AB1244" s="47"/>
      <c r="AC1244" s="47"/>
      <c r="AD1244" s="47"/>
      <c r="AE1244" s="47"/>
      <c r="AF1244" s="47"/>
      <c r="AG1244" s="47"/>
      <c r="AH1244" s="47" t="str">
        <f>IFERROR(_xlfn.XLOOKUP(Table6[[#This Row],[Suburb]],Table5[Travel Surcharge],Table5[$$]),"")</f>
        <v/>
      </c>
      <c r="AI1244" s="47"/>
      <c r="AJ1244" s="47"/>
    </row>
    <row r="1245" spans="1:36">
      <c r="A1245" s="374" t="s">
        <v>400</v>
      </c>
      <c r="B1245" s="374">
        <v>2</v>
      </c>
      <c r="C1245" s="374" t="s">
        <v>394</v>
      </c>
      <c r="D1245" s="375" t="str">
        <f t="shared" si="249"/>
        <v>Cressida Rise (920 Bridge Inn)2</v>
      </c>
      <c r="E1245" s="375"/>
      <c r="F1245" s="375"/>
      <c r="G1245" s="375" t="s">
        <v>397</v>
      </c>
      <c r="H1245" s="375" t="s">
        <v>398</v>
      </c>
      <c r="I1245" s="63" t="s">
        <v>399</v>
      </c>
      <c r="J1245" s="47"/>
      <c r="K1245" s="46" t="s">
        <v>10735</v>
      </c>
      <c r="L1245" s="47"/>
      <c r="M1245" s="47"/>
      <c r="N1245" s="47"/>
      <c r="O1245" s="47"/>
      <c r="P1245" s="47"/>
      <c r="Q1245" s="47">
        <f>Q$2</f>
        <v>0</v>
      </c>
      <c r="R1245" s="47" t="s">
        <v>402</v>
      </c>
      <c r="S1245" s="47"/>
      <c r="T1245" s="47"/>
      <c r="U1245" s="47"/>
      <c r="V1245" s="47"/>
      <c r="W1245" s="47"/>
      <c r="X1245" s="47"/>
      <c r="Y1245" s="47"/>
      <c r="Z1245" s="47">
        <f t="shared" si="252"/>
        <v>4620</v>
      </c>
      <c r="AA1245" s="47"/>
      <c r="AB1245" s="47"/>
      <c r="AC1245" s="47"/>
      <c r="AD1245" s="47"/>
      <c r="AE1245" s="47"/>
      <c r="AF1245" s="47"/>
      <c r="AG1245" s="47"/>
      <c r="AH1245" s="47" t="str">
        <f>IFERROR(_xlfn.XLOOKUP(Table6[[#This Row],[Suburb]],Table5[Travel Surcharge],Table5[$$]),"")</f>
        <v/>
      </c>
      <c r="AI1245" s="47"/>
      <c r="AJ1245" s="47"/>
    </row>
    <row r="1246" spans="1:36">
      <c r="A1246" s="374" t="s">
        <v>9525</v>
      </c>
      <c r="B1246" s="374">
        <v>1</v>
      </c>
      <c r="C1246" s="374" t="s">
        <v>385</v>
      </c>
      <c r="D1246" s="375" t="str">
        <f t="shared" si="249"/>
        <v>Crestwood Place1</v>
      </c>
      <c r="E1246" s="375" t="s">
        <v>9526</v>
      </c>
      <c r="F1246" s="375"/>
      <c r="G1246" s="375"/>
      <c r="H1246" s="375"/>
      <c r="I1246" s="63"/>
      <c r="J1246" s="47">
        <f>J$7</f>
        <v>3740</v>
      </c>
      <c r="K1246" s="46" t="s">
        <v>10735</v>
      </c>
      <c r="L1246" s="47"/>
      <c r="M1246" s="47"/>
      <c r="N1246" s="47"/>
      <c r="O1246" s="47"/>
      <c r="P1246" s="47"/>
      <c r="Q1246" s="47">
        <f>Q$2</f>
        <v>0</v>
      </c>
      <c r="R1246" s="47"/>
      <c r="S1246" s="47"/>
      <c r="T1246" s="47"/>
      <c r="U1246" s="47"/>
      <c r="V1246" s="47"/>
      <c r="W1246" s="47"/>
      <c r="X1246" s="47"/>
      <c r="Y1246" s="47"/>
      <c r="Z1246" s="47">
        <f t="shared" si="252"/>
        <v>4620</v>
      </c>
      <c r="AA1246" s="47"/>
      <c r="AB1246" s="47"/>
      <c r="AC1246" s="47"/>
      <c r="AD1246" s="47"/>
      <c r="AE1246" s="47"/>
      <c r="AF1246" s="47"/>
      <c r="AG1246" s="47"/>
      <c r="AH1246" s="47" t="str">
        <f>IFERROR(_xlfn.XLOOKUP(Table6[[#This Row],[Suburb]],Table5[Travel Surcharge],Table5[$$]),"")</f>
        <v/>
      </c>
      <c r="AI1246" s="47"/>
      <c r="AJ1246" s="47"/>
    </row>
    <row r="1247" spans="1:36">
      <c r="A1247" s="374" t="s">
        <v>2182</v>
      </c>
      <c r="B1247" s="374">
        <v>10</v>
      </c>
      <c r="C1247" s="374" t="s">
        <v>279</v>
      </c>
      <c r="D1247" s="375" t="str">
        <f t="shared" si="249"/>
        <v>Curlewis Parks Estate10</v>
      </c>
      <c r="E1247" s="375" t="s">
        <v>2183</v>
      </c>
      <c r="F1247" s="375" t="s">
        <v>2184</v>
      </c>
      <c r="G1247" s="375" t="s">
        <v>2185</v>
      </c>
      <c r="H1247" s="375" t="s">
        <v>2186</v>
      </c>
      <c r="I1247" s="63"/>
      <c r="J1247" s="47"/>
      <c r="K1247" s="46" t="s">
        <v>7938</v>
      </c>
      <c r="L1247" s="47"/>
      <c r="M1247" s="47"/>
      <c r="N1247" s="47"/>
      <c r="O1247" s="47"/>
      <c r="P1247" s="47"/>
      <c r="Q1247" s="47"/>
      <c r="R1247" s="47"/>
      <c r="S1247" s="47"/>
      <c r="T1247" s="47"/>
      <c r="U1247" s="47">
        <f t="shared" ref="U1247:U1253" si="256">U$2</f>
        <v>430</v>
      </c>
      <c r="V1247" s="47"/>
      <c r="W1247" s="47"/>
      <c r="X1247" s="47">
        <f t="shared" ref="X1247:X1255" si="257">X$7</f>
        <v>3000</v>
      </c>
      <c r="Y1247" s="47"/>
      <c r="Z1247" s="47">
        <f t="shared" si="252"/>
        <v>4620</v>
      </c>
      <c r="AA1247" s="47"/>
      <c r="AB1247" s="47"/>
      <c r="AC1247" s="47"/>
      <c r="AD1247" s="47"/>
      <c r="AE1247" s="47"/>
      <c r="AF1247" s="47"/>
      <c r="AG1247" s="47"/>
      <c r="AH1247" s="47">
        <f>IFERROR(_xlfn.XLOOKUP(Table6[[#This Row],[Suburb]],Table5[Travel Surcharge],Table5[$$]),"")</f>
        <v>1500</v>
      </c>
      <c r="AI1247" s="47">
        <f t="shared" ref="AI1247:AI1253" si="258">AI$7</f>
        <v>1650.0000000000002</v>
      </c>
      <c r="AJ1247" s="47"/>
    </row>
    <row r="1248" spans="1:36">
      <c r="A1248" s="374" t="s">
        <v>2182</v>
      </c>
      <c r="B1248" s="374">
        <v>11</v>
      </c>
      <c r="C1248" s="374" t="s">
        <v>279</v>
      </c>
      <c r="D1248" s="375" t="str">
        <f t="shared" si="249"/>
        <v>Curlewis Parks Estate11</v>
      </c>
      <c r="E1248" s="375" t="s">
        <v>2187</v>
      </c>
      <c r="F1248" s="375" t="s">
        <v>2184</v>
      </c>
      <c r="G1248" s="375" t="s">
        <v>2185</v>
      </c>
      <c r="H1248" s="375" t="s">
        <v>2186</v>
      </c>
      <c r="I1248" s="63"/>
      <c r="J1248" s="47"/>
      <c r="K1248" s="46" t="s">
        <v>7938</v>
      </c>
      <c r="L1248" s="47"/>
      <c r="M1248" s="47"/>
      <c r="N1248" s="47"/>
      <c r="O1248" s="47"/>
      <c r="P1248" s="47"/>
      <c r="Q1248" s="47"/>
      <c r="R1248" s="47"/>
      <c r="S1248" s="47"/>
      <c r="T1248" s="47"/>
      <c r="U1248" s="47">
        <f t="shared" si="256"/>
        <v>430</v>
      </c>
      <c r="V1248" s="47"/>
      <c r="W1248" s="47"/>
      <c r="X1248" s="47">
        <f t="shared" si="257"/>
        <v>3000</v>
      </c>
      <c r="Y1248" s="47"/>
      <c r="Z1248" s="47">
        <f t="shared" si="252"/>
        <v>4620</v>
      </c>
      <c r="AA1248" s="47"/>
      <c r="AB1248" s="47"/>
      <c r="AC1248" s="47"/>
      <c r="AD1248" s="47"/>
      <c r="AE1248" s="47"/>
      <c r="AF1248" s="47"/>
      <c r="AG1248" s="47"/>
      <c r="AH1248" s="47">
        <f>IFERROR(_xlfn.XLOOKUP(Table6[[#This Row],[Suburb]],Table5[Travel Surcharge],Table5[$$]),"")</f>
        <v>1500</v>
      </c>
      <c r="AI1248" s="47">
        <f t="shared" si="258"/>
        <v>1650.0000000000002</v>
      </c>
      <c r="AJ1248" s="47"/>
    </row>
    <row r="1249" spans="1:36">
      <c r="A1249" s="374" t="s">
        <v>2182</v>
      </c>
      <c r="B1249" s="374">
        <v>12</v>
      </c>
      <c r="C1249" s="374" t="s">
        <v>279</v>
      </c>
      <c r="D1249" s="375" t="str">
        <f t="shared" si="249"/>
        <v>Curlewis Parks Estate12</v>
      </c>
      <c r="E1249" s="375" t="s">
        <v>2188</v>
      </c>
      <c r="F1249" s="375" t="s">
        <v>2184</v>
      </c>
      <c r="G1249" s="375" t="s">
        <v>2185</v>
      </c>
      <c r="H1249" s="375" t="s">
        <v>2186</v>
      </c>
      <c r="I1249" s="63"/>
      <c r="J1249" s="47"/>
      <c r="K1249" s="46" t="s">
        <v>7938</v>
      </c>
      <c r="L1249" s="47"/>
      <c r="M1249" s="47"/>
      <c r="N1249" s="47"/>
      <c r="O1249" s="47"/>
      <c r="P1249" s="47"/>
      <c r="Q1249" s="47"/>
      <c r="R1249" s="47"/>
      <c r="S1249" s="47"/>
      <c r="T1249" s="47"/>
      <c r="U1249" s="47">
        <f t="shared" si="256"/>
        <v>430</v>
      </c>
      <c r="V1249" s="47"/>
      <c r="W1249" s="47"/>
      <c r="X1249" s="47">
        <f t="shared" si="257"/>
        <v>3000</v>
      </c>
      <c r="Y1249" s="47"/>
      <c r="Z1249" s="47">
        <f t="shared" si="252"/>
        <v>4620</v>
      </c>
      <c r="AA1249" s="47"/>
      <c r="AB1249" s="47"/>
      <c r="AC1249" s="47"/>
      <c r="AD1249" s="47"/>
      <c r="AE1249" s="47"/>
      <c r="AF1249" s="47"/>
      <c r="AG1249" s="47"/>
      <c r="AH1249" s="47">
        <f>IFERROR(_xlfn.XLOOKUP(Table6[[#This Row],[Suburb]],Table5[Travel Surcharge],Table5[$$]),"")</f>
        <v>1500</v>
      </c>
      <c r="AI1249" s="47">
        <f t="shared" si="258"/>
        <v>1650.0000000000002</v>
      </c>
      <c r="AJ1249" s="47"/>
    </row>
    <row r="1250" spans="1:36">
      <c r="A1250" s="374" t="s">
        <v>2182</v>
      </c>
      <c r="B1250" s="374">
        <v>15</v>
      </c>
      <c r="C1250" s="374" t="s">
        <v>279</v>
      </c>
      <c r="D1250" s="375" t="str">
        <f t="shared" si="249"/>
        <v>Curlewis Parks Estate15</v>
      </c>
      <c r="E1250" s="375" t="s">
        <v>2189</v>
      </c>
      <c r="F1250" s="375" t="s">
        <v>2184</v>
      </c>
      <c r="G1250" s="375" t="s">
        <v>2185</v>
      </c>
      <c r="H1250" s="375" t="s">
        <v>2186</v>
      </c>
      <c r="I1250" s="63"/>
      <c r="J1250" s="47"/>
      <c r="K1250" s="46" t="s">
        <v>7938</v>
      </c>
      <c r="L1250" s="47"/>
      <c r="M1250" s="47"/>
      <c r="N1250" s="47"/>
      <c r="O1250" s="47"/>
      <c r="P1250" s="47"/>
      <c r="Q1250" s="47"/>
      <c r="R1250" s="47"/>
      <c r="S1250" s="47"/>
      <c r="T1250" s="47"/>
      <c r="U1250" s="47">
        <f t="shared" si="256"/>
        <v>430</v>
      </c>
      <c r="V1250" s="47"/>
      <c r="W1250" s="47"/>
      <c r="X1250" s="47">
        <f t="shared" si="257"/>
        <v>3000</v>
      </c>
      <c r="Y1250" s="47"/>
      <c r="Z1250" s="47">
        <f t="shared" si="252"/>
        <v>4620</v>
      </c>
      <c r="AA1250" s="47"/>
      <c r="AB1250" s="47"/>
      <c r="AC1250" s="47"/>
      <c r="AD1250" s="47"/>
      <c r="AE1250" s="47"/>
      <c r="AF1250" s="47"/>
      <c r="AG1250" s="47"/>
      <c r="AH1250" s="47">
        <f>IFERROR(_xlfn.XLOOKUP(Table6[[#This Row],[Suburb]],Table5[Travel Surcharge],Table5[$$]),"")</f>
        <v>1500</v>
      </c>
      <c r="AI1250" s="47">
        <f t="shared" si="258"/>
        <v>1650.0000000000002</v>
      </c>
      <c r="AJ1250" s="47"/>
    </row>
    <row r="1251" spans="1:36">
      <c r="A1251" s="374" t="s">
        <v>2182</v>
      </c>
      <c r="B1251" s="374">
        <v>18</v>
      </c>
      <c r="C1251" s="374" t="s">
        <v>279</v>
      </c>
      <c r="D1251" s="375" t="str">
        <f t="shared" si="249"/>
        <v>Curlewis Parks Estate18</v>
      </c>
      <c r="E1251" s="375" t="s">
        <v>2190</v>
      </c>
      <c r="F1251" s="375" t="s">
        <v>2184</v>
      </c>
      <c r="G1251" s="375" t="s">
        <v>2185</v>
      </c>
      <c r="H1251" s="375" t="s">
        <v>2186</v>
      </c>
      <c r="I1251" s="63"/>
      <c r="J1251" s="47"/>
      <c r="K1251" s="46" t="s">
        <v>7938</v>
      </c>
      <c r="L1251" s="47"/>
      <c r="M1251" s="47"/>
      <c r="N1251" s="47"/>
      <c r="O1251" s="47"/>
      <c r="P1251" s="47"/>
      <c r="Q1251" s="47"/>
      <c r="R1251" s="47"/>
      <c r="S1251" s="47"/>
      <c r="T1251" s="47"/>
      <c r="U1251" s="47">
        <f t="shared" si="256"/>
        <v>430</v>
      </c>
      <c r="V1251" s="47"/>
      <c r="W1251" s="47"/>
      <c r="X1251" s="47">
        <f t="shared" si="257"/>
        <v>3000</v>
      </c>
      <c r="Y1251" s="47"/>
      <c r="Z1251" s="47">
        <f t="shared" si="252"/>
        <v>4620</v>
      </c>
      <c r="AA1251" s="47"/>
      <c r="AB1251" s="47"/>
      <c r="AC1251" s="47"/>
      <c r="AD1251" s="47"/>
      <c r="AE1251" s="47"/>
      <c r="AF1251" s="47"/>
      <c r="AG1251" s="47"/>
      <c r="AH1251" s="47">
        <f>IFERROR(_xlfn.XLOOKUP(Table6[[#This Row],[Suburb]],Table5[Travel Surcharge],Table5[$$]),"")</f>
        <v>1500</v>
      </c>
      <c r="AI1251" s="47">
        <f t="shared" si="258"/>
        <v>1650.0000000000002</v>
      </c>
      <c r="AJ1251" s="47"/>
    </row>
    <row r="1252" spans="1:36">
      <c r="A1252" s="374" t="s">
        <v>2182</v>
      </c>
      <c r="B1252" s="374" t="s">
        <v>2191</v>
      </c>
      <c r="C1252" s="374" t="s">
        <v>279</v>
      </c>
      <c r="D1252" s="375" t="str">
        <f t="shared" si="249"/>
        <v>Curlewis Parks Estate14A</v>
      </c>
      <c r="E1252" s="375" t="s">
        <v>2192</v>
      </c>
      <c r="F1252" s="375" t="s">
        <v>2184</v>
      </c>
      <c r="G1252" s="375" t="s">
        <v>2185</v>
      </c>
      <c r="H1252" s="375" t="s">
        <v>2186</v>
      </c>
      <c r="I1252" s="63"/>
      <c r="J1252" s="47"/>
      <c r="K1252" s="46" t="s">
        <v>7938</v>
      </c>
      <c r="L1252" s="47"/>
      <c r="M1252" s="47"/>
      <c r="N1252" s="47"/>
      <c r="O1252" s="47"/>
      <c r="P1252" s="47"/>
      <c r="Q1252" s="47"/>
      <c r="R1252" s="47"/>
      <c r="S1252" s="47"/>
      <c r="T1252" s="47"/>
      <c r="U1252" s="47">
        <f t="shared" si="256"/>
        <v>430</v>
      </c>
      <c r="V1252" s="47"/>
      <c r="W1252" s="47"/>
      <c r="X1252" s="47">
        <f t="shared" si="257"/>
        <v>3000</v>
      </c>
      <c r="Y1252" s="47"/>
      <c r="Z1252" s="47">
        <f t="shared" si="252"/>
        <v>4620</v>
      </c>
      <c r="AA1252" s="47"/>
      <c r="AB1252" s="47"/>
      <c r="AC1252" s="47"/>
      <c r="AD1252" s="47"/>
      <c r="AE1252" s="47"/>
      <c r="AF1252" s="47"/>
      <c r="AG1252" s="47"/>
      <c r="AH1252" s="47">
        <f>IFERROR(_xlfn.XLOOKUP(Table6[[#This Row],[Suburb]],Table5[Travel Surcharge],Table5[$$]),"")</f>
        <v>1500</v>
      </c>
      <c r="AI1252" s="47">
        <f t="shared" si="258"/>
        <v>1650.0000000000002</v>
      </c>
      <c r="AJ1252" s="47"/>
    </row>
    <row r="1253" spans="1:36">
      <c r="A1253" s="374" t="s">
        <v>2182</v>
      </c>
      <c r="B1253" s="374" t="s">
        <v>1091</v>
      </c>
      <c r="C1253" s="374" t="s">
        <v>279</v>
      </c>
      <c r="D1253" s="375" t="str">
        <f t="shared" si="249"/>
        <v>Curlewis Parks Estate17A</v>
      </c>
      <c r="E1253" s="375" t="s">
        <v>2193</v>
      </c>
      <c r="F1253" s="375" t="s">
        <v>2184</v>
      </c>
      <c r="G1253" s="375" t="s">
        <v>2185</v>
      </c>
      <c r="H1253" s="375" t="s">
        <v>2186</v>
      </c>
      <c r="I1253" s="63"/>
      <c r="J1253" s="47"/>
      <c r="K1253" s="46" t="s">
        <v>7938</v>
      </c>
      <c r="L1253" s="47"/>
      <c r="M1253" s="47"/>
      <c r="N1253" s="47"/>
      <c r="O1253" s="47"/>
      <c r="P1253" s="47"/>
      <c r="Q1253" s="47"/>
      <c r="R1253" s="47"/>
      <c r="S1253" s="47"/>
      <c r="T1253" s="47"/>
      <c r="U1253" s="47">
        <f t="shared" si="256"/>
        <v>430</v>
      </c>
      <c r="V1253" s="47"/>
      <c r="W1253" s="47"/>
      <c r="X1253" s="47">
        <f t="shared" si="257"/>
        <v>3000</v>
      </c>
      <c r="Y1253" s="47"/>
      <c r="Z1253" s="47">
        <f t="shared" si="252"/>
        <v>4620</v>
      </c>
      <c r="AA1253" s="47"/>
      <c r="AB1253" s="47"/>
      <c r="AC1253" s="47"/>
      <c r="AD1253" s="47"/>
      <c r="AE1253" s="47"/>
      <c r="AF1253" s="47"/>
      <c r="AG1253" s="47"/>
      <c r="AH1253" s="47">
        <f>IFERROR(_xlfn.XLOOKUP(Table6[[#This Row],[Suburb]],Table5[Travel Surcharge],Table5[$$]),"")</f>
        <v>1500</v>
      </c>
      <c r="AI1253" s="47">
        <f t="shared" si="258"/>
        <v>1650.0000000000002</v>
      </c>
      <c r="AJ1253" s="47"/>
    </row>
    <row r="1254" spans="1:36">
      <c r="A1254" s="374" t="s">
        <v>2194</v>
      </c>
      <c r="B1254" s="374">
        <v>1</v>
      </c>
      <c r="C1254" s="374" t="s">
        <v>281</v>
      </c>
      <c r="D1254" s="375" t="str">
        <f t="shared" si="249"/>
        <v>Dalgona Estate1</v>
      </c>
      <c r="E1254" s="375" t="s">
        <v>2195</v>
      </c>
      <c r="F1254" s="375"/>
      <c r="G1254" s="375" t="s">
        <v>2196</v>
      </c>
      <c r="H1254" s="375" t="s">
        <v>2197</v>
      </c>
      <c r="I1254" s="63" t="s">
        <v>2198</v>
      </c>
      <c r="J1254" s="47">
        <f>J$7</f>
        <v>3740</v>
      </c>
      <c r="K1254" s="46" t="s">
        <v>10735</v>
      </c>
      <c r="L1254" s="47" t="s">
        <v>504</v>
      </c>
      <c r="M1254" s="47">
        <f>M$7</f>
        <v>1430.0000000000002</v>
      </c>
      <c r="N1254" s="47"/>
      <c r="O1254" s="47" t="s">
        <v>2199</v>
      </c>
      <c r="P1254" s="47" t="s">
        <v>1846</v>
      </c>
      <c r="Q1254" s="47"/>
      <c r="R1254" s="47">
        <f>R$2</f>
        <v>540</v>
      </c>
      <c r="S1254" s="47"/>
      <c r="T1254" s="47"/>
      <c r="U1254" s="47"/>
      <c r="V1254" s="47" t="s">
        <v>2200</v>
      </c>
      <c r="W1254" s="47" t="s">
        <v>2201</v>
      </c>
      <c r="X1254" s="47">
        <f t="shared" si="257"/>
        <v>3000</v>
      </c>
      <c r="Y1254" s="47" t="s">
        <v>2202</v>
      </c>
      <c r="Z1254" s="47">
        <f t="shared" si="252"/>
        <v>4620</v>
      </c>
      <c r="AA1254" s="47">
        <f>AA$7</f>
        <v>1400</v>
      </c>
      <c r="AB1254" s="47">
        <f>AB$7</f>
        <v>2800</v>
      </c>
      <c r="AC1254" s="47" t="s">
        <v>2203</v>
      </c>
      <c r="AD1254" s="47" t="s">
        <v>2204</v>
      </c>
      <c r="AE1254" s="47" t="s">
        <v>2205</v>
      </c>
      <c r="AF1254" s="47">
        <f>AF$7</f>
        <v>1485</v>
      </c>
      <c r="AG1254" s="47" t="s">
        <v>2206</v>
      </c>
      <c r="AH1254" s="47">
        <f>IFERROR(_xlfn.XLOOKUP(Table6[[#This Row],[Suburb]],Table5[Travel Surcharge],Table5[$$]),"")</f>
        <v>1500</v>
      </c>
      <c r="AI1254" s="47" t="s">
        <v>2207</v>
      </c>
      <c r="AJ1254" s="47"/>
    </row>
    <row r="1255" spans="1:36">
      <c r="A1255" s="374" t="s">
        <v>2194</v>
      </c>
      <c r="B1255" s="374">
        <v>2</v>
      </c>
      <c r="C1255" s="374" t="s">
        <v>281</v>
      </c>
      <c r="D1255" s="375" t="str">
        <f t="shared" si="249"/>
        <v>Dalgona Estate2</v>
      </c>
      <c r="E1255" s="375" t="s">
        <v>9383</v>
      </c>
      <c r="F1255" s="375"/>
      <c r="G1255" s="375" t="s">
        <v>2196</v>
      </c>
      <c r="H1255" s="375" t="s">
        <v>2197</v>
      </c>
      <c r="I1255" s="63" t="s">
        <v>2198</v>
      </c>
      <c r="J1255" s="47">
        <f>J$7</f>
        <v>3740</v>
      </c>
      <c r="K1255" s="46" t="s">
        <v>10735</v>
      </c>
      <c r="L1255" s="47" t="s">
        <v>504</v>
      </c>
      <c r="M1255" s="47">
        <f>M$7</f>
        <v>1430.0000000000002</v>
      </c>
      <c r="N1255" s="47"/>
      <c r="O1255" s="47" t="s">
        <v>2199</v>
      </c>
      <c r="P1255" s="47" t="s">
        <v>1846</v>
      </c>
      <c r="Q1255" s="47"/>
      <c r="R1255" s="47">
        <f>R$2</f>
        <v>540</v>
      </c>
      <c r="S1255" s="47"/>
      <c r="T1255" s="47"/>
      <c r="U1255" s="47"/>
      <c r="V1255" s="47" t="s">
        <v>2200</v>
      </c>
      <c r="W1255" s="47" t="s">
        <v>2201</v>
      </c>
      <c r="X1255" s="47">
        <f t="shared" si="257"/>
        <v>3000</v>
      </c>
      <c r="Y1255" s="47" t="s">
        <v>2202</v>
      </c>
      <c r="Z1255" s="47">
        <f t="shared" si="252"/>
        <v>4620</v>
      </c>
      <c r="AA1255" s="47">
        <f>AA$7</f>
        <v>1400</v>
      </c>
      <c r="AB1255" s="47">
        <f>AB$7</f>
        <v>2800</v>
      </c>
      <c r="AC1255" s="47" t="s">
        <v>2203</v>
      </c>
      <c r="AD1255" s="47" t="s">
        <v>2204</v>
      </c>
      <c r="AE1255" s="47" t="s">
        <v>2205</v>
      </c>
      <c r="AF1255" s="47">
        <f>AF$7</f>
        <v>1485</v>
      </c>
      <c r="AG1255" s="47" t="s">
        <v>2206</v>
      </c>
      <c r="AH1255" s="47">
        <f>IFERROR(_xlfn.XLOOKUP(Table6[[#This Row],[Suburb]],Table5[Travel Surcharge],Table5[$$]),"")</f>
        <v>1500</v>
      </c>
      <c r="AI1255" s="47" t="s">
        <v>2207</v>
      </c>
      <c r="AJ1255" s="47"/>
    </row>
    <row r="1256" spans="1:36">
      <c r="A1256" s="374" t="s">
        <v>9351</v>
      </c>
      <c r="B1256" s="374">
        <v>5</v>
      </c>
      <c r="C1256" s="374" t="s">
        <v>1590</v>
      </c>
      <c r="D1256" s="375" t="str">
        <f t="shared" si="249"/>
        <v>Danthonia Ave 5</v>
      </c>
      <c r="E1256" s="375" t="s">
        <v>8649</v>
      </c>
      <c r="F1256" s="375" t="s">
        <v>9350</v>
      </c>
      <c r="G1256" s="375" t="s">
        <v>9347</v>
      </c>
      <c r="H1256" s="375" t="s">
        <v>9348</v>
      </c>
      <c r="I1256" s="63" t="s">
        <v>9349</v>
      </c>
      <c r="J1256" s="47"/>
      <c r="K1256" s="46"/>
      <c r="L1256" s="47"/>
      <c r="M1256" s="47"/>
      <c r="N1256" s="47"/>
      <c r="O1256" s="47">
        <f>O$7</f>
        <v>4950</v>
      </c>
      <c r="P1256" s="47"/>
      <c r="Q1256" s="47"/>
      <c r="R1256" s="47"/>
      <c r="S1256" s="47">
        <f>S$2</f>
        <v>590</v>
      </c>
      <c r="T1256" s="47"/>
      <c r="U1256" s="47"/>
      <c r="V1256" s="47"/>
      <c r="W1256" s="47"/>
      <c r="X1256" s="47"/>
      <c r="Y1256" s="47"/>
      <c r="Z1256" s="47">
        <f t="shared" si="252"/>
        <v>4620</v>
      </c>
      <c r="AA1256" s="47"/>
      <c r="AB1256" s="47"/>
      <c r="AC1256" s="47"/>
      <c r="AD1256" s="47"/>
      <c r="AE1256" s="47"/>
      <c r="AF1256" s="47"/>
      <c r="AG1256" s="47"/>
      <c r="AH1256" s="47" t="str">
        <f>IFERROR(_xlfn.XLOOKUP(Table6[[#This Row],[Suburb]],Table5[Travel Surcharge],Table5[$$]),"")</f>
        <v/>
      </c>
      <c r="AI1256" s="47"/>
      <c r="AJ1256" s="47"/>
    </row>
    <row r="1257" spans="1:36">
      <c r="A1257" s="374" t="s">
        <v>9467</v>
      </c>
      <c r="B1257" s="374">
        <v>2</v>
      </c>
      <c r="C1257" s="374" t="s">
        <v>3427</v>
      </c>
      <c r="D1257" s="375" t="str">
        <f t="shared" si="249"/>
        <v>Darling Darley2</v>
      </c>
      <c r="E1257" s="375" t="s">
        <v>9468</v>
      </c>
      <c r="F1257" s="375"/>
      <c r="G1257" s="375" t="s">
        <v>9469</v>
      </c>
      <c r="H1257" s="375">
        <v>455473061</v>
      </c>
      <c r="I1257" s="63" t="s">
        <v>9470</v>
      </c>
      <c r="J1257" s="47"/>
      <c r="K1257" s="46"/>
      <c r="L1257" s="47" t="s">
        <v>9473</v>
      </c>
      <c r="M1257" s="47"/>
      <c r="N1257" s="47"/>
      <c r="O1257" s="47">
        <f>O$7</f>
        <v>4950</v>
      </c>
      <c r="P1257" s="47"/>
      <c r="Q1257" s="47"/>
      <c r="R1257" s="47"/>
      <c r="S1257" s="47" t="s">
        <v>9472</v>
      </c>
      <c r="T1257" s="47"/>
      <c r="U1257" s="47"/>
      <c r="V1257" s="47" t="s">
        <v>9471</v>
      </c>
      <c r="W1257" s="47"/>
      <c r="X1257" s="47"/>
      <c r="Y1257" s="47"/>
      <c r="Z1257" s="47">
        <f t="shared" si="252"/>
        <v>4620</v>
      </c>
      <c r="AA1257" s="47"/>
      <c r="AB1257" s="47"/>
      <c r="AC1257" s="47"/>
      <c r="AD1257" s="47" t="s">
        <v>345</v>
      </c>
      <c r="AE1257" s="47"/>
      <c r="AF1257" s="47"/>
      <c r="AG1257" s="47"/>
      <c r="AH1257" s="47" t="str">
        <f>IFERROR(_xlfn.XLOOKUP(Table6[[#This Row],[Suburb]],Table5[Travel Surcharge],Table5[$$]),"")</f>
        <v/>
      </c>
      <c r="AI1257" s="47"/>
      <c r="AJ1257" s="47"/>
    </row>
    <row r="1258" spans="1:36">
      <c r="A1258" s="374" t="s">
        <v>7644</v>
      </c>
      <c r="B1258" s="374">
        <v>5</v>
      </c>
      <c r="C1258" s="374" t="s">
        <v>567</v>
      </c>
      <c r="D1258" s="375" t="str">
        <f t="shared" si="249"/>
        <v>Davis Vineyard5</v>
      </c>
      <c r="E1258" s="375" t="s">
        <v>9641</v>
      </c>
      <c r="F1258" s="375"/>
      <c r="G1258" s="375"/>
      <c r="H1258" s="375"/>
      <c r="I1258" s="63"/>
      <c r="J1258" s="47"/>
      <c r="K1258" s="46" t="s">
        <v>10735</v>
      </c>
      <c r="L1258" s="47" t="s">
        <v>7651</v>
      </c>
      <c r="M1258" s="47" t="s">
        <v>7650</v>
      </c>
      <c r="N1258" s="47" t="s">
        <v>7649</v>
      </c>
      <c r="O1258" s="47"/>
      <c r="P1258" s="47"/>
      <c r="Q1258" s="47">
        <v>0</v>
      </c>
      <c r="R1258" s="47" t="s">
        <v>986</v>
      </c>
      <c r="S1258" s="47" t="s">
        <v>7652</v>
      </c>
      <c r="T1258" s="47"/>
      <c r="U1258" s="47"/>
      <c r="V1258" s="47" t="s">
        <v>7647</v>
      </c>
      <c r="W1258" s="47" t="s">
        <v>7646</v>
      </c>
      <c r="X1258" s="47" t="s">
        <v>7648</v>
      </c>
      <c r="Y1258" s="47"/>
      <c r="Z1258" s="47">
        <v>4620</v>
      </c>
      <c r="AA1258" s="47"/>
      <c r="AB1258" s="47"/>
      <c r="AC1258" s="47"/>
      <c r="AD1258" s="47" t="s">
        <v>1</v>
      </c>
      <c r="AE1258" s="47"/>
      <c r="AF1258" s="47">
        <v>1485</v>
      </c>
      <c r="AG1258" s="47"/>
      <c r="AH1258" s="47" t="str">
        <f>IFERROR(_xlfn.XLOOKUP(Table6[[#This Row],[Suburb]],Table5[Travel Surcharge],Table5[$$]),"")</f>
        <v/>
      </c>
      <c r="AI1258" s="47"/>
      <c r="AJ1258" s="47"/>
    </row>
    <row r="1259" spans="1:36">
      <c r="A1259" s="157" t="s">
        <v>7644</v>
      </c>
      <c r="B1259" s="157">
        <v>2</v>
      </c>
      <c r="C1259" s="157" t="s">
        <v>567</v>
      </c>
      <c r="D1259" s="157" t="str">
        <f t="shared" si="249"/>
        <v>Davis Vineyard2</v>
      </c>
      <c r="E1259" s="157" t="s">
        <v>7741</v>
      </c>
      <c r="F1259" s="157"/>
      <c r="G1259" s="157"/>
      <c r="H1259" s="157"/>
      <c r="I1259" s="158"/>
      <c r="J1259" s="47"/>
      <c r="K1259" s="46" t="s">
        <v>10735</v>
      </c>
      <c r="L1259" s="47" t="s">
        <v>7651</v>
      </c>
      <c r="M1259" s="47" t="s">
        <v>7650</v>
      </c>
      <c r="N1259" s="47" t="s">
        <v>7649</v>
      </c>
      <c r="O1259" s="47"/>
      <c r="P1259" s="47"/>
      <c r="Q1259" s="47">
        <f t="shared" ref="Q1259:Q1270" si="259">Q$2</f>
        <v>0</v>
      </c>
      <c r="R1259" s="47" t="s">
        <v>986</v>
      </c>
      <c r="S1259" s="47" t="s">
        <v>7652</v>
      </c>
      <c r="T1259" s="47"/>
      <c r="U1259" s="47"/>
      <c r="V1259" s="47" t="s">
        <v>7647</v>
      </c>
      <c r="W1259" s="47" t="s">
        <v>7646</v>
      </c>
      <c r="X1259" s="47" t="s">
        <v>7648</v>
      </c>
      <c r="Y1259" s="47"/>
      <c r="Z1259" s="47">
        <f t="shared" ref="Z1259:Z1271" si="260">Z$7</f>
        <v>4620</v>
      </c>
      <c r="AA1259" s="47"/>
      <c r="AB1259" s="47"/>
      <c r="AC1259" s="47"/>
      <c r="AD1259" s="47" t="s">
        <v>1</v>
      </c>
      <c r="AE1259" s="47"/>
      <c r="AF1259" s="47">
        <f t="shared" ref="AF1259:AF1271" si="261">AF$7</f>
        <v>1485</v>
      </c>
      <c r="AG1259" s="47"/>
      <c r="AH1259" s="47" t="str">
        <f>IFERROR(_xlfn.XLOOKUP(Table6[[#This Row],[Suburb]],Table5[Travel Surcharge],Table5[$$]),"")</f>
        <v/>
      </c>
      <c r="AI1259" s="47"/>
      <c r="AJ1259" s="47"/>
    </row>
    <row r="1260" spans="1:36">
      <c r="A1260" s="157" t="s">
        <v>7644</v>
      </c>
      <c r="B1260" s="157">
        <v>3</v>
      </c>
      <c r="C1260" s="157" t="s">
        <v>567</v>
      </c>
      <c r="D1260" s="157" t="str">
        <f t="shared" si="249"/>
        <v>Davis Vineyard3</v>
      </c>
      <c r="E1260" s="157" t="s">
        <v>7645</v>
      </c>
      <c r="F1260" s="157"/>
      <c r="G1260" s="157"/>
      <c r="H1260" s="157"/>
      <c r="I1260" s="158"/>
      <c r="J1260" s="47"/>
      <c r="K1260" s="46" t="s">
        <v>10735</v>
      </c>
      <c r="L1260" s="47" t="s">
        <v>7651</v>
      </c>
      <c r="M1260" s="47" t="s">
        <v>7650</v>
      </c>
      <c r="N1260" s="47" t="s">
        <v>7649</v>
      </c>
      <c r="O1260" s="47"/>
      <c r="P1260" s="47"/>
      <c r="Q1260" s="47">
        <f t="shared" si="259"/>
        <v>0</v>
      </c>
      <c r="R1260" s="47" t="s">
        <v>986</v>
      </c>
      <c r="S1260" s="47" t="s">
        <v>7652</v>
      </c>
      <c r="T1260" s="47"/>
      <c r="U1260" s="47"/>
      <c r="V1260" s="47" t="s">
        <v>7647</v>
      </c>
      <c r="W1260" s="47" t="s">
        <v>7646</v>
      </c>
      <c r="X1260" s="47" t="s">
        <v>7648</v>
      </c>
      <c r="Y1260" s="47"/>
      <c r="Z1260" s="47">
        <f t="shared" si="260"/>
        <v>4620</v>
      </c>
      <c r="AA1260" s="47"/>
      <c r="AB1260" s="47"/>
      <c r="AC1260" s="47"/>
      <c r="AD1260" s="47" t="s">
        <v>1</v>
      </c>
      <c r="AE1260" s="47"/>
      <c r="AF1260" s="47">
        <f t="shared" si="261"/>
        <v>1485</v>
      </c>
      <c r="AG1260" s="47"/>
      <c r="AH1260" s="47" t="str">
        <f>IFERROR(_xlfn.XLOOKUP(Table6[[#This Row],[Suburb]],Table5[Travel Surcharge],Table5[$$]),"")</f>
        <v/>
      </c>
      <c r="AI1260" s="47"/>
      <c r="AJ1260" s="47"/>
    </row>
    <row r="1261" spans="1:36">
      <c r="A1261" s="157" t="s">
        <v>7644</v>
      </c>
      <c r="B1261" s="157">
        <v>4</v>
      </c>
      <c r="C1261" s="157" t="s">
        <v>567</v>
      </c>
      <c r="D1261" s="157" t="str">
        <f t="shared" si="249"/>
        <v>Davis Vineyard4</v>
      </c>
      <c r="E1261" s="157" t="s">
        <v>8790</v>
      </c>
      <c r="F1261" s="157"/>
      <c r="G1261" s="157"/>
      <c r="H1261" s="157"/>
      <c r="I1261" s="158"/>
      <c r="J1261" s="47"/>
      <c r="K1261" s="46" t="s">
        <v>10735</v>
      </c>
      <c r="L1261" s="47" t="s">
        <v>7651</v>
      </c>
      <c r="M1261" s="47" t="s">
        <v>7650</v>
      </c>
      <c r="N1261" s="47" t="s">
        <v>7649</v>
      </c>
      <c r="O1261" s="47"/>
      <c r="P1261" s="47"/>
      <c r="Q1261" s="47">
        <f t="shared" si="259"/>
        <v>0</v>
      </c>
      <c r="R1261" s="47" t="s">
        <v>986</v>
      </c>
      <c r="S1261" s="47" t="s">
        <v>7652</v>
      </c>
      <c r="T1261" s="47"/>
      <c r="U1261" s="47"/>
      <c r="V1261" s="47" t="s">
        <v>7647</v>
      </c>
      <c r="W1261" s="47" t="s">
        <v>7646</v>
      </c>
      <c r="X1261" s="47" t="s">
        <v>7648</v>
      </c>
      <c r="Y1261" s="47"/>
      <c r="Z1261" s="47">
        <f t="shared" si="260"/>
        <v>4620</v>
      </c>
      <c r="AA1261" s="47"/>
      <c r="AB1261" s="47"/>
      <c r="AC1261" s="47"/>
      <c r="AD1261" s="47" t="s">
        <v>1</v>
      </c>
      <c r="AE1261" s="47"/>
      <c r="AF1261" s="47">
        <f t="shared" si="261"/>
        <v>1485</v>
      </c>
      <c r="AG1261" s="47"/>
      <c r="AH1261" s="47" t="str">
        <f>IFERROR(_xlfn.XLOOKUP(Table6[[#This Row],[Suburb]],Table5[Travel Surcharge],Table5[$$]),"")</f>
        <v/>
      </c>
      <c r="AI1261" s="47"/>
      <c r="AJ1261" s="47"/>
    </row>
    <row r="1262" spans="1:36">
      <c r="A1262" s="157" t="s">
        <v>7644</v>
      </c>
      <c r="B1262" s="157">
        <v>5</v>
      </c>
      <c r="C1262" s="157" t="s">
        <v>567</v>
      </c>
      <c r="D1262" s="157" t="str">
        <f t="shared" si="249"/>
        <v>Davis Vineyard5</v>
      </c>
      <c r="E1262" s="157" t="s">
        <v>9641</v>
      </c>
      <c r="F1262" s="157"/>
      <c r="G1262" s="157"/>
      <c r="H1262" s="157"/>
      <c r="I1262" s="158"/>
      <c r="J1262" s="47"/>
      <c r="K1262" s="46" t="s">
        <v>10735</v>
      </c>
      <c r="L1262" s="47" t="s">
        <v>7651</v>
      </c>
      <c r="M1262" s="47" t="s">
        <v>7650</v>
      </c>
      <c r="N1262" s="47" t="s">
        <v>7649</v>
      </c>
      <c r="O1262" s="47"/>
      <c r="P1262" s="47"/>
      <c r="Q1262" s="47">
        <f t="shared" si="259"/>
        <v>0</v>
      </c>
      <c r="R1262" s="47" t="s">
        <v>986</v>
      </c>
      <c r="S1262" s="47" t="s">
        <v>7652</v>
      </c>
      <c r="T1262" s="47"/>
      <c r="U1262" s="47"/>
      <c r="V1262" s="47" t="s">
        <v>7647</v>
      </c>
      <c r="W1262" s="47" t="s">
        <v>7646</v>
      </c>
      <c r="X1262" s="47" t="s">
        <v>7648</v>
      </c>
      <c r="Y1262" s="47"/>
      <c r="Z1262" s="47">
        <f t="shared" si="260"/>
        <v>4620</v>
      </c>
      <c r="AA1262" s="47"/>
      <c r="AB1262" s="47"/>
      <c r="AC1262" s="47"/>
      <c r="AD1262" s="47" t="s">
        <v>1</v>
      </c>
      <c r="AE1262" s="47"/>
      <c r="AF1262" s="47">
        <f t="shared" si="261"/>
        <v>1485</v>
      </c>
      <c r="AG1262" s="47"/>
      <c r="AH1262" s="47" t="str">
        <f>IFERROR(_xlfn.XLOOKUP(Table6[[#This Row],[Suburb]],Table5[Travel Surcharge],Table5[$$]),"")</f>
        <v/>
      </c>
      <c r="AI1262" s="47"/>
      <c r="AJ1262" s="47"/>
    </row>
    <row r="1263" spans="1:36">
      <c r="A1263" s="157" t="s">
        <v>7644</v>
      </c>
      <c r="B1263" s="157">
        <v>6</v>
      </c>
      <c r="C1263" s="157" t="s">
        <v>567</v>
      </c>
      <c r="D1263" s="157" t="str">
        <f t="shared" si="249"/>
        <v>Davis Vineyard6</v>
      </c>
      <c r="E1263" s="157" t="s">
        <v>8791</v>
      </c>
      <c r="F1263" s="157"/>
      <c r="G1263" s="157"/>
      <c r="H1263" s="157"/>
      <c r="I1263" s="158"/>
      <c r="J1263" s="47"/>
      <c r="K1263" s="46" t="s">
        <v>10735</v>
      </c>
      <c r="L1263" s="47" t="s">
        <v>7651</v>
      </c>
      <c r="M1263" s="47" t="s">
        <v>7650</v>
      </c>
      <c r="N1263" s="47" t="s">
        <v>7649</v>
      </c>
      <c r="O1263" s="47"/>
      <c r="P1263" s="47"/>
      <c r="Q1263" s="47">
        <f t="shared" si="259"/>
        <v>0</v>
      </c>
      <c r="R1263" s="47" t="s">
        <v>986</v>
      </c>
      <c r="S1263" s="47" t="s">
        <v>7652</v>
      </c>
      <c r="T1263" s="47"/>
      <c r="U1263" s="47"/>
      <c r="V1263" s="47" t="s">
        <v>7647</v>
      </c>
      <c r="W1263" s="47" t="s">
        <v>7646</v>
      </c>
      <c r="X1263" s="47" t="s">
        <v>7648</v>
      </c>
      <c r="Y1263" s="47"/>
      <c r="Z1263" s="47">
        <f t="shared" si="260"/>
        <v>4620</v>
      </c>
      <c r="AA1263" s="47"/>
      <c r="AB1263" s="47"/>
      <c r="AC1263" s="47"/>
      <c r="AD1263" s="47" t="s">
        <v>1</v>
      </c>
      <c r="AE1263" s="47"/>
      <c r="AF1263" s="47">
        <f t="shared" si="261"/>
        <v>1485</v>
      </c>
      <c r="AG1263" s="47"/>
      <c r="AH1263" s="47" t="str">
        <f>IFERROR(_xlfn.XLOOKUP(Table6[[#This Row],[Suburb]],Table5[Travel Surcharge],Table5[$$]),"")</f>
        <v/>
      </c>
      <c r="AI1263" s="47"/>
      <c r="AJ1263" s="47"/>
    </row>
    <row r="1264" spans="1:36">
      <c r="A1264" s="157" t="s">
        <v>7644</v>
      </c>
      <c r="B1264" s="157">
        <v>7</v>
      </c>
      <c r="C1264" s="157" t="s">
        <v>567</v>
      </c>
      <c r="D1264" s="157" t="str">
        <f t="shared" si="249"/>
        <v>Davis Vineyard7</v>
      </c>
      <c r="E1264" s="157" t="s">
        <v>8792</v>
      </c>
      <c r="F1264" s="157"/>
      <c r="G1264" s="157"/>
      <c r="H1264" s="157"/>
      <c r="I1264" s="158"/>
      <c r="J1264" s="47"/>
      <c r="K1264" s="46" t="s">
        <v>10735</v>
      </c>
      <c r="L1264" s="47" t="s">
        <v>7651</v>
      </c>
      <c r="M1264" s="47" t="s">
        <v>7650</v>
      </c>
      <c r="N1264" s="47" t="s">
        <v>7649</v>
      </c>
      <c r="O1264" s="47"/>
      <c r="P1264" s="47"/>
      <c r="Q1264" s="47">
        <f t="shared" si="259"/>
        <v>0</v>
      </c>
      <c r="R1264" s="47" t="s">
        <v>986</v>
      </c>
      <c r="S1264" s="47" t="s">
        <v>7652</v>
      </c>
      <c r="T1264" s="47"/>
      <c r="U1264" s="47"/>
      <c r="V1264" s="47" t="s">
        <v>7647</v>
      </c>
      <c r="W1264" s="47" t="s">
        <v>7646</v>
      </c>
      <c r="X1264" s="47" t="s">
        <v>7648</v>
      </c>
      <c r="Y1264" s="47"/>
      <c r="Z1264" s="47">
        <f t="shared" si="260"/>
        <v>4620</v>
      </c>
      <c r="AA1264" s="47"/>
      <c r="AB1264" s="47"/>
      <c r="AC1264" s="47"/>
      <c r="AD1264" s="47" t="s">
        <v>1</v>
      </c>
      <c r="AE1264" s="47"/>
      <c r="AF1264" s="47">
        <f t="shared" si="261"/>
        <v>1485</v>
      </c>
      <c r="AG1264" s="47"/>
      <c r="AH1264" s="47" t="str">
        <f>IFERROR(_xlfn.XLOOKUP(Table6[[#This Row],[Suburb]],Table5[Travel Surcharge],Table5[$$]),"")</f>
        <v/>
      </c>
      <c r="AI1264" s="47"/>
      <c r="AJ1264" s="47"/>
    </row>
    <row r="1265" spans="1:36">
      <c r="A1265" s="157" t="s">
        <v>7644</v>
      </c>
      <c r="B1265" s="157">
        <v>8</v>
      </c>
      <c r="C1265" s="157" t="s">
        <v>567</v>
      </c>
      <c r="D1265" s="157" t="str">
        <f t="shared" si="249"/>
        <v>Davis Vineyard8</v>
      </c>
      <c r="E1265" s="157" t="s">
        <v>8793</v>
      </c>
      <c r="F1265" s="157"/>
      <c r="G1265" s="157"/>
      <c r="H1265" s="157"/>
      <c r="I1265" s="158"/>
      <c r="J1265" s="47"/>
      <c r="K1265" s="46" t="s">
        <v>10735</v>
      </c>
      <c r="L1265" s="47" t="s">
        <v>7651</v>
      </c>
      <c r="M1265" s="47" t="s">
        <v>7650</v>
      </c>
      <c r="N1265" s="47" t="s">
        <v>7649</v>
      </c>
      <c r="O1265" s="47"/>
      <c r="P1265" s="47"/>
      <c r="Q1265" s="47">
        <f t="shared" si="259"/>
        <v>0</v>
      </c>
      <c r="R1265" s="47" t="s">
        <v>986</v>
      </c>
      <c r="S1265" s="47" t="s">
        <v>7652</v>
      </c>
      <c r="T1265" s="47"/>
      <c r="U1265" s="47"/>
      <c r="V1265" s="47" t="s">
        <v>7647</v>
      </c>
      <c r="W1265" s="47" t="s">
        <v>7646</v>
      </c>
      <c r="X1265" s="47" t="s">
        <v>7648</v>
      </c>
      <c r="Y1265" s="47"/>
      <c r="Z1265" s="47">
        <f t="shared" si="260"/>
        <v>4620</v>
      </c>
      <c r="AA1265" s="47"/>
      <c r="AB1265" s="47"/>
      <c r="AC1265" s="47"/>
      <c r="AD1265" s="47" t="s">
        <v>1</v>
      </c>
      <c r="AE1265" s="47"/>
      <c r="AF1265" s="47">
        <f t="shared" si="261"/>
        <v>1485</v>
      </c>
      <c r="AG1265" s="47"/>
      <c r="AH1265" s="47" t="str">
        <f>IFERROR(_xlfn.XLOOKUP(Table6[[#This Row],[Suburb]],Table5[Travel Surcharge],Table5[$$]),"")</f>
        <v/>
      </c>
      <c r="AI1265" s="47"/>
      <c r="AJ1265" s="47"/>
    </row>
    <row r="1266" spans="1:36">
      <c r="A1266" s="157" t="s">
        <v>7644</v>
      </c>
      <c r="B1266" s="157">
        <v>9</v>
      </c>
      <c r="C1266" s="157" t="s">
        <v>567</v>
      </c>
      <c r="D1266" s="157" t="str">
        <f t="shared" si="249"/>
        <v>Davis Vineyard9</v>
      </c>
      <c r="E1266" s="157" t="s">
        <v>8794</v>
      </c>
      <c r="F1266" s="157"/>
      <c r="G1266" s="157"/>
      <c r="H1266" s="157"/>
      <c r="I1266" s="158"/>
      <c r="J1266" s="47"/>
      <c r="K1266" s="46" t="s">
        <v>10735</v>
      </c>
      <c r="L1266" s="47" t="s">
        <v>7651</v>
      </c>
      <c r="M1266" s="47" t="s">
        <v>7650</v>
      </c>
      <c r="N1266" s="47" t="s">
        <v>7649</v>
      </c>
      <c r="O1266" s="47"/>
      <c r="P1266" s="47"/>
      <c r="Q1266" s="47">
        <f t="shared" si="259"/>
        <v>0</v>
      </c>
      <c r="R1266" s="47" t="s">
        <v>986</v>
      </c>
      <c r="S1266" s="47" t="s">
        <v>7652</v>
      </c>
      <c r="T1266" s="47"/>
      <c r="U1266" s="47"/>
      <c r="V1266" s="47" t="s">
        <v>7647</v>
      </c>
      <c r="W1266" s="47" t="s">
        <v>7646</v>
      </c>
      <c r="X1266" s="47" t="s">
        <v>7648</v>
      </c>
      <c r="Y1266" s="47"/>
      <c r="Z1266" s="47">
        <f t="shared" si="260"/>
        <v>4620</v>
      </c>
      <c r="AA1266" s="47"/>
      <c r="AB1266" s="47"/>
      <c r="AC1266" s="47"/>
      <c r="AD1266" s="47" t="s">
        <v>1</v>
      </c>
      <c r="AE1266" s="47"/>
      <c r="AF1266" s="47">
        <f t="shared" si="261"/>
        <v>1485</v>
      </c>
      <c r="AG1266" s="47"/>
      <c r="AH1266" s="47" t="str">
        <f>IFERROR(_xlfn.XLOOKUP(Table6[[#This Row],[Suburb]],Table5[Travel Surcharge],Table5[$$]),"")</f>
        <v/>
      </c>
      <c r="AI1266" s="47"/>
      <c r="AJ1266" s="47"/>
    </row>
    <row r="1267" spans="1:36">
      <c r="A1267" s="374" t="s">
        <v>2208</v>
      </c>
      <c r="B1267" s="374">
        <v>1</v>
      </c>
      <c r="C1267" s="374" t="s">
        <v>1660</v>
      </c>
      <c r="D1267" s="375" t="str">
        <f t="shared" si="249"/>
        <v>Deanside Central Estate1</v>
      </c>
      <c r="E1267" s="375" t="s">
        <v>2214</v>
      </c>
      <c r="F1267" s="375"/>
      <c r="G1267" s="375"/>
      <c r="H1267" s="375"/>
      <c r="I1267" s="63"/>
      <c r="J1267" s="47">
        <f>J$7</f>
        <v>3740</v>
      </c>
      <c r="K1267" s="46" t="s">
        <v>10735</v>
      </c>
      <c r="L1267" s="47">
        <f>L$7</f>
        <v>1210</v>
      </c>
      <c r="M1267" s="47" t="s">
        <v>474</v>
      </c>
      <c r="N1267" s="47" t="s">
        <v>2210</v>
      </c>
      <c r="O1267" s="47" t="s">
        <v>2211</v>
      </c>
      <c r="P1267" s="47"/>
      <c r="Q1267" s="47">
        <f t="shared" si="259"/>
        <v>0</v>
      </c>
      <c r="R1267" s="47"/>
      <c r="S1267" s="47"/>
      <c r="T1267" s="47"/>
      <c r="U1267" s="47" t="s">
        <v>2212</v>
      </c>
      <c r="V1267" s="47"/>
      <c r="W1267" s="47"/>
      <c r="X1267" s="47"/>
      <c r="Y1267" s="47"/>
      <c r="Z1267" s="47">
        <f t="shared" si="260"/>
        <v>4620</v>
      </c>
      <c r="AA1267" s="47">
        <f>AA$7</f>
        <v>1400</v>
      </c>
      <c r="AB1267" s="47"/>
      <c r="AC1267" s="47"/>
      <c r="AD1267" s="47"/>
      <c r="AE1267" s="47"/>
      <c r="AF1267" s="47">
        <f t="shared" si="261"/>
        <v>1485</v>
      </c>
      <c r="AG1267" s="47"/>
      <c r="AH1267" s="47" t="str">
        <f>IFERROR(_xlfn.XLOOKUP(Table6[[#This Row],[Suburb]],Table5[Travel Surcharge],Table5[$$]),"")</f>
        <v/>
      </c>
      <c r="AI1267" s="47"/>
      <c r="AJ1267" s="47"/>
    </row>
    <row r="1268" spans="1:36">
      <c r="A1268" s="374" t="s">
        <v>2208</v>
      </c>
      <c r="B1268" s="374">
        <v>2</v>
      </c>
      <c r="C1268" s="374" t="s">
        <v>1660</v>
      </c>
      <c r="D1268" s="375" t="str">
        <f t="shared" ref="D1268:D1310" si="262">CONCATENATE(A1268,B1268)</f>
        <v>Deanside Central Estate2</v>
      </c>
      <c r="E1268" s="375" t="s">
        <v>2209</v>
      </c>
      <c r="F1268" s="375"/>
      <c r="G1268" s="375"/>
      <c r="H1268" s="375"/>
      <c r="I1268" s="63"/>
      <c r="J1268" s="47">
        <f>J$7</f>
        <v>3740</v>
      </c>
      <c r="K1268" s="46" t="s">
        <v>10735</v>
      </c>
      <c r="L1268" s="47">
        <f>L$7</f>
        <v>1210</v>
      </c>
      <c r="M1268" s="47" t="s">
        <v>474</v>
      </c>
      <c r="N1268" s="47" t="s">
        <v>2210</v>
      </c>
      <c r="O1268" s="47" t="s">
        <v>2211</v>
      </c>
      <c r="P1268" s="47"/>
      <c r="Q1268" s="47">
        <f t="shared" si="259"/>
        <v>0</v>
      </c>
      <c r="R1268" s="47"/>
      <c r="S1268" s="47"/>
      <c r="T1268" s="47"/>
      <c r="U1268" s="47" t="s">
        <v>2212</v>
      </c>
      <c r="V1268" s="47"/>
      <c r="W1268" s="47"/>
      <c r="X1268" s="47"/>
      <c r="Y1268" s="47"/>
      <c r="Z1268" s="47">
        <f t="shared" si="260"/>
        <v>4620</v>
      </c>
      <c r="AA1268" s="47">
        <f>AA$7</f>
        <v>1400</v>
      </c>
      <c r="AB1268" s="47"/>
      <c r="AC1268" s="47"/>
      <c r="AD1268" s="47"/>
      <c r="AE1268" s="47"/>
      <c r="AF1268" s="47">
        <f t="shared" si="261"/>
        <v>1485</v>
      </c>
      <c r="AG1268" s="47"/>
      <c r="AH1268" s="47" t="str">
        <f>IFERROR(_xlfn.XLOOKUP(Table6[[#This Row],[Suburb]],Table5[Travel Surcharge],Table5[$$]),"")</f>
        <v/>
      </c>
      <c r="AI1268" s="47"/>
      <c r="AJ1268" s="47"/>
    </row>
    <row r="1269" spans="1:36">
      <c r="A1269" s="374" t="s">
        <v>2208</v>
      </c>
      <c r="B1269" s="374">
        <v>3</v>
      </c>
      <c r="C1269" s="374" t="s">
        <v>1660</v>
      </c>
      <c r="D1269" s="375" t="str">
        <f t="shared" si="262"/>
        <v>Deanside Central Estate3</v>
      </c>
      <c r="E1269" s="375" t="s">
        <v>2213</v>
      </c>
      <c r="F1269" s="375"/>
      <c r="G1269" s="375"/>
      <c r="H1269" s="375"/>
      <c r="I1269" s="63"/>
      <c r="J1269" s="47">
        <f>J$7</f>
        <v>3740</v>
      </c>
      <c r="K1269" s="46" t="s">
        <v>10735</v>
      </c>
      <c r="L1269" s="47">
        <f>L$7</f>
        <v>1210</v>
      </c>
      <c r="M1269" s="47" t="s">
        <v>474</v>
      </c>
      <c r="N1269" s="47" t="s">
        <v>2210</v>
      </c>
      <c r="O1269" s="47" t="s">
        <v>2211</v>
      </c>
      <c r="P1269" s="47"/>
      <c r="Q1269" s="47">
        <f t="shared" si="259"/>
        <v>0</v>
      </c>
      <c r="R1269" s="47"/>
      <c r="S1269" s="47"/>
      <c r="T1269" s="47"/>
      <c r="U1269" s="47" t="s">
        <v>2212</v>
      </c>
      <c r="V1269" s="47"/>
      <c r="W1269" s="47"/>
      <c r="X1269" s="47"/>
      <c r="Y1269" s="47"/>
      <c r="Z1269" s="47">
        <f t="shared" si="260"/>
        <v>4620</v>
      </c>
      <c r="AA1269" s="47">
        <f>AA$7</f>
        <v>1400</v>
      </c>
      <c r="AB1269" s="47"/>
      <c r="AC1269" s="47"/>
      <c r="AD1269" s="47"/>
      <c r="AE1269" s="47"/>
      <c r="AF1269" s="47">
        <f t="shared" si="261"/>
        <v>1485</v>
      </c>
      <c r="AG1269" s="47"/>
      <c r="AH1269" s="47" t="str">
        <f>IFERROR(_xlfn.XLOOKUP(Table6[[#This Row],[Suburb]],Table5[Travel Surcharge],Table5[$$]),"")</f>
        <v/>
      </c>
      <c r="AI1269" s="47"/>
      <c r="AJ1269" s="47"/>
    </row>
    <row r="1270" spans="1:36">
      <c r="A1270" s="374" t="s">
        <v>2208</v>
      </c>
      <c r="B1270" s="374" t="s">
        <v>528</v>
      </c>
      <c r="C1270" s="374" t="s">
        <v>1660</v>
      </c>
      <c r="D1270" s="375" t="str">
        <f t="shared" si="262"/>
        <v>Deanside Central Estate4A</v>
      </c>
      <c r="E1270" s="375" t="s">
        <v>2214</v>
      </c>
      <c r="F1270" s="375"/>
      <c r="G1270" s="375"/>
      <c r="H1270" s="375"/>
      <c r="I1270" s="63"/>
      <c r="J1270" s="47">
        <f>J$7</f>
        <v>3740</v>
      </c>
      <c r="K1270" s="46" t="s">
        <v>10735</v>
      </c>
      <c r="L1270" s="47">
        <f>L$7</f>
        <v>1210</v>
      </c>
      <c r="M1270" s="47" t="s">
        <v>474</v>
      </c>
      <c r="N1270" s="47" t="s">
        <v>2210</v>
      </c>
      <c r="O1270" s="47" t="s">
        <v>2211</v>
      </c>
      <c r="P1270" s="47"/>
      <c r="Q1270" s="47">
        <f t="shared" si="259"/>
        <v>0</v>
      </c>
      <c r="R1270" s="47"/>
      <c r="S1270" s="47"/>
      <c r="T1270" s="47"/>
      <c r="U1270" s="47" t="s">
        <v>2212</v>
      </c>
      <c r="V1270" s="47"/>
      <c r="W1270" s="47"/>
      <c r="X1270" s="47"/>
      <c r="Y1270" s="47"/>
      <c r="Z1270" s="47">
        <f t="shared" si="260"/>
        <v>4620</v>
      </c>
      <c r="AA1270" s="47">
        <f>AA$7</f>
        <v>1400</v>
      </c>
      <c r="AB1270" s="47"/>
      <c r="AC1270" s="47"/>
      <c r="AD1270" s="47"/>
      <c r="AE1270" s="47"/>
      <c r="AF1270" s="47">
        <f t="shared" si="261"/>
        <v>1485</v>
      </c>
      <c r="AG1270" s="47"/>
      <c r="AH1270" s="47" t="str">
        <f>IFERROR(_xlfn.XLOOKUP(Table6[[#This Row],[Suburb]],Table5[Travel Surcharge],Table5[$$]),"")</f>
        <v/>
      </c>
      <c r="AI1270" s="47"/>
      <c r="AJ1270" s="47"/>
    </row>
    <row r="1271" spans="1:36">
      <c r="A1271" s="374" t="s">
        <v>2215</v>
      </c>
      <c r="B1271" s="374">
        <v>1</v>
      </c>
      <c r="C1271" s="374" t="s">
        <v>1660</v>
      </c>
      <c r="D1271" s="375" t="str">
        <f t="shared" si="262"/>
        <v>Deanside Springs Estate1</v>
      </c>
      <c r="E1271" s="375" t="s">
        <v>2216</v>
      </c>
      <c r="F1271" s="375"/>
      <c r="G1271" s="375"/>
      <c r="H1271" s="375" t="s">
        <v>2217</v>
      </c>
      <c r="I1271" s="63" t="s">
        <v>2218</v>
      </c>
      <c r="J1271" s="47">
        <f>J$7</f>
        <v>3740</v>
      </c>
      <c r="K1271" s="46" t="s">
        <v>7938</v>
      </c>
      <c r="L1271" s="47" t="s">
        <v>504</v>
      </c>
      <c r="M1271" s="47">
        <f>M$7</f>
        <v>1430.0000000000002</v>
      </c>
      <c r="N1271" s="47" t="s">
        <v>2219</v>
      </c>
      <c r="O1271" s="47"/>
      <c r="P1271" s="47"/>
      <c r="Q1271" s="47"/>
      <c r="R1271" s="47"/>
      <c r="S1271" s="47"/>
      <c r="T1271" s="47"/>
      <c r="U1271" s="47">
        <f>U$2</f>
        <v>430</v>
      </c>
      <c r="V1271" s="47"/>
      <c r="W1271" s="47"/>
      <c r="X1271" s="47"/>
      <c r="Y1271" s="47"/>
      <c r="Z1271" s="47">
        <f t="shared" si="260"/>
        <v>4620</v>
      </c>
      <c r="AA1271" s="47"/>
      <c r="AB1271" s="47"/>
      <c r="AC1271" s="47"/>
      <c r="AD1271" s="47"/>
      <c r="AE1271" s="47"/>
      <c r="AF1271" s="47">
        <f t="shared" si="261"/>
        <v>1485</v>
      </c>
      <c r="AG1271" s="47"/>
      <c r="AH1271" s="47" t="str">
        <f>IFERROR(_xlfn.XLOOKUP(Table6[[#This Row],[Suburb]],Table5[Travel Surcharge],Table5[$$]),"")</f>
        <v/>
      </c>
      <c r="AI1271" s="47"/>
      <c r="AJ1271" s="47"/>
    </row>
    <row r="1272" spans="1:36">
      <c r="A1272" s="374" t="s">
        <v>2215</v>
      </c>
      <c r="B1272" s="374">
        <v>2</v>
      </c>
      <c r="C1272" s="374" t="s">
        <v>1660</v>
      </c>
      <c r="D1272" s="375" t="str">
        <f t="shared" si="262"/>
        <v>Deanside Springs Estate2</v>
      </c>
      <c r="E1272" s="375" t="s">
        <v>8757</v>
      </c>
      <c r="F1272" s="375"/>
      <c r="G1272" s="375"/>
      <c r="H1272" s="375" t="s">
        <v>2217</v>
      </c>
      <c r="I1272" s="63" t="s">
        <v>2218</v>
      </c>
      <c r="J1272" s="47">
        <v>3740</v>
      </c>
      <c r="K1272" s="46" t="s">
        <v>7938</v>
      </c>
      <c r="L1272" s="47" t="s">
        <v>504</v>
      </c>
      <c r="M1272" s="47">
        <v>1430.0000000000002</v>
      </c>
      <c r="N1272" s="47" t="s">
        <v>2219</v>
      </c>
      <c r="O1272" s="47"/>
      <c r="P1272" s="47"/>
      <c r="Q1272" s="47"/>
      <c r="R1272" s="47"/>
      <c r="S1272" s="47"/>
      <c r="T1272" s="47"/>
      <c r="U1272" s="47">
        <v>540</v>
      </c>
      <c r="V1272" s="47"/>
      <c r="W1272" s="47"/>
      <c r="X1272" s="47"/>
      <c r="Y1272" s="47"/>
      <c r="Z1272" s="47">
        <v>4620</v>
      </c>
      <c r="AA1272" s="47"/>
      <c r="AB1272" s="47"/>
      <c r="AC1272" s="47"/>
      <c r="AD1272" s="47"/>
      <c r="AE1272" s="47"/>
      <c r="AF1272" s="47">
        <v>1650.0000000000002</v>
      </c>
      <c r="AG1272" s="47"/>
      <c r="AH1272" s="47" t="str">
        <f>IFERROR(_xlfn.XLOOKUP(Table6[[#This Row],[Suburb]],Table5[Travel Surcharge],Table5[$$]),"")</f>
        <v/>
      </c>
      <c r="AI1272" s="47"/>
      <c r="AJ1272" s="47"/>
    </row>
    <row r="1273" spans="1:36">
      <c r="A1273" s="374" t="s">
        <v>2220</v>
      </c>
      <c r="B1273" s="374">
        <v>1</v>
      </c>
      <c r="C1273" s="374" t="s">
        <v>1660</v>
      </c>
      <c r="D1273" s="375" t="str">
        <f t="shared" si="262"/>
        <v>Deanside Village Estate1</v>
      </c>
      <c r="E1273" s="375" t="s">
        <v>2221</v>
      </c>
      <c r="F1273" s="375" t="s">
        <v>2222</v>
      </c>
      <c r="G1273" s="375" t="s">
        <v>2223</v>
      </c>
      <c r="H1273" s="375" t="s">
        <v>2224</v>
      </c>
      <c r="I1273" s="63"/>
      <c r="J1273" s="47"/>
      <c r="K1273" s="46" t="s">
        <v>10735</v>
      </c>
      <c r="L1273" s="47" t="s">
        <v>2225</v>
      </c>
      <c r="M1273" s="47">
        <f t="shared" ref="M1273:M1282" si="263">M$7</f>
        <v>1430.0000000000002</v>
      </c>
      <c r="N1273" s="47" t="s">
        <v>2226</v>
      </c>
      <c r="O1273" s="47">
        <f t="shared" ref="O1273:O1282" si="264">O$7</f>
        <v>4950</v>
      </c>
      <c r="P1273" s="47"/>
      <c r="Q1273" s="47"/>
      <c r="R1273" s="47"/>
      <c r="S1273" s="47"/>
      <c r="T1273" s="47">
        <f t="shared" ref="T1273:T1305" si="265">T$2</f>
        <v>780</v>
      </c>
      <c r="U1273" s="47"/>
      <c r="V1273" s="47"/>
      <c r="W1273" s="47"/>
      <c r="X1273" s="47"/>
      <c r="Y1273" s="47"/>
      <c r="Z1273" s="47">
        <f t="shared" ref="Z1273:Z1282" si="266">Z$7</f>
        <v>4620</v>
      </c>
      <c r="AA1273" s="47"/>
      <c r="AB1273" s="47"/>
      <c r="AC1273" s="47"/>
      <c r="AD1273" s="47" t="s">
        <v>1</v>
      </c>
      <c r="AE1273" s="47"/>
      <c r="AF1273" s="47">
        <v>1650</v>
      </c>
      <c r="AG1273" s="47"/>
      <c r="AH1273" s="47" t="str">
        <f>IFERROR(_xlfn.XLOOKUP(Table6[[#This Row],[Suburb]],Table5[Travel Surcharge],Table5[$$]),"")</f>
        <v/>
      </c>
      <c r="AI1273" s="47"/>
      <c r="AJ1273" s="47"/>
    </row>
    <row r="1274" spans="1:36">
      <c r="A1274" s="374" t="s">
        <v>2220</v>
      </c>
      <c r="B1274" s="374">
        <v>3</v>
      </c>
      <c r="C1274" s="374" t="s">
        <v>1660</v>
      </c>
      <c r="D1274" s="375" t="str">
        <f t="shared" si="262"/>
        <v>Deanside Village Estate3</v>
      </c>
      <c r="E1274" s="375" t="s">
        <v>2227</v>
      </c>
      <c r="F1274" s="375" t="s">
        <v>2222</v>
      </c>
      <c r="G1274" s="375" t="s">
        <v>2223</v>
      </c>
      <c r="H1274" s="375" t="s">
        <v>2224</v>
      </c>
      <c r="I1274" s="63"/>
      <c r="J1274" s="47"/>
      <c r="K1274" s="46" t="s">
        <v>10735</v>
      </c>
      <c r="L1274" s="47" t="s">
        <v>2225</v>
      </c>
      <c r="M1274" s="47">
        <f t="shared" si="263"/>
        <v>1430.0000000000002</v>
      </c>
      <c r="N1274" s="47" t="s">
        <v>2226</v>
      </c>
      <c r="O1274" s="47">
        <f t="shared" si="264"/>
        <v>4950</v>
      </c>
      <c r="P1274" s="47"/>
      <c r="Q1274" s="47"/>
      <c r="R1274" s="47"/>
      <c r="S1274" s="47"/>
      <c r="T1274" s="47">
        <f t="shared" si="265"/>
        <v>780</v>
      </c>
      <c r="U1274" s="47"/>
      <c r="V1274" s="47"/>
      <c r="W1274" s="47"/>
      <c r="X1274" s="47"/>
      <c r="Y1274" s="47"/>
      <c r="Z1274" s="47">
        <f t="shared" si="266"/>
        <v>4620</v>
      </c>
      <c r="AA1274" s="47"/>
      <c r="AB1274" s="47"/>
      <c r="AC1274" s="47"/>
      <c r="AD1274" s="47" t="s">
        <v>1</v>
      </c>
      <c r="AE1274" s="47"/>
      <c r="AF1274" s="47">
        <v>1650</v>
      </c>
      <c r="AG1274" s="47"/>
      <c r="AH1274" s="47" t="str">
        <f>IFERROR(_xlfn.XLOOKUP(Table6[[#This Row],[Suburb]],Table5[Travel Surcharge],Table5[$$]),"")</f>
        <v/>
      </c>
      <c r="AI1274" s="47"/>
      <c r="AJ1274" s="47"/>
    </row>
    <row r="1275" spans="1:36">
      <c r="A1275" s="374" t="s">
        <v>2220</v>
      </c>
      <c r="B1275" s="374">
        <v>7</v>
      </c>
      <c r="C1275" s="374" t="s">
        <v>1660</v>
      </c>
      <c r="D1275" s="375" t="str">
        <f t="shared" si="262"/>
        <v>Deanside Village Estate7</v>
      </c>
      <c r="E1275" s="375" t="s">
        <v>2228</v>
      </c>
      <c r="F1275" s="375" t="s">
        <v>2222</v>
      </c>
      <c r="G1275" s="375" t="s">
        <v>2223</v>
      </c>
      <c r="H1275" s="375" t="s">
        <v>2224</v>
      </c>
      <c r="I1275" s="63"/>
      <c r="J1275" s="47"/>
      <c r="K1275" s="46" t="s">
        <v>10735</v>
      </c>
      <c r="L1275" s="47" t="s">
        <v>2225</v>
      </c>
      <c r="M1275" s="47">
        <f t="shared" si="263"/>
        <v>1430.0000000000002</v>
      </c>
      <c r="N1275" s="47" t="s">
        <v>2226</v>
      </c>
      <c r="O1275" s="47">
        <f t="shared" si="264"/>
        <v>4950</v>
      </c>
      <c r="P1275" s="47"/>
      <c r="Q1275" s="47"/>
      <c r="R1275" s="47"/>
      <c r="S1275" s="47"/>
      <c r="T1275" s="47">
        <f t="shared" si="265"/>
        <v>780</v>
      </c>
      <c r="U1275" s="47"/>
      <c r="V1275" s="47"/>
      <c r="W1275" s="47"/>
      <c r="X1275" s="47"/>
      <c r="Y1275" s="47"/>
      <c r="Z1275" s="47">
        <f t="shared" si="266"/>
        <v>4620</v>
      </c>
      <c r="AA1275" s="47"/>
      <c r="AB1275" s="47"/>
      <c r="AC1275" s="47"/>
      <c r="AD1275" s="47" t="s">
        <v>1</v>
      </c>
      <c r="AE1275" s="47"/>
      <c r="AF1275" s="47">
        <v>1650</v>
      </c>
      <c r="AG1275" s="47"/>
      <c r="AH1275" s="47" t="str">
        <f>IFERROR(_xlfn.XLOOKUP(Table6[[#This Row],[Suburb]],Table5[Travel Surcharge],Table5[$$]),"")</f>
        <v/>
      </c>
      <c r="AI1275" s="47"/>
      <c r="AJ1275" s="47"/>
    </row>
    <row r="1276" spans="1:36">
      <c r="A1276" s="374" t="s">
        <v>2220</v>
      </c>
      <c r="B1276" s="374">
        <v>8</v>
      </c>
      <c r="C1276" s="374" t="s">
        <v>1660</v>
      </c>
      <c r="D1276" s="375" t="str">
        <f t="shared" si="262"/>
        <v>Deanside Village Estate8</v>
      </c>
      <c r="E1276" s="375" t="s">
        <v>2229</v>
      </c>
      <c r="F1276" s="375" t="s">
        <v>2222</v>
      </c>
      <c r="G1276" s="375" t="s">
        <v>2223</v>
      </c>
      <c r="H1276" s="375" t="s">
        <v>2224</v>
      </c>
      <c r="I1276" s="63"/>
      <c r="J1276" s="47"/>
      <c r="K1276" s="46" t="s">
        <v>10735</v>
      </c>
      <c r="L1276" s="47" t="s">
        <v>2225</v>
      </c>
      <c r="M1276" s="47">
        <f t="shared" si="263"/>
        <v>1430.0000000000002</v>
      </c>
      <c r="N1276" s="47" t="s">
        <v>2226</v>
      </c>
      <c r="O1276" s="47">
        <f t="shared" si="264"/>
        <v>4950</v>
      </c>
      <c r="P1276" s="47"/>
      <c r="Q1276" s="47"/>
      <c r="R1276" s="47"/>
      <c r="S1276" s="47"/>
      <c r="T1276" s="47">
        <f t="shared" si="265"/>
        <v>780</v>
      </c>
      <c r="U1276" s="47"/>
      <c r="V1276" s="47"/>
      <c r="W1276" s="47"/>
      <c r="X1276" s="47"/>
      <c r="Y1276" s="47"/>
      <c r="Z1276" s="47">
        <f t="shared" si="266"/>
        <v>4620</v>
      </c>
      <c r="AA1276" s="47"/>
      <c r="AB1276" s="47"/>
      <c r="AC1276" s="47"/>
      <c r="AD1276" s="47" t="s">
        <v>1</v>
      </c>
      <c r="AE1276" s="47"/>
      <c r="AF1276" s="47">
        <v>1650</v>
      </c>
      <c r="AG1276" s="47"/>
      <c r="AH1276" s="47" t="str">
        <f>IFERROR(_xlfn.XLOOKUP(Table6[[#This Row],[Suburb]],Table5[Travel Surcharge],Table5[$$]),"")</f>
        <v/>
      </c>
      <c r="AI1276" s="47"/>
      <c r="AJ1276" s="47"/>
    </row>
    <row r="1277" spans="1:36">
      <c r="A1277" s="374" t="s">
        <v>2220</v>
      </c>
      <c r="B1277" s="374">
        <v>9</v>
      </c>
      <c r="C1277" s="374" t="s">
        <v>1660</v>
      </c>
      <c r="D1277" s="375" t="str">
        <f t="shared" si="262"/>
        <v>Deanside Village Estate9</v>
      </c>
      <c r="E1277" s="375" t="s">
        <v>2230</v>
      </c>
      <c r="F1277" s="375" t="s">
        <v>2222</v>
      </c>
      <c r="G1277" s="375" t="s">
        <v>2223</v>
      </c>
      <c r="H1277" s="375" t="s">
        <v>2224</v>
      </c>
      <c r="I1277" s="63"/>
      <c r="J1277" s="47"/>
      <c r="K1277" s="46" t="s">
        <v>10735</v>
      </c>
      <c r="L1277" s="47" t="s">
        <v>2225</v>
      </c>
      <c r="M1277" s="47">
        <f t="shared" si="263"/>
        <v>1430.0000000000002</v>
      </c>
      <c r="N1277" s="47" t="s">
        <v>2226</v>
      </c>
      <c r="O1277" s="47">
        <f t="shared" si="264"/>
        <v>4950</v>
      </c>
      <c r="P1277" s="47"/>
      <c r="Q1277" s="47"/>
      <c r="R1277" s="47"/>
      <c r="S1277" s="47"/>
      <c r="T1277" s="47">
        <f t="shared" si="265"/>
        <v>780</v>
      </c>
      <c r="U1277" s="47"/>
      <c r="V1277" s="47"/>
      <c r="W1277" s="47"/>
      <c r="X1277" s="47"/>
      <c r="Y1277" s="47"/>
      <c r="Z1277" s="47">
        <f t="shared" si="266"/>
        <v>4620</v>
      </c>
      <c r="AA1277" s="47"/>
      <c r="AB1277" s="47"/>
      <c r="AC1277" s="47"/>
      <c r="AD1277" s="47" t="s">
        <v>1</v>
      </c>
      <c r="AE1277" s="47"/>
      <c r="AF1277" s="47">
        <v>1650</v>
      </c>
      <c r="AG1277" s="47"/>
      <c r="AH1277" s="47" t="str">
        <f>IFERROR(_xlfn.XLOOKUP(Table6[[#This Row],[Suburb]],Table5[Travel Surcharge],Table5[$$]),"")</f>
        <v/>
      </c>
      <c r="AI1277" s="47"/>
      <c r="AJ1277" s="47"/>
    </row>
    <row r="1278" spans="1:36">
      <c r="A1278" s="374" t="s">
        <v>2220</v>
      </c>
      <c r="B1278" s="374">
        <v>10</v>
      </c>
      <c r="C1278" s="374" t="s">
        <v>1660</v>
      </c>
      <c r="D1278" s="375" t="str">
        <f t="shared" si="262"/>
        <v>Deanside Village Estate10</v>
      </c>
      <c r="E1278" s="375" t="s">
        <v>2231</v>
      </c>
      <c r="F1278" s="375" t="s">
        <v>2222</v>
      </c>
      <c r="G1278" s="375" t="s">
        <v>2223</v>
      </c>
      <c r="H1278" s="375" t="s">
        <v>2224</v>
      </c>
      <c r="I1278" s="63"/>
      <c r="J1278" s="47"/>
      <c r="K1278" s="46" t="s">
        <v>10735</v>
      </c>
      <c r="L1278" s="47" t="s">
        <v>2225</v>
      </c>
      <c r="M1278" s="47">
        <f t="shared" si="263"/>
        <v>1430.0000000000002</v>
      </c>
      <c r="N1278" s="47" t="s">
        <v>2226</v>
      </c>
      <c r="O1278" s="47">
        <f t="shared" si="264"/>
        <v>4950</v>
      </c>
      <c r="P1278" s="47"/>
      <c r="Q1278" s="47"/>
      <c r="R1278" s="47"/>
      <c r="S1278" s="47"/>
      <c r="T1278" s="47">
        <f t="shared" si="265"/>
        <v>780</v>
      </c>
      <c r="U1278" s="47"/>
      <c r="V1278" s="47"/>
      <c r="W1278" s="47"/>
      <c r="X1278" s="47"/>
      <c r="Y1278" s="47"/>
      <c r="Z1278" s="47">
        <f t="shared" si="266"/>
        <v>4620</v>
      </c>
      <c r="AA1278" s="47"/>
      <c r="AB1278" s="47"/>
      <c r="AC1278" s="47"/>
      <c r="AD1278" s="47" t="s">
        <v>1</v>
      </c>
      <c r="AE1278" s="47"/>
      <c r="AF1278" s="47">
        <v>1650</v>
      </c>
      <c r="AG1278" s="47"/>
      <c r="AH1278" s="47" t="str">
        <f>IFERROR(_xlfn.XLOOKUP(Table6[[#This Row],[Suburb]],Table5[Travel Surcharge],Table5[$$]),"")</f>
        <v/>
      </c>
      <c r="AI1278" s="47"/>
      <c r="AJ1278" s="47"/>
    </row>
    <row r="1279" spans="1:36">
      <c r="A1279" s="374" t="s">
        <v>2220</v>
      </c>
      <c r="B1279" s="374">
        <v>11</v>
      </c>
      <c r="C1279" s="374" t="s">
        <v>1660</v>
      </c>
      <c r="D1279" s="375" t="str">
        <f t="shared" si="262"/>
        <v>Deanside Village Estate11</v>
      </c>
      <c r="E1279" s="375" t="s">
        <v>2232</v>
      </c>
      <c r="F1279" s="375" t="s">
        <v>2222</v>
      </c>
      <c r="G1279" s="375" t="s">
        <v>2223</v>
      </c>
      <c r="H1279" s="375" t="s">
        <v>2224</v>
      </c>
      <c r="I1279" s="63"/>
      <c r="J1279" s="47"/>
      <c r="K1279" s="46" t="s">
        <v>10735</v>
      </c>
      <c r="L1279" s="47" t="s">
        <v>2225</v>
      </c>
      <c r="M1279" s="47">
        <f t="shared" si="263"/>
        <v>1430.0000000000002</v>
      </c>
      <c r="N1279" s="47" t="s">
        <v>2226</v>
      </c>
      <c r="O1279" s="47">
        <f t="shared" si="264"/>
        <v>4950</v>
      </c>
      <c r="P1279" s="47"/>
      <c r="Q1279" s="47"/>
      <c r="R1279" s="47"/>
      <c r="S1279" s="47"/>
      <c r="T1279" s="47">
        <f t="shared" si="265"/>
        <v>780</v>
      </c>
      <c r="U1279" s="47"/>
      <c r="V1279" s="47"/>
      <c r="W1279" s="47"/>
      <c r="X1279" s="47"/>
      <c r="Y1279" s="47"/>
      <c r="Z1279" s="47">
        <f t="shared" si="266"/>
        <v>4620</v>
      </c>
      <c r="AA1279" s="47"/>
      <c r="AB1279" s="47"/>
      <c r="AC1279" s="47"/>
      <c r="AD1279" s="47" t="s">
        <v>1</v>
      </c>
      <c r="AE1279" s="47"/>
      <c r="AF1279" s="47">
        <v>1650</v>
      </c>
      <c r="AG1279" s="47"/>
      <c r="AH1279" s="47" t="str">
        <f>IFERROR(_xlfn.XLOOKUP(Table6[[#This Row],[Suburb]],Table5[Travel Surcharge],Table5[$$]),"")</f>
        <v/>
      </c>
      <c r="AI1279" s="47"/>
      <c r="AJ1279" s="47"/>
    </row>
    <row r="1280" spans="1:36">
      <c r="A1280" s="374" t="s">
        <v>2220</v>
      </c>
      <c r="B1280" s="374">
        <v>12</v>
      </c>
      <c r="C1280" s="374" t="s">
        <v>1660</v>
      </c>
      <c r="D1280" s="375" t="str">
        <f t="shared" si="262"/>
        <v>Deanside Village Estate12</v>
      </c>
      <c r="E1280" s="375" t="s">
        <v>2233</v>
      </c>
      <c r="F1280" s="375" t="s">
        <v>2222</v>
      </c>
      <c r="G1280" s="375" t="s">
        <v>2223</v>
      </c>
      <c r="H1280" s="375" t="s">
        <v>2224</v>
      </c>
      <c r="I1280" s="63"/>
      <c r="J1280" s="47"/>
      <c r="K1280" s="46" t="s">
        <v>10735</v>
      </c>
      <c r="L1280" s="47" t="s">
        <v>2225</v>
      </c>
      <c r="M1280" s="47">
        <f t="shared" si="263"/>
        <v>1430.0000000000002</v>
      </c>
      <c r="N1280" s="47" t="s">
        <v>2226</v>
      </c>
      <c r="O1280" s="47">
        <f t="shared" si="264"/>
        <v>4950</v>
      </c>
      <c r="P1280" s="47"/>
      <c r="Q1280" s="47"/>
      <c r="R1280" s="47"/>
      <c r="S1280" s="47"/>
      <c r="T1280" s="47">
        <f t="shared" si="265"/>
        <v>780</v>
      </c>
      <c r="U1280" s="47"/>
      <c r="V1280" s="47"/>
      <c r="W1280" s="47"/>
      <c r="X1280" s="47"/>
      <c r="Y1280" s="47"/>
      <c r="Z1280" s="47">
        <f t="shared" si="266"/>
        <v>4620</v>
      </c>
      <c r="AA1280" s="47"/>
      <c r="AB1280" s="47"/>
      <c r="AC1280" s="47"/>
      <c r="AD1280" s="47" t="s">
        <v>1</v>
      </c>
      <c r="AE1280" s="47"/>
      <c r="AF1280" s="47">
        <v>1650</v>
      </c>
      <c r="AG1280" s="47"/>
      <c r="AH1280" s="47" t="str">
        <f>IFERROR(_xlfn.XLOOKUP(Table6[[#This Row],[Suburb]],Table5[Travel Surcharge],Table5[$$]),"")</f>
        <v/>
      </c>
      <c r="AI1280" s="47"/>
      <c r="AJ1280" s="47"/>
    </row>
    <row r="1281" spans="1:36">
      <c r="A1281" s="374" t="s">
        <v>2220</v>
      </c>
      <c r="B1281" s="374">
        <v>14</v>
      </c>
      <c r="C1281" s="374" t="s">
        <v>1660</v>
      </c>
      <c r="D1281" s="375" t="str">
        <f t="shared" si="262"/>
        <v>Deanside Village Estate14</v>
      </c>
      <c r="E1281" s="375" t="s">
        <v>2234</v>
      </c>
      <c r="F1281" s="375" t="s">
        <v>2222</v>
      </c>
      <c r="G1281" s="375" t="s">
        <v>2223</v>
      </c>
      <c r="H1281" s="375" t="s">
        <v>2224</v>
      </c>
      <c r="I1281" s="63"/>
      <c r="J1281" s="47"/>
      <c r="K1281" s="46" t="s">
        <v>10735</v>
      </c>
      <c r="L1281" s="47" t="s">
        <v>504</v>
      </c>
      <c r="M1281" s="47">
        <f t="shared" si="263"/>
        <v>1430.0000000000002</v>
      </c>
      <c r="N1281" s="47" t="s">
        <v>2226</v>
      </c>
      <c r="O1281" s="47">
        <f t="shared" si="264"/>
        <v>4950</v>
      </c>
      <c r="P1281" s="47" t="s">
        <v>2235</v>
      </c>
      <c r="Q1281" s="47" t="s">
        <v>2236</v>
      </c>
      <c r="R1281" s="47" t="s">
        <v>433</v>
      </c>
      <c r="S1281" s="47" t="s">
        <v>2237</v>
      </c>
      <c r="T1281" s="47">
        <f t="shared" si="265"/>
        <v>780</v>
      </c>
      <c r="U1281" s="47"/>
      <c r="V1281" s="47"/>
      <c r="W1281" s="47"/>
      <c r="X1281" s="47"/>
      <c r="Y1281" s="47"/>
      <c r="Z1281" s="47">
        <f t="shared" si="266"/>
        <v>4620</v>
      </c>
      <c r="AA1281" s="47"/>
      <c r="AB1281" s="47"/>
      <c r="AC1281" s="47"/>
      <c r="AD1281" s="47" t="s">
        <v>1</v>
      </c>
      <c r="AE1281" s="47"/>
      <c r="AF1281" s="47">
        <v>1650</v>
      </c>
      <c r="AG1281" s="47"/>
      <c r="AH1281" s="47" t="str">
        <f>IFERROR(_xlfn.XLOOKUP(Table6[[#This Row],[Suburb]],Table5[Travel Surcharge],Table5[$$]),"")</f>
        <v/>
      </c>
      <c r="AI1281" s="47"/>
      <c r="AJ1281" s="47"/>
    </row>
    <row r="1282" spans="1:36">
      <c r="A1282" s="374" t="s">
        <v>2220</v>
      </c>
      <c r="B1282" s="374">
        <v>15</v>
      </c>
      <c r="C1282" s="374" t="s">
        <v>1660</v>
      </c>
      <c r="D1282" s="375" t="str">
        <f t="shared" si="262"/>
        <v>Deanside Village Estate15</v>
      </c>
      <c r="E1282" s="375" t="s">
        <v>2238</v>
      </c>
      <c r="F1282" s="375" t="s">
        <v>2222</v>
      </c>
      <c r="G1282" s="375" t="s">
        <v>2223</v>
      </c>
      <c r="H1282" s="375" t="s">
        <v>2224</v>
      </c>
      <c r="I1282" s="63"/>
      <c r="J1282" s="47"/>
      <c r="K1282" s="46" t="s">
        <v>10735</v>
      </c>
      <c r="L1282" s="47" t="s">
        <v>504</v>
      </c>
      <c r="M1282" s="47">
        <f t="shared" si="263"/>
        <v>1430.0000000000002</v>
      </c>
      <c r="N1282" s="47" t="s">
        <v>2226</v>
      </c>
      <c r="O1282" s="47">
        <f t="shared" si="264"/>
        <v>4950</v>
      </c>
      <c r="P1282" s="47" t="s">
        <v>2235</v>
      </c>
      <c r="Q1282" s="47" t="s">
        <v>2236</v>
      </c>
      <c r="R1282" s="47" t="s">
        <v>433</v>
      </c>
      <c r="S1282" s="47" t="s">
        <v>2237</v>
      </c>
      <c r="T1282" s="47">
        <f t="shared" si="265"/>
        <v>780</v>
      </c>
      <c r="U1282" s="47"/>
      <c r="V1282" s="47"/>
      <c r="W1282" s="47"/>
      <c r="X1282" s="47"/>
      <c r="Y1282" s="47"/>
      <c r="Z1282" s="47">
        <f t="shared" si="266"/>
        <v>4620</v>
      </c>
      <c r="AA1282" s="47"/>
      <c r="AB1282" s="47"/>
      <c r="AC1282" s="47"/>
      <c r="AD1282" s="47" t="s">
        <v>1</v>
      </c>
      <c r="AE1282" s="47"/>
      <c r="AF1282" s="47">
        <v>1650</v>
      </c>
      <c r="AG1282" s="47"/>
      <c r="AH1282" s="47" t="str">
        <f>IFERROR(_xlfn.XLOOKUP(Table6[[#This Row],[Suburb]],Table5[Travel Surcharge],Table5[$$]),"")</f>
        <v/>
      </c>
      <c r="AI1282" s="47"/>
      <c r="AJ1282" s="47"/>
    </row>
    <row r="1283" spans="1:36">
      <c r="A1283" s="374" t="s">
        <v>2220</v>
      </c>
      <c r="B1283" s="374">
        <v>17</v>
      </c>
      <c r="C1283" s="374" t="s">
        <v>1660</v>
      </c>
      <c r="D1283" s="375" t="str">
        <f t="shared" si="262"/>
        <v>Deanside Village Estate17</v>
      </c>
      <c r="E1283" s="375" t="s">
        <v>2239</v>
      </c>
      <c r="F1283" s="375" t="s">
        <v>2222</v>
      </c>
      <c r="G1283" s="375" t="s">
        <v>2223</v>
      </c>
      <c r="H1283" s="375" t="s">
        <v>2224</v>
      </c>
      <c r="I1283" s="63"/>
      <c r="J1283" s="47"/>
      <c r="K1283" s="46" t="s">
        <v>10735</v>
      </c>
      <c r="L1283" s="47" t="s">
        <v>504</v>
      </c>
      <c r="M1283" s="47">
        <v>1430.0000000000002</v>
      </c>
      <c r="N1283" s="47" t="s">
        <v>2226</v>
      </c>
      <c r="O1283" s="47">
        <v>4950</v>
      </c>
      <c r="P1283" s="47" t="s">
        <v>2235</v>
      </c>
      <c r="Q1283" s="47" t="s">
        <v>2236</v>
      </c>
      <c r="R1283" s="47" t="s">
        <v>433</v>
      </c>
      <c r="S1283" s="47" t="s">
        <v>2237</v>
      </c>
      <c r="T1283" s="47">
        <f t="shared" si="265"/>
        <v>780</v>
      </c>
      <c r="U1283" s="47"/>
      <c r="V1283" s="47"/>
      <c r="W1283" s="47"/>
      <c r="X1283" s="47"/>
      <c r="Y1283" s="47"/>
      <c r="Z1283" s="47">
        <v>4620</v>
      </c>
      <c r="AA1283" s="47"/>
      <c r="AB1283" s="47"/>
      <c r="AC1283" s="47"/>
      <c r="AD1283" s="47" t="s">
        <v>1</v>
      </c>
      <c r="AE1283" s="47"/>
      <c r="AF1283" s="47">
        <v>1650</v>
      </c>
      <c r="AG1283" s="47" t="s">
        <v>2240</v>
      </c>
      <c r="AH1283" s="47" t="str">
        <f>IFERROR(_xlfn.XLOOKUP(Table6[[#This Row],[Suburb]],Table5[Travel Surcharge],Table5[$$]),"")</f>
        <v/>
      </c>
      <c r="AI1283" s="47"/>
      <c r="AJ1283" s="47"/>
    </row>
    <row r="1284" spans="1:36">
      <c r="A1284" s="374" t="s">
        <v>2220</v>
      </c>
      <c r="B1284" s="374">
        <v>18</v>
      </c>
      <c r="C1284" s="374" t="s">
        <v>1660</v>
      </c>
      <c r="D1284" s="375" t="str">
        <f t="shared" si="262"/>
        <v>Deanside Village Estate18</v>
      </c>
      <c r="E1284" s="375" t="s">
        <v>2241</v>
      </c>
      <c r="F1284" s="375" t="s">
        <v>2222</v>
      </c>
      <c r="G1284" s="375" t="s">
        <v>2223</v>
      </c>
      <c r="H1284" s="375" t="s">
        <v>2224</v>
      </c>
      <c r="I1284" s="63"/>
      <c r="J1284" s="47"/>
      <c r="K1284" s="46" t="s">
        <v>10735</v>
      </c>
      <c r="L1284" s="47" t="s">
        <v>504</v>
      </c>
      <c r="M1284" s="47">
        <v>1430.0000000000002</v>
      </c>
      <c r="N1284" s="47" t="s">
        <v>2226</v>
      </c>
      <c r="O1284" s="47">
        <v>4950</v>
      </c>
      <c r="P1284" s="47" t="s">
        <v>2235</v>
      </c>
      <c r="Q1284" s="47" t="s">
        <v>2236</v>
      </c>
      <c r="R1284" s="47" t="s">
        <v>433</v>
      </c>
      <c r="S1284" s="47" t="s">
        <v>2237</v>
      </c>
      <c r="T1284" s="47">
        <f t="shared" si="265"/>
        <v>780</v>
      </c>
      <c r="U1284" s="47"/>
      <c r="V1284" s="47"/>
      <c r="W1284" s="47"/>
      <c r="X1284" s="47"/>
      <c r="Y1284" s="47"/>
      <c r="Z1284" s="47">
        <v>4620</v>
      </c>
      <c r="AA1284" s="47"/>
      <c r="AB1284" s="47"/>
      <c r="AC1284" s="47"/>
      <c r="AD1284" s="47" t="s">
        <v>1</v>
      </c>
      <c r="AE1284" s="47"/>
      <c r="AF1284" s="47">
        <v>1650</v>
      </c>
      <c r="AG1284" s="47" t="s">
        <v>2240</v>
      </c>
      <c r="AH1284" s="47" t="str">
        <f>IFERROR(_xlfn.XLOOKUP(Table6[[#This Row],[Suburb]],Table5[Travel Surcharge],Table5[$$]),"")</f>
        <v/>
      </c>
      <c r="AI1284" s="47"/>
      <c r="AJ1284" s="47"/>
    </row>
    <row r="1285" spans="1:36">
      <c r="A1285" s="374" t="s">
        <v>2220</v>
      </c>
      <c r="B1285" s="374">
        <v>19</v>
      </c>
      <c r="C1285" s="374" t="s">
        <v>1660</v>
      </c>
      <c r="D1285" s="375" t="str">
        <f t="shared" si="262"/>
        <v>Deanside Village Estate19</v>
      </c>
      <c r="E1285" s="375" t="s">
        <v>8996</v>
      </c>
      <c r="F1285" s="375" t="s">
        <v>2222</v>
      </c>
      <c r="G1285" s="375" t="s">
        <v>2223</v>
      </c>
      <c r="H1285" s="375" t="s">
        <v>2224</v>
      </c>
      <c r="I1285" s="63"/>
      <c r="J1285" s="47"/>
      <c r="K1285" s="46" t="s">
        <v>10735</v>
      </c>
      <c r="L1285" s="47" t="s">
        <v>504</v>
      </c>
      <c r="M1285" s="47">
        <v>1430.0000000000002</v>
      </c>
      <c r="N1285" s="47" t="s">
        <v>2226</v>
      </c>
      <c r="O1285" s="47">
        <v>4950</v>
      </c>
      <c r="P1285" s="47" t="s">
        <v>2235</v>
      </c>
      <c r="Q1285" s="47" t="s">
        <v>2236</v>
      </c>
      <c r="R1285" s="47" t="s">
        <v>433</v>
      </c>
      <c r="S1285" s="47" t="s">
        <v>2237</v>
      </c>
      <c r="T1285" s="47">
        <f t="shared" si="265"/>
        <v>780</v>
      </c>
      <c r="U1285" s="47"/>
      <c r="V1285" s="47"/>
      <c r="W1285" s="47"/>
      <c r="X1285" s="47"/>
      <c r="Y1285" s="47"/>
      <c r="Z1285" s="47">
        <v>4620</v>
      </c>
      <c r="AA1285" s="47"/>
      <c r="AB1285" s="47"/>
      <c r="AC1285" s="47"/>
      <c r="AD1285" s="47" t="s">
        <v>1</v>
      </c>
      <c r="AE1285" s="47"/>
      <c r="AF1285" s="47">
        <v>1650</v>
      </c>
      <c r="AG1285" s="47" t="s">
        <v>2240</v>
      </c>
      <c r="AH1285" s="47" t="str">
        <f>IFERROR(_xlfn.XLOOKUP(Table6[[#This Row],[Suburb]],Table5[Travel Surcharge],Table5[$$]),"")</f>
        <v/>
      </c>
      <c r="AI1285" s="47"/>
      <c r="AJ1285" s="47"/>
    </row>
    <row r="1286" spans="1:36">
      <c r="A1286" s="374" t="s">
        <v>2220</v>
      </c>
      <c r="B1286" s="374">
        <v>21</v>
      </c>
      <c r="C1286" s="374" t="s">
        <v>1660</v>
      </c>
      <c r="D1286" s="375" t="str">
        <f t="shared" si="262"/>
        <v>Deanside Village Estate21</v>
      </c>
      <c r="E1286" s="375" t="s">
        <v>9617</v>
      </c>
      <c r="F1286" s="375" t="s">
        <v>2222</v>
      </c>
      <c r="G1286" s="375" t="s">
        <v>2223</v>
      </c>
      <c r="H1286" s="375" t="s">
        <v>2224</v>
      </c>
      <c r="I1286" s="63"/>
      <c r="J1286" s="47"/>
      <c r="K1286" s="46" t="s">
        <v>10735</v>
      </c>
      <c r="L1286" s="47" t="s">
        <v>504</v>
      </c>
      <c r="M1286" s="47">
        <v>1430.0000000000002</v>
      </c>
      <c r="N1286" s="47" t="s">
        <v>2226</v>
      </c>
      <c r="O1286" s="47">
        <v>4950</v>
      </c>
      <c r="P1286" s="47" t="s">
        <v>2235</v>
      </c>
      <c r="Q1286" s="47" t="s">
        <v>2236</v>
      </c>
      <c r="R1286" s="47" t="s">
        <v>433</v>
      </c>
      <c r="S1286" s="47" t="s">
        <v>2237</v>
      </c>
      <c r="T1286" s="47">
        <f t="shared" si="265"/>
        <v>780</v>
      </c>
      <c r="U1286" s="47"/>
      <c r="V1286" s="47"/>
      <c r="W1286" s="47"/>
      <c r="X1286" s="47"/>
      <c r="Y1286" s="47"/>
      <c r="Z1286" s="47">
        <v>4620</v>
      </c>
      <c r="AA1286" s="47"/>
      <c r="AB1286" s="47"/>
      <c r="AC1286" s="47"/>
      <c r="AD1286" s="47" t="s">
        <v>1</v>
      </c>
      <c r="AE1286" s="47"/>
      <c r="AF1286" s="47">
        <v>1650</v>
      </c>
      <c r="AG1286" s="47"/>
      <c r="AH1286" s="47" t="str">
        <f>IFERROR(_xlfn.XLOOKUP(Table6[[#This Row],[Suburb]],Table5[Travel Surcharge],Table5[$$]),"")</f>
        <v/>
      </c>
      <c r="AI1286" s="47"/>
      <c r="AJ1286" s="47"/>
    </row>
    <row r="1287" spans="1:36">
      <c r="A1287" s="374" t="s">
        <v>2220</v>
      </c>
      <c r="B1287" s="374" t="s">
        <v>5252</v>
      </c>
      <c r="C1287" s="374" t="s">
        <v>1660</v>
      </c>
      <c r="D1287" s="375" t="str">
        <f t="shared" si="262"/>
        <v>Deanside Village Estate20A</v>
      </c>
      <c r="E1287" s="375" t="s">
        <v>8981</v>
      </c>
      <c r="F1287" s="375" t="s">
        <v>2222</v>
      </c>
      <c r="G1287" s="375" t="s">
        <v>2223</v>
      </c>
      <c r="H1287" s="375" t="s">
        <v>2224</v>
      </c>
      <c r="I1287" s="63"/>
      <c r="J1287" s="47"/>
      <c r="K1287" s="46" t="s">
        <v>10735</v>
      </c>
      <c r="L1287" s="47" t="s">
        <v>504</v>
      </c>
      <c r="M1287" s="47">
        <v>1430.0000000000002</v>
      </c>
      <c r="N1287" s="47" t="s">
        <v>2226</v>
      </c>
      <c r="O1287" s="47">
        <v>4950</v>
      </c>
      <c r="P1287" s="47" t="s">
        <v>2235</v>
      </c>
      <c r="Q1287" s="47" t="s">
        <v>2236</v>
      </c>
      <c r="R1287" s="47" t="s">
        <v>433</v>
      </c>
      <c r="S1287" s="47" t="s">
        <v>2237</v>
      </c>
      <c r="T1287" s="47">
        <f t="shared" si="265"/>
        <v>780</v>
      </c>
      <c r="U1287" s="47"/>
      <c r="V1287" s="47"/>
      <c r="W1287" s="47"/>
      <c r="X1287" s="47"/>
      <c r="Y1287" s="47"/>
      <c r="Z1287" s="47">
        <v>4620</v>
      </c>
      <c r="AA1287" s="47"/>
      <c r="AB1287" s="47"/>
      <c r="AC1287" s="47"/>
      <c r="AD1287" s="47" t="s">
        <v>1</v>
      </c>
      <c r="AE1287" s="47"/>
      <c r="AF1287" s="47">
        <v>1650</v>
      </c>
      <c r="AG1287" s="47" t="s">
        <v>2240</v>
      </c>
      <c r="AH1287" s="47" t="str">
        <f>IFERROR(_xlfn.XLOOKUP(Table6[[#This Row],[Suburb]],Table5[Travel Surcharge],Table5[$$]),"")</f>
        <v/>
      </c>
      <c r="AI1287" s="47"/>
      <c r="AJ1287" s="47"/>
    </row>
    <row r="1288" spans="1:36">
      <c r="A1288" s="374" t="s">
        <v>2220</v>
      </c>
      <c r="B1288" s="374">
        <v>23</v>
      </c>
      <c r="C1288" s="374" t="s">
        <v>1660</v>
      </c>
      <c r="D1288" s="375" t="str">
        <f t="shared" si="262"/>
        <v>Deanside Village Estate23</v>
      </c>
      <c r="E1288" s="375" t="s">
        <v>10467</v>
      </c>
      <c r="F1288" s="375" t="s">
        <v>2222</v>
      </c>
      <c r="G1288" s="375" t="s">
        <v>2223</v>
      </c>
      <c r="H1288" s="375" t="s">
        <v>2224</v>
      </c>
      <c r="I1288" s="63"/>
      <c r="J1288" s="47"/>
      <c r="K1288" s="46" t="s">
        <v>10735</v>
      </c>
      <c r="L1288" s="47" t="s">
        <v>504</v>
      </c>
      <c r="M1288" s="47">
        <v>1430.0000000000002</v>
      </c>
      <c r="N1288" s="47" t="s">
        <v>2226</v>
      </c>
      <c r="O1288" s="47">
        <v>4950</v>
      </c>
      <c r="P1288" s="47" t="s">
        <v>2235</v>
      </c>
      <c r="Q1288" s="47" t="s">
        <v>2236</v>
      </c>
      <c r="R1288" s="47" t="s">
        <v>433</v>
      </c>
      <c r="S1288" s="47" t="s">
        <v>2237</v>
      </c>
      <c r="T1288" s="47">
        <v>1420</v>
      </c>
      <c r="U1288" s="47"/>
      <c r="V1288" s="47"/>
      <c r="W1288" s="47"/>
      <c r="X1288" s="47"/>
      <c r="Y1288" s="47"/>
      <c r="Z1288" s="47">
        <v>4620</v>
      </c>
      <c r="AA1288" s="47"/>
      <c r="AB1288" s="47"/>
      <c r="AC1288" s="47"/>
      <c r="AD1288" s="47" t="s">
        <v>1</v>
      </c>
      <c r="AE1288" s="47"/>
      <c r="AF1288" s="47">
        <v>1650</v>
      </c>
      <c r="AG1288" s="47"/>
      <c r="AH1288" s="47" t="s">
        <v>9976</v>
      </c>
      <c r="AI1288" s="47"/>
      <c r="AJ1288" s="47"/>
    </row>
    <row r="1289" spans="1:36">
      <c r="A1289" s="374" t="s">
        <v>2220</v>
      </c>
      <c r="B1289" s="374" t="s">
        <v>5891</v>
      </c>
      <c r="C1289" s="374" t="s">
        <v>1660</v>
      </c>
      <c r="D1289" s="375" t="str">
        <f t="shared" si="262"/>
        <v>Deanside Village Estate24A</v>
      </c>
      <c r="E1289" s="375" t="s">
        <v>10889</v>
      </c>
      <c r="F1289" s="375" t="s">
        <v>2222</v>
      </c>
      <c r="G1289" s="375" t="s">
        <v>2223</v>
      </c>
      <c r="H1289" s="375" t="s">
        <v>2224</v>
      </c>
      <c r="I1289" s="63"/>
      <c r="J1289" s="47"/>
      <c r="K1289" s="46" t="s">
        <v>10735</v>
      </c>
      <c r="L1289" s="47" t="s">
        <v>504</v>
      </c>
      <c r="M1289" s="47">
        <v>1430.0000000000002</v>
      </c>
      <c r="N1289" s="47" t="s">
        <v>2226</v>
      </c>
      <c r="O1289" s="47">
        <v>4950</v>
      </c>
      <c r="P1289" s="47" t="s">
        <v>2235</v>
      </c>
      <c r="Q1289" s="47" t="s">
        <v>2236</v>
      </c>
      <c r="R1289" s="47" t="s">
        <v>433</v>
      </c>
      <c r="S1289" s="47" t="s">
        <v>2237</v>
      </c>
      <c r="T1289" s="47">
        <v>1420</v>
      </c>
      <c r="U1289" s="47"/>
      <c r="V1289" s="47"/>
      <c r="W1289" s="47"/>
      <c r="X1289" s="47"/>
      <c r="Y1289" s="47"/>
      <c r="Z1289" s="47">
        <v>4620</v>
      </c>
      <c r="AA1289" s="47"/>
      <c r="AB1289" s="47"/>
      <c r="AC1289" s="47"/>
      <c r="AD1289" s="47" t="s">
        <v>1</v>
      </c>
      <c r="AE1289" s="47"/>
      <c r="AF1289" s="47">
        <v>1650</v>
      </c>
      <c r="AG1289" s="47"/>
      <c r="AH1289" s="47" t="s">
        <v>9976</v>
      </c>
      <c r="AI1289" s="47"/>
      <c r="AJ1289" s="47"/>
    </row>
    <row r="1290" spans="1:36">
      <c r="A1290" s="374" t="s">
        <v>2242</v>
      </c>
      <c r="B1290" s="374">
        <v>4</v>
      </c>
      <c r="C1290" s="374" t="s">
        <v>428</v>
      </c>
      <c r="D1290" s="375" t="str">
        <f t="shared" si="262"/>
        <v>Delaray Estate4</v>
      </c>
      <c r="E1290" s="375" t="s">
        <v>2243</v>
      </c>
      <c r="F1290" s="375" t="s">
        <v>1056</v>
      </c>
      <c r="G1290" s="375" t="s">
        <v>2244</v>
      </c>
      <c r="H1290" s="375" t="s">
        <v>2245</v>
      </c>
      <c r="I1290" s="63" t="s">
        <v>2246</v>
      </c>
      <c r="J1290" s="47">
        <f t="shared" ref="J1290:J1310" si="267">J$7</f>
        <v>3740</v>
      </c>
      <c r="K1290" s="46" t="s">
        <v>7938</v>
      </c>
      <c r="L1290" s="47" t="s">
        <v>544</v>
      </c>
      <c r="M1290" s="47" t="s">
        <v>2247</v>
      </c>
      <c r="N1290" s="47" t="s">
        <v>2248</v>
      </c>
      <c r="O1290" s="47"/>
      <c r="P1290" s="47"/>
      <c r="Q1290" s="47"/>
      <c r="R1290" s="47"/>
      <c r="S1290" s="47"/>
      <c r="T1290" s="47">
        <f t="shared" si="265"/>
        <v>780</v>
      </c>
      <c r="U1290" s="47"/>
      <c r="V1290" s="47"/>
      <c r="W1290" s="47"/>
      <c r="X1290" s="47"/>
      <c r="Y1290" s="47"/>
      <c r="Z1290" s="47">
        <f t="shared" ref="Z1290:Z1310" si="268">Z$7</f>
        <v>4620</v>
      </c>
      <c r="AA1290" s="47"/>
      <c r="AB1290" s="47"/>
      <c r="AC1290" s="47"/>
      <c r="AD1290" s="47"/>
      <c r="AE1290" s="47"/>
      <c r="AF1290" s="47"/>
      <c r="AG1290" s="47"/>
      <c r="AH1290" s="47" t="str">
        <f>IFERROR(_xlfn.XLOOKUP(Table6[[#This Row],[Suburb]],Table5[Travel Surcharge],Table5[$$]),"")</f>
        <v/>
      </c>
      <c r="AI1290" s="47" t="s">
        <v>2249</v>
      </c>
      <c r="AJ1290" s="47"/>
    </row>
    <row r="1291" spans="1:36">
      <c r="A1291" s="374" t="s">
        <v>2242</v>
      </c>
      <c r="B1291" s="374">
        <v>5</v>
      </c>
      <c r="C1291" s="374" t="s">
        <v>428</v>
      </c>
      <c r="D1291" s="375" t="str">
        <f t="shared" si="262"/>
        <v>Delaray Estate5</v>
      </c>
      <c r="E1291" s="375" t="s">
        <v>2250</v>
      </c>
      <c r="F1291" s="375" t="s">
        <v>1056</v>
      </c>
      <c r="G1291" s="375" t="s">
        <v>2244</v>
      </c>
      <c r="H1291" s="375" t="s">
        <v>2245</v>
      </c>
      <c r="I1291" s="63" t="s">
        <v>2246</v>
      </c>
      <c r="J1291" s="47">
        <f t="shared" si="267"/>
        <v>3740</v>
      </c>
      <c r="K1291" s="46" t="s">
        <v>7938</v>
      </c>
      <c r="L1291" s="47" t="s">
        <v>544</v>
      </c>
      <c r="M1291" s="47" t="s">
        <v>2251</v>
      </c>
      <c r="N1291" s="47" t="s">
        <v>2248</v>
      </c>
      <c r="O1291" s="47"/>
      <c r="P1291" s="47"/>
      <c r="Q1291" s="47"/>
      <c r="R1291" s="47"/>
      <c r="S1291" s="47"/>
      <c r="T1291" s="47">
        <f t="shared" si="265"/>
        <v>780</v>
      </c>
      <c r="U1291" s="47"/>
      <c r="V1291" s="47"/>
      <c r="W1291" s="47"/>
      <c r="X1291" s="47"/>
      <c r="Y1291" s="47"/>
      <c r="Z1291" s="47">
        <f t="shared" si="268"/>
        <v>4620</v>
      </c>
      <c r="AA1291" s="47"/>
      <c r="AB1291" s="47"/>
      <c r="AC1291" s="47"/>
      <c r="AD1291" s="47"/>
      <c r="AE1291" s="47"/>
      <c r="AF1291" s="47"/>
      <c r="AG1291" s="47"/>
      <c r="AH1291" s="47" t="str">
        <f>IFERROR(_xlfn.XLOOKUP(Table6[[#This Row],[Suburb]],Table5[Travel Surcharge],Table5[$$]),"")</f>
        <v/>
      </c>
      <c r="AI1291" s="47" t="s">
        <v>2249</v>
      </c>
      <c r="AJ1291" s="47"/>
    </row>
    <row r="1292" spans="1:36">
      <c r="A1292" s="374" t="s">
        <v>2242</v>
      </c>
      <c r="B1292" s="374">
        <v>7</v>
      </c>
      <c r="C1292" s="374" t="s">
        <v>428</v>
      </c>
      <c r="D1292" s="375" t="str">
        <f t="shared" si="262"/>
        <v>Delaray Estate7</v>
      </c>
      <c r="E1292" s="375" t="s">
        <v>2252</v>
      </c>
      <c r="F1292" s="375" t="s">
        <v>1056</v>
      </c>
      <c r="G1292" s="375" t="s">
        <v>2244</v>
      </c>
      <c r="H1292" s="375" t="s">
        <v>2245</v>
      </c>
      <c r="I1292" s="63" t="s">
        <v>2246</v>
      </c>
      <c r="J1292" s="47">
        <f t="shared" si="267"/>
        <v>3740</v>
      </c>
      <c r="K1292" s="46" t="s">
        <v>7938</v>
      </c>
      <c r="L1292" s="47" t="s">
        <v>544</v>
      </c>
      <c r="M1292" s="47" t="s">
        <v>2253</v>
      </c>
      <c r="N1292" s="47" t="s">
        <v>2248</v>
      </c>
      <c r="O1292" s="47"/>
      <c r="P1292" s="47"/>
      <c r="Q1292" s="47"/>
      <c r="R1292" s="47"/>
      <c r="S1292" s="47"/>
      <c r="T1292" s="47">
        <f t="shared" si="265"/>
        <v>780</v>
      </c>
      <c r="U1292" s="47"/>
      <c r="V1292" s="47"/>
      <c r="W1292" s="47"/>
      <c r="X1292" s="47"/>
      <c r="Y1292" s="47"/>
      <c r="Z1292" s="47">
        <f t="shared" si="268"/>
        <v>4620</v>
      </c>
      <c r="AA1292" s="47"/>
      <c r="AB1292" s="47"/>
      <c r="AC1292" s="47"/>
      <c r="AD1292" s="47"/>
      <c r="AE1292" s="47"/>
      <c r="AF1292" s="47"/>
      <c r="AG1292" s="47"/>
      <c r="AH1292" s="47" t="str">
        <f>IFERROR(_xlfn.XLOOKUP(Table6[[#This Row],[Suburb]],Table5[Travel Surcharge],Table5[$$]),"")</f>
        <v/>
      </c>
      <c r="AI1292" s="47" t="s">
        <v>2249</v>
      </c>
      <c r="AJ1292" s="47"/>
    </row>
    <row r="1293" spans="1:36">
      <c r="A1293" s="374" t="s">
        <v>2242</v>
      </c>
      <c r="B1293" s="374">
        <v>8</v>
      </c>
      <c r="C1293" s="374" t="s">
        <v>428</v>
      </c>
      <c r="D1293" s="375" t="str">
        <f t="shared" si="262"/>
        <v>Delaray Estate8</v>
      </c>
      <c r="E1293" s="375" t="s">
        <v>2254</v>
      </c>
      <c r="F1293" s="375" t="s">
        <v>1056</v>
      </c>
      <c r="G1293" s="375" t="s">
        <v>2244</v>
      </c>
      <c r="H1293" s="375" t="s">
        <v>2245</v>
      </c>
      <c r="I1293" s="63" t="s">
        <v>2246</v>
      </c>
      <c r="J1293" s="47">
        <f t="shared" si="267"/>
        <v>3740</v>
      </c>
      <c r="K1293" s="46" t="s">
        <v>7938</v>
      </c>
      <c r="L1293" s="47" t="s">
        <v>544</v>
      </c>
      <c r="M1293" s="47" t="s">
        <v>2255</v>
      </c>
      <c r="N1293" s="47" t="s">
        <v>2248</v>
      </c>
      <c r="O1293" s="47"/>
      <c r="P1293" s="47"/>
      <c r="Q1293" s="47"/>
      <c r="R1293" s="47"/>
      <c r="S1293" s="47"/>
      <c r="T1293" s="47">
        <f t="shared" si="265"/>
        <v>780</v>
      </c>
      <c r="U1293" s="47"/>
      <c r="V1293" s="47"/>
      <c r="W1293" s="47"/>
      <c r="X1293" s="47"/>
      <c r="Y1293" s="47"/>
      <c r="Z1293" s="47">
        <f t="shared" si="268"/>
        <v>4620</v>
      </c>
      <c r="AA1293" s="47"/>
      <c r="AB1293" s="47"/>
      <c r="AC1293" s="47"/>
      <c r="AD1293" s="47"/>
      <c r="AE1293" s="47"/>
      <c r="AF1293" s="47"/>
      <c r="AG1293" s="47"/>
      <c r="AH1293" s="47" t="str">
        <f>IFERROR(_xlfn.XLOOKUP(Table6[[#This Row],[Suburb]],Table5[Travel Surcharge],Table5[$$]),"")</f>
        <v/>
      </c>
      <c r="AI1293" s="47" t="s">
        <v>2249</v>
      </c>
      <c r="AJ1293" s="47"/>
    </row>
    <row r="1294" spans="1:36">
      <c r="A1294" s="374" t="s">
        <v>2242</v>
      </c>
      <c r="B1294" s="374">
        <v>9</v>
      </c>
      <c r="C1294" s="374" t="s">
        <v>428</v>
      </c>
      <c r="D1294" s="375" t="str">
        <f t="shared" si="262"/>
        <v>Delaray Estate9</v>
      </c>
      <c r="E1294" s="375" t="s">
        <v>2256</v>
      </c>
      <c r="F1294" s="375" t="s">
        <v>1056</v>
      </c>
      <c r="G1294" s="375" t="s">
        <v>2244</v>
      </c>
      <c r="H1294" s="375" t="s">
        <v>2245</v>
      </c>
      <c r="I1294" s="63" t="s">
        <v>2246</v>
      </c>
      <c r="J1294" s="47">
        <f t="shared" si="267"/>
        <v>3740</v>
      </c>
      <c r="K1294" s="46" t="s">
        <v>7938</v>
      </c>
      <c r="L1294" s="47" t="s">
        <v>544</v>
      </c>
      <c r="M1294" s="47" t="s">
        <v>2257</v>
      </c>
      <c r="N1294" s="47" t="s">
        <v>2248</v>
      </c>
      <c r="O1294" s="47"/>
      <c r="P1294" s="47"/>
      <c r="Q1294" s="47"/>
      <c r="R1294" s="47"/>
      <c r="S1294" s="47"/>
      <c r="T1294" s="47">
        <f t="shared" si="265"/>
        <v>780</v>
      </c>
      <c r="U1294" s="47"/>
      <c r="V1294" s="47"/>
      <c r="W1294" s="47"/>
      <c r="X1294" s="47"/>
      <c r="Y1294" s="47"/>
      <c r="Z1294" s="47">
        <f t="shared" si="268"/>
        <v>4620</v>
      </c>
      <c r="AA1294" s="47"/>
      <c r="AB1294" s="47"/>
      <c r="AC1294" s="47"/>
      <c r="AD1294" s="47"/>
      <c r="AE1294" s="47"/>
      <c r="AF1294" s="47"/>
      <c r="AG1294" s="47"/>
      <c r="AH1294" s="47" t="str">
        <f>IFERROR(_xlfn.XLOOKUP(Table6[[#This Row],[Suburb]],Table5[Travel Surcharge],Table5[$$]),"")</f>
        <v/>
      </c>
      <c r="AI1294" s="47" t="s">
        <v>2249</v>
      </c>
      <c r="AJ1294" s="47"/>
    </row>
    <row r="1295" spans="1:36">
      <c r="A1295" s="374" t="s">
        <v>2242</v>
      </c>
      <c r="B1295" s="374">
        <v>11</v>
      </c>
      <c r="C1295" s="374" t="s">
        <v>428</v>
      </c>
      <c r="D1295" s="375" t="str">
        <f t="shared" si="262"/>
        <v>Delaray Estate11</v>
      </c>
      <c r="E1295" s="375" t="s">
        <v>2258</v>
      </c>
      <c r="F1295" s="375" t="s">
        <v>1056</v>
      </c>
      <c r="G1295" s="375" t="s">
        <v>2244</v>
      </c>
      <c r="H1295" s="375" t="s">
        <v>2245</v>
      </c>
      <c r="I1295" s="63" t="s">
        <v>2246</v>
      </c>
      <c r="J1295" s="47">
        <f t="shared" si="267"/>
        <v>3740</v>
      </c>
      <c r="K1295" s="46" t="s">
        <v>7938</v>
      </c>
      <c r="L1295" s="47" t="s">
        <v>544</v>
      </c>
      <c r="M1295" s="47" t="s">
        <v>2255</v>
      </c>
      <c r="N1295" s="47" t="s">
        <v>2248</v>
      </c>
      <c r="O1295" s="47"/>
      <c r="P1295" s="47"/>
      <c r="Q1295" s="47"/>
      <c r="R1295" s="47"/>
      <c r="S1295" s="47"/>
      <c r="T1295" s="47">
        <f t="shared" si="265"/>
        <v>780</v>
      </c>
      <c r="U1295" s="47"/>
      <c r="V1295" s="47"/>
      <c r="W1295" s="47"/>
      <c r="X1295" s="47"/>
      <c r="Y1295" s="47"/>
      <c r="Z1295" s="47">
        <f t="shared" si="268"/>
        <v>4620</v>
      </c>
      <c r="AA1295" s="47"/>
      <c r="AB1295" s="47"/>
      <c r="AC1295" s="47"/>
      <c r="AD1295" s="47"/>
      <c r="AE1295" s="47"/>
      <c r="AF1295" s="47"/>
      <c r="AG1295" s="47"/>
      <c r="AH1295" s="47" t="str">
        <f>IFERROR(_xlfn.XLOOKUP(Table6[[#This Row],[Suburb]],Table5[Travel Surcharge],Table5[$$]),"")</f>
        <v/>
      </c>
      <c r="AI1295" s="47" t="s">
        <v>2249</v>
      </c>
      <c r="AJ1295" s="47"/>
    </row>
    <row r="1296" spans="1:36">
      <c r="A1296" s="374" t="s">
        <v>2242</v>
      </c>
      <c r="B1296" s="374">
        <v>14</v>
      </c>
      <c r="C1296" s="374" t="s">
        <v>428</v>
      </c>
      <c r="D1296" s="375" t="str">
        <f t="shared" si="262"/>
        <v>Delaray Estate14</v>
      </c>
      <c r="E1296" s="375" t="s">
        <v>2260</v>
      </c>
      <c r="F1296" s="375" t="s">
        <v>1056</v>
      </c>
      <c r="G1296" s="375" t="s">
        <v>2244</v>
      </c>
      <c r="H1296" s="375" t="s">
        <v>2245</v>
      </c>
      <c r="I1296" s="63" t="s">
        <v>2246</v>
      </c>
      <c r="J1296" s="47">
        <f t="shared" si="267"/>
        <v>3740</v>
      </c>
      <c r="K1296" s="46" t="s">
        <v>7938</v>
      </c>
      <c r="L1296" s="47" t="s">
        <v>544</v>
      </c>
      <c r="M1296" s="47" t="s">
        <v>2253</v>
      </c>
      <c r="N1296" s="47" t="s">
        <v>2248</v>
      </c>
      <c r="O1296" s="47"/>
      <c r="P1296" s="47"/>
      <c r="Q1296" s="47"/>
      <c r="R1296" s="47"/>
      <c r="S1296" s="47"/>
      <c r="T1296" s="47">
        <f t="shared" si="265"/>
        <v>780</v>
      </c>
      <c r="U1296" s="47"/>
      <c r="V1296" s="47"/>
      <c r="W1296" s="47"/>
      <c r="X1296" s="47"/>
      <c r="Y1296" s="47"/>
      <c r="Z1296" s="47">
        <f t="shared" si="268"/>
        <v>4620</v>
      </c>
      <c r="AA1296" s="47"/>
      <c r="AB1296" s="47"/>
      <c r="AC1296" s="47"/>
      <c r="AD1296" s="47"/>
      <c r="AE1296" s="47"/>
      <c r="AF1296" s="47"/>
      <c r="AG1296" s="47"/>
      <c r="AH1296" s="47" t="str">
        <f>IFERROR(_xlfn.XLOOKUP(Table6[[#This Row],[Suburb]],Table5[Travel Surcharge],Table5[$$]),"")</f>
        <v/>
      </c>
      <c r="AI1296" s="47" t="s">
        <v>2249</v>
      </c>
      <c r="AJ1296" s="47"/>
    </row>
    <row r="1297" spans="1:36">
      <c r="A1297" s="374" t="s">
        <v>2242</v>
      </c>
      <c r="B1297" s="374">
        <v>15</v>
      </c>
      <c r="C1297" s="374" t="s">
        <v>428</v>
      </c>
      <c r="D1297" s="375" t="str">
        <f t="shared" si="262"/>
        <v>Delaray Estate15</v>
      </c>
      <c r="E1297" s="375" t="s">
        <v>2261</v>
      </c>
      <c r="F1297" s="375" t="s">
        <v>1056</v>
      </c>
      <c r="G1297" s="375" t="s">
        <v>2244</v>
      </c>
      <c r="H1297" s="375" t="s">
        <v>2245</v>
      </c>
      <c r="I1297" s="63" t="s">
        <v>2246</v>
      </c>
      <c r="J1297" s="47">
        <f t="shared" si="267"/>
        <v>3740</v>
      </c>
      <c r="K1297" s="46" t="s">
        <v>7938</v>
      </c>
      <c r="L1297" s="47" t="s">
        <v>544</v>
      </c>
      <c r="M1297" s="47" t="s">
        <v>2253</v>
      </c>
      <c r="N1297" s="47" t="s">
        <v>2248</v>
      </c>
      <c r="O1297" s="47"/>
      <c r="P1297" s="47"/>
      <c r="Q1297" s="47"/>
      <c r="R1297" s="47"/>
      <c r="S1297" s="47"/>
      <c r="T1297" s="47">
        <f t="shared" si="265"/>
        <v>780</v>
      </c>
      <c r="U1297" s="47"/>
      <c r="V1297" s="47"/>
      <c r="W1297" s="47"/>
      <c r="X1297" s="47"/>
      <c r="Y1297" s="47"/>
      <c r="Z1297" s="47">
        <f t="shared" si="268"/>
        <v>4620</v>
      </c>
      <c r="AA1297" s="47"/>
      <c r="AB1297" s="47"/>
      <c r="AC1297" s="47"/>
      <c r="AD1297" s="47"/>
      <c r="AE1297" s="47"/>
      <c r="AF1297" s="47"/>
      <c r="AG1297" s="47"/>
      <c r="AH1297" s="47" t="str">
        <f>IFERROR(_xlfn.XLOOKUP(Table6[[#This Row],[Suburb]],Table5[Travel Surcharge],Table5[$$]),"")</f>
        <v/>
      </c>
      <c r="AI1297" s="47" t="s">
        <v>2249</v>
      </c>
      <c r="AJ1297" s="47"/>
    </row>
    <row r="1298" spans="1:36">
      <c r="A1298" s="374" t="s">
        <v>2242</v>
      </c>
      <c r="B1298" s="374">
        <v>17</v>
      </c>
      <c r="C1298" s="374" t="s">
        <v>428</v>
      </c>
      <c r="D1298" s="375" t="str">
        <f t="shared" si="262"/>
        <v>Delaray Estate17</v>
      </c>
      <c r="E1298" s="375" t="s">
        <v>2262</v>
      </c>
      <c r="F1298" s="375" t="s">
        <v>1056</v>
      </c>
      <c r="G1298" s="375" t="s">
        <v>2244</v>
      </c>
      <c r="H1298" s="375" t="s">
        <v>2245</v>
      </c>
      <c r="I1298" s="63" t="s">
        <v>2246</v>
      </c>
      <c r="J1298" s="47">
        <f t="shared" si="267"/>
        <v>3740</v>
      </c>
      <c r="K1298" s="46" t="s">
        <v>7938</v>
      </c>
      <c r="L1298" s="47" t="s">
        <v>544</v>
      </c>
      <c r="M1298" s="47" t="s">
        <v>2253</v>
      </c>
      <c r="N1298" s="47" t="s">
        <v>2248</v>
      </c>
      <c r="O1298" s="47"/>
      <c r="P1298" s="47"/>
      <c r="Q1298" s="47"/>
      <c r="R1298" s="47"/>
      <c r="S1298" s="47"/>
      <c r="T1298" s="47">
        <f t="shared" si="265"/>
        <v>780</v>
      </c>
      <c r="U1298" s="47"/>
      <c r="V1298" s="47"/>
      <c r="W1298" s="47"/>
      <c r="X1298" s="47"/>
      <c r="Y1298" s="47"/>
      <c r="Z1298" s="47">
        <f t="shared" si="268"/>
        <v>4620</v>
      </c>
      <c r="AA1298" s="47"/>
      <c r="AB1298" s="47"/>
      <c r="AC1298" s="47"/>
      <c r="AD1298" s="47"/>
      <c r="AE1298" s="47"/>
      <c r="AF1298" s="47"/>
      <c r="AG1298" s="47"/>
      <c r="AH1298" s="47" t="str">
        <f>IFERROR(_xlfn.XLOOKUP(Table6[[#This Row],[Suburb]],Table5[Travel Surcharge],Table5[$$]),"")</f>
        <v/>
      </c>
      <c r="AI1298" s="47" t="s">
        <v>2249</v>
      </c>
      <c r="AJ1298" s="47"/>
    </row>
    <row r="1299" spans="1:36">
      <c r="A1299" s="374" t="s">
        <v>2242</v>
      </c>
      <c r="B1299" s="374">
        <v>18</v>
      </c>
      <c r="C1299" s="374" t="s">
        <v>428</v>
      </c>
      <c r="D1299" s="375" t="str">
        <f t="shared" si="262"/>
        <v>Delaray Estate18</v>
      </c>
      <c r="E1299" s="375" t="s">
        <v>2263</v>
      </c>
      <c r="F1299" s="375" t="s">
        <v>1056</v>
      </c>
      <c r="G1299" s="375" t="s">
        <v>2244</v>
      </c>
      <c r="H1299" s="375" t="s">
        <v>2245</v>
      </c>
      <c r="I1299" s="63" t="s">
        <v>2246</v>
      </c>
      <c r="J1299" s="47">
        <f t="shared" si="267"/>
        <v>3740</v>
      </c>
      <c r="K1299" s="46" t="s">
        <v>7938</v>
      </c>
      <c r="L1299" s="47" t="s">
        <v>544</v>
      </c>
      <c r="M1299" s="47" t="s">
        <v>2253</v>
      </c>
      <c r="N1299" s="47" t="s">
        <v>2248</v>
      </c>
      <c r="O1299" s="47"/>
      <c r="P1299" s="47"/>
      <c r="Q1299" s="47"/>
      <c r="R1299" s="47"/>
      <c r="S1299" s="47"/>
      <c r="T1299" s="47">
        <f t="shared" si="265"/>
        <v>780</v>
      </c>
      <c r="U1299" s="47"/>
      <c r="V1299" s="47"/>
      <c r="W1299" s="47"/>
      <c r="X1299" s="47"/>
      <c r="Y1299" s="47"/>
      <c r="Z1299" s="47">
        <f t="shared" si="268"/>
        <v>4620</v>
      </c>
      <c r="AA1299" s="47"/>
      <c r="AB1299" s="47"/>
      <c r="AC1299" s="47"/>
      <c r="AD1299" s="47"/>
      <c r="AE1299" s="47"/>
      <c r="AF1299" s="47"/>
      <c r="AG1299" s="47"/>
      <c r="AH1299" s="47" t="str">
        <f>IFERROR(_xlfn.XLOOKUP(Table6[[#This Row],[Suburb]],Table5[Travel Surcharge],Table5[$$]),"")</f>
        <v/>
      </c>
      <c r="AI1299" s="47" t="s">
        <v>2249</v>
      </c>
      <c r="AJ1299" s="47"/>
    </row>
    <row r="1300" spans="1:36">
      <c r="A1300" s="374" t="s">
        <v>2242</v>
      </c>
      <c r="B1300" s="374">
        <v>19</v>
      </c>
      <c r="C1300" s="374" t="s">
        <v>428</v>
      </c>
      <c r="D1300" s="375" t="str">
        <f t="shared" si="262"/>
        <v>Delaray Estate19</v>
      </c>
      <c r="E1300" s="375" t="s">
        <v>2264</v>
      </c>
      <c r="F1300" s="375" t="s">
        <v>1056</v>
      </c>
      <c r="G1300" s="375" t="s">
        <v>2244</v>
      </c>
      <c r="H1300" s="375" t="s">
        <v>2245</v>
      </c>
      <c r="I1300" s="63" t="s">
        <v>2246</v>
      </c>
      <c r="J1300" s="47">
        <f t="shared" si="267"/>
        <v>3740</v>
      </c>
      <c r="K1300" s="46" t="s">
        <v>7938</v>
      </c>
      <c r="L1300" s="47" t="s">
        <v>544</v>
      </c>
      <c r="M1300" s="47" t="s">
        <v>2253</v>
      </c>
      <c r="N1300" s="47" t="s">
        <v>2248</v>
      </c>
      <c r="O1300" s="47"/>
      <c r="P1300" s="47"/>
      <c r="Q1300" s="47"/>
      <c r="R1300" s="47"/>
      <c r="S1300" s="47"/>
      <c r="T1300" s="47">
        <f t="shared" si="265"/>
        <v>780</v>
      </c>
      <c r="U1300" s="47"/>
      <c r="V1300" s="47"/>
      <c r="W1300" s="47"/>
      <c r="X1300" s="47"/>
      <c r="Y1300" s="47"/>
      <c r="Z1300" s="47">
        <f t="shared" si="268"/>
        <v>4620</v>
      </c>
      <c r="AA1300" s="47"/>
      <c r="AB1300" s="47"/>
      <c r="AC1300" s="47"/>
      <c r="AD1300" s="47"/>
      <c r="AE1300" s="47"/>
      <c r="AF1300" s="47"/>
      <c r="AG1300" s="47"/>
      <c r="AH1300" s="47" t="str">
        <f>IFERROR(_xlfn.XLOOKUP(Table6[[#This Row],[Suburb]],Table5[Travel Surcharge],Table5[$$]),"")</f>
        <v/>
      </c>
      <c r="AI1300" s="47" t="s">
        <v>2249</v>
      </c>
      <c r="AJ1300" s="47"/>
    </row>
    <row r="1301" spans="1:36">
      <c r="A1301" s="374" t="s">
        <v>2242</v>
      </c>
      <c r="B1301" s="374">
        <v>20</v>
      </c>
      <c r="C1301" s="374" t="s">
        <v>428</v>
      </c>
      <c r="D1301" s="375" t="str">
        <f t="shared" si="262"/>
        <v>Delaray Estate20</v>
      </c>
      <c r="E1301" s="375" t="s">
        <v>2269</v>
      </c>
      <c r="F1301" s="375" t="s">
        <v>1056</v>
      </c>
      <c r="G1301" s="375" t="s">
        <v>2244</v>
      </c>
      <c r="H1301" s="375" t="s">
        <v>2245</v>
      </c>
      <c r="I1301" s="63" t="s">
        <v>2246</v>
      </c>
      <c r="J1301" s="47">
        <f t="shared" si="267"/>
        <v>3740</v>
      </c>
      <c r="K1301" s="46" t="s">
        <v>7938</v>
      </c>
      <c r="L1301" s="47" t="s">
        <v>544</v>
      </c>
      <c r="M1301" s="47" t="s">
        <v>2253</v>
      </c>
      <c r="N1301" s="47" t="s">
        <v>2248</v>
      </c>
      <c r="O1301" s="47"/>
      <c r="P1301" s="47"/>
      <c r="Q1301" s="47"/>
      <c r="R1301" s="47"/>
      <c r="S1301" s="47" t="s">
        <v>2270</v>
      </c>
      <c r="T1301" s="47">
        <f t="shared" si="265"/>
        <v>780</v>
      </c>
      <c r="U1301" s="47"/>
      <c r="V1301" s="47" t="s">
        <v>2267</v>
      </c>
      <c r="W1301" s="47" t="s">
        <v>2268</v>
      </c>
      <c r="X1301" s="47"/>
      <c r="Y1301" s="47"/>
      <c r="Z1301" s="47">
        <f t="shared" si="268"/>
        <v>4620</v>
      </c>
      <c r="AA1301" s="47"/>
      <c r="AB1301" s="47"/>
      <c r="AC1301" s="47"/>
      <c r="AD1301" s="47"/>
      <c r="AE1301" s="47"/>
      <c r="AF1301" s="47"/>
      <c r="AG1301" s="47"/>
      <c r="AH1301" s="47" t="str">
        <f>IFERROR(_xlfn.XLOOKUP(Table6[[#This Row],[Suburb]],Table5[Travel Surcharge],Table5[$$]),"")</f>
        <v/>
      </c>
      <c r="AI1301" s="47" t="s">
        <v>2249</v>
      </c>
      <c r="AJ1301" s="47"/>
    </row>
    <row r="1302" spans="1:36">
      <c r="A1302" s="374" t="s">
        <v>2242</v>
      </c>
      <c r="B1302" s="374">
        <v>21</v>
      </c>
      <c r="C1302" s="374" t="s">
        <v>428</v>
      </c>
      <c r="D1302" s="375" t="str">
        <f t="shared" si="262"/>
        <v>Delaray Estate21</v>
      </c>
      <c r="E1302" s="375" t="s">
        <v>2271</v>
      </c>
      <c r="F1302" s="375" t="s">
        <v>1056</v>
      </c>
      <c r="G1302" s="375" t="s">
        <v>2244</v>
      </c>
      <c r="H1302" s="375" t="s">
        <v>2245</v>
      </c>
      <c r="I1302" s="63" t="s">
        <v>2246</v>
      </c>
      <c r="J1302" s="47">
        <f t="shared" si="267"/>
        <v>3740</v>
      </c>
      <c r="K1302" s="46" t="s">
        <v>7938</v>
      </c>
      <c r="L1302" s="47" t="s">
        <v>544</v>
      </c>
      <c r="M1302" s="47" t="s">
        <v>2253</v>
      </c>
      <c r="N1302" s="47" t="s">
        <v>2248</v>
      </c>
      <c r="O1302" s="47"/>
      <c r="P1302" s="47"/>
      <c r="Q1302" s="47"/>
      <c r="R1302" s="47"/>
      <c r="S1302" s="47" t="s">
        <v>2270</v>
      </c>
      <c r="T1302" s="47">
        <f t="shared" si="265"/>
        <v>780</v>
      </c>
      <c r="U1302" s="47"/>
      <c r="V1302" s="47" t="s">
        <v>2267</v>
      </c>
      <c r="W1302" s="47" t="s">
        <v>2268</v>
      </c>
      <c r="X1302" s="47"/>
      <c r="Y1302" s="47"/>
      <c r="Z1302" s="47">
        <f t="shared" si="268"/>
        <v>4620</v>
      </c>
      <c r="AA1302" s="47"/>
      <c r="AB1302" s="47"/>
      <c r="AC1302" s="47"/>
      <c r="AD1302" s="47"/>
      <c r="AE1302" s="47"/>
      <c r="AF1302" s="47"/>
      <c r="AG1302" s="47"/>
      <c r="AH1302" s="47" t="str">
        <f>IFERROR(_xlfn.XLOOKUP(Table6[[#This Row],[Suburb]],Table5[Travel Surcharge],Table5[$$]),"")</f>
        <v/>
      </c>
      <c r="AI1302" s="47" t="s">
        <v>2249</v>
      </c>
      <c r="AJ1302" s="47"/>
    </row>
    <row r="1303" spans="1:36">
      <c r="A1303" s="374" t="s">
        <v>2242</v>
      </c>
      <c r="B1303" s="374" t="s">
        <v>781</v>
      </c>
      <c r="C1303" s="374" t="s">
        <v>428</v>
      </c>
      <c r="D1303" s="375" t="str">
        <f t="shared" si="262"/>
        <v>Delaray Estate12B</v>
      </c>
      <c r="E1303" s="375" t="s">
        <v>2259</v>
      </c>
      <c r="F1303" s="375" t="s">
        <v>1056</v>
      </c>
      <c r="G1303" s="375" t="s">
        <v>2244</v>
      </c>
      <c r="H1303" s="375" t="s">
        <v>2245</v>
      </c>
      <c r="I1303" s="63" t="s">
        <v>2246</v>
      </c>
      <c r="J1303" s="47">
        <f t="shared" si="267"/>
        <v>3740</v>
      </c>
      <c r="K1303" s="46" t="s">
        <v>7938</v>
      </c>
      <c r="L1303" s="47" t="s">
        <v>544</v>
      </c>
      <c r="M1303" s="47" t="s">
        <v>2253</v>
      </c>
      <c r="N1303" s="47" t="s">
        <v>2248</v>
      </c>
      <c r="O1303" s="47"/>
      <c r="P1303" s="47"/>
      <c r="Q1303" s="47"/>
      <c r="R1303" s="47"/>
      <c r="S1303" s="47"/>
      <c r="T1303" s="47">
        <f t="shared" si="265"/>
        <v>780</v>
      </c>
      <c r="U1303" s="47"/>
      <c r="V1303" s="47"/>
      <c r="W1303" s="47"/>
      <c r="X1303" s="47"/>
      <c r="Y1303" s="47"/>
      <c r="Z1303" s="47">
        <f t="shared" si="268"/>
        <v>4620</v>
      </c>
      <c r="AA1303" s="47"/>
      <c r="AB1303" s="47"/>
      <c r="AC1303" s="47"/>
      <c r="AD1303" s="47"/>
      <c r="AE1303" s="47"/>
      <c r="AF1303" s="47"/>
      <c r="AG1303" s="47"/>
      <c r="AH1303" s="47" t="str">
        <f>IFERROR(_xlfn.XLOOKUP(Table6[[#This Row],[Suburb]],Table5[Travel Surcharge],Table5[$$]),"")</f>
        <v/>
      </c>
      <c r="AI1303" s="47" t="s">
        <v>2249</v>
      </c>
      <c r="AJ1303" s="47"/>
    </row>
    <row r="1304" spans="1:36">
      <c r="A1304" s="374" t="s">
        <v>2242</v>
      </c>
      <c r="B1304" s="374" t="s">
        <v>1458</v>
      </c>
      <c r="C1304" s="374" t="s">
        <v>428</v>
      </c>
      <c r="D1304" s="375" t="str">
        <f t="shared" si="262"/>
        <v>Delaray Estate16B</v>
      </c>
      <c r="E1304" s="375" t="s">
        <v>2272</v>
      </c>
      <c r="F1304" s="375" t="s">
        <v>1056</v>
      </c>
      <c r="G1304" s="375" t="s">
        <v>2244</v>
      </c>
      <c r="H1304" s="375" t="s">
        <v>2245</v>
      </c>
      <c r="I1304" s="63" t="s">
        <v>2246</v>
      </c>
      <c r="J1304" s="47">
        <f t="shared" si="267"/>
        <v>3740</v>
      </c>
      <c r="K1304" s="46" t="s">
        <v>7938</v>
      </c>
      <c r="L1304" s="47" t="s">
        <v>544</v>
      </c>
      <c r="M1304" s="47" t="s">
        <v>2253</v>
      </c>
      <c r="N1304" s="47" t="s">
        <v>2248</v>
      </c>
      <c r="O1304" s="47"/>
      <c r="P1304" s="47"/>
      <c r="Q1304" s="47"/>
      <c r="R1304" s="47"/>
      <c r="S1304" s="47"/>
      <c r="T1304" s="47">
        <f t="shared" si="265"/>
        <v>780</v>
      </c>
      <c r="U1304" s="47"/>
      <c r="V1304" s="47"/>
      <c r="W1304" s="47"/>
      <c r="X1304" s="47"/>
      <c r="Y1304" s="47"/>
      <c r="Z1304" s="47">
        <f t="shared" si="268"/>
        <v>4620</v>
      </c>
      <c r="AA1304" s="47"/>
      <c r="AB1304" s="47"/>
      <c r="AC1304" s="47"/>
      <c r="AD1304" s="47"/>
      <c r="AE1304" s="47"/>
      <c r="AF1304" s="47"/>
      <c r="AG1304" s="47"/>
      <c r="AH1304" s="47" t="str">
        <f>IFERROR(_xlfn.XLOOKUP(Table6[[#This Row],[Suburb]],Table5[Travel Surcharge],Table5[$$]),"")</f>
        <v/>
      </c>
      <c r="AI1304" s="47" t="s">
        <v>2249</v>
      </c>
      <c r="AJ1304" s="47"/>
    </row>
    <row r="1305" spans="1:36">
      <c r="A1305" s="374" t="s">
        <v>2242</v>
      </c>
      <c r="B1305" s="374" t="s">
        <v>2265</v>
      </c>
      <c r="C1305" s="374" t="s">
        <v>428</v>
      </c>
      <c r="D1305" s="375" t="str">
        <f t="shared" si="262"/>
        <v>Delaray Estate19B</v>
      </c>
      <c r="E1305" s="375" t="s">
        <v>2266</v>
      </c>
      <c r="F1305" s="375" t="s">
        <v>1056</v>
      </c>
      <c r="G1305" s="375" t="s">
        <v>2244</v>
      </c>
      <c r="H1305" s="375" t="s">
        <v>2245</v>
      </c>
      <c r="I1305" s="63" t="s">
        <v>2246</v>
      </c>
      <c r="J1305" s="47">
        <f t="shared" si="267"/>
        <v>3740</v>
      </c>
      <c r="K1305" s="46" t="s">
        <v>7938</v>
      </c>
      <c r="L1305" s="47" t="s">
        <v>544</v>
      </c>
      <c r="M1305" s="47" t="s">
        <v>2253</v>
      </c>
      <c r="N1305" s="47" t="s">
        <v>2248</v>
      </c>
      <c r="O1305" s="47"/>
      <c r="P1305" s="47"/>
      <c r="Q1305" s="47"/>
      <c r="R1305" s="47"/>
      <c r="S1305" s="47"/>
      <c r="T1305" s="47">
        <f t="shared" si="265"/>
        <v>780</v>
      </c>
      <c r="U1305" s="47"/>
      <c r="V1305" s="47" t="s">
        <v>2267</v>
      </c>
      <c r="W1305" s="47" t="s">
        <v>2268</v>
      </c>
      <c r="X1305" s="47"/>
      <c r="Y1305" s="47"/>
      <c r="Z1305" s="47">
        <f t="shared" si="268"/>
        <v>4620</v>
      </c>
      <c r="AA1305" s="47"/>
      <c r="AB1305" s="47"/>
      <c r="AC1305" s="47"/>
      <c r="AD1305" s="47"/>
      <c r="AE1305" s="47"/>
      <c r="AF1305" s="47"/>
      <c r="AG1305" s="47"/>
      <c r="AH1305" s="47" t="str">
        <f>IFERROR(_xlfn.XLOOKUP(Table6[[#This Row],[Suburb]],Table5[Travel Surcharge],Table5[$$]),"")</f>
        <v/>
      </c>
      <c r="AI1305" s="47" t="s">
        <v>2249</v>
      </c>
      <c r="AJ1305" s="47"/>
    </row>
    <row r="1306" spans="1:36">
      <c r="A1306" s="374" t="s">
        <v>2273</v>
      </c>
      <c r="B1306" s="374">
        <v>1</v>
      </c>
      <c r="C1306" s="374" t="s">
        <v>1412</v>
      </c>
      <c r="D1306" s="375" t="str">
        <f t="shared" si="262"/>
        <v>Diamond Rise  Estate1</v>
      </c>
      <c r="E1306" s="375" t="s">
        <v>2274</v>
      </c>
      <c r="F1306" s="375" t="s">
        <v>2275</v>
      </c>
      <c r="G1306" s="375" t="s">
        <v>2276</v>
      </c>
      <c r="H1306" s="375" t="s">
        <v>2277</v>
      </c>
      <c r="I1306" s="63" t="s">
        <v>2278</v>
      </c>
      <c r="J1306" s="47">
        <f t="shared" si="267"/>
        <v>3740</v>
      </c>
      <c r="K1306" s="46" t="s">
        <v>10735</v>
      </c>
      <c r="L1306" s="47"/>
      <c r="M1306" s="47"/>
      <c r="N1306" s="47"/>
      <c r="O1306" s="47"/>
      <c r="P1306" s="47"/>
      <c r="Q1306" s="47"/>
      <c r="R1306" s="47"/>
      <c r="S1306" s="47" t="s">
        <v>2279</v>
      </c>
      <c r="T1306" s="47"/>
      <c r="U1306" s="47"/>
      <c r="V1306" s="47"/>
      <c r="W1306" s="47"/>
      <c r="X1306" s="47">
        <f>X$7</f>
        <v>3000</v>
      </c>
      <c r="Y1306" s="47"/>
      <c r="Z1306" s="47">
        <f t="shared" si="268"/>
        <v>4620</v>
      </c>
      <c r="AA1306" s="47"/>
      <c r="AB1306" s="47"/>
      <c r="AC1306" s="47"/>
      <c r="AD1306" s="47"/>
      <c r="AE1306" s="47"/>
      <c r="AF1306" s="47">
        <f>AF$7</f>
        <v>1485</v>
      </c>
      <c r="AG1306" s="47"/>
      <c r="AH1306" s="47" t="str">
        <f>IFERROR(_xlfn.XLOOKUP(Table6[[#This Row],[Suburb]],Table5[Travel Surcharge],Table5[$$]),"")</f>
        <v/>
      </c>
      <c r="AI1306" s="47"/>
      <c r="AJ1306" s="47"/>
    </row>
    <row r="1307" spans="1:36">
      <c r="A1307" s="374" t="s">
        <v>2273</v>
      </c>
      <c r="B1307" s="374">
        <v>3</v>
      </c>
      <c r="C1307" s="374" t="s">
        <v>1412</v>
      </c>
      <c r="D1307" s="375" t="str">
        <f t="shared" si="262"/>
        <v>Diamond Rise  Estate3</v>
      </c>
      <c r="E1307" s="375" t="s">
        <v>2280</v>
      </c>
      <c r="F1307" s="375" t="s">
        <v>2275</v>
      </c>
      <c r="G1307" s="375" t="s">
        <v>2276</v>
      </c>
      <c r="H1307" s="375" t="s">
        <v>2277</v>
      </c>
      <c r="I1307" s="63" t="s">
        <v>2278</v>
      </c>
      <c r="J1307" s="47">
        <f t="shared" si="267"/>
        <v>3740</v>
      </c>
      <c r="K1307" s="46" t="s">
        <v>10735</v>
      </c>
      <c r="L1307" s="47"/>
      <c r="M1307" s="47"/>
      <c r="N1307" s="47"/>
      <c r="O1307" s="47"/>
      <c r="P1307" s="47"/>
      <c r="Q1307" s="47"/>
      <c r="R1307" s="47"/>
      <c r="S1307" s="47" t="s">
        <v>2279</v>
      </c>
      <c r="T1307" s="47"/>
      <c r="U1307" s="47"/>
      <c r="V1307" s="47"/>
      <c r="W1307" s="47"/>
      <c r="X1307" s="47">
        <f>X$7</f>
        <v>3000</v>
      </c>
      <c r="Y1307" s="47"/>
      <c r="Z1307" s="47">
        <f t="shared" si="268"/>
        <v>4620</v>
      </c>
      <c r="AA1307" s="47"/>
      <c r="AB1307" s="47"/>
      <c r="AC1307" s="47"/>
      <c r="AD1307" s="47"/>
      <c r="AE1307" s="47"/>
      <c r="AF1307" s="47">
        <f>AF$7</f>
        <v>1485</v>
      </c>
      <c r="AG1307" s="47"/>
      <c r="AH1307" s="47" t="str">
        <f>IFERROR(_xlfn.XLOOKUP(Table6[[#This Row],[Suburb]],Table5[Travel Surcharge],Table5[$$]),"")</f>
        <v/>
      </c>
      <c r="AI1307" s="47"/>
      <c r="AJ1307" s="47"/>
    </row>
    <row r="1308" spans="1:36">
      <c r="A1308" s="374" t="s">
        <v>2273</v>
      </c>
      <c r="B1308" s="374">
        <v>4</v>
      </c>
      <c r="C1308" s="374" t="s">
        <v>1412</v>
      </c>
      <c r="D1308" s="375" t="str">
        <f t="shared" si="262"/>
        <v>Diamond Rise  Estate4</v>
      </c>
      <c r="E1308" s="375" t="s">
        <v>2281</v>
      </c>
      <c r="F1308" s="375" t="s">
        <v>2275</v>
      </c>
      <c r="G1308" s="375" t="s">
        <v>2276</v>
      </c>
      <c r="H1308" s="375" t="s">
        <v>2277</v>
      </c>
      <c r="I1308" s="63" t="s">
        <v>2278</v>
      </c>
      <c r="J1308" s="47">
        <f t="shared" si="267"/>
        <v>3740</v>
      </c>
      <c r="K1308" s="46" t="s">
        <v>10735</v>
      </c>
      <c r="L1308" s="47"/>
      <c r="M1308" s="47"/>
      <c r="N1308" s="47"/>
      <c r="O1308" s="47"/>
      <c r="P1308" s="47"/>
      <c r="Q1308" s="47"/>
      <c r="R1308" s="47"/>
      <c r="S1308" s="47" t="s">
        <v>2279</v>
      </c>
      <c r="T1308" s="47"/>
      <c r="U1308" s="47"/>
      <c r="V1308" s="47"/>
      <c r="W1308" s="47"/>
      <c r="X1308" s="47">
        <f>X$7</f>
        <v>3000</v>
      </c>
      <c r="Y1308" s="47"/>
      <c r="Z1308" s="47">
        <f t="shared" si="268"/>
        <v>4620</v>
      </c>
      <c r="AA1308" s="47"/>
      <c r="AB1308" s="47"/>
      <c r="AC1308" s="47"/>
      <c r="AD1308" s="47"/>
      <c r="AE1308" s="47"/>
      <c r="AF1308" s="47">
        <f>AF$7</f>
        <v>1485</v>
      </c>
      <c r="AG1308" s="47"/>
      <c r="AH1308" s="47" t="str">
        <f>IFERROR(_xlfn.XLOOKUP(Table6[[#This Row],[Suburb]],Table5[Travel Surcharge],Table5[$$]),"")</f>
        <v/>
      </c>
      <c r="AI1308" s="47"/>
      <c r="AJ1308" s="47"/>
    </row>
    <row r="1309" spans="1:36">
      <c r="A1309" s="374" t="s">
        <v>2273</v>
      </c>
      <c r="B1309" s="374" t="s">
        <v>718</v>
      </c>
      <c r="C1309" s="374" t="s">
        <v>1412</v>
      </c>
      <c r="D1309" s="375" t="str">
        <f t="shared" si="262"/>
        <v>Diamond Rise  Estate2A</v>
      </c>
      <c r="E1309" s="375" t="s">
        <v>2282</v>
      </c>
      <c r="F1309" s="375" t="s">
        <v>2275</v>
      </c>
      <c r="G1309" s="375" t="s">
        <v>2276</v>
      </c>
      <c r="H1309" s="375" t="s">
        <v>2277</v>
      </c>
      <c r="I1309" s="63" t="s">
        <v>2278</v>
      </c>
      <c r="J1309" s="47">
        <f t="shared" si="267"/>
        <v>3740</v>
      </c>
      <c r="K1309" s="46" t="s">
        <v>10735</v>
      </c>
      <c r="L1309" s="47"/>
      <c r="M1309" s="47"/>
      <c r="N1309" s="47"/>
      <c r="O1309" s="47"/>
      <c r="P1309" s="47"/>
      <c r="Q1309" s="47"/>
      <c r="R1309" s="47"/>
      <c r="S1309" s="47" t="s">
        <v>463</v>
      </c>
      <c r="T1309" s="47"/>
      <c r="U1309" s="47"/>
      <c r="V1309" s="47"/>
      <c r="W1309" s="47"/>
      <c r="X1309" s="47">
        <f>X$7</f>
        <v>3000</v>
      </c>
      <c r="Y1309" s="47"/>
      <c r="Z1309" s="47">
        <f t="shared" si="268"/>
        <v>4620</v>
      </c>
      <c r="AA1309" s="47"/>
      <c r="AB1309" s="47"/>
      <c r="AC1309" s="47"/>
      <c r="AD1309" s="47"/>
      <c r="AE1309" s="47"/>
      <c r="AF1309" s="47">
        <f>AF$7</f>
        <v>1485</v>
      </c>
      <c r="AG1309" s="47"/>
      <c r="AH1309" s="47" t="str">
        <f>IFERROR(_xlfn.XLOOKUP(Table6[[#This Row],[Suburb]],Table5[Travel Surcharge],Table5[$$]),"")</f>
        <v/>
      </c>
      <c r="AI1309" s="47"/>
      <c r="AJ1309" s="47"/>
    </row>
    <row r="1310" spans="1:36">
      <c r="A1310" s="374" t="s">
        <v>2273</v>
      </c>
      <c r="B1310" s="374" t="s">
        <v>604</v>
      </c>
      <c r="C1310" s="374" t="s">
        <v>1412</v>
      </c>
      <c r="D1310" s="375" t="str">
        <f t="shared" si="262"/>
        <v>Diamond Rise  Estate2B</v>
      </c>
      <c r="E1310" s="375" t="s">
        <v>2283</v>
      </c>
      <c r="F1310" s="375" t="s">
        <v>2275</v>
      </c>
      <c r="G1310" s="375" t="s">
        <v>2276</v>
      </c>
      <c r="H1310" s="375" t="s">
        <v>2277</v>
      </c>
      <c r="I1310" s="63" t="s">
        <v>2278</v>
      </c>
      <c r="J1310" s="47">
        <f t="shared" si="267"/>
        <v>3740</v>
      </c>
      <c r="K1310" s="46" t="s">
        <v>10735</v>
      </c>
      <c r="L1310" s="47"/>
      <c r="M1310" s="47"/>
      <c r="N1310" s="47"/>
      <c r="O1310" s="47"/>
      <c r="P1310" s="47"/>
      <c r="Q1310" s="47"/>
      <c r="R1310" s="47"/>
      <c r="S1310" s="47" t="s">
        <v>2279</v>
      </c>
      <c r="T1310" s="47"/>
      <c r="U1310" s="47"/>
      <c r="V1310" s="47"/>
      <c r="W1310" s="47"/>
      <c r="X1310" s="47">
        <f>X$7</f>
        <v>3000</v>
      </c>
      <c r="Y1310" s="47"/>
      <c r="Z1310" s="47">
        <f t="shared" si="268"/>
        <v>4620</v>
      </c>
      <c r="AA1310" s="47"/>
      <c r="AB1310" s="47"/>
      <c r="AC1310" s="47"/>
      <c r="AD1310" s="47"/>
      <c r="AE1310" s="47"/>
      <c r="AF1310" s="47">
        <f>AF$7</f>
        <v>1485</v>
      </c>
      <c r="AG1310" s="47"/>
      <c r="AH1310" s="47" t="str">
        <f>IFERROR(_xlfn.XLOOKUP(Table6[[#This Row],[Suburb]],Table5[Travel Surcharge],Table5[$$]),"")</f>
        <v/>
      </c>
      <c r="AI1310" s="47"/>
      <c r="AJ1310" s="47"/>
    </row>
    <row r="1311" spans="1:36">
      <c r="A1311" s="374" t="s">
        <v>800</v>
      </c>
      <c r="B1311" s="374"/>
      <c r="C1311" s="374"/>
      <c r="D1311" s="375"/>
      <c r="E1311" s="375"/>
      <c r="F1311" s="375"/>
      <c r="G1311" s="375"/>
      <c r="H1311" s="375"/>
      <c r="I1311" s="63"/>
      <c r="J1311" s="47"/>
      <c r="K1311" s="46"/>
      <c r="L1311" s="47"/>
      <c r="M1311" s="47"/>
      <c r="N1311" s="47"/>
      <c r="O1311" s="47"/>
      <c r="P1311" s="47"/>
      <c r="Q1311" s="47"/>
      <c r="R1311" s="47"/>
      <c r="S1311" s="47"/>
      <c r="T1311" s="47"/>
      <c r="U1311" s="47"/>
      <c r="V1311" s="47"/>
      <c r="W1311" s="47"/>
      <c r="X1311" s="47"/>
      <c r="Y1311" s="47"/>
      <c r="Z1311" s="47"/>
      <c r="AA1311" s="47"/>
      <c r="AB1311" s="47"/>
      <c r="AC1311" s="47"/>
      <c r="AD1311" s="47"/>
      <c r="AE1311" s="47"/>
      <c r="AF1311" s="47"/>
      <c r="AG1311" s="47"/>
      <c r="AH1311" s="47" t="str">
        <f>IFERROR(_xlfn.XLOOKUP(Table6[[#This Row],[Suburb]],Table5[Travel Surcharge],Table5[$$]),"")</f>
        <v/>
      </c>
      <c r="AI1311" s="47"/>
      <c r="AJ1311" s="47"/>
    </row>
    <row r="1312" spans="1:36">
      <c r="A1312" s="374" t="s">
        <v>2284</v>
      </c>
      <c r="B1312" s="374">
        <v>1</v>
      </c>
      <c r="C1312" s="374" t="s">
        <v>1264</v>
      </c>
      <c r="D1312" s="375" t="str">
        <f t="shared" ref="D1312:D1328" si="269">CONCATENATE(A1312,B1312)</f>
        <v>Donnybrae Estate1</v>
      </c>
      <c r="E1312" s="375" t="s">
        <v>2285</v>
      </c>
      <c r="F1312" s="375" t="s">
        <v>2286</v>
      </c>
      <c r="G1312" s="375" t="s">
        <v>2287</v>
      </c>
      <c r="H1312" s="375" t="s">
        <v>2288</v>
      </c>
      <c r="I1312" s="63" t="s">
        <v>2289</v>
      </c>
      <c r="J1312" s="47">
        <f t="shared" ref="J1312:J1324" si="270">J$7</f>
        <v>3740</v>
      </c>
      <c r="K1312" s="46" t="s">
        <v>7938</v>
      </c>
      <c r="L1312" s="47"/>
      <c r="M1312" s="47" t="s">
        <v>2290</v>
      </c>
      <c r="N1312" s="47" t="s">
        <v>2291</v>
      </c>
      <c r="O1312" s="47"/>
      <c r="P1312" s="47"/>
      <c r="Q1312" s="47"/>
      <c r="R1312" s="47"/>
      <c r="S1312" s="47"/>
      <c r="T1312" s="47"/>
      <c r="U1312" s="47">
        <f t="shared" ref="U1312:U1324" si="271">U$2</f>
        <v>430</v>
      </c>
      <c r="V1312" s="47" t="s">
        <v>2292</v>
      </c>
      <c r="W1312" s="47"/>
      <c r="X1312" s="47"/>
      <c r="Y1312" s="47"/>
      <c r="Z1312" s="47">
        <f t="shared" ref="Z1312:AA1324" si="272">Z$7</f>
        <v>4620</v>
      </c>
      <c r="AA1312" s="47">
        <f t="shared" si="272"/>
        <v>1400</v>
      </c>
      <c r="AB1312" s="47"/>
      <c r="AC1312" s="47"/>
      <c r="AD1312" s="47"/>
      <c r="AE1312" s="47" t="s">
        <v>2293</v>
      </c>
      <c r="AF1312" s="47">
        <v>1650</v>
      </c>
      <c r="AG1312" s="47"/>
      <c r="AH1312" s="47" t="str">
        <f>IFERROR(_xlfn.XLOOKUP(Table6[[#This Row],[Suburb]],Table5[Travel Surcharge],Table5[$$]),"")</f>
        <v/>
      </c>
      <c r="AI1312" s="47" t="s">
        <v>2294</v>
      </c>
      <c r="AJ1312" s="47"/>
    </row>
    <row r="1313" spans="1:36">
      <c r="A1313" s="374" t="s">
        <v>2284</v>
      </c>
      <c r="B1313" s="374">
        <v>3</v>
      </c>
      <c r="C1313" s="374" t="s">
        <v>1264</v>
      </c>
      <c r="D1313" s="375" t="str">
        <f t="shared" si="269"/>
        <v>Donnybrae Estate3</v>
      </c>
      <c r="E1313" s="375" t="s">
        <v>2295</v>
      </c>
      <c r="F1313" s="375" t="s">
        <v>2286</v>
      </c>
      <c r="G1313" s="375" t="s">
        <v>2287</v>
      </c>
      <c r="H1313" s="375" t="s">
        <v>2288</v>
      </c>
      <c r="I1313" s="63" t="s">
        <v>2289</v>
      </c>
      <c r="J1313" s="47">
        <f t="shared" si="270"/>
        <v>3740</v>
      </c>
      <c r="K1313" s="46" t="s">
        <v>7938</v>
      </c>
      <c r="L1313" s="47"/>
      <c r="M1313" s="47" t="s">
        <v>2290</v>
      </c>
      <c r="N1313" s="47" t="s">
        <v>2291</v>
      </c>
      <c r="O1313" s="47"/>
      <c r="P1313" s="47"/>
      <c r="Q1313" s="47"/>
      <c r="R1313" s="47"/>
      <c r="S1313" s="47"/>
      <c r="T1313" s="47"/>
      <c r="U1313" s="47">
        <f t="shared" si="271"/>
        <v>430</v>
      </c>
      <c r="V1313" s="47" t="s">
        <v>2292</v>
      </c>
      <c r="W1313" s="47"/>
      <c r="X1313" s="47"/>
      <c r="Y1313" s="47"/>
      <c r="Z1313" s="47">
        <f t="shared" si="272"/>
        <v>4620</v>
      </c>
      <c r="AA1313" s="47">
        <f t="shared" si="272"/>
        <v>1400</v>
      </c>
      <c r="AB1313" s="47"/>
      <c r="AC1313" s="47"/>
      <c r="AD1313" s="47"/>
      <c r="AE1313" s="47" t="s">
        <v>2293</v>
      </c>
      <c r="AF1313" s="47">
        <v>1650</v>
      </c>
      <c r="AG1313" s="47"/>
      <c r="AH1313" s="47" t="str">
        <f>IFERROR(_xlfn.XLOOKUP(Table6[[#This Row],[Suburb]],Table5[Travel Surcharge],Table5[$$]),"")</f>
        <v/>
      </c>
      <c r="AI1313" s="47" t="s">
        <v>2294</v>
      </c>
      <c r="AJ1313" s="47"/>
    </row>
    <row r="1314" spans="1:36">
      <c r="A1314" s="374" t="s">
        <v>2284</v>
      </c>
      <c r="B1314" s="374">
        <v>5</v>
      </c>
      <c r="C1314" s="374" t="s">
        <v>1264</v>
      </c>
      <c r="D1314" s="375" t="str">
        <f t="shared" si="269"/>
        <v>Donnybrae Estate5</v>
      </c>
      <c r="E1314" s="375" t="s">
        <v>2296</v>
      </c>
      <c r="F1314" s="375" t="s">
        <v>2286</v>
      </c>
      <c r="G1314" s="375" t="s">
        <v>2287</v>
      </c>
      <c r="H1314" s="375" t="s">
        <v>2288</v>
      </c>
      <c r="I1314" s="63" t="s">
        <v>2289</v>
      </c>
      <c r="J1314" s="47">
        <f t="shared" si="270"/>
        <v>3740</v>
      </c>
      <c r="K1314" s="46" t="s">
        <v>7938</v>
      </c>
      <c r="L1314" s="47"/>
      <c r="M1314" s="47" t="s">
        <v>2290</v>
      </c>
      <c r="N1314" s="47" t="s">
        <v>2291</v>
      </c>
      <c r="O1314" s="47"/>
      <c r="P1314" s="47"/>
      <c r="Q1314" s="47"/>
      <c r="R1314" s="47"/>
      <c r="S1314" s="47"/>
      <c r="T1314" s="47"/>
      <c r="U1314" s="47">
        <f t="shared" si="271"/>
        <v>430</v>
      </c>
      <c r="V1314" s="47" t="s">
        <v>2292</v>
      </c>
      <c r="W1314" s="47"/>
      <c r="X1314" s="47"/>
      <c r="Y1314" s="47"/>
      <c r="Z1314" s="47">
        <f t="shared" si="272"/>
        <v>4620</v>
      </c>
      <c r="AA1314" s="47">
        <f t="shared" si="272"/>
        <v>1400</v>
      </c>
      <c r="AB1314" s="47"/>
      <c r="AC1314" s="47"/>
      <c r="AD1314" s="47"/>
      <c r="AE1314" s="47" t="s">
        <v>2293</v>
      </c>
      <c r="AF1314" s="47">
        <v>1650</v>
      </c>
      <c r="AG1314" s="47"/>
      <c r="AH1314" s="47" t="str">
        <f>IFERROR(_xlfn.XLOOKUP(Table6[[#This Row],[Suburb]],Table5[Travel Surcharge],Table5[$$]),"")</f>
        <v/>
      </c>
      <c r="AI1314" s="47" t="s">
        <v>2294</v>
      </c>
      <c r="AJ1314" s="47"/>
    </row>
    <row r="1315" spans="1:36">
      <c r="A1315" s="374" t="s">
        <v>2284</v>
      </c>
      <c r="B1315" s="374">
        <v>6</v>
      </c>
      <c r="C1315" s="374" t="s">
        <v>1264</v>
      </c>
      <c r="D1315" s="375" t="str">
        <f t="shared" si="269"/>
        <v>Donnybrae Estate6</v>
      </c>
      <c r="E1315" s="375" t="s">
        <v>2297</v>
      </c>
      <c r="F1315" s="375" t="s">
        <v>2286</v>
      </c>
      <c r="G1315" s="375" t="s">
        <v>2287</v>
      </c>
      <c r="H1315" s="375" t="s">
        <v>2288</v>
      </c>
      <c r="I1315" s="63" t="s">
        <v>2289</v>
      </c>
      <c r="J1315" s="47">
        <f t="shared" si="270"/>
        <v>3740</v>
      </c>
      <c r="K1315" s="46" t="s">
        <v>7938</v>
      </c>
      <c r="L1315" s="47"/>
      <c r="M1315" s="47" t="s">
        <v>2290</v>
      </c>
      <c r="N1315" s="47" t="s">
        <v>2291</v>
      </c>
      <c r="O1315" s="47"/>
      <c r="P1315" s="47"/>
      <c r="Q1315" s="47"/>
      <c r="R1315" s="47"/>
      <c r="S1315" s="47"/>
      <c r="T1315" s="47"/>
      <c r="U1315" s="47">
        <f t="shared" si="271"/>
        <v>430</v>
      </c>
      <c r="V1315" s="47" t="s">
        <v>2292</v>
      </c>
      <c r="W1315" s="47"/>
      <c r="X1315" s="47"/>
      <c r="Y1315" s="47"/>
      <c r="Z1315" s="47">
        <f t="shared" si="272"/>
        <v>4620</v>
      </c>
      <c r="AA1315" s="47">
        <f t="shared" si="272"/>
        <v>1400</v>
      </c>
      <c r="AB1315" s="47"/>
      <c r="AC1315" s="47"/>
      <c r="AD1315" s="47"/>
      <c r="AE1315" s="47" t="s">
        <v>2293</v>
      </c>
      <c r="AF1315" s="47">
        <v>1650</v>
      </c>
      <c r="AG1315" s="47"/>
      <c r="AH1315" s="47" t="str">
        <f>IFERROR(_xlfn.XLOOKUP(Table6[[#This Row],[Suburb]],Table5[Travel Surcharge],Table5[$$]),"")</f>
        <v/>
      </c>
      <c r="AI1315" s="47" t="s">
        <v>2294</v>
      </c>
      <c r="AJ1315" s="47"/>
    </row>
    <row r="1316" spans="1:36">
      <c r="A1316" s="374" t="s">
        <v>2284</v>
      </c>
      <c r="B1316" s="374">
        <v>7</v>
      </c>
      <c r="C1316" s="374" t="s">
        <v>1264</v>
      </c>
      <c r="D1316" s="375" t="str">
        <f t="shared" si="269"/>
        <v>Donnybrae Estate7</v>
      </c>
      <c r="E1316" s="375" t="s">
        <v>2298</v>
      </c>
      <c r="F1316" s="375" t="s">
        <v>2286</v>
      </c>
      <c r="G1316" s="375" t="s">
        <v>2287</v>
      </c>
      <c r="H1316" s="375" t="s">
        <v>2288</v>
      </c>
      <c r="I1316" s="63" t="s">
        <v>2289</v>
      </c>
      <c r="J1316" s="47">
        <f t="shared" si="270"/>
        <v>3740</v>
      </c>
      <c r="K1316" s="46" t="s">
        <v>7938</v>
      </c>
      <c r="L1316" s="47"/>
      <c r="M1316" s="47" t="s">
        <v>2290</v>
      </c>
      <c r="N1316" s="47" t="s">
        <v>2291</v>
      </c>
      <c r="O1316" s="47"/>
      <c r="P1316" s="47"/>
      <c r="Q1316" s="47"/>
      <c r="R1316" s="47"/>
      <c r="S1316" s="47"/>
      <c r="T1316" s="47"/>
      <c r="U1316" s="47">
        <f t="shared" si="271"/>
        <v>430</v>
      </c>
      <c r="V1316" s="47" t="s">
        <v>2292</v>
      </c>
      <c r="W1316" s="47"/>
      <c r="X1316" s="47"/>
      <c r="Y1316" s="47"/>
      <c r="Z1316" s="47">
        <f t="shared" si="272"/>
        <v>4620</v>
      </c>
      <c r="AA1316" s="47">
        <f t="shared" si="272"/>
        <v>1400</v>
      </c>
      <c r="AB1316" s="47"/>
      <c r="AC1316" s="47"/>
      <c r="AD1316" s="47"/>
      <c r="AE1316" s="47" t="s">
        <v>2293</v>
      </c>
      <c r="AF1316" s="47">
        <v>1650</v>
      </c>
      <c r="AG1316" s="47"/>
      <c r="AH1316" s="47" t="str">
        <f>IFERROR(_xlfn.XLOOKUP(Table6[[#This Row],[Suburb]],Table5[Travel Surcharge],Table5[$$]),"")</f>
        <v/>
      </c>
      <c r="AI1316" s="47" t="s">
        <v>2294</v>
      </c>
      <c r="AJ1316" s="47"/>
    </row>
    <row r="1317" spans="1:36">
      <c r="A1317" s="374" t="s">
        <v>2284</v>
      </c>
      <c r="B1317" s="374">
        <v>8</v>
      </c>
      <c r="C1317" s="374" t="s">
        <v>1264</v>
      </c>
      <c r="D1317" s="375" t="str">
        <f t="shared" si="269"/>
        <v>Donnybrae Estate8</v>
      </c>
      <c r="E1317" s="375" t="s">
        <v>2299</v>
      </c>
      <c r="F1317" s="375" t="s">
        <v>2286</v>
      </c>
      <c r="G1317" s="375" t="s">
        <v>2287</v>
      </c>
      <c r="H1317" s="375" t="s">
        <v>2288</v>
      </c>
      <c r="I1317" s="63" t="s">
        <v>2289</v>
      </c>
      <c r="J1317" s="47">
        <f t="shared" si="270"/>
        <v>3740</v>
      </c>
      <c r="K1317" s="46" t="s">
        <v>7938</v>
      </c>
      <c r="L1317" s="47"/>
      <c r="M1317" s="47" t="s">
        <v>2290</v>
      </c>
      <c r="N1317" s="47" t="s">
        <v>2291</v>
      </c>
      <c r="O1317" s="47"/>
      <c r="P1317" s="47"/>
      <c r="Q1317" s="47"/>
      <c r="R1317" s="47"/>
      <c r="S1317" s="47"/>
      <c r="T1317" s="47"/>
      <c r="U1317" s="47">
        <f t="shared" si="271"/>
        <v>430</v>
      </c>
      <c r="V1317" s="47" t="s">
        <v>2292</v>
      </c>
      <c r="W1317" s="47"/>
      <c r="X1317" s="47"/>
      <c r="Y1317" s="47"/>
      <c r="Z1317" s="47">
        <f t="shared" si="272"/>
        <v>4620</v>
      </c>
      <c r="AA1317" s="47">
        <f t="shared" si="272"/>
        <v>1400</v>
      </c>
      <c r="AB1317" s="47"/>
      <c r="AC1317" s="47"/>
      <c r="AD1317" s="47"/>
      <c r="AE1317" s="47" t="s">
        <v>2293</v>
      </c>
      <c r="AF1317" s="47">
        <v>1650</v>
      </c>
      <c r="AG1317" s="47"/>
      <c r="AH1317" s="47" t="str">
        <f>IFERROR(_xlfn.XLOOKUP(Table6[[#This Row],[Suburb]],Table5[Travel Surcharge],Table5[$$]),"")</f>
        <v/>
      </c>
      <c r="AI1317" s="47" t="s">
        <v>2294</v>
      </c>
      <c r="AJ1317" s="47"/>
    </row>
    <row r="1318" spans="1:36">
      <c r="A1318" s="374" t="s">
        <v>2284</v>
      </c>
      <c r="B1318" s="374">
        <v>9</v>
      </c>
      <c r="C1318" s="374" t="s">
        <v>1264</v>
      </c>
      <c r="D1318" s="375" t="str">
        <f t="shared" si="269"/>
        <v>Donnybrae Estate9</v>
      </c>
      <c r="E1318" s="375" t="s">
        <v>2300</v>
      </c>
      <c r="F1318" s="375" t="s">
        <v>2286</v>
      </c>
      <c r="G1318" s="375" t="s">
        <v>2287</v>
      </c>
      <c r="H1318" s="375" t="s">
        <v>2288</v>
      </c>
      <c r="I1318" s="63" t="s">
        <v>2289</v>
      </c>
      <c r="J1318" s="47">
        <f t="shared" si="270"/>
        <v>3740</v>
      </c>
      <c r="K1318" s="46" t="s">
        <v>7938</v>
      </c>
      <c r="L1318" s="47"/>
      <c r="M1318" s="47" t="s">
        <v>2290</v>
      </c>
      <c r="N1318" s="47" t="s">
        <v>2291</v>
      </c>
      <c r="O1318" s="47"/>
      <c r="P1318" s="47"/>
      <c r="Q1318" s="47"/>
      <c r="R1318" s="47"/>
      <c r="S1318" s="47"/>
      <c r="T1318" s="47"/>
      <c r="U1318" s="47">
        <f t="shared" si="271"/>
        <v>430</v>
      </c>
      <c r="V1318" s="47" t="s">
        <v>2292</v>
      </c>
      <c r="W1318" s="47"/>
      <c r="X1318" s="47"/>
      <c r="Y1318" s="47"/>
      <c r="Z1318" s="47">
        <f t="shared" si="272"/>
        <v>4620</v>
      </c>
      <c r="AA1318" s="47">
        <f t="shared" si="272"/>
        <v>1400</v>
      </c>
      <c r="AB1318" s="47"/>
      <c r="AC1318" s="47"/>
      <c r="AD1318" s="47"/>
      <c r="AE1318" s="47" t="s">
        <v>2293</v>
      </c>
      <c r="AF1318" s="47">
        <v>1650</v>
      </c>
      <c r="AG1318" s="47"/>
      <c r="AH1318" s="47" t="str">
        <f>IFERROR(_xlfn.XLOOKUP(Table6[[#This Row],[Suburb]],Table5[Travel Surcharge],Table5[$$]),"")</f>
        <v/>
      </c>
      <c r="AI1318" s="47" t="s">
        <v>2294</v>
      </c>
      <c r="AJ1318" s="47"/>
    </row>
    <row r="1319" spans="1:36">
      <c r="A1319" s="374" t="s">
        <v>2284</v>
      </c>
      <c r="B1319" s="374">
        <v>10</v>
      </c>
      <c r="C1319" s="374" t="s">
        <v>1264</v>
      </c>
      <c r="D1319" s="375" t="str">
        <f t="shared" si="269"/>
        <v>Donnybrae Estate10</v>
      </c>
      <c r="E1319" s="375" t="s">
        <v>2301</v>
      </c>
      <c r="F1319" s="375" t="s">
        <v>2286</v>
      </c>
      <c r="G1319" s="375" t="s">
        <v>2287</v>
      </c>
      <c r="H1319" s="375" t="s">
        <v>2288</v>
      </c>
      <c r="I1319" s="63" t="s">
        <v>2289</v>
      </c>
      <c r="J1319" s="47">
        <f t="shared" si="270"/>
        <v>3740</v>
      </c>
      <c r="K1319" s="46" t="s">
        <v>7938</v>
      </c>
      <c r="L1319" s="47"/>
      <c r="M1319" s="47" t="s">
        <v>2290</v>
      </c>
      <c r="N1319" s="47" t="s">
        <v>2291</v>
      </c>
      <c r="O1319" s="47"/>
      <c r="P1319" s="47"/>
      <c r="Q1319" s="47"/>
      <c r="R1319" s="47"/>
      <c r="S1319" s="47"/>
      <c r="T1319" s="47"/>
      <c r="U1319" s="47">
        <f t="shared" si="271"/>
        <v>430</v>
      </c>
      <c r="V1319" s="47" t="s">
        <v>2292</v>
      </c>
      <c r="W1319" s="47"/>
      <c r="X1319" s="47"/>
      <c r="Y1319" s="47"/>
      <c r="Z1319" s="47">
        <f t="shared" si="272"/>
        <v>4620</v>
      </c>
      <c r="AA1319" s="47">
        <f t="shared" si="272"/>
        <v>1400</v>
      </c>
      <c r="AB1319" s="47"/>
      <c r="AC1319" s="47"/>
      <c r="AD1319" s="47"/>
      <c r="AE1319" s="47" t="s">
        <v>2293</v>
      </c>
      <c r="AF1319" s="47">
        <v>1650</v>
      </c>
      <c r="AG1319" s="47"/>
      <c r="AH1319" s="47" t="str">
        <f>IFERROR(_xlfn.XLOOKUP(Table6[[#This Row],[Suburb]],Table5[Travel Surcharge],Table5[$$]),"")</f>
        <v/>
      </c>
      <c r="AI1319" s="47" t="s">
        <v>2294</v>
      </c>
      <c r="AJ1319" s="47"/>
    </row>
    <row r="1320" spans="1:36">
      <c r="A1320" s="374" t="s">
        <v>2284</v>
      </c>
      <c r="B1320" s="374">
        <v>11</v>
      </c>
      <c r="C1320" s="374" t="s">
        <v>1264</v>
      </c>
      <c r="D1320" s="375" t="str">
        <f t="shared" si="269"/>
        <v>Donnybrae Estate11</v>
      </c>
      <c r="E1320" s="375" t="s">
        <v>2302</v>
      </c>
      <c r="F1320" s="375" t="s">
        <v>2286</v>
      </c>
      <c r="G1320" s="375" t="s">
        <v>2287</v>
      </c>
      <c r="H1320" s="375" t="s">
        <v>2288</v>
      </c>
      <c r="I1320" s="63" t="s">
        <v>2289</v>
      </c>
      <c r="J1320" s="47">
        <f t="shared" si="270"/>
        <v>3740</v>
      </c>
      <c r="K1320" s="46" t="s">
        <v>7938</v>
      </c>
      <c r="L1320" s="47"/>
      <c r="M1320" s="47" t="s">
        <v>2290</v>
      </c>
      <c r="N1320" s="47" t="s">
        <v>2291</v>
      </c>
      <c r="O1320" s="47"/>
      <c r="P1320" s="47"/>
      <c r="Q1320" s="47"/>
      <c r="R1320" s="47"/>
      <c r="S1320" s="47"/>
      <c r="T1320" s="47"/>
      <c r="U1320" s="47">
        <f t="shared" si="271"/>
        <v>430</v>
      </c>
      <c r="V1320" s="47" t="s">
        <v>2292</v>
      </c>
      <c r="W1320" s="47"/>
      <c r="X1320" s="47"/>
      <c r="Y1320" s="47"/>
      <c r="Z1320" s="47">
        <f t="shared" si="272"/>
        <v>4620</v>
      </c>
      <c r="AA1320" s="47">
        <f t="shared" si="272"/>
        <v>1400</v>
      </c>
      <c r="AB1320" s="47"/>
      <c r="AC1320" s="47"/>
      <c r="AD1320" s="47"/>
      <c r="AE1320" s="47" t="s">
        <v>2293</v>
      </c>
      <c r="AF1320" s="47">
        <v>1650</v>
      </c>
      <c r="AG1320" s="47"/>
      <c r="AH1320" s="47" t="str">
        <f>IFERROR(_xlfn.XLOOKUP(Table6[[#This Row],[Suburb]],Table5[Travel Surcharge],Table5[$$]),"")</f>
        <v/>
      </c>
      <c r="AI1320" s="47" t="s">
        <v>2294</v>
      </c>
      <c r="AJ1320" s="47"/>
    </row>
    <row r="1321" spans="1:36">
      <c r="A1321" s="374" t="s">
        <v>2284</v>
      </c>
      <c r="B1321" s="374">
        <v>12</v>
      </c>
      <c r="C1321" s="374" t="s">
        <v>1264</v>
      </c>
      <c r="D1321" s="375" t="str">
        <f t="shared" si="269"/>
        <v>Donnybrae Estate12</v>
      </c>
      <c r="E1321" s="375" t="s">
        <v>8358</v>
      </c>
      <c r="F1321" s="375" t="s">
        <v>2286</v>
      </c>
      <c r="G1321" s="375" t="s">
        <v>2287</v>
      </c>
      <c r="H1321" s="375" t="s">
        <v>2288</v>
      </c>
      <c r="I1321" s="63" t="s">
        <v>2289</v>
      </c>
      <c r="J1321" s="47">
        <f t="shared" si="270"/>
        <v>3740</v>
      </c>
      <c r="K1321" s="46" t="s">
        <v>7938</v>
      </c>
      <c r="L1321" s="47"/>
      <c r="M1321" s="47" t="s">
        <v>2290</v>
      </c>
      <c r="N1321" s="47" t="s">
        <v>2291</v>
      </c>
      <c r="O1321" s="47"/>
      <c r="P1321" s="47"/>
      <c r="Q1321" s="47"/>
      <c r="R1321" s="47"/>
      <c r="S1321" s="47"/>
      <c r="T1321" s="47"/>
      <c r="U1321" s="47">
        <f t="shared" si="271"/>
        <v>430</v>
      </c>
      <c r="V1321" s="47" t="s">
        <v>2292</v>
      </c>
      <c r="W1321" s="47"/>
      <c r="X1321" s="47"/>
      <c r="Y1321" s="47"/>
      <c r="Z1321" s="47">
        <f t="shared" si="272"/>
        <v>4620</v>
      </c>
      <c r="AA1321" s="47">
        <f t="shared" si="272"/>
        <v>1400</v>
      </c>
      <c r="AB1321" s="47"/>
      <c r="AC1321" s="47"/>
      <c r="AD1321" s="47"/>
      <c r="AE1321" s="47" t="s">
        <v>2293</v>
      </c>
      <c r="AF1321" s="47">
        <v>1650</v>
      </c>
      <c r="AG1321" s="47"/>
      <c r="AH1321" s="47" t="str">
        <f>IFERROR(_xlfn.XLOOKUP(Table6[[#This Row],[Suburb]],Table5[Travel Surcharge],Table5[$$]),"")</f>
        <v/>
      </c>
      <c r="AI1321" s="47" t="s">
        <v>2294</v>
      </c>
      <c r="AJ1321" s="47"/>
    </row>
    <row r="1322" spans="1:36">
      <c r="A1322" s="374" t="s">
        <v>2284</v>
      </c>
      <c r="B1322" s="374">
        <v>13</v>
      </c>
      <c r="C1322" s="374" t="s">
        <v>1264</v>
      </c>
      <c r="D1322" s="375" t="str">
        <f t="shared" si="269"/>
        <v>Donnybrae Estate13</v>
      </c>
      <c r="E1322" s="375" t="s">
        <v>2303</v>
      </c>
      <c r="F1322" s="375" t="s">
        <v>2286</v>
      </c>
      <c r="G1322" s="375" t="s">
        <v>2287</v>
      </c>
      <c r="H1322" s="375" t="s">
        <v>2288</v>
      </c>
      <c r="I1322" s="63" t="s">
        <v>2289</v>
      </c>
      <c r="J1322" s="47">
        <f t="shared" si="270"/>
        <v>3740</v>
      </c>
      <c r="K1322" s="46" t="s">
        <v>7938</v>
      </c>
      <c r="L1322" s="47"/>
      <c r="M1322" s="47" t="s">
        <v>2290</v>
      </c>
      <c r="N1322" s="47" t="s">
        <v>2291</v>
      </c>
      <c r="O1322" s="47"/>
      <c r="P1322" s="47"/>
      <c r="Q1322" s="47"/>
      <c r="R1322" s="47"/>
      <c r="S1322" s="47"/>
      <c r="T1322" s="47"/>
      <c r="U1322" s="47">
        <f t="shared" si="271"/>
        <v>430</v>
      </c>
      <c r="V1322" s="47" t="s">
        <v>2292</v>
      </c>
      <c r="W1322" s="47"/>
      <c r="X1322" s="47"/>
      <c r="Y1322" s="47"/>
      <c r="Z1322" s="47">
        <f t="shared" si="272"/>
        <v>4620</v>
      </c>
      <c r="AA1322" s="47">
        <f t="shared" si="272"/>
        <v>1400</v>
      </c>
      <c r="AB1322" s="47"/>
      <c r="AC1322" s="47"/>
      <c r="AD1322" s="47"/>
      <c r="AE1322" s="47" t="s">
        <v>2293</v>
      </c>
      <c r="AF1322" s="47">
        <v>1650</v>
      </c>
      <c r="AG1322" s="47"/>
      <c r="AH1322" s="47" t="str">
        <f>IFERROR(_xlfn.XLOOKUP(Table6[[#This Row],[Suburb]],Table5[Travel Surcharge],Table5[$$]),"")</f>
        <v/>
      </c>
      <c r="AI1322" s="47" t="s">
        <v>2294</v>
      </c>
      <c r="AJ1322" s="47"/>
    </row>
    <row r="1323" spans="1:36">
      <c r="A1323" s="374" t="s">
        <v>2284</v>
      </c>
      <c r="B1323" s="374">
        <v>15</v>
      </c>
      <c r="C1323" s="374" t="s">
        <v>1264</v>
      </c>
      <c r="D1323" s="375" t="str">
        <f t="shared" si="269"/>
        <v>Donnybrae Estate15</v>
      </c>
      <c r="E1323" s="375" t="s">
        <v>7377</v>
      </c>
      <c r="F1323" s="375" t="s">
        <v>2286</v>
      </c>
      <c r="G1323" s="375" t="s">
        <v>2287</v>
      </c>
      <c r="H1323" s="375" t="s">
        <v>2288</v>
      </c>
      <c r="I1323" s="63" t="s">
        <v>2289</v>
      </c>
      <c r="J1323" s="47">
        <f t="shared" si="270"/>
        <v>3740</v>
      </c>
      <c r="K1323" s="46" t="s">
        <v>7938</v>
      </c>
      <c r="L1323" s="47"/>
      <c r="M1323" s="47" t="str">
        <f>"LL "&amp;M$7</f>
        <v>LL 1430</v>
      </c>
      <c r="N1323" s="47" t="s">
        <v>2291</v>
      </c>
      <c r="O1323" s="47" t="s">
        <v>2305</v>
      </c>
      <c r="P1323" s="47"/>
      <c r="Q1323" s="47"/>
      <c r="R1323" s="47"/>
      <c r="S1323" s="47"/>
      <c r="T1323" s="47"/>
      <c r="U1323" s="47">
        <f t="shared" si="271"/>
        <v>430</v>
      </c>
      <c r="V1323" s="47" t="s">
        <v>2292</v>
      </c>
      <c r="W1323" s="47"/>
      <c r="X1323" s="47"/>
      <c r="Y1323" s="47"/>
      <c r="Z1323" s="47">
        <f t="shared" si="272"/>
        <v>4620</v>
      </c>
      <c r="AA1323" s="47">
        <f t="shared" si="272"/>
        <v>1400</v>
      </c>
      <c r="AB1323" s="47"/>
      <c r="AC1323" s="47"/>
      <c r="AD1323" s="47"/>
      <c r="AE1323" s="47" t="str">
        <f>"LL "&amp;AE$7</f>
        <v>LL 5000</v>
      </c>
      <c r="AF1323" s="47">
        <f>AF$7</f>
        <v>1485</v>
      </c>
      <c r="AG1323" s="47"/>
      <c r="AH1323" s="47" t="str">
        <f>IFERROR(_xlfn.XLOOKUP(Table6[[#This Row],[Suburb]],Table5[Travel Surcharge],Table5[$$]),"")</f>
        <v/>
      </c>
      <c r="AI1323" s="47" t="s">
        <v>2294</v>
      </c>
      <c r="AJ1323" s="47"/>
    </row>
    <row r="1324" spans="1:36">
      <c r="A1324" s="374" t="s">
        <v>2284</v>
      </c>
      <c r="B1324" s="374">
        <v>16</v>
      </c>
      <c r="C1324" s="374" t="s">
        <v>1264</v>
      </c>
      <c r="D1324" s="375" t="str">
        <f t="shared" si="269"/>
        <v>Donnybrae Estate16</v>
      </c>
      <c r="E1324" s="375" t="s">
        <v>2304</v>
      </c>
      <c r="F1324" s="375" t="s">
        <v>2286</v>
      </c>
      <c r="G1324" s="375" t="s">
        <v>2287</v>
      </c>
      <c r="H1324" s="375" t="s">
        <v>2288</v>
      </c>
      <c r="I1324" s="63" t="s">
        <v>2289</v>
      </c>
      <c r="J1324" s="47">
        <f t="shared" si="270"/>
        <v>3740</v>
      </c>
      <c r="K1324" s="46" t="s">
        <v>7938</v>
      </c>
      <c r="L1324" s="47"/>
      <c r="M1324" s="47" t="s">
        <v>2290</v>
      </c>
      <c r="N1324" s="47" t="s">
        <v>2291</v>
      </c>
      <c r="O1324" s="47" t="s">
        <v>2305</v>
      </c>
      <c r="P1324" s="47"/>
      <c r="Q1324" s="47"/>
      <c r="R1324" s="47"/>
      <c r="S1324" s="47"/>
      <c r="T1324" s="47"/>
      <c r="U1324" s="47">
        <f t="shared" si="271"/>
        <v>430</v>
      </c>
      <c r="V1324" s="47" t="s">
        <v>2292</v>
      </c>
      <c r="W1324" s="47"/>
      <c r="X1324" s="47"/>
      <c r="Y1324" s="47"/>
      <c r="Z1324" s="47">
        <f t="shared" si="272"/>
        <v>4620</v>
      </c>
      <c r="AA1324" s="47">
        <f t="shared" si="272"/>
        <v>1400</v>
      </c>
      <c r="AB1324" s="47"/>
      <c r="AC1324" s="47"/>
      <c r="AD1324" s="47"/>
      <c r="AE1324" s="47" t="s">
        <v>2293</v>
      </c>
      <c r="AF1324" s="47">
        <v>1650</v>
      </c>
      <c r="AG1324" s="47"/>
      <c r="AH1324" s="47" t="str">
        <f>IFERROR(_xlfn.XLOOKUP(Table6[[#This Row],[Suburb]],Table5[Travel Surcharge],Table5[$$]),"")</f>
        <v/>
      </c>
      <c r="AI1324" s="47" t="s">
        <v>2294</v>
      </c>
      <c r="AJ1324" s="47"/>
    </row>
    <row r="1325" spans="1:36">
      <c r="A1325" s="157" t="s">
        <v>2306</v>
      </c>
      <c r="B1325" s="157">
        <v>1</v>
      </c>
      <c r="C1325" s="157" t="s">
        <v>305</v>
      </c>
      <c r="D1325" s="157" t="str">
        <f t="shared" si="269"/>
        <v>Dream Estate1</v>
      </c>
      <c r="E1325" s="157" t="s">
        <v>8600</v>
      </c>
      <c r="F1325" s="157"/>
      <c r="G1325" s="157" t="s">
        <v>2308</v>
      </c>
      <c r="H1325" s="157" t="s">
        <v>2309</v>
      </c>
      <c r="I1325" s="158" t="s">
        <v>2310</v>
      </c>
      <c r="J1325" s="47"/>
      <c r="K1325" s="46" t="s">
        <v>10735</v>
      </c>
      <c r="L1325" s="47">
        <f>L$7</f>
        <v>1210</v>
      </c>
      <c r="M1325" s="47"/>
      <c r="N1325" s="47"/>
      <c r="O1325" s="47">
        <v>4950</v>
      </c>
      <c r="P1325" s="47"/>
      <c r="Q1325" s="47"/>
      <c r="R1325" s="47"/>
      <c r="S1325" s="47" t="s">
        <v>463</v>
      </c>
      <c r="T1325" s="47"/>
      <c r="U1325" s="47"/>
      <c r="V1325" s="47"/>
      <c r="W1325" s="47"/>
      <c r="X1325" s="47"/>
      <c r="Y1325" s="47"/>
      <c r="Z1325" s="47">
        <f>Z$7</f>
        <v>4620</v>
      </c>
      <c r="AA1325" s="47"/>
      <c r="AB1325" s="47"/>
      <c r="AC1325" s="47"/>
      <c r="AD1325" s="47"/>
      <c r="AE1325" s="47"/>
      <c r="AF1325" s="47"/>
      <c r="AG1325" s="47"/>
      <c r="AH1325" s="47">
        <f>IFERROR(_xlfn.XLOOKUP(Table6[[#This Row],[Suburb]],Table5[Travel Surcharge],Table5[$$]),"")</f>
        <v>8000</v>
      </c>
      <c r="AI1325" s="47"/>
      <c r="AJ1325" s="47">
        <f>AJ$7</f>
        <v>4400</v>
      </c>
    </row>
    <row r="1326" spans="1:36">
      <c r="A1326" s="374" t="s">
        <v>2306</v>
      </c>
      <c r="B1326" s="374">
        <v>2</v>
      </c>
      <c r="C1326" s="374" t="s">
        <v>305</v>
      </c>
      <c r="D1326" s="375" t="str">
        <f t="shared" si="269"/>
        <v>Dream Estate2</v>
      </c>
      <c r="E1326" s="375" t="s">
        <v>2307</v>
      </c>
      <c r="F1326" s="375"/>
      <c r="G1326" s="375" t="s">
        <v>2308</v>
      </c>
      <c r="H1326" s="375" t="s">
        <v>2309</v>
      </c>
      <c r="I1326" s="63" t="s">
        <v>2310</v>
      </c>
      <c r="J1326" s="47"/>
      <c r="K1326" s="46" t="s">
        <v>10735</v>
      </c>
      <c r="L1326" s="47">
        <f>L$7</f>
        <v>1210</v>
      </c>
      <c r="M1326" s="47"/>
      <c r="N1326" s="47"/>
      <c r="O1326" s="47">
        <v>4950</v>
      </c>
      <c r="P1326" s="47"/>
      <c r="Q1326" s="47"/>
      <c r="R1326" s="47"/>
      <c r="S1326" s="47" t="s">
        <v>463</v>
      </c>
      <c r="T1326" s="47"/>
      <c r="U1326" s="47"/>
      <c r="V1326" s="47"/>
      <c r="W1326" s="47"/>
      <c r="X1326" s="47"/>
      <c r="Y1326" s="47"/>
      <c r="Z1326" s="47">
        <f>Z$7</f>
        <v>4620</v>
      </c>
      <c r="AA1326" s="47"/>
      <c r="AB1326" s="47"/>
      <c r="AC1326" s="47"/>
      <c r="AD1326" s="47"/>
      <c r="AE1326" s="47"/>
      <c r="AF1326" s="47"/>
      <c r="AG1326" s="47"/>
      <c r="AH1326" s="47">
        <f>IFERROR(_xlfn.XLOOKUP(Table6[[#This Row],[Suburb]],Table5[Travel Surcharge],Table5[$$]),"")</f>
        <v>8000</v>
      </c>
      <c r="AI1326" s="47"/>
      <c r="AJ1326" s="47">
        <f>AJ$7</f>
        <v>4400</v>
      </c>
    </row>
    <row r="1327" spans="1:36">
      <c r="A1327" s="374" t="s">
        <v>2306</v>
      </c>
      <c r="B1327" s="374">
        <v>3</v>
      </c>
      <c r="C1327" s="374" t="s">
        <v>305</v>
      </c>
      <c r="D1327" s="375" t="str">
        <f t="shared" si="269"/>
        <v>Dream Estate3</v>
      </c>
      <c r="E1327" s="375" t="s">
        <v>2311</v>
      </c>
      <c r="F1327" s="375"/>
      <c r="G1327" s="375" t="s">
        <v>2308</v>
      </c>
      <c r="H1327" s="375" t="s">
        <v>2309</v>
      </c>
      <c r="I1327" s="63" t="s">
        <v>2310</v>
      </c>
      <c r="J1327" s="47"/>
      <c r="K1327" s="46" t="s">
        <v>10735</v>
      </c>
      <c r="L1327" s="47">
        <f>L$7</f>
        <v>1210</v>
      </c>
      <c r="M1327" s="47"/>
      <c r="N1327" s="47"/>
      <c r="O1327" s="47">
        <v>4950</v>
      </c>
      <c r="P1327" s="47"/>
      <c r="Q1327" s="47"/>
      <c r="R1327" s="47"/>
      <c r="S1327" s="47" t="s">
        <v>463</v>
      </c>
      <c r="T1327" s="47"/>
      <c r="U1327" s="47"/>
      <c r="V1327" s="47"/>
      <c r="W1327" s="47"/>
      <c r="X1327" s="47"/>
      <c r="Y1327" s="47"/>
      <c r="Z1327" s="47">
        <f>Z$7</f>
        <v>4620</v>
      </c>
      <c r="AA1327" s="47"/>
      <c r="AB1327" s="47"/>
      <c r="AC1327" s="47"/>
      <c r="AD1327" s="47"/>
      <c r="AE1327" s="47"/>
      <c r="AF1327" s="47"/>
      <c r="AG1327" s="47"/>
      <c r="AH1327" s="47">
        <f>IFERROR(_xlfn.XLOOKUP(Table6[[#This Row],[Suburb]],Table5[Travel Surcharge],Table5[$$]),"")</f>
        <v>8000</v>
      </c>
      <c r="AI1327" s="47"/>
      <c r="AJ1327" s="47">
        <f>AJ$7</f>
        <v>4400</v>
      </c>
    </row>
    <row r="1328" spans="1:36">
      <c r="A1328" s="374" t="s">
        <v>2306</v>
      </c>
      <c r="B1328" s="374">
        <v>4</v>
      </c>
      <c r="C1328" s="374" t="s">
        <v>305</v>
      </c>
      <c r="D1328" s="375" t="str">
        <f t="shared" si="269"/>
        <v>Dream Estate4</v>
      </c>
      <c r="E1328" s="375" t="s">
        <v>10252</v>
      </c>
      <c r="F1328" s="375"/>
      <c r="G1328" s="375" t="s">
        <v>2308</v>
      </c>
      <c r="H1328" s="375" t="s">
        <v>2309</v>
      </c>
      <c r="I1328" s="63" t="s">
        <v>2310</v>
      </c>
      <c r="J1328" s="47"/>
      <c r="K1328" s="46" t="s">
        <v>10735</v>
      </c>
      <c r="L1328" s="47">
        <v>1210</v>
      </c>
      <c r="M1328" s="47"/>
      <c r="N1328" s="47"/>
      <c r="O1328" s="47">
        <v>4950</v>
      </c>
      <c r="P1328" s="47"/>
      <c r="Q1328" s="47"/>
      <c r="R1328" s="47"/>
      <c r="S1328" s="47" t="s">
        <v>463</v>
      </c>
      <c r="T1328" s="47"/>
      <c r="U1328" s="47"/>
      <c r="V1328" s="47"/>
      <c r="W1328" s="47"/>
      <c r="X1328" s="47"/>
      <c r="Y1328" s="47"/>
      <c r="Z1328" s="47">
        <v>4620</v>
      </c>
      <c r="AA1328" s="47"/>
      <c r="AB1328" s="47"/>
      <c r="AC1328" s="47"/>
      <c r="AD1328" s="47"/>
      <c r="AE1328" s="47"/>
      <c r="AF1328" s="47"/>
      <c r="AG1328" s="47"/>
      <c r="AH1328" s="47">
        <v>8000</v>
      </c>
      <c r="AI1328" s="47"/>
      <c r="AJ1328" s="47">
        <v>4400</v>
      </c>
    </row>
    <row r="1329" spans="1:36">
      <c r="A1329" s="374" t="s">
        <v>9429</v>
      </c>
      <c r="B1329" s="374">
        <v>3</v>
      </c>
      <c r="C1329" s="374" t="s">
        <v>7521</v>
      </c>
      <c r="D1329" s="375" t="s">
        <v>9671</v>
      </c>
      <c r="E1329" s="375" t="s">
        <v>9672</v>
      </c>
      <c r="F1329" s="375"/>
      <c r="G1329" s="375"/>
      <c r="H1329" s="375"/>
      <c r="I1329" s="63"/>
      <c r="J1329" s="47"/>
      <c r="K1329" s="46" t="s">
        <v>10735</v>
      </c>
      <c r="L1329" s="47"/>
      <c r="M1329" s="47"/>
      <c r="N1329" s="47" t="s">
        <v>9431</v>
      </c>
      <c r="O1329" s="47"/>
      <c r="P1329" s="47">
        <v>8500</v>
      </c>
      <c r="Q1329" s="47"/>
      <c r="R1329" s="47"/>
      <c r="S1329" s="47" t="s">
        <v>637</v>
      </c>
      <c r="T1329" s="47"/>
      <c r="U1329" s="47"/>
      <c r="V1329" s="47"/>
      <c r="W1329" s="47"/>
      <c r="X1329" s="47"/>
      <c r="Y1329" s="47"/>
      <c r="Z1329" s="47">
        <v>4620</v>
      </c>
      <c r="AA1329" s="47"/>
      <c r="AB1329" s="47"/>
      <c r="AC1329" s="47"/>
      <c r="AD1329" s="47"/>
      <c r="AE1329" s="47"/>
      <c r="AF1329" s="47"/>
      <c r="AG1329" s="47"/>
      <c r="AH1329" s="47">
        <f>IFERROR(_xlfn.XLOOKUP(Table6[[#This Row],[Suburb]],Table5[Travel Surcharge],Table5[$$]),"")</f>
        <v>8000</v>
      </c>
      <c r="AI1329" s="47"/>
      <c r="AJ1329" s="47"/>
    </row>
    <row r="1330" spans="1:36">
      <c r="A1330" s="374" t="s">
        <v>9429</v>
      </c>
      <c r="B1330" s="374">
        <v>4</v>
      </c>
      <c r="C1330" s="374" t="s">
        <v>7521</v>
      </c>
      <c r="D1330" s="375" t="str">
        <f t="shared" ref="D1330:D1365" si="273">CONCATENATE(A1330,B1330)</f>
        <v>Drews Paddock4</v>
      </c>
      <c r="E1330" s="375" t="s">
        <v>9430</v>
      </c>
      <c r="F1330" s="375"/>
      <c r="G1330" s="375"/>
      <c r="H1330" s="375"/>
      <c r="I1330" s="63"/>
      <c r="J1330" s="47"/>
      <c r="K1330" s="46" t="s">
        <v>10735</v>
      </c>
      <c r="L1330" s="47"/>
      <c r="M1330" s="47"/>
      <c r="N1330" s="47" t="s">
        <v>9431</v>
      </c>
      <c r="O1330" s="47"/>
      <c r="P1330" s="47">
        <f>P$7</f>
        <v>8500</v>
      </c>
      <c r="Q1330" s="47"/>
      <c r="R1330" s="47"/>
      <c r="S1330" s="47" t="s">
        <v>637</v>
      </c>
      <c r="T1330" s="47"/>
      <c r="U1330" s="47"/>
      <c r="V1330" s="47"/>
      <c r="W1330" s="47"/>
      <c r="X1330" s="47"/>
      <c r="Y1330" s="47"/>
      <c r="Z1330" s="47">
        <f t="shared" ref="Z1330:Z1365" si="274">Z$7</f>
        <v>4620</v>
      </c>
      <c r="AA1330" s="47"/>
      <c r="AB1330" s="47"/>
      <c r="AC1330" s="47"/>
      <c r="AD1330" s="47"/>
      <c r="AE1330" s="47"/>
      <c r="AF1330" s="47"/>
      <c r="AG1330" s="47"/>
      <c r="AH1330" s="47">
        <f>IFERROR(_xlfn.XLOOKUP(Table6[[#This Row],[Suburb]],Table5[Travel Surcharge],Table5[$$]),"")</f>
        <v>8000</v>
      </c>
      <c r="AI1330" s="47"/>
      <c r="AJ1330" s="47"/>
    </row>
    <row r="1331" spans="1:36">
      <c r="A1331" s="157" t="s">
        <v>8515</v>
      </c>
      <c r="B1331" s="157">
        <v>1</v>
      </c>
      <c r="C1331" s="157" t="s">
        <v>289</v>
      </c>
      <c r="D1331" s="157" t="str">
        <f t="shared" si="273"/>
        <v>Drouin Fields1</v>
      </c>
      <c r="E1331" s="157" t="s">
        <v>8519</v>
      </c>
      <c r="F1331" s="157"/>
      <c r="G1331" s="157" t="s">
        <v>8516</v>
      </c>
      <c r="H1331" s="157" t="s">
        <v>8517</v>
      </c>
      <c r="I1331" s="158" t="s">
        <v>8518</v>
      </c>
      <c r="J1331" s="47">
        <f>J$7</f>
        <v>3740</v>
      </c>
      <c r="K1331" s="46" t="s">
        <v>10735</v>
      </c>
      <c r="L1331" s="47"/>
      <c r="M1331" s="47">
        <f>M$7</f>
        <v>1430.0000000000002</v>
      </c>
      <c r="N1331" s="47"/>
      <c r="O1331" s="47">
        <f>O$7</f>
        <v>4950</v>
      </c>
      <c r="P1331" s="47"/>
      <c r="Q1331" s="47"/>
      <c r="R1331" s="47"/>
      <c r="S1331" s="47" t="s">
        <v>10198</v>
      </c>
      <c r="T1331" s="47"/>
      <c r="U1331" s="47"/>
      <c r="V1331" s="47"/>
      <c r="W1331" s="47" t="s">
        <v>8520</v>
      </c>
      <c r="X1331" s="47"/>
      <c r="Y1331" s="47"/>
      <c r="Z1331" s="47">
        <f t="shared" si="274"/>
        <v>4620</v>
      </c>
      <c r="AA1331" s="47"/>
      <c r="AB1331" s="47"/>
      <c r="AC1331" s="47"/>
      <c r="AD1331" s="47"/>
      <c r="AE1331" s="47"/>
      <c r="AF1331" s="47"/>
      <c r="AG1331" s="47"/>
      <c r="AH1331" s="47">
        <f>IFERROR(_xlfn.XLOOKUP(Table6[[#This Row],[Suburb]],Table5[Travel Surcharge],Table5[$$]),"")</f>
        <v>7000</v>
      </c>
      <c r="AI1331" s="47"/>
      <c r="AJ1331" s="47"/>
    </row>
    <row r="1332" spans="1:36">
      <c r="A1332" s="157" t="s">
        <v>8515</v>
      </c>
      <c r="B1332" s="157">
        <v>2</v>
      </c>
      <c r="C1332" s="157" t="s">
        <v>289</v>
      </c>
      <c r="D1332" s="157" t="str">
        <f t="shared" si="273"/>
        <v>Drouin Fields2</v>
      </c>
      <c r="E1332" s="157" t="s">
        <v>8519</v>
      </c>
      <c r="F1332" s="157"/>
      <c r="G1332" s="157" t="s">
        <v>8516</v>
      </c>
      <c r="H1332" s="157" t="s">
        <v>8517</v>
      </c>
      <c r="I1332" s="158" t="s">
        <v>8518</v>
      </c>
      <c r="J1332" s="47">
        <f>J$7</f>
        <v>3740</v>
      </c>
      <c r="K1332" s="46" t="s">
        <v>10735</v>
      </c>
      <c r="L1332" s="47"/>
      <c r="M1332" s="47">
        <f>M$7</f>
        <v>1430.0000000000002</v>
      </c>
      <c r="N1332" s="47"/>
      <c r="O1332" s="47">
        <f>O$7</f>
        <v>4950</v>
      </c>
      <c r="P1332" s="47"/>
      <c r="Q1332" s="47"/>
      <c r="R1332" s="47"/>
      <c r="S1332" s="47" t="s">
        <v>10198</v>
      </c>
      <c r="T1332" s="47"/>
      <c r="U1332" s="47"/>
      <c r="V1332" s="47"/>
      <c r="W1332" s="47" t="s">
        <v>8520</v>
      </c>
      <c r="X1332" s="47"/>
      <c r="Y1332" s="47"/>
      <c r="Z1332" s="47">
        <f t="shared" si="274"/>
        <v>4620</v>
      </c>
      <c r="AA1332" s="47"/>
      <c r="AB1332" s="47"/>
      <c r="AC1332" s="47"/>
      <c r="AD1332" s="47"/>
      <c r="AE1332" s="47"/>
      <c r="AF1332" s="47"/>
      <c r="AG1332" s="47"/>
      <c r="AH1332" s="47">
        <f>IFERROR(_xlfn.XLOOKUP(Table6[[#This Row],[Suburb]],Table5[Travel Surcharge],Table5[$$]),"")</f>
        <v>7000</v>
      </c>
      <c r="AI1332" s="47"/>
      <c r="AJ1332" s="47"/>
    </row>
    <row r="1333" spans="1:36">
      <c r="A1333" s="374" t="s">
        <v>8515</v>
      </c>
      <c r="B1333" s="276" t="s">
        <v>718</v>
      </c>
      <c r="C1333" s="374" t="s">
        <v>289</v>
      </c>
      <c r="D1333" s="157" t="str">
        <f t="shared" si="273"/>
        <v>Drouin Fields2A</v>
      </c>
      <c r="E1333" s="375" t="s">
        <v>10363</v>
      </c>
      <c r="F1333" s="375"/>
      <c r="G1333" s="375" t="s">
        <v>8516</v>
      </c>
      <c r="H1333" s="375" t="s">
        <v>8517</v>
      </c>
      <c r="I1333" s="63" t="s">
        <v>8518</v>
      </c>
      <c r="J1333" s="47">
        <v>3740</v>
      </c>
      <c r="K1333" s="46" t="s">
        <v>10735</v>
      </c>
      <c r="L1333" s="47"/>
      <c r="M1333" s="47">
        <v>1430.0000000000002</v>
      </c>
      <c r="N1333" s="47"/>
      <c r="O1333" s="47">
        <v>4950</v>
      </c>
      <c r="P1333" s="47"/>
      <c r="Q1333" s="47"/>
      <c r="R1333" s="47"/>
      <c r="S1333" s="47" t="s">
        <v>10198</v>
      </c>
      <c r="T1333" s="47"/>
      <c r="U1333" s="47"/>
      <c r="V1333" s="47"/>
      <c r="W1333" s="47" t="s">
        <v>8520</v>
      </c>
      <c r="X1333" s="47"/>
      <c r="Y1333" s="47"/>
      <c r="Z1333" s="47">
        <v>4620</v>
      </c>
      <c r="AA1333" s="47"/>
      <c r="AB1333" s="47"/>
      <c r="AC1333" s="47"/>
      <c r="AD1333" s="47"/>
      <c r="AE1333" s="47"/>
      <c r="AF1333" s="47"/>
      <c r="AG1333" s="47"/>
      <c r="AH1333" s="47">
        <v>7000</v>
      </c>
      <c r="AI1333" s="47"/>
      <c r="AJ1333" s="47"/>
    </row>
    <row r="1334" spans="1:36">
      <c r="A1334" s="374" t="s">
        <v>2312</v>
      </c>
      <c r="B1334" s="374">
        <v>17</v>
      </c>
      <c r="C1334" s="374" t="s">
        <v>289</v>
      </c>
      <c r="D1334" s="375" t="str">
        <f t="shared" si="273"/>
        <v>Drouin Springs17</v>
      </c>
      <c r="E1334" s="375" t="s">
        <v>2313</v>
      </c>
      <c r="F1334" s="375" t="s">
        <v>2314</v>
      </c>
      <c r="G1334" s="375" t="s">
        <v>2315</v>
      </c>
      <c r="H1334" s="375" t="s">
        <v>2316</v>
      </c>
      <c r="I1334" s="63" t="s">
        <v>2317</v>
      </c>
      <c r="J1334" s="47">
        <f>J$7</f>
        <v>3740</v>
      </c>
      <c r="K1334" s="46" t="s">
        <v>10735</v>
      </c>
      <c r="L1334" s="47"/>
      <c r="M1334" s="47"/>
      <c r="N1334" s="47" t="s">
        <v>2318</v>
      </c>
      <c r="O1334" s="47"/>
      <c r="P1334" s="47"/>
      <c r="Q1334" s="47">
        <f>Q$2</f>
        <v>0</v>
      </c>
      <c r="R1334" s="47"/>
      <c r="S1334" s="47"/>
      <c r="T1334" s="47"/>
      <c r="U1334" s="47"/>
      <c r="V1334" s="47"/>
      <c r="W1334" s="47"/>
      <c r="X1334" s="47"/>
      <c r="Y1334" s="47"/>
      <c r="Z1334" s="47">
        <f t="shared" si="274"/>
        <v>4620</v>
      </c>
      <c r="AA1334" s="47"/>
      <c r="AB1334" s="47"/>
      <c r="AC1334" s="47"/>
      <c r="AD1334" s="47"/>
      <c r="AE1334" s="47"/>
      <c r="AF1334" s="47">
        <f>AF$7</f>
        <v>1485</v>
      </c>
      <c r="AG1334" s="47"/>
      <c r="AH1334" s="47">
        <f>IFERROR(_xlfn.XLOOKUP(Table6[[#This Row],[Suburb]],Table5[Travel Surcharge],Table5[$$]),"")</f>
        <v>7000</v>
      </c>
      <c r="AI1334" s="47"/>
      <c r="AJ1334" s="47"/>
    </row>
    <row r="1335" spans="1:36">
      <c r="A1335" s="374" t="s">
        <v>2312</v>
      </c>
      <c r="B1335" s="374">
        <v>18</v>
      </c>
      <c r="C1335" s="374" t="s">
        <v>289</v>
      </c>
      <c r="D1335" s="375" t="str">
        <f t="shared" si="273"/>
        <v>Drouin Springs18</v>
      </c>
      <c r="E1335" s="375" t="s">
        <v>2319</v>
      </c>
      <c r="F1335" s="375" t="s">
        <v>2314</v>
      </c>
      <c r="G1335" s="375" t="s">
        <v>2315</v>
      </c>
      <c r="H1335" s="375" t="s">
        <v>2316</v>
      </c>
      <c r="I1335" s="63" t="s">
        <v>2317</v>
      </c>
      <c r="J1335" s="47">
        <f>J$7</f>
        <v>3740</v>
      </c>
      <c r="K1335" s="46" t="s">
        <v>10735</v>
      </c>
      <c r="L1335" s="47"/>
      <c r="M1335" s="47"/>
      <c r="N1335" s="47" t="s">
        <v>2318</v>
      </c>
      <c r="O1335" s="47"/>
      <c r="P1335" s="47"/>
      <c r="Q1335" s="47">
        <f>Q$2</f>
        <v>0</v>
      </c>
      <c r="R1335" s="47"/>
      <c r="S1335" s="47"/>
      <c r="T1335" s="47"/>
      <c r="U1335" s="47"/>
      <c r="V1335" s="47"/>
      <c r="W1335" s="47"/>
      <c r="X1335" s="47"/>
      <c r="Y1335" s="47"/>
      <c r="Z1335" s="47">
        <f t="shared" si="274"/>
        <v>4620</v>
      </c>
      <c r="AA1335" s="47"/>
      <c r="AB1335" s="47"/>
      <c r="AC1335" s="47"/>
      <c r="AD1335" s="47"/>
      <c r="AE1335" s="47"/>
      <c r="AF1335" s="47">
        <f>AF$7</f>
        <v>1485</v>
      </c>
      <c r="AG1335" s="47"/>
      <c r="AH1335" s="47">
        <f>IFERROR(_xlfn.XLOOKUP(Table6[[#This Row],[Suburb]],Table5[Travel Surcharge],Table5[$$]),"")</f>
        <v>7000</v>
      </c>
      <c r="AI1335" s="47"/>
      <c r="AJ1335" s="47"/>
    </row>
    <row r="1336" spans="1:36">
      <c r="A1336" s="374" t="s">
        <v>2312</v>
      </c>
      <c r="B1336" s="374">
        <v>19</v>
      </c>
      <c r="C1336" s="374" t="s">
        <v>289</v>
      </c>
      <c r="D1336" s="375" t="str">
        <f t="shared" si="273"/>
        <v>Drouin Springs19</v>
      </c>
      <c r="E1336" s="375" t="s">
        <v>2320</v>
      </c>
      <c r="F1336" s="375" t="s">
        <v>2314</v>
      </c>
      <c r="G1336" s="375" t="s">
        <v>2315</v>
      </c>
      <c r="H1336" s="375" t="s">
        <v>2316</v>
      </c>
      <c r="I1336" s="63" t="s">
        <v>2317</v>
      </c>
      <c r="J1336" s="47">
        <f>J$7</f>
        <v>3740</v>
      </c>
      <c r="K1336" s="46" t="s">
        <v>10735</v>
      </c>
      <c r="L1336" s="47"/>
      <c r="M1336" s="47"/>
      <c r="N1336" s="47" t="s">
        <v>2318</v>
      </c>
      <c r="O1336" s="47"/>
      <c r="P1336" s="47"/>
      <c r="Q1336" s="47">
        <f>Q$2</f>
        <v>0</v>
      </c>
      <c r="R1336" s="47"/>
      <c r="S1336" s="47"/>
      <c r="T1336" s="47"/>
      <c r="U1336" s="47"/>
      <c r="V1336" s="47"/>
      <c r="W1336" s="47"/>
      <c r="X1336" s="47"/>
      <c r="Y1336" s="47"/>
      <c r="Z1336" s="47">
        <f t="shared" si="274"/>
        <v>4620</v>
      </c>
      <c r="AA1336" s="47"/>
      <c r="AB1336" s="47"/>
      <c r="AC1336" s="47"/>
      <c r="AD1336" s="47"/>
      <c r="AE1336" s="47"/>
      <c r="AF1336" s="47">
        <f>AF$7</f>
        <v>1485</v>
      </c>
      <c r="AG1336" s="47"/>
      <c r="AH1336" s="47">
        <f>IFERROR(_xlfn.XLOOKUP(Table6[[#This Row],[Suburb]],Table5[Travel Surcharge],Table5[$$]),"")</f>
        <v>7000</v>
      </c>
      <c r="AI1336" s="47"/>
      <c r="AJ1336" s="47"/>
    </row>
    <row r="1337" spans="1:36">
      <c r="A1337" s="374" t="s">
        <v>2321</v>
      </c>
      <c r="B1337" s="374">
        <v>1</v>
      </c>
      <c r="C1337" s="374" t="s">
        <v>1886</v>
      </c>
      <c r="D1337" s="375" t="str">
        <f t="shared" si="273"/>
        <v>Drysdale Central1</v>
      </c>
      <c r="E1337" s="375" t="s">
        <v>2322</v>
      </c>
      <c r="F1337" s="375"/>
      <c r="G1337" s="375" t="s">
        <v>2323</v>
      </c>
      <c r="H1337" s="375" t="s">
        <v>2324</v>
      </c>
      <c r="I1337" s="63" t="s">
        <v>2325</v>
      </c>
      <c r="J1337" s="47"/>
      <c r="K1337" s="46" t="s">
        <v>10735</v>
      </c>
      <c r="L1337" s="47"/>
      <c r="M1337" s="47"/>
      <c r="N1337" s="47"/>
      <c r="O1337" s="47"/>
      <c r="P1337" s="47"/>
      <c r="Q1337" s="47">
        <f>Q$2</f>
        <v>0</v>
      </c>
      <c r="R1337" s="47"/>
      <c r="S1337" s="47"/>
      <c r="T1337" s="47"/>
      <c r="U1337" s="47"/>
      <c r="V1337" s="47"/>
      <c r="W1337" s="47"/>
      <c r="X1337" s="47"/>
      <c r="Y1337" s="47"/>
      <c r="Z1337" s="47">
        <f t="shared" si="274"/>
        <v>4620</v>
      </c>
      <c r="AA1337" s="47"/>
      <c r="AB1337" s="47"/>
      <c r="AC1337" s="47"/>
      <c r="AD1337" s="47"/>
      <c r="AE1337" s="47"/>
      <c r="AF1337" s="47"/>
      <c r="AG1337" s="47"/>
      <c r="AH1337" s="47" t="str">
        <f>IFERROR(_xlfn.XLOOKUP(Table6[[#This Row],[Suburb]],Table5[Travel Surcharge],Table5[$$]),"")</f>
        <v/>
      </c>
      <c r="AI1337" s="47"/>
      <c r="AJ1337" s="47"/>
    </row>
    <row r="1338" spans="1:36">
      <c r="A1338" s="374" t="s">
        <v>2326</v>
      </c>
      <c r="B1338" s="374">
        <v>1</v>
      </c>
      <c r="C1338" s="374" t="s">
        <v>292</v>
      </c>
      <c r="D1338" s="375" t="str">
        <f t="shared" si="273"/>
        <v>DTC Edge1</v>
      </c>
      <c r="E1338" s="375" t="s">
        <v>2327</v>
      </c>
      <c r="F1338" s="375" t="s">
        <v>2328</v>
      </c>
      <c r="G1338" s="375" t="s">
        <v>2329</v>
      </c>
      <c r="H1338" s="375" t="s">
        <v>2330</v>
      </c>
      <c r="I1338" s="63" t="s">
        <v>2331</v>
      </c>
      <c r="J1338" s="47"/>
      <c r="K1338" s="46" t="s">
        <v>10735</v>
      </c>
      <c r="L1338" s="47"/>
      <c r="M1338" s="47">
        <f>M$7</f>
        <v>1430.0000000000002</v>
      </c>
      <c r="N1338" s="47"/>
      <c r="O1338" s="47">
        <f>O$7</f>
        <v>4950</v>
      </c>
      <c r="P1338" s="47" t="s">
        <v>2332</v>
      </c>
      <c r="Q1338" s="47"/>
      <c r="R1338" s="47"/>
      <c r="S1338" s="47" t="s">
        <v>381</v>
      </c>
      <c r="T1338" s="47"/>
      <c r="U1338" s="47"/>
      <c r="V1338" s="47"/>
      <c r="W1338" s="47"/>
      <c r="X1338" s="47"/>
      <c r="Y1338" s="47"/>
      <c r="Z1338" s="47">
        <f t="shared" si="274"/>
        <v>4620</v>
      </c>
      <c r="AA1338" s="47"/>
      <c r="AB1338" s="47"/>
      <c r="AC1338" s="47"/>
      <c r="AD1338" s="47"/>
      <c r="AE1338" s="47"/>
      <c r="AF1338" s="47">
        <f>AF$7</f>
        <v>1485</v>
      </c>
      <c r="AG1338" s="47"/>
      <c r="AH1338" s="47">
        <f>IFERROR(_xlfn.XLOOKUP(Table6[[#This Row],[Suburb]],Table5[Travel Surcharge],Table5[$$]),"")</f>
        <v>8000</v>
      </c>
      <c r="AI1338" s="47"/>
      <c r="AJ1338" s="47">
        <f>AJ$7</f>
        <v>4400</v>
      </c>
    </row>
    <row r="1339" spans="1:36">
      <c r="A1339" s="374" t="s">
        <v>9394</v>
      </c>
      <c r="B1339" s="374">
        <v>1</v>
      </c>
      <c r="C1339" s="374" t="s">
        <v>1024</v>
      </c>
      <c r="D1339" s="375" t="str">
        <f t="shared" si="273"/>
        <v>Dunhelen1</v>
      </c>
      <c r="E1339" s="375" t="s">
        <v>9395</v>
      </c>
      <c r="F1339" s="375"/>
      <c r="G1339" s="375"/>
      <c r="H1339" s="375"/>
      <c r="I1339" s="63"/>
      <c r="J1339" s="47">
        <f>J$7</f>
        <v>3740</v>
      </c>
      <c r="K1339" s="46" t="s">
        <v>10735</v>
      </c>
      <c r="L1339" s="47" t="s">
        <v>5127</v>
      </c>
      <c r="M1339" s="47">
        <f>M$7</f>
        <v>1430.0000000000002</v>
      </c>
      <c r="N1339" s="47"/>
      <c r="O1339" s="47"/>
      <c r="P1339" s="47"/>
      <c r="Q1339" s="47"/>
      <c r="R1339" s="47">
        <f>R$2</f>
        <v>540</v>
      </c>
      <c r="S1339" s="47"/>
      <c r="T1339" s="47"/>
      <c r="U1339" s="47"/>
      <c r="V1339" s="47" t="s">
        <v>9396</v>
      </c>
      <c r="W1339" s="47" t="s">
        <v>9397</v>
      </c>
      <c r="X1339" s="47">
        <f>X$7</f>
        <v>3000</v>
      </c>
      <c r="Y1339" s="47" t="s">
        <v>9399</v>
      </c>
      <c r="Z1339" s="47">
        <f t="shared" si="274"/>
        <v>4620</v>
      </c>
      <c r="AA1339" s="47"/>
      <c r="AB1339" s="47" t="s">
        <v>9400</v>
      </c>
      <c r="AC1339" s="47" t="s">
        <v>9398</v>
      </c>
      <c r="AD1339" s="47"/>
      <c r="AE1339" s="47">
        <f>AE7</f>
        <v>5000</v>
      </c>
      <c r="AF1339" s="47">
        <f>AF$7</f>
        <v>1485</v>
      </c>
      <c r="AG1339" s="47"/>
      <c r="AH1339" s="47" t="str">
        <f>IFERROR(_xlfn.XLOOKUP(Table6[[#This Row],[Suburb]],Table5[Travel Surcharge],Table5[$$]),"")</f>
        <v/>
      </c>
      <c r="AI1339" s="47"/>
      <c r="AJ1339" s="47"/>
    </row>
    <row r="1340" spans="1:36">
      <c r="A1340" s="374" t="s">
        <v>9394</v>
      </c>
      <c r="B1340" s="374">
        <v>2</v>
      </c>
      <c r="C1340" s="374" t="s">
        <v>1024</v>
      </c>
      <c r="D1340" s="375" t="str">
        <f>CONCATENATE(A1340,B1340)</f>
        <v>Dunhelen2</v>
      </c>
      <c r="E1340" s="375" t="s">
        <v>10084</v>
      </c>
      <c r="F1340" s="375"/>
      <c r="G1340" s="375"/>
      <c r="H1340" s="375"/>
      <c r="I1340" s="63"/>
      <c r="J1340" s="47">
        <v>3740</v>
      </c>
      <c r="K1340" s="46" t="s">
        <v>10735</v>
      </c>
      <c r="L1340" s="47" t="s">
        <v>5127</v>
      </c>
      <c r="M1340" s="47">
        <v>1430.0000000000002</v>
      </c>
      <c r="N1340" s="47"/>
      <c r="O1340" s="47"/>
      <c r="P1340" s="47"/>
      <c r="Q1340" s="47"/>
      <c r="R1340" s="47">
        <v>540</v>
      </c>
      <c r="S1340" s="47"/>
      <c r="T1340" s="47"/>
      <c r="U1340" s="47"/>
      <c r="V1340" s="47" t="s">
        <v>9396</v>
      </c>
      <c r="W1340" s="47" t="s">
        <v>9397</v>
      </c>
      <c r="X1340" s="47">
        <v>3000</v>
      </c>
      <c r="Y1340" s="47" t="s">
        <v>9399</v>
      </c>
      <c r="Z1340" s="47">
        <v>4620</v>
      </c>
      <c r="AA1340" s="47"/>
      <c r="AB1340" s="47" t="s">
        <v>9400</v>
      </c>
      <c r="AC1340" s="47" t="s">
        <v>9398</v>
      </c>
      <c r="AD1340" s="47"/>
      <c r="AE1340" s="47">
        <f>AE7</f>
        <v>5000</v>
      </c>
      <c r="AF1340" s="47">
        <v>1485</v>
      </c>
      <c r="AG1340" s="47"/>
      <c r="AH1340" s="47" t="s">
        <v>9976</v>
      </c>
      <c r="AI1340" s="47"/>
      <c r="AJ1340" s="47"/>
    </row>
    <row r="1341" spans="1:36">
      <c r="A1341" s="374" t="s">
        <v>2333</v>
      </c>
      <c r="B1341" s="374">
        <v>1</v>
      </c>
      <c r="C1341" s="374" t="s">
        <v>675</v>
      </c>
      <c r="D1341" s="375" t="str">
        <f t="shared" si="273"/>
        <v>Eagle Heights 1</v>
      </c>
      <c r="E1341" s="375" t="s">
        <v>2334</v>
      </c>
      <c r="F1341" s="375"/>
      <c r="G1341" s="375"/>
      <c r="H1341" s="375"/>
      <c r="I1341" s="63"/>
      <c r="J1341" s="47"/>
      <c r="K1341" s="46" t="s">
        <v>10735</v>
      </c>
      <c r="L1341" s="47"/>
      <c r="M1341" s="47"/>
      <c r="N1341" s="47"/>
      <c r="O1341" s="47"/>
      <c r="P1341" s="47"/>
      <c r="Q1341" s="47">
        <f>Q$2</f>
        <v>0</v>
      </c>
      <c r="R1341" s="47"/>
      <c r="S1341" s="47"/>
      <c r="T1341" s="47"/>
      <c r="U1341" s="47"/>
      <c r="V1341" s="47"/>
      <c r="W1341" s="47"/>
      <c r="X1341" s="47"/>
      <c r="Y1341" s="47"/>
      <c r="Z1341" s="47">
        <f t="shared" si="274"/>
        <v>4620</v>
      </c>
      <c r="AA1341" s="47"/>
      <c r="AB1341" s="47"/>
      <c r="AC1341" s="47"/>
      <c r="AD1341" s="47"/>
      <c r="AE1341" s="47"/>
      <c r="AF1341" s="47"/>
      <c r="AG1341" s="47"/>
      <c r="AH1341" s="47" t="str">
        <f>IFERROR(_xlfn.XLOOKUP(Table6[[#This Row],[Suburb]],Table5[Travel Surcharge],Table5[$$]),"")</f>
        <v/>
      </c>
      <c r="AI1341" s="47"/>
      <c r="AJ1341" s="47"/>
    </row>
    <row r="1342" spans="1:36">
      <c r="A1342" s="374" t="s">
        <v>10403</v>
      </c>
      <c r="B1342" s="374">
        <v>1</v>
      </c>
      <c r="C1342" s="374" t="s">
        <v>284</v>
      </c>
      <c r="D1342" s="375" t="str">
        <f>CONCATENATE(A1342,B1342)</f>
        <v>East 351</v>
      </c>
      <c r="E1342" s="375"/>
      <c r="F1342" s="375" t="s">
        <v>10406</v>
      </c>
      <c r="G1342" s="375" t="s">
        <v>10404</v>
      </c>
      <c r="H1342" s="375" t="s">
        <v>8265</v>
      </c>
      <c r="I1342" s="63" t="s">
        <v>10405</v>
      </c>
      <c r="J1342" s="47">
        <v>3740</v>
      </c>
      <c r="K1342" s="46" t="s">
        <v>10735</v>
      </c>
      <c r="L1342" s="47" t="s">
        <v>10410</v>
      </c>
      <c r="M1342" s="47"/>
      <c r="N1342" s="47"/>
      <c r="O1342" s="47"/>
      <c r="P1342" s="47"/>
      <c r="Q1342" s="47">
        <v>0</v>
      </c>
      <c r="R1342" s="47"/>
      <c r="S1342" s="47"/>
      <c r="T1342" s="47"/>
      <c r="U1342" s="47"/>
      <c r="V1342" s="47"/>
      <c r="W1342" s="47"/>
      <c r="X1342" s="47"/>
      <c r="Y1342" s="47"/>
      <c r="Z1342" s="47">
        <f>Z$7</f>
        <v>4620</v>
      </c>
      <c r="AA1342" s="47"/>
      <c r="AB1342" s="47"/>
      <c r="AC1342" s="47"/>
      <c r="AD1342" s="47"/>
      <c r="AE1342" s="47"/>
      <c r="AF1342" s="47">
        <v>1485</v>
      </c>
      <c r="AG1342" s="47"/>
      <c r="AH1342" s="47">
        <v>1500</v>
      </c>
      <c r="AI1342" s="47"/>
      <c r="AJ1342" s="47"/>
    </row>
    <row r="1343" spans="1:36">
      <c r="A1343" s="374" t="s">
        <v>2335</v>
      </c>
      <c r="B1343" s="374">
        <v>1</v>
      </c>
      <c r="C1343" s="374" t="s">
        <v>385</v>
      </c>
      <c r="D1343" s="375" t="str">
        <f t="shared" si="273"/>
        <v>East Estate1</v>
      </c>
      <c r="E1343" s="375" t="s">
        <v>2336</v>
      </c>
      <c r="F1343" s="375" t="s">
        <v>2337</v>
      </c>
      <c r="G1343" s="375" t="s">
        <v>2338</v>
      </c>
      <c r="H1343" s="375" t="s">
        <v>2339</v>
      </c>
      <c r="I1343" s="63" t="s">
        <v>2340</v>
      </c>
      <c r="J1343" s="47">
        <f t="shared" ref="J1343:J1350" si="275">J$7</f>
        <v>3740</v>
      </c>
      <c r="K1343" s="46" t="s">
        <v>315</v>
      </c>
      <c r="L1343" s="47"/>
      <c r="M1343" s="47"/>
      <c r="N1343" s="47"/>
      <c r="O1343" s="47"/>
      <c r="P1343" s="47"/>
      <c r="Q1343" s="47"/>
      <c r="R1343" s="47"/>
      <c r="S1343" s="47"/>
      <c r="T1343" s="47">
        <f t="shared" ref="T1343:T1350" si="276">T$2</f>
        <v>780</v>
      </c>
      <c r="U1343" s="47"/>
      <c r="V1343" s="47"/>
      <c r="W1343" s="47"/>
      <c r="X1343" s="47"/>
      <c r="Y1343" s="47"/>
      <c r="Z1343" s="47">
        <f t="shared" si="274"/>
        <v>4620</v>
      </c>
      <c r="AA1343" s="47"/>
      <c r="AB1343" s="47"/>
      <c r="AC1343" s="47"/>
      <c r="AD1343" s="47"/>
      <c r="AE1343" s="47"/>
      <c r="AF1343" s="47"/>
      <c r="AG1343" s="47">
        <f t="shared" ref="AG1343:AG1350" si="277">AG$7</f>
        <v>3300.0000000000005</v>
      </c>
      <c r="AH1343" s="47" t="str">
        <f>IFERROR(_xlfn.XLOOKUP(Table6[[#This Row],[Suburb]],Table5[Travel Surcharge],Table5[$$]),"")</f>
        <v/>
      </c>
      <c r="AI1343" s="47">
        <f t="shared" ref="AI1343:AI1350" si="278">AI$7</f>
        <v>1650.0000000000002</v>
      </c>
      <c r="AJ1343" s="47"/>
    </row>
    <row r="1344" spans="1:36">
      <c r="A1344" s="374" t="s">
        <v>2335</v>
      </c>
      <c r="B1344" s="374">
        <v>2</v>
      </c>
      <c r="C1344" s="374" t="s">
        <v>385</v>
      </c>
      <c r="D1344" s="375" t="str">
        <f t="shared" si="273"/>
        <v>East Estate2</v>
      </c>
      <c r="E1344" s="375" t="s">
        <v>2341</v>
      </c>
      <c r="F1344" s="375" t="s">
        <v>2337</v>
      </c>
      <c r="G1344" s="375" t="s">
        <v>2338</v>
      </c>
      <c r="H1344" s="375" t="s">
        <v>2339</v>
      </c>
      <c r="I1344" s="63" t="s">
        <v>2340</v>
      </c>
      <c r="J1344" s="47">
        <f t="shared" si="275"/>
        <v>3740</v>
      </c>
      <c r="K1344" s="46" t="s">
        <v>315</v>
      </c>
      <c r="L1344" s="47"/>
      <c r="M1344" s="47"/>
      <c r="N1344" s="47"/>
      <c r="O1344" s="47"/>
      <c r="P1344" s="47"/>
      <c r="Q1344" s="47"/>
      <c r="R1344" s="47"/>
      <c r="S1344" s="47"/>
      <c r="T1344" s="47">
        <f t="shared" si="276"/>
        <v>780</v>
      </c>
      <c r="U1344" s="47"/>
      <c r="V1344" s="47"/>
      <c r="W1344" s="47"/>
      <c r="X1344" s="47"/>
      <c r="Y1344" s="47"/>
      <c r="Z1344" s="47">
        <f t="shared" si="274"/>
        <v>4620</v>
      </c>
      <c r="AA1344" s="47"/>
      <c r="AB1344" s="47"/>
      <c r="AC1344" s="47"/>
      <c r="AD1344" s="47"/>
      <c r="AE1344" s="47"/>
      <c r="AF1344" s="47"/>
      <c r="AG1344" s="47">
        <f t="shared" si="277"/>
        <v>3300.0000000000005</v>
      </c>
      <c r="AH1344" s="47" t="str">
        <f>IFERROR(_xlfn.XLOOKUP(Table6[[#This Row],[Suburb]],Table5[Travel Surcharge],Table5[$$]),"")</f>
        <v/>
      </c>
      <c r="AI1344" s="47">
        <f t="shared" si="278"/>
        <v>1650.0000000000002</v>
      </c>
      <c r="AJ1344" s="47"/>
    </row>
    <row r="1345" spans="1:36">
      <c r="A1345" s="374" t="s">
        <v>2335</v>
      </c>
      <c r="B1345" s="374">
        <v>3</v>
      </c>
      <c r="C1345" s="374" t="s">
        <v>385</v>
      </c>
      <c r="D1345" s="375" t="str">
        <f t="shared" si="273"/>
        <v>East Estate3</v>
      </c>
      <c r="E1345" s="375" t="s">
        <v>2336</v>
      </c>
      <c r="F1345" s="375" t="s">
        <v>2337</v>
      </c>
      <c r="G1345" s="375" t="s">
        <v>2338</v>
      </c>
      <c r="H1345" s="375" t="s">
        <v>2339</v>
      </c>
      <c r="I1345" s="63" t="s">
        <v>2340</v>
      </c>
      <c r="J1345" s="47">
        <f t="shared" si="275"/>
        <v>3740</v>
      </c>
      <c r="K1345" s="46" t="s">
        <v>315</v>
      </c>
      <c r="L1345" s="47"/>
      <c r="M1345" s="47"/>
      <c r="N1345" s="47"/>
      <c r="O1345" s="47"/>
      <c r="P1345" s="47"/>
      <c r="Q1345" s="47"/>
      <c r="R1345" s="47"/>
      <c r="S1345" s="47"/>
      <c r="T1345" s="47">
        <f t="shared" si="276"/>
        <v>780</v>
      </c>
      <c r="U1345" s="47"/>
      <c r="V1345" s="47"/>
      <c r="W1345" s="47"/>
      <c r="X1345" s="47"/>
      <c r="Y1345" s="47"/>
      <c r="Z1345" s="47">
        <f t="shared" si="274"/>
        <v>4620</v>
      </c>
      <c r="AA1345" s="47"/>
      <c r="AB1345" s="47"/>
      <c r="AC1345" s="47"/>
      <c r="AD1345" s="47"/>
      <c r="AE1345" s="47"/>
      <c r="AF1345" s="47"/>
      <c r="AG1345" s="47">
        <f t="shared" si="277"/>
        <v>3300.0000000000005</v>
      </c>
      <c r="AH1345" s="47" t="str">
        <f>IFERROR(_xlfn.XLOOKUP(Table6[[#This Row],[Suburb]],Table5[Travel Surcharge],Table5[$$]),"")</f>
        <v/>
      </c>
      <c r="AI1345" s="47">
        <f t="shared" si="278"/>
        <v>1650.0000000000002</v>
      </c>
      <c r="AJ1345" s="47"/>
    </row>
    <row r="1346" spans="1:36">
      <c r="A1346" s="374" t="s">
        <v>2335</v>
      </c>
      <c r="B1346" s="374">
        <v>4</v>
      </c>
      <c r="C1346" s="374" t="s">
        <v>385</v>
      </c>
      <c r="D1346" s="375" t="str">
        <f t="shared" si="273"/>
        <v>East Estate4</v>
      </c>
      <c r="E1346" s="375" t="s">
        <v>2342</v>
      </c>
      <c r="F1346" s="375" t="s">
        <v>2337</v>
      </c>
      <c r="G1346" s="375" t="s">
        <v>2338</v>
      </c>
      <c r="H1346" s="375" t="s">
        <v>2339</v>
      </c>
      <c r="I1346" s="63" t="s">
        <v>2340</v>
      </c>
      <c r="J1346" s="47">
        <f t="shared" si="275"/>
        <v>3740</v>
      </c>
      <c r="K1346" s="46" t="s">
        <v>315</v>
      </c>
      <c r="L1346" s="47"/>
      <c r="M1346" s="47"/>
      <c r="N1346" s="47"/>
      <c r="O1346" s="47"/>
      <c r="P1346" s="47"/>
      <c r="Q1346" s="47"/>
      <c r="R1346" s="47"/>
      <c r="S1346" s="47"/>
      <c r="T1346" s="47">
        <f t="shared" si="276"/>
        <v>780</v>
      </c>
      <c r="U1346" s="47"/>
      <c r="V1346" s="47"/>
      <c r="W1346" s="47"/>
      <c r="X1346" s="47"/>
      <c r="Y1346" s="47"/>
      <c r="Z1346" s="47">
        <f t="shared" si="274"/>
        <v>4620</v>
      </c>
      <c r="AA1346" s="47"/>
      <c r="AB1346" s="47"/>
      <c r="AC1346" s="47"/>
      <c r="AD1346" s="47"/>
      <c r="AE1346" s="47"/>
      <c r="AF1346" s="47"/>
      <c r="AG1346" s="47">
        <f t="shared" si="277"/>
        <v>3300.0000000000005</v>
      </c>
      <c r="AH1346" s="47" t="str">
        <f>IFERROR(_xlfn.XLOOKUP(Table6[[#This Row],[Suburb]],Table5[Travel Surcharge],Table5[$$]),"")</f>
        <v/>
      </c>
      <c r="AI1346" s="47">
        <f t="shared" si="278"/>
        <v>1650.0000000000002</v>
      </c>
      <c r="AJ1346" s="47"/>
    </row>
    <row r="1347" spans="1:36">
      <c r="A1347" s="374" t="s">
        <v>2335</v>
      </c>
      <c r="B1347" s="374">
        <v>5</v>
      </c>
      <c r="C1347" s="374" t="s">
        <v>385</v>
      </c>
      <c r="D1347" s="375" t="str">
        <f t="shared" si="273"/>
        <v>East Estate5</v>
      </c>
      <c r="E1347" s="375" t="s">
        <v>2343</v>
      </c>
      <c r="F1347" s="375" t="s">
        <v>2337</v>
      </c>
      <c r="G1347" s="375" t="s">
        <v>2338</v>
      </c>
      <c r="H1347" s="375" t="s">
        <v>2339</v>
      </c>
      <c r="I1347" s="63" t="s">
        <v>2340</v>
      </c>
      <c r="J1347" s="47">
        <f t="shared" si="275"/>
        <v>3740</v>
      </c>
      <c r="K1347" s="46" t="s">
        <v>315</v>
      </c>
      <c r="L1347" s="47"/>
      <c r="M1347" s="47"/>
      <c r="N1347" s="47"/>
      <c r="O1347" s="47"/>
      <c r="P1347" s="47"/>
      <c r="Q1347" s="47"/>
      <c r="R1347" s="47"/>
      <c r="S1347" s="47"/>
      <c r="T1347" s="47">
        <f t="shared" si="276"/>
        <v>780</v>
      </c>
      <c r="U1347" s="47"/>
      <c r="V1347" s="47"/>
      <c r="W1347" s="47"/>
      <c r="X1347" s="47"/>
      <c r="Y1347" s="47"/>
      <c r="Z1347" s="47">
        <f t="shared" si="274"/>
        <v>4620</v>
      </c>
      <c r="AA1347" s="47"/>
      <c r="AB1347" s="47"/>
      <c r="AC1347" s="47"/>
      <c r="AD1347" s="47"/>
      <c r="AE1347" s="47"/>
      <c r="AF1347" s="47"/>
      <c r="AG1347" s="47">
        <f t="shared" si="277"/>
        <v>3300.0000000000005</v>
      </c>
      <c r="AH1347" s="47" t="str">
        <f>IFERROR(_xlfn.XLOOKUP(Table6[[#This Row],[Suburb]],Table5[Travel Surcharge],Table5[$$]),"")</f>
        <v/>
      </c>
      <c r="AI1347" s="47">
        <f t="shared" si="278"/>
        <v>1650.0000000000002</v>
      </c>
      <c r="AJ1347" s="47"/>
    </row>
    <row r="1348" spans="1:36">
      <c r="A1348" s="374" t="s">
        <v>2335</v>
      </c>
      <c r="B1348" s="374">
        <v>6</v>
      </c>
      <c r="C1348" s="374" t="s">
        <v>385</v>
      </c>
      <c r="D1348" s="375" t="str">
        <f t="shared" si="273"/>
        <v>East Estate6</v>
      </c>
      <c r="E1348" s="375" t="s">
        <v>2344</v>
      </c>
      <c r="F1348" s="375" t="s">
        <v>2337</v>
      </c>
      <c r="G1348" s="375" t="s">
        <v>2338</v>
      </c>
      <c r="H1348" s="375" t="s">
        <v>2339</v>
      </c>
      <c r="I1348" s="63" t="s">
        <v>2340</v>
      </c>
      <c r="J1348" s="47">
        <f t="shared" si="275"/>
        <v>3740</v>
      </c>
      <c r="K1348" s="46" t="s">
        <v>315</v>
      </c>
      <c r="L1348" s="47"/>
      <c r="M1348" s="47"/>
      <c r="N1348" s="47"/>
      <c r="O1348" s="47"/>
      <c r="P1348" s="47"/>
      <c r="Q1348" s="47"/>
      <c r="R1348" s="47"/>
      <c r="S1348" s="47"/>
      <c r="T1348" s="47">
        <f t="shared" si="276"/>
        <v>780</v>
      </c>
      <c r="U1348" s="47"/>
      <c r="V1348" s="47"/>
      <c r="W1348" s="47"/>
      <c r="X1348" s="47"/>
      <c r="Y1348" s="47"/>
      <c r="Z1348" s="47">
        <f t="shared" si="274"/>
        <v>4620</v>
      </c>
      <c r="AA1348" s="47"/>
      <c r="AB1348" s="47"/>
      <c r="AC1348" s="47"/>
      <c r="AD1348" s="47"/>
      <c r="AE1348" s="47"/>
      <c r="AF1348" s="47"/>
      <c r="AG1348" s="47">
        <f t="shared" si="277"/>
        <v>3300.0000000000005</v>
      </c>
      <c r="AH1348" s="47" t="str">
        <f>IFERROR(_xlfn.XLOOKUP(Table6[[#This Row],[Suburb]],Table5[Travel Surcharge],Table5[$$]),"")</f>
        <v/>
      </c>
      <c r="AI1348" s="47">
        <f t="shared" si="278"/>
        <v>1650.0000000000002</v>
      </c>
      <c r="AJ1348" s="47"/>
    </row>
    <row r="1349" spans="1:36">
      <c r="A1349" s="374" t="s">
        <v>2335</v>
      </c>
      <c r="B1349" s="374">
        <v>7</v>
      </c>
      <c r="C1349" s="374" t="s">
        <v>385</v>
      </c>
      <c r="D1349" s="375" t="str">
        <f t="shared" si="273"/>
        <v>East Estate7</v>
      </c>
      <c r="E1349" s="375" t="s">
        <v>2345</v>
      </c>
      <c r="F1349" s="375" t="s">
        <v>2337</v>
      </c>
      <c r="G1349" s="375" t="s">
        <v>2338</v>
      </c>
      <c r="H1349" s="375" t="s">
        <v>2339</v>
      </c>
      <c r="I1349" s="63" t="s">
        <v>2340</v>
      </c>
      <c r="J1349" s="47">
        <f t="shared" si="275"/>
        <v>3740</v>
      </c>
      <c r="K1349" s="46" t="s">
        <v>315</v>
      </c>
      <c r="L1349" s="47"/>
      <c r="M1349" s="47"/>
      <c r="N1349" s="47"/>
      <c r="O1349" s="47"/>
      <c r="P1349" s="47"/>
      <c r="Q1349" s="47"/>
      <c r="R1349" s="47"/>
      <c r="S1349" s="47"/>
      <c r="T1349" s="47">
        <f t="shared" si="276"/>
        <v>780</v>
      </c>
      <c r="U1349" s="47"/>
      <c r="V1349" s="47"/>
      <c r="W1349" s="47"/>
      <c r="X1349" s="47"/>
      <c r="Y1349" s="47"/>
      <c r="Z1349" s="47">
        <f t="shared" si="274"/>
        <v>4620</v>
      </c>
      <c r="AA1349" s="47"/>
      <c r="AB1349" s="47"/>
      <c r="AC1349" s="47"/>
      <c r="AD1349" s="47"/>
      <c r="AE1349" s="47"/>
      <c r="AF1349" s="47"/>
      <c r="AG1349" s="47">
        <f t="shared" si="277"/>
        <v>3300.0000000000005</v>
      </c>
      <c r="AH1349" s="47" t="str">
        <f>IFERROR(_xlfn.XLOOKUP(Table6[[#This Row],[Suburb]],Table5[Travel Surcharge],Table5[$$]),"")</f>
        <v/>
      </c>
      <c r="AI1349" s="47">
        <f t="shared" si="278"/>
        <v>1650.0000000000002</v>
      </c>
      <c r="AJ1349" s="47"/>
    </row>
    <row r="1350" spans="1:36">
      <c r="A1350" s="374" t="s">
        <v>2335</v>
      </c>
      <c r="B1350" s="374" t="s">
        <v>617</v>
      </c>
      <c r="C1350" s="374" t="s">
        <v>385</v>
      </c>
      <c r="D1350" s="375" t="str">
        <f t="shared" si="273"/>
        <v>East Estate5A</v>
      </c>
      <c r="E1350" s="375" t="s">
        <v>2346</v>
      </c>
      <c r="F1350" s="375" t="s">
        <v>2337</v>
      </c>
      <c r="G1350" s="375" t="s">
        <v>2338</v>
      </c>
      <c r="H1350" s="375" t="s">
        <v>2339</v>
      </c>
      <c r="I1350" s="63" t="s">
        <v>2340</v>
      </c>
      <c r="J1350" s="47">
        <f t="shared" si="275"/>
        <v>3740</v>
      </c>
      <c r="K1350" s="46" t="s">
        <v>315</v>
      </c>
      <c r="L1350" s="47"/>
      <c r="M1350" s="47"/>
      <c r="N1350" s="47"/>
      <c r="O1350" s="47"/>
      <c r="P1350" s="47"/>
      <c r="Q1350" s="47"/>
      <c r="R1350" s="47"/>
      <c r="S1350" s="47"/>
      <c r="T1350" s="47">
        <f t="shared" si="276"/>
        <v>780</v>
      </c>
      <c r="U1350" s="47"/>
      <c r="V1350" s="47"/>
      <c r="W1350" s="47"/>
      <c r="X1350" s="47"/>
      <c r="Y1350" s="47"/>
      <c r="Z1350" s="47">
        <f t="shared" si="274"/>
        <v>4620</v>
      </c>
      <c r="AA1350" s="47"/>
      <c r="AB1350" s="47"/>
      <c r="AC1350" s="47"/>
      <c r="AD1350" s="47"/>
      <c r="AE1350" s="47"/>
      <c r="AF1350" s="47"/>
      <c r="AG1350" s="47">
        <f t="shared" si="277"/>
        <v>3300.0000000000005</v>
      </c>
      <c r="AH1350" s="47" t="str">
        <f>IFERROR(_xlfn.XLOOKUP(Table6[[#This Row],[Suburb]],Table5[Travel Surcharge],Table5[$$]),"")</f>
        <v/>
      </c>
      <c r="AI1350" s="47">
        <f t="shared" si="278"/>
        <v>1650.0000000000002</v>
      </c>
      <c r="AJ1350" s="47"/>
    </row>
    <row r="1351" spans="1:36">
      <c r="A1351" s="374" t="s">
        <v>9516</v>
      </c>
      <c r="B1351" s="374">
        <v>2</v>
      </c>
      <c r="C1351" s="374" t="s">
        <v>385</v>
      </c>
      <c r="D1351" s="375" t="s">
        <v>9850</v>
      </c>
      <c r="E1351" s="375" t="s">
        <v>9851</v>
      </c>
      <c r="F1351" s="375"/>
      <c r="G1351" s="375" t="s">
        <v>8725</v>
      </c>
      <c r="H1351" s="375" t="s">
        <v>8726</v>
      </c>
      <c r="I1351" s="63" t="s">
        <v>8727</v>
      </c>
      <c r="J1351" s="47"/>
      <c r="K1351" s="46" t="s">
        <v>10735</v>
      </c>
      <c r="L1351" s="47" t="s">
        <v>9093</v>
      </c>
      <c r="M1351" s="47">
        <v>1430</v>
      </c>
      <c r="N1351" s="47" t="s">
        <v>474</v>
      </c>
      <c r="O1351" s="47">
        <v>4950</v>
      </c>
      <c r="P1351" s="47"/>
      <c r="Q1351" s="47"/>
      <c r="R1351" s="47"/>
      <c r="S1351" s="47"/>
      <c r="T1351" s="47"/>
      <c r="U1351" s="47">
        <v>540</v>
      </c>
      <c r="V1351" s="47" t="s">
        <v>8729</v>
      </c>
      <c r="W1351" s="47" t="s">
        <v>8730</v>
      </c>
      <c r="X1351" s="47" t="s">
        <v>8731</v>
      </c>
      <c r="Y1351" s="47" t="s">
        <v>8732</v>
      </c>
      <c r="Z1351" s="47">
        <v>4620</v>
      </c>
      <c r="AA1351" s="47">
        <v>1400</v>
      </c>
      <c r="AB1351" s="47" t="s">
        <v>8733</v>
      </c>
      <c r="AC1351" s="47"/>
      <c r="AD1351" s="47"/>
      <c r="AE1351" s="47" t="s">
        <v>8734</v>
      </c>
      <c r="AF1351" s="47">
        <v>1485</v>
      </c>
      <c r="AG1351" s="47"/>
      <c r="AH1351" s="47" t="str">
        <f>IFERROR(_xlfn.XLOOKUP(Table6[[#This Row],[Suburb]],Table5[Travel Surcharge],Table5[$$]),"")</f>
        <v/>
      </c>
      <c r="AI1351" s="47"/>
      <c r="AJ1351" s="47"/>
    </row>
    <row r="1352" spans="1:36">
      <c r="A1352" s="374" t="s">
        <v>9516</v>
      </c>
      <c r="B1352" s="374">
        <v>1</v>
      </c>
      <c r="C1352" s="374" t="s">
        <v>385</v>
      </c>
      <c r="D1352" s="375" t="str">
        <f t="shared" si="273"/>
        <v>Eastleigh1</v>
      </c>
      <c r="E1352" s="375" t="s">
        <v>8728</v>
      </c>
      <c r="F1352" s="375"/>
      <c r="G1352" s="375" t="s">
        <v>8725</v>
      </c>
      <c r="H1352" s="375" t="s">
        <v>8726</v>
      </c>
      <c r="I1352" s="63" t="s">
        <v>8727</v>
      </c>
      <c r="J1352" s="47"/>
      <c r="K1352" s="46" t="s">
        <v>10735</v>
      </c>
      <c r="L1352" s="47" t="s">
        <v>9093</v>
      </c>
      <c r="M1352" s="47">
        <v>1430</v>
      </c>
      <c r="N1352" s="47" t="s">
        <v>474</v>
      </c>
      <c r="O1352" s="47">
        <f>O$7</f>
        <v>4950</v>
      </c>
      <c r="P1352" s="47"/>
      <c r="Q1352" s="47"/>
      <c r="R1352" s="47"/>
      <c r="S1352" s="47"/>
      <c r="T1352" s="47"/>
      <c r="U1352" s="47">
        <f>U$2</f>
        <v>430</v>
      </c>
      <c r="V1352" s="47" t="s">
        <v>8729</v>
      </c>
      <c r="W1352" s="47" t="s">
        <v>8730</v>
      </c>
      <c r="X1352" s="47" t="s">
        <v>8731</v>
      </c>
      <c r="Y1352" s="47" t="s">
        <v>8732</v>
      </c>
      <c r="Z1352" s="47">
        <f t="shared" si="274"/>
        <v>4620</v>
      </c>
      <c r="AA1352" s="47">
        <f>AA$7</f>
        <v>1400</v>
      </c>
      <c r="AB1352" s="47" t="s">
        <v>8733</v>
      </c>
      <c r="AC1352" s="47"/>
      <c r="AD1352" s="47"/>
      <c r="AE1352" s="47" t="s">
        <v>8734</v>
      </c>
      <c r="AF1352" s="47">
        <f>AF$7</f>
        <v>1485</v>
      </c>
      <c r="AG1352" s="47"/>
      <c r="AH1352" s="47" t="str">
        <f>IFERROR(_xlfn.XLOOKUP(Table6[[#This Row],[Suburb]],Table5[Travel Surcharge],Table5[$$]),"")</f>
        <v/>
      </c>
      <c r="AI1352" s="47"/>
      <c r="AJ1352" s="47"/>
    </row>
    <row r="1353" spans="1:36">
      <c r="A1353" s="374" t="s">
        <v>2347</v>
      </c>
      <c r="B1353" s="374">
        <v>1</v>
      </c>
      <c r="C1353" s="374" t="s">
        <v>385</v>
      </c>
      <c r="D1353" s="375" t="str">
        <f t="shared" si="273"/>
        <v>Eastwood Estate1</v>
      </c>
      <c r="E1353" s="375" t="s">
        <v>2348</v>
      </c>
      <c r="F1353" s="375" t="s">
        <v>2349</v>
      </c>
      <c r="G1353" s="375" t="s">
        <v>423</v>
      </c>
      <c r="H1353" s="375" t="s">
        <v>2350</v>
      </c>
      <c r="I1353" s="63" t="s">
        <v>2351</v>
      </c>
      <c r="J1353" s="47">
        <f t="shared" ref="J1353:J1360" si="279">J$7</f>
        <v>3740</v>
      </c>
      <c r="K1353" s="46" t="s">
        <v>7938</v>
      </c>
      <c r="L1353" s="47" t="s">
        <v>2352</v>
      </c>
      <c r="M1353" s="47">
        <f>M$7</f>
        <v>1430.0000000000002</v>
      </c>
      <c r="N1353" s="47" t="s">
        <v>2353</v>
      </c>
      <c r="O1353" s="47"/>
      <c r="P1353" s="47"/>
      <c r="Q1353" s="47"/>
      <c r="R1353" s="47">
        <f>R$2</f>
        <v>540</v>
      </c>
      <c r="S1353" s="47"/>
      <c r="T1353" s="47"/>
      <c r="U1353" s="47"/>
      <c r="V1353" s="47"/>
      <c r="W1353" s="47"/>
      <c r="X1353" s="47"/>
      <c r="Y1353" s="47"/>
      <c r="Z1353" s="47">
        <f t="shared" si="274"/>
        <v>4620</v>
      </c>
      <c r="AA1353" s="47"/>
      <c r="AB1353" s="47"/>
      <c r="AC1353" s="47"/>
      <c r="AD1353" s="47"/>
      <c r="AE1353" s="47"/>
      <c r="AF1353" s="47">
        <f>AF$7</f>
        <v>1485</v>
      </c>
      <c r="AG1353" s="47"/>
      <c r="AH1353" s="47" t="str">
        <f>IFERROR(_xlfn.XLOOKUP(Table6[[#This Row],[Suburb]],Table5[Travel Surcharge],Table5[$$]),"")</f>
        <v/>
      </c>
      <c r="AI1353" s="47"/>
      <c r="AJ1353" s="47"/>
    </row>
    <row r="1354" spans="1:36">
      <c r="A1354" s="374" t="s">
        <v>2347</v>
      </c>
      <c r="B1354" s="374">
        <v>2</v>
      </c>
      <c r="C1354" s="374" t="s">
        <v>529</v>
      </c>
      <c r="D1354" s="375" t="str">
        <f t="shared" si="273"/>
        <v>Eastwood Estate2</v>
      </c>
      <c r="E1354" s="375" t="s">
        <v>2354</v>
      </c>
      <c r="F1354" s="375" t="s">
        <v>2349</v>
      </c>
      <c r="G1354" s="375" t="s">
        <v>423</v>
      </c>
      <c r="H1354" s="375" t="s">
        <v>2350</v>
      </c>
      <c r="I1354" s="63" t="s">
        <v>2351</v>
      </c>
      <c r="J1354" s="47">
        <f t="shared" si="279"/>
        <v>3740</v>
      </c>
      <c r="K1354" s="46" t="s">
        <v>7938</v>
      </c>
      <c r="L1354" s="47" t="s">
        <v>2352</v>
      </c>
      <c r="M1354" s="47">
        <f>M$7</f>
        <v>1430.0000000000002</v>
      </c>
      <c r="N1354" s="47" t="s">
        <v>2353</v>
      </c>
      <c r="O1354" s="47"/>
      <c r="P1354" s="47"/>
      <c r="Q1354" s="47"/>
      <c r="R1354" s="47">
        <f>R$2</f>
        <v>540</v>
      </c>
      <c r="S1354" s="47"/>
      <c r="T1354" s="47"/>
      <c r="U1354" s="47"/>
      <c r="V1354" s="47"/>
      <c r="W1354" s="47"/>
      <c r="X1354" s="47"/>
      <c r="Y1354" s="47"/>
      <c r="Z1354" s="47">
        <f t="shared" si="274"/>
        <v>4620</v>
      </c>
      <c r="AA1354" s="47"/>
      <c r="AB1354" s="47"/>
      <c r="AC1354" s="47"/>
      <c r="AD1354" s="47"/>
      <c r="AE1354" s="47"/>
      <c r="AF1354" s="47">
        <f>AF$7</f>
        <v>1485</v>
      </c>
      <c r="AG1354" s="47"/>
      <c r="AH1354" s="47" t="str">
        <f>IFERROR(_xlfn.XLOOKUP(Table6[[#This Row],[Suburb]],Table5[Travel Surcharge],Table5[$$]),"")</f>
        <v/>
      </c>
      <c r="AI1354" s="47"/>
      <c r="AJ1354" s="47"/>
    </row>
    <row r="1355" spans="1:36">
      <c r="A1355" s="374" t="s">
        <v>2347</v>
      </c>
      <c r="B1355" s="374">
        <v>3</v>
      </c>
      <c r="C1355" s="374" t="s">
        <v>529</v>
      </c>
      <c r="D1355" s="375" t="str">
        <f t="shared" si="273"/>
        <v>Eastwood Estate3</v>
      </c>
      <c r="E1355" s="375" t="s">
        <v>2355</v>
      </c>
      <c r="F1355" s="375" t="s">
        <v>2349</v>
      </c>
      <c r="G1355" s="375" t="s">
        <v>423</v>
      </c>
      <c r="H1355" s="375" t="s">
        <v>2350</v>
      </c>
      <c r="I1355" s="63" t="s">
        <v>2351</v>
      </c>
      <c r="J1355" s="47">
        <f t="shared" si="279"/>
        <v>3740</v>
      </c>
      <c r="K1355" s="46" t="s">
        <v>7938</v>
      </c>
      <c r="L1355" s="47" t="s">
        <v>2352</v>
      </c>
      <c r="M1355" s="47">
        <f>M$7</f>
        <v>1430.0000000000002</v>
      </c>
      <c r="N1355" s="47" t="s">
        <v>2353</v>
      </c>
      <c r="O1355" s="47"/>
      <c r="P1355" s="47"/>
      <c r="Q1355" s="47"/>
      <c r="R1355" s="47">
        <f>R$2</f>
        <v>540</v>
      </c>
      <c r="S1355" s="47"/>
      <c r="T1355" s="47"/>
      <c r="U1355" s="47"/>
      <c r="V1355" s="47"/>
      <c r="W1355" s="47"/>
      <c r="X1355" s="47"/>
      <c r="Y1355" s="47"/>
      <c r="Z1355" s="47">
        <f t="shared" si="274"/>
        <v>4620</v>
      </c>
      <c r="AA1355" s="47"/>
      <c r="AB1355" s="47"/>
      <c r="AC1355" s="47"/>
      <c r="AD1355" s="47"/>
      <c r="AE1355" s="47"/>
      <c r="AF1355" s="47">
        <f>AF$7</f>
        <v>1485</v>
      </c>
      <c r="AG1355" s="47"/>
      <c r="AH1355" s="47" t="str">
        <f>IFERROR(_xlfn.XLOOKUP(Table6[[#This Row],[Suburb]],Table5[Travel Surcharge],Table5[$$]),"")</f>
        <v/>
      </c>
      <c r="AI1355" s="47"/>
      <c r="AJ1355" s="47"/>
    </row>
    <row r="1356" spans="1:36">
      <c r="A1356" s="374" t="s">
        <v>2356</v>
      </c>
      <c r="B1356" s="374">
        <v>1</v>
      </c>
      <c r="C1356" s="374" t="s">
        <v>502</v>
      </c>
      <c r="D1356" s="375" t="str">
        <f t="shared" si="273"/>
        <v>Ecoville Estate1</v>
      </c>
      <c r="E1356" s="375" t="s">
        <v>2357</v>
      </c>
      <c r="F1356" s="375"/>
      <c r="G1356" s="375"/>
      <c r="H1356" s="375"/>
      <c r="I1356" s="63"/>
      <c r="J1356" s="47">
        <f t="shared" si="279"/>
        <v>3740</v>
      </c>
      <c r="K1356" s="46" t="s">
        <v>10735</v>
      </c>
      <c r="L1356" s="47"/>
      <c r="M1356" s="47"/>
      <c r="N1356" s="47"/>
      <c r="O1356" s="47"/>
      <c r="P1356" s="47"/>
      <c r="Q1356" s="47"/>
      <c r="R1356" s="47"/>
      <c r="S1356" s="47"/>
      <c r="T1356" s="47"/>
      <c r="U1356" s="47" t="s">
        <v>770</v>
      </c>
      <c r="V1356" s="47"/>
      <c r="W1356" s="47"/>
      <c r="X1356" s="47"/>
      <c r="Y1356" s="47"/>
      <c r="Z1356" s="47">
        <f t="shared" si="274"/>
        <v>4620</v>
      </c>
      <c r="AA1356" s="47"/>
      <c r="AB1356" s="47"/>
      <c r="AC1356" s="47"/>
      <c r="AD1356" s="47"/>
      <c r="AE1356" s="47"/>
      <c r="AF1356" s="47"/>
      <c r="AG1356" s="47"/>
      <c r="AH1356" s="47" t="str">
        <f>IFERROR(_xlfn.XLOOKUP(Table6[[#This Row],[Suburb]],Table5[Travel Surcharge],Table5[$$]),"")</f>
        <v/>
      </c>
      <c r="AI1356" s="47"/>
      <c r="AJ1356" s="47"/>
    </row>
    <row r="1357" spans="1:36">
      <c r="A1357" s="374" t="s">
        <v>2358</v>
      </c>
      <c r="B1357" s="374">
        <v>3</v>
      </c>
      <c r="C1357" s="374" t="s">
        <v>455</v>
      </c>
      <c r="D1357" s="375" t="str">
        <f t="shared" si="273"/>
        <v>Eden Gardens Estate3</v>
      </c>
      <c r="E1357" s="375" t="s">
        <v>2359</v>
      </c>
      <c r="F1357" s="375" t="s">
        <v>2360</v>
      </c>
      <c r="G1357" s="375" t="s">
        <v>2361</v>
      </c>
      <c r="H1357" s="375" t="s">
        <v>2362</v>
      </c>
      <c r="I1357" s="63" t="s">
        <v>2363</v>
      </c>
      <c r="J1357" s="47">
        <f t="shared" si="279"/>
        <v>3740</v>
      </c>
      <c r="K1357" s="46" t="s">
        <v>7938</v>
      </c>
      <c r="L1357" s="47" t="s">
        <v>544</v>
      </c>
      <c r="M1357" s="47"/>
      <c r="N1357" s="47"/>
      <c r="O1357" s="47"/>
      <c r="P1357" s="47"/>
      <c r="Q1357" s="47"/>
      <c r="R1357" s="47">
        <f>R$2</f>
        <v>540</v>
      </c>
      <c r="S1357" s="47" t="s">
        <v>2364</v>
      </c>
      <c r="T1357" s="47"/>
      <c r="U1357" s="47" t="s">
        <v>2365</v>
      </c>
      <c r="V1357" s="47"/>
      <c r="W1357" s="47" t="s">
        <v>2366</v>
      </c>
      <c r="X1357" s="47"/>
      <c r="Y1357" s="47"/>
      <c r="Z1357" s="47">
        <f t="shared" si="274"/>
        <v>4620</v>
      </c>
      <c r="AA1357" s="47"/>
      <c r="AB1357" s="47"/>
      <c r="AC1357" s="47"/>
      <c r="AD1357" s="47"/>
      <c r="AE1357" s="47"/>
      <c r="AF1357" s="47">
        <f>AF$7</f>
        <v>1485</v>
      </c>
      <c r="AG1357" s="47" t="s">
        <v>464</v>
      </c>
      <c r="AH1357" s="47" t="str">
        <f>IFERROR(_xlfn.XLOOKUP(Table6[[#This Row],[Suburb]],Table5[Travel Surcharge],Table5[$$]),"")</f>
        <v/>
      </c>
      <c r="AI1357" s="47"/>
      <c r="AJ1357" s="47"/>
    </row>
    <row r="1358" spans="1:36">
      <c r="A1358" s="374" t="s">
        <v>2358</v>
      </c>
      <c r="B1358" s="374">
        <v>9</v>
      </c>
      <c r="C1358" s="374" t="s">
        <v>455</v>
      </c>
      <c r="D1358" s="375" t="str">
        <f t="shared" si="273"/>
        <v>Eden Gardens Estate9</v>
      </c>
      <c r="E1358" s="375" t="s">
        <v>2367</v>
      </c>
      <c r="F1358" s="375" t="s">
        <v>2360</v>
      </c>
      <c r="G1358" s="375" t="s">
        <v>2361</v>
      </c>
      <c r="H1358" s="375" t="s">
        <v>2362</v>
      </c>
      <c r="I1358" s="63" t="s">
        <v>2363</v>
      </c>
      <c r="J1358" s="47">
        <f t="shared" si="279"/>
        <v>3740</v>
      </c>
      <c r="K1358" s="46" t="s">
        <v>7938</v>
      </c>
      <c r="L1358" s="47" t="s">
        <v>544</v>
      </c>
      <c r="M1358" s="47"/>
      <c r="N1358" s="47"/>
      <c r="O1358" s="47"/>
      <c r="P1358" s="47"/>
      <c r="Q1358" s="47"/>
      <c r="R1358" s="47">
        <f>R$2</f>
        <v>540</v>
      </c>
      <c r="S1358" s="47" t="s">
        <v>2364</v>
      </c>
      <c r="T1358" s="47"/>
      <c r="U1358" s="47" t="s">
        <v>2365</v>
      </c>
      <c r="V1358" s="47"/>
      <c r="W1358" s="47" t="s">
        <v>2366</v>
      </c>
      <c r="X1358" s="47"/>
      <c r="Y1358" s="47"/>
      <c r="Z1358" s="47">
        <f t="shared" si="274"/>
        <v>4620</v>
      </c>
      <c r="AA1358" s="47"/>
      <c r="AB1358" s="47"/>
      <c r="AC1358" s="47"/>
      <c r="AD1358" s="47"/>
      <c r="AE1358" s="47"/>
      <c r="AF1358" s="47">
        <f>AF$7</f>
        <v>1485</v>
      </c>
      <c r="AG1358" s="47" t="s">
        <v>464</v>
      </c>
      <c r="AH1358" s="47" t="str">
        <f>IFERROR(_xlfn.XLOOKUP(Table6[[#This Row],[Suburb]],Table5[Travel Surcharge],Table5[$$]),"")</f>
        <v/>
      </c>
      <c r="AI1358" s="47"/>
      <c r="AJ1358" s="47"/>
    </row>
    <row r="1359" spans="1:36">
      <c r="A1359" s="374" t="s">
        <v>2358</v>
      </c>
      <c r="B1359" s="374">
        <v>10</v>
      </c>
      <c r="C1359" s="374" t="s">
        <v>455</v>
      </c>
      <c r="D1359" s="375" t="str">
        <f t="shared" si="273"/>
        <v>Eden Gardens Estate10</v>
      </c>
      <c r="E1359" s="375" t="s">
        <v>2368</v>
      </c>
      <c r="F1359" s="375" t="s">
        <v>2360</v>
      </c>
      <c r="G1359" s="375" t="s">
        <v>2361</v>
      </c>
      <c r="H1359" s="375" t="s">
        <v>2362</v>
      </c>
      <c r="I1359" s="63" t="s">
        <v>2363</v>
      </c>
      <c r="J1359" s="47">
        <f t="shared" si="279"/>
        <v>3740</v>
      </c>
      <c r="K1359" s="46" t="s">
        <v>7938</v>
      </c>
      <c r="L1359" s="47" t="s">
        <v>544</v>
      </c>
      <c r="M1359" s="47"/>
      <c r="N1359" s="47"/>
      <c r="O1359" s="47"/>
      <c r="P1359" s="47"/>
      <c r="Q1359" s="47"/>
      <c r="R1359" s="47">
        <f>R$2</f>
        <v>540</v>
      </c>
      <c r="S1359" s="47" t="s">
        <v>2364</v>
      </c>
      <c r="T1359" s="47"/>
      <c r="U1359" s="47" t="s">
        <v>2365</v>
      </c>
      <c r="V1359" s="47"/>
      <c r="W1359" s="47" t="s">
        <v>2366</v>
      </c>
      <c r="X1359" s="47"/>
      <c r="Y1359" s="47"/>
      <c r="Z1359" s="47">
        <f t="shared" si="274"/>
        <v>4620</v>
      </c>
      <c r="AA1359" s="47"/>
      <c r="AB1359" s="47"/>
      <c r="AC1359" s="47"/>
      <c r="AD1359" s="47"/>
      <c r="AE1359" s="47"/>
      <c r="AF1359" s="47">
        <f>AF$7</f>
        <v>1485</v>
      </c>
      <c r="AG1359" s="47" t="s">
        <v>464</v>
      </c>
      <c r="AH1359" s="47" t="str">
        <f>IFERROR(_xlfn.XLOOKUP(Table6[[#This Row],[Suburb]],Table5[Travel Surcharge],Table5[$$]),"")</f>
        <v/>
      </c>
      <c r="AI1359" s="47"/>
      <c r="AJ1359" s="47"/>
    </row>
    <row r="1360" spans="1:36">
      <c r="A1360" s="374" t="s">
        <v>2358</v>
      </c>
      <c r="B1360" s="374">
        <v>12</v>
      </c>
      <c r="C1360" s="374" t="s">
        <v>455</v>
      </c>
      <c r="D1360" s="375" t="str">
        <f t="shared" si="273"/>
        <v>Eden Gardens Estate12</v>
      </c>
      <c r="E1360" s="375" t="s">
        <v>2369</v>
      </c>
      <c r="F1360" s="375" t="s">
        <v>2360</v>
      </c>
      <c r="G1360" s="375" t="s">
        <v>2361</v>
      </c>
      <c r="H1360" s="375" t="s">
        <v>2362</v>
      </c>
      <c r="I1360" s="63" t="s">
        <v>2363</v>
      </c>
      <c r="J1360" s="47">
        <f t="shared" si="279"/>
        <v>3740</v>
      </c>
      <c r="K1360" s="46" t="s">
        <v>7938</v>
      </c>
      <c r="L1360" s="47" t="s">
        <v>544</v>
      </c>
      <c r="M1360" s="47"/>
      <c r="N1360" s="47"/>
      <c r="O1360" s="47"/>
      <c r="P1360" s="47"/>
      <c r="Q1360" s="47"/>
      <c r="R1360" s="47">
        <f>R$2</f>
        <v>540</v>
      </c>
      <c r="S1360" s="47" t="s">
        <v>2364</v>
      </c>
      <c r="T1360" s="47"/>
      <c r="U1360" s="47" t="s">
        <v>2365</v>
      </c>
      <c r="V1360" s="47"/>
      <c r="W1360" s="47" t="s">
        <v>2366</v>
      </c>
      <c r="X1360" s="47"/>
      <c r="Y1360" s="47"/>
      <c r="Z1360" s="47">
        <f t="shared" si="274"/>
        <v>4620</v>
      </c>
      <c r="AA1360" s="47"/>
      <c r="AB1360" s="47"/>
      <c r="AC1360" s="47"/>
      <c r="AD1360" s="47"/>
      <c r="AE1360" s="47"/>
      <c r="AF1360" s="47">
        <f>AF$7</f>
        <v>1485</v>
      </c>
      <c r="AG1360" s="47" t="s">
        <v>464</v>
      </c>
      <c r="AH1360" s="47" t="str">
        <f>IFERROR(_xlfn.XLOOKUP(Table6[[#This Row],[Suburb]],Table5[Travel Surcharge],Table5[$$]),"")</f>
        <v/>
      </c>
      <c r="AI1360" s="47"/>
      <c r="AJ1360" s="47"/>
    </row>
    <row r="1361" spans="1:36">
      <c r="A1361" s="374" t="s">
        <v>2370</v>
      </c>
      <c r="B1361" s="374">
        <v>1</v>
      </c>
      <c r="C1361" s="374" t="s">
        <v>2371</v>
      </c>
      <c r="D1361" s="375" t="str">
        <f t="shared" si="273"/>
        <v>Eden Rise1</v>
      </c>
      <c r="E1361" s="375" t="s">
        <v>2372</v>
      </c>
      <c r="F1361" s="375" t="s">
        <v>2373</v>
      </c>
      <c r="G1361" s="375" t="s">
        <v>2374</v>
      </c>
      <c r="H1361" s="375" t="s">
        <v>2375</v>
      </c>
      <c r="I1361" s="63" t="s">
        <v>2376</v>
      </c>
      <c r="J1361" s="47"/>
      <c r="K1361" s="46" t="s">
        <v>10735</v>
      </c>
      <c r="L1361" s="47"/>
      <c r="M1361" s="47"/>
      <c r="N1361" s="47"/>
      <c r="O1361" s="47"/>
      <c r="P1361" s="47"/>
      <c r="Q1361" s="47">
        <f>Q$2</f>
        <v>0</v>
      </c>
      <c r="R1361" s="47"/>
      <c r="S1361" s="47"/>
      <c r="T1361" s="47"/>
      <c r="U1361" s="47"/>
      <c r="V1361" s="47"/>
      <c r="W1361" s="47"/>
      <c r="X1361" s="47"/>
      <c r="Y1361" s="47"/>
      <c r="Z1361" s="47">
        <f t="shared" si="274"/>
        <v>4620</v>
      </c>
      <c r="AA1361" s="47"/>
      <c r="AB1361" s="47"/>
      <c r="AC1361" s="47"/>
      <c r="AD1361" s="47"/>
      <c r="AE1361" s="47"/>
      <c r="AF1361" s="47"/>
      <c r="AG1361" s="47"/>
      <c r="AH1361" s="47">
        <f>IFERROR(_xlfn.XLOOKUP(Table6[[#This Row],[Suburb]],Table5[Travel Surcharge],Table5[$$]),"")</f>
        <v>4000</v>
      </c>
      <c r="AI1361" s="47"/>
      <c r="AJ1361" s="47"/>
    </row>
    <row r="1362" spans="1:36">
      <c r="A1362" s="157" t="s">
        <v>2377</v>
      </c>
      <c r="B1362" s="157">
        <v>1</v>
      </c>
      <c r="C1362" s="157" t="s">
        <v>428</v>
      </c>
      <c r="D1362" s="157" t="str">
        <f t="shared" si="273"/>
        <v>Edgebrook Estate1</v>
      </c>
      <c r="E1362" s="157" t="s">
        <v>7939</v>
      </c>
      <c r="F1362" s="157" t="s">
        <v>650</v>
      </c>
      <c r="G1362" s="157"/>
      <c r="H1362" s="157"/>
      <c r="I1362" s="173"/>
      <c r="J1362" s="47">
        <f t="shared" ref="J1362:J1395" si="280">J$7</f>
        <v>3740</v>
      </c>
      <c r="K1362" s="46" t="s">
        <v>10735</v>
      </c>
      <c r="L1362" s="47"/>
      <c r="M1362" s="47">
        <f t="shared" ref="M1362:M1376" si="281">M$7</f>
        <v>1430.0000000000002</v>
      </c>
      <c r="N1362" s="47"/>
      <c r="O1362" s="47"/>
      <c r="P1362" s="47"/>
      <c r="Q1362" s="47"/>
      <c r="R1362" s="47"/>
      <c r="S1362" s="47" t="s">
        <v>2279</v>
      </c>
      <c r="T1362" s="47"/>
      <c r="U1362" s="47"/>
      <c r="V1362" s="47"/>
      <c r="W1362" s="47" t="s">
        <v>2366</v>
      </c>
      <c r="X1362" s="47"/>
      <c r="Y1362" s="47"/>
      <c r="Z1362" s="47">
        <f t="shared" si="274"/>
        <v>4620</v>
      </c>
      <c r="AA1362" s="47"/>
      <c r="AB1362" s="47"/>
      <c r="AC1362" s="47"/>
      <c r="AD1362" s="47" t="s">
        <v>1</v>
      </c>
      <c r="AE1362" s="47"/>
      <c r="AF1362" s="47"/>
      <c r="AG1362" s="47"/>
      <c r="AH1362" s="47" t="str">
        <f>IFERROR(_xlfn.XLOOKUP(Table6[[#This Row],[Suburb]],Table5[Travel Surcharge],Table5[$$]),"")</f>
        <v/>
      </c>
      <c r="AI1362" s="47"/>
      <c r="AJ1362" s="47"/>
    </row>
    <row r="1363" spans="1:36">
      <c r="A1363" s="374" t="s">
        <v>2377</v>
      </c>
      <c r="B1363" s="374">
        <v>2</v>
      </c>
      <c r="C1363" s="374" t="s">
        <v>428</v>
      </c>
      <c r="D1363" s="375" t="str">
        <f t="shared" si="273"/>
        <v>Edgebrook Estate2</v>
      </c>
      <c r="E1363" s="375" t="s">
        <v>2378</v>
      </c>
      <c r="F1363" s="375" t="s">
        <v>650</v>
      </c>
      <c r="G1363" s="375"/>
      <c r="H1363" s="375"/>
      <c r="I1363" s="172"/>
      <c r="J1363" s="47">
        <f t="shared" si="280"/>
        <v>3740</v>
      </c>
      <c r="K1363" s="46" t="s">
        <v>10735</v>
      </c>
      <c r="L1363" s="47"/>
      <c r="M1363" s="47">
        <f t="shared" si="281"/>
        <v>1430.0000000000002</v>
      </c>
      <c r="N1363" s="47"/>
      <c r="O1363" s="47"/>
      <c r="P1363" s="47"/>
      <c r="Q1363" s="47"/>
      <c r="R1363" s="47"/>
      <c r="S1363" s="47" t="s">
        <v>2279</v>
      </c>
      <c r="T1363" s="47"/>
      <c r="U1363" s="47"/>
      <c r="V1363" s="47"/>
      <c r="W1363" s="47" t="s">
        <v>2366</v>
      </c>
      <c r="X1363" s="47"/>
      <c r="Y1363" s="47"/>
      <c r="Z1363" s="47">
        <f t="shared" si="274"/>
        <v>4620</v>
      </c>
      <c r="AA1363" s="47"/>
      <c r="AB1363" s="47"/>
      <c r="AC1363" s="47"/>
      <c r="AD1363" s="47" t="s">
        <v>1</v>
      </c>
      <c r="AE1363" s="47"/>
      <c r="AF1363" s="47"/>
      <c r="AG1363" s="47"/>
      <c r="AH1363" s="47" t="str">
        <f>IFERROR(_xlfn.XLOOKUP(Table6[[#This Row],[Suburb]],Table5[Travel Surcharge],Table5[$$]),"")</f>
        <v/>
      </c>
      <c r="AI1363" s="47"/>
      <c r="AJ1363" s="47"/>
    </row>
    <row r="1364" spans="1:36">
      <c r="A1364" s="374" t="s">
        <v>2377</v>
      </c>
      <c r="B1364" s="374">
        <v>3</v>
      </c>
      <c r="C1364" s="374" t="s">
        <v>428</v>
      </c>
      <c r="D1364" s="375" t="str">
        <f t="shared" si="273"/>
        <v>Edgebrook Estate3</v>
      </c>
      <c r="E1364" s="375" t="s">
        <v>2379</v>
      </c>
      <c r="F1364" s="375" t="s">
        <v>650</v>
      </c>
      <c r="G1364" s="375"/>
      <c r="H1364" s="375"/>
      <c r="I1364" s="63"/>
      <c r="J1364" s="47">
        <f t="shared" si="280"/>
        <v>3740</v>
      </c>
      <c r="K1364" s="46" t="s">
        <v>10735</v>
      </c>
      <c r="L1364" s="47"/>
      <c r="M1364" s="47">
        <f t="shared" si="281"/>
        <v>1430.0000000000002</v>
      </c>
      <c r="N1364" s="47"/>
      <c r="O1364" s="47"/>
      <c r="P1364" s="47"/>
      <c r="Q1364" s="47"/>
      <c r="R1364" s="47"/>
      <c r="S1364" s="47" t="s">
        <v>2279</v>
      </c>
      <c r="T1364" s="47"/>
      <c r="U1364" s="47"/>
      <c r="V1364" s="47"/>
      <c r="W1364" s="47" t="s">
        <v>2366</v>
      </c>
      <c r="X1364" s="47"/>
      <c r="Y1364" s="47"/>
      <c r="Z1364" s="47">
        <f t="shared" si="274"/>
        <v>4620</v>
      </c>
      <c r="AA1364" s="47"/>
      <c r="AB1364" s="47"/>
      <c r="AC1364" s="47"/>
      <c r="AD1364" s="47" t="s">
        <v>1</v>
      </c>
      <c r="AE1364" s="47"/>
      <c r="AF1364" s="47"/>
      <c r="AG1364" s="47"/>
      <c r="AH1364" s="47" t="str">
        <f>IFERROR(_xlfn.XLOOKUP(Table6[[#This Row],[Suburb]],Table5[Travel Surcharge],Table5[$$]),"")</f>
        <v/>
      </c>
      <c r="AI1364" s="47"/>
      <c r="AJ1364" s="47"/>
    </row>
    <row r="1365" spans="1:36">
      <c r="A1365" s="374" t="s">
        <v>2377</v>
      </c>
      <c r="B1365" s="374">
        <v>4</v>
      </c>
      <c r="C1365" s="374" t="s">
        <v>428</v>
      </c>
      <c r="D1365" s="375" t="str">
        <f t="shared" si="273"/>
        <v>Edgebrook Estate4</v>
      </c>
      <c r="E1365" s="375" t="s">
        <v>2380</v>
      </c>
      <c r="F1365" s="375" t="s">
        <v>650</v>
      </c>
      <c r="G1365" s="375"/>
      <c r="H1365" s="375"/>
      <c r="I1365" s="63"/>
      <c r="J1365" s="47">
        <f t="shared" si="280"/>
        <v>3740</v>
      </c>
      <c r="K1365" s="46" t="s">
        <v>10735</v>
      </c>
      <c r="L1365" s="47"/>
      <c r="M1365" s="47">
        <f t="shared" si="281"/>
        <v>1430.0000000000002</v>
      </c>
      <c r="N1365" s="47"/>
      <c r="O1365" s="47"/>
      <c r="P1365" s="47"/>
      <c r="Q1365" s="47"/>
      <c r="R1365" s="47"/>
      <c r="S1365" s="47" t="s">
        <v>2279</v>
      </c>
      <c r="T1365" s="47"/>
      <c r="U1365" s="47"/>
      <c r="V1365" s="47"/>
      <c r="W1365" s="47" t="s">
        <v>2366</v>
      </c>
      <c r="X1365" s="47"/>
      <c r="Y1365" s="47"/>
      <c r="Z1365" s="47">
        <f t="shared" si="274"/>
        <v>4620</v>
      </c>
      <c r="AA1365" s="47"/>
      <c r="AB1365" s="47"/>
      <c r="AC1365" s="47"/>
      <c r="AD1365" s="47" t="s">
        <v>1</v>
      </c>
      <c r="AE1365" s="47"/>
      <c r="AF1365" s="47"/>
      <c r="AG1365" s="47"/>
      <c r="AH1365" s="47" t="str">
        <f>IFERROR(_xlfn.XLOOKUP(Table6[[#This Row],[Suburb]],Table5[Travel Surcharge],Table5[$$]),"")</f>
        <v/>
      </c>
      <c r="AI1365" s="47"/>
      <c r="AJ1365" s="47"/>
    </row>
    <row r="1366" spans="1:36">
      <c r="A1366" s="374" t="s">
        <v>2377</v>
      </c>
      <c r="B1366" s="374">
        <v>5</v>
      </c>
      <c r="C1366" s="374" t="s">
        <v>428</v>
      </c>
      <c r="D1366" s="375" t="str">
        <f t="shared" ref="D1366:D1397" si="282">CONCATENATE(A1366,B1366)</f>
        <v>Edgebrook Estate5</v>
      </c>
      <c r="E1366" s="375" t="s">
        <v>2381</v>
      </c>
      <c r="F1366" s="375" t="s">
        <v>650</v>
      </c>
      <c r="G1366" s="375"/>
      <c r="H1366" s="375"/>
      <c r="I1366" s="63"/>
      <c r="J1366" s="47">
        <f t="shared" si="280"/>
        <v>3740</v>
      </c>
      <c r="K1366" s="46" t="s">
        <v>10735</v>
      </c>
      <c r="L1366" s="47"/>
      <c r="M1366" s="47">
        <f t="shared" si="281"/>
        <v>1430.0000000000002</v>
      </c>
      <c r="N1366" s="47"/>
      <c r="O1366" s="47"/>
      <c r="P1366" s="47"/>
      <c r="Q1366" s="47"/>
      <c r="R1366" s="47"/>
      <c r="S1366" s="47" t="s">
        <v>2279</v>
      </c>
      <c r="T1366" s="47"/>
      <c r="U1366" s="47"/>
      <c r="V1366" s="47"/>
      <c r="W1366" s="47" t="s">
        <v>2366</v>
      </c>
      <c r="X1366" s="47"/>
      <c r="Y1366" s="47"/>
      <c r="Z1366" s="47">
        <f t="shared" ref="Z1366:Z1395" si="283">Z$7</f>
        <v>4620</v>
      </c>
      <c r="AA1366" s="47"/>
      <c r="AB1366" s="47"/>
      <c r="AC1366" s="47"/>
      <c r="AD1366" s="47" t="s">
        <v>1</v>
      </c>
      <c r="AE1366" s="47"/>
      <c r="AF1366" s="47"/>
      <c r="AG1366" s="47"/>
      <c r="AH1366" s="47" t="str">
        <f>IFERROR(_xlfn.XLOOKUP(Table6[[#This Row],[Suburb]],Table5[Travel Surcharge],Table5[$$]),"")</f>
        <v/>
      </c>
      <c r="AI1366" s="47"/>
      <c r="AJ1366" s="47"/>
    </row>
    <row r="1367" spans="1:36">
      <c r="A1367" s="374" t="s">
        <v>2377</v>
      </c>
      <c r="B1367" s="374">
        <v>6</v>
      </c>
      <c r="C1367" s="374" t="s">
        <v>428</v>
      </c>
      <c r="D1367" s="375" t="str">
        <f t="shared" si="282"/>
        <v>Edgebrook Estate6</v>
      </c>
      <c r="E1367" s="375" t="s">
        <v>2382</v>
      </c>
      <c r="F1367" s="375" t="s">
        <v>650</v>
      </c>
      <c r="G1367" s="375"/>
      <c r="H1367" s="375"/>
      <c r="I1367" s="63"/>
      <c r="J1367" s="47">
        <f t="shared" si="280"/>
        <v>3740</v>
      </c>
      <c r="K1367" s="46" t="s">
        <v>10735</v>
      </c>
      <c r="L1367" s="47"/>
      <c r="M1367" s="47">
        <f t="shared" si="281"/>
        <v>1430.0000000000002</v>
      </c>
      <c r="N1367" s="47"/>
      <c r="O1367" s="47"/>
      <c r="P1367" s="47"/>
      <c r="Q1367" s="47"/>
      <c r="R1367" s="47"/>
      <c r="S1367" s="47" t="s">
        <v>2279</v>
      </c>
      <c r="T1367" s="47"/>
      <c r="U1367" s="47"/>
      <c r="V1367" s="47"/>
      <c r="W1367" s="47" t="s">
        <v>2366</v>
      </c>
      <c r="X1367" s="47"/>
      <c r="Y1367" s="47"/>
      <c r="Z1367" s="47">
        <f t="shared" si="283"/>
        <v>4620</v>
      </c>
      <c r="AA1367" s="47"/>
      <c r="AB1367" s="47"/>
      <c r="AC1367" s="47"/>
      <c r="AD1367" s="47" t="s">
        <v>1</v>
      </c>
      <c r="AE1367" s="47"/>
      <c r="AF1367" s="47"/>
      <c r="AG1367" s="47"/>
      <c r="AH1367" s="47" t="str">
        <f>IFERROR(_xlfn.XLOOKUP(Table6[[#This Row],[Suburb]],Table5[Travel Surcharge],Table5[$$]),"")</f>
        <v/>
      </c>
      <c r="AI1367" s="47"/>
      <c r="AJ1367" s="47"/>
    </row>
    <row r="1368" spans="1:36">
      <c r="A1368" s="374" t="s">
        <v>2377</v>
      </c>
      <c r="B1368" s="374">
        <v>7</v>
      </c>
      <c r="C1368" s="374" t="s">
        <v>428</v>
      </c>
      <c r="D1368" s="375" t="str">
        <f t="shared" si="282"/>
        <v>Edgebrook Estate7</v>
      </c>
      <c r="E1368" s="375" t="s">
        <v>2382</v>
      </c>
      <c r="F1368" s="375" t="s">
        <v>650</v>
      </c>
      <c r="G1368" s="375"/>
      <c r="H1368" s="375"/>
      <c r="I1368" s="63"/>
      <c r="J1368" s="47">
        <f t="shared" si="280"/>
        <v>3740</v>
      </c>
      <c r="K1368" s="46" t="s">
        <v>10735</v>
      </c>
      <c r="L1368" s="47"/>
      <c r="M1368" s="47">
        <f t="shared" si="281"/>
        <v>1430.0000000000002</v>
      </c>
      <c r="N1368" s="47"/>
      <c r="O1368" s="47"/>
      <c r="P1368" s="47"/>
      <c r="Q1368" s="47"/>
      <c r="R1368" s="47"/>
      <c r="S1368" s="47" t="s">
        <v>2279</v>
      </c>
      <c r="T1368" s="47"/>
      <c r="U1368" s="47"/>
      <c r="V1368" s="47"/>
      <c r="W1368" s="47" t="s">
        <v>2366</v>
      </c>
      <c r="X1368" s="47"/>
      <c r="Y1368" s="47"/>
      <c r="Z1368" s="47">
        <f t="shared" si="283"/>
        <v>4620</v>
      </c>
      <c r="AA1368" s="47"/>
      <c r="AB1368" s="47"/>
      <c r="AC1368" s="47"/>
      <c r="AD1368" s="47" t="s">
        <v>1</v>
      </c>
      <c r="AE1368" s="47"/>
      <c r="AF1368" s="47"/>
      <c r="AG1368" s="47"/>
      <c r="AH1368" s="47" t="str">
        <f>IFERROR(_xlfn.XLOOKUP(Table6[[#This Row],[Suburb]],Table5[Travel Surcharge],Table5[$$]),"")</f>
        <v/>
      </c>
      <c r="AI1368" s="47"/>
      <c r="AJ1368" s="47"/>
    </row>
    <row r="1369" spans="1:36">
      <c r="A1369" s="374" t="s">
        <v>2377</v>
      </c>
      <c r="B1369" s="374">
        <v>8</v>
      </c>
      <c r="C1369" s="374" t="s">
        <v>428</v>
      </c>
      <c r="D1369" s="375" t="str">
        <f t="shared" si="282"/>
        <v>Edgebrook Estate8</v>
      </c>
      <c r="E1369" s="375" t="s">
        <v>2383</v>
      </c>
      <c r="F1369" s="375" t="s">
        <v>650</v>
      </c>
      <c r="G1369" s="375"/>
      <c r="H1369" s="375"/>
      <c r="I1369" s="63"/>
      <c r="J1369" s="47">
        <f t="shared" si="280"/>
        <v>3740</v>
      </c>
      <c r="K1369" s="46" t="s">
        <v>10735</v>
      </c>
      <c r="L1369" s="47"/>
      <c r="M1369" s="47">
        <f t="shared" si="281"/>
        <v>1430.0000000000002</v>
      </c>
      <c r="N1369" s="47"/>
      <c r="O1369" s="47"/>
      <c r="P1369" s="47"/>
      <c r="Q1369" s="47"/>
      <c r="R1369" s="47"/>
      <c r="S1369" s="47" t="s">
        <v>2279</v>
      </c>
      <c r="T1369" s="47"/>
      <c r="U1369" s="47"/>
      <c r="V1369" s="47"/>
      <c r="W1369" s="47" t="s">
        <v>2366</v>
      </c>
      <c r="X1369" s="47"/>
      <c r="Y1369" s="47"/>
      <c r="Z1369" s="47">
        <f t="shared" si="283"/>
        <v>4620</v>
      </c>
      <c r="AA1369" s="47"/>
      <c r="AB1369" s="47"/>
      <c r="AC1369" s="47"/>
      <c r="AD1369" s="47" t="s">
        <v>1</v>
      </c>
      <c r="AE1369" s="47"/>
      <c r="AF1369" s="47"/>
      <c r="AG1369" s="47"/>
      <c r="AH1369" s="47" t="str">
        <f>IFERROR(_xlfn.XLOOKUP(Table6[[#This Row],[Suburb]],Table5[Travel Surcharge],Table5[$$]),"")</f>
        <v/>
      </c>
      <c r="AI1369" s="47"/>
      <c r="AJ1369" s="47"/>
    </row>
    <row r="1370" spans="1:36">
      <c r="A1370" s="374" t="s">
        <v>2377</v>
      </c>
      <c r="B1370" s="374">
        <v>9</v>
      </c>
      <c r="C1370" s="374" t="s">
        <v>428</v>
      </c>
      <c r="D1370" s="375" t="str">
        <f t="shared" si="282"/>
        <v>Edgebrook Estate9</v>
      </c>
      <c r="E1370" s="375" t="s">
        <v>2384</v>
      </c>
      <c r="F1370" s="375" t="s">
        <v>650</v>
      </c>
      <c r="G1370" s="375"/>
      <c r="H1370" s="375"/>
      <c r="I1370" s="63"/>
      <c r="J1370" s="47">
        <f t="shared" si="280"/>
        <v>3740</v>
      </c>
      <c r="K1370" s="46" t="s">
        <v>10735</v>
      </c>
      <c r="L1370" s="47"/>
      <c r="M1370" s="47">
        <f t="shared" si="281"/>
        <v>1430.0000000000002</v>
      </c>
      <c r="N1370" s="47"/>
      <c r="O1370" s="47"/>
      <c r="P1370" s="47"/>
      <c r="Q1370" s="47"/>
      <c r="R1370" s="47"/>
      <c r="S1370" s="47" t="s">
        <v>2279</v>
      </c>
      <c r="T1370" s="47"/>
      <c r="U1370" s="47"/>
      <c r="V1370" s="47"/>
      <c r="W1370" s="47" t="s">
        <v>2366</v>
      </c>
      <c r="X1370" s="47"/>
      <c r="Y1370" s="47"/>
      <c r="Z1370" s="47">
        <f t="shared" si="283"/>
        <v>4620</v>
      </c>
      <c r="AA1370" s="47"/>
      <c r="AB1370" s="47"/>
      <c r="AC1370" s="47"/>
      <c r="AD1370" s="47" t="s">
        <v>1</v>
      </c>
      <c r="AE1370" s="47"/>
      <c r="AF1370" s="47"/>
      <c r="AG1370" s="47"/>
      <c r="AH1370" s="47" t="str">
        <f>IFERROR(_xlfn.XLOOKUP(Table6[[#This Row],[Suburb]],Table5[Travel Surcharge],Table5[$$]),"")</f>
        <v/>
      </c>
      <c r="AI1370" s="47"/>
      <c r="AJ1370" s="47"/>
    </row>
    <row r="1371" spans="1:36">
      <c r="A1371" s="374" t="s">
        <v>2377</v>
      </c>
      <c r="B1371" s="374">
        <v>10</v>
      </c>
      <c r="C1371" s="374" t="s">
        <v>428</v>
      </c>
      <c r="D1371" s="375" t="str">
        <f t="shared" si="282"/>
        <v>Edgebrook Estate10</v>
      </c>
      <c r="E1371" s="375" t="s">
        <v>2385</v>
      </c>
      <c r="F1371" s="375" t="s">
        <v>650</v>
      </c>
      <c r="G1371" s="375"/>
      <c r="H1371" s="375"/>
      <c r="I1371" s="63"/>
      <c r="J1371" s="47">
        <f t="shared" si="280"/>
        <v>3740</v>
      </c>
      <c r="K1371" s="46" t="s">
        <v>10735</v>
      </c>
      <c r="L1371" s="47"/>
      <c r="M1371" s="47">
        <f t="shared" si="281"/>
        <v>1430.0000000000002</v>
      </c>
      <c r="N1371" s="47"/>
      <c r="O1371" s="47"/>
      <c r="P1371" s="47"/>
      <c r="Q1371" s="47"/>
      <c r="R1371" s="47"/>
      <c r="S1371" s="47" t="s">
        <v>2279</v>
      </c>
      <c r="T1371" s="47"/>
      <c r="U1371" s="47"/>
      <c r="V1371" s="47"/>
      <c r="W1371" s="47" t="s">
        <v>2366</v>
      </c>
      <c r="X1371" s="47"/>
      <c r="Y1371" s="47"/>
      <c r="Z1371" s="47">
        <f t="shared" si="283"/>
        <v>4620</v>
      </c>
      <c r="AA1371" s="47"/>
      <c r="AB1371" s="47"/>
      <c r="AC1371" s="47"/>
      <c r="AD1371" s="47" t="s">
        <v>1</v>
      </c>
      <c r="AE1371" s="47"/>
      <c r="AF1371" s="47"/>
      <c r="AG1371" s="47"/>
      <c r="AH1371" s="47" t="str">
        <f>IFERROR(_xlfn.XLOOKUP(Table6[[#This Row],[Suburb]],Table5[Travel Surcharge],Table5[$$]),"")</f>
        <v/>
      </c>
      <c r="AI1371" s="47"/>
      <c r="AJ1371" s="47"/>
    </row>
    <row r="1372" spans="1:36">
      <c r="A1372" s="374" t="s">
        <v>2377</v>
      </c>
      <c r="B1372" s="374">
        <v>14</v>
      </c>
      <c r="C1372" s="374" t="s">
        <v>428</v>
      </c>
      <c r="D1372" s="375" t="str">
        <f t="shared" si="282"/>
        <v>Edgebrook Estate14</v>
      </c>
      <c r="E1372" s="375" t="s">
        <v>2386</v>
      </c>
      <c r="F1372" s="375" t="s">
        <v>650</v>
      </c>
      <c r="G1372" s="375"/>
      <c r="H1372" s="375"/>
      <c r="I1372" s="63"/>
      <c r="J1372" s="47">
        <f t="shared" si="280"/>
        <v>3740</v>
      </c>
      <c r="K1372" s="46" t="s">
        <v>10735</v>
      </c>
      <c r="L1372" s="47"/>
      <c r="M1372" s="47">
        <f t="shared" si="281"/>
        <v>1430.0000000000002</v>
      </c>
      <c r="N1372" s="47"/>
      <c r="O1372" s="47"/>
      <c r="P1372" s="47"/>
      <c r="Q1372" s="47"/>
      <c r="R1372" s="47"/>
      <c r="S1372" s="47" t="s">
        <v>2279</v>
      </c>
      <c r="T1372" s="47"/>
      <c r="U1372" s="47"/>
      <c r="V1372" s="47"/>
      <c r="W1372" s="47" t="s">
        <v>2366</v>
      </c>
      <c r="X1372" s="47"/>
      <c r="Y1372" s="47"/>
      <c r="Z1372" s="47">
        <f t="shared" si="283"/>
        <v>4620</v>
      </c>
      <c r="AA1372" s="47"/>
      <c r="AB1372" s="47"/>
      <c r="AC1372" s="47"/>
      <c r="AD1372" s="47" t="s">
        <v>1</v>
      </c>
      <c r="AE1372" s="47"/>
      <c r="AF1372" s="47"/>
      <c r="AG1372" s="47"/>
      <c r="AH1372" s="47" t="str">
        <f>IFERROR(_xlfn.XLOOKUP(Table6[[#This Row],[Suburb]],Table5[Travel Surcharge],Table5[$$]),"")</f>
        <v/>
      </c>
      <c r="AI1372" s="47"/>
      <c r="AJ1372" s="47"/>
    </row>
    <row r="1373" spans="1:36">
      <c r="A1373" s="374" t="s">
        <v>2377</v>
      </c>
      <c r="B1373" s="374">
        <v>15</v>
      </c>
      <c r="C1373" s="374" t="s">
        <v>428</v>
      </c>
      <c r="D1373" s="375" t="str">
        <f t="shared" si="282"/>
        <v>Edgebrook Estate15</v>
      </c>
      <c r="E1373" s="375" t="s">
        <v>2388</v>
      </c>
      <c r="F1373" s="375" t="s">
        <v>650</v>
      </c>
      <c r="G1373" s="375"/>
      <c r="H1373" s="375"/>
      <c r="I1373" s="63"/>
      <c r="J1373" s="47">
        <f t="shared" si="280"/>
        <v>3740</v>
      </c>
      <c r="K1373" s="46" t="s">
        <v>10735</v>
      </c>
      <c r="L1373" s="47"/>
      <c r="M1373" s="47">
        <f t="shared" si="281"/>
        <v>1430.0000000000002</v>
      </c>
      <c r="N1373" s="47"/>
      <c r="O1373" s="47"/>
      <c r="P1373" s="47"/>
      <c r="Q1373" s="47"/>
      <c r="R1373" s="47"/>
      <c r="S1373" s="47" t="s">
        <v>2279</v>
      </c>
      <c r="T1373" s="47"/>
      <c r="U1373" s="47"/>
      <c r="V1373" s="47"/>
      <c r="W1373" s="47" t="s">
        <v>2366</v>
      </c>
      <c r="X1373" s="47"/>
      <c r="Y1373" s="47"/>
      <c r="Z1373" s="47">
        <f t="shared" si="283"/>
        <v>4620</v>
      </c>
      <c r="AA1373" s="47"/>
      <c r="AB1373" s="47"/>
      <c r="AC1373" s="47"/>
      <c r="AD1373" s="47" t="s">
        <v>1</v>
      </c>
      <c r="AE1373" s="47"/>
      <c r="AF1373" s="47"/>
      <c r="AG1373" s="47"/>
      <c r="AH1373" s="47" t="str">
        <f>IFERROR(_xlfn.XLOOKUP(Table6[[#This Row],[Suburb]],Table5[Travel Surcharge],Table5[$$]),"")</f>
        <v/>
      </c>
      <c r="AI1373" s="47"/>
      <c r="AJ1373" s="47"/>
    </row>
    <row r="1374" spans="1:36">
      <c r="A1374" s="374" t="s">
        <v>2377</v>
      </c>
      <c r="B1374" s="374" t="s">
        <v>2191</v>
      </c>
      <c r="C1374" s="374" t="s">
        <v>428</v>
      </c>
      <c r="D1374" s="375" t="str">
        <f t="shared" si="282"/>
        <v>Edgebrook Estate14A</v>
      </c>
      <c r="E1374" s="375" t="s">
        <v>2387</v>
      </c>
      <c r="F1374" s="375" t="s">
        <v>650</v>
      </c>
      <c r="G1374" s="375"/>
      <c r="H1374" s="375"/>
      <c r="I1374" s="63"/>
      <c r="J1374" s="47">
        <f t="shared" si="280"/>
        <v>3740</v>
      </c>
      <c r="K1374" s="46" t="s">
        <v>10735</v>
      </c>
      <c r="L1374" s="47"/>
      <c r="M1374" s="47">
        <f t="shared" si="281"/>
        <v>1430.0000000000002</v>
      </c>
      <c r="N1374" s="47"/>
      <c r="O1374" s="47"/>
      <c r="P1374" s="47"/>
      <c r="Q1374" s="47"/>
      <c r="R1374" s="47"/>
      <c r="S1374" s="47" t="s">
        <v>2279</v>
      </c>
      <c r="T1374" s="47"/>
      <c r="U1374" s="47"/>
      <c r="V1374" s="47"/>
      <c r="W1374" s="47" t="s">
        <v>2366</v>
      </c>
      <c r="X1374" s="47"/>
      <c r="Y1374" s="47"/>
      <c r="Z1374" s="47">
        <f t="shared" si="283"/>
        <v>4620</v>
      </c>
      <c r="AA1374" s="47"/>
      <c r="AB1374" s="47"/>
      <c r="AC1374" s="47"/>
      <c r="AD1374" s="47" t="s">
        <v>1</v>
      </c>
      <c r="AE1374" s="47"/>
      <c r="AF1374" s="47"/>
      <c r="AG1374" s="47"/>
      <c r="AH1374" s="47" t="str">
        <f>IFERROR(_xlfn.XLOOKUP(Table6[[#This Row],[Suburb]],Table5[Travel Surcharge],Table5[$$]),"")</f>
        <v/>
      </c>
      <c r="AI1374" s="47"/>
      <c r="AJ1374" s="47"/>
    </row>
    <row r="1375" spans="1:36">
      <c r="A1375" s="374" t="s">
        <v>2377</v>
      </c>
      <c r="B1375" s="374" t="s">
        <v>1936</v>
      </c>
      <c r="C1375" s="374" t="s">
        <v>428</v>
      </c>
      <c r="D1375" s="375" t="str">
        <f t="shared" si="282"/>
        <v>Edgebrook Estate15A</v>
      </c>
      <c r="E1375" s="375" t="s">
        <v>2389</v>
      </c>
      <c r="F1375" s="375" t="s">
        <v>650</v>
      </c>
      <c r="G1375" s="375"/>
      <c r="H1375" s="375"/>
      <c r="I1375" s="63"/>
      <c r="J1375" s="47">
        <f t="shared" si="280"/>
        <v>3740</v>
      </c>
      <c r="K1375" s="46" t="s">
        <v>10735</v>
      </c>
      <c r="L1375" s="47"/>
      <c r="M1375" s="47">
        <f t="shared" si="281"/>
        <v>1430.0000000000002</v>
      </c>
      <c r="N1375" s="47"/>
      <c r="O1375" s="47"/>
      <c r="P1375" s="47"/>
      <c r="Q1375" s="47"/>
      <c r="R1375" s="47"/>
      <c r="S1375" s="47" t="s">
        <v>2279</v>
      </c>
      <c r="T1375" s="47"/>
      <c r="U1375" s="47"/>
      <c r="V1375" s="47"/>
      <c r="W1375" s="47" t="s">
        <v>2366</v>
      </c>
      <c r="X1375" s="47"/>
      <c r="Y1375" s="47"/>
      <c r="Z1375" s="47">
        <f t="shared" si="283"/>
        <v>4620</v>
      </c>
      <c r="AA1375" s="47"/>
      <c r="AB1375" s="47"/>
      <c r="AC1375" s="47"/>
      <c r="AD1375" s="47" t="s">
        <v>1</v>
      </c>
      <c r="AE1375" s="47"/>
      <c r="AF1375" s="47"/>
      <c r="AG1375" s="47"/>
      <c r="AH1375" s="47" t="str">
        <f>IFERROR(_xlfn.XLOOKUP(Table6[[#This Row],[Suburb]],Table5[Travel Surcharge],Table5[$$]),"")</f>
        <v/>
      </c>
      <c r="AI1375" s="47"/>
      <c r="AJ1375" s="47"/>
    </row>
    <row r="1376" spans="1:36">
      <c r="A1376" s="374" t="s">
        <v>2377</v>
      </c>
      <c r="B1376" s="374"/>
      <c r="C1376" s="374" t="s">
        <v>428</v>
      </c>
      <c r="D1376" s="375" t="str">
        <f t="shared" si="282"/>
        <v>Edgebrook Estate</v>
      </c>
      <c r="E1376" s="375"/>
      <c r="F1376" s="375" t="s">
        <v>650</v>
      </c>
      <c r="G1376" s="375"/>
      <c r="H1376" s="375"/>
      <c r="I1376" s="63"/>
      <c r="J1376" s="47">
        <f t="shared" si="280"/>
        <v>3740</v>
      </c>
      <c r="K1376" s="46" t="s">
        <v>10735</v>
      </c>
      <c r="L1376" s="47"/>
      <c r="M1376" s="47">
        <f t="shared" si="281"/>
        <v>1430.0000000000002</v>
      </c>
      <c r="N1376" s="47"/>
      <c r="O1376" s="47"/>
      <c r="P1376" s="47"/>
      <c r="Q1376" s="47"/>
      <c r="R1376" s="47"/>
      <c r="S1376" s="47" t="s">
        <v>2279</v>
      </c>
      <c r="T1376" s="47"/>
      <c r="U1376" s="47"/>
      <c r="V1376" s="47"/>
      <c r="W1376" s="47" t="s">
        <v>2366</v>
      </c>
      <c r="X1376" s="47"/>
      <c r="Y1376" s="47"/>
      <c r="Z1376" s="47">
        <f t="shared" si="283"/>
        <v>4620</v>
      </c>
      <c r="AA1376" s="47"/>
      <c r="AB1376" s="47"/>
      <c r="AC1376" s="47"/>
      <c r="AD1376" s="47" t="s">
        <v>1</v>
      </c>
      <c r="AE1376" s="47"/>
      <c r="AF1376" s="47"/>
      <c r="AG1376" s="47"/>
      <c r="AH1376" s="47" t="str">
        <f>IFERROR(_xlfn.XLOOKUP(Table6[[#This Row],[Suburb]],Table5[Travel Surcharge],Table5[$$]),"")</f>
        <v/>
      </c>
      <c r="AI1376" s="47"/>
      <c r="AJ1376" s="47"/>
    </row>
    <row r="1377" spans="1:36">
      <c r="A1377" s="374" t="s">
        <v>2390</v>
      </c>
      <c r="B1377" s="374">
        <v>1</v>
      </c>
      <c r="C1377" s="374" t="s">
        <v>2391</v>
      </c>
      <c r="D1377" s="375" t="str">
        <f t="shared" si="282"/>
        <v>Edgeleigh Estate1</v>
      </c>
      <c r="E1377" s="375" t="s">
        <v>2392</v>
      </c>
      <c r="F1377" s="375" t="s">
        <v>2393</v>
      </c>
      <c r="G1377" s="375"/>
      <c r="H1377" s="375"/>
      <c r="I1377" s="63"/>
      <c r="J1377" s="47">
        <f t="shared" si="280"/>
        <v>3740</v>
      </c>
      <c r="K1377" s="46" t="s">
        <v>10735</v>
      </c>
      <c r="L1377" s="47"/>
      <c r="M1377" s="47"/>
      <c r="N1377" s="47" t="s">
        <v>2394</v>
      </c>
      <c r="O1377" s="47" t="s">
        <v>2395</v>
      </c>
      <c r="P1377" s="47" t="s">
        <v>2396</v>
      </c>
      <c r="Q1377" s="47"/>
      <c r="R1377" s="47"/>
      <c r="S1377" s="47" t="s">
        <v>2397</v>
      </c>
      <c r="T1377" s="47"/>
      <c r="U1377" s="47"/>
      <c r="V1377" s="47"/>
      <c r="W1377" s="47"/>
      <c r="X1377" s="47"/>
      <c r="Y1377" s="47"/>
      <c r="Z1377" s="47">
        <f t="shared" si="283"/>
        <v>4620</v>
      </c>
      <c r="AA1377" s="47"/>
      <c r="AB1377" s="47"/>
      <c r="AC1377" s="47"/>
      <c r="AD1377" s="47"/>
      <c r="AE1377" s="47"/>
      <c r="AF1377" s="47">
        <f>AF$7</f>
        <v>1485</v>
      </c>
      <c r="AG1377" s="47"/>
      <c r="AH1377" s="47" t="str">
        <f>IFERROR(_xlfn.XLOOKUP(Table6[[#This Row],[Suburb]],Table5[Travel Surcharge],Table5[$$]),"")</f>
        <v/>
      </c>
      <c r="AI1377" s="47"/>
      <c r="AJ1377" s="47"/>
    </row>
    <row r="1378" spans="1:36">
      <c r="A1378" s="374" t="s">
        <v>2398</v>
      </c>
      <c r="B1378" s="374">
        <v>1</v>
      </c>
      <c r="C1378" s="374" t="s">
        <v>1538</v>
      </c>
      <c r="D1378" s="375" t="str">
        <f t="shared" si="282"/>
        <v>Elana Place Estate1</v>
      </c>
      <c r="E1378" s="375" t="s">
        <v>2399</v>
      </c>
      <c r="F1378" s="375" t="s">
        <v>1155</v>
      </c>
      <c r="G1378" s="375" t="s">
        <v>1675</v>
      </c>
      <c r="H1378" s="375" t="s">
        <v>1676</v>
      </c>
      <c r="I1378" s="63"/>
      <c r="J1378" s="47">
        <f t="shared" si="280"/>
        <v>3740</v>
      </c>
      <c r="K1378" s="46" t="s">
        <v>10735</v>
      </c>
      <c r="L1378" s="47">
        <f t="shared" ref="L1378:L1395" si="284">L$7</f>
        <v>1210</v>
      </c>
      <c r="M1378" s="47"/>
      <c r="N1378" s="47"/>
      <c r="O1378" s="47" t="s">
        <v>2400</v>
      </c>
      <c r="P1378" s="47" t="s">
        <v>498</v>
      </c>
      <c r="Q1378" s="47" t="s">
        <v>2401</v>
      </c>
      <c r="R1378" s="47"/>
      <c r="S1378" s="47"/>
      <c r="T1378" s="47"/>
      <c r="U1378" s="47">
        <f t="shared" ref="U1378:U1401" si="285">U$2</f>
        <v>430</v>
      </c>
      <c r="V1378" s="47"/>
      <c r="W1378" s="47"/>
      <c r="X1378" s="47"/>
      <c r="Y1378" s="47"/>
      <c r="Z1378" s="47">
        <f t="shared" si="283"/>
        <v>4620</v>
      </c>
      <c r="AA1378" s="47">
        <f>AA$7</f>
        <v>1400</v>
      </c>
      <c r="AB1378" s="47"/>
      <c r="AC1378" s="47"/>
      <c r="AD1378" s="47"/>
      <c r="AE1378" s="47"/>
      <c r="AF1378" s="47">
        <f>AF$7</f>
        <v>1485</v>
      </c>
      <c r="AG1378" s="47"/>
      <c r="AH1378" s="47" t="str">
        <f>IFERROR(_xlfn.XLOOKUP(Table6[[#This Row],[Suburb]],Table5[Travel Surcharge],Table5[$$]),"")</f>
        <v/>
      </c>
      <c r="AI1378" s="47"/>
      <c r="AJ1378" s="47"/>
    </row>
    <row r="1379" spans="1:36">
      <c r="A1379" s="374" t="s">
        <v>2398</v>
      </c>
      <c r="B1379" s="374">
        <v>2</v>
      </c>
      <c r="C1379" s="374" t="s">
        <v>1538</v>
      </c>
      <c r="D1379" s="375" t="str">
        <f t="shared" si="282"/>
        <v>Elana Place Estate2</v>
      </c>
      <c r="E1379" s="375" t="s">
        <v>2402</v>
      </c>
      <c r="F1379" s="375" t="s">
        <v>1155</v>
      </c>
      <c r="G1379" s="375" t="s">
        <v>1675</v>
      </c>
      <c r="H1379" s="375" t="s">
        <v>1676</v>
      </c>
      <c r="I1379" s="63"/>
      <c r="J1379" s="47">
        <f t="shared" si="280"/>
        <v>3740</v>
      </c>
      <c r="K1379" s="46" t="s">
        <v>10735</v>
      </c>
      <c r="L1379" s="47">
        <f t="shared" si="284"/>
        <v>1210</v>
      </c>
      <c r="M1379" s="47"/>
      <c r="N1379" s="47"/>
      <c r="O1379" s="47" t="s">
        <v>2400</v>
      </c>
      <c r="P1379" s="47" t="s">
        <v>498</v>
      </c>
      <c r="Q1379" s="47" t="s">
        <v>2401</v>
      </c>
      <c r="R1379" s="47"/>
      <c r="S1379" s="47"/>
      <c r="T1379" s="47"/>
      <c r="U1379" s="47">
        <f t="shared" si="285"/>
        <v>430</v>
      </c>
      <c r="V1379" s="47"/>
      <c r="W1379" s="47"/>
      <c r="X1379" s="47"/>
      <c r="Y1379" s="47"/>
      <c r="Z1379" s="47">
        <f t="shared" si="283"/>
        <v>4620</v>
      </c>
      <c r="AA1379" s="47">
        <f>AA$7</f>
        <v>1400</v>
      </c>
      <c r="AB1379" s="47"/>
      <c r="AC1379" s="47"/>
      <c r="AD1379" s="47"/>
      <c r="AE1379" s="47"/>
      <c r="AF1379" s="47">
        <f>AF$7</f>
        <v>1485</v>
      </c>
      <c r="AG1379" s="47"/>
      <c r="AH1379" s="47" t="str">
        <f>IFERROR(_xlfn.XLOOKUP(Table6[[#This Row],[Suburb]],Table5[Travel Surcharge],Table5[$$]),"")</f>
        <v/>
      </c>
      <c r="AI1379" s="47"/>
      <c r="AJ1379" s="47"/>
    </row>
    <row r="1380" spans="1:36">
      <c r="A1380" s="374" t="s">
        <v>2403</v>
      </c>
      <c r="B1380" s="374">
        <v>4</v>
      </c>
      <c r="C1380" s="374" t="s">
        <v>538</v>
      </c>
      <c r="D1380" s="375" t="str">
        <f t="shared" si="282"/>
        <v>Elements Estate4</v>
      </c>
      <c r="E1380" s="375" t="s">
        <v>2404</v>
      </c>
      <c r="F1380" s="375" t="s">
        <v>1428</v>
      </c>
      <c r="G1380" s="375" t="s">
        <v>2405</v>
      </c>
      <c r="H1380" s="375" t="s">
        <v>2406</v>
      </c>
      <c r="I1380" s="63" t="s">
        <v>2407</v>
      </c>
      <c r="J1380" s="47">
        <f t="shared" si="280"/>
        <v>3740</v>
      </c>
      <c r="K1380" s="46" t="s">
        <v>10735</v>
      </c>
      <c r="L1380" s="47">
        <f t="shared" si="284"/>
        <v>1210</v>
      </c>
      <c r="M1380" s="47"/>
      <c r="N1380" s="47"/>
      <c r="O1380" s="47"/>
      <c r="P1380" s="47"/>
      <c r="Q1380" s="47"/>
      <c r="R1380" s="47"/>
      <c r="S1380" s="47"/>
      <c r="T1380" s="47"/>
      <c r="U1380" s="47">
        <f t="shared" si="285"/>
        <v>430</v>
      </c>
      <c r="V1380" s="47"/>
      <c r="W1380" s="47"/>
      <c r="X1380" s="47"/>
      <c r="Y1380" s="47"/>
      <c r="Z1380" s="47">
        <f t="shared" si="283"/>
        <v>4620</v>
      </c>
      <c r="AA1380" s="47"/>
      <c r="AB1380" s="47"/>
      <c r="AC1380" s="47"/>
      <c r="AD1380" s="47"/>
      <c r="AE1380" s="47"/>
      <c r="AF1380" s="47"/>
      <c r="AG1380" s="47"/>
      <c r="AH1380" s="47" t="str">
        <f>IFERROR(_xlfn.XLOOKUP(Table6[[#This Row],[Suburb]],Table5[Travel Surcharge],Table5[$$]),"")</f>
        <v/>
      </c>
      <c r="AI1380" s="47"/>
      <c r="AJ1380" s="47"/>
    </row>
    <row r="1381" spans="1:36">
      <c r="A1381" s="374" t="s">
        <v>2403</v>
      </c>
      <c r="B1381" s="374">
        <v>5</v>
      </c>
      <c r="C1381" s="374" t="s">
        <v>538</v>
      </c>
      <c r="D1381" s="375" t="str">
        <f t="shared" si="282"/>
        <v>Elements Estate5</v>
      </c>
      <c r="E1381" s="375" t="s">
        <v>2408</v>
      </c>
      <c r="F1381" s="375" t="s">
        <v>1428</v>
      </c>
      <c r="G1381" s="375" t="s">
        <v>2405</v>
      </c>
      <c r="H1381" s="375" t="s">
        <v>2406</v>
      </c>
      <c r="I1381" s="63" t="s">
        <v>2407</v>
      </c>
      <c r="J1381" s="47">
        <f t="shared" si="280"/>
        <v>3740</v>
      </c>
      <c r="K1381" s="46" t="s">
        <v>10735</v>
      </c>
      <c r="L1381" s="47">
        <f t="shared" si="284"/>
        <v>1210</v>
      </c>
      <c r="M1381" s="47"/>
      <c r="N1381" s="47"/>
      <c r="O1381" s="47"/>
      <c r="P1381" s="47"/>
      <c r="Q1381" s="47"/>
      <c r="R1381" s="47"/>
      <c r="S1381" s="47"/>
      <c r="T1381" s="47"/>
      <c r="U1381" s="47">
        <f t="shared" si="285"/>
        <v>430</v>
      </c>
      <c r="V1381" s="47"/>
      <c r="W1381" s="47"/>
      <c r="X1381" s="47"/>
      <c r="Y1381" s="47"/>
      <c r="Z1381" s="47">
        <f t="shared" si="283"/>
        <v>4620</v>
      </c>
      <c r="AA1381" s="47"/>
      <c r="AB1381" s="47"/>
      <c r="AC1381" s="47"/>
      <c r="AD1381" s="47"/>
      <c r="AE1381" s="47"/>
      <c r="AF1381" s="47"/>
      <c r="AG1381" s="47"/>
      <c r="AH1381" s="47" t="str">
        <f>IFERROR(_xlfn.XLOOKUP(Table6[[#This Row],[Suburb]],Table5[Travel Surcharge],Table5[$$]),"")</f>
        <v/>
      </c>
      <c r="AI1381" s="47"/>
      <c r="AJ1381" s="47"/>
    </row>
    <row r="1382" spans="1:36">
      <c r="A1382" s="374" t="s">
        <v>2403</v>
      </c>
      <c r="B1382" s="374">
        <v>6</v>
      </c>
      <c r="C1382" s="374" t="s">
        <v>538</v>
      </c>
      <c r="D1382" s="375" t="str">
        <f t="shared" si="282"/>
        <v>Elements Estate6</v>
      </c>
      <c r="E1382" s="375" t="s">
        <v>2409</v>
      </c>
      <c r="F1382" s="375" t="s">
        <v>1428</v>
      </c>
      <c r="G1382" s="375" t="s">
        <v>2405</v>
      </c>
      <c r="H1382" s="375" t="s">
        <v>2406</v>
      </c>
      <c r="I1382" s="63" t="s">
        <v>2407</v>
      </c>
      <c r="J1382" s="47">
        <f t="shared" si="280"/>
        <v>3740</v>
      </c>
      <c r="K1382" s="46" t="s">
        <v>10735</v>
      </c>
      <c r="L1382" s="47">
        <f t="shared" si="284"/>
        <v>1210</v>
      </c>
      <c r="M1382" s="47"/>
      <c r="N1382" s="47"/>
      <c r="O1382" s="47"/>
      <c r="P1382" s="47"/>
      <c r="Q1382" s="47"/>
      <c r="R1382" s="47"/>
      <c r="S1382" s="47"/>
      <c r="T1382" s="47"/>
      <c r="U1382" s="47">
        <f t="shared" si="285"/>
        <v>430</v>
      </c>
      <c r="V1382" s="47"/>
      <c r="W1382" s="47"/>
      <c r="X1382" s="47"/>
      <c r="Y1382" s="47"/>
      <c r="Z1382" s="47">
        <f t="shared" si="283"/>
        <v>4620</v>
      </c>
      <c r="AA1382" s="47"/>
      <c r="AB1382" s="47"/>
      <c r="AC1382" s="47"/>
      <c r="AD1382" s="47"/>
      <c r="AE1382" s="47"/>
      <c r="AF1382" s="47"/>
      <c r="AG1382" s="47"/>
      <c r="AH1382" s="47" t="str">
        <f>IFERROR(_xlfn.XLOOKUP(Table6[[#This Row],[Suburb]],Table5[Travel Surcharge],Table5[$$]),"")</f>
        <v/>
      </c>
      <c r="AI1382" s="47"/>
      <c r="AJ1382" s="47"/>
    </row>
    <row r="1383" spans="1:36">
      <c r="A1383" s="374" t="s">
        <v>2403</v>
      </c>
      <c r="B1383" s="374">
        <v>8</v>
      </c>
      <c r="C1383" s="374" t="s">
        <v>538</v>
      </c>
      <c r="D1383" s="375" t="str">
        <f t="shared" si="282"/>
        <v>Elements Estate8</v>
      </c>
      <c r="E1383" s="375" t="s">
        <v>2410</v>
      </c>
      <c r="F1383" s="375" t="s">
        <v>1428</v>
      </c>
      <c r="G1383" s="375" t="s">
        <v>2405</v>
      </c>
      <c r="H1383" s="375" t="s">
        <v>2406</v>
      </c>
      <c r="I1383" s="63" t="s">
        <v>2407</v>
      </c>
      <c r="J1383" s="47">
        <f t="shared" si="280"/>
        <v>3740</v>
      </c>
      <c r="K1383" s="46" t="s">
        <v>10735</v>
      </c>
      <c r="L1383" s="47">
        <f t="shared" si="284"/>
        <v>1210</v>
      </c>
      <c r="M1383" s="47"/>
      <c r="N1383" s="47"/>
      <c r="O1383" s="47"/>
      <c r="P1383" s="47"/>
      <c r="Q1383" s="47"/>
      <c r="R1383" s="47"/>
      <c r="S1383" s="47"/>
      <c r="T1383" s="47"/>
      <c r="U1383" s="47">
        <f t="shared" si="285"/>
        <v>430</v>
      </c>
      <c r="V1383" s="47"/>
      <c r="W1383" s="47"/>
      <c r="X1383" s="47"/>
      <c r="Y1383" s="47"/>
      <c r="Z1383" s="47">
        <f t="shared" si="283"/>
        <v>4620</v>
      </c>
      <c r="AA1383" s="47"/>
      <c r="AB1383" s="47"/>
      <c r="AC1383" s="47"/>
      <c r="AD1383" s="47"/>
      <c r="AE1383" s="47"/>
      <c r="AF1383" s="47"/>
      <c r="AG1383" s="47"/>
      <c r="AH1383" s="47" t="str">
        <f>IFERROR(_xlfn.XLOOKUP(Table6[[#This Row],[Suburb]],Table5[Travel Surcharge],Table5[$$]),"")</f>
        <v/>
      </c>
      <c r="AI1383" s="47"/>
      <c r="AJ1383" s="47"/>
    </row>
    <row r="1384" spans="1:36">
      <c r="A1384" s="374" t="s">
        <v>2403</v>
      </c>
      <c r="B1384" s="374">
        <v>10</v>
      </c>
      <c r="C1384" s="374" t="s">
        <v>538</v>
      </c>
      <c r="D1384" s="375" t="str">
        <f t="shared" si="282"/>
        <v>Elements Estate10</v>
      </c>
      <c r="E1384" s="375" t="s">
        <v>2411</v>
      </c>
      <c r="F1384" s="375" t="s">
        <v>1428</v>
      </c>
      <c r="G1384" s="375" t="s">
        <v>2405</v>
      </c>
      <c r="H1384" s="375" t="s">
        <v>2406</v>
      </c>
      <c r="I1384" s="63" t="s">
        <v>2407</v>
      </c>
      <c r="J1384" s="47">
        <f t="shared" si="280"/>
        <v>3740</v>
      </c>
      <c r="K1384" s="46" t="s">
        <v>10735</v>
      </c>
      <c r="L1384" s="47">
        <f t="shared" si="284"/>
        <v>1210</v>
      </c>
      <c r="M1384" s="47"/>
      <c r="N1384" s="47"/>
      <c r="O1384" s="47"/>
      <c r="P1384" s="47"/>
      <c r="Q1384" s="47"/>
      <c r="R1384" s="47"/>
      <c r="S1384" s="47"/>
      <c r="T1384" s="47"/>
      <c r="U1384" s="47">
        <f t="shared" si="285"/>
        <v>430</v>
      </c>
      <c r="V1384" s="47"/>
      <c r="W1384" s="47"/>
      <c r="X1384" s="47"/>
      <c r="Y1384" s="47"/>
      <c r="Z1384" s="47">
        <f t="shared" si="283"/>
        <v>4620</v>
      </c>
      <c r="AA1384" s="47"/>
      <c r="AB1384" s="47"/>
      <c r="AC1384" s="47"/>
      <c r="AD1384" s="47"/>
      <c r="AE1384" s="47"/>
      <c r="AF1384" s="47"/>
      <c r="AG1384" s="47"/>
      <c r="AH1384" s="47" t="str">
        <f>IFERROR(_xlfn.XLOOKUP(Table6[[#This Row],[Suburb]],Table5[Travel Surcharge],Table5[$$]),"")</f>
        <v/>
      </c>
      <c r="AI1384" s="47"/>
      <c r="AJ1384" s="47"/>
    </row>
    <row r="1385" spans="1:36">
      <c r="A1385" s="374" t="s">
        <v>2403</v>
      </c>
      <c r="B1385" s="374">
        <v>11</v>
      </c>
      <c r="C1385" s="374" t="s">
        <v>538</v>
      </c>
      <c r="D1385" s="375" t="str">
        <f t="shared" si="282"/>
        <v>Elements Estate11</v>
      </c>
      <c r="E1385" s="375" t="s">
        <v>2412</v>
      </c>
      <c r="F1385" s="375" t="s">
        <v>1428</v>
      </c>
      <c r="G1385" s="375" t="s">
        <v>2405</v>
      </c>
      <c r="H1385" s="375" t="s">
        <v>2406</v>
      </c>
      <c r="I1385" s="63" t="s">
        <v>2407</v>
      </c>
      <c r="J1385" s="47">
        <f t="shared" si="280"/>
        <v>3740</v>
      </c>
      <c r="K1385" s="46" t="s">
        <v>10735</v>
      </c>
      <c r="L1385" s="47">
        <f t="shared" si="284"/>
        <v>1210</v>
      </c>
      <c r="M1385" s="47"/>
      <c r="N1385" s="47"/>
      <c r="O1385" s="47"/>
      <c r="P1385" s="47"/>
      <c r="Q1385" s="47"/>
      <c r="R1385" s="47"/>
      <c r="S1385" s="47"/>
      <c r="T1385" s="47"/>
      <c r="U1385" s="47">
        <f t="shared" si="285"/>
        <v>430</v>
      </c>
      <c r="V1385" s="47"/>
      <c r="W1385" s="47"/>
      <c r="X1385" s="47"/>
      <c r="Y1385" s="47"/>
      <c r="Z1385" s="47">
        <f t="shared" si="283"/>
        <v>4620</v>
      </c>
      <c r="AA1385" s="47"/>
      <c r="AB1385" s="47"/>
      <c r="AC1385" s="47"/>
      <c r="AD1385" s="47"/>
      <c r="AE1385" s="47"/>
      <c r="AF1385" s="47"/>
      <c r="AG1385" s="47"/>
      <c r="AH1385" s="47" t="str">
        <f>IFERROR(_xlfn.XLOOKUP(Table6[[#This Row],[Suburb]],Table5[Travel Surcharge],Table5[$$]),"")</f>
        <v/>
      </c>
      <c r="AI1385" s="47"/>
      <c r="AJ1385" s="47"/>
    </row>
    <row r="1386" spans="1:36">
      <c r="A1386" s="374" t="s">
        <v>2403</v>
      </c>
      <c r="B1386" s="374">
        <v>12</v>
      </c>
      <c r="C1386" s="374" t="s">
        <v>538</v>
      </c>
      <c r="D1386" s="375" t="str">
        <f t="shared" si="282"/>
        <v>Elements Estate12</v>
      </c>
      <c r="E1386" s="375" t="s">
        <v>2413</v>
      </c>
      <c r="F1386" s="375" t="s">
        <v>1428</v>
      </c>
      <c r="G1386" s="375" t="s">
        <v>2405</v>
      </c>
      <c r="H1386" s="375" t="s">
        <v>2406</v>
      </c>
      <c r="I1386" s="63" t="s">
        <v>2407</v>
      </c>
      <c r="J1386" s="47">
        <f t="shared" si="280"/>
        <v>3740</v>
      </c>
      <c r="K1386" s="46" t="s">
        <v>10735</v>
      </c>
      <c r="L1386" s="47">
        <f t="shared" si="284"/>
        <v>1210</v>
      </c>
      <c r="M1386" s="47"/>
      <c r="N1386" s="47"/>
      <c r="O1386" s="47"/>
      <c r="P1386" s="47"/>
      <c r="Q1386" s="47"/>
      <c r="R1386" s="47"/>
      <c r="S1386" s="47"/>
      <c r="T1386" s="47"/>
      <c r="U1386" s="47">
        <f t="shared" si="285"/>
        <v>430</v>
      </c>
      <c r="V1386" s="47"/>
      <c r="W1386" s="47"/>
      <c r="X1386" s="47"/>
      <c r="Y1386" s="47"/>
      <c r="Z1386" s="47">
        <f t="shared" si="283"/>
        <v>4620</v>
      </c>
      <c r="AA1386" s="47"/>
      <c r="AB1386" s="47"/>
      <c r="AC1386" s="47"/>
      <c r="AD1386" s="47"/>
      <c r="AE1386" s="47"/>
      <c r="AF1386" s="47"/>
      <c r="AG1386" s="47"/>
      <c r="AH1386" s="47" t="str">
        <f>IFERROR(_xlfn.XLOOKUP(Table6[[#This Row],[Suburb]],Table5[Travel Surcharge],Table5[$$]),"")</f>
        <v/>
      </c>
      <c r="AI1386" s="47"/>
      <c r="AJ1386" s="47"/>
    </row>
    <row r="1387" spans="1:36">
      <c r="A1387" s="374" t="s">
        <v>2403</v>
      </c>
      <c r="B1387" s="374">
        <v>13</v>
      </c>
      <c r="C1387" s="374" t="s">
        <v>538</v>
      </c>
      <c r="D1387" s="375" t="str">
        <f t="shared" si="282"/>
        <v>Elements Estate13</v>
      </c>
      <c r="E1387" s="375" t="s">
        <v>2414</v>
      </c>
      <c r="F1387" s="375" t="s">
        <v>1428</v>
      </c>
      <c r="G1387" s="375" t="s">
        <v>2405</v>
      </c>
      <c r="H1387" s="375" t="s">
        <v>2406</v>
      </c>
      <c r="I1387" s="63" t="s">
        <v>2407</v>
      </c>
      <c r="J1387" s="47">
        <f t="shared" si="280"/>
        <v>3740</v>
      </c>
      <c r="K1387" s="46" t="s">
        <v>10735</v>
      </c>
      <c r="L1387" s="47">
        <f t="shared" si="284"/>
        <v>1210</v>
      </c>
      <c r="M1387" s="47"/>
      <c r="N1387" s="47"/>
      <c r="O1387" s="47"/>
      <c r="P1387" s="47"/>
      <c r="Q1387" s="47"/>
      <c r="R1387" s="47"/>
      <c r="S1387" s="47"/>
      <c r="T1387" s="47"/>
      <c r="U1387" s="47">
        <f t="shared" si="285"/>
        <v>430</v>
      </c>
      <c r="V1387" s="47"/>
      <c r="W1387" s="47"/>
      <c r="X1387" s="47"/>
      <c r="Y1387" s="47"/>
      <c r="Z1387" s="47">
        <f t="shared" si="283"/>
        <v>4620</v>
      </c>
      <c r="AA1387" s="47"/>
      <c r="AB1387" s="47"/>
      <c r="AC1387" s="47"/>
      <c r="AD1387" s="47"/>
      <c r="AE1387" s="47"/>
      <c r="AF1387" s="47"/>
      <c r="AG1387" s="47"/>
      <c r="AH1387" s="47" t="str">
        <f>IFERROR(_xlfn.XLOOKUP(Table6[[#This Row],[Suburb]],Table5[Travel Surcharge],Table5[$$]),"")</f>
        <v/>
      </c>
      <c r="AI1387" s="47"/>
      <c r="AJ1387" s="47"/>
    </row>
    <row r="1388" spans="1:36">
      <c r="A1388" s="374" t="s">
        <v>2403</v>
      </c>
      <c r="B1388" s="374">
        <v>14</v>
      </c>
      <c r="C1388" s="374" t="s">
        <v>538</v>
      </c>
      <c r="D1388" s="375" t="str">
        <f t="shared" si="282"/>
        <v>Elements Estate14</v>
      </c>
      <c r="E1388" s="375" t="s">
        <v>2415</v>
      </c>
      <c r="F1388" s="375" t="s">
        <v>1428</v>
      </c>
      <c r="G1388" s="375" t="s">
        <v>2405</v>
      </c>
      <c r="H1388" s="375" t="s">
        <v>2406</v>
      </c>
      <c r="I1388" s="63" t="s">
        <v>2407</v>
      </c>
      <c r="J1388" s="47">
        <f t="shared" si="280"/>
        <v>3740</v>
      </c>
      <c r="K1388" s="46" t="s">
        <v>10735</v>
      </c>
      <c r="L1388" s="47">
        <f t="shared" si="284"/>
        <v>1210</v>
      </c>
      <c r="M1388" s="47"/>
      <c r="N1388" s="47"/>
      <c r="O1388" s="47"/>
      <c r="P1388" s="47"/>
      <c r="Q1388" s="47"/>
      <c r="R1388" s="47"/>
      <c r="S1388" s="47"/>
      <c r="T1388" s="47"/>
      <c r="U1388" s="47">
        <f t="shared" si="285"/>
        <v>430</v>
      </c>
      <c r="V1388" s="47"/>
      <c r="W1388" s="47"/>
      <c r="X1388" s="47"/>
      <c r="Y1388" s="47"/>
      <c r="Z1388" s="47">
        <f t="shared" si="283"/>
        <v>4620</v>
      </c>
      <c r="AA1388" s="47"/>
      <c r="AB1388" s="47"/>
      <c r="AC1388" s="47"/>
      <c r="AD1388" s="47"/>
      <c r="AE1388" s="47"/>
      <c r="AF1388" s="47"/>
      <c r="AG1388" s="47"/>
      <c r="AH1388" s="47" t="str">
        <f>IFERROR(_xlfn.XLOOKUP(Table6[[#This Row],[Suburb]],Table5[Travel Surcharge],Table5[$$]),"")</f>
        <v/>
      </c>
      <c r="AI1388" s="47"/>
      <c r="AJ1388" s="47"/>
    </row>
    <row r="1389" spans="1:36">
      <c r="A1389" s="374" t="s">
        <v>2403</v>
      </c>
      <c r="B1389" s="374">
        <v>16</v>
      </c>
      <c r="C1389" s="374" t="s">
        <v>538</v>
      </c>
      <c r="D1389" s="375" t="str">
        <f t="shared" si="282"/>
        <v>Elements Estate16</v>
      </c>
      <c r="E1389" s="375" t="s">
        <v>2416</v>
      </c>
      <c r="F1389" s="375" t="s">
        <v>1428</v>
      </c>
      <c r="G1389" s="375" t="s">
        <v>2405</v>
      </c>
      <c r="H1389" s="375" t="s">
        <v>2406</v>
      </c>
      <c r="I1389" s="63" t="s">
        <v>2407</v>
      </c>
      <c r="J1389" s="47">
        <f t="shared" si="280"/>
        <v>3740</v>
      </c>
      <c r="K1389" s="46" t="s">
        <v>10735</v>
      </c>
      <c r="L1389" s="47">
        <f t="shared" si="284"/>
        <v>1210</v>
      </c>
      <c r="M1389" s="47"/>
      <c r="N1389" s="47"/>
      <c r="O1389" s="47"/>
      <c r="P1389" s="47"/>
      <c r="Q1389" s="47"/>
      <c r="R1389" s="47"/>
      <c r="S1389" s="47"/>
      <c r="T1389" s="47"/>
      <c r="U1389" s="47">
        <f t="shared" si="285"/>
        <v>430</v>
      </c>
      <c r="V1389" s="47"/>
      <c r="W1389" s="47"/>
      <c r="X1389" s="47"/>
      <c r="Y1389" s="47"/>
      <c r="Z1389" s="47">
        <f t="shared" si="283"/>
        <v>4620</v>
      </c>
      <c r="AA1389" s="47"/>
      <c r="AB1389" s="47"/>
      <c r="AC1389" s="47"/>
      <c r="AD1389" s="47"/>
      <c r="AE1389" s="47"/>
      <c r="AF1389" s="47"/>
      <c r="AG1389" s="47"/>
      <c r="AH1389" s="47" t="str">
        <f>IFERROR(_xlfn.XLOOKUP(Table6[[#This Row],[Suburb]],Table5[Travel Surcharge],Table5[$$]),"")</f>
        <v/>
      </c>
      <c r="AI1389" s="47"/>
      <c r="AJ1389" s="47"/>
    </row>
    <row r="1390" spans="1:36">
      <c r="A1390" s="374" t="s">
        <v>2403</v>
      </c>
      <c r="B1390" s="374">
        <v>17</v>
      </c>
      <c r="C1390" s="374" t="s">
        <v>538</v>
      </c>
      <c r="D1390" s="375" t="str">
        <f t="shared" si="282"/>
        <v>Elements Estate17</v>
      </c>
      <c r="E1390" s="375" t="s">
        <v>2417</v>
      </c>
      <c r="F1390" s="375" t="s">
        <v>1428</v>
      </c>
      <c r="G1390" s="375" t="s">
        <v>2405</v>
      </c>
      <c r="H1390" s="375" t="s">
        <v>2406</v>
      </c>
      <c r="I1390" s="63" t="s">
        <v>2407</v>
      </c>
      <c r="J1390" s="47">
        <f t="shared" si="280"/>
        <v>3740</v>
      </c>
      <c r="K1390" s="46" t="s">
        <v>10735</v>
      </c>
      <c r="L1390" s="47">
        <f t="shared" si="284"/>
        <v>1210</v>
      </c>
      <c r="M1390" s="47"/>
      <c r="N1390" s="47"/>
      <c r="O1390" s="47"/>
      <c r="P1390" s="47"/>
      <c r="Q1390" s="47"/>
      <c r="R1390" s="47"/>
      <c r="S1390" s="47"/>
      <c r="T1390" s="47"/>
      <c r="U1390" s="47">
        <f t="shared" si="285"/>
        <v>430</v>
      </c>
      <c r="V1390" s="47"/>
      <c r="W1390" s="47"/>
      <c r="X1390" s="47"/>
      <c r="Y1390" s="47"/>
      <c r="Z1390" s="47">
        <f t="shared" si="283"/>
        <v>4620</v>
      </c>
      <c r="AA1390" s="47"/>
      <c r="AB1390" s="47"/>
      <c r="AC1390" s="47"/>
      <c r="AD1390" s="47"/>
      <c r="AE1390" s="47"/>
      <c r="AF1390" s="47"/>
      <c r="AG1390" s="47"/>
      <c r="AH1390" s="47" t="str">
        <f>IFERROR(_xlfn.XLOOKUP(Table6[[#This Row],[Suburb]],Table5[Travel Surcharge],Table5[$$]),"")</f>
        <v/>
      </c>
      <c r="AI1390" s="47"/>
      <c r="AJ1390" s="47"/>
    </row>
    <row r="1391" spans="1:36">
      <c r="A1391" s="374" t="s">
        <v>2403</v>
      </c>
      <c r="B1391" s="374">
        <v>18</v>
      </c>
      <c r="C1391" s="374" t="s">
        <v>538</v>
      </c>
      <c r="D1391" s="375" t="str">
        <f t="shared" si="282"/>
        <v>Elements Estate18</v>
      </c>
      <c r="E1391" s="375" t="s">
        <v>2418</v>
      </c>
      <c r="F1391" s="375" t="s">
        <v>1428</v>
      </c>
      <c r="G1391" s="375" t="s">
        <v>2405</v>
      </c>
      <c r="H1391" s="375" t="s">
        <v>2406</v>
      </c>
      <c r="I1391" s="63" t="s">
        <v>2407</v>
      </c>
      <c r="J1391" s="47">
        <f t="shared" si="280"/>
        <v>3740</v>
      </c>
      <c r="K1391" s="46" t="s">
        <v>10735</v>
      </c>
      <c r="L1391" s="47">
        <f t="shared" si="284"/>
        <v>1210</v>
      </c>
      <c r="M1391" s="47"/>
      <c r="N1391" s="47"/>
      <c r="O1391" s="47"/>
      <c r="P1391" s="47"/>
      <c r="Q1391" s="47"/>
      <c r="R1391" s="47"/>
      <c r="S1391" s="47"/>
      <c r="T1391" s="47"/>
      <c r="U1391" s="47">
        <f t="shared" si="285"/>
        <v>430</v>
      </c>
      <c r="V1391" s="47"/>
      <c r="W1391" s="47"/>
      <c r="X1391" s="47"/>
      <c r="Y1391" s="47"/>
      <c r="Z1391" s="47">
        <f t="shared" si="283"/>
        <v>4620</v>
      </c>
      <c r="AA1391" s="47"/>
      <c r="AB1391" s="47"/>
      <c r="AC1391" s="47"/>
      <c r="AD1391" s="47"/>
      <c r="AE1391" s="47"/>
      <c r="AF1391" s="47"/>
      <c r="AG1391" s="47"/>
      <c r="AH1391" s="47" t="str">
        <f>IFERROR(_xlfn.XLOOKUP(Table6[[#This Row],[Suburb]],Table5[Travel Surcharge],Table5[$$]),"")</f>
        <v/>
      </c>
      <c r="AI1391" s="47"/>
      <c r="AJ1391" s="47"/>
    </row>
    <row r="1392" spans="1:36">
      <c r="A1392" s="374" t="s">
        <v>2403</v>
      </c>
      <c r="B1392" s="374">
        <v>19</v>
      </c>
      <c r="C1392" s="374" t="s">
        <v>538</v>
      </c>
      <c r="D1392" s="375" t="str">
        <f t="shared" si="282"/>
        <v>Elements Estate19</v>
      </c>
      <c r="E1392" s="375" t="s">
        <v>2419</v>
      </c>
      <c r="F1392" s="375" t="s">
        <v>1428</v>
      </c>
      <c r="G1392" s="375" t="s">
        <v>2405</v>
      </c>
      <c r="H1392" s="375" t="s">
        <v>2406</v>
      </c>
      <c r="I1392" s="63" t="s">
        <v>2407</v>
      </c>
      <c r="J1392" s="47">
        <f t="shared" si="280"/>
        <v>3740</v>
      </c>
      <c r="K1392" s="46" t="s">
        <v>10735</v>
      </c>
      <c r="L1392" s="47">
        <f t="shared" si="284"/>
        <v>1210</v>
      </c>
      <c r="M1392" s="47"/>
      <c r="N1392" s="47"/>
      <c r="O1392" s="47"/>
      <c r="P1392" s="47"/>
      <c r="Q1392" s="47"/>
      <c r="R1392" s="47"/>
      <c r="S1392" s="47"/>
      <c r="T1392" s="47"/>
      <c r="U1392" s="47">
        <f t="shared" si="285"/>
        <v>430</v>
      </c>
      <c r="V1392" s="47"/>
      <c r="W1392" s="47"/>
      <c r="X1392" s="47"/>
      <c r="Y1392" s="47"/>
      <c r="Z1392" s="47">
        <f t="shared" si="283"/>
        <v>4620</v>
      </c>
      <c r="AA1392" s="47"/>
      <c r="AB1392" s="47"/>
      <c r="AC1392" s="47"/>
      <c r="AD1392" s="47"/>
      <c r="AE1392" s="47"/>
      <c r="AF1392" s="47"/>
      <c r="AG1392" s="47"/>
      <c r="AH1392" s="47" t="str">
        <f>IFERROR(_xlfn.XLOOKUP(Table6[[#This Row],[Suburb]],Table5[Travel Surcharge],Table5[$$]),"")</f>
        <v/>
      </c>
      <c r="AI1392" s="47"/>
      <c r="AJ1392" s="47"/>
    </row>
    <row r="1393" spans="1:36">
      <c r="A1393" s="374" t="s">
        <v>2403</v>
      </c>
      <c r="B1393" s="374">
        <v>20</v>
      </c>
      <c r="C1393" s="374" t="s">
        <v>538</v>
      </c>
      <c r="D1393" s="375" t="str">
        <f t="shared" si="282"/>
        <v>Elements Estate20</v>
      </c>
      <c r="E1393" s="375" t="s">
        <v>2420</v>
      </c>
      <c r="F1393" s="375" t="s">
        <v>1428</v>
      </c>
      <c r="G1393" s="375" t="s">
        <v>2405</v>
      </c>
      <c r="H1393" s="375" t="s">
        <v>2406</v>
      </c>
      <c r="I1393" s="63" t="s">
        <v>2407</v>
      </c>
      <c r="J1393" s="47">
        <f t="shared" si="280"/>
        <v>3740</v>
      </c>
      <c r="K1393" s="46" t="s">
        <v>10735</v>
      </c>
      <c r="L1393" s="47">
        <f t="shared" si="284"/>
        <v>1210</v>
      </c>
      <c r="M1393" s="47"/>
      <c r="N1393" s="47"/>
      <c r="O1393" s="47"/>
      <c r="P1393" s="47"/>
      <c r="Q1393" s="47"/>
      <c r="R1393" s="47"/>
      <c r="S1393" s="47"/>
      <c r="T1393" s="47"/>
      <c r="U1393" s="47">
        <f t="shared" si="285"/>
        <v>430</v>
      </c>
      <c r="V1393" s="47"/>
      <c r="W1393" s="47"/>
      <c r="X1393" s="47"/>
      <c r="Y1393" s="47"/>
      <c r="Z1393" s="47">
        <f t="shared" si="283"/>
        <v>4620</v>
      </c>
      <c r="AA1393" s="47"/>
      <c r="AB1393" s="47"/>
      <c r="AC1393" s="47"/>
      <c r="AD1393" s="47"/>
      <c r="AE1393" s="47"/>
      <c r="AF1393" s="47"/>
      <c r="AG1393" s="47"/>
      <c r="AH1393" s="47" t="str">
        <f>IFERROR(_xlfn.XLOOKUP(Table6[[#This Row],[Suburb]],Table5[Travel Surcharge],Table5[$$]),"")</f>
        <v/>
      </c>
      <c r="AI1393" s="47"/>
      <c r="AJ1393" s="47"/>
    </row>
    <row r="1394" spans="1:36">
      <c r="A1394" s="374" t="s">
        <v>2403</v>
      </c>
      <c r="B1394" s="374">
        <v>21</v>
      </c>
      <c r="C1394" s="374" t="s">
        <v>538</v>
      </c>
      <c r="D1394" s="375" t="str">
        <f t="shared" si="282"/>
        <v>Elements Estate21</v>
      </c>
      <c r="E1394" s="375" t="s">
        <v>2421</v>
      </c>
      <c r="F1394" s="375" t="s">
        <v>1428</v>
      </c>
      <c r="G1394" s="375" t="s">
        <v>2405</v>
      </c>
      <c r="H1394" s="375" t="s">
        <v>2406</v>
      </c>
      <c r="I1394" s="63" t="s">
        <v>2407</v>
      </c>
      <c r="J1394" s="47">
        <f t="shared" si="280"/>
        <v>3740</v>
      </c>
      <c r="K1394" s="46" t="s">
        <v>10735</v>
      </c>
      <c r="L1394" s="47">
        <f t="shared" si="284"/>
        <v>1210</v>
      </c>
      <c r="M1394" s="47"/>
      <c r="N1394" s="47"/>
      <c r="O1394" s="47"/>
      <c r="P1394" s="47"/>
      <c r="Q1394" s="47"/>
      <c r="R1394" s="47"/>
      <c r="S1394" s="47"/>
      <c r="T1394" s="47"/>
      <c r="U1394" s="47">
        <f t="shared" si="285"/>
        <v>430</v>
      </c>
      <c r="V1394" s="47"/>
      <c r="W1394" s="47"/>
      <c r="X1394" s="47"/>
      <c r="Y1394" s="47"/>
      <c r="Z1394" s="47">
        <f t="shared" si="283"/>
        <v>4620</v>
      </c>
      <c r="AA1394" s="47"/>
      <c r="AB1394" s="47"/>
      <c r="AC1394" s="47"/>
      <c r="AD1394" s="47"/>
      <c r="AE1394" s="47"/>
      <c r="AF1394" s="47"/>
      <c r="AG1394" s="47"/>
      <c r="AH1394" s="47" t="str">
        <f>IFERROR(_xlfn.XLOOKUP(Table6[[#This Row],[Suburb]],Table5[Travel Surcharge],Table5[$$]),"")</f>
        <v/>
      </c>
      <c r="AI1394" s="47"/>
      <c r="AJ1394" s="47"/>
    </row>
    <row r="1395" spans="1:36">
      <c r="A1395" s="374" t="s">
        <v>2403</v>
      </c>
      <c r="B1395" s="374">
        <v>22</v>
      </c>
      <c r="C1395" s="374" t="s">
        <v>538</v>
      </c>
      <c r="D1395" s="375" t="str">
        <f t="shared" si="282"/>
        <v>Elements Estate22</v>
      </c>
      <c r="E1395" s="375" t="s">
        <v>2422</v>
      </c>
      <c r="F1395" s="375" t="s">
        <v>1428</v>
      </c>
      <c r="G1395" s="375" t="s">
        <v>2405</v>
      </c>
      <c r="H1395" s="375" t="s">
        <v>2406</v>
      </c>
      <c r="I1395" s="63" t="s">
        <v>2407</v>
      </c>
      <c r="J1395" s="47">
        <f t="shared" si="280"/>
        <v>3740</v>
      </c>
      <c r="K1395" s="46" t="s">
        <v>10735</v>
      </c>
      <c r="L1395" s="47">
        <f t="shared" si="284"/>
        <v>1210</v>
      </c>
      <c r="M1395" s="47"/>
      <c r="N1395" s="47"/>
      <c r="O1395" s="47"/>
      <c r="P1395" s="47"/>
      <c r="Q1395" s="47"/>
      <c r="R1395" s="47"/>
      <c r="S1395" s="47"/>
      <c r="T1395" s="47"/>
      <c r="U1395" s="47">
        <f t="shared" si="285"/>
        <v>430</v>
      </c>
      <c r="V1395" s="47"/>
      <c r="W1395" s="47"/>
      <c r="X1395" s="47"/>
      <c r="Y1395" s="47"/>
      <c r="Z1395" s="47">
        <f t="shared" si="283"/>
        <v>4620</v>
      </c>
      <c r="AA1395" s="47"/>
      <c r="AB1395" s="47"/>
      <c r="AC1395" s="47"/>
      <c r="AD1395" s="47"/>
      <c r="AE1395" s="47"/>
      <c r="AF1395" s="47"/>
      <c r="AG1395" s="47"/>
      <c r="AH1395" s="47" t="str">
        <f>IFERROR(_xlfn.XLOOKUP(Table6[[#This Row],[Suburb]],Table5[Travel Surcharge],Table5[$$]),"")</f>
        <v/>
      </c>
      <c r="AI1395" s="47"/>
      <c r="AJ1395" s="47"/>
    </row>
    <row r="1396" spans="1:36">
      <c r="A1396" s="374" t="s">
        <v>2403</v>
      </c>
      <c r="B1396" s="374">
        <v>24</v>
      </c>
      <c r="C1396" s="374" t="s">
        <v>538</v>
      </c>
      <c r="D1396" s="375" t="str">
        <f t="shared" si="282"/>
        <v>Elements Estate24</v>
      </c>
      <c r="E1396" s="375" t="s">
        <v>2423</v>
      </c>
      <c r="F1396" s="375" t="s">
        <v>1428</v>
      </c>
      <c r="G1396" s="375" t="s">
        <v>2405</v>
      </c>
      <c r="H1396" s="375" t="s">
        <v>2406</v>
      </c>
      <c r="I1396" s="63" t="s">
        <v>2407</v>
      </c>
      <c r="J1396" s="47">
        <v>3740</v>
      </c>
      <c r="K1396" s="46" t="s">
        <v>10735</v>
      </c>
      <c r="L1396" s="47">
        <v>1210</v>
      </c>
      <c r="M1396" s="47"/>
      <c r="N1396" s="47"/>
      <c r="O1396" s="47"/>
      <c r="P1396" s="47"/>
      <c r="Q1396" s="47"/>
      <c r="R1396" s="47"/>
      <c r="S1396" s="47"/>
      <c r="T1396" s="47"/>
      <c r="U1396" s="47">
        <f t="shared" si="285"/>
        <v>430</v>
      </c>
      <c r="V1396" s="47"/>
      <c r="W1396" s="47"/>
      <c r="X1396" s="47"/>
      <c r="Y1396" s="47"/>
      <c r="Z1396" s="47">
        <v>4620</v>
      </c>
      <c r="AA1396" s="47"/>
      <c r="AB1396" s="47"/>
      <c r="AC1396" s="47"/>
      <c r="AD1396" s="47"/>
      <c r="AE1396" s="47"/>
      <c r="AF1396" s="47"/>
      <c r="AG1396" s="47"/>
      <c r="AH1396" s="47" t="str">
        <f>IFERROR(_xlfn.XLOOKUP(Table6[[#This Row],[Suburb]],Table5[Travel Surcharge],Table5[$$]),"")</f>
        <v/>
      </c>
      <c r="AI1396" s="47"/>
      <c r="AJ1396" s="47"/>
    </row>
    <row r="1397" spans="1:36">
      <c r="A1397" s="374" t="s">
        <v>2403</v>
      </c>
      <c r="B1397" s="374">
        <v>25</v>
      </c>
      <c r="C1397" s="374" t="s">
        <v>538</v>
      </c>
      <c r="D1397" s="375" t="str">
        <f t="shared" si="282"/>
        <v>Elements Estate25</v>
      </c>
      <c r="E1397" s="375" t="s">
        <v>2424</v>
      </c>
      <c r="F1397" s="375" t="s">
        <v>1428</v>
      </c>
      <c r="G1397" s="375" t="s">
        <v>2405</v>
      </c>
      <c r="H1397" s="375" t="s">
        <v>2406</v>
      </c>
      <c r="I1397" s="63" t="s">
        <v>2407</v>
      </c>
      <c r="J1397" s="47">
        <v>3740</v>
      </c>
      <c r="K1397" s="46" t="s">
        <v>10735</v>
      </c>
      <c r="L1397" s="47">
        <v>1210</v>
      </c>
      <c r="M1397" s="47"/>
      <c r="N1397" s="47"/>
      <c r="O1397" s="47"/>
      <c r="P1397" s="47"/>
      <c r="Q1397" s="47"/>
      <c r="R1397" s="47"/>
      <c r="S1397" s="47"/>
      <c r="T1397" s="47"/>
      <c r="U1397" s="47">
        <f t="shared" si="285"/>
        <v>430</v>
      </c>
      <c r="V1397" s="47"/>
      <c r="W1397" s="47"/>
      <c r="X1397" s="47"/>
      <c r="Y1397" s="47"/>
      <c r="Z1397" s="47">
        <v>4620</v>
      </c>
      <c r="AA1397" s="47"/>
      <c r="AB1397" s="47"/>
      <c r="AC1397" s="47"/>
      <c r="AD1397" s="47"/>
      <c r="AE1397" s="47"/>
      <c r="AF1397" s="47"/>
      <c r="AG1397" s="47"/>
      <c r="AH1397" s="47" t="str">
        <f>IFERROR(_xlfn.XLOOKUP(Table6[[#This Row],[Suburb]],Table5[Travel Surcharge],Table5[$$]),"")</f>
        <v/>
      </c>
      <c r="AI1397" s="47"/>
      <c r="AJ1397" s="47"/>
    </row>
    <row r="1398" spans="1:36">
      <c r="A1398" s="374" t="s">
        <v>2403</v>
      </c>
      <c r="B1398" s="374">
        <v>27</v>
      </c>
      <c r="C1398" s="374" t="s">
        <v>538</v>
      </c>
      <c r="D1398" s="375" t="str">
        <f t="shared" ref="D1398:D1430" si="286">CONCATENATE(A1398,B1398)</f>
        <v>Elements Estate27</v>
      </c>
      <c r="E1398" s="375" t="s">
        <v>2425</v>
      </c>
      <c r="F1398" s="375" t="s">
        <v>1428</v>
      </c>
      <c r="G1398" s="375" t="s">
        <v>2405</v>
      </c>
      <c r="H1398" s="375" t="s">
        <v>2406</v>
      </c>
      <c r="I1398" s="63" t="s">
        <v>2407</v>
      </c>
      <c r="J1398" s="47">
        <v>3740</v>
      </c>
      <c r="K1398" s="46" t="s">
        <v>10735</v>
      </c>
      <c r="L1398" s="47">
        <v>1210</v>
      </c>
      <c r="M1398" s="47"/>
      <c r="N1398" s="47"/>
      <c r="O1398" s="47"/>
      <c r="P1398" s="47"/>
      <c r="Q1398" s="47"/>
      <c r="R1398" s="47"/>
      <c r="S1398" s="47"/>
      <c r="T1398" s="47"/>
      <c r="U1398" s="47">
        <f t="shared" si="285"/>
        <v>430</v>
      </c>
      <c r="V1398" s="47"/>
      <c r="W1398" s="47"/>
      <c r="X1398" s="47"/>
      <c r="Y1398" s="47"/>
      <c r="Z1398" s="47">
        <v>4620</v>
      </c>
      <c r="AA1398" s="47"/>
      <c r="AB1398" s="47"/>
      <c r="AC1398" s="47"/>
      <c r="AD1398" s="47"/>
      <c r="AE1398" s="47"/>
      <c r="AF1398" s="47"/>
      <c r="AG1398" s="47"/>
      <c r="AH1398" s="47" t="str">
        <f>IFERROR(_xlfn.XLOOKUP(Table6[[#This Row],[Suburb]],Table5[Travel Surcharge],Table5[$$]),"")</f>
        <v/>
      </c>
      <c r="AI1398" s="47"/>
      <c r="AJ1398" s="47"/>
    </row>
    <row r="1399" spans="1:36">
      <c r="A1399" s="374" t="s">
        <v>2426</v>
      </c>
      <c r="B1399" s="374">
        <v>1</v>
      </c>
      <c r="C1399" s="374" t="s">
        <v>862</v>
      </c>
      <c r="D1399" s="375" t="str">
        <f t="shared" si="286"/>
        <v>Elinya Estate1</v>
      </c>
      <c r="E1399" s="375" t="s">
        <v>2427</v>
      </c>
      <c r="F1399" s="375"/>
      <c r="G1399" s="375" t="s">
        <v>2428</v>
      </c>
      <c r="H1399" s="375" t="s">
        <v>2429</v>
      </c>
      <c r="I1399" s="63" t="s">
        <v>2430</v>
      </c>
      <c r="J1399" s="162"/>
      <c r="K1399" s="46" t="s">
        <v>10735</v>
      </c>
      <c r="L1399" s="47">
        <v>1210</v>
      </c>
      <c r="M1399" s="162"/>
      <c r="N1399" s="162"/>
      <c r="O1399" s="162" t="s">
        <v>7670</v>
      </c>
      <c r="P1399" s="162"/>
      <c r="Q1399" s="162"/>
      <c r="R1399" s="162"/>
      <c r="S1399" s="162" t="s">
        <v>7671</v>
      </c>
      <c r="T1399" s="162"/>
      <c r="U1399" s="47">
        <f t="shared" si="285"/>
        <v>430</v>
      </c>
      <c r="V1399" s="162"/>
      <c r="W1399" s="162"/>
      <c r="X1399" s="162"/>
      <c r="Y1399" s="162"/>
      <c r="Z1399" s="162">
        <f>Z$7</f>
        <v>4620</v>
      </c>
      <c r="AA1399" s="162"/>
      <c r="AB1399" s="162"/>
      <c r="AC1399" s="162"/>
      <c r="AD1399" s="162"/>
      <c r="AE1399" s="162"/>
      <c r="AF1399" s="162">
        <f>AF$7</f>
        <v>1485</v>
      </c>
      <c r="AG1399" s="162"/>
      <c r="AH1399" s="47" t="str">
        <f>IFERROR(_xlfn.XLOOKUP(Table6[[#This Row],[Suburb]],Table5[Travel Surcharge],Table5[$$]),"")</f>
        <v/>
      </c>
      <c r="AI1399" s="162"/>
      <c r="AJ1399" s="162"/>
    </row>
    <row r="1400" spans="1:36">
      <c r="A1400" s="374" t="s">
        <v>2426</v>
      </c>
      <c r="B1400" s="374">
        <v>2</v>
      </c>
      <c r="C1400" s="374" t="s">
        <v>862</v>
      </c>
      <c r="D1400" s="375" t="str">
        <f t="shared" si="286"/>
        <v>Elinya Estate2</v>
      </c>
      <c r="E1400" s="375" t="s">
        <v>2431</v>
      </c>
      <c r="F1400" s="375"/>
      <c r="G1400" s="375" t="s">
        <v>2428</v>
      </c>
      <c r="H1400" s="375" t="s">
        <v>2429</v>
      </c>
      <c r="I1400" s="63" t="s">
        <v>2430</v>
      </c>
      <c r="J1400" s="47"/>
      <c r="K1400" s="46" t="s">
        <v>10735</v>
      </c>
      <c r="L1400" s="47">
        <v>1210</v>
      </c>
      <c r="M1400" s="47"/>
      <c r="N1400" s="47"/>
      <c r="O1400" s="162" t="s">
        <v>7670</v>
      </c>
      <c r="P1400" s="47"/>
      <c r="Q1400" s="47"/>
      <c r="R1400" s="47"/>
      <c r="S1400" s="163" t="s">
        <v>7671</v>
      </c>
      <c r="T1400" s="47"/>
      <c r="U1400" s="47">
        <f t="shared" si="285"/>
        <v>430</v>
      </c>
      <c r="V1400" s="47"/>
      <c r="W1400" s="47"/>
      <c r="X1400" s="47"/>
      <c r="Y1400" s="47"/>
      <c r="Z1400" s="47">
        <f>Z$7</f>
        <v>4620</v>
      </c>
      <c r="AA1400" s="47"/>
      <c r="AB1400" s="47"/>
      <c r="AC1400" s="47"/>
      <c r="AD1400" s="47"/>
      <c r="AE1400" s="47"/>
      <c r="AF1400" s="162">
        <f>AF$7</f>
        <v>1485</v>
      </c>
      <c r="AG1400" s="47"/>
      <c r="AH1400" s="47" t="str">
        <f>IFERROR(_xlfn.XLOOKUP(Table6[[#This Row],[Suburb]],Table5[Travel Surcharge],Table5[$$]),"")</f>
        <v/>
      </c>
      <c r="AI1400" s="47"/>
      <c r="AJ1400" s="47"/>
    </row>
    <row r="1401" spans="1:36">
      <c r="A1401" s="157" t="s">
        <v>2426</v>
      </c>
      <c r="B1401" s="157">
        <v>3</v>
      </c>
      <c r="C1401" s="157" t="s">
        <v>862</v>
      </c>
      <c r="D1401" s="375" t="str">
        <f t="shared" si="286"/>
        <v>Elinya Estate3</v>
      </c>
      <c r="E1401" s="157" t="s">
        <v>8258</v>
      </c>
      <c r="F1401" s="157"/>
      <c r="G1401" s="157" t="s">
        <v>2428</v>
      </c>
      <c r="H1401" s="157" t="s">
        <v>2429</v>
      </c>
      <c r="I1401" s="158" t="s">
        <v>2430</v>
      </c>
      <c r="J1401" s="47"/>
      <c r="K1401" s="46" t="s">
        <v>10735</v>
      </c>
      <c r="L1401" s="47">
        <v>1210</v>
      </c>
      <c r="M1401" s="47"/>
      <c r="N1401" s="47"/>
      <c r="O1401" s="162" t="s">
        <v>7670</v>
      </c>
      <c r="P1401" s="47"/>
      <c r="Q1401" s="47"/>
      <c r="R1401" s="47"/>
      <c r="S1401" s="163" t="s">
        <v>7671</v>
      </c>
      <c r="T1401" s="47"/>
      <c r="U1401" s="47">
        <f t="shared" si="285"/>
        <v>430</v>
      </c>
      <c r="V1401" s="47"/>
      <c r="W1401" s="47"/>
      <c r="X1401" s="47"/>
      <c r="Y1401" s="47"/>
      <c r="Z1401" s="47">
        <f>Z$7</f>
        <v>4620</v>
      </c>
      <c r="AA1401" s="47"/>
      <c r="AB1401" s="47"/>
      <c r="AC1401" s="47"/>
      <c r="AD1401" s="47"/>
      <c r="AE1401" s="47"/>
      <c r="AF1401" s="162">
        <f>AF$7</f>
        <v>1485</v>
      </c>
      <c r="AG1401" s="47"/>
      <c r="AH1401" s="47" t="str">
        <f>IFERROR(_xlfn.XLOOKUP(Table6[[#This Row],[Suburb]],Table5[Travel Surcharge],Table5[$$]),"")</f>
        <v/>
      </c>
      <c r="AI1401" s="47"/>
      <c r="AJ1401" s="47"/>
    </row>
    <row r="1402" spans="1:36">
      <c r="A1402" s="374" t="s">
        <v>2426</v>
      </c>
      <c r="B1402" s="374">
        <v>4</v>
      </c>
      <c r="C1402" s="374" t="s">
        <v>862</v>
      </c>
      <c r="D1402" s="375" t="str">
        <f t="shared" si="286"/>
        <v>Elinya Estate4</v>
      </c>
      <c r="E1402" s="375" t="s">
        <v>10860</v>
      </c>
      <c r="F1402" s="375"/>
      <c r="G1402" s="375" t="s">
        <v>2428</v>
      </c>
      <c r="H1402" s="375" t="s">
        <v>2429</v>
      </c>
      <c r="I1402" s="63" t="s">
        <v>2430</v>
      </c>
      <c r="J1402" s="47"/>
      <c r="K1402" s="46" t="s">
        <v>10735</v>
      </c>
      <c r="L1402" s="47">
        <v>1210</v>
      </c>
      <c r="M1402" s="47"/>
      <c r="N1402" s="47"/>
      <c r="O1402" s="162" t="s">
        <v>7670</v>
      </c>
      <c r="P1402" s="47"/>
      <c r="Q1402" s="47"/>
      <c r="R1402" s="47"/>
      <c r="S1402" s="163" t="s">
        <v>7671</v>
      </c>
      <c r="T1402" s="47"/>
      <c r="U1402" s="47">
        <v>430</v>
      </c>
      <c r="V1402" s="47"/>
      <c r="W1402" s="47"/>
      <c r="X1402" s="47"/>
      <c r="Y1402" s="47"/>
      <c r="Z1402" s="47">
        <v>4620</v>
      </c>
      <c r="AA1402" s="47"/>
      <c r="AB1402" s="47"/>
      <c r="AC1402" s="47"/>
      <c r="AD1402" s="47"/>
      <c r="AE1402" s="47"/>
      <c r="AF1402" s="162">
        <v>1485</v>
      </c>
      <c r="AG1402" s="47"/>
      <c r="AH1402" s="47" t="s">
        <v>9976</v>
      </c>
      <c r="AI1402" s="47"/>
      <c r="AJ1402" s="47"/>
    </row>
    <row r="1403" spans="1:36">
      <c r="A1403" s="374" t="s">
        <v>2432</v>
      </c>
      <c r="B1403" s="374">
        <v>1</v>
      </c>
      <c r="C1403" s="374" t="s">
        <v>2433</v>
      </c>
      <c r="D1403" s="375" t="str">
        <f t="shared" si="286"/>
        <v>Elisha Court1</v>
      </c>
      <c r="E1403" s="375" t="s">
        <v>2434</v>
      </c>
      <c r="F1403" s="375"/>
      <c r="G1403" s="375" t="s">
        <v>2435</v>
      </c>
      <c r="H1403" s="375" t="s">
        <v>2436</v>
      </c>
      <c r="I1403" s="63" t="s">
        <v>2437</v>
      </c>
      <c r="J1403" s="47"/>
      <c r="K1403" s="46" t="s">
        <v>10735</v>
      </c>
      <c r="L1403" s="47"/>
      <c r="M1403" s="47"/>
      <c r="N1403" s="47"/>
      <c r="O1403" s="47"/>
      <c r="P1403" s="47"/>
      <c r="Q1403" s="47">
        <f>Q$2</f>
        <v>0</v>
      </c>
      <c r="R1403" s="47"/>
      <c r="S1403" s="47"/>
      <c r="T1403" s="47"/>
      <c r="U1403" s="47"/>
      <c r="V1403" s="47"/>
      <c r="W1403" s="47"/>
      <c r="X1403" s="47"/>
      <c r="Y1403" s="47"/>
      <c r="Z1403" s="47">
        <f>Z$7</f>
        <v>4620</v>
      </c>
      <c r="AA1403" s="47"/>
      <c r="AB1403" s="47"/>
      <c r="AC1403" s="47"/>
      <c r="AD1403" s="47"/>
      <c r="AE1403" s="47"/>
      <c r="AF1403" s="47"/>
      <c r="AG1403" s="47"/>
      <c r="AH1403" s="47" t="str">
        <f>IFERROR(_xlfn.XLOOKUP(Table6[[#This Row],[Suburb]],Table5[Travel Surcharge],Table5[$$]),"")</f>
        <v/>
      </c>
      <c r="AI1403" s="47"/>
      <c r="AJ1403" s="47"/>
    </row>
    <row r="1404" spans="1:36">
      <c r="A1404" s="374" t="s">
        <v>9697</v>
      </c>
      <c r="B1404" s="374">
        <v>10</v>
      </c>
      <c r="C1404" s="374" t="s">
        <v>2433</v>
      </c>
      <c r="D1404" s="375" t="str">
        <f t="shared" si="286"/>
        <v>Elisha court10</v>
      </c>
      <c r="E1404" s="375" t="s">
        <v>2434</v>
      </c>
      <c r="F1404" s="375"/>
      <c r="G1404" s="375"/>
      <c r="H1404" s="375"/>
      <c r="I1404" s="63"/>
      <c r="J1404" s="162"/>
      <c r="K1404" s="46" t="s">
        <v>10735</v>
      </c>
      <c r="L1404" s="162">
        <v>1210</v>
      </c>
      <c r="M1404" s="162"/>
      <c r="N1404" s="162"/>
      <c r="O1404" s="162"/>
      <c r="P1404" s="162"/>
      <c r="Q1404" s="162">
        <v>0</v>
      </c>
      <c r="R1404" s="162"/>
      <c r="S1404" s="162"/>
      <c r="T1404" s="162"/>
      <c r="U1404" s="162"/>
      <c r="V1404" s="162"/>
      <c r="W1404" s="162"/>
      <c r="X1404" s="162"/>
      <c r="Y1404" s="162"/>
      <c r="Z1404" s="162">
        <v>4620</v>
      </c>
      <c r="AA1404" s="162"/>
      <c r="AB1404" s="162"/>
      <c r="AC1404" s="162"/>
      <c r="AD1404" s="162"/>
      <c r="AE1404" s="162"/>
      <c r="AF1404" s="162"/>
      <c r="AG1404" s="162"/>
      <c r="AH1404" s="47" t="str">
        <f>IFERROR(_xlfn.XLOOKUP(Table6[[#This Row],[Suburb]],Table5[Travel Surcharge],Table5[$$]),"")</f>
        <v/>
      </c>
      <c r="AI1404" s="162"/>
      <c r="AJ1404" s="162"/>
    </row>
    <row r="1405" spans="1:36">
      <c r="A1405" s="374" t="s">
        <v>2438</v>
      </c>
      <c r="B1405" s="374">
        <v>6</v>
      </c>
      <c r="C1405" s="374" t="s">
        <v>1042</v>
      </c>
      <c r="D1405" s="375" t="str">
        <f t="shared" si="286"/>
        <v>Eliston Estate6</v>
      </c>
      <c r="E1405" s="375" t="s">
        <v>2439</v>
      </c>
      <c r="F1405" s="375" t="s">
        <v>1351</v>
      </c>
      <c r="G1405" s="375" t="s">
        <v>2440</v>
      </c>
      <c r="H1405" s="375" t="s">
        <v>2441</v>
      </c>
      <c r="I1405" s="63" t="s">
        <v>2442</v>
      </c>
      <c r="J1405" s="47">
        <f t="shared" ref="J1405:J1436" si="287">J$7</f>
        <v>3740</v>
      </c>
      <c r="K1405" s="46" t="s">
        <v>10735</v>
      </c>
      <c r="L1405" s="47"/>
      <c r="M1405" s="47">
        <f t="shared" ref="M1405:M1424" si="288">M$7</f>
        <v>1430.0000000000002</v>
      </c>
      <c r="N1405" s="47"/>
      <c r="O1405" s="47"/>
      <c r="P1405" s="47"/>
      <c r="Q1405" s="47">
        <f t="shared" ref="Q1405:Q1424" si="289">Q$2</f>
        <v>0</v>
      </c>
      <c r="R1405" s="47"/>
      <c r="S1405" s="47"/>
      <c r="T1405" s="47"/>
      <c r="U1405" s="47"/>
      <c r="V1405" s="47"/>
      <c r="W1405" s="47"/>
      <c r="X1405" s="47">
        <f t="shared" ref="X1405:X1424" si="290">X$7</f>
        <v>3000</v>
      </c>
      <c r="Y1405" s="47"/>
      <c r="Z1405" s="47">
        <f t="shared" ref="Z1405:AA1436" si="291">Z$7</f>
        <v>4620</v>
      </c>
      <c r="AA1405" s="47">
        <f t="shared" si="291"/>
        <v>1400</v>
      </c>
      <c r="AB1405" s="47" t="s">
        <v>1171</v>
      </c>
      <c r="AC1405" s="47"/>
      <c r="AD1405" s="47"/>
      <c r="AE1405" s="47"/>
      <c r="AF1405" s="47"/>
      <c r="AG1405" s="47"/>
      <c r="AH1405" s="47" t="str">
        <f>IFERROR(_xlfn.XLOOKUP(Table6[[#This Row],[Suburb]],Table5[Travel Surcharge],Table5[$$]),"")</f>
        <v/>
      </c>
      <c r="AI1405" s="47"/>
      <c r="AJ1405" s="47"/>
    </row>
    <row r="1406" spans="1:36">
      <c r="A1406" s="374" t="s">
        <v>2438</v>
      </c>
      <c r="B1406" s="374">
        <v>7</v>
      </c>
      <c r="C1406" s="374" t="s">
        <v>1042</v>
      </c>
      <c r="D1406" s="375" t="str">
        <f t="shared" si="286"/>
        <v>Eliston Estate7</v>
      </c>
      <c r="E1406" s="375" t="s">
        <v>2443</v>
      </c>
      <c r="F1406" s="375" t="s">
        <v>1351</v>
      </c>
      <c r="G1406" s="375" t="s">
        <v>2440</v>
      </c>
      <c r="H1406" s="375" t="s">
        <v>2441</v>
      </c>
      <c r="I1406" s="63" t="s">
        <v>2442</v>
      </c>
      <c r="J1406" s="47">
        <f t="shared" si="287"/>
        <v>3740</v>
      </c>
      <c r="K1406" s="46" t="s">
        <v>10735</v>
      </c>
      <c r="L1406" s="47"/>
      <c r="M1406" s="47">
        <f t="shared" si="288"/>
        <v>1430.0000000000002</v>
      </c>
      <c r="N1406" s="47"/>
      <c r="O1406" s="47"/>
      <c r="P1406" s="47"/>
      <c r="Q1406" s="47">
        <f t="shared" si="289"/>
        <v>0</v>
      </c>
      <c r="R1406" s="47"/>
      <c r="S1406" s="47"/>
      <c r="T1406" s="47"/>
      <c r="U1406" s="47"/>
      <c r="V1406" s="47"/>
      <c r="W1406" s="47"/>
      <c r="X1406" s="47">
        <f t="shared" si="290"/>
        <v>3000</v>
      </c>
      <c r="Y1406" s="47"/>
      <c r="Z1406" s="47">
        <f t="shared" si="291"/>
        <v>4620</v>
      </c>
      <c r="AA1406" s="47">
        <f t="shared" si="291"/>
        <v>1400</v>
      </c>
      <c r="AB1406" s="47" t="s">
        <v>1171</v>
      </c>
      <c r="AC1406" s="47"/>
      <c r="AD1406" s="47"/>
      <c r="AE1406" s="47"/>
      <c r="AF1406" s="47"/>
      <c r="AG1406" s="47"/>
      <c r="AH1406" s="47" t="str">
        <f>IFERROR(_xlfn.XLOOKUP(Table6[[#This Row],[Suburb]],Table5[Travel Surcharge],Table5[$$]),"")</f>
        <v/>
      </c>
      <c r="AI1406" s="47"/>
      <c r="AJ1406" s="47"/>
    </row>
    <row r="1407" spans="1:36">
      <c r="A1407" s="374" t="s">
        <v>2438</v>
      </c>
      <c r="B1407" s="374">
        <v>10</v>
      </c>
      <c r="C1407" s="374" t="s">
        <v>1042</v>
      </c>
      <c r="D1407" s="375" t="str">
        <f t="shared" si="286"/>
        <v>Eliston Estate10</v>
      </c>
      <c r="E1407" s="375" t="s">
        <v>2444</v>
      </c>
      <c r="F1407" s="375" t="s">
        <v>1351</v>
      </c>
      <c r="G1407" s="375" t="s">
        <v>2440</v>
      </c>
      <c r="H1407" s="375" t="s">
        <v>2441</v>
      </c>
      <c r="I1407" s="63" t="s">
        <v>2442</v>
      </c>
      <c r="J1407" s="47">
        <f t="shared" si="287"/>
        <v>3740</v>
      </c>
      <c r="K1407" s="46" t="s">
        <v>10735</v>
      </c>
      <c r="L1407" s="47"/>
      <c r="M1407" s="47">
        <f t="shared" si="288"/>
        <v>1430.0000000000002</v>
      </c>
      <c r="N1407" s="47"/>
      <c r="O1407" s="47"/>
      <c r="P1407" s="47"/>
      <c r="Q1407" s="47">
        <f t="shared" si="289"/>
        <v>0</v>
      </c>
      <c r="R1407" s="47"/>
      <c r="S1407" s="47"/>
      <c r="T1407" s="47"/>
      <c r="U1407" s="47"/>
      <c r="V1407" s="47"/>
      <c r="W1407" s="47"/>
      <c r="X1407" s="47">
        <f t="shared" si="290"/>
        <v>3000</v>
      </c>
      <c r="Y1407" s="47"/>
      <c r="Z1407" s="47">
        <f t="shared" si="291"/>
        <v>4620</v>
      </c>
      <c r="AA1407" s="47">
        <f t="shared" si="291"/>
        <v>1400</v>
      </c>
      <c r="AB1407" s="47" t="s">
        <v>1171</v>
      </c>
      <c r="AC1407" s="47"/>
      <c r="AD1407" s="47"/>
      <c r="AE1407" s="47"/>
      <c r="AF1407" s="47"/>
      <c r="AG1407" s="47"/>
      <c r="AH1407" s="47" t="str">
        <f>IFERROR(_xlfn.XLOOKUP(Table6[[#This Row],[Suburb]],Table5[Travel Surcharge],Table5[$$]),"")</f>
        <v/>
      </c>
      <c r="AI1407" s="47"/>
      <c r="AJ1407" s="47"/>
    </row>
    <row r="1408" spans="1:36">
      <c r="A1408" s="374" t="s">
        <v>2438</v>
      </c>
      <c r="B1408" s="374">
        <v>11</v>
      </c>
      <c r="C1408" s="374" t="s">
        <v>1042</v>
      </c>
      <c r="D1408" s="375" t="str">
        <f t="shared" si="286"/>
        <v>Eliston Estate11</v>
      </c>
      <c r="E1408" s="375" t="s">
        <v>2445</v>
      </c>
      <c r="F1408" s="375" t="s">
        <v>1351</v>
      </c>
      <c r="G1408" s="375" t="s">
        <v>2440</v>
      </c>
      <c r="H1408" s="375" t="s">
        <v>2441</v>
      </c>
      <c r="I1408" s="63" t="s">
        <v>2442</v>
      </c>
      <c r="J1408" s="47">
        <f t="shared" si="287"/>
        <v>3740</v>
      </c>
      <c r="K1408" s="46" t="s">
        <v>10735</v>
      </c>
      <c r="L1408" s="47"/>
      <c r="M1408" s="47">
        <f t="shared" si="288"/>
        <v>1430.0000000000002</v>
      </c>
      <c r="N1408" s="47"/>
      <c r="O1408" s="47"/>
      <c r="P1408" s="47"/>
      <c r="Q1408" s="47">
        <f t="shared" si="289"/>
        <v>0</v>
      </c>
      <c r="R1408" s="47"/>
      <c r="S1408" s="47"/>
      <c r="T1408" s="47"/>
      <c r="U1408" s="47"/>
      <c r="V1408" s="47"/>
      <c r="W1408" s="47"/>
      <c r="X1408" s="47">
        <f t="shared" si="290"/>
        <v>3000</v>
      </c>
      <c r="Y1408" s="47"/>
      <c r="Z1408" s="47">
        <f t="shared" si="291"/>
        <v>4620</v>
      </c>
      <c r="AA1408" s="47">
        <f t="shared" si="291"/>
        <v>1400</v>
      </c>
      <c r="AB1408" s="47" t="s">
        <v>1171</v>
      </c>
      <c r="AC1408" s="47"/>
      <c r="AD1408" s="47"/>
      <c r="AE1408" s="47"/>
      <c r="AF1408" s="47"/>
      <c r="AG1408" s="47"/>
      <c r="AH1408" s="47" t="str">
        <f>IFERROR(_xlfn.XLOOKUP(Table6[[#This Row],[Suburb]],Table5[Travel Surcharge],Table5[$$]),"")</f>
        <v/>
      </c>
      <c r="AI1408" s="47"/>
      <c r="AJ1408" s="47"/>
    </row>
    <row r="1409" spans="1:39">
      <c r="A1409" s="374" t="s">
        <v>2438</v>
      </c>
      <c r="B1409" s="374">
        <v>12</v>
      </c>
      <c r="C1409" s="374" t="s">
        <v>1042</v>
      </c>
      <c r="D1409" s="375" t="str">
        <f t="shared" si="286"/>
        <v>Eliston Estate12</v>
      </c>
      <c r="E1409" s="375" t="s">
        <v>2446</v>
      </c>
      <c r="F1409" s="375" t="s">
        <v>1351</v>
      </c>
      <c r="G1409" s="375" t="s">
        <v>2440</v>
      </c>
      <c r="H1409" s="375" t="s">
        <v>2441</v>
      </c>
      <c r="I1409" s="63" t="s">
        <v>2442</v>
      </c>
      <c r="J1409" s="47">
        <f t="shared" si="287"/>
        <v>3740</v>
      </c>
      <c r="K1409" s="46" t="s">
        <v>10735</v>
      </c>
      <c r="L1409" s="47"/>
      <c r="M1409" s="47">
        <f t="shared" si="288"/>
        <v>1430.0000000000002</v>
      </c>
      <c r="N1409" s="47"/>
      <c r="O1409" s="47"/>
      <c r="P1409" s="47"/>
      <c r="Q1409" s="47">
        <f t="shared" si="289"/>
        <v>0</v>
      </c>
      <c r="R1409" s="47"/>
      <c r="S1409" s="47"/>
      <c r="T1409" s="47"/>
      <c r="U1409" s="47"/>
      <c r="V1409" s="47"/>
      <c r="W1409" s="47"/>
      <c r="X1409" s="47">
        <f t="shared" si="290"/>
        <v>3000</v>
      </c>
      <c r="Y1409" s="47"/>
      <c r="Z1409" s="47">
        <f t="shared" si="291"/>
        <v>4620</v>
      </c>
      <c r="AA1409" s="47">
        <f t="shared" si="291"/>
        <v>1400</v>
      </c>
      <c r="AB1409" s="47" t="s">
        <v>1171</v>
      </c>
      <c r="AC1409" s="47"/>
      <c r="AD1409" s="47"/>
      <c r="AE1409" s="47"/>
      <c r="AF1409" s="47"/>
      <c r="AG1409" s="47"/>
      <c r="AH1409" s="47" t="str">
        <f>IFERROR(_xlfn.XLOOKUP(Table6[[#This Row],[Suburb]],Table5[Travel Surcharge],Table5[$$]),"")</f>
        <v/>
      </c>
      <c r="AI1409" s="47"/>
      <c r="AJ1409" s="47"/>
    </row>
    <row r="1410" spans="1:39">
      <c r="A1410" s="374" t="s">
        <v>2438</v>
      </c>
      <c r="B1410" s="374">
        <v>13</v>
      </c>
      <c r="C1410" s="374" t="s">
        <v>1042</v>
      </c>
      <c r="D1410" s="375" t="str">
        <f t="shared" si="286"/>
        <v>Eliston Estate13</v>
      </c>
      <c r="E1410" s="375" t="s">
        <v>2447</v>
      </c>
      <c r="F1410" s="375" t="s">
        <v>1351</v>
      </c>
      <c r="G1410" s="375" t="s">
        <v>2440</v>
      </c>
      <c r="H1410" s="375" t="s">
        <v>2441</v>
      </c>
      <c r="I1410" s="63" t="s">
        <v>2442</v>
      </c>
      <c r="J1410" s="47">
        <f t="shared" si="287"/>
        <v>3740</v>
      </c>
      <c r="K1410" s="46" t="s">
        <v>10735</v>
      </c>
      <c r="L1410" s="47"/>
      <c r="M1410" s="47">
        <f t="shared" si="288"/>
        <v>1430.0000000000002</v>
      </c>
      <c r="N1410" s="47"/>
      <c r="O1410" s="47"/>
      <c r="P1410" s="47"/>
      <c r="Q1410" s="47">
        <f t="shared" si="289"/>
        <v>0</v>
      </c>
      <c r="R1410" s="47"/>
      <c r="S1410" s="47"/>
      <c r="T1410" s="47"/>
      <c r="U1410" s="47"/>
      <c r="V1410" s="47"/>
      <c r="W1410" s="47"/>
      <c r="X1410" s="47">
        <f t="shared" si="290"/>
        <v>3000</v>
      </c>
      <c r="Y1410" s="47"/>
      <c r="Z1410" s="47">
        <f t="shared" si="291"/>
        <v>4620</v>
      </c>
      <c r="AA1410" s="47">
        <f t="shared" si="291"/>
        <v>1400</v>
      </c>
      <c r="AB1410" s="47" t="s">
        <v>1171</v>
      </c>
      <c r="AC1410" s="47"/>
      <c r="AD1410" s="47"/>
      <c r="AE1410" s="47"/>
      <c r="AF1410" s="47"/>
      <c r="AG1410" s="47"/>
      <c r="AH1410" s="47" t="str">
        <f>IFERROR(_xlfn.XLOOKUP(Table6[[#This Row],[Suburb]],Table5[Travel Surcharge],Table5[$$]),"")</f>
        <v/>
      </c>
      <c r="AI1410" s="47"/>
      <c r="AJ1410" s="47"/>
    </row>
    <row r="1411" spans="1:39">
      <c r="A1411" s="374" t="s">
        <v>2438</v>
      </c>
      <c r="B1411" s="374">
        <v>15</v>
      </c>
      <c r="C1411" s="374" t="s">
        <v>1042</v>
      </c>
      <c r="D1411" s="375" t="str">
        <f t="shared" si="286"/>
        <v>Eliston Estate15</v>
      </c>
      <c r="E1411" s="375" t="s">
        <v>2448</v>
      </c>
      <c r="F1411" s="375" t="s">
        <v>1351</v>
      </c>
      <c r="G1411" s="375" t="s">
        <v>2440</v>
      </c>
      <c r="H1411" s="375" t="s">
        <v>2441</v>
      </c>
      <c r="I1411" s="63" t="s">
        <v>2442</v>
      </c>
      <c r="J1411" s="47">
        <f t="shared" si="287"/>
        <v>3740</v>
      </c>
      <c r="K1411" s="46" t="s">
        <v>10735</v>
      </c>
      <c r="L1411" s="47"/>
      <c r="M1411" s="47">
        <f t="shared" si="288"/>
        <v>1430.0000000000002</v>
      </c>
      <c r="N1411" s="47"/>
      <c r="O1411" s="47"/>
      <c r="P1411" s="47"/>
      <c r="Q1411" s="47">
        <f t="shared" si="289"/>
        <v>0</v>
      </c>
      <c r="R1411" s="47"/>
      <c r="S1411" s="47"/>
      <c r="T1411" s="47"/>
      <c r="U1411" s="47"/>
      <c r="V1411" s="47"/>
      <c r="W1411" s="47"/>
      <c r="X1411" s="47">
        <f t="shared" si="290"/>
        <v>3000</v>
      </c>
      <c r="Y1411" s="47"/>
      <c r="Z1411" s="47">
        <f t="shared" si="291"/>
        <v>4620</v>
      </c>
      <c r="AA1411" s="47">
        <f t="shared" si="291"/>
        <v>1400</v>
      </c>
      <c r="AB1411" s="47" t="s">
        <v>1171</v>
      </c>
      <c r="AC1411" s="47"/>
      <c r="AD1411" s="47"/>
      <c r="AE1411" s="47"/>
      <c r="AF1411" s="47"/>
      <c r="AG1411" s="47"/>
      <c r="AH1411" s="47" t="str">
        <f>IFERROR(_xlfn.XLOOKUP(Table6[[#This Row],[Suburb]],Table5[Travel Surcharge],Table5[$$]),"")</f>
        <v/>
      </c>
      <c r="AI1411" s="47"/>
      <c r="AJ1411" s="47"/>
    </row>
    <row r="1412" spans="1:39">
      <c r="A1412" s="374" t="s">
        <v>2438</v>
      </c>
      <c r="B1412" s="374">
        <v>16</v>
      </c>
      <c r="C1412" s="374" t="s">
        <v>1042</v>
      </c>
      <c r="D1412" s="375" t="str">
        <f t="shared" si="286"/>
        <v>Eliston Estate16</v>
      </c>
      <c r="E1412" s="375" t="s">
        <v>2449</v>
      </c>
      <c r="F1412" s="375" t="s">
        <v>1351</v>
      </c>
      <c r="G1412" s="375" t="s">
        <v>2440</v>
      </c>
      <c r="H1412" s="375" t="s">
        <v>2441</v>
      </c>
      <c r="I1412" s="63" t="s">
        <v>2442</v>
      </c>
      <c r="J1412" s="47">
        <f t="shared" si="287"/>
        <v>3740</v>
      </c>
      <c r="K1412" s="46" t="s">
        <v>10735</v>
      </c>
      <c r="L1412" s="47"/>
      <c r="M1412" s="47">
        <f t="shared" si="288"/>
        <v>1430.0000000000002</v>
      </c>
      <c r="N1412" s="47"/>
      <c r="O1412" s="47"/>
      <c r="P1412" s="47"/>
      <c r="Q1412" s="47">
        <f t="shared" si="289"/>
        <v>0</v>
      </c>
      <c r="R1412" s="47"/>
      <c r="S1412" s="47"/>
      <c r="T1412" s="47"/>
      <c r="U1412" s="47"/>
      <c r="V1412" s="47"/>
      <c r="W1412" s="47"/>
      <c r="X1412" s="47">
        <f t="shared" si="290"/>
        <v>3000</v>
      </c>
      <c r="Y1412" s="47"/>
      <c r="Z1412" s="47">
        <f t="shared" si="291"/>
        <v>4620</v>
      </c>
      <c r="AA1412" s="47">
        <f t="shared" si="291"/>
        <v>1400</v>
      </c>
      <c r="AB1412" s="47" t="s">
        <v>1171</v>
      </c>
      <c r="AC1412" s="47"/>
      <c r="AD1412" s="47"/>
      <c r="AE1412" s="47"/>
      <c r="AF1412" s="47"/>
      <c r="AG1412" s="47"/>
      <c r="AH1412" s="47" t="str">
        <f>IFERROR(_xlfn.XLOOKUP(Table6[[#This Row],[Suburb]],Table5[Travel Surcharge],Table5[$$]),"")</f>
        <v/>
      </c>
      <c r="AI1412" s="47"/>
      <c r="AJ1412" s="47"/>
    </row>
    <row r="1413" spans="1:39">
      <c r="A1413" s="374" t="s">
        <v>2438</v>
      </c>
      <c r="B1413" s="374">
        <v>17</v>
      </c>
      <c r="C1413" s="374" t="s">
        <v>1042</v>
      </c>
      <c r="D1413" s="375" t="str">
        <f t="shared" si="286"/>
        <v>Eliston Estate17</v>
      </c>
      <c r="E1413" s="375" t="s">
        <v>2450</v>
      </c>
      <c r="F1413" s="375" t="s">
        <v>1351</v>
      </c>
      <c r="G1413" s="375" t="s">
        <v>2440</v>
      </c>
      <c r="H1413" s="375" t="s">
        <v>2441</v>
      </c>
      <c r="I1413" s="63" t="s">
        <v>2442</v>
      </c>
      <c r="J1413" s="47">
        <f t="shared" si="287"/>
        <v>3740</v>
      </c>
      <c r="K1413" s="46" t="s">
        <v>10735</v>
      </c>
      <c r="L1413" s="47"/>
      <c r="M1413" s="47">
        <f t="shared" si="288"/>
        <v>1430.0000000000002</v>
      </c>
      <c r="N1413" s="47"/>
      <c r="O1413" s="47"/>
      <c r="P1413" s="47"/>
      <c r="Q1413" s="47">
        <f t="shared" si="289"/>
        <v>0</v>
      </c>
      <c r="R1413" s="47"/>
      <c r="S1413" s="47"/>
      <c r="T1413" s="47"/>
      <c r="U1413" s="47"/>
      <c r="V1413" s="47"/>
      <c r="W1413" s="47"/>
      <c r="X1413" s="47">
        <f t="shared" si="290"/>
        <v>3000</v>
      </c>
      <c r="Y1413" s="47"/>
      <c r="Z1413" s="47">
        <f t="shared" si="291"/>
        <v>4620</v>
      </c>
      <c r="AA1413" s="47">
        <f t="shared" si="291"/>
        <v>1400</v>
      </c>
      <c r="AB1413" s="47" t="s">
        <v>1171</v>
      </c>
      <c r="AC1413" s="47"/>
      <c r="AD1413" s="47"/>
      <c r="AE1413" s="47"/>
      <c r="AF1413" s="47"/>
      <c r="AG1413" s="47"/>
      <c r="AH1413" s="47" t="str">
        <f>IFERROR(_xlfn.XLOOKUP(Table6[[#This Row],[Suburb]],Table5[Travel Surcharge],Table5[$$]),"")</f>
        <v/>
      </c>
      <c r="AI1413" s="47"/>
      <c r="AJ1413" s="47"/>
    </row>
    <row r="1414" spans="1:39">
      <c r="A1414" s="374" t="s">
        <v>2438</v>
      </c>
      <c r="B1414" s="374">
        <v>18</v>
      </c>
      <c r="C1414" s="374" t="s">
        <v>1042</v>
      </c>
      <c r="D1414" s="375" t="str">
        <f t="shared" si="286"/>
        <v>Eliston Estate18</v>
      </c>
      <c r="E1414" s="375" t="s">
        <v>2451</v>
      </c>
      <c r="F1414" s="375" t="s">
        <v>1351</v>
      </c>
      <c r="G1414" s="375" t="s">
        <v>2440</v>
      </c>
      <c r="H1414" s="375" t="s">
        <v>2441</v>
      </c>
      <c r="I1414" s="63" t="s">
        <v>2442</v>
      </c>
      <c r="J1414" s="47">
        <f t="shared" si="287"/>
        <v>3740</v>
      </c>
      <c r="K1414" s="46" t="s">
        <v>10735</v>
      </c>
      <c r="L1414" s="47"/>
      <c r="M1414" s="47">
        <f t="shared" si="288"/>
        <v>1430.0000000000002</v>
      </c>
      <c r="N1414" s="47"/>
      <c r="O1414" s="47"/>
      <c r="P1414" s="47"/>
      <c r="Q1414" s="47">
        <f t="shared" si="289"/>
        <v>0</v>
      </c>
      <c r="R1414" s="47"/>
      <c r="S1414" s="47"/>
      <c r="T1414" s="47"/>
      <c r="U1414" s="47"/>
      <c r="V1414" s="47"/>
      <c r="W1414" s="47"/>
      <c r="X1414" s="47">
        <f t="shared" si="290"/>
        <v>3000</v>
      </c>
      <c r="Y1414" s="47"/>
      <c r="Z1414" s="47">
        <f t="shared" si="291"/>
        <v>4620</v>
      </c>
      <c r="AA1414" s="47">
        <f t="shared" si="291"/>
        <v>1400</v>
      </c>
      <c r="AB1414" s="47" t="s">
        <v>1171</v>
      </c>
      <c r="AC1414" s="47"/>
      <c r="AD1414" s="47"/>
      <c r="AE1414" s="47"/>
      <c r="AF1414" s="47"/>
      <c r="AG1414" s="47"/>
      <c r="AH1414" s="47" t="str">
        <f>IFERROR(_xlfn.XLOOKUP(Table6[[#This Row],[Suburb]],Table5[Travel Surcharge],Table5[$$]),"")</f>
        <v/>
      </c>
      <c r="AI1414" s="47"/>
      <c r="AJ1414" s="47"/>
    </row>
    <row r="1415" spans="1:39">
      <c r="A1415" s="374" t="s">
        <v>2438</v>
      </c>
      <c r="B1415" s="374">
        <v>19</v>
      </c>
      <c r="C1415" s="374" t="s">
        <v>1042</v>
      </c>
      <c r="D1415" s="375" t="str">
        <f t="shared" si="286"/>
        <v>Eliston Estate19</v>
      </c>
      <c r="E1415" s="375" t="s">
        <v>2452</v>
      </c>
      <c r="F1415" s="375" t="s">
        <v>1351</v>
      </c>
      <c r="G1415" s="375" t="s">
        <v>2440</v>
      </c>
      <c r="H1415" s="375" t="s">
        <v>2441</v>
      </c>
      <c r="I1415" s="63" t="s">
        <v>2442</v>
      </c>
      <c r="J1415" s="47">
        <f t="shared" si="287"/>
        <v>3740</v>
      </c>
      <c r="K1415" s="46" t="s">
        <v>10735</v>
      </c>
      <c r="L1415" s="47"/>
      <c r="M1415" s="47">
        <f t="shared" si="288"/>
        <v>1430.0000000000002</v>
      </c>
      <c r="N1415" s="47"/>
      <c r="O1415" s="47"/>
      <c r="P1415" s="47"/>
      <c r="Q1415" s="47">
        <f t="shared" si="289"/>
        <v>0</v>
      </c>
      <c r="R1415" s="47"/>
      <c r="S1415" s="47"/>
      <c r="T1415" s="47"/>
      <c r="U1415" s="47"/>
      <c r="V1415" s="47"/>
      <c r="W1415" s="47"/>
      <c r="X1415" s="47">
        <f t="shared" si="290"/>
        <v>3000</v>
      </c>
      <c r="Y1415" s="47"/>
      <c r="Z1415" s="47">
        <f t="shared" si="291"/>
        <v>4620</v>
      </c>
      <c r="AA1415" s="47">
        <f t="shared" si="291"/>
        <v>1400</v>
      </c>
      <c r="AB1415" s="47" t="s">
        <v>1171</v>
      </c>
      <c r="AC1415" s="47"/>
      <c r="AD1415" s="47"/>
      <c r="AE1415" s="47"/>
      <c r="AF1415" s="47"/>
      <c r="AG1415" s="47"/>
      <c r="AH1415" s="47" t="str">
        <f>IFERROR(_xlfn.XLOOKUP(Table6[[#This Row],[Suburb]],Table5[Travel Surcharge],Table5[$$]),"")</f>
        <v/>
      </c>
      <c r="AI1415" s="47"/>
      <c r="AJ1415" s="47"/>
    </row>
    <row r="1416" spans="1:39">
      <c r="A1416" s="374" t="s">
        <v>2438</v>
      </c>
      <c r="B1416" s="374">
        <v>20</v>
      </c>
      <c r="C1416" s="374" t="s">
        <v>1042</v>
      </c>
      <c r="D1416" s="375" t="str">
        <f t="shared" si="286"/>
        <v>Eliston Estate20</v>
      </c>
      <c r="E1416" s="375" t="s">
        <v>2453</v>
      </c>
      <c r="F1416" s="375" t="s">
        <v>1351</v>
      </c>
      <c r="G1416" s="375" t="s">
        <v>2440</v>
      </c>
      <c r="H1416" s="375" t="s">
        <v>2441</v>
      </c>
      <c r="I1416" s="63" t="s">
        <v>2442</v>
      </c>
      <c r="J1416" s="47">
        <f t="shared" si="287"/>
        <v>3740</v>
      </c>
      <c r="K1416" s="46" t="s">
        <v>10735</v>
      </c>
      <c r="L1416" s="47"/>
      <c r="M1416" s="47">
        <f t="shared" si="288"/>
        <v>1430.0000000000002</v>
      </c>
      <c r="N1416" s="47"/>
      <c r="O1416" s="47"/>
      <c r="P1416" s="47"/>
      <c r="Q1416" s="47">
        <f t="shared" si="289"/>
        <v>0</v>
      </c>
      <c r="R1416" s="47"/>
      <c r="S1416" s="47"/>
      <c r="T1416" s="47"/>
      <c r="U1416" s="47"/>
      <c r="V1416" s="47"/>
      <c r="W1416" s="47"/>
      <c r="X1416" s="47">
        <f t="shared" si="290"/>
        <v>3000</v>
      </c>
      <c r="Y1416" s="47"/>
      <c r="Z1416" s="47">
        <f t="shared" si="291"/>
        <v>4620</v>
      </c>
      <c r="AA1416" s="47">
        <f t="shared" si="291"/>
        <v>1400</v>
      </c>
      <c r="AB1416" s="47" t="s">
        <v>1171</v>
      </c>
      <c r="AC1416" s="47"/>
      <c r="AD1416" s="47"/>
      <c r="AE1416" s="47"/>
      <c r="AF1416" s="47"/>
      <c r="AG1416" s="47"/>
      <c r="AH1416" s="47" t="str">
        <f>IFERROR(_xlfn.XLOOKUP(Table6[[#This Row],[Suburb]],Table5[Travel Surcharge],Table5[$$]),"")</f>
        <v/>
      </c>
      <c r="AI1416" s="47"/>
      <c r="AJ1416" s="47"/>
    </row>
    <row r="1417" spans="1:39">
      <c r="A1417" s="374" t="s">
        <v>2438</v>
      </c>
      <c r="B1417" s="374">
        <v>21</v>
      </c>
      <c r="C1417" s="374" t="s">
        <v>1042</v>
      </c>
      <c r="D1417" s="375" t="str">
        <f t="shared" si="286"/>
        <v>Eliston Estate21</v>
      </c>
      <c r="E1417" s="375" t="s">
        <v>2454</v>
      </c>
      <c r="F1417" s="375" t="s">
        <v>1351</v>
      </c>
      <c r="G1417" s="375" t="s">
        <v>2440</v>
      </c>
      <c r="H1417" s="375" t="s">
        <v>2441</v>
      </c>
      <c r="I1417" s="63" t="s">
        <v>2442</v>
      </c>
      <c r="J1417" s="47">
        <f t="shared" si="287"/>
        <v>3740</v>
      </c>
      <c r="K1417" s="46" t="s">
        <v>10735</v>
      </c>
      <c r="L1417" s="47"/>
      <c r="M1417" s="47">
        <f t="shared" si="288"/>
        <v>1430.0000000000002</v>
      </c>
      <c r="N1417" s="47"/>
      <c r="O1417" s="47"/>
      <c r="P1417" s="47"/>
      <c r="Q1417" s="47">
        <f t="shared" si="289"/>
        <v>0</v>
      </c>
      <c r="R1417" s="47"/>
      <c r="S1417" s="47"/>
      <c r="T1417" s="47"/>
      <c r="U1417" s="47"/>
      <c r="V1417" s="47"/>
      <c r="W1417" s="47"/>
      <c r="X1417" s="47">
        <f t="shared" si="290"/>
        <v>3000</v>
      </c>
      <c r="Y1417" s="47"/>
      <c r="Z1417" s="47">
        <f t="shared" si="291"/>
        <v>4620</v>
      </c>
      <c r="AA1417" s="47">
        <f t="shared" si="291"/>
        <v>1400</v>
      </c>
      <c r="AB1417" s="47" t="s">
        <v>1171</v>
      </c>
      <c r="AC1417" s="47"/>
      <c r="AD1417" s="47"/>
      <c r="AE1417" s="47"/>
      <c r="AF1417" s="47"/>
      <c r="AG1417" s="47"/>
      <c r="AH1417" s="47" t="str">
        <f>IFERROR(_xlfn.XLOOKUP(Table6[[#This Row],[Suburb]],Table5[Travel Surcharge],Table5[$$]),"")</f>
        <v/>
      </c>
      <c r="AI1417" s="47"/>
      <c r="AJ1417" s="47"/>
    </row>
    <row r="1418" spans="1:39">
      <c r="A1418" s="374" t="s">
        <v>2438</v>
      </c>
      <c r="B1418" s="374">
        <v>23</v>
      </c>
      <c r="C1418" s="374" t="s">
        <v>1042</v>
      </c>
      <c r="D1418" s="375" t="str">
        <f t="shared" si="286"/>
        <v>Eliston Estate23</v>
      </c>
      <c r="E1418" s="375" t="s">
        <v>2455</v>
      </c>
      <c r="F1418" s="375" t="s">
        <v>1351</v>
      </c>
      <c r="G1418" s="375" t="s">
        <v>2440</v>
      </c>
      <c r="H1418" s="375" t="s">
        <v>2441</v>
      </c>
      <c r="I1418" s="63" t="s">
        <v>2442</v>
      </c>
      <c r="J1418" s="47">
        <f t="shared" si="287"/>
        <v>3740</v>
      </c>
      <c r="K1418" s="46" t="s">
        <v>10735</v>
      </c>
      <c r="L1418" s="47"/>
      <c r="M1418" s="47">
        <f t="shared" si="288"/>
        <v>1430.0000000000002</v>
      </c>
      <c r="N1418" s="47"/>
      <c r="O1418" s="47"/>
      <c r="P1418" s="47"/>
      <c r="Q1418" s="47">
        <f t="shared" si="289"/>
        <v>0</v>
      </c>
      <c r="R1418" s="47"/>
      <c r="S1418" s="47"/>
      <c r="T1418" s="47"/>
      <c r="U1418" s="47"/>
      <c r="V1418" s="47"/>
      <c r="W1418" s="47"/>
      <c r="X1418" s="47">
        <f t="shared" si="290"/>
        <v>3000</v>
      </c>
      <c r="Y1418" s="47"/>
      <c r="Z1418" s="47">
        <f t="shared" si="291"/>
        <v>4620</v>
      </c>
      <c r="AA1418" s="47">
        <f t="shared" si="291"/>
        <v>1400</v>
      </c>
      <c r="AB1418" s="47" t="s">
        <v>1171</v>
      </c>
      <c r="AC1418" s="47"/>
      <c r="AD1418" s="47"/>
      <c r="AE1418" s="47"/>
      <c r="AF1418" s="47"/>
      <c r="AG1418" s="47"/>
      <c r="AH1418" s="47" t="str">
        <f>IFERROR(_xlfn.XLOOKUP(Table6[[#This Row],[Suburb]],Table5[Travel Surcharge],Table5[$$]),"")</f>
        <v/>
      </c>
      <c r="AI1418" s="47"/>
      <c r="AJ1418" s="47"/>
    </row>
    <row r="1419" spans="1:39">
      <c r="A1419" s="374" t="s">
        <v>2438</v>
      </c>
      <c r="B1419" s="374">
        <v>24</v>
      </c>
      <c r="C1419" s="374" t="s">
        <v>1042</v>
      </c>
      <c r="D1419" s="375" t="str">
        <f t="shared" si="286"/>
        <v>Eliston Estate24</v>
      </c>
      <c r="E1419" s="375" t="s">
        <v>2456</v>
      </c>
      <c r="F1419" s="375" t="s">
        <v>1351</v>
      </c>
      <c r="G1419" s="375" t="s">
        <v>2440</v>
      </c>
      <c r="H1419" s="375" t="s">
        <v>2441</v>
      </c>
      <c r="I1419" s="63" t="s">
        <v>2442</v>
      </c>
      <c r="J1419" s="47">
        <f t="shared" si="287"/>
        <v>3740</v>
      </c>
      <c r="K1419" s="46" t="s">
        <v>10735</v>
      </c>
      <c r="L1419" s="47"/>
      <c r="M1419" s="47">
        <f t="shared" si="288"/>
        <v>1430.0000000000002</v>
      </c>
      <c r="N1419" s="47"/>
      <c r="O1419" s="47"/>
      <c r="P1419" s="47"/>
      <c r="Q1419" s="47">
        <f t="shared" si="289"/>
        <v>0</v>
      </c>
      <c r="R1419" s="47"/>
      <c r="S1419" s="47"/>
      <c r="T1419" s="47"/>
      <c r="U1419" s="47"/>
      <c r="V1419" s="47"/>
      <c r="W1419" s="47"/>
      <c r="X1419" s="47">
        <f t="shared" si="290"/>
        <v>3000</v>
      </c>
      <c r="Y1419" s="47"/>
      <c r="Z1419" s="47">
        <f t="shared" si="291"/>
        <v>4620</v>
      </c>
      <c r="AA1419" s="47">
        <f t="shared" si="291"/>
        <v>1400</v>
      </c>
      <c r="AB1419" s="47" t="s">
        <v>1171</v>
      </c>
      <c r="AC1419" s="47"/>
      <c r="AD1419" s="47"/>
      <c r="AE1419" s="47"/>
      <c r="AF1419" s="47"/>
      <c r="AG1419" s="47"/>
      <c r="AH1419" s="47" t="str">
        <f>IFERROR(_xlfn.XLOOKUP(Table6[[#This Row],[Suburb]],Table5[Travel Surcharge],Table5[$$]),"")</f>
        <v/>
      </c>
      <c r="AI1419" s="47"/>
      <c r="AJ1419" s="47"/>
    </row>
    <row r="1420" spans="1:39">
      <c r="A1420" s="374" t="s">
        <v>2438</v>
      </c>
      <c r="B1420" s="374">
        <v>25</v>
      </c>
      <c r="C1420" s="374" t="s">
        <v>1042</v>
      </c>
      <c r="D1420" s="375" t="str">
        <f t="shared" si="286"/>
        <v>Eliston Estate25</v>
      </c>
      <c r="E1420" s="375" t="s">
        <v>2458</v>
      </c>
      <c r="F1420" s="375" t="s">
        <v>1351</v>
      </c>
      <c r="G1420" s="375" t="s">
        <v>2440</v>
      </c>
      <c r="H1420" s="375" t="s">
        <v>2441</v>
      </c>
      <c r="I1420" s="63" t="s">
        <v>2442</v>
      </c>
      <c r="J1420" s="47">
        <f t="shared" si="287"/>
        <v>3740</v>
      </c>
      <c r="K1420" s="46" t="s">
        <v>10735</v>
      </c>
      <c r="L1420" s="47"/>
      <c r="M1420" s="47">
        <f t="shared" si="288"/>
        <v>1430.0000000000002</v>
      </c>
      <c r="N1420" s="47"/>
      <c r="O1420" s="47"/>
      <c r="P1420" s="47"/>
      <c r="Q1420" s="47">
        <f t="shared" si="289"/>
        <v>0</v>
      </c>
      <c r="R1420" s="47"/>
      <c r="S1420" s="47"/>
      <c r="T1420" s="47"/>
      <c r="U1420" s="47"/>
      <c r="V1420" s="47"/>
      <c r="W1420" s="47"/>
      <c r="X1420" s="47">
        <f t="shared" si="290"/>
        <v>3000</v>
      </c>
      <c r="Y1420" s="47"/>
      <c r="Z1420" s="47">
        <f t="shared" si="291"/>
        <v>4620</v>
      </c>
      <c r="AA1420" s="47">
        <f t="shared" si="291"/>
        <v>1400</v>
      </c>
      <c r="AB1420" s="47" t="s">
        <v>1171</v>
      </c>
      <c r="AC1420" s="47"/>
      <c r="AD1420" s="47"/>
      <c r="AE1420" s="47"/>
      <c r="AF1420" s="47"/>
      <c r="AG1420" s="47"/>
      <c r="AH1420" s="47" t="str">
        <f>IFERROR(_xlfn.XLOOKUP(Table6[[#This Row],[Suburb]],Table5[Travel Surcharge],Table5[$$]),"")</f>
        <v/>
      </c>
      <c r="AI1420" s="47"/>
      <c r="AJ1420" s="47"/>
    </row>
    <row r="1421" spans="1:39">
      <c r="A1421" s="374" t="s">
        <v>2438</v>
      </c>
      <c r="B1421" s="374">
        <v>26</v>
      </c>
      <c r="C1421" s="374" t="s">
        <v>1042</v>
      </c>
      <c r="D1421" s="375" t="str">
        <f t="shared" si="286"/>
        <v>Eliston Estate26</v>
      </c>
      <c r="E1421" s="375" t="s">
        <v>2459</v>
      </c>
      <c r="F1421" s="375" t="s">
        <v>1351</v>
      </c>
      <c r="G1421" s="375" t="s">
        <v>2440</v>
      </c>
      <c r="H1421" s="375" t="s">
        <v>2441</v>
      </c>
      <c r="I1421" s="63" t="s">
        <v>2442</v>
      </c>
      <c r="J1421" s="47">
        <f t="shared" si="287"/>
        <v>3740</v>
      </c>
      <c r="K1421" s="46" t="s">
        <v>10735</v>
      </c>
      <c r="L1421" s="47"/>
      <c r="M1421" s="47">
        <f t="shared" si="288"/>
        <v>1430.0000000000002</v>
      </c>
      <c r="N1421" s="47"/>
      <c r="O1421" s="47"/>
      <c r="P1421" s="47"/>
      <c r="Q1421" s="47">
        <f t="shared" si="289"/>
        <v>0</v>
      </c>
      <c r="R1421" s="47"/>
      <c r="S1421" s="47"/>
      <c r="T1421" s="47"/>
      <c r="U1421" s="47"/>
      <c r="V1421" s="47"/>
      <c r="W1421" s="47"/>
      <c r="X1421" s="47">
        <f t="shared" si="290"/>
        <v>3000</v>
      </c>
      <c r="Y1421" s="47"/>
      <c r="Z1421" s="47">
        <f t="shared" si="291"/>
        <v>4620</v>
      </c>
      <c r="AA1421" s="47">
        <f t="shared" si="291"/>
        <v>1400</v>
      </c>
      <c r="AB1421" s="47" t="s">
        <v>1171</v>
      </c>
      <c r="AC1421" s="47"/>
      <c r="AD1421" s="47"/>
      <c r="AE1421" s="47"/>
      <c r="AF1421" s="47"/>
      <c r="AG1421" s="47"/>
      <c r="AH1421" s="47" t="str">
        <f>IFERROR(_xlfn.XLOOKUP(Table6[[#This Row],[Suburb]],Table5[Travel Surcharge],Table5[$$]),"")</f>
        <v/>
      </c>
      <c r="AI1421" s="47"/>
      <c r="AJ1421" s="47"/>
    </row>
    <row r="1422" spans="1:39" s="157" customFormat="1">
      <c r="A1422" s="374" t="s">
        <v>2438</v>
      </c>
      <c r="B1422" s="374">
        <v>29</v>
      </c>
      <c r="C1422" s="374" t="s">
        <v>1042</v>
      </c>
      <c r="D1422" s="375" t="str">
        <f t="shared" si="286"/>
        <v>Eliston Estate29</v>
      </c>
      <c r="E1422" s="375" t="s">
        <v>2460</v>
      </c>
      <c r="F1422" s="375" t="s">
        <v>1351</v>
      </c>
      <c r="G1422" s="375" t="s">
        <v>2440</v>
      </c>
      <c r="H1422" s="375" t="s">
        <v>2441</v>
      </c>
      <c r="I1422" s="63" t="s">
        <v>2442</v>
      </c>
      <c r="J1422" s="47">
        <f t="shared" si="287"/>
        <v>3740</v>
      </c>
      <c r="K1422" s="46" t="s">
        <v>10735</v>
      </c>
      <c r="L1422" s="47"/>
      <c r="M1422" s="47">
        <f t="shared" si="288"/>
        <v>1430.0000000000002</v>
      </c>
      <c r="N1422" s="47"/>
      <c r="O1422" s="47"/>
      <c r="P1422" s="47"/>
      <c r="Q1422" s="47">
        <f t="shared" si="289"/>
        <v>0</v>
      </c>
      <c r="R1422" s="47"/>
      <c r="S1422" s="47"/>
      <c r="T1422" s="47"/>
      <c r="U1422" s="47"/>
      <c r="V1422" s="47"/>
      <c r="W1422" s="47"/>
      <c r="X1422" s="47">
        <f t="shared" si="290"/>
        <v>3000</v>
      </c>
      <c r="Y1422" s="47"/>
      <c r="Z1422" s="47">
        <f t="shared" si="291"/>
        <v>4620</v>
      </c>
      <c r="AA1422" s="47">
        <f t="shared" si="291"/>
        <v>1400</v>
      </c>
      <c r="AB1422" s="47" t="s">
        <v>1171</v>
      </c>
      <c r="AC1422" s="47"/>
      <c r="AD1422" s="47"/>
      <c r="AE1422" s="47"/>
      <c r="AF1422" s="47"/>
      <c r="AG1422" s="47"/>
      <c r="AH1422" s="47" t="str">
        <f>IFERROR(_xlfn.XLOOKUP(Table6[[#This Row],[Suburb]],Table5[Travel Surcharge],Table5[$$]),"")</f>
        <v/>
      </c>
      <c r="AI1422" s="47"/>
      <c r="AJ1422" s="47"/>
      <c r="AM1422" s="208"/>
    </row>
    <row r="1423" spans="1:39">
      <c r="A1423" s="157" t="s">
        <v>2438</v>
      </c>
      <c r="B1423" s="157">
        <v>31</v>
      </c>
      <c r="C1423" s="157" t="s">
        <v>1042</v>
      </c>
      <c r="D1423" s="157" t="str">
        <f t="shared" si="286"/>
        <v>Eliston Estate31</v>
      </c>
      <c r="E1423" s="157" t="s">
        <v>8346</v>
      </c>
      <c r="F1423" s="157" t="s">
        <v>1351</v>
      </c>
      <c r="G1423" s="157" t="s">
        <v>2440</v>
      </c>
      <c r="H1423" s="157" t="s">
        <v>2441</v>
      </c>
      <c r="I1423" s="158" t="s">
        <v>2442</v>
      </c>
      <c r="J1423" s="47">
        <f t="shared" si="287"/>
        <v>3740</v>
      </c>
      <c r="K1423" s="46" t="s">
        <v>10735</v>
      </c>
      <c r="L1423" s="47"/>
      <c r="M1423" s="47">
        <f t="shared" si="288"/>
        <v>1430.0000000000002</v>
      </c>
      <c r="N1423" s="47"/>
      <c r="O1423" s="47"/>
      <c r="P1423" s="47"/>
      <c r="Q1423" s="47">
        <f t="shared" si="289"/>
        <v>0</v>
      </c>
      <c r="R1423" s="47"/>
      <c r="S1423" s="47"/>
      <c r="T1423" s="47"/>
      <c r="U1423" s="47"/>
      <c r="V1423" s="47"/>
      <c r="W1423" s="47"/>
      <c r="X1423" s="47">
        <f t="shared" si="290"/>
        <v>3000</v>
      </c>
      <c r="Y1423" s="47"/>
      <c r="Z1423" s="47">
        <f t="shared" si="291"/>
        <v>4620</v>
      </c>
      <c r="AA1423" s="47">
        <f t="shared" si="291"/>
        <v>1400</v>
      </c>
      <c r="AB1423" s="47" t="s">
        <v>1171</v>
      </c>
      <c r="AC1423" s="47"/>
      <c r="AD1423" s="47"/>
      <c r="AE1423" s="47"/>
      <c r="AF1423" s="47"/>
      <c r="AG1423" s="47"/>
      <c r="AH1423" s="47" t="str">
        <f>IFERROR(_xlfn.XLOOKUP(Table6[[#This Row],[Suburb]],Table5[Travel Surcharge],Table5[$$]),"")</f>
        <v/>
      </c>
      <c r="AI1423" s="47"/>
      <c r="AJ1423" s="47"/>
    </row>
    <row r="1424" spans="1:39">
      <c r="A1424" s="374" t="s">
        <v>2438</v>
      </c>
      <c r="B1424" s="374" t="s">
        <v>1657</v>
      </c>
      <c r="C1424" s="374" t="s">
        <v>1042</v>
      </c>
      <c r="D1424" s="375" t="str">
        <f t="shared" si="286"/>
        <v>Eliston Estate24B</v>
      </c>
      <c r="E1424" s="375" t="s">
        <v>2457</v>
      </c>
      <c r="F1424" s="375" t="s">
        <v>1351</v>
      </c>
      <c r="G1424" s="375" t="s">
        <v>2440</v>
      </c>
      <c r="H1424" s="375" t="s">
        <v>2441</v>
      </c>
      <c r="I1424" s="63" t="s">
        <v>2442</v>
      </c>
      <c r="J1424" s="47">
        <f t="shared" si="287"/>
        <v>3740</v>
      </c>
      <c r="K1424" s="46" t="s">
        <v>10735</v>
      </c>
      <c r="L1424" s="47"/>
      <c r="M1424" s="47">
        <f t="shared" si="288"/>
        <v>1430.0000000000002</v>
      </c>
      <c r="N1424" s="47"/>
      <c r="O1424" s="47"/>
      <c r="P1424" s="47"/>
      <c r="Q1424" s="47">
        <f t="shared" si="289"/>
        <v>0</v>
      </c>
      <c r="R1424" s="47"/>
      <c r="S1424" s="47"/>
      <c r="T1424" s="47"/>
      <c r="U1424" s="47"/>
      <c r="V1424" s="47"/>
      <c r="W1424" s="47"/>
      <c r="X1424" s="47">
        <f t="shared" si="290"/>
        <v>3000</v>
      </c>
      <c r="Y1424" s="47"/>
      <c r="Z1424" s="47">
        <f t="shared" si="291"/>
        <v>4620</v>
      </c>
      <c r="AA1424" s="47">
        <f t="shared" si="291"/>
        <v>1400</v>
      </c>
      <c r="AB1424" s="47" t="s">
        <v>1171</v>
      </c>
      <c r="AC1424" s="47"/>
      <c r="AD1424" s="47"/>
      <c r="AE1424" s="47"/>
      <c r="AF1424" s="47"/>
      <c r="AG1424" s="47"/>
      <c r="AH1424" s="47" t="str">
        <f>IFERROR(_xlfn.XLOOKUP(Table6[[#This Row],[Suburb]],Table5[Travel Surcharge],Table5[$$]),"")</f>
        <v/>
      </c>
      <c r="AI1424" s="47"/>
      <c r="AJ1424" s="47"/>
    </row>
    <row r="1425" spans="1:36">
      <c r="A1425" s="374" t="s">
        <v>2461</v>
      </c>
      <c r="B1425" s="374">
        <v>1</v>
      </c>
      <c r="C1425" s="374" t="s">
        <v>538</v>
      </c>
      <c r="D1425" s="375" t="str">
        <f t="shared" si="286"/>
        <v>Ellarook Estate1</v>
      </c>
      <c r="E1425" s="375" t="s">
        <v>2462</v>
      </c>
      <c r="F1425" s="375" t="s">
        <v>690</v>
      </c>
      <c r="G1425" s="375" t="s">
        <v>2463</v>
      </c>
      <c r="H1425" s="375" t="s">
        <v>2464</v>
      </c>
      <c r="I1425" s="63" t="s">
        <v>2465</v>
      </c>
      <c r="J1425" s="47">
        <f t="shared" si="287"/>
        <v>3740</v>
      </c>
      <c r="K1425" s="46" t="s">
        <v>2466</v>
      </c>
      <c r="L1425" s="47">
        <f t="shared" ref="L1425:L1436" si="292">L$7</f>
        <v>1210</v>
      </c>
      <c r="M1425" s="47" t="s">
        <v>474</v>
      </c>
      <c r="N1425" s="47" t="s">
        <v>2467</v>
      </c>
      <c r="O1425" s="47"/>
      <c r="P1425" s="47"/>
      <c r="Q1425" s="47"/>
      <c r="R1425" s="47"/>
      <c r="S1425" s="47"/>
      <c r="T1425" s="47">
        <f t="shared" ref="T1425:T1436" si="293">T$2</f>
        <v>780</v>
      </c>
      <c r="U1425" s="47"/>
      <c r="V1425" s="47"/>
      <c r="W1425" s="47" t="s">
        <v>2468</v>
      </c>
      <c r="X1425" s="47" t="s">
        <v>2469</v>
      </c>
      <c r="Y1425" s="47"/>
      <c r="Z1425" s="47">
        <f t="shared" si="291"/>
        <v>4620</v>
      </c>
      <c r="AA1425" s="47">
        <f t="shared" si="291"/>
        <v>1400</v>
      </c>
      <c r="AB1425" s="47"/>
      <c r="AC1425" s="47"/>
      <c r="AD1425" s="47"/>
      <c r="AE1425" s="47"/>
      <c r="AF1425" s="47">
        <f t="shared" ref="AF1425:AF1439" si="294">AF$7</f>
        <v>1485</v>
      </c>
      <c r="AG1425" s="47"/>
      <c r="AH1425" s="47" t="str">
        <f>IFERROR(_xlfn.XLOOKUP(Table6[[#This Row],[Suburb]],Table5[Travel Surcharge],Table5[$$]),"")</f>
        <v/>
      </c>
      <c r="AI1425" s="47">
        <f t="shared" ref="AI1425:AI1436" si="295">AI$7</f>
        <v>1650.0000000000002</v>
      </c>
      <c r="AJ1425" s="47"/>
    </row>
    <row r="1426" spans="1:36">
      <c r="A1426" s="374" t="s">
        <v>2461</v>
      </c>
      <c r="B1426" s="374">
        <v>2</v>
      </c>
      <c r="C1426" s="374" t="s">
        <v>538</v>
      </c>
      <c r="D1426" s="375" t="str">
        <f t="shared" si="286"/>
        <v>Ellarook Estate2</v>
      </c>
      <c r="E1426" s="375" t="s">
        <v>2470</v>
      </c>
      <c r="F1426" s="375" t="s">
        <v>690</v>
      </c>
      <c r="G1426" s="375" t="s">
        <v>2463</v>
      </c>
      <c r="H1426" s="375" t="s">
        <v>2464</v>
      </c>
      <c r="I1426" s="63" t="s">
        <v>2465</v>
      </c>
      <c r="J1426" s="47">
        <f t="shared" si="287"/>
        <v>3740</v>
      </c>
      <c r="K1426" s="46" t="s">
        <v>2466</v>
      </c>
      <c r="L1426" s="47">
        <f t="shared" si="292"/>
        <v>1210</v>
      </c>
      <c r="M1426" s="47" t="s">
        <v>474</v>
      </c>
      <c r="N1426" s="47" t="s">
        <v>2467</v>
      </c>
      <c r="O1426" s="47"/>
      <c r="P1426" s="47"/>
      <c r="Q1426" s="47"/>
      <c r="R1426" s="47"/>
      <c r="S1426" s="47"/>
      <c r="T1426" s="47">
        <f t="shared" si="293"/>
        <v>780</v>
      </c>
      <c r="U1426" s="47"/>
      <c r="V1426" s="47"/>
      <c r="W1426" s="47" t="s">
        <v>2468</v>
      </c>
      <c r="X1426" s="47" t="s">
        <v>2469</v>
      </c>
      <c r="Y1426" s="47"/>
      <c r="Z1426" s="47">
        <f t="shared" si="291"/>
        <v>4620</v>
      </c>
      <c r="AA1426" s="47">
        <f t="shared" si="291"/>
        <v>1400</v>
      </c>
      <c r="AB1426" s="47"/>
      <c r="AC1426" s="47"/>
      <c r="AD1426" s="47"/>
      <c r="AE1426" s="47"/>
      <c r="AF1426" s="47">
        <f t="shared" si="294"/>
        <v>1485</v>
      </c>
      <c r="AG1426" s="47"/>
      <c r="AH1426" s="47" t="str">
        <f>IFERROR(_xlfn.XLOOKUP(Table6[[#This Row],[Suburb]],Table5[Travel Surcharge],Table5[$$]),"")</f>
        <v/>
      </c>
      <c r="AI1426" s="47">
        <f t="shared" si="295"/>
        <v>1650.0000000000002</v>
      </c>
      <c r="AJ1426" s="47"/>
    </row>
    <row r="1427" spans="1:36">
      <c r="A1427" s="374" t="s">
        <v>2461</v>
      </c>
      <c r="B1427" s="374">
        <v>3</v>
      </c>
      <c r="C1427" s="374" t="s">
        <v>538</v>
      </c>
      <c r="D1427" s="375" t="str">
        <f t="shared" si="286"/>
        <v>Ellarook Estate3</v>
      </c>
      <c r="E1427" s="375" t="s">
        <v>2471</v>
      </c>
      <c r="F1427" s="375" t="s">
        <v>690</v>
      </c>
      <c r="G1427" s="375" t="s">
        <v>2463</v>
      </c>
      <c r="H1427" s="375" t="s">
        <v>2464</v>
      </c>
      <c r="I1427" s="63" t="s">
        <v>2465</v>
      </c>
      <c r="J1427" s="47">
        <f t="shared" si="287"/>
        <v>3740</v>
      </c>
      <c r="K1427" s="46" t="s">
        <v>2466</v>
      </c>
      <c r="L1427" s="47">
        <f t="shared" si="292"/>
        <v>1210</v>
      </c>
      <c r="M1427" s="47" t="s">
        <v>474</v>
      </c>
      <c r="N1427" s="47" t="s">
        <v>2467</v>
      </c>
      <c r="O1427" s="47"/>
      <c r="P1427" s="47"/>
      <c r="Q1427" s="47"/>
      <c r="R1427" s="47"/>
      <c r="S1427" s="47"/>
      <c r="T1427" s="47">
        <f t="shared" si="293"/>
        <v>780</v>
      </c>
      <c r="U1427" s="47"/>
      <c r="V1427" s="47"/>
      <c r="W1427" s="47" t="s">
        <v>2468</v>
      </c>
      <c r="X1427" s="47" t="s">
        <v>2469</v>
      </c>
      <c r="Y1427" s="47"/>
      <c r="Z1427" s="47">
        <f t="shared" si="291"/>
        <v>4620</v>
      </c>
      <c r="AA1427" s="47">
        <f t="shared" si="291"/>
        <v>1400</v>
      </c>
      <c r="AB1427" s="47"/>
      <c r="AC1427" s="47"/>
      <c r="AD1427" s="47"/>
      <c r="AE1427" s="47"/>
      <c r="AF1427" s="47">
        <f t="shared" si="294"/>
        <v>1485</v>
      </c>
      <c r="AG1427" s="47"/>
      <c r="AH1427" s="47" t="str">
        <f>IFERROR(_xlfn.XLOOKUP(Table6[[#This Row],[Suburb]],Table5[Travel Surcharge],Table5[$$]),"")</f>
        <v/>
      </c>
      <c r="AI1427" s="47">
        <f t="shared" si="295"/>
        <v>1650.0000000000002</v>
      </c>
      <c r="AJ1427" s="47"/>
    </row>
    <row r="1428" spans="1:36">
      <c r="A1428" s="374" t="s">
        <v>2461</v>
      </c>
      <c r="B1428" s="374">
        <v>4</v>
      </c>
      <c r="C1428" s="374" t="s">
        <v>538</v>
      </c>
      <c r="D1428" s="375" t="str">
        <f t="shared" si="286"/>
        <v>Ellarook Estate4</v>
      </c>
      <c r="E1428" s="375" t="s">
        <v>2472</v>
      </c>
      <c r="F1428" s="375" t="s">
        <v>690</v>
      </c>
      <c r="G1428" s="375" t="s">
        <v>2463</v>
      </c>
      <c r="H1428" s="375" t="s">
        <v>2464</v>
      </c>
      <c r="I1428" s="63" t="s">
        <v>2465</v>
      </c>
      <c r="J1428" s="47">
        <f t="shared" si="287"/>
        <v>3740</v>
      </c>
      <c r="K1428" s="46" t="s">
        <v>2466</v>
      </c>
      <c r="L1428" s="47">
        <f t="shared" si="292"/>
        <v>1210</v>
      </c>
      <c r="M1428" s="47" t="s">
        <v>474</v>
      </c>
      <c r="N1428" s="47" t="s">
        <v>2467</v>
      </c>
      <c r="O1428" s="47"/>
      <c r="P1428" s="47"/>
      <c r="Q1428" s="47"/>
      <c r="R1428" s="47"/>
      <c r="S1428" s="47"/>
      <c r="T1428" s="47">
        <f t="shared" si="293"/>
        <v>780</v>
      </c>
      <c r="U1428" s="47"/>
      <c r="V1428" s="47"/>
      <c r="W1428" s="47" t="s">
        <v>2468</v>
      </c>
      <c r="X1428" s="47" t="s">
        <v>2469</v>
      </c>
      <c r="Y1428" s="47"/>
      <c r="Z1428" s="47">
        <f t="shared" si="291"/>
        <v>4620</v>
      </c>
      <c r="AA1428" s="47">
        <f t="shared" si="291"/>
        <v>1400</v>
      </c>
      <c r="AB1428" s="47"/>
      <c r="AC1428" s="47"/>
      <c r="AD1428" s="47"/>
      <c r="AE1428" s="47"/>
      <c r="AF1428" s="47">
        <f t="shared" si="294"/>
        <v>1485</v>
      </c>
      <c r="AG1428" s="47"/>
      <c r="AH1428" s="47" t="str">
        <f>IFERROR(_xlfn.XLOOKUP(Table6[[#This Row],[Suburb]],Table5[Travel Surcharge],Table5[$$]),"")</f>
        <v/>
      </c>
      <c r="AI1428" s="47">
        <f t="shared" si="295"/>
        <v>1650.0000000000002</v>
      </c>
      <c r="AJ1428" s="47"/>
    </row>
    <row r="1429" spans="1:36">
      <c r="A1429" s="374" t="s">
        <v>2461</v>
      </c>
      <c r="B1429" s="374">
        <v>5</v>
      </c>
      <c r="C1429" s="374" t="s">
        <v>538</v>
      </c>
      <c r="D1429" s="375" t="str">
        <f t="shared" si="286"/>
        <v>Ellarook Estate5</v>
      </c>
      <c r="E1429" s="375" t="s">
        <v>2473</v>
      </c>
      <c r="F1429" s="375" t="s">
        <v>690</v>
      </c>
      <c r="G1429" s="375" t="s">
        <v>2463</v>
      </c>
      <c r="H1429" s="375" t="s">
        <v>2464</v>
      </c>
      <c r="I1429" s="63" t="s">
        <v>2465</v>
      </c>
      <c r="J1429" s="47">
        <f t="shared" si="287"/>
        <v>3740</v>
      </c>
      <c r="K1429" s="46" t="s">
        <v>2466</v>
      </c>
      <c r="L1429" s="47">
        <f t="shared" si="292"/>
        <v>1210</v>
      </c>
      <c r="M1429" s="47" t="s">
        <v>474</v>
      </c>
      <c r="N1429" s="47" t="s">
        <v>2467</v>
      </c>
      <c r="O1429" s="47"/>
      <c r="P1429" s="47"/>
      <c r="Q1429" s="47"/>
      <c r="R1429" s="47"/>
      <c r="S1429" s="47"/>
      <c r="T1429" s="47">
        <f t="shared" si="293"/>
        <v>780</v>
      </c>
      <c r="U1429" s="47"/>
      <c r="V1429" s="47"/>
      <c r="W1429" s="47" t="s">
        <v>2468</v>
      </c>
      <c r="X1429" s="47" t="s">
        <v>2469</v>
      </c>
      <c r="Y1429" s="47"/>
      <c r="Z1429" s="47">
        <f t="shared" si="291"/>
        <v>4620</v>
      </c>
      <c r="AA1429" s="47">
        <f t="shared" si="291"/>
        <v>1400</v>
      </c>
      <c r="AB1429" s="47"/>
      <c r="AC1429" s="47"/>
      <c r="AD1429" s="47"/>
      <c r="AE1429" s="47"/>
      <c r="AF1429" s="47">
        <f t="shared" si="294"/>
        <v>1485</v>
      </c>
      <c r="AG1429" s="47"/>
      <c r="AH1429" s="47" t="str">
        <f>IFERROR(_xlfn.XLOOKUP(Table6[[#This Row],[Suburb]],Table5[Travel Surcharge],Table5[$$]),"")</f>
        <v/>
      </c>
      <c r="AI1429" s="47">
        <f t="shared" si="295"/>
        <v>1650.0000000000002</v>
      </c>
      <c r="AJ1429" s="47"/>
    </row>
    <row r="1430" spans="1:36">
      <c r="A1430" s="374" t="s">
        <v>2461</v>
      </c>
      <c r="B1430" s="374">
        <v>6</v>
      </c>
      <c r="C1430" s="374" t="s">
        <v>538</v>
      </c>
      <c r="D1430" s="375" t="str">
        <f t="shared" si="286"/>
        <v>Ellarook Estate6</v>
      </c>
      <c r="E1430" s="375" t="s">
        <v>2474</v>
      </c>
      <c r="F1430" s="375" t="s">
        <v>690</v>
      </c>
      <c r="G1430" s="375" t="s">
        <v>2463</v>
      </c>
      <c r="H1430" s="375" t="s">
        <v>2464</v>
      </c>
      <c r="I1430" s="63" t="s">
        <v>2465</v>
      </c>
      <c r="J1430" s="47">
        <f t="shared" si="287"/>
        <v>3740</v>
      </c>
      <c r="K1430" s="46" t="s">
        <v>2466</v>
      </c>
      <c r="L1430" s="47">
        <f t="shared" si="292"/>
        <v>1210</v>
      </c>
      <c r="M1430" s="47" t="s">
        <v>474</v>
      </c>
      <c r="N1430" s="47" t="s">
        <v>2467</v>
      </c>
      <c r="O1430" s="47"/>
      <c r="P1430" s="47"/>
      <c r="Q1430" s="47"/>
      <c r="R1430" s="47"/>
      <c r="S1430" s="47"/>
      <c r="T1430" s="47">
        <f t="shared" si="293"/>
        <v>780</v>
      </c>
      <c r="U1430" s="47"/>
      <c r="V1430" s="47"/>
      <c r="W1430" s="47" t="s">
        <v>2468</v>
      </c>
      <c r="X1430" s="47" t="s">
        <v>2469</v>
      </c>
      <c r="Y1430" s="47"/>
      <c r="Z1430" s="47">
        <f t="shared" si="291"/>
        <v>4620</v>
      </c>
      <c r="AA1430" s="47">
        <f t="shared" si="291"/>
        <v>1400</v>
      </c>
      <c r="AB1430" s="47"/>
      <c r="AC1430" s="47"/>
      <c r="AD1430" s="47"/>
      <c r="AE1430" s="47"/>
      <c r="AF1430" s="47">
        <f t="shared" si="294"/>
        <v>1485</v>
      </c>
      <c r="AG1430" s="47"/>
      <c r="AH1430" s="47" t="str">
        <f>IFERROR(_xlfn.XLOOKUP(Table6[[#This Row],[Suburb]],Table5[Travel Surcharge],Table5[$$]),"")</f>
        <v/>
      </c>
      <c r="AI1430" s="47">
        <f t="shared" si="295"/>
        <v>1650.0000000000002</v>
      </c>
      <c r="AJ1430" s="47"/>
    </row>
    <row r="1431" spans="1:36">
      <c r="A1431" s="374" t="s">
        <v>2461</v>
      </c>
      <c r="B1431" s="374">
        <v>7</v>
      </c>
      <c r="C1431" s="374" t="s">
        <v>538</v>
      </c>
      <c r="D1431" s="375" t="str">
        <f t="shared" ref="D1431:D1441" si="296">CONCATENATE(A1431,B1431)</f>
        <v>Ellarook Estate7</v>
      </c>
      <c r="E1431" s="375" t="s">
        <v>2473</v>
      </c>
      <c r="F1431" s="375" t="s">
        <v>690</v>
      </c>
      <c r="G1431" s="375" t="s">
        <v>2463</v>
      </c>
      <c r="H1431" s="375" t="s">
        <v>2464</v>
      </c>
      <c r="I1431" s="63" t="s">
        <v>2465</v>
      </c>
      <c r="J1431" s="47">
        <f t="shared" si="287"/>
        <v>3740</v>
      </c>
      <c r="K1431" s="46" t="s">
        <v>2466</v>
      </c>
      <c r="L1431" s="47">
        <f t="shared" si="292"/>
        <v>1210</v>
      </c>
      <c r="M1431" s="47" t="s">
        <v>474</v>
      </c>
      <c r="N1431" s="47" t="s">
        <v>2467</v>
      </c>
      <c r="O1431" s="47"/>
      <c r="P1431" s="47"/>
      <c r="Q1431" s="47"/>
      <c r="R1431" s="47"/>
      <c r="S1431" s="47"/>
      <c r="T1431" s="47">
        <f t="shared" si="293"/>
        <v>780</v>
      </c>
      <c r="U1431" s="47"/>
      <c r="V1431" s="47"/>
      <c r="W1431" s="47" t="s">
        <v>2468</v>
      </c>
      <c r="X1431" s="47" t="s">
        <v>2469</v>
      </c>
      <c r="Y1431" s="47"/>
      <c r="Z1431" s="47">
        <f t="shared" si="291"/>
        <v>4620</v>
      </c>
      <c r="AA1431" s="47">
        <f t="shared" si="291"/>
        <v>1400</v>
      </c>
      <c r="AB1431" s="47"/>
      <c r="AC1431" s="47"/>
      <c r="AD1431" s="47"/>
      <c r="AE1431" s="47"/>
      <c r="AF1431" s="47">
        <f t="shared" si="294"/>
        <v>1485</v>
      </c>
      <c r="AG1431" s="47"/>
      <c r="AH1431" s="47" t="str">
        <f>IFERROR(_xlfn.XLOOKUP(Table6[[#This Row],[Suburb]],Table5[Travel Surcharge],Table5[$$]),"")</f>
        <v/>
      </c>
      <c r="AI1431" s="47">
        <f t="shared" si="295"/>
        <v>1650.0000000000002</v>
      </c>
      <c r="AJ1431" s="47"/>
    </row>
    <row r="1432" spans="1:36">
      <c r="A1432" s="374" t="s">
        <v>2461</v>
      </c>
      <c r="B1432" s="374">
        <v>8</v>
      </c>
      <c r="C1432" s="374" t="s">
        <v>538</v>
      </c>
      <c r="D1432" s="375" t="str">
        <f t="shared" si="296"/>
        <v>Ellarook Estate8</v>
      </c>
      <c r="E1432" s="375" t="s">
        <v>2475</v>
      </c>
      <c r="F1432" s="375" t="s">
        <v>690</v>
      </c>
      <c r="G1432" s="375" t="s">
        <v>2463</v>
      </c>
      <c r="H1432" s="375" t="s">
        <v>2464</v>
      </c>
      <c r="I1432" s="63" t="s">
        <v>2465</v>
      </c>
      <c r="J1432" s="47">
        <f t="shared" si="287"/>
        <v>3740</v>
      </c>
      <c r="K1432" s="46" t="s">
        <v>2466</v>
      </c>
      <c r="L1432" s="47">
        <f t="shared" si="292"/>
        <v>1210</v>
      </c>
      <c r="M1432" s="47" t="s">
        <v>474</v>
      </c>
      <c r="N1432" s="47" t="s">
        <v>2467</v>
      </c>
      <c r="O1432" s="47"/>
      <c r="P1432" s="47"/>
      <c r="Q1432" s="47"/>
      <c r="R1432" s="47"/>
      <c r="S1432" s="47"/>
      <c r="T1432" s="47">
        <f t="shared" si="293"/>
        <v>780</v>
      </c>
      <c r="U1432" s="47"/>
      <c r="V1432" s="47"/>
      <c r="W1432" s="47" t="s">
        <v>2468</v>
      </c>
      <c r="X1432" s="47" t="s">
        <v>2469</v>
      </c>
      <c r="Y1432" s="47"/>
      <c r="Z1432" s="47">
        <f t="shared" si="291"/>
        <v>4620</v>
      </c>
      <c r="AA1432" s="47">
        <f t="shared" si="291"/>
        <v>1400</v>
      </c>
      <c r="AB1432" s="47"/>
      <c r="AC1432" s="47"/>
      <c r="AD1432" s="47"/>
      <c r="AE1432" s="47"/>
      <c r="AF1432" s="47">
        <f t="shared" si="294"/>
        <v>1485</v>
      </c>
      <c r="AG1432" s="47"/>
      <c r="AH1432" s="47" t="str">
        <f>IFERROR(_xlfn.XLOOKUP(Table6[[#This Row],[Suburb]],Table5[Travel Surcharge],Table5[$$]),"")</f>
        <v/>
      </c>
      <c r="AI1432" s="47">
        <f t="shared" si="295"/>
        <v>1650.0000000000002</v>
      </c>
      <c r="AJ1432" s="47"/>
    </row>
    <row r="1433" spans="1:36">
      <c r="A1433" s="374" t="s">
        <v>2461</v>
      </c>
      <c r="B1433" s="374">
        <v>9</v>
      </c>
      <c r="C1433" s="374" t="s">
        <v>538</v>
      </c>
      <c r="D1433" s="375" t="str">
        <f t="shared" si="296"/>
        <v>Ellarook Estate9</v>
      </c>
      <c r="E1433" s="375" t="s">
        <v>2476</v>
      </c>
      <c r="F1433" s="375" t="s">
        <v>690</v>
      </c>
      <c r="G1433" s="375" t="s">
        <v>2463</v>
      </c>
      <c r="H1433" s="375" t="s">
        <v>2464</v>
      </c>
      <c r="I1433" s="63" t="s">
        <v>2465</v>
      </c>
      <c r="J1433" s="47">
        <f t="shared" si="287"/>
        <v>3740</v>
      </c>
      <c r="K1433" s="46" t="s">
        <v>2466</v>
      </c>
      <c r="L1433" s="47">
        <f t="shared" si="292"/>
        <v>1210</v>
      </c>
      <c r="M1433" s="47" t="s">
        <v>474</v>
      </c>
      <c r="N1433" s="47" t="s">
        <v>2467</v>
      </c>
      <c r="O1433" s="47"/>
      <c r="P1433" s="47"/>
      <c r="Q1433" s="47"/>
      <c r="R1433" s="47"/>
      <c r="S1433" s="47"/>
      <c r="T1433" s="47">
        <f t="shared" si="293"/>
        <v>780</v>
      </c>
      <c r="U1433" s="47"/>
      <c r="V1433" s="47"/>
      <c r="W1433" s="47" t="s">
        <v>2468</v>
      </c>
      <c r="X1433" s="47" t="s">
        <v>2469</v>
      </c>
      <c r="Y1433" s="47"/>
      <c r="Z1433" s="47">
        <f t="shared" si="291"/>
        <v>4620</v>
      </c>
      <c r="AA1433" s="47">
        <f t="shared" si="291"/>
        <v>1400</v>
      </c>
      <c r="AB1433" s="47"/>
      <c r="AC1433" s="47"/>
      <c r="AD1433" s="47"/>
      <c r="AE1433" s="47"/>
      <c r="AF1433" s="47">
        <f t="shared" si="294"/>
        <v>1485</v>
      </c>
      <c r="AG1433" s="47"/>
      <c r="AH1433" s="47" t="str">
        <f>IFERROR(_xlfn.XLOOKUP(Table6[[#This Row],[Suburb]],Table5[Travel Surcharge],Table5[$$]),"")</f>
        <v/>
      </c>
      <c r="AI1433" s="47">
        <f t="shared" si="295"/>
        <v>1650.0000000000002</v>
      </c>
      <c r="AJ1433" s="47"/>
    </row>
    <row r="1434" spans="1:36">
      <c r="A1434" s="374" t="s">
        <v>2461</v>
      </c>
      <c r="B1434" s="374">
        <v>10</v>
      </c>
      <c r="C1434" s="374" t="s">
        <v>538</v>
      </c>
      <c r="D1434" s="375" t="str">
        <f t="shared" si="296"/>
        <v>Ellarook Estate10</v>
      </c>
      <c r="E1434" s="375" t="s">
        <v>2477</v>
      </c>
      <c r="F1434" s="375" t="s">
        <v>690</v>
      </c>
      <c r="G1434" s="375" t="s">
        <v>2463</v>
      </c>
      <c r="H1434" s="375" t="s">
        <v>2464</v>
      </c>
      <c r="I1434" s="63" t="s">
        <v>2465</v>
      </c>
      <c r="J1434" s="47">
        <f t="shared" si="287"/>
        <v>3740</v>
      </c>
      <c r="K1434" s="46" t="s">
        <v>2466</v>
      </c>
      <c r="L1434" s="47">
        <f t="shared" si="292"/>
        <v>1210</v>
      </c>
      <c r="M1434" s="47" t="s">
        <v>474</v>
      </c>
      <c r="N1434" s="47" t="s">
        <v>2467</v>
      </c>
      <c r="O1434" s="47"/>
      <c r="P1434" s="47"/>
      <c r="Q1434" s="47"/>
      <c r="R1434" s="47"/>
      <c r="S1434" s="47"/>
      <c r="T1434" s="47">
        <f t="shared" si="293"/>
        <v>780</v>
      </c>
      <c r="U1434" s="47"/>
      <c r="V1434" s="47"/>
      <c r="W1434" s="47" t="s">
        <v>2468</v>
      </c>
      <c r="X1434" s="47" t="s">
        <v>2469</v>
      </c>
      <c r="Y1434" s="47"/>
      <c r="Z1434" s="47">
        <f t="shared" si="291"/>
        <v>4620</v>
      </c>
      <c r="AA1434" s="47">
        <f t="shared" si="291"/>
        <v>1400</v>
      </c>
      <c r="AB1434" s="47"/>
      <c r="AC1434" s="47"/>
      <c r="AD1434" s="47"/>
      <c r="AE1434" s="47"/>
      <c r="AF1434" s="47">
        <f t="shared" si="294"/>
        <v>1485</v>
      </c>
      <c r="AG1434" s="47"/>
      <c r="AH1434" s="47" t="str">
        <f>IFERROR(_xlfn.XLOOKUP(Table6[[#This Row],[Suburb]],Table5[Travel Surcharge],Table5[$$]),"")</f>
        <v/>
      </c>
      <c r="AI1434" s="47">
        <f t="shared" si="295"/>
        <v>1650.0000000000002</v>
      </c>
      <c r="AJ1434" s="47"/>
    </row>
    <row r="1435" spans="1:36">
      <c r="A1435" s="374" t="s">
        <v>2461</v>
      </c>
      <c r="B1435" s="374">
        <v>11</v>
      </c>
      <c r="C1435" s="374" t="s">
        <v>538</v>
      </c>
      <c r="D1435" s="375" t="str">
        <f t="shared" si="296"/>
        <v>Ellarook Estate11</v>
      </c>
      <c r="E1435" s="375" t="s">
        <v>2478</v>
      </c>
      <c r="F1435" s="375" t="s">
        <v>690</v>
      </c>
      <c r="G1435" s="375" t="s">
        <v>2463</v>
      </c>
      <c r="H1435" s="375" t="s">
        <v>2464</v>
      </c>
      <c r="I1435" s="63" t="s">
        <v>2465</v>
      </c>
      <c r="J1435" s="47">
        <f t="shared" si="287"/>
        <v>3740</v>
      </c>
      <c r="K1435" s="46" t="s">
        <v>2466</v>
      </c>
      <c r="L1435" s="47">
        <f t="shared" si="292"/>
        <v>1210</v>
      </c>
      <c r="M1435" s="47" t="s">
        <v>474</v>
      </c>
      <c r="N1435" s="47" t="s">
        <v>2467</v>
      </c>
      <c r="O1435" s="47"/>
      <c r="P1435" s="47"/>
      <c r="Q1435" s="47"/>
      <c r="R1435" s="47"/>
      <c r="S1435" s="47"/>
      <c r="T1435" s="47">
        <f t="shared" si="293"/>
        <v>780</v>
      </c>
      <c r="U1435" s="47"/>
      <c r="V1435" s="47"/>
      <c r="W1435" s="47" t="s">
        <v>2468</v>
      </c>
      <c r="X1435" s="47" t="s">
        <v>2469</v>
      </c>
      <c r="Y1435" s="47"/>
      <c r="Z1435" s="47">
        <f t="shared" si="291"/>
        <v>4620</v>
      </c>
      <c r="AA1435" s="47">
        <f t="shared" si="291"/>
        <v>1400</v>
      </c>
      <c r="AB1435" s="47"/>
      <c r="AC1435" s="47"/>
      <c r="AD1435" s="47"/>
      <c r="AE1435" s="47"/>
      <c r="AF1435" s="47">
        <f t="shared" si="294"/>
        <v>1485</v>
      </c>
      <c r="AG1435" s="47"/>
      <c r="AH1435" s="47" t="str">
        <f>IFERROR(_xlfn.XLOOKUP(Table6[[#This Row],[Suburb]],Table5[Travel Surcharge],Table5[$$]),"")</f>
        <v/>
      </c>
      <c r="AI1435" s="47">
        <f t="shared" si="295"/>
        <v>1650.0000000000002</v>
      </c>
      <c r="AJ1435" s="47"/>
    </row>
    <row r="1436" spans="1:36">
      <c r="A1436" s="374" t="s">
        <v>2461</v>
      </c>
      <c r="B1436" s="374">
        <v>12</v>
      </c>
      <c r="C1436" s="374" t="s">
        <v>538</v>
      </c>
      <c r="D1436" s="375" t="str">
        <f t="shared" si="296"/>
        <v>Ellarook Estate12</v>
      </c>
      <c r="E1436" s="375" t="s">
        <v>2479</v>
      </c>
      <c r="F1436" s="375" t="s">
        <v>690</v>
      </c>
      <c r="G1436" s="375" t="s">
        <v>2463</v>
      </c>
      <c r="H1436" s="375" t="s">
        <v>2464</v>
      </c>
      <c r="I1436" s="63" t="s">
        <v>2465</v>
      </c>
      <c r="J1436" s="47">
        <f t="shared" si="287"/>
        <v>3740</v>
      </c>
      <c r="K1436" s="46" t="s">
        <v>2466</v>
      </c>
      <c r="L1436" s="47">
        <f t="shared" si="292"/>
        <v>1210</v>
      </c>
      <c r="M1436" s="47" t="s">
        <v>474</v>
      </c>
      <c r="N1436" s="47" t="s">
        <v>2467</v>
      </c>
      <c r="O1436" s="47"/>
      <c r="P1436" s="47"/>
      <c r="Q1436" s="47"/>
      <c r="R1436" s="47"/>
      <c r="S1436" s="47"/>
      <c r="T1436" s="47">
        <f t="shared" si="293"/>
        <v>780</v>
      </c>
      <c r="U1436" s="47"/>
      <c r="V1436" s="47"/>
      <c r="W1436" s="47" t="s">
        <v>2468</v>
      </c>
      <c r="X1436" s="47" t="s">
        <v>2469</v>
      </c>
      <c r="Y1436" s="47"/>
      <c r="Z1436" s="47">
        <f t="shared" si="291"/>
        <v>4620</v>
      </c>
      <c r="AA1436" s="47">
        <f t="shared" si="291"/>
        <v>1400</v>
      </c>
      <c r="AB1436" s="47"/>
      <c r="AC1436" s="47"/>
      <c r="AD1436" s="47"/>
      <c r="AE1436" s="47"/>
      <c r="AF1436" s="47">
        <f t="shared" si="294"/>
        <v>1485</v>
      </c>
      <c r="AG1436" s="47"/>
      <c r="AH1436" s="47" t="str">
        <f>IFERROR(_xlfn.XLOOKUP(Table6[[#This Row],[Suburb]],Table5[Travel Surcharge],Table5[$$]),"")</f>
        <v/>
      </c>
      <c r="AI1436" s="47">
        <f t="shared" si="295"/>
        <v>1650.0000000000002</v>
      </c>
      <c r="AJ1436" s="47"/>
    </row>
    <row r="1437" spans="1:36">
      <c r="A1437" s="374" t="s">
        <v>2480</v>
      </c>
      <c r="B1437" s="374">
        <v>1</v>
      </c>
      <c r="C1437" s="374" t="s">
        <v>404</v>
      </c>
      <c r="D1437" s="375" t="str">
        <f t="shared" si="296"/>
        <v>Ellerton Estate1</v>
      </c>
      <c r="E1437" s="375" t="s">
        <v>2481</v>
      </c>
      <c r="F1437" s="375"/>
      <c r="G1437" s="375"/>
      <c r="H1437" s="375"/>
      <c r="I1437" s="63"/>
      <c r="J1437" s="47"/>
      <c r="K1437" s="46" t="s">
        <v>10735</v>
      </c>
      <c r="L1437" s="47"/>
      <c r="M1437" s="47">
        <f>M$7</f>
        <v>1430.0000000000002</v>
      </c>
      <c r="N1437" s="47" t="s">
        <v>2482</v>
      </c>
      <c r="O1437" s="47" t="s">
        <v>2483</v>
      </c>
      <c r="P1437" s="47" t="s">
        <v>2484</v>
      </c>
      <c r="Q1437" s="47">
        <f>Q$2</f>
        <v>0</v>
      </c>
      <c r="R1437" s="47"/>
      <c r="S1437" s="47"/>
      <c r="T1437" s="47"/>
      <c r="U1437" s="47"/>
      <c r="V1437" s="47"/>
      <c r="W1437" s="47"/>
      <c r="X1437" s="47"/>
      <c r="Y1437" s="47"/>
      <c r="Z1437" s="47">
        <f>Z$7</f>
        <v>4620</v>
      </c>
      <c r="AA1437" s="47"/>
      <c r="AB1437" s="47"/>
      <c r="AC1437" s="47"/>
      <c r="AD1437" s="47"/>
      <c r="AE1437" s="47"/>
      <c r="AF1437" s="47">
        <f t="shared" si="294"/>
        <v>1485</v>
      </c>
      <c r="AG1437" s="47"/>
      <c r="AH1437" s="47" t="str">
        <f>IFERROR(_xlfn.XLOOKUP(Table6[[#This Row],[Suburb]],Table5[Travel Surcharge],Table5[$$]),"")</f>
        <v/>
      </c>
      <c r="AI1437" s="47"/>
      <c r="AJ1437" s="47"/>
    </row>
    <row r="1438" spans="1:36">
      <c r="A1438" s="374" t="s">
        <v>2480</v>
      </c>
      <c r="B1438" s="374">
        <v>2</v>
      </c>
      <c r="C1438" s="374" t="s">
        <v>404</v>
      </c>
      <c r="D1438" s="375" t="str">
        <f t="shared" si="296"/>
        <v>Ellerton Estate2</v>
      </c>
      <c r="E1438" s="375" t="s">
        <v>2485</v>
      </c>
      <c r="F1438" s="375"/>
      <c r="G1438" s="375"/>
      <c r="H1438" s="375"/>
      <c r="I1438" s="63"/>
      <c r="J1438" s="47"/>
      <c r="K1438" s="46" t="s">
        <v>10735</v>
      </c>
      <c r="L1438" s="47"/>
      <c r="M1438" s="47">
        <f>M$7</f>
        <v>1430.0000000000002</v>
      </c>
      <c r="N1438" s="47" t="s">
        <v>2482</v>
      </c>
      <c r="O1438" s="47" t="s">
        <v>2483</v>
      </c>
      <c r="P1438" s="47" t="s">
        <v>2484</v>
      </c>
      <c r="Q1438" s="47">
        <f>Q$2</f>
        <v>0</v>
      </c>
      <c r="R1438" s="47"/>
      <c r="S1438" s="47"/>
      <c r="T1438" s="47"/>
      <c r="U1438" s="47"/>
      <c r="V1438" s="47"/>
      <c r="W1438" s="47"/>
      <c r="X1438" s="47"/>
      <c r="Y1438" s="47"/>
      <c r="Z1438" s="47">
        <f>Z$7</f>
        <v>4620</v>
      </c>
      <c r="AA1438" s="47"/>
      <c r="AB1438" s="47"/>
      <c r="AC1438" s="47"/>
      <c r="AD1438" s="47"/>
      <c r="AE1438" s="47"/>
      <c r="AF1438" s="47">
        <f t="shared" si="294"/>
        <v>1485</v>
      </c>
      <c r="AG1438" s="47"/>
      <c r="AH1438" s="47" t="str">
        <f>IFERROR(_xlfn.XLOOKUP(Table6[[#This Row],[Suburb]],Table5[Travel Surcharge],Table5[$$]),"")</f>
        <v/>
      </c>
      <c r="AI1438" s="47"/>
      <c r="AJ1438" s="47"/>
    </row>
    <row r="1439" spans="1:36">
      <c r="A1439" s="374" t="s">
        <v>2480</v>
      </c>
      <c r="B1439" s="374">
        <v>3</v>
      </c>
      <c r="C1439" s="374" t="s">
        <v>404</v>
      </c>
      <c r="D1439" s="375" t="str">
        <f t="shared" si="296"/>
        <v>Ellerton Estate3</v>
      </c>
      <c r="E1439" s="375" t="s">
        <v>2486</v>
      </c>
      <c r="F1439" s="375"/>
      <c r="G1439" s="375"/>
      <c r="H1439" s="375"/>
      <c r="I1439" s="63"/>
      <c r="J1439" s="47"/>
      <c r="K1439" s="46" t="s">
        <v>10735</v>
      </c>
      <c r="L1439" s="47"/>
      <c r="M1439" s="47">
        <f>M$7</f>
        <v>1430.0000000000002</v>
      </c>
      <c r="N1439" s="47" t="s">
        <v>2482</v>
      </c>
      <c r="O1439" s="47" t="s">
        <v>2483</v>
      </c>
      <c r="P1439" s="47" t="s">
        <v>2484</v>
      </c>
      <c r="Q1439" s="47">
        <f>Q$2</f>
        <v>0</v>
      </c>
      <c r="R1439" s="47"/>
      <c r="S1439" s="47"/>
      <c r="T1439" s="47"/>
      <c r="U1439" s="47"/>
      <c r="V1439" s="47"/>
      <c r="W1439" s="47"/>
      <c r="X1439" s="47"/>
      <c r="Y1439" s="47"/>
      <c r="Z1439" s="47">
        <f>Z$7</f>
        <v>4620</v>
      </c>
      <c r="AA1439" s="47"/>
      <c r="AB1439" s="47"/>
      <c r="AC1439" s="47"/>
      <c r="AD1439" s="47"/>
      <c r="AE1439" s="47"/>
      <c r="AF1439" s="47">
        <f t="shared" si="294"/>
        <v>1485</v>
      </c>
      <c r="AG1439" s="47"/>
      <c r="AH1439" s="47" t="str">
        <f>IFERROR(_xlfn.XLOOKUP(Table6[[#This Row],[Suburb]],Table5[Travel Surcharge],Table5[$$]),"")</f>
        <v/>
      </c>
      <c r="AI1439" s="47"/>
      <c r="AJ1439" s="47"/>
    </row>
    <row r="1440" spans="1:36">
      <c r="A1440" s="374" t="s">
        <v>2480</v>
      </c>
      <c r="B1440" s="374">
        <v>4</v>
      </c>
      <c r="C1440" s="374" t="s">
        <v>404</v>
      </c>
      <c r="D1440" s="375" t="str">
        <f t="shared" si="296"/>
        <v>Ellerton Estate4</v>
      </c>
      <c r="E1440" s="375" t="s">
        <v>2487</v>
      </c>
      <c r="F1440" s="375"/>
      <c r="G1440" s="375"/>
      <c r="H1440" s="375"/>
      <c r="I1440" s="63"/>
      <c r="J1440" s="47"/>
      <c r="K1440" s="46" t="s">
        <v>10735</v>
      </c>
      <c r="L1440" s="47"/>
      <c r="M1440" s="47">
        <v>1430.0000000000002</v>
      </c>
      <c r="N1440" s="47" t="s">
        <v>2482</v>
      </c>
      <c r="O1440" s="47" t="s">
        <v>2483</v>
      </c>
      <c r="P1440" s="47" t="s">
        <v>2484</v>
      </c>
      <c r="Q1440" s="47">
        <v>0</v>
      </c>
      <c r="R1440" s="47"/>
      <c r="S1440" s="47"/>
      <c r="T1440" s="47"/>
      <c r="U1440" s="47"/>
      <c r="V1440" s="47"/>
      <c r="W1440" s="47"/>
      <c r="X1440" s="47"/>
      <c r="Y1440" s="47"/>
      <c r="Z1440" s="47">
        <v>4620</v>
      </c>
      <c r="AA1440" s="47"/>
      <c r="AB1440" s="47"/>
      <c r="AC1440" s="47"/>
      <c r="AD1440" s="47"/>
      <c r="AE1440" s="47"/>
      <c r="AF1440" s="47">
        <v>1650.0000000000002</v>
      </c>
      <c r="AG1440" s="47"/>
      <c r="AH1440" s="47" t="str">
        <f>IFERROR(_xlfn.XLOOKUP(Table6[[#This Row],[Suburb]],Table5[Travel Surcharge],Table5[$$]),"")</f>
        <v/>
      </c>
      <c r="AI1440" s="47"/>
      <c r="AJ1440" s="47"/>
    </row>
    <row r="1441" spans="1:43" s="157" customFormat="1">
      <c r="A1441" s="374" t="s">
        <v>2480</v>
      </c>
      <c r="B1441" s="374">
        <v>5</v>
      </c>
      <c r="C1441" s="374" t="s">
        <v>404</v>
      </c>
      <c r="D1441" s="375" t="str">
        <f t="shared" si="296"/>
        <v>Ellerton Estate5</v>
      </c>
      <c r="E1441" s="375" t="s">
        <v>2488</v>
      </c>
      <c r="F1441" s="375"/>
      <c r="G1441" s="375"/>
      <c r="H1441" s="375"/>
      <c r="I1441" s="63"/>
      <c r="J1441" s="47"/>
      <c r="K1441" s="46" t="s">
        <v>10735</v>
      </c>
      <c r="L1441" s="47"/>
      <c r="M1441" s="47">
        <v>1430.0000000000002</v>
      </c>
      <c r="N1441" s="47" t="s">
        <v>2482</v>
      </c>
      <c r="O1441" s="47" t="s">
        <v>2483</v>
      </c>
      <c r="P1441" s="47" t="s">
        <v>2484</v>
      </c>
      <c r="Q1441" s="47">
        <v>0</v>
      </c>
      <c r="R1441" s="47"/>
      <c r="S1441" s="47"/>
      <c r="T1441" s="47"/>
      <c r="U1441" s="47"/>
      <c r="V1441" s="47"/>
      <c r="W1441" s="47"/>
      <c r="X1441" s="47"/>
      <c r="Y1441" s="47"/>
      <c r="Z1441" s="47">
        <v>4620</v>
      </c>
      <c r="AA1441" s="47"/>
      <c r="AB1441" s="47"/>
      <c r="AC1441" s="47"/>
      <c r="AD1441" s="47"/>
      <c r="AE1441" s="47"/>
      <c r="AF1441" s="47">
        <v>1650.0000000000002</v>
      </c>
      <c r="AG1441" s="47"/>
      <c r="AH1441" s="47" t="str">
        <f>IFERROR(_xlfn.XLOOKUP(Table6[[#This Row],[Suburb]],Table5[Travel Surcharge],Table5[$$]),"")</f>
        <v/>
      </c>
      <c r="AI1441" s="47"/>
      <c r="AJ1441" s="47"/>
      <c r="AM1441" s="208"/>
      <c r="AO1441"/>
      <c r="AP1441"/>
      <c r="AQ1441"/>
    </row>
    <row r="1442" spans="1:43">
      <c r="A1442" s="374" t="s">
        <v>2489</v>
      </c>
      <c r="B1442" s="374">
        <v>15</v>
      </c>
      <c r="C1442" s="374" t="s">
        <v>455</v>
      </c>
      <c r="D1442" s="375" t="s">
        <v>9770</v>
      </c>
      <c r="E1442" s="375" t="s">
        <v>9771</v>
      </c>
      <c r="F1442" s="375"/>
      <c r="G1442" s="375"/>
      <c r="H1442" s="375"/>
      <c r="I1442" s="63"/>
      <c r="J1442" s="47">
        <v>3740</v>
      </c>
      <c r="K1442" s="46" t="s">
        <v>10735</v>
      </c>
      <c r="L1442" s="47">
        <v>1210</v>
      </c>
      <c r="M1442" s="47"/>
      <c r="N1442" s="47" t="s">
        <v>433</v>
      </c>
      <c r="O1442" s="47" t="s">
        <v>2491</v>
      </c>
      <c r="P1442" s="47" t="s">
        <v>2492</v>
      </c>
      <c r="Q1442" s="47" t="s">
        <v>2493</v>
      </c>
      <c r="R1442" s="47"/>
      <c r="S1442" s="47"/>
      <c r="T1442" s="47"/>
      <c r="U1442" s="47">
        <v>540</v>
      </c>
      <c r="V1442" s="47"/>
      <c r="W1442" s="47"/>
      <c r="X1442" s="47"/>
      <c r="Y1442" s="47"/>
      <c r="Z1442" s="47">
        <v>4620</v>
      </c>
      <c r="AA1442" s="47">
        <v>1400</v>
      </c>
      <c r="AB1442" s="47"/>
      <c r="AC1442" s="47"/>
      <c r="AD1442" s="47"/>
      <c r="AE1442" s="47"/>
      <c r="AF1442" s="47">
        <v>1485</v>
      </c>
      <c r="AG1442" s="47"/>
      <c r="AH1442" s="47" t="str">
        <f>IFERROR(_xlfn.XLOOKUP(Table6[[#This Row],[Suburb]],Table5[Travel Surcharge],Table5[$$]),"")</f>
        <v/>
      </c>
      <c r="AI1442" s="47"/>
      <c r="AJ1442" s="47"/>
      <c r="AO1442" s="157"/>
      <c r="AP1442" s="157"/>
      <c r="AQ1442" s="157"/>
    </row>
    <row r="1443" spans="1:43">
      <c r="A1443" s="374" t="s">
        <v>2489</v>
      </c>
      <c r="B1443" s="374">
        <v>7</v>
      </c>
      <c r="C1443" s="374" t="s">
        <v>455</v>
      </c>
      <c r="D1443" s="375" t="str">
        <f t="shared" ref="D1443:D1484" si="297">CONCATENATE(A1443,B1443)</f>
        <v>Ellery Estate7</v>
      </c>
      <c r="E1443" s="375" t="s">
        <v>2490</v>
      </c>
      <c r="F1443" s="375"/>
      <c r="G1443" s="375"/>
      <c r="H1443" s="375"/>
      <c r="I1443" s="63"/>
      <c r="J1443" s="47">
        <f t="shared" ref="J1443:J1465" si="298">J$7</f>
        <v>3740</v>
      </c>
      <c r="K1443" s="46" t="s">
        <v>10735</v>
      </c>
      <c r="L1443" s="47">
        <f>L$7</f>
        <v>1210</v>
      </c>
      <c r="M1443" s="47"/>
      <c r="N1443" s="47" t="s">
        <v>433</v>
      </c>
      <c r="O1443" s="47" t="s">
        <v>2491</v>
      </c>
      <c r="P1443" s="47" t="s">
        <v>2492</v>
      </c>
      <c r="Q1443" s="47" t="s">
        <v>2493</v>
      </c>
      <c r="R1443" s="47"/>
      <c r="S1443" s="47"/>
      <c r="T1443" s="47"/>
      <c r="U1443" s="47">
        <f t="shared" ref="U1443:U1460" si="299">U$2</f>
        <v>430</v>
      </c>
      <c r="V1443" s="47"/>
      <c r="W1443" s="47"/>
      <c r="X1443" s="47"/>
      <c r="Y1443" s="47"/>
      <c r="Z1443" s="47">
        <f t="shared" ref="Z1443:AA1446" si="300">Z$7</f>
        <v>4620</v>
      </c>
      <c r="AA1443" s="47">
        <f t="shared" si="300"/>
        <v>1400</v>
      </c>
      <c r="AB1443" s="47"/>
      <c r="AC1443" s="47"/>
      <c r="AD1443" s="47"/>
      <c r="AE1443" s="47"/>
      <c r="AF1443" s="47">
        <f>AF$7</f>
        <v>1485</v>
      </c>
      <c r="AG1443" s="47"/>
      <c r="AH1443" s="47" t="str">
        <f>IFERROR(_xlfn.XLOOKUP(Table6[[#This Row],[Suburb]],Table5[Travel Surcharge],Table5[$$]),"")</f>
        <v/>
      </c>
      <c r="AI1443" s="47"/>
      <c r="AJ1443" s="47"/>
    </row>
    <row r="1444" spans="1:43">
      <c r="A1444" s="374" t="s">
        <v>2489</v>
      </c>
      <c r="B1444" s="374">
        <v>8</v>
      </c>
      <c r="C1444" s="374" t="s">
        <v>455</v>
      </c>
      <c r="D1444" s="375" t="str">
        <f t="shared" si="297"/>
        <v>Ellery Estate8</v>
      </c>
      <c r="E1444" s="375" t="s">
        <v>2494</v>
      </c>
      <c r="F1444" s="375"/>
      <c r="G1444" s="375"/>
      <c r="H1444" s="375"/>
      <c r="I1444" s="63"/>
      <c r="J1444" s="47">
        <f t="shared" si="298"/>
        <v>3740</v>
      </c>
      <c r="K1444" s="46" t="s">
        <v>10735</v>
      </c>
      <c r="L1444" s="47">
        <f>L$7</f>
        <v>1210</v>
      </c>
      <c r="M1444" s="47"/>
      <c r="N1444" s="47" t="s">
        <v>433</v>
      </c>
      <c r="O1444" s="47" t="s">
        <v>2491</v>
      </c>
      <c r="P1444" s="47" t="s">
        <v>2492</v>
      </c>
      <c r="Q1444" s="47" t="s">
        <v>2493</v>
      </c>
      <c r="R1444" s="47"/>
      <c r="S1444" s="47"/>
      <c r="T1444" s="47"/>
      <c r="U1444" s="47">
        <f t="shared" si="299"/>
        <v>430</v>
      </c>
      <c r="V1444" s="47"/>
      <c r="W1444" s="47"/>
      <c r="X1444" s="47"/>
      <c r="Y1444" s="47"/>
      <c r="Z1444" s="47">
        <f t="shared" si="300"/>
        <v>4620</v>
      </c>
      <c r="AA1444" s="47">
        <f t="shared" si="300"/>
        <v>1400</v>
      </c>
      <c r="AB1444" s="47"/>
      <c r="AC1444" s="47"/>
      <c r="AD1444" s="47"/>
      <c r="AE1444" s="47"/>
      <c r="AF1444" s="47">
        <f>AF$7</f>
        <v>1485</v>
      </c>
      <c r="AG1444" s="47"/>
      <c r="AH1444" s="47" t="str">
        <f>IFERROR(_xlfn.XLOOKUP(Table6[[#This Row],[Suburb]],Table5[Travel Surcharge],Table5[$$]),"")</f>
        <v/>
      </c>
      <c r="AI1444" s="47"/>
      <c r="AJ1444" s="47"/>
    </row>
    <row r="1445" spans="1:43">
      <c r="A1445" s="374" t="s">
        <v>2489</v>
      </c>
      <c r="B1445" s="374">
        <v>9</v>
      </c>
      <c r="C1445" s="374" t="s">
        <v>455</v>
      </c>
      <c r="D1445" s="375" t="str">
        <f t="shared" si="297"/>
        <v>Ellery Estate9</v>
      </c>
      <c r="E1445" s="375" t="s">
        <v>2495</v>
      </c>
      <c r="F1445" s="375"/>
      <c r="G1445" s="375"/>
      <c r="H1445" s="375"/>
      <c r="I1445" s="63"/>
      <c r="J1445" s="47">
        <f t="shared" si="298"/>
        <v>3740</v>
      </c>
      <c r="K1445" s="46" t="s">
        <v>10735</v>
      </c>
      <c r="L1445" s="47">
        <f>L$7</f>
        <v>1210</v>
      </c>
      <c r="M1445" s="47"/>
      <c r="N1445" s="47" t="s">
        <v>433</v>
      </c>
      <c r="O1445" s="47" t="s">
        <v>2491</v>
      </c>
      <c r="P1445" s="47" t="s">
        <v>2492</v>
      </c>
      <c r="Q1445" s="47" t="s">
        <v>2493</v>
      </c>
      <c r="R1445" s="47"/>
      <c r="S1445" s="47"/>
      <c r="T1445" s="47"/>
      <c r="U1445" s="47">
        <f t="shared" si="299"/>
        <v>430</v>
      </c>
      <c r="V1445" s="47"/>
      <c r="W1445" s="47"/>
      <c r="X1445" s="47"/>
      <c r="Y1445" s="47"/>
      <c r="Z1445" s="47">
        <f t="shared" si="300"/>
        <v>4620</v>
      </c>
      <c r="AA1445" s="47">
        <f t="shared" si="300"/>
        <v>1400</v>
      </c>
      <c r="AB1445" s="47"/>
      <c r="AC1445" s="47"/>
      <c r="AD1445" s="47"/>
      <c r="AE1445" s="47"/>
      <c r="AF1445" s="47">
        <f>AF$7</f>
        <v>1485</v>
      </c>
      <c r="AG1445" s="47"/>
      <c r="AH1445" s="47" t="str">
        <f>IFERROR(_xlfn.XLOOKUP(Table6[[#This Row],[Suburb]],Table5[Travel Surcharge],Table5[$$]),"")</f>
        <v/>
      </c>
      <c r="AI1445" s="47"/>
      <c r="AJ1445" s="47"/>
    </row>
    <row r="1446" spans="1:43">
      <c r="A1446" s="157" t="s">
        <v>2489</v>
      </c>
      <c r="B1446" s="157">
        <v>10</v>
      </c>
      <c r="C1446" s="157" t="s">
        <v>8456</v>
      </c>
      <c r="D1446" s="157" t="str">
        <f t="shared" si="297"/>
        <v>Ellery Estate10</v>
      </c>
      <c r="E1446" s="157" t="s">
        <v>8559</v>
      </c>
      <c r="F1446" s="157"/>
      <c r="G1446" s="157"/>
      <c r="H1446" s="157"/>
      <c r="I1446" s="158"/>
      <c r="J1446" s="47">
        <f t="shared" si="298"/>
        <v>3740</v>
      </c>
      <c r="K1446" s="46" t="s">
        <v>10735</v>
      </c>
      <c r="L1446" s="47">
        <f>L$7</f>
        <v>1210</v>
      </c>
      <c r="M1446" s="47"/>
      <c r="N1446" s="47" t="s">
        <v>433</v>
      </c>
      <c r="O1446" s="47" t="s">
        <v>2491</v>
      </c>
      <c r="P1446" s="47" t="s">
        <v>2492</v>
      </c>
      <c r="Q1446" s="47" t="s">
        <v>2493</v>
      </c>
      <c r="R1446" s="47"/>
      <c r="S1446" s="47"/>
      <c r="T1446" s="47"/>
      <c r="U1446" s="47">
        <f t="shared" si="299"/>
        <v>430</v>
      </c>
      <c r="V1446" s="47"/>
      <c r="W1446" s="47"/>
      <c r="X1446" s="47"/>
      <c r="Y1446" s="47"/>
      <c r="Z1446" s="47">
        <f t="shared" si="300"/>
        <v>4620</v>
      </c>
      <c r="AA1446" s="47">
        <f t="shared" si="300"/>
        <v>1400</v>
      </c>
      <c r="AB1446" s="47"/>
      <c r="AC1446" s="47"/>
      <c r="AD1446" s="47"/>
      <c r="AE1446" s="47"/>
      <c r="AF1446" s="47">
        <f>AF$7</f>
        <v>1485</v>
      </c>
      <c r="AG1446" s="47"/>
      <c r="AH1446" s="47" t="str">
        <f>IFERROR(_xlfn.XLOOKUP(Table6[[#This Row],[Suburb]],Table5[Travel Surcharge],Table5[$$]),"")</f>
        <v/>
      </c>
      <c r="AI1446" s="47"/>
      <c r="AJ1446" s="47"/>
    </row>
    <row r="1447" spans="1:43">
      <c r="A1447" s="374" t="s">
        <v>2489</v>
      </c>
      <c r="B1447" s="374">
        <v>11</v>
      </c>
      <c r="C1447" s="374" t="s">
        <v>8456</v>
      </c>
      <c r="D1447" s="157" t="str">
        <f t="shared" si="297"/>
        <v>Ellery Estate11</v>
      </c>
      <c r="E1447" s="375" t="s">
        <v>9991</v>
      </c>
      <c r="F1447" s="375"/>
      <c r="G1447" s="375"/>
      <c r="H1447" s="375"/>
      <c r="I1447" s="63"/>
      <c r="J1447" s="47">
        <v>3740</v>
      </c>
      <c r="K1447" s="46" t="s">
        <v>10735</v>
      </c>
      <c r="L1447" s="47">
        <v>1210</v>
      </c>
      <c r="M1447" s="47"/>
      <c r="N1447" s="47" t="s">
        <v>433</v>
      </c>
      <c r="O1447" s="47" t="s">
        <v>2491</v>
      </c>
      <c r="P1447" s="47" t="s">
        <v>2492</v>
      </c>
      <c r="Q1447" s="47" t="s">
        <v>2493</v>
      </c>
      <c r="R1447" s="47"/>
      <c r="S1447" s="47"/>
      <c r="T1447" s="47"/>
      <c r="U1447" s="47">
        <v>540</v>
      </c>
      <c r="V1447" s="47"/>
      <c r="W1447" s="47"/>
      <c r="X1447" s="47"/>
      <c r="Y1447" s="47"/>
      <c r="Z1447" s="47">
        <v>4620</v>
      </c>
      <c r="AA1447" s="47">
        <v>1400</v>
      </c>
      <c r="AB1447" s="47"/>
      <c r="AC1447" s="47"/>
      <c r="AD1447" s="47"/>
      <c r="AE1447" s="47"/>
      <c r="AF1447" s="47">
        <v>1485</v>
      </c>
      <c r="AG1447" s="47"/>
      <c r="AH1447" s="47" t="s">
        <v>9976</v>
      </c>
      <c r="AI1447" s="47"/>
      <c r="AJ1447" s="47"/>
    </row>
    <row r="1448" spans="1:43">
      <c r="A1448" s="374" t="s">
        <v>2489</v>
      </c>
      <c r="B1448" s="374">
        <v>14</v>
      </c>
      <c r="C1448" s="374" t="s">
        <v>8456</v>
      </c>
      <c r="D1448" s="157" t="str">
        <f t="shared" ref="D1448:D1449" si="301">CONCATENATE(A1448,B1448)</f>
        <v>Ellery Estate14</v>
      </c>
      <c r="E1448" s="375" t="s">
        <v>10693</v>
      </c>
      <c r="F1448" s="375"/>
      <c r="G1448" s="375"/>
      <c r="H1448" s="375"/>
      <c r="I1448" s="63"/>
      <c r="J1448" s="47">
        <v>3740</v>
      </c>
      <c r="K1448" s="46" t="s">
        <v>10735</v>
      </c>
      <c r="L1448" s="47">
        <v>1210</v>
      </c>
      <c r="M1448" s="47"/>
      <c r="N1448" s="47" t="s">
        <v>433</v>
      </c>
      <c r="O1448" s="47" t="s">
        <v>2491</v>
      </c>
      <c r="P1448" s="47" t="s">
        <v>2492</v>
      </c>
      <c r="Q1448" s="47" t="s">
        <v>2493</v>
      </c>
      <c r="R1448" s="47"/>
      <c r="S1448" s="47"/>
      <c r="T1448" s="47"/>
      <c r="U1448" s="47">
        <v>540</v>
      </c>
      <c r="V1448" s="47"/>
      <c r="W1448" s="47"/>
      <c r="X1448" s="47"/>
      <c r="Y1448" s="47"/>
      <c r="Z1448" s="47">
        <v>4620</v>
      </c>
      <c r="AA1448" s="47">
        <v>1400</v>
      </c>
      <c r="AB1448" s="47"/>
      <c r="AC1448" s="47"/>
      <c r="AD1448" s="47"/>
      <c r="AE1448" s="47"/>
      <c r="AF1448" s="47">
        <v>1485</v>
      </c>
      <c r="AG1448" s="47"/>
      <c r="AH1448" s="47" t="s">
        <v>9976</v>
      </c>
      <c r="AI1448" s="47"/>
      <c r="AJ1448" s="47"/>
    </row>
    <row r="1449" spans="1:43">
      <c r="A1449" s="374" t="s">
        <v>2489</v>
      </c>
      <c r="B1449" s="374">
        <v>17</v>
      </c>
      <c r="C1449" s="374" t="s">
        <v>8456</v>
      </c>
      <c r="D1449" s="375" t="str">
        <f t="shared" si="301"/>
        <v>Ellery Estate17</v>
      </c>
      <c r="E1449" s="375" t="s">
        <v>10796</v>
      </c>
      <c r="F1449" s="375"/>
      <c r="G1449" s="375"/>
      <c r="H1449" s="375"/>
      <c r="I1449" s="63"/>
      <c r="J1449" s="47">
        <v>3740</v>
      </c>
      <c r="K1449" s="46" t="s">
        <v>10735</v>
      </c>
      <c r="L1449" s="47">
        <v>1210</v>
      </c>
      <c r="M1449" s="47"/>
      <c r="N1449" s="47" t="s">
        <v>433</v>
      </c>
      <c r="O1449" s="47" t="s">
        <v>2491</v>
      </c>
      <c r="P1449" s="47" t="s">
        <v>2492</v>
      </c>
      <c r="Q1449" s="47" t="s">
        <v>2493</v>
      </c>
      <c r="R1449" s="47"/>
      <c r="S1449" s="47"/>
      <c r="T1449" s="47"/>
      <c r="U1449" s="47">
        <v>540</v>
      </c>
      <c r="V1449" s="47"/>
      <c r="W1449" s="47"/>
      <c r="X1449" s="47"/>
      <c r="Y1449" s="47"/>
      <c r="Z1449" s="47">
        <v>4620</v>
      </c>
      <c r="AA1449" s="47">
        <v>1400</v>
      </c>
      <c r="AB1449" s="47"/>
      <c r="AC1449" s="47"/>
      <c r="AD1449" s="47"/>
      <c r="AE1449" s="47"/>
      <c r="AF1449" s="47">
        <v>1485</v>
      </c>
      <c r="AG1449" s="47"/>
      <c r="AH1449" s="47" t="s">
        <v>9976</v>
      </c>
      <c r="AI1449" s="47"/>
      <c r="AJ1449" s="47"/>
    </row>
    <row r="1450" spans="1:43">
      <c r="A1450" s="374" t="s">
        <v>2496</v>
      </c>
      <c r="B1450" s="374">
        <v>1</v>
      </c>
      <c r="C1450" s="374" t="s">
        <v>538</v>
      </c>
      <c r="D1450" s="375" t="str">
        <f t="shared" si="297"/>
        <v>ELPIS Estate1</v>
      </c>
      <c r="E1450" s="375" t="s">
        <v>2497</v>
      </c>
      <c r="F1450" s="375" t="s">
        <v>2498</v>
      </c>
      <c r="G1450" s="375" t="s">
        <v>2499</v>
      </c>
      <c r="H1450" s="375" t="s">
        <v>2500</v>
      </c>
      <c r="I1450" s="63" t="s">
        <v>2501</v>
      </c>
      <c r="J1450" s="47">
        <f t="shared" si="298"/>
        <v>3740</v>
      </c>
      <c r="K1450" s="46" t="s">
        <v>7938</v>
      </c>
      <c r="L1450" s="47"/>
      <c r="M1450" s="47"/>
      <c r="N1450" s="47"/>
      <c r="O1450" s="47"/>
      <c r="P1450" s="47"/>
      <c r="Q1450" s="47"/>
      <c r="R1450" s="47"/>
      <c r="S1450" s="47"/>
      <c r="T1450" s="47"/>
      <c r="U1450" s="47">
        <f t="shared" si="299"/>
        <v>430</v>
      </c>
      <c r="V1450" s="47" t="s">
        <v>2502</v>
      </c>
      <c r="W1450" s="47"/>
      <c r="X1450" s="47"/>
      <c r="Y1450" s="47"/>
      <c r="Z1450" s="47">
        <f t="shared" ref="Z1450:Z1488" si="302">Z$7</f>
        <v>4620</v>
      </c>
      <c r="AA1450" s="47"/>
      <c r="AB1450" s="47"/>
      <c r="AC1450" s="47"/>
      <c r="AD1450" s="47"/>
      <c r="AE1450" s="47"/>
      <c r="AF1450" s="47"/>
      <c r="AG1450" s="47"/>
      <c r="AH1450" s="47" t="str">
        <f>IFERROR(_xlfn.XLOOKUP(Table6[[#This Row],[Suburb]],Table5[Travel Surcharge],Table5[$$]),"")</f>
        <v/>
      </c>
      <c r="AI1450" s="47" t="s">
        <v>2503</v>
      </c>
      <c r="AJ1450" s="47"/>
    </row>
    <row r="1451" spans="1:43">
      <c r="A1451" s="374" t="s">
        <v>2496</v>
      </c>
      <c r="B1451" s="374">
        <v>2</v>
      </c>
      <c r="C1451" s="374" t="s">
        <v>538</v>
      </c>
      <c r="D1451" s="375" t="str">
        <f t="shared" si="297"/>
        <v>ELPIS Estate2</v>
      </c>
      <c r="E1451" s="375" t="s">
        <v>2504</v>
      </c>
      <c r="F1451" s="375" t="s">
        <v>2498</v>
      </c>
      <c r="G1451" s="375" t="s">
        <v>2499</v>
      </c>
      <c r="H1451" s="375" t="s">
        <v>2500</v>
      </c>
      <c r="I1451" s="63" t="s">
        <v>2501</v>
      </c>
      <c r="J1451" s="47">
        <f t="shared" si="298"/>
        <v>3740</v>
      </c>
      <c r="K1451" s="46" t="s">
        <v>7938</v>
      </c>
      <c r="L1451" s="47"/>
      <c r="M1451" s="47"/>
      <c r="N1451" s="47"/>
      <c r="O1451" s="47"/>
      <c r="P1451" s="47"/>
      <c r="Q1451" s="47"/>
      <c r="R1451" s="47"/>
      <c r="S1451" s="47"/>
      <c r="T1451" s="47"/>
      <c r="U1451" s="47">
        <f t="shared" si="299"/>
        <v>430</v>
      </c>
      <c r="V1451" s="47" t="s">
        <v>2502</v>
      </c>
      <c r="W1451" s="47"/>
      <c r="X1451" s="47"/>
      <c r="Y1451" s="47"/>
      <c r="Z1451" s="47">
        <f t="shared" si="302"/>
        <v>4620</v>
      </c>
      <c r="AA1451" s="47"/>
      <c r="AB1451" s="47"/>
      <c r="AC1451" s="47"/>
      <c r="AD1451" s="47"/>
      <c r="AE1451" s="47"/>
      <c r="AF1451" s="47"/>
      <c r="AG1451" s="47"/>
      <c r="AH1451" s="47" t="str">
        <f>IFERROR(_xlfn.XLOOKUP(Table6[[#This Row],[Suburb]],Table5[Travel Surcharge],Table5[$$]),"")</f>
        <v/>
      </c>
      <c r="AI1451" s="47" t="s">
        <v>2503</v>
      </c>
      <c r="AJ1451" s="47"/>
    </row>
    <row r="1452" spans="1:43">
      <c r="A1452" s="374" t="s">
        <v>2496</v>
      </c>
      <c r="B1452" s="374">
        <v>3</v>
      </c>
      <c r="C1452" s="374" t="s">
        <v>538</v>
      </c>
      <c r="D1452" s="375" t="str">
        <f t="shared" si="297"/>
        <v>ELPIS Estate3</v>
      </c>
      <c r="E1452" s="375" t="s">
        <v>2505</v>
      </c>
      <c r="F1452" s="375" t="s">
        <v>2498</v>
      </c>
      <c r="G1452" s="375" t="s">
        <v>2499</v>
      </c>
      <c r="H1452" s="375" t="s">
        <v>2500</v>
      </c>
      <c r="I1452" s="63" t="s">
        <v>2501</v>
      </c>
      <c r="J1452" s="47">
        <f t="shared" si="298"/>
        <v>3740</v>
      </c>
      <c r="K1452" s="46" t="s">
        <v>7938</v>
      </c>
      <c r="L1452" s="47"/>
      <c r="M1452" s="47"/>
      <c r="N1452" s="47"/>
      <c r="O1452" s="47"/>
      <c r="P1452" s="47"/>
      <c r="Q1452" s="47"/>
      <c r="R1452" s="47"/>
      <c r="S1452" s="47"/>
      <c r="T1452" s="47"/>
      <c r="U1452" s="47">
        <f t="shared" si="299"/>
        <v>430</v>
      </c>
      <c r="V1452" s="47" t="s">
        <v>2502</v>
      </c>
      <c r="W1452" s="47"/>
      <c r="X1452" s="47"/>
      <c r="Y1452" s="47"/>
      <c r="Z1452" s="47">
        <f t="shared" si="302"/>
        <v>4620</v>
      </c>
      <c r="AA1452" s="47"/>
      <c r="AB1452" s="47"/>
      <c r="AC1452" s="47"/>
      <c r="AD1452" s="47"/>
      <c r="AE1452" s="47"/>
      <c r="AF1452" s="47"/>
      <c r="AG1452" s="47"/>
      <c r="AH1452" s="47" t="str">
        <f>IFERROR(_xlfn.XLOOKUP(Table6[[#This Row],[Suburb]],Table5[Travel Surcharge],Table5[$$]),"")</f>
        <v/>
      </c>
      <c r="AI1452" s="47" t="s">
        <v>2503</v>
      </c>
      <c r="AJ1452" s="47"/>
    </row>
    <row r="1453" spans="1:43">
      <c r="A1453" s="374" t="s">
        <v>2496</v>
      </c>
      <c r="B1453" s="374">
        <v>4</v>
      </c>
      <c r="C1453" s="374" t="s">
        <v>538</v>
      </c>
      <c r="D1453" s="375" t="str">
        <f t="shared" si="297"/>
        <v>ELPIS Estate4</v>
      </c>
      <c r="E1453" s="375" t="s">
        <v>2506</v>
      </c>
      <c r="F1453" s="375" t="s">
        <v>2498</v>
      </c>
      <c r="G1453" s="375" t="s">
        <v>2499</v>
      </c>
      <c r="H1453" s="375" t="s">
        <v>2500</v>
      </c>
      <c r="I1453" s="63" t="s">
        <v>2501</v>
      </c>
      <c r="J1453" s="47">
        <f t="shared" si="298"/>
        <v>3740</v>
      </c>
      <c r="K1453" s="46" t="s">
        <v>7938</v>
      </c>
      <c r="L1453" s="47"/>
      <c r="M1453" s="47"/>
      <c r="N1453" s="47"/>
      <c r="O1453" s="47"/>
      <c r="P1453" s="47"/>
      <c r="Q1453" s="47"/>
      <c r="R1453" s="47"/>
      <c r="S1453" s="47"/>
      <c r="T1453" s="47"/>
      <c r="U1453" s="47">
        <f t="shared" si="299"/>
        <v>430</v>
      </c>
      <c r="V1453" s="47" t="s">
        <v>2502</v>
      </c>
      <c r="W1453" s="47"/>
      <c r="X1453" s="47"/>
      <c r="Y1453" s="47"/>
      <c r="Z1453" s="47">
        <f t="shared" si="302"/>
        <v>4620</v>
      </c>
      <c r="AA1453" s="47"/>
      <c r="AB1453" s="47"/>
      <c r="AC1453" s="47"/>
      <c r="AD1453" s="47"/>
      <c r="AE1453" s="47"/>
      <c r="AF1453" s="47"/>
      <c r="AG1453" s="47"/>
      <c r="AH1453" s="47" t="str">
        <f>IFERROR(_xlfn.XLOOKUP(Table6[[#This Row],[Suburb]],Table5[Travel Surcharge],Table5[$$]),"")</f>
        <v/>
      </c>
      <c r="AI1453" s="47" t="s">
        <v>2503</v>
      </c>
      <c r="AJ1453" s="47"/>
    </row>
    <row r="1454" spans="1:43">
      <c r="A1454" s="374" t="s">
        <v>2496</v>
      </c>
      <c r="B1454" s="374">
        <v>6</v>
      </c>
      <c r="C1454" s="374" t="s">
        <v>538</v>
      </c>
      <c r="D1454" s="375" t="str">
        <f t="shared" si="297"/>
        <v>ELPIS Estate6</v>
      </c>
      <c r="E1454" s="375" t="s">
        <v>2507</v>
      </c>
      <c r="F1454" s="375" t="s">
        <v>2498</v>
      </c>
      <c r="G1454" s="375" t="s">
        <v>2499</v>
      </c>
      <c r="H1454" s="375" t="s">
        <v>2500</v>
      </c>
      <c r="I1454" s="63" t="s">
        <v>2501</v>
      </c>
      <c r="J1454" s="47">
        <f t="shared" si="298"/>
        <v>3740</v>
      </c>
      <c r="K1454" s="46" t="s">
        <v>7938</v>
      </c>
      <c r="L1454" s="47"/>
      <c r="M1454" s="47"/>
      <c r="N1454" s="47"/>
      <c r="O1454" s="47"/>
      <c r="P1454" s="47"/>
      <c r="Q1454" s="47"/>
      <c r="R1454" s="47"/>
      <c r="S1454" s="47"/>
      <c r="T1454" s="47"/>
      <c r="U1454" s="47">
        <f t="shared" si="299"/>
        <v>430</v>
      </c>
      <c r="V1454" s="47" t="s">
        <v>2502</v>
      </c>
      <c r="W1454" s="47"/>
      <c r="X1454" s="47"/>
      <c r="Y1454" s="47"/>
      <c r="Z1454" s="47">
        <f t="shared" si="302"/>
        <v>4620</v>
      </c>
      <c r="AA1454" s="47"/>
      <c r="AB1454" s="47"/>
      <c r="AC1454" s="47"/>
      <c r="AD1454" s="47"/>
      <c r="AE1454" s="47"/>
      <c r="AF1454" s="47"/>
      <c r="AG1454" s="47"/>
      <c r="AH1454" s="47" t="str">
        <f>IFERROR(_xlfn.XLOOKUP(Table6[[#This Row],[Suburb]],Table5[Travel Surcharge],Table5[$$]),"")</f>
        <v/>
      </c>
      <c r="AI1454" s="47" t="s">
        <v>2503</v>
      </c>
      <c r="AJ1454" s="47"/>
    </row>
    <row r="1455" spans="1:43">
      <c r="A1455" s="374" t="s">
        <v>2496</v>
      </c>
      <c r="B1455" s="374">
        <v>7</v>
      </c>
      <c r="C1455" s="374" t="s">
        <v>538</v>
      </c>
      <c r="D1455" s="375" t="str">
        <f t="shared" si="297"/>
        <v>ELPIS Estate7</v>
      </c>
      <c r="E1455" s="375" t="s">
        <v>2508</v>
      </c>
      <c r="F1455" s="375" t="s">
        <v>2498</v>
      </c>
      <c r="G1455" s="375" t="s">
        <v>2499</v>
      </c>
      <c r="H1455" s="375" t="s">
        <v>2500</v>
      </c>
      <c r="I1455" s="63" t="s">
        <v>2501</v>
      </c>
      <c r="J1455" s="47">
        <f t="shared" si="298"/>
        <v>3740</v>
      </c>
      <c r="K1455" s="46" t="s">
        <v>7938</v>
      </c>
      <c r="L1455" s="47"/>
      <c r="M1455" s="47"/>
      <c r="N1455" s="47"/>
      <c r="O1455" s="47"/>
      <c r="P1455" s="47"/>
      <c r="Q1455" s="47"/>
      <c r="R1455" s="47"/>
      <c r="S1455" s="47"/>
      <c r="T1455" s="47"/>
      <c r="U1455" s="47">
        <f t="shared" si="299"/>
        <v>430</v>
      </c>
      <c r="V1455" s="47" t="s">
        <v>2502</v>
      </c>
      <c r="W1455" s="47"/>
      <c r="X1455" s="47"/>
      <c r="Y1455" s="47"/>
      <c r="Z1455" s="47">
        <f t="shared" si="302"/>
        <v>4620</v>
      </c>
      <c r="AA1455" s="47"/>
      <c r="AB1455" s="47"/>
      <c r="AC1455" s="47"/>
      <c r="AD1455" s="47"/>
      <c r="AE1455" s="47"/>
      <c r="AF1455" s="47"/>
      <c r="AG1455" s="47"/>
      <c r="AH1455" s="47" t="str">
        <f>IFERROR(_xlfn.XLOOKUP(Table6[[#This Row],[Suburb]],Table5[Travel Surcharge],Table5[$$]),"")</f>
        <v/>
      </c>
      <c r="AI1455" s="47" t="s">
        <v>2503</v>
      </c>
      <c r="AJ1455" s="47"/>
    </row>
    <row r="1456" spans="1:43">
      <c r="A1456" s="374" t="s">
        <v>2496</v>
      </c>
      <c r="B1456" s="374">
        <v>8</v>
      </c>
      <c r="C1456" s="374" t="s">
        <v>538</v>
      </c>
      <c r="D1456" s="375" t="str">
        <f t="shared" si="297"/>
        <v>ELPIS Estate8</v>
      </c>
      <c r="E1456" s="375" t="s">
        <v>2509</v>
      </c>
      <c r="F1456" s="375" t="s">
        <v>2498</v>
      </c>
      <c r="G1456" s="375" t="s">
        <v>2499</v>
      </c>
      <c r="H1456" s="375" t="s">
        <v>2500</v>
      </c>
      <c r="I1456" s="63" t="s">
        <v>2501</v>
      </c>
      <c r="J1456" s="47">
        <f t="shared" si="298"/>
        <v>3740</v>
      </c>
      <c r="K1456" s="46" t="s">
        <v>7938</v>
      </c>
      <c r="L1456" s="47"/>
      <c r="M1456" s="47"/>
      <c r="N1456" s="47"/>
      <c r="O1456" s="47"/>
      <c r="P1456" s="47"/>
      <c r="Q1456" s="47"/>
      <c r="R1456" s="47"/>
      <c r="S1456" s="47"/>
      <c r="T1456" s="47"/>
      <c r="U1456" s="47">
        <f t="shared" si="299"/>
        <v>430</v>
      </c>
      <c r="V1456" s="47" t="s">
        <v>2502</v>
      </c>
      <c r="W1456" s="47"/>
      <c r="X1456" s="47"/>
      <c r="Y1456" s="47"/>
      <c r="Z1456" s="47">
        <f t="shared" si="302"/>
        <v>4620</v>
      </c>
      <c r="AA1456" s="47"/>
      <c r="AB1456" s="47"/>
      <c r="AC1456" s="47"/>
      <c r="AD1456" s="47"/>
      <c r="AE1456" s="47"/>
      <c r="AF1456" s="47"/>
      <c r="AG1456" s="47"/>
      <c r="AH1456" s="47" t="str">
        <f>IFERROR(_xlfn.XLOOKUP(Table6[[#This Row],[Suburb]],Table5[Travel Surcharge],Table5[$$]),"")</f>
        <v/>
      </c>
      <c r="AI1456" s="47" t="s">
        <v>2503</v>
      </c>
      <c r="AJ1456" s="47"/>
    </row>
    <row r="1457" spans="1:36">
      <c r="A1457" s="374" t="s">
        <v>2496</v>
      </c>
      <c r="B1457" s="374">
        <v>9</v>
      </c>
      <c r="C1457" s="374" t="s">
        <v>538</v>
      </c>
      <c r="D1457" s="375" t="str">
        <f t="shared" si="297"/>
        <v>ELPIS Estate9</v>
      </c>
      <c r="E1457" s="375" t="s">
        <v>2510</v>
      </c>
      <c r="F1457" s="375" t="s">
        <v>2498</v>
      </c>
      <c r="G1457" s="375" t="s">
        <v>2499</v>
      </c>
      <c r="H1457" s="375" t="s">
        <v>2500</v>
      </c>
      <c r="I1457" s="63" t="s">
        <v>2501</v>
      </c>
      <c r="J1457" s="47">
        <f t="shared" si="298"/>
        <v>3740</v>
      </c>
      <c r="K1457" s="46" t="s">
        <v>7938</v>
      </c>
      <c r="L1457" s="47"/>
      <c r="M1457" s="47"/>
      <c r="N1457" s="47"/>
      <c r="O1457" s="47"/>
      <c r="P1457" s="47"/>
      <c r="Q1457" s="47"/>
      <c r="R1457" s="47"/>
      <c r="S1457" s="47"/>
      <c r="T1457" s="47"/>
      <c r="U1457" s="47">
        <f t="shared" si="299"/>
        <v>430</v>
      </c>
      <c r="V1457" s="47" t="s">
        <v>2502</v>
      </c>
      <c r="W1457" s="47"/>
      <c r="X1457" s="47"/>
      <c r="Y1457" s="47"/>
      <c r="Z1457" s="47">
        <f t="shared" si="302"/>
        <v>4620</v>
      </c>
      <c r="AA1457" s="47"/>
      <c r="AB1457" s="47"/>
      <c r="AC1457" s="47"/>
      <c r="AD1457" s="47"/>
      <c r="AE1457" s="47"/>
      <c r="AF1457" s="47"/>
      <c r="AG1457" s="47"/>
      <c r="AH1457" s="47" t="str">
        <f>IFERROR(_xlfn.XLOOKUP(Table6[[#This Row],[Suburb]],Table5[Travel Surcharge],Table5[$$]),"")</f>
        <v/>
      </c>
      <c r="AI1457" s="47" t="s">
        <v>2503</v>
      </c>
      <c r="AJ1457" s="47"/>
    </row>
    <row r="1458" spans="1:36">
      <c r="A1458" s="374" t="s">
        <v>2496</v>
      </c>
      <c r="B1458" s="374">
        <v>10</v>
      </c>
      <c r="C1458" s="374" t="s">
        <v>538</v>
      </c>
      <c r="D1458" s="375" t="str">
        <f t="shared" si="297"/>
        <v>ELPIS Estate10</v>
      </c>
      <c r="E1458" s="375" t="s">
        <v>2511</v>
      </c>
      <c r="F1458" s="375" t="s">
        <v>2498</v>
      </c>
      <c r="G1458" s="375" t="s">
        <v>2499</v>
      </c>
      <c r="H1458" s="375" t="s">
        <v>2500</v>
      </c>
      <c r="I1458" s="63" t="s">
        <v>2501</v>
      </c>
      <c r="J1458" s="47">
        <f t="shared" si="298"/>
        <v>3740</v>
      </c>
      <c r="K1458" s="46" t="s">
        <v>7938</v>
      </c>
      <c r="L1458" s="47"/>
      <c r="M1458" s="47"/>
      <c r="N1458" s="47"/>
      <c r="O1458" s="47"/>
      <c r="P1458" s="47"/>
      <c r="Q1458" s="47"/>
      <c r="R1458" s="47"/>
      <c r="S1458" s="47"/>
      <c r="T1458" s="47"/>
      <c r="U1458" s="47">
        <f t="shared" si="299"/>
        <v>430</v>
      </c>
      <c r="V1458" s="47" t="s">
        <v>2502</v>
      </c>
      <c r="W1458" s="47"/>
      <c r="X1458" s="47"/>
      <c r="Y1458" s="47"/>
      <c r="Z1458" s="47">
        <f t="shared" si="302"/>
        <v>4620</v>
      </c>
      <c r="AA1458" s="47"/>
      <c r="AB1458" s="47"/>
      <c r="AC1458" s="47"/>
      <c r="AD1458" s="47"/>
      <c r="AE1458" s="47"/>
      <c r="AF1458" s="47"/>
      <c r="AG1458" s="47"/>
      <c r="AH1458" s="47" t="str">
        <f>IFERROR(_xlfn.XLOOKUP(Table6[[#This Row],[Suburb]],Table5[Travel Surcharge],Table5[$$]),"")</f>
        <v/>
      </c>
      <c r="AI1458" s="47" t="s">
        <v>2503</v>
      </c>
      <c r="AJ1458" s="47"/>
    </row>
    <row r="1459" spans="1:36">
      <c r="A1459" s="374" t="s">
        <v>2496</v>
      </c>
      <c r="B1459" s="374">
        <v>11</v>
      </c>
      <c r="C1459" s="374" t="s">
        <v>538</v>
      </c>
      <c r="D1459" s="375" t="str">
        <f t="shared" si="297"/>
        <v>ELPIS Estate11</v>
      </c>
      <c r="E1459" s="375" t="s">
        <v>2512</v>
      </c>
      <c r="F1459" s="375" t="s">
        <v>2498</v>
      </c>
      <c r="G1459" s="375" t="s">
        <v>2499</v>
      </c>
      <c r="H1459" s="375" t="s">
        <v>2500</v>
      </c>
      <c r="I1459" s="63" t="s">
        <v>2501</v>
      </c>
      <c r="J1459" s="47">
        <f t="shared" si="298"/>
        <v>3740</v>
      </c>
      <c r="K1459" s="46" t="s">
        <v>7938</v>
      </c>
      <c r="L1459" s="47"/>
      <c r="M1459" s="47"/>
      <c r="N1459" s="47"/>
      <c r="O1459" s="47"/>
      <c r="P1459" s="47"/>
      <c r="Q1459" s="47"/>
      <c r="R1459" s="47"/>
      <c r="S1459" s="47"/>
      <c r="T1459" s="47"/>
      <c r="U1459" s="47">
        <f t="shared" si="299"/>
        <v>430</v>
      </c>
      <c r="V1459" s="47" t="s">
        <v>2502</v>
      </c>
      <c r="W1459" s="47"/>
      <c r="X1459" s="47"/>
      <c r="Y1459" s="47"/>
      <c r="Z1459" s="47">
        <f t="shared" si="302"/>
        <v>4620</v>
      </c>
      <c r="AA1459" s="47"/>
      <c r="AB1459" s="47"/>
      <c r="AC1459" s="47"/>
      <c r="AD1459" s="47"/>
      <c r="AE1459" s="47"/>
      <c r="AF1459" s="47"/>
      <c r="AG1459" s="47"/>
      <c r="AH1459" s="47" t="str">
        <f>IFERROR(_xlfn.XLOOKUP(Table6[[#This Row],[Suburb]],Table5[Travel Surcharge],Table5[$$]),"")</f>
        <v/>
      </c>
      <c r="AI1459" s="47" t="s">
        <v>2503</v>
      </c>
      <c r="AJ1459" s="47"/>
    </row>
    <row r="1460" spans="1:36">
      <c r="A1460" s="374" t="s">
        <v>2496</v>
      </c>
      <c r="B1460" s="374">
        <v>18</v>
      </c>
      <c r="C1460" s="374" t="s">
        <v>538</v>
      </c>
      <c r="D1460" s="375" t="str">
        <f t="shared" si="297"/>
        <v>ELPIS Estate18</v>
      </c>
      <c r="E1460" s="375" t="s">
        <v>2513</v>
      </c>
      <c r="F1460" s="375" t="s">
        <v>2498</v>
      </c>
      <c r="G1460" s="375" t="s">
        <v>2499</v>
      </c>
      <c r="H1460" s="375" t="s">
        <v>2500</v>
      </c>
      <c r="I1460" s="63" t="s">
        <v>2501</v>
      </c>
      <c r="J1460" s="47">
        <f t="shared" si="298"/>
        <v>3740</v>
      </c>
      <c r="K1460" s="46" t="s">
        <v>7938</v>
      </c>
      <c r="L1460" s="47"/>
      <c r="M1460" s="47"/>
      <c r="N1460" s="47"/>
      <c r="O1460" s="47"/>
      <c r="P1460" s="47"/>
      <c r="Q1460" s="47"/>
      <c r="R1460" s="47"/>
      <c r="S1460" s="47"/>
      <c r="T1460" s="47"/>
      <c r="U1460" s="47">
        <f t="shared" si="299"/>
        <v>430</v>
      </c>
      <c r="V1460" s="47" t="s">
        <v>2502</v>
      </c>
      <c r="W1460" s="47"/>
      <c r="X1460" s="47"/>
      <c r="Y1460" s="47"/>
      <c r="Z1460" s="47">
        <f t="shared" si="302"/>
        <v>4620</v>
      </c>
      <c r="AA1460" s="47"/>
      <c r="AB1460" s="47"/>
      <c r="AC1460" s="47"/>
      <c r="AD1460" s="47"/>
      <c r="AE1460" s="47"/>
      <c r="AF1460" s="47"/>
      <c r="AG1460" s="47"/>
      <c r="AH1460" s="47" t="str">
        <f>IFERROR(_xlfn.XLOOKUP(Table6[[#This Row],[Suburb]],Table5[Travel Surcharge],Table5[$$]),"")</f>
        <v/>
      </c>
      <c r="AI1460" s="47" t="s">
        <v>2503</v>
      </c>
      <c r="AJ1460" s="47"/>
    </row>
    <row r="1461" spans="1:36">
      <c r="A1461" s="374" t="s">
        <v>2514</v>
      </c>
      <c r="B1461" s="374">
        <v>1</v>
      </c>
      <c r="C1461" s="374" t="s">
        <v>455</v>
      </c>
      <c r="D1461" s="375" t="str">
        <f t="shared" si="297"/>
        <v>Elyssia Estate1</v>
      </c>
      <c r="E1461" s="375" t="s">
        <v>2515</v>
      </c>
      <c r="F1461" s="375" t="s">
        <v>1806</v>
      </c>
      <c r="G1461" s="375" t="s">
        <v>2516</v>
      </c>
      <c r="H1461" s="375" t="s">
        <v>2517</v>
      </c>
      <c r="I1461" s="63" t="s">
        <v>2518</v>
      </c>
      <c r="J1461" s="47">
        <f t="shared" si="298"/>
        <v>3740</v>
      </c>
      <c r="K1461" s="46" t="s">
        <v>10735</v>
      </c>
      <c r="L1461" s="47">
        <f>L$7</f>
        <v>1210</v>
      </c>
      <c r="M1461" s="47"/>
      <c r="N1461" s="47" t="s">
        <v>2519</v>
      </c>
      <c r="O1461" s="47" t="s">
        <v>2520</v>
      </c>
      <c r="P1461" s="47"/>
      <c r="Q1461" s="47" t="s">
        <v>1765</v>
      </c>
      <c r="R1461" s="47" t="s">
        <v>536</v>
      </c>
      <c r="S1461" s="47" t="s">
        <v>2521</v>
      </c>
      <c r="T1461" s="47">
        <f>T$2</f>
        <v>780</v>
      </c>
      <c r="U1461" s="47"/>
      <c r="V1461" s="47"/>
      <c r="W1461" s="47"/>
      <c r="X1461" s="47"/>
      <c r="Y1461" s="47"/>
      <c r="Z1461" s="47">
        <f t="shared" si="302"/>
        <v>4620</v>
      </c>
      <c r="AA1461" s="47"/>
      <c r="AB1461" s="47"/>
      <c r="AC1461" s="47"/>
      <c r="AD1461" s="47"/>
      <c r="AE1461" s="47"/>
      <c r="AF1461" s="47"/>
      <c r="AG1461" s="47" t="s">
        <v>464</v>
      </c>
      <c r="AH1461" s="47" t="str">
        <f>IFERROR(_xlfn.XLOOKUP(Table6[[#This Row],[Suburb]],Table5[Travel Surcharge],Table5[$$]),"")</f>
        <v/>
      </c>
      <c r="AI1461" s="47"/>
      <c r="AJ1461" s="47"/>
    </row>
    <row r="1462" spans="1:36">
      <c r="A1462" s="374" t="s">
        <v>2514</v>
      </c>
      <c r="B1462" s="374">
        <v>2</v>
      </c>
      <c r="C1462" s="374" t="s">
        <v>455</v>
      </c>
      <c r="D1462" s="375" t="str">
        <f t="shared" si="297"/>
        <v>Elyssia Estate2</v>
      </c>
      <c r="E1462" s="375" t="s">
        <v>2522</v>
      </c>
      <c r="F1462" s="375" t="s">
        <v>1806</v>
      </c>
      <c r="G1462" s="375" t="s">
        <v>2516</v>
      </c>
      <c r="H1462" s="375" t="s">
        <v>2517</v>
      </c>
      <c r="I1462" s="63" t="s">
        <v>2518</v>
      </c>
      <c r="J1462" s="47">
        <f t="shared" si="298"/>
        <v>3740</v>
      </c>
      <c r="K1462" s="46" t="s">
        <v>10735</v>
      </c>
      <c r="L1462" s="47">
        <f>L$7</f>
        <v>1210</v>
      </c>
      <c r="M1462" s="47"/>
      <c r="N1462" s="47" t="s">
        <v>2519</v>
      </c>
      <c r="O1462" s="47" t="s">
        <v>2520</v>
      </c>
      <c r="P1462" s="47"/>
      <c r="Q1462" s="47" t="s">
        <v>1765</v>
      </c>
      <c r="R1462" s="47" t="s">
        <v>536</v>
      </c>
      <c r="S1462" s="47" t="s">
        <v>2521</v>
      </c>
      <c r="T1462" s="47">
        <f>T$2</f>
        <v>780</v>
      </c>
      <c r="U1462" s="47"/>
      <c r="V1462" s="47"/>
      <c r="W1462" s="47"/>
      <c r="X1462" s="47"/>
      <c r="Y1462" s="47"/>
      <c r="Z1462" s="47">
        <f t="shared" si="302"/>
        <v>4620</v>
      </c>
      <c r="AA1462" s="47"/>
      <c r="AB1462" s="47"/>
      <c r="AC1462" s="47"/>
      <c r="AD1462" s="47"/>
      <c r="AE1462" s="47"/>
      <c r="AF1462" s="47"/>
      <c r="AG1462" s="47" t="s">
        <v>464</v>
      </c>
      <c r="AH1462" s="47" t="str">
        <f>IFERROR(_xlfn.XLOOKUP(Table6[[#This Row],[Suburb]],Table5[Travel Surcharge],Table5[$$]),"")</f>
        <v/>
      </c>
      <c r="AI1462" s="47"/>
      <c r="AJ1462" s="47"/>
    </row>
    <row r="1463" spans="1:36">
      <c r="A1463" s="374" t="s">
        <v>2514</v>
      </c>
      <c r="B1463" s="374">
        <v>3</v>
      </c>
      <c r="C1463" s="374" t="s">
        <v>455</v>
      </c>
      <c r="D1463" s="375" t="str">
        <f t="shared" si="297"/>
        <v>Elyssia Estate3</v>
      </c>
      <c r="E1463" s="375" t="s">
        <v>2523</v>
      </c>
      <c r="F1463" s="375" t="s">
        <v>1806</v>
      </c>
      <c r="G1463" s="375" t="s">
        <v>2516</v>
      </c>
      <c r="H1463" s="375" t="s">
        <v>2517</v>
      </c>
      <c r="I1463" s="63" t="s">
        <v>2518</v>
      </c>
      <c r="J1463" s="47">
        <f t="shared" si="298"/>
        <v>3740</v>
      </c>
      <c r="K1463" s="46" t="s">
        <v>10735</v>
      </c>
      <c r="L1463" s="47">
        <f>L$7</f>
        <v>1210</v>
      </c>
      <c r="M1463" s="47"/>
      <c r="N1463" s="47" t="s">
        <v>2519</v>
      </c>
      <c r="O1463" s="47" t="s">
        <v>2520</v>
      </c>
      <c r="P1463" s="47"/>
      <c r="Q1463" s="47" t="s">
        <v>1765</v>
      </c>
      <c r="R1463" s="47" t="s">
        <v>536</v>
      </c>
      <c r="S1463" s="47" t="s">
        <v>2521</v>
      </c>
      <c r="T1463" s="47">
        <f>T$2</f>
        <v>780</v>
      </c>
      <c r="U1463" s="47"/>
      <c r="V1463" s="47"/>
      <c r="W1463" s="47"/>
      <c r="X1463" s="47"/>
      <c r="Y1463" s="47"/>
      <c r="Z1463" s="47">
        <f t="shared" si="302"/>
        <v>4620</v>
      </c>
      <c r="AA1463" s="47"/>
      <c r="AB1463" s="47"/>
      <c r="AC1463" s="47"/>
      <c r="AD1463" s="47"/>
      <c r="AE1463" s="47"/>
      <c r="AF1463" s="47"/>
      <c r="AG1463" s="47" t="s">
        <v>464</v>
      </c>
      <c r="AH1463" s="47" t="str">
        <f>IFERROR(_xlfn.XLOOKUP(Table6[[#This Row],[Suburb]],Table5[Travel Surcharge],Table5[$$]),"")</f>
        <v/>
      </c>
      <c r="AI1463" s="47"/>
      <c r="AJ1463" s="47"/>
    </row>
    <row r="1464" spans="1:36">
      <c r="A1464" s="374" t="s">
        <v>2514</v>
      </c>
      <c r="B1464" s="374">
        <v>4</v>
      </c>
      <c r="C1464" s="374" t="s">
        <v>455</v>
      </c>
      <c r="D1464" s="375" t="str">
        <f t="shared" si="297"/>
        <v>Elyssia Estate4</v>
      </c>
      <c r="E1464" s="375" t="s">
        <v>2524</v>
      </c>
      <c r="F1464" s="375" t="s">
        <v>1806</v>
      </c>
      <c r="G1464" s="375" t="s">
        <v>2516</v>
      </c>
      <c r="H1464" s="375" t="s">
        <v>2517</v>
      </c>
      <c r="I1464" s="63" t="s">
        <v>2518</v>
      </c>
      <c r="J1464" s="47">
        <f t="shared" si="298"/>
        <v>3740</v>
      </c>
      <c r="K1464" s="46" t="s">
        <v>10735</v>
      </c>
      <c r="L1464" s="47">
        <f>L$7</f>
        <v>1210</v>
      </c>
      <c r="M1464" s="47"/>
      <c r="N1464" s="47" t="s">
        <v>2519</v>
      </c>
      <c r="O1464" s="47" t="s">
        <v>2520</v>
      </c>
      <c r="P1464" s="47"/>
      <c r="Q1464" s="47" t="s">
        <v>1765</v>
      </c>
      <c r="R1464" s="47" t="s">
        <v>536</v>
      </c>
      <c r="S1464" s="47" t="s">
        <v>2521</v>
      </c>
      <c r="T1464" s="47">
        <f>T$2</f>
        <v>780</v>
      </c>
      <c r="U1464" s="47"/>
      <c r="V1464" s="47"/>
      <c r="W1464" s="47"/>
      <c r="X1464" s="47"/>
      <c r="Y1464" s="47"/>
      <c r="Z1464" s="47">
        <f t="shared" si="302"/>
        <v>4620</v>
      </c>
      <c r="AA1464" s="47"/>
      <c r="AB1464" s="47"/>
      <c r="AC1464" s="47"/>
      <c r="AD1464" s="47"/>
      <c r="AE1464" s="47"/>
      <c r="AF1464" s="47"/>
      <c r="AG1464" s="47" t="s">
        <v>464</v>
      </c>
      <c r="AH1464" s="47" t="str">
        <f>IFERROR(_xlfn.XLOOKUP(Table6[[#This Row],[Suburb]],Table5[Travel Surcharge],Table5[$$]),"")</f>
        <v/>
      </c>
      <c r="AI1464" s="47"/>
      <c r="AJ1464" s="47"/>
    </row>
    <row r="1465" spans="1:36">
      <c r="A1465" s="157" t="s">
        <v>10663</v>
      </c>
      <c r="B1465" s="157">
        <v>1</v>
      </c>
      <c r="C1465" s="157" t="s">
        <v>281</v>
      </c>
      <c r="D1465" s="157" t="str">
        <f>CONCATENATE(A1465,B1465)</f>
        <v>Elysium1</v>
      </c>
      <c r="E1465" s="157" t="s">
        <v>10664</v>
      </c>
      <c r="F1465" s="157"/>
      <c r="G1465" s="157"/>
      <c r="H1465" s="157"/>
      <c r="I1465" s="158"/>
      <c r="J1465" s="47">
        <f t="shared" si="298"/>
        <v>3740</v>
      </c>
      <c r="K1465" s="46" t="s">
        <v>10735</v>
      </c>
      <c r="L1465" s="159" t="s">
        <v>10665</v>
      </c>
      <c r="M1465" s="47">
        <f t="shared" ref="M1465" si="303">M$7</f>
        <v>1430.0000000000002</v>
      </c>
      <c r="N1465" s="47" t="s">
        <v>10666</v>
      </c>
      <c r="O1465" s="159"/>
      <c r="P1465" s="159"/>
      <c r="Q1465" s="159">
        <f>Q$2</f>
        <v>0</v>
      </c>
      <c r="R1465" s="159"/>
      <c r="S1465" s="159"/>
      <c r="T1465" s="159"/>
      <c r="U1465" s="159"/>
      <c r="V1465" s="159"/>
      <c r="W1465" s="159"/>
      <c r="X1465" s="159"/>
      <c r="Y1465" s="159"/>
      <c r="Z1465" s="159">
        <f>Z$7</f>
        <v>4620</v>
      </c>
      <c r="AA1465" s="159"/>
      <c r="AB1465" s="159"/>
      <c r="AC1465" s="159"/>
      <c r="AD1465" s="159"/>
      <c r="AE1465" s="159"/>
      <c r="AF1465" s="47">
        <f t="shared" ref="AF1465" si="304">AF$7</f>
        <v>1485</v>
      </c>
      <c r="AG1465" s="159"/>
      <c r="AH1465" s="47">
        <f>IFERROR(_xlfn.XLOOKUP(Table6[[#This Row],[Suburb]],Table5[Travel Surcharge],Table5[$$]),"")</f>
        <v>1500</v>
      </c>
      <c r="AI1465" s="47">
        <f t="shared" ref="AI1465" si="305">AI$7</f>
        <v>1650.0000000000002</v>
      </c>
      <c r="AJ1465" s="159"/>
    </row>
    <row r="1466" spans="1:36">
      <c r="A1466" s="374" t="s">
        <v>10663</v>
      </c>
      <c r="B1466" s="374" t="s">
        <v>10968</v>
      </c>
      <c r="C1466" s="374" t="s">
        <v>281</v>
      </c>
      <c r="D1466" s="375" t="str">
        <f>CONCATENATE(A1466,B1466)</f>
        <v>ElysiumAlpha A</v>
      </c>
      <c r="E1466" s="375" t="s">
        <v>10664</v>
      </c>
      <c r="F1466" s="375"/>
      <c r="G1466" s="375"/>
      <c r="H1466" s="375"/>
      <c r="I1466" s="63"/>
      <c r="J1466" s="47">
        <v>3740</v>
      </c>
      <c r="K1466" s="46" t="s">
        <v>10735</v>
      </c>
      <c r="L1466" s="159" t="s">
        <v>10665</v>
      </c>
      <c r="M1466" s="47">
        <v>1430.0000000000002</v>
      </c>
      <c r="N1466" s="47" t="s">
        <v>10666</v>
      </c>
      <c r="O1466" s="159"/>
      <c r="P1466" s="159"/>
      <c r="Q1466" s="159">
        <v>0</v>
      </c>
      <c r="R1466" s="159"/>
      <c r="S1466" s="159"/>
      <c r="T1466" s="159"/>
      <c r="U1466" s="159"/>
      <c r="V1466" s="159"/>
      <c r="W1466" s="159"/>
      <c r="X1466" s="159"/>
      <c r="Y1466" s="159"/>
      <c r="Z1466" s="159">
        <v>4620</v>
      </c>
      <c r="AA1466" s="159"/>
      <c r="AB1466" s="159"/>
      <c r="AC1466" s="159"/>
      <c r="AD1466" s="159"/>
      <c r="AE1466" s="159"/>
      <c r="AF1466" s="47">
        <v>1485</v>
      </c>
      <c r="AG1466" s="159"/>
      <c r="AH1466" s="47">
        <v>1500</v>
      </c>
      <c r="AI1466" s="47">
        <v>1650.0000000000002</v>
      </c>
      <c r="AJ1466" s="159"/>
    </row>
    <row r="1467" spans="1:36">
      <c r="A1467" s="374" t="s">
        <v>10663</v>
      </c>
      <c r="B1467" s="374" t="s">
        <v>10966</v>
      </c>
      <c r="C1467" s="374" t="s">
        <v>281</v>
      </c>
      <c r="D1467" s="375" t="str">
        <f>CONCATENATE(A1467,B1467)</f>
        <v>ElysiumAlpha B</v>
      </c>
      <c r="E1467" s="375" t="s">
        <v>10967</v>
      </c>
      <c r="F1467" s="375"/>
      <c r="G1467" s="375"/>
      <c r="H1467" s="375"/>
      <c r="I1467" s="63"/>
      <c r="J1467" s="47">
        <v>3740</v>
      </c>
      <c r="K1467" s="46" t="s">
        <v>10735</v>
      </c>
      <c r="L1467" s="159" t="s">
        <v>10665</v>
      </c>
      <c r="M1467" s="47">
        <v>1430.0000000000002</v>
      </c>
      <c r="N1467" s="47" t="s">
        <v>10666</v>
      </c>
      <c r="O1467" s="159"/>
      <c r="P1467" s="159"/>
      <c r="Q1467" s="159">
        <v>0</v>
      </c>
      <c r="R1467" s="159"/>
      <c r="S1467" s="159"/>
      <c r="T1467" s="159"/>
      <c r="U1467" s="159"/>
      <c r="V1467" s="159"/>
      <c r="W1467" s="159"/>
      <c r="X1467" s="159"/>
      <c r="Y1467" s="159"/>
      <c r="Z1467" s="159">
        <v>4620</v>
      </c>
      <c r="AA1467" s="159"/>
      <c r="AB1467" s="159"/>
      <c r="AC1467" s="159"/>
      <c r="AD1467" s="159"/>
      <c r="AE1467" s="159"/>
      <c r="AF1467" s="47">
        <v>1485</v>
      </c>
      <c r="AG1467" s="159"/>
      <c r="AH1467" s="47">
        <v>1500</v>
      </c>
      <c r="AI1467" s="47">
        <v>1650.0000000000002</v>
      </c>
      <c r="AJ1467" s="159"/>
    </row>
    <row r="1468" spans="1:36">
      <c r="A1468" s="374" t="s">
        <v>2525</v>
      </c>
      <c r="B1468" s="374">
        <v>1</v>
      </c>
      <c r="C1468" s="374" t="s">
        <v>287</v>
      </c>
      <c r="D1468" s="375" t="str">
        <f t="shared" si="297"/>
        <v>Emberwood1</v>
      </c>
      <c r="E1468" s="375" t="s">
        <v>2526</v>
      </c>
      <c r="F1468" s="375"/>
      <c r="G1468" s="375"/>
      <c r="H1468" s="375"/>
      <c r="I1468" s="63"/>
      <c r="J1468" s="47"/>
      <c r="K1468" s="46" t="s">
        <v>10735</v>
      </c>
      <c r="L1468" s="47"/>
      <c r="M1468" s="47"/>
      <c r="N1468" s="47"/>
      <c r="O1468" s="47" t="s">
        <v>2527</v>
      </c>
      <c r="P1468" s="47"/>
      <c r="Q1468" s="47">
        <f t="shared" ref="Q1468:Q1478" si="306">Q$2</f>
        <v>0</v>
      </c>
      <c r="R1468" s="47"/>
      <c r="S1468" s="47"/>
      <c r="T1468" s="47"/>
      <c r="U1468" s="47"/>
      <c r="V1468" s="47"/>
      <c r="W1468" s="47"/>
      <c r="X1468" s="47"/>
      <c r="Y1468" s="47"/>
      <c r="Z1468" s="47">
        <f t="shared" si="302"/>
        <v>4620</v>
      </c>
      <c r="AA1468" s="47"/>
      <c r="AB1468" s="47"/>
      <c r="AC1468" s="47"/>
      <c r="AD1468" s="47"/>
      <c r="AE1468" s="47"/>
      <c r="AF1468" s="47"/>
      <c r="AG1468" s="47"/>
      <c r="AH1468" s="47">
        <f>IFERROR(_xlfn.XLOOKUP(Table6[[#This Row],[Suburb]],Table5[Travel Surcharge],Table5[$$]),"")</f>
        <v>7000</v>
      </c>
      <c r="AI1468" s="47"/>
      <c r="AJ1468" s="47"/>
    </row>
    <row r="1469" spans="1:36">
      <c r="A1469" s="374" t="s">
        <v>2525</v>
      </c>
      <c r="B1469" s="374">
        <v>3</v>
      </c>
      <c r="C1469" s="374" t="s">
        <v>287</v>
      </c>
      <c r="D1469" s="375" t="str">
        <f t="shared" si="297"/>
        <v>Emberwood3</v>
      </c>
      <c r="E1469" s="375" t="s">
        <v>2528</v>
      </c>
      <c r="F1469" s="375"/>
      <c r="G1469" s="375"/>
      <c r="H1469" s="375"/>
      <c r="I1469" s="63"/>
      <c r="J1469" s="47"/>
      <c r="K1469" s="46" t="s">
        <v>10735</v>
      </c>
      <c r="L1469" s="47"/>
      <c r="M1469" s="47"/>
      <c r="N1469" s="47"/>
      <c r="O1469" s="47" t="s">
        <v>2527</v>
      </c>
      <c r="P1469" s="47"/>
      <c r="Q1469" s="47">
        <f t="shared" si="306"/>
        <v>0</v>
      </c>
      <c r="R1469" s="47"/>
      <c r="S1469" s="47"/>
      <c r="T1469" s="47"/>
      <c r="U1469" s="47"/>
      <c r="V1469" s="47"/>
      <c r="W1469" s="47"/>
      <c r="X1469" s="47"/>
      <c r="Y1469" s="47"/>
      <c r="Z1469" s="47">
        <f t="shared" si="302"/>
        <v>4620</v>
      </c>
      <c r="AA1469" s="47"/>
      <c r="AB1469" s="47"/>
      <c r="AC1469" s="47"/>
      <c r="AD1469" s="47"/>
      <c r="AE1469" s="47"/>
      <c r="AF1469" s="47"/>
      <c r="AG1469" s="47"/>
      <c r="AH1469" s="47">
        <f>IFERROR(_xlfn.XLOOKUP(Table6[[#This Row],[Suburb]],Table5[Travel Surcharge],Table5[$$]),"")</f>
        <v>7000</v>
      </c>
      <c r="AI1469" s="47"/>
      <c r="AJ1469" s="47"/>
    </row>
    <row r="1470" spans="1:36">
      <c r="A1470" s="374" t="s">
        <v>2525</v>
      </c>
      <c r="B1470" s="374">
        <v>4</v>
      </c>
      <c r="C1470" s="374" t="s">
        <v>287</v>
      </c>
      <c r="D1470" s="375" t="str">
        <f t="shared" si="297"/>
        <v>Emberwood4</v>
      </c>
      <c r="E1470" s="375" t="s">
        <v>2526</v>
      </c>
      <c r="F1470" s="375"/>
      <c r="G1470" s="375"/>
      <c r="H1470" s="375"/>
      <c r="I1470" s="63"/>
      <c r="J1470" s="47"/>
      <c r="K1470" s="46" t="s">
        <v>10735</v>
      </c>
      <c r="L1470" s="47"/>
      <c r="M1470" s="47"/>
      <c r="N1470" s="47"/>
      <c r="O1470" s="47" t="s">
        <v>2527</v>
      </c>
      <c r="P1470" s="47"/>
      <c r="Q1470" s="47">
        <f t="shared" si="306"/>
        <v>0</v>
      </c>
      <c r="R1470" s="47"/>
      <c r="S1470" s="47"/>
      <c r="T1470" s="47"/>
      <c r="U1470" s="47"/>
      <c r="V1470" s="47"/>
      <c r="W1470" s="47"/>
      <c r="X1470" s="47"/>
      <c r="Y1470" s="47"/>
      <c r="Z1470" s="47">
        <f t="shared" si="302"/>
        <v>4620</v>
      </c>
      <c r="AA1470" s="47"/>
      <c r="AB1470" s="47"/>
      <c r="AC1470" s="47"/>
      <c r="AD1470" s="47"/>
      <c r="AE1470" s="47"/>
      <c r="AF1470" s="47"/>
      <c r="AG1470" s="47"/>
      <c r="AH1470" s="47">
        <f>IFERROR(_xlfn.XLOOKUP(Table6[[#This Row],[Suburb]],Table5[Travel Surcharge],Table5[$$]),"")</f>
        <v>7000</v>
      </c>
      <c r="AI1470" s="47"/>
      <c r="AJ1470" s="47"/>
    </row>
    <row r="1471" spans="1:36">
      <c r="A1471" s="374" t="s">
        <v>2525</v>
      </c>
      <c r="B1471" s="374">
        <v>5</v>
      </c>
      <c r="C1471" s="374" t="s">
        <v>287</v>
      </c>
      <c r="D1471" s="375" t="str">
        <f t="shared" si="297"/>
        <v>Emberwood5</v>
      </c>
      <c r="E1471" s="375" t="s">
        <v>2529</v>
      </c>
      <c r="F1471" s="375"/>
      <c r="G1471" s="375"/>
      <c r="H1471" s="375"/>
      <c r="I1471" s="63"/>
      <c r="J1471" s="47"/>
      <c r="K1471" s="46" t="s">
        <v>10735</v>
      </c>
      <c r="L1471" s="47"/>
      <c r="M1471" s="47"/>
      <c r="N1471" s="47"/>
      <c r="O1471" s="47" t="s">
        <v>2527</v>
      </c>
      <c r="P1471" s="47"/>
      <c r="Q1471" s="47">
        <f t="shared" si="306"/>
        <v>0</v>
      </c>
      <c r="R1471" s="47"/>
      <c r="S1471" s="47"/>
      <c r="T1471" s="47"/>
      <c r="U1471" s="47"/>
      <c r="V1471" s="47"/>
      <c r="W1471" s="47"/>
      <c r="X1471" s="47"/>
      <c r="Y1471" s="47"/>
      <c r="Z1471" s="47">
        <f t="shared" si="302"/>
        <v>4620</v>
      </c>
      <c r="AA1471" s="47"/>
      <c r="AB1471" s="47"/>
      <c r="AC1471" s="47"/>
      <c r="AD1471" s="47"/>
      <c r="AE1471" s="47"/>
      <c r="AF1471" s="47"/>
      <c r="AG1471" s="47"/>
      <c r="AH1471" s="47">
        <f>IFERROR(_xlfn.XLOOKUP(Table6[[#This Row],[Suburb]],Table5[Travel Surcharge],Table5[$$]),"")</f>
        <v>7000</v>
      </c>
      <c r="AI1471" s="47"/>
      <c r="AJ1471" s="47"/>
    </row>
    <row r="1472" spans="1:36">
      <c r="A1472" s="374" t="s">
        <v>2525</v>
      </c>
      <c r="B1472" s="374">
        <v>6</v>
      </c>
      <c r="C1472" s="374" t="s">
        <v>287</v>
      </c>
      <c r="D1472" s="375" t="str">
        <f t="shared" si="297"/>
        <v>Emberwood6</v>
      </c>
      <c r="E1472" s="375" t="s">
        <v>2530</v>
      </c>
      <c r="F1472" s="375"/>
      <c r="G1472" s="375"/>
      <c r="H1472" s="375"/>
      <c r="I1472" s="63"/>
      <c r="J1472" s="47"/>
      <c r="K1472" s="46" t="s">
        <v>10735</v>
      </c>
      <c r="L1472" s="47"/>
      <c r="M1472" s="47"/>
      <c r="N1472" s="47"/>
      <c r="O1472" s="47" t="s">
        <v>2527</v>
      </c>
      <c r="P1472" s="47"/>
      <c r="Q1472" s="47">
        <f t="shared" si="306"/>
        <v>0</v>
      </c>
      <c r="R1472" s="47"/>
      <c r="S1472" s="47"/>
      <c r="T1472" s="47"/>
      <c r="U1472" s="47"/>
      <c r="V1472" s="47"/>
      <c r="W1472" s="47"/>
      <c r="X1472" s="47"/>
      <c r="Y1472" s="47"/>
      <c r="Z1472" s="47">
        <f t="shared" si="302"/>
        <v>4620</v>
      </c>
      <c r="AA1472" s="47"/>
      <c r="AB1472" s="47"/>
      <c r="AC1472" s="47"/>
      <c r="AD1472" s="47"/>
      <c r="AE1472" s="47"/>
      <c r="AF1472" s="47"/>
      <c r="AG1472" s="47"/>
      <c r="AH1472" s="47">
        <f>IFERROR(_xlfn.XLOOKUP(Table6[[#This Row],[Suburb]],Table5[Travel Surcharge],Table5[$$]),"")</f>
        <v>7000</v>
      </c>
      <c r="AI1472" s="47"/>
      <c r="AJ1472" s="47"/>
    </row>
    <row r="1473" spans="1:39">
      <c r="A1473" s="157" t="s">
        <v>2525</v>
      </c>
      <c r="B1473" s="157">
        <v>7</v>
      </c>
      <c r="C1473" s="157" t="s">
        <v>287</v>
      </c>
      <c r="D1473" s="157" t="str">
        <f t="shared" si="297"/>
        <v>Emberwood7</v>
      </c>
      <c r="E1473" s="157" t="s">
        <v>2531</v>
      </c>
      <c r="F1473" s="157"/>
      <c r="G1473" s="157"/>
      <c r="H1473" s="157"/>
      <c r="I1473" s="158"/>
      <c r="J1473" s="47"/>
      <c r="K1473" s="46" t="s">
        <v>10735</v>
      </c>
      <c r="L1473" s="47"/>
      <c r="M1473" s="47"/>
      <c r="N1473" s="47"/>
      <c r="O1473" s="47" t="s">
        <v>2527</v>
      </c>
      <c r="P1473" s="47"/>
      <c r="Q1473" s="47">
        <f t="shared" si="306"/>
        <v>0</v>
      </c>
      <c r="R1473" s="47"/>
      <c r="S1473" s="47"/>
      <c r="T1473" s="47"/>
      <c r="U1473" s="47"/>
      <c r="V1473" s="47"/>
      <c r="W1473" s="47"/>
      <c r="X1473" s="47"/>
      <c r="Y1473" s="47"/>
      <c r="Z1473" s="47">
        <f t="shared" si="302"/>
        <v>4620</v>
      </c>
      <c r="AA1473" s="47"/>
      <c r="AB1473" s="47"/>
      <c r="AC1473" s="47"/>
      <c r="AD1473" s="47"/>
      <c r="AE1473" s="47"/>
      <c r="AF1473" s="47"/>
      <c r="AG1473" s="47"/>
      <c r="AH1473" s="47">
        <f>IFERROR(_xlfn.XLOOKUP(Table6[[#This Row],[Suburb]],Table5[Travel Surcharge],Table5[$$]),"")</f>
        <v>7000</v>
      </c>
      <c r="AI1473" s="47"/>
      <c r="AJ1473" s="47"/>
    </row>
    <row r="1474" spans="1:39">
      <c r="A1474" s="374" t="s">
        <v>2525</v>
      </c>
      <c r="B1474" s="374">
        <v>8</v>
      </c>
      <c r="C1474" s="374" t="s">
        <v>287</v>
      </c>
      <c r="D1474" s="375" t="str">
        <f t="shared" si="297"/>
        <v>Emberwood8</v>
      </c>
      <c r="E1474" s="375" t="s">
        <v>2528</v>
      </c>
      <c r="F1474" s="375"/>
      <c r="G1474" s="375"/>
      <c r="H1474" s="375"/>
      <c r="I1474" s="63"/>
      <c r="J1474" s="47"/>
      <c r="K1474" s="46" t="s">
        <v>10735</v>
      </c>
      <c r="L1474" s="47"/>
      <c r="M1474" s="47"/>
      <c r="N1474" s="47"/>
      <c r="O1474" s="47" t="s">
        <v>2527</v>
      </c>
      <c r="P1474" s="47"/>
      <c r="Q1474" s="47">
        <f t="shared" si="306"/>
        <v>0</v>
      </c>
      <c r="R1474" s="47"/>
      <c r="S1474" s="47"/>
      <c r="T1474" s="47"/>
      <c r="U1474" s="47"/>
      <c r="V1474" s="47"/>
      <c r="W1474" s="47"/>
      <c r="X1474" s="47"/>
      <c r="Y1474" s="47"/>
      <c r="Z1474" s="47">
        <f t="shared" si="302"/>
        <v>4620</v>
      </c>
      <c r="AA1474" s="47"/>
      <c r="AB1474" s="47"/>
      <c r="AC1474" s="47"/>
      <c r="AD1474" s="47"/>
      <c r="AE1474" s="47"/>
      <c r="AF1474" s="47"/>
      <c r="AG1474" s="47"/>
      <c r="AH1474" s="47">
        <f>IFERROR(_xlfn.XLOOKUP(Table6[[#This Row],[Suburb]],Table5[Travel Surcharge],Table5[$$]),"")</f>
        <v>7000</v>
      </c>
      <c r="AI1474" s="47"/>
      <c r="AJ1474" s="47"/>
    </row>
    <row r="1475" spans="1:39">
      <c r="A1475" s="374" t="s">
        <v>2525</v>
      </c>
      <c r="B1475" s="374">
        <v>9</v>
      </c>
      <c r="C1475" s="374" t="s">
        <v>287</v>
      </c>
      <c r="D1475" s="375" t="str">
        <f t="shared" si="297"/>
        <v>Emberwood9</v>
      </c>
      <c r="E1475" s="375" t="s">
        <v>2532</v>
      </c>
      <c r="F1475" s="375"/>
      <c r="G1475" s="375"/>
      <c r="H1475" s="375"/>
      <c r="I1475" s="63"/>
      <c r="J1475" s="47"/>
      <c r="K1475" s="46" t="s">
        <v>10735</v>
      </c>
      <c r="L1475" s="47"/>
      <c r="M1475" s="47"/>
      <c r="N1475" s="47"/>
      <c r="O1475" s="47" t="s">
        <v>2527</v>
      </c>
      <c r="P1475" s="47"/>
      <c r="Q1475" s="47">
        <f t="shared" si="306"/>
        <v>0</v>
      </c>
      <c r="R1475" s="47"/>
      <c r="S1475" s="47"/>
      <c r="T1475" s="47"/>
      <c r="U1475" s="47"/>
      <c r="V1475" s="47"/>
      <c r="W1475" s="47"/>
      <c r="X1475" s="47"/>
      <c r="Y1475" s="47"/>
      <c r="Z1475" s="47">
        <f t="shared" si="302"/>
        <v>4620</v>
      </c>
      <c r="AA1475" s="47"/>
      <c r="AB1475" s="47"/>
      <c r="AC1475" s="47"/>
      <c r="AD1475" s="47"/>
      <c r="AE1475" s="47"/>
      <c r="AF1475" s="47"/>
      <c r="AG1475" s="47"/>
      <c r="AH1475" s="47">
        <f>IFERROR(_xlfn.XLOOKUP(Table6[[#This Row],[Suburb]],Table5[Travel Surcharge],Table5[$$]),"")</f>
        <v>7000</v>
      </c>
      <c r="AI1475" s="47"/>
      <c r="AJ1475" s="47"/>
    </row>
    <row r="1476" spans="1:39">
      <c r="A1476" s="374" t="s">
        <v>2525</v>
      </c>
      <c r="B1476" s="374">
        <v>10</v>
      </c>
      <c r="C1476" s="374" t="s">
        <v>287</v>
      </c>
      <c r="D1476" s="375" t="str">
        <f t="shared" si="297"/>
        <v>Emberwood10</v>
      </c>
      <c r="E1476" s="375" t="s">
        <v>2533</v>
      </c>
      <c r="F1476" s="375"/>
      <c r="G1476" s="375"/>
      <c r="H1476" s="375"/>
      <c r="I1476" s="63"/>
      <c r="J1476" s="47"/>
      <c r="K1476" s="46" t="s">
        <v>10735</v>
      </c>
      <c r="L1476" s="47"/>
      <c r="M1476" s="47"/>
      <c r="N1476" s="47"/>
      <c r="O1476" s="47" t="s">
        <v>2527</v>
      </c>
      <c r="P1476" s="47"/>
      <c r="Q1476" s="47">
        <f t="shared" si="306"/>
        <v>0</v>
      </c>
      <c r="R1476" s="47"/>
      <c r="S1476" s="47"/>
      <c r="T1476" s="47"/>
      <c r="U1476" s="47"/>
      <c r="V1476" s="47"/>
      <c r="W1476" s="47"/>
      <c r="X1476" s="47"/>
      <c r="Y1476" s="47"/>
      <c r="Z1476" s="47">
        <f t="shared" si="302"/>
        <v>4620</v>
      </c>
      <c r="AA1476" s="47"/>
      <c r="AB1476" s="47"/>
      <c r="AC1476" s="47"/>
      <c r="AD1476" s="47"/>
      <c r="AE1476" s="47"/>
      <c r="AF1476" s="47"/>
      <c r="AG1476" s="47"/>
      <c r="AH1476" s="47">
        <f>IFERROR(_xlfn.XLOOKUP(Table6[[#This Row],[Suburb]],Table5[Travel Surcharge],Table5[$$]),"")</f>
        <v>7000</v>
      </c>
      <c r="AI1476" s="47"/>
      <c r="AJ1476" s="47"/>
    </row>
    <row r="1477" spans="1:39" s="157" customFormat="1">
      <c r="A1477" s="374" t="s">
        <v>2525</v>
      </c>
      <c r="B1477" s="374">
        <v>11</v>
      </c>
      <c r="C1477" s="374" t="s">
        <v>287</v>
      </c>
      <c r="D1477" s="375" t="str">
        <f t="shared" si="297"/>
        <v>Emberwood11</v>
      </c>
      <c r="E1477" s="375" t="s">
        <v>10338</v>
      </c>
      <c r="F1477" s="375"/>
      <c r="G1477" s="375"/>
      <c r="H1477" s="375"/>
      <c r="I1477" s="63"/>
      <c r="J1477" s="47"/>
      <c r="K1477" s="46" t="s">
        <v>10735</v>
      </c>
      <c r="L1477" s="47"/>
      <c r="M1477" s="47"/>
      <c r="N1477" s="47"/>
      <c r="O1477" s="47" t="s">
        <v>2527</v>
      </c>
      <c r="P1477" s="47"/>
      <c r="Q1477" s="47">
        <v>0</v>
      </c>
      <c r="R1477" s="47"/>
      <c r="S1477" s="47"/>
      <c r="T1477" s="47"/>
      <c r="U1477" s="47"/>
      <c r="V1477" s="47"/>
      <c r="W1477" s="47"/>
      <c r="X1477" s="47"/>
      <c r="Y1477" s="47"/>
      <c r="Z1477" s="47">
        <v>4620</v>
      </c>
      <c r="AA1477" s="47"/>
      <c r="AB1477" s="47"/>
      <c r="AC1477" s="47"/>
      <c r="AD1477" s="47"/>
      <c r="AE1477" s="47"/>
      <c r="AF1477" s="47"/>
      <c r="AG1477" s="47"/>
      <c r="AH1477" s="47">
        <v>7000</v>
      </c>
      <c r="AI1477" s="47"/>
      <c r="AJ1477" s="47"/>
      <c r="AM1477" s="208"/>
    </row>
    <row r="1478" spans="1:39">
      <c r="A1478" s="374" t="s">
        <v>2525</v>
      </c>
      <c r="B1478" s="374" t="s">
        <v>2119</v>
      </c>
      <c r="C1478" s="374" t="s">
        <v>287</v>
      </c>
      <c r="D1478" s="375" t="str">
        <f t="shared" si="297"/>
        <v>Emberwood7b</v>
      </c>
      <c r="E1478" s="375" t="s">
        <v>2531</v>
      </c>
      <c r="F1478" s="375"/>
      <c r="G1478" s="375"/>
      <c r="H1478" s="375"/>
      <c r="I1478" s="63"/>
      <c r="J1478" s="47"/>
      <c r="K1478" s="46" t="s">
        <v>10735</v>
      </c>
      <c r="L1478" s="47"/>
      <c r="M1478" s="47"/>
      <c r="N1478" s="47"/>
      <c r="O1478" s="47" t="s">
        <v>2527</v>
      </c>
      <c r="P1478" s="47"/>
      <c r="Q1478" s="47">
        <f t="shared" si="306"/>
        <v>0</v>
      </c>
      <c r="R1478" s="47"/>
      <c r="S1478" s="47"/>
      <c r="T1478" s="47"/>
      <c r="U1478" s="47"/>
      <c r="V1478" s="47"/>
      <c r="W1478" s="47"/>
      <c r="X1478" s="47"/>
      <c r="Y1478" s="47"/>
      <c r="Z1478" s="47">
        <f t="shared" si="302"/>
        <v>4620</v>
      </c>
      <c r="AA1478" s="47"/>
      <c r="AB1478" s="47"/>
      <c r="AC1478" s="47"/>
      <c r="AD1478" s="47"/>
      <c r="AE1478" s="47"/>
      <c r="AF1478" s="47"/>
      <c r="AG1478" s="47"/>
      <c r="AH1478" s="47">
        <f>IFERROR(_xlfn.XLOOKUP(Table6[[#This Row],[Suburb]],Table5[Travel Surcharge],Table5[$$]),"")</f>
        <v>7000</v>
      </c>
      <c r="AI1478" s="47"/>
      <c r="AJ1478" s="47"/>
    </row>
    <row r="1479" spans="1:39">
      <c r="A1479" s="374" t="s">
        <v>10269</v>
      </c>
      <c r="B1479" s="374">
        <v>1</v>
      </c>
      <c r="C1479" s="374" t="s">
        <v>10270</v>
      </c>
      <c r="D1479" s="375" t="str">
        <f>CONCATENATE(A1479,B1479)</f>
        <v>Emerlad Estate Elliminyt1</v>
      </c>
      <c r="E1479" s="375" t="s">
        <v>10271</v>
      </c>
      <c r="F1479" s="375" t="s">
        <v>10265</v>
      </c>
      <c r="G1479" s="375"/>
      <c r="H1479" s="375" t="s">
        <v>10272</v>
      </c>
      <c r="I1479" s="63"/>
      <c r="J1479" s="47"/>
      <c r="K1479" s="46" t="s">
        <v>10735</v>
      </c>
      <c r="L1479" s="47"/>
      <c r="M1479" s="47"/>
      <c r="N1479" s="47"/>
      <c r="O1479" s="47"/>
      <c r="P1479" s="47"/>
      <c r="Q1479" s="47"/>
      <c r="R1479" s="47"/>
      <c r="S1479" s="47">
        <f>S$2</f>
        <v>590</v>
      </c>
      <c r="T1479" s="47"/>
      <c r="U1479" s="47"/>
      <c r="V1479" s="47"/>
      <c r="W1479" s="47"/>
      <c r="X1479" s="47"/>
      <c r="Y1479" s="47"/>
      <c r="Z1479" s="47"/>
      <c r="AA1479" s="47"/>
      <c r="AB1479" s="47"/>
      <c r="AC1479" s="47"/>
      <c r="AD1479" s="47"/>
      <c r="AE1479" s="47"/>
      <c r="AF1479" s="47"/>
      <c r="AG1479" s="47"/>
      <c r="AH1479" s="47">
        <v>8000</v>
      </c>
      <c r="AI1479" s="47"/>
      <c r="AJ1479" s="47"/>
    </row>
    <row r="1480" spans="1:39">
      <c r="A1480" s="374" t="s">
        <v>10269</v>
      </c>
      <c r="B1480" s="374">
        <v>2</v>
      </c>
      <c r="C1480" s="374" t="s">
        <v>10270</v>
      </c>
      <c r="D1480" s="375" t="str">
        <f>CONCATENATE(A1480,B1480)</f>
        <v>Emerlad Estate Elliminyt2</v>
      </c>
      <c r="E1480" s="375" t="s">
        <v>10273</v>
      </c>
      <c r="F1480" s="375" t="s">
        <v>10265</v>
      </c>
      <c r="G1480" s="375"/>
      <c r="H1480" s="375" t="s">
        <v>10272</v>
      </c>
      <c r="I1480" s="63"/>
      <c r="J1480" s="47"/>
      <c r="K1480" s="46" t="s">
        <v>10735</v>
      </c>
      <c r="L1480" s="47"/>
      <c r="M1480" s="47"/>
      <c r="N1480" s="47"/>
      <c r="O1480" s="47"/>
      <c r="P1480" s="47"/>
      <c r="Q1480" s="47"/>
      <c r="R1480" s="47"/>
      <c r="S1480" s="47">
        <v>590</v>
      </c>
      <c r="T1480" s="47"/>
      <c r="U1480" s="47"/>
      <c r="V1480" s="47"/>
      <c r="W1480" s="47"/>
      <c r="X1480" s="47"/>
      <c r="Y1480" s="47"/>
      <c r="Z1480" s="47"/>
      <c r="AA1480" s="47"/>
      <c r="AB1480" s="47"/>
      <c r="AC1480" s="47"/>
      <c r="AD1480" s="47"/>
      <c r="AE1480" s="47"/>
      <c r="AF1480" s="47"/>
      <c r="AG1480" s="47"/>
      <c r="AH1480" s="47">
        <v>8000</v>
      </c>
      <c r="AI1480" s="47"/>
      <c r="AJ1480" s="47"/>
    </row>
    <row r="1481" spans="1:39">
      <c r="A1481" s="374" t="s">
        <v>10269</v>
      </c>
      <c r="B1481" s="374">
        <v>3</v>
      </c>
      <c r="C1481" s="374" t="s">
        <v>10270</v>
      </c>
      <c r="D1481" s="375" t="str">
        <f>CONCATENATE(A1481,B1481)</f>
        <v>Emerlad Estate Elliminyt3</v>
      </c>
      <c r="E1481" s="375" t="s">
        <v>10274</v>
      </c>
      <c r="F1481" s="375" t="s">
        <v>10265</v>
      </c>
      <c r="G1481" s="375"/>
      <c r="H1481" s="375" t="s">
        <v>10272</v>
      </c>
      <c r="I1481" s="63"/>
      <c r="J1481" s="47"/>
      <c r="K1481" s="46" t="s">
        <v>10735</v>
      </c>
      <c r="L1481" s="47"/>
      <c r="M1481" s="47"/>
      <c r="N1481" s="47"/>
      <c r="O1481" s="47"/>
      <c r="P1481" s="47"/>
      <c r="Q1481" s="47"/>
      <c r="R1481" s="47"/>
      <c r="S1481" s="47">
        <v>590</v>
      </c>
      <c r="T1481" s="47"/>
      <c r="U1481" s="47"/>
      <c r="V1481" s="47"/>
      <c r="W1481" s="47"/>
      <c r="X1481" s="47"/>
      <c r="Y1481" s="47"/>
      <c r="Z1481" s="47"/>
      <c r="AA1481" s="47"/>
      <c r="AB1481" s="47"/>
      <c r="AC1481" s="47"/>
      <c r="AD1481" s="47"/>
      <c r="AE1481" s="47"/>
      <c r="AF1481" s="47"/>
      <c r="AG1481" s="47"/>
      <c r="AH1481" s="47">
        <v>8000</v>
      </c>
      <c r="AI1481" s="47"/>
      <c r="AJ1481" s="47"/>
    </row>
    <row r="1482" spans="1:39">
      <c r="A1482" s="374" t="s">
        <v>9816</v>
      </c>
      <c r="B1482" s="374">
        <v>1</v>
      </c>
      <c r="C1482" s="374" t="s">
        <v>299</v>
      </c>
      <c r="D1482" s="375" t="str">
        <f t="shared" si="297"/>
        <v>Emerald Estate 1</v>
      </c>
      <c r="E1482" s="375" t="s">
        <v>9817</v>
      </c>
      <c r="F1482" s="375"/>
      <c r="G1482" s="375" t="s">
        <v>9818</v>
      </c>
      <c r="H1482" s="375" t="s">
        <v>9819</v>
      </c>
      <c r="I1482" s="63" t="s">
        <v>9820</v>
      </c>
      <c r="J1482" s="47">
        <f t="shared" ref="J1482:J1512" si="307">J$7</f>
        <v>3740</v>
      </c>
      <c r="K1482" s="46" t="s">
        <v>10735</v>
      </c>
      <c r="L1482" s="47"/>
      <c r="M1482" s="47">
        <v>1430.0000000000002</v>
      </c>
      <c r="N1482" s="47" t="s">
        <v>9821</v>
      </c>
      <c r="O1482" s="47"/>
      <c r="P1482" s="47"/>
      <c r="Q1482" s="47"/>
      <c r="R1482" s="47"/>
      <c r="S1482" s="47">
        <f>S$2</f>
        <v>590</v>
      </c>
      <c r="T1482" s="47"/>
      <c r="U1482" s="47"/>
      <c r="V1482" s="47"/>
      <c r="W1482" s="47"/>
      <c r="X1482" s="47"/>
      <c r="Y1482" s="47"/>
      <c r="Z1482" s="47">
        <f t="shared" si="302"/>
        <v>4620</v>
      </c>
      <c r="AA1482" s="47"/>
      <c r="AB1482" s="47"/>
      <c r="AC1482" s="47"/>
      <c r="AD1482" s="47"/>
      <c r="AE1482" s="47"/>
      <c r="AF1482" s="47"/>
      <c r="AG1482" s="47"/>
      <c r="AH1482" s="47">
        <f>IFERROR(_xlfn.XLOOKUP(Table6[[#This Row],[Suburb]],Table5[Travel Surcharge],Table5[$$]),"")</f>
        <v>7000</v>
      </c>
      <c r="AI1482" s="47"/>
      <c r="AJ1482" s="47">
        <f>AJ5</f>
        <v>0</v>
      </c>
    </row>
    <row r="1483" spans="1:39">
      <c r="A1483" s="374" t="s">
        <v>2534</v>
      </c>
      <c r="B1483" s="374">
        <v>1</v>
      </c>
      <c r="C1483" s="374" t="s">
        <v>502</v>
      </c>
      <c r="D1483" s="375" t="str">
        <f t="shared" si="297"/>
        <v>Emerald Park Estate1</v>
      </c>
      <c r="E1483" s="375" t="s">
        <v>2535</v>
      </c>
      <c r="F1483" s="375"/>
      <c r="G1483" s="375" t="s">
        <v>2536</v>
      </c>
      <c r="H1483" s="375" t="s">
        <v>2537</v>
      </c>
      <c r="I1483" s="63" t="s">
        <v>2538</v>
      </c>
      <c r="J1483" s="47">
        <f t="shared" si="307"/>
        <v>3740</v>
      </c>
      <c r="K1483" s="46" t="s">
        <v>7938</v>
      </c>
      <c r="L1483" s="47"/>
      <c r="M1483" s="47"/>
      <c r="N1483" s="47"/>
      <c r="O1483" s="47"/>
      <c r="P1483" s="47" t="s">
        <v>2539</v>
      </c>
      <c r="Q1483" s="47"/>
      <c r="R1483" s="47" t="s">
        <v>2540</v>
      </c>
      <c r="S1483" s="47" t="s">
        <v>641</v>
      </c>
      <c r="T1483" s="47">
        <f t="shared" ref="T1483:T1512" si="308">T$2</f>
        <v>780</v>
      </c>
      <c r="U1483" s="47"/>
      <c r="V1483" s="47"/>
      <c r="W1483" s="47"/>
      <c r="X1483" s="47"/>
      <c r="Y1483" s="47"/>
      <c r="Z1483" s="47">
        <f t="shared" si="302"/>
        <v>4620</v>
      </c>
      <c r="AA1483" s="47">
        <f t="shared" ref="AA1483:AA1512" si="309">AA$7</f>
        <v>1400</v>
      </c>
      <c r="AB1483" s="47"/>
      <c r="AC1483" s="47"/>
      <c r="AD1483" s="47"/>
      <c r="AE1483" s="47"/>
      <c r="AF1483" s="47"/>
      <c r="AG1483" s="47"/>
      <c r="AH1483" s="47" t="str">
        <f>IFERROR(_xlfn.XLOOKUP(Table6[[#This Row],[Suburb]],Table5[Travel Surcharge],Table5[$$]),"")</f>
        <v/>
      </c>
      <c r="AI1483" s="47"/>
      <c r="AJ1483" s="47"/>
    </row>
    <row r="1484" spans="1:39">
      <c r="A1484" s="374" t="s">
        <v>2534</v>
      </c>
      <c r="B1484" s="374">
        <v>2</v>
      </c>
      <c r="C1484" s="374" t="s">
        <v>502</v>
      </c>
      <c r="D1484" s="375" t="str">
        <f t="shared" si="297"/>
        <v>Emerald Park Estate2</v>
      </c>
      <c r="E1484" s="375" t="s">
        <v>2541</v>
      </c>
      <c r="F1484" s="375"/>
      <c r="G1484" s="375" t="s">
        <v>2536</v>
      </c>
      <c r="H1484" s="375" t="s">
        <v>2537</v>
      </c>
      <c r="I1484" s="63" t="s">
        <v>2538</v>
      </c>
      <c r="J1484" s="47">
        <f t="shared" si="307"/>
        <v>3740</v>
      </c>
      <c r="K1484" s="46" t="s">
        <v>7938</v>
      </c>
      <c r="L1484" s="47"/>
      <c r="M1484" s="47"/>
      <c r="N1484" s="47"/>
      <c r="O1484" s="47"/>
      <c r="P1484" s="47" t="s">
        <v>2539</v>
      </c>
      <c r="Q1484" s="47"/>
      <c r="R1484" s="47" t="s">
        <v>2540</v>
      </c>
      <c r="S1484" s="47" t="s">
        <v>641</v>
      </c>
      <c r="T1484" s="47">
        <f t="shared" si="308"/>
        <v>780</v>
      </c>
      <c r="U1484" s="47"/>
      <c r="V1484" s="47"/>
      <c r="W1484" s="47"/>
      <c r="X1484" s="47"/>
      <c r="Y1484" s="47"/>
      <c r="Z1484" s="47">
        <f t="shared" si="302"/>
        <v>4620</v>
      </c>
      <c r="AA1484" s="47">
        <f t="shared" si="309"/>
        <v>1400</v>
      </c>
      <c r="AB1484" s="47"/>
      <c r="AC1484" s="47"/>
      <c r="AD1484" s="47"/>
      <c r="AE1484" s="47"/>
      <c r="AF1484" s="47"/>
      <c r="AG1484" s="47"/>
      <c r="AH1484" s="47" t="str">
        <f>IFERROR(_xlfn.XLOOKUP(Table6[[#This Row],[Suburb]],Table5[Travel Surcharge],Table5[$$]),"")</f>
        <v/>
      </c>
      <c r="AI1484" s="47"/>
      <c r="AJ1484" s="47"/>
    </row>
    <row r="1485" spans="1:39">
      <c r="A1485" s="374" t="s">
        <v>2534</v>
      </c>
      <c r="B1485" s="374">
        <v>3</v>
      </c>
      <c r="C1485" s="374" t="s">
        <v>502</v>
      </c>
      <c r="D1485" s="375" t="str">
        <f t="shared" ref="D1485:D1518" si="310">CONCATENATE(A1485,B1485)</f>
        <v>Emerald Park Estate3</v>
      </c>
      <c r="E1485" s="375" t="s">
        <v>2542</v>
      </c>
      <c r="F1485" s="375"/>
      <c r="G1485" s="375" t="s">
        <v>2536</v>
      </c>
      <c r="H1485" s="375" t="s">
        <v>2537</v>
      </c>
      <c r="I1485" s="63" t="s">
        <v>2538</v>
      </c>
      <c r="J1485" s="47">
        <f t="shared" si="307"/>
        <v>3740</v>
      </c>
      <c r="K1485" s="46" t="s">
        <v>7938</v>
      </c>
      <c r="L1485" s="47"/>
      <c r="M1485" s="47"/>
      <c r="N1485" s="47"/>
      <c r="O1485" s="47"/>
      <c r="P1485" s="47" t="s">
        <v>2539</v>
      </c>
      <c r="Q1485" s="47"/>
      <c r="R1485" s="47" t="s">
        <v>2540</v>
      </c>
      <c r="S1485" s="47" t="s">
        <v>641</v>
      </c>
      <c r="T1485" s="47">
        <f t="shared" si="308"/>
        <v>780</v>
      </c>
      <c r="U1485" s="47"/>
      <c r="V1485" s="47"/>
      <c r="W1485" s="47"/>
      <c r="X1485" s="47"/>
      <c r="Y1485" s="47"/>
      <c r="Z1485" s="47">
        <f t="shared" si="302"/>
        <v>4620</v>
      </c>
      <c r="AA1485" s="47">
        <f t="shared" si="309"/>
        <v>1400</v>
      </c>
      <c r="AB1485" s="47"/>
      <c r="AC1485" s="47"/>
      <c r="AD1485" s="47"/>
      <c r="AE1485" s="47"/>
      <c r="AF1485" s="47"/>
      <c r="AG1485" s="47"/>
      <c r="AH1485" s="47" t="str">
        <f>IFERROR(_xlfn.XLOOKUP(Table6[[#This Row],[Suburb]],Table5[Travel Surcharge],Table5[$$]),"")</f>
        <v/>
      </c>
      <c r="AI1485" s="47"/>
      <c r="AJ1485" s="47"/>
    </row>
    <row r="1486" spans="1:39">
      <c r="A1486" s="374" t="s">
        <v>2534</v>
      </c>
      <c r="B1486" s="374">
        <v>4</v>
      </c>
      <c r="C1486" s="374" t="s">
        <v>502</v>
      </c>
      <c r="D1486" s="375" t="str">
        <f t="shared" si="310"/>
        <v>Emerald Park Estate4</v>
      </c>
      <c r="E1486" s="375" t="s">
        <v>2543</v>
      </c>
      <c r="F1486" s="375"/>
      <c r="G1486" s="375" t="s">
        <v>2536</v>
      </c>
      <c r="H1486" s="375" t="s">
        <v>2537</v>
      </c>
      <c r="I1486" s="63" t="s">
        <v>2538</v>
      </c>
      <c r="J1486" s="47">
        <f t="shared" si="307"/>
        <v>3740</v>
      </c>
      <c r="K1486" s="46" t="s">
        <v>7938</v>
      </c>
      <c r="L1486" s="47"/>
      <c r="M1486" s="47"/>
      <c r="N1486" s="47"/>
      <c r="O1486" s="47"/>
      <c r="P1486" s="47" t="s">
        <v>2539</v>
      </c>
      <c r="Q1486" s="47"/>
      <c r="R1486" s="47" t="s">
        <v>2540</v>
      </c>
      <c r="S1486" s="47" t="s">
        <v>641</v>
      </c>
      <c r="T1486" s="47">
        <f t="shared" si="308"/>
        <v>780</v>
      </c>
      <c r="U1486" s="47"/>
      <c r="V1486" s="47"/>
      <c r="W1486" s="47"/>
      <c r="X1486" s="47"/>
      <c r="Y1486" s="47"/>
      <c r="Z1486" s="47">
        <f t="shared" si="302"/>
        <v>4620</v>
      </c>
      <c r="AA1486" s="47">
        <f t="shared" si="309"/>
        <v>1400</v>
      </c>
      <c r="AB1486" s="47"/>
      <c r="AC1486" s="47"/>
      <c r="AD1486" s="47"/>
      <c r="AE1486" s="47"/>
      <c r="AF1486" s="47"/>
      <c r="AG1486" s="47"/>
      <c r="AH1486" s="47" t="str">
        <f>IFERROR(_xlfn.XLOOKUP(Table6[[#This Row],[Suburb]],Table5[Travel Surcharge],Table5[$$]),"")</f>
        <v/>
      </c>
      <c r="AI1486" s="47"/>
      <c r="AJ1486" s="47"/>
    </row>
    <row r="1487" spans="1:39">
      <c r="A1487" s="374" t="s">
        <v>2534</v>
      </c>
      <c r="B1487" s="374">
        <v>5</v>
      </c>
      <c r="C1487" s="374" t="s">
        <v>502</v>
      </c>
      <c r="D1487" s="375" t="str">
        <f t="shared" si="310"/>
        <v>Emerald Park Estate5</v>
      </c>
      <c r="E1487" s="375" t="s">
        <v>2544</v>
      </c>
      <c r="F1487" s="375"/>
      <c r="G1487" s="375" t="s">
        <v>2536</v>
      </c>
      <c r="H1487" s="375" t="s">
        <v>2537</v>
      </c>
      <c r="I1487" s="63" t="s">
        <v>2538</v>
      </c>
      <c r="J1487" s="47">
        <f t="shared" si="307"/>
        <v>3740</v>
      </c>
      <c r="K1487" s="46" t="s">
        <v>7938</v>
      </c>
      <c r="L1487" s="47"/>
      <c r="M1487" s="47"/>
      <c r="N1487" s="47"/>
      <c r="O1487" s="47"/>
      <c r="P1487" s="47" t="s">
        <v>2539</v>
      </c>
      <c r="Q1487" s="47"/>
      <c r="R1487" s="47" t="s">
        <v>2540</v>
      </c>
      <c r="S1487" s="47" t="s">
        <v>641</v>
      </c>
      <c r="T1487" s="47">
        <f t="shared" si="308"/>
        <v>780</v>
      </c>
      <c r="U1487" s="47"/>
      <c r="V1487" s="47"/>
      <c r="W1487" s="47"/>
      <c r="X1487" s="47"/>
      <c r="Y1487" s="47"/>
      <c r="Z1487" s="47">
        <f t="shared" si="302"/>
        <v>4620</v>
      </c>
      <c r="AA1487" s="47">
        <f t="shared" si="309"/>
        <v>1400</v>
      </c>
      <c r="AB1487" s="47"/>
      <c r="AC1487" s="47"/>
      <c r="AD1487" s="47"/>
      <c r="AE1487" s="47"/>
      <c r="AF1487" s="47"/>
      <c r="AG1487" s="47"/>
      <c r="AH1487" s="47" t="str">
        <f>IFERROR(_xlfn.XLOOKUP(Table6[[#This Row],[Suburb]],Table5[Travel Surcharge],Table5[$$]),"")</f>
        <v/>
      </c>
      <c r="AI1487" s="47"/>
      <c r="AJ1487" s="47"/>
    </row>
    <row r="1488" spans="1:39">
      <c r="A1488" s="374" t="s">
        <v>2534</v>
      </c>
      <c r="B1488" s="374">
        <v>6</v>
      </c>
      <c r="C1488" s="374" t="s">
        <v>502</v>
      </c>
      <c r="D1488" s="375" t="str">
        <f t="shared" si="310"/>
        <v>Emerald Park Estate6</v>
      </c>
      <c r="E1488" s="375" t="s">
        <v>2545</v>
      </c>
      <c r="F1488" s="375"/>
      <c r="G1488" s="375" t="s">
        <v>2536</v>
      </c>
      <c r="H1488" s="375" t="s">
        <v>2537</v>
      </c>
      <c r="I1488" s="63" t="s">
        <v>2538</v>
      </c>
      <c r="J1488" s="47">
        <f t="shared" si="307"/>
        <v>3740</v>
      </c>
      <c r="K1488" s="46" t="s">
        <v>7938</v>
      </c>
      <c r="L1488" s="47"/>
      <c r="M1488" s="47"/>
      <c r="N1488" s="47"/>
      <c r="O1488" s="47"/>
      <c r="P1488" s="47" t="s">
        <v>2539</v>
      </c>
      <c r="Q1488" s="47"/>
      <c r="R1488" s="47" t="s">
        <v>2540</v>
      </c>
      <c r="S1488" s="47" t="s">
        <v>641</v>
      </c>
      <c r="T1488" s="47">
        <f t="shared" si="308"/>
        <v>780</v>
      </c>
      <c r="U1488" s="47"/>
      <c r="V1488" s="47"/>
      <c r="W1488" s="47"/>
      <c r="X1488" s="47"/>
      <c r="Y1488" s="47"/>
      <c r="Z1488" s="47">
        <f t="shared" si="302"/>
        <v>4620</v>
      </c>
      <c r="AA1488" s="47">
        <f t="shared" si="309"/>
        <v>1400</v>
      </c>
      <c r="AB1488" s="47"/>
      <c r="AC1488" s="47"/>
      <c r="AD1488" s="47"/>
      <c r="AE1488" s="47"/>
      <c r="AF1488" s="47"/>
      <c r="AG1488" s="47"/>
      <c r="AH1488" s="47" t="str">
        <f>IFERROR(_xlfn.XLOOKUP(Table6[[#This Row],[Suburb]],Table5[Travel Surcharge],Table5[$$]),"")</f>
        <v/>
      </c>
      <c r="AI1488" s="47"/>
      <c r="AJ1488" s="47"/>
    </row>
    <row r="1489" spans="1:36">
      <c r="A1489" s="374" t="s">
        <v>2534</v>
      </c>
      <c r="B1489" s="374">
        <v>7</v>
      </c>
      <c r="C1489" s="374" t="s">
        <v>502</v>
      </c>
      <c r="D1489" s="375" t="str">
        <f t="shared" si="310"/>
        <v>Emerald Park Estate7</v>
      </c>
      <c r="E1489" s="375" t="s">
        <v>2546</v>
      </c>
      <c r="F1489" s="375"/>
      <c r="G1489" s="375" t="s">
        <v>2536</v>
      </c>
      <c r="H1489" s="375" t="s">
        <v>2537</v>
      </c>
      <c r="I1489" s="63" t="s">
        <v>2538</v>
      </c>
      <c r="J1489" s="47">
        <f t="shared" si="307"/>
        <v>3740</v>
      </c>
      <c r="K1489" s="46" t="s">
        <v>7938</v>
      </c>
      <c r="L1489" s="47"/>
      <c r="M1489" s="47"/>
      <c r="N1489" s="47"/>
      <c r="O1489" s="47"/>
      <c r="P1489" s="47" t="s">
        <v>2539</v>
      </c>
      <c r="Q1489" s="47"/>
      <c r="R1489" s="47" t="s">
        <v>2540</v>
      </c>
      <c r="S1489" s="47" t="s">
        <v>641</v>
      </c>
      <c r="T1489" s="47">
        <f t="shared" si="308"/>
        <v>780</v>
      </c>
      <c r="U1489" s="47"/>
      <c r="V1489" s="47"/>
      <c r="W1489" s="47"/>
      <c r="X1489" s="47"/>
      <c r="Y1489" s="47"/>
      <c r="Z1489" s="47">
        <f t="shared" ref="Z1489:Z1518" si="311">Z$7</f>
        <v>4620</v>
      </c>
      <c r="AA1489" s="47">
        <f t="shared" si="309"/>
        <v>1400</v>
      </c>
      <c r="AB1489" s="47"/>
      <c r="AC1489" s="47"/>
      <c r="AD1489" s="47"/>
      <c r="AE1489" s="47"/>
      <c r="AF1489" s="47"/>
      <c r="AG1489" s="47"/>
      <c r="AH1489" s="47" t="str">
        <f>IFERROR(_xlfn.XLOOKUP(Table6[[#This Row],[Suburb]],Table5[Travel Surcharge],Table5[$$]),"")</f>
        <v/>
      </c>
      <c r="AI1489" s="47"/>
      <c r="AJ1489" s="47"/>
    </row>
    <row r="1490" spans="1:36">
      <c r="A1490" s="374" t="s">
        <v>2534</v>
      </c>
      <c r="B1490" s="374">
        <v>8</v>
      </c>
      <c r="C1490" s="374" t="s">
        <v>502</v>
      </c>
      <c r="D1490" s="375" t="str">
        <f t="shared" si="310"/>
        <v>Emerald Park Estate8</v>
      </c>
      <c r="E1490" s="375" t="s">
        <v>2547</v>
      </c>
      <c r="F1490" s="375"/>
      <c r="G1490" s="375" t="s">
        <v>2536</v>
      </c>
      <c r="H1490" s="375" t="s">
        <v>2537</v>
      </c>
      <c r="I1490" s="63" t="s">
        <v>2538</v>
      </c>
      <c r="J1490" s="47">
        <f t="shared" si="307"/>
        <v>3740</v>
      </c>
      <c r="K1490" s="46" t="s">
        <v>7938</v>
      </c>
      <c r="L1490" s="47"/>
      <c r="M1490" s="47"/>
      <c r="N1490" s="47"/>
      <c r="O1490" s="47"/>
      <c r="P1490" s="47" t="s">
        <v>2539</v>
      </c>
      <c r="Q1490" s="47"/>
      <c r="R1490" s="47" t="s">
        <v>2540</v>
      </c>
      <c r="S1490" s="47" t="s">
        <v>641</v>
      </c>
      <c r="T1490" s="47">
        <f t="shared" si="308"/>
        <v>780</v>
      </c>
      <c r="U1490" s="47"/>
      <c r="V1490" s="47"/>
      <c r="W1490" s="47"/>
      <c r="X1490" s="47"/>
      <c r="Y1490" s="47"/>
      <c r="Z1490" s="47">
        <f t="shared" si="311"/>
        <v>4620</v>
      </c>
      <c r="AA1490" s="47">
        <f t="shared" si="309"/>
        <v>1400</v>
      </c>
      <c r="AB1490" s="47"/>
      <c r="AC1490" s="47"/>
      <c r="AD1490" s="47"/>
      <c r="AE1490" s="47"/>
      <c r="AF1490" s="47"/>
      <c r="AG1490" s="47"/>
      <c r="AH1490" s="47" t="str">
        <f>IFERROR(_xlfn.XLOOKUP(Table6[[#This Row],[Suburb]],Table5[Travel Surcharge],Table5[$$]),"")</f>
        <v/>
      </c>
      <c r="AI1490" s="47"/>
      <c r="AJ1490" s="47"/>
    </row>
    <row r="1491" spans="1:36">
      <c r="A1491" s="374" t="s">
        <v>2534</v>
      </c>
      <c r="B1491" s="374">
        <v>9</v>
      </c>
      <c r="C1491" s="374" t="s">
        <v>502</v>
      </c>
      <c r="D1491" s="375" t="str">
        <f t="shared" si="310"/>
        <v>Emerald Park Estate9</v>
      </c>
      <c r="E1491" s="375" t="s">
        <v>2548</v>
      </c>
      <c r="F1491" s="375"/>
      <c r="G1491" s="375" t="s">
        <v>2536</v>
      </c>
      <c r="H1491" s="375" t="s">
        <v>2537</v>
      </c>
      <c r="I1491" s="63" t="s">
        <v>2538</v>
      </c>
      <c r="J1491" s="47">
        <f t="shared" si="307"/>
        <v>3740</v>
      </c>
      <c r="K1491" s="46" t="s">
        <v>7938</v>
      </c>
      <c r="L1491" s="47"/>
      <c r="M1491" s="47"/>
      <c r="N1491" s="47"/>
      <c r="O1491" s="47"/>
      <c r="P1491" s="47" t="s">
        <v>2539</v>
      </c>
      <c r="Q1491" s="47"/>
      <c r="R1491" s="47" t="s">
        <v>2540</v>
      </c>
      <c r="S1491" s="47" t="s">
        <v>641</v>
      </c>
      <c r="T1491" s="47">
        <f t="shared" si="308"/>
        <v>780</v>
      </c>
      <c r="U1491" s="47"/>
      <c r="V1491" s="47"/>
      <c r="W1491" s="47"/>
      <c r="X1491" s="47"/>
      <c r="Y1491" s="47"/>
      <c r="Z1491" s="47">
        <f t="shared" si="311"/>
        <v>4620</v>
      </c>
      <c r="AA1491" s="47">
        <f t="shared" si="309"/>
        <v>1400</v>
      </c>
      <c r="AB1491" s="47"/>
      <c r="AC1491" s="47"/>
      <c r="AD1491" s="47"/>
      <c r="AE1491" s="47"/>
      <c r="AF1491" s="47"/>
      <c r="AG1491" s="47"/>
      <c r="AH1491" s="47" t="str">
        <f>IFERROR(_xlfn.XLOOKUP(Table6[[#This Row],[Suburb]],Table5[Travel Surcharge],Table5[$$]),"")</f>
        <v/>
      </c>
      <c r="AI1491" s="47"/>
      <c r="AJ1491" s="47"/>
    </row>
    <row r="1492" spans="1:36">
      <c r="A1492" s="374" t="s">
        <v>2534</v>
      </c>
      <c r="B1492" s="374">
        <v>10</v>
      </c>
      <c r="C1492" s="374" t="s">
        <v>502</v>
      </c>
      <c r="D1492" s="375" t="str">
        <f t="shared" si="310"/>
        <v>Emerald Park Estate10</v>
      </c>
      <c r="E1492" s="375" t="s">
        <v>2549</v>
      </c>
      <c r="F1492" s="375"/>
      <c r="G1492" s="375" t="s">
        <v>2536</v>
      </c>
      <c r="H1492" s="375" t="s">
        <v>2537</v>
      </c>
      <c r="I1492" s="63" t="s">
        <v>2538</v>
      </c>
      <c r="J1492" s="47">
        <f t="shared" si="307"/>
        <v>3740</v>
      </c>
      <c r="K1492" s="46" t="s">
        <v>7938</v>
      </c>
      <c r="L1492" s="47"/>
      <c r="M1492" s="47"/>
      <c r="N1492" s="47"/>
      <c r="O1492" s="47"/>
      <c r="P1492" s="47" t="s">
        <v>2539</v>
      </c>
      <c r="Q1492" s="47"/>
      <c r="R1492" s="47" t="s">
        <v>2540</v>
      </c>
      <c r="S1492" s="47" t="s">
        <v>641</v>
      </c>
      <c r="T1492" s="47">
        <f t="shared" si="308"/>
        <v>780</v>
      </c>
      <c r="U1492" s="47"/>
      <c r="V1492" s="47"/>
      <c r="W1492" s="47"/>
      <c r="X1492" s="47"/>
      <c r="Y1492" s="47"/>
      <c r="Z1492" s="47">
        <f t="shared" si="311"/>
        <v>4620</v>
      </c>
      <c r="AA1492" s="47">
        <f t="shared" si="309"/>
        <v>1400</v>
      </c>
      <c r="AB1492" s="47"/>
      <c r="AC1492" s="47"/>
      <c r="AD1492" s="47"/>
      <c r="AE1492" s="47"/>
      <c r="AF1492" s="47"/>
      <c r="AG1492" s="47"/>
      <c r="AH1492" s="47" t="str">
        <f>IFERROR(_xlfn.XLOOKUP(Table6[[#This Row],[Suburb]],Table5[Travel Surcharge],Table5[$$]),"")</f>
        <v/>
      </c>
      <c r="AI1492" s="47"/>
      <c r="AJ1492" s="47"/>
    </row>
    <row r="1493" spans="1:36">
      <c r="A1493" s="374" t="s">
        <v>2534</v>
      </c>
      <c r="B1493" s="374">
        <v>11</v>
      </c>
      <c r="C1493" s="374" t="s">
        <v>502</v>
      </c>
      <c r="D1493" s="375" t="str">
        <f t="shared" si="310"/>
        <v>Emerald Park Estate11</v>
      </c>
      <c r="E1493" s="375" t="s">
        <v>2550</v>
      </c>
      <c r="F1493" s="375"/>
      <c r="G1493" s="375" t="s">
        <v>2536</v>
      </c>
      <c r="H1493" s="375" t="s">
        <v>2537</v>
      </c>
      <c r="I1493" s="63" t="s">
        <v>2538</v>
      </c>
      <c r="J1493" s="47">
        <f t="shared" si="307"/>
        <v>3740</v>
      </c>
      <c r="K1493" s="46" t="s">
        <v>7938</v>
      </c>
      <c r="L1493" s="47"/>
      <c r="M1493" s="47"/>
      <c r="N1493" s="47"/>
      <c r="O1493" s="47"/>
      <c r="P1493" s="47" t="s">
        <v>2539</v>
      </c>
      <c r="Q1493" s="47"/>
      <c r="R1493" s="47" t="s">
        <v>2540</v>
      </c>
      <c r="S1493" s="47" t="s">
        <v>641</v>
      </c>
      <c r="T1493" s="47">
        <f t="shared" si="308"/>
        <v>780</v>
      </c>
      <c r="U1493" s="47"/>
      <c r="V1493" s="47"/>
      <c r="W1493" s="47"/>
      <c r="X1493" s="47"/>
      <c r="Y1493" s="47"/>
      <c r="Z1493" s="47">
        <f t="shared" si="311"/>
        <v>4620</v>
      </c>
      <c r="AA1493" s="47">
        <f t="shared" si="309"/>
        <v>1400</v>
      </c>
      <c r="AB1493" s="47"/>
      <c r="AC1493" s="47"/>
      <c r="AD1493" s="47"/>
      <c r="AE1493" s="47"/>
      <c r="AF1493" s="47"/>
      <c r="AG1493" s="47"/>
      <c r="AH1493" s="47" t="str">
        <f>IFERROR(_xlfn.XLOOKUP(Table6[[#This Row],[Suburb]],Table5[Travel Surcharge],Table5[$$]),"")</f>
        <v/>
      </c>
      <c r="AI1493" s="47"/>
      <c r="AJ1493" s="47"/>
    </row>
    <row r="1494" spans="1:36">
      <c r="A1494" s="374" t="s">
        <v>2534</v>
      </c>
      <c r="B1494" s="374">
        <v>12</v>
      </c>
      <c r="C1494" s="374" t="s">
        <v>502</v>
      </c>
      <c r="D1494" s="375" t="str">
        <f t="shared" si="310"/>
        <v>Emerald Park Estate12</v>
      </c>
      <c r="E1494" s="375" t="s">
        <v>2551</v>
      </c>
      <c r="F1494" s="375"/>
      <c r="G1494" s="375" t="s">
        <v>2536</v>
      </c>
      <c r="H1494" s="375" t="s">
        <v>2537</v>
      </c>
      <c r="I1494" s="63" t="s">
        <v>2538</v>
      </c>
      <c r="J1494" s="47">
        <f t="shared" si="307"/>
        <v>3740</v>
      </c>
      <c r="K1494" s="46" t="s">
        <v>7938</v>
      </c>
      <c r="L1494" s="47"/>
      <c r="M1494" s="47"/>
      <c r="N1494" s="47"/>
      <c r="O1494" s="47"/>
      <c r="P1494" s="47" t="s">
        <v>2539</v>
      </c>
      <c r="Q1494" s="47"/>
      <c r="R1494" s="47" t="s">
        <v>2540</v>
      </c>
      <c r="S1494" s="47" t="s">
        <v>641</v>
      </c>
      <c r="T1494" s="47">
        <f t="shared" si="308"/>
        <v>780</v>
      </c>
      <c r="U1494" s="47"/>
      <c r="V1494" s="47"/>
      <c r="W1494" s="47"/>
      <c r="X1494" s="47"/>
      <c r="Y1494" s="47"/>
      <c r="Z1494" s="47">
        <f t="shared" si="311"/>
        <v>4620</v>
      </c>
      <c r="AA1494" s="47">
        <f t="shared" si="309"/>
        <v>1400</v>
      </c>
      <c r="AB1494" s="47"/>
      <c r="AC1494" s="47"/>
      <c r="AD1494" s="47"/>
      <c r="AE1494" s="47"/>
      <c r="AF1494" s="47"/>
      <c r="AG1494" s="47"/>
      <c r="AH1494" s="47" t="str">
        <f>IFERROR(_xlfn.XLOOKUP(Table6[[#This Row],[Suburb]],Table5[Travel Surcharge],Table5[$$]),"")</f>
        <v/>
      </c>
      <c r="AI1494" s="47"/>
      <c r="AJ1494" s="47"/>
    </row>
    <row r="1495" spans="1:36">
      <c r="A1495" s="374" t="s">
        <v>2534</v>
      </c>
      <c r="B1495" s="374">
        <v>13</v>
      </c>
      <c r="C1495" s="374" t="s">
        <v>502</v>
      </c>
      <c r="D1495" s="375" t="str">
        <f t="shared" si="310"/>
        <v>Emerald Park Estate13</v>
      </c>
      <c r="E1495" s="375" t="s">
        <v>2552</v>
      </c>
      <c r="F1495" s="375"/>
      <c r="G1495" s="375" t="s">
        <v>2536</v>
      </c>
      <c r="H1495" s="375" t="s">
        <v>2537</v>
      </c>
      <c r="I1495" s="63" t="s">
        <v>2538</v>
      </c>
      <c r="J1495" s="47">
        <f t="shared" si="307"/>
        <v>3740</v>
      </c>
      <c r="K1495" s="46" t="s">
        <v>7938</v>
      </c>
      <c r="L1495" s="47"/>
      <c r="M1495" s="47"/>
      <c r="N1495" s="47"/>
      <c r="O1495" s="47"/>
      <c r="P1495" s="47" t="s">
        <v>2539</v>
      </c>
      <c r="Q1495" s="47"/>
      <c r="R1495" s="47" t="s">
        <v>2540</v>
      </c>
      <c r="S1495" s="47" t="s">
        <v>641</v>
      </c>
      <c r="T1495" s="47">
        <f t="shared" si="308"/>
        <v>780</v>
      </c>
      <c r="U1495" s="47"/>
      <c r="V1495" s="47"/>
      <c r="W1495" s="47"/>
      <c r="X1495" s="47"/>
      <c r="Y1495" s="47"/>
      <c r="Z1495" s="47">
        <f t="shared" si="311"/>
        <v>4620</v>
      </c>
      <c r="AA1495" s="47">
        <f t="shared" si="309"/>
        <v>1400</v>
      </c>
      <c r="AB1495" s="47"/>
      <c r="AC1495" s="47"/>
      <c r="AD1495" s="47"/>
      <c r="AE1495" s="47"/>
      <c r="AF1495" s="47"/>
      <c r="AG1495" s="47"/>
      <c r="AH1495" s="47" t="str">
        <f>IFERROR(_xlfn.XLOOKUP(Table6[[#This Row],[Suburb]],Table5[Travel Surcharge],Table5[$$]),"")</f>
        <v/>
      </c>
      <c r="AI1495" s="47"/>
      <c r="AJ1495" s="47"/>
    </row>
    <row r="1496" spans="1:36">
      <c r="A1496" s="374" t="s">
        <v>2534</v>
      </c>
      <c r="B1496" s="374">
        <v>14</v>
      </c>
      <c r="C1496" s="374" t="s">
        <v>502</v>
      </c>
      <c r="D1496" s="375" t="str">
        <f t="shared" si="310"/>
        <v>Emerald Park Estate14</v>
      </c>
      <c r="E1496" s="375" t="s">
        <v>2553</v>
      </c>
      <c r="F1496" s="375"/>
      <c r="G1496" s="375" t="s">
        <v>2536</v>
      </c>
      <c r="H1496" s="375" t="s">
        <v>2537</v>
      </c>
      <c r="I1496" s="63" t="s">
        <v>2538</v>
      </c>
      <c r="J1496" s="47">
        <f t="shared" si="307"/>
        <v>3740</v>
      </c>
      <c r="K1496" s="46" t="s">
        <v>7938</v>
      </c>
      <c r="L1496" s="47"/>
      <c r="M1496" s="47"/>
      <c r="N1496" s="47"/>
      <c r="O1496" s="47"/>
      <c r="P1496" s="47" t="s">
        <v>2539</v>
      </c>
      <c r="Q1496" s="47"/>
      <c r="R1496" s="47" t="s">
        <v>2540</v>
      </c>
      <c r="S1496" s="47" t="s">
        <v>641</v>
      </c>
      <c r="T1496" s="47">
        <f t="shared" si="308"/>
        <v>780</v>
      </c>
      <c r="U1496" s="47"/>
      <c r="V1496" s="47"/>
      <c r="W1496" s="47"/>
      <c r="X1496" s="47"/>
      <c r="Y1496" s="47"/>
      <c r="Z1496" s="47">
        <f t="shared" si="311"/>
        <v>4620</v>
      </c>
      <c r="AA1496" s="47">
        <f t="shared" si="309"/>
        <v>1400</v>
      </c>
      <c r="AB1496" s="47"/>
      <c r="AC1496" s="47"/>
      <c r="AD1496" s="47"/>
      <c r="AE1496" s="47"/>
      <c r="AF1496" s="47"/>
      <c r="AG1496" s="47"/>
      <c r="AH1496" s="47" t="str">
        <f>IFERROR(_xlfn.XLOOKUP(Table6[[#This Row],[Suburb]],Table5[Travel Surcharge],Table5[$$]),"")</f>
        <v/>
      </c>
      <c r="AI1496" s="47"/>
      <c r="AJ1496" s="47"/>
    </row>
    <row r="1497" spans="1:36">
      <c r="A1497" s="374" t="s">
        <v>2534</v>
      </c>
      <c r="B1497" s="374">
        <v>15</v>
      </c>
      <c r="C1497" s="374" t="s">
        <v>502</v>
      </c>
      <c r="D1497" s="375" t="str">
        <f t="shared" si="310"/>
        <v>Emerald Park Estate15</v>
      </c>
      <c r="E1497" s="375" t="s">
        <v>2554</v>
      </c>
      <c r="F1497" s="375"/>
      <c r="G1497" s="375" t="s">
        <v>2536</v>
      </c>
      <c r="H1497" s="375" t="s">
        <v>2537</v>
      </c>
      <c r="I1497" s="63" t="s">
        <v>2538</v>
      </c>
      <c r="J1497" s="47">
        <f t="shared" si="307"/>
        <v>3740</v>
      </c>
      <c r="K1497" s="46" t="s">
        <v>7938</v>
      </c>
      <c r="L1497" s="47"/>
      <c r="M1497" s="47"/>
      <c r="N1497" s="47"/>
      <c r="O1497" s="47"/>
      <c r="P1497" s="47" t="s">
        <v>2539</v>
      </c>
      <c r="Q1497" s="47"/>
      <c r="R1497" s="47" t="s">
        <v>2540</v>
      </c>
      <c r="S1497" s="47" t="s">
        <v>641</v>
      </c>
      <c r="T1497" s="47">
        <f t="shared" si="308"/>
        <v>780</v>
      </c>
      <c r="U1497" s="47"/>
      <c r="V1497" s="47"/>
      <c r="W1497" s="47"/>
      <c r="X1497" s="47"/>
      <c r="Y1497" s="47"/>
      <c r="Z1497" s="47">
        <f t="shared" si="311"/>
        <v>4620</v>
      </c>
      <c r="AA1497" s="47">
        <f t="shared" si="309"/>
        <v>1400</v>
      </c>
      <c r="AB1497" s="47"/>
      <c r="AC1497" s="47"/>
      <c r="AD1497" s="47"/>
      <c r="AE1497" s="47"/>
      <c r="AF1497" s="47"/>
      <c r="AG1497" s="47"/>
      <c r="AH1497" s="47" t="str">
        <f>IFERROR(_xlfn.XLOOKUP(Table6[[#This Row],[Suburb]],Table5[Travel Surcharge],Table5[$$]),"")</f>
        <v/>
      </c>
      <c r="AI1497" s="47"/>
      <c r="AJ1497" s="47"/>
    </row>
    <row r="1498" spans="1:36">
      <c r="A1498" s="374" t="s">
        <v>2534</v>
      </c>
      <c r="B1498" s="374">
        <v>16</v>
      </c>
      <c r="C1498" s="374" t="s">
        <v>502</v>
      </c>
      <c r="D1498" s="375" t="str">
        <f t="shared" si="310"/>
        <v>Emerald Park Estate16</v>
      </c>
      <c r="E1498" s="375" t="s">
        <v>2555</v>
      </c>
      <c r="F1498" s="375"/>
      <c r="G1498" s="375" t="s">
        <v>2536</v>
      </c>
      <c r="H1498" s="375" t="s">
        <v>2537</v>
      </c>
      <c r="I1498" s="63" t="s">
        <v>2538</v>
      </c>
      <c r="J1498" s="47">
        <f t="shared" si="307"/>
        <v>3740</v>
      </c>
      <c r="K1498" s="46" t="s">
        <v>7938</v>
      </c>
      <c r="L1498" s="47"/>
      <c r="M1498" s="47"/>
      <c r="N1498" s="47"/>
      <c r="O1498" s="47"/>
      <c r="P1498" s="47" t="s">
        <v>2539</v>
      </c>
      <c r="Q1498" s="47"/>
      <c r="R1498" s="47" t="s">
        <v>2540</v>
      </c>
      <c r="S1498" s="47" t="s">
        <v>641</v>
      </c>
      <c r="T1498" s="47">
        <f t="shared" si="308"/>
        <v>780</v>
      </c>
      <c r="U1498" s="47"/>
      <c r="V1498" s="47"/>
      <c r="W1498" s="47"/>
      <c r="X1498" s="47"/>
      <c r="Y1498" s="47"/>
      <c r="Z1498" s="47">
        <f t="shared" si="311"/>
        <v>4620</v>
      </c>
      <c r="AA1498" s="47">
        <f t="shared" si="309"/>
        <v>1400</v>
      </c>
      <c r="AB1498" s="47"/>
      <c r="AC1498" s="47"/>
      <c r="AD1498" s="47"/>
      <c r="AE1498" s="47"/>
      <c r="AF1498" s="47"/>
      <c r="AG1498" s="47"/>
      <c r="AH1498" s="47" t="str">
        <f>IFERROR(_xlfn.XLOOKUP(Table6[[#This Row],[Suburb]],Table5[Travel Surcharge],Table5[$$]),"")</f>
        <v/>
      </c>
      <c r="AI1498" s="47"/>
      <c r="AJ1498" s="47"/>
    </row>
    <row r="1499" spans="1:36">
      <c r="A1499" s="374" t="s">
        <v>2534</v>
      </c>
      <c r="B1499" s="374">
        <v>17</v>
      </c>
      <c r="C1499" s="374" t="s">
        <v>502</v>
      </c>
      <c r="D1499" s="375" t="str">
        <f t="shared" si="310"/>
        <v>Emerald Park Estate17</v>
      </c>
      <c r="E1499" s="375" t="s">
        <v>2556</v>
      </c>
      <c r="F1499" s="375"/>
      <c r="G1499" s="375" t="s">
        <v>2536</v>
      </c>
      <c r="H1499" s="375" t="s">
        <v>2537</v>
      </c>
      <c r="I1499" s="63" t="s">
        <v>2538</v>
      </c>
      <c r="J1499" s="47">
        <f t="shared" si="307"/>
        <v>3740</v>
      </c>
      <c r="K1499" s="46" t="s">
        <v>7938</v>
      </c>
      <c r="L1499" s="47"/>
      <c r="M1499" s="47"/>
      <c r="N1499" s="47"/>
      <c r="O1499" s="47"/>
      <c r="P1499" s="47" t="s">
        <v>2539</v>
      </c>
      <c r="Q1499" s="47"/>
      <c r="R1499" s="47" t="s">
        <v>2540</v>
      </c>
      <c r="S1499" s="47" t="s">
        <v>641</v>
      </c>
      <c r="T1499" s="47">
        <f t="shared" si="308"/>
        <v>780</v>
      </c>
      <c r="U1499" s="47"/>
      <c r="V1499" s="47"/>
      <c r="W1499" s="47"/>
      <c r="X1499" s="47"/>
      <c r="Y1499" s="47"/>
      <c r="Z1499" s="47">
        <f t="shared" si="311"/>
        <v>4620</v>
      </c>
      <c r="AA1499" s="47">
        <f t="shared" si="309"/>
        <v>1400</v>
      </c>
      <c r="AB1499" s="47"/>
      <c r="AC1499" s="47"/>
      <c r="AD1499" s="47"/>
      <c r="AE1499" s="47"/>
      <c r="AF1499" s="47"/>
      <c r="AG1499" s="47"/>
      <c r="AH1499" s="47" t="str">
        <f>IFERROR(_xlfn.XLOOKUP(Table6[[#This Row],[Suburb]],Table5[Travel Surcharge],Table5[$$]),"")</f>
        <v/>
      </c>
      <c r="AI1499" s="47"/>
      <c r="AJ1499" s="47"/>
    </row>
    <row r="1500" spans="1:36">
      <c r="A1500" s="374" t="s">
        <v>2534</v>
      </c>
      <c r="B1500" s="374">
        <v>18</v>
      </c>
      <c r="C1500" s="374" t="s">
        <v>502</v>
      </c>
      <c r="D1500" s="375" t="str">
        <f t="shared" si="310"/>
        <v>Emerald Park Estate18</v>
      </c>
      <c r="E1500" s="375" t="s">
        <v>2557</v>
      </c>
      <c r="F1500" s="375"/>
      <c r="G1500" s="375" t="s">
        <v>2536</v>
      </c>
      <c r="H1500" s="375" t="s">
        <v>2537</v>
      </c>
      <c r="I1500" s="63" t="s">
        <v>2538</v>
      </c>
      <c r="J1500" s="47">
        <f t="shared" si="307"/>
        <v>3740</v>
      </c>
      <c r="K1500" s="46" t="s">
        <v>7938</v>
      </c>
      <c r="L1500" s="47"/>
      <c r="M1500" s="47"/>
      <c r="N1500" s="47"/>
      <c r="O1500" s="47"/>
      <c r="P1500" s="47" t="s">
        <v>2539</v>
      </c>
      <c r="Q1500" s="47"/>
      <c r="R1500" s="47" t="s">
        <v>2540</v>
      </c>
      <c r="S1500" s="47" t="s">
        <v>641</v>
      </c>
      <c r="T1500" s="47">
        <f t="shared" si="308"/>
        <v>780</v>
      </c>
      <c r="U1500" s="47"/>
      <c r="V1500" s="47"/>
      <c r="W1500" s="47"/>
      <c r="X1500" s="47"/>
      <c r="Y1500" s="47"/>
      <c r="Z1500" s="47">
        <f t="shared" si="311"/>
        <v>4620</v>
      </c>
      <c r="AA1500" s="47">
        <f t="shared" si="309"/>
        <v>1400</v>
      </c>
      <c r="AB1500" s="47"/>
      <c r="AC1500" s="47"/>
      <c r="AD1500" s="47"/>
      <c r="AE1500" s="47"/>
      <c r="AF1500" s="47"/>
      <c r="AG1500" s="47"/>
      <c r="AH1500" s="47" t="str">
        <f>IFERROR(_xlfn.XLOOKUP(Table6[[#This Row],[Suburb]],Table5[Travel Surcharge],Table5[$$]),"")</f>
        <v/>
      </c>
      <c r="AI1500" s="47"/>
      <c r="AJ1500" s="47"/>
    </row>
    <row r="1501" spans="1:36">
      <c r="A1501" s="157" t="s">
        <v>2534</v>
      </c>
      <c r="B1501" s="157">
        <v>19</v>
      </c>
      <c r="C1501" s="157" t="s">
        <v>8090</v>
      </c>
      <c r="D1501" s="157" t="str">
        <f t="shared" si="310"/>
        <v>Emerald Park Estate19</v>
      </c>
      <c r="E1501" s="157" t="s">
        <v>8092</v>
      </c>
      <c r="F1501" s="157"/>
      <c r="G1501" s="157" t="s">
        <v>2536</v>
      </c>
      <c r="H1501" s="157" t="s">
        <v>8091</v>
      </c>
      <c r="I1501" s="158" t="s">
        <v>2538</v>
      </c>
      <c r="J1501" s="47">
        <f t="shared" si="307"/>
        <v>3740</v>
      </c>
      <c r="K1501" s="46" t="s">
        <v>7938</v>
      </c>
      <c r="L1501" s="47"/>
      <c r="M1501" s="47"/>
      <c r="N1501" s="47"/>
      <c r="O1501" s="47"/>
      <c r="P1501" s="47" t="s">
        <v>2539</v>
      </c>
      <c r="Q1501" s="47"/>
      <c r="R1501" s="47" t="s">
        <v>2540</v>
      </c>
      <c r="S1501" s="47" t="s">
        <v>641</v>
      </c>
      <c r="T1501" s="47">
        <f t="shared" si="308"/>
        <v>780</v>
      </c>
      <c r="U1501" s="47"/>
      <c r="V1501" s="47"/>
      <c r="W1501" s="47"/>
      <c r="X1501" s="47"/>
      <c r="Y1501" s="47"/>
      <c r="Z1501" s="47">
        <f t="shared" si="311"/>
        <v>4620</v>
      </c>
      <c r="AA1501" s="47">
        <f t="shared" si="309"/>
        <v>1400</v>
      </c>
      <c r="AB1501" s="47"/>
      <c r="AC1501" s="47"/>
      <c r="AD1501" s="47"/>
      <c r="AE1501" s="47"/>
      <c r="AF1501" s="47"/>
      <c r="AG1501" s="47"/>
      <c r="AH1501" s="47" t="str">
        <f>IFERROR(_xlfn.XLOOKUP(Table6[[#This Row],[Suburb]],Table5[Travel Surcharge],Table5[$$]),"")</f>
        <v/>
      </c>
      <c r="AI1501" s="47"/>
      <c r="AJ1501" s="47"/>
    </row>
    <row r="1502" spans="1:36">
      <c r="A1502" s="157" t="s">
        <v>2534</v>
      </c>
      <c r="B1502" s="157">
        <v>20</v>
      </c>
      <c r="C1502" s="157" t="s">
        <v>502</v>
      </c>
      <c r="D1502" s="157" t="str">
        <f t="shared" si="310"/>
        <v>Emerald Park Estate20</v>
      </c>
      <c r="E1502" s="157" t="s">
        <v>7476</v>
      </c>
      <c r="F1502" s="157"/>
      <c r="G1502" s="157" t="s">
        <v>2536</v>
      </c>
      <c r="H1502" s="157" t="s">
        <v>2537</v>
      </c>
      <c r="I1502" s="158" t="s">
        <v>2538</v>
      </c>
      <c r="J1502" s="47">
        <f t="shared" si="307"/>
        <v>3740</v>
      </c>
      <c r="K1502" s="46" t="s">
        <v>7938</v>
      </c>
      <c r="L1502" s="47"/>
      <c r="M1502" s="47"/>
      <c r="N1502" s="47"/>
      <c r="O1502" s="47"/>
      <c r="P1502" s="47" t="s">
        <v>2539</v>
      </c>
      <c r="Q1502" s="47"/>
      <c r="R1502" s="47" t="s">
        <v>2540</v>
      </c>
      <c r="S1502" s="47" t="s">
        <v>641</v>
      </c>
      <c r="T1502" s="47">
        <f t="shared" si="308"/>
        <v>780</v>
      </c>
      <c r="U1502" s="47"/>
      <c r="V1502" s="47"/>
      <c r="W1502" s="47"/>
      <c r="X1502" s="47"/>
      <c r="Y1502" s="47"/>
      <c r="Z1502" s="47">
        <f t="shared" si="311"/>
        <v>4620</v>
      </c>
      <c r="AA1502" s="47">
        <f t="shared" si="309"/>
        <v>1400</v>
      </c>
      <c r="AB1502" s="47"/>
      <c r="AC1502" s="47"/>
      <c r="AD1502" s="47"/>
      <c r="AE1502" s="47"/>
      <c r="AF1502" s="47"/>
      <c r="AG1502" s="47"/>
      <c r="AH1502" s="47" t="str">
        <f>IFERROR(_xlfn.XLOOKUP(Table6[[#This Row],[Suburb]],Table5[Travel Surcharge],Table5[$$]),"")</f>
        <v/>
      </c>
      <c r="AI1502" s="47"/>
      <c r="AJ1502" s="47"/>
    </row>
    <row r="1503" spans="1:36">
      <c r="A1503" s="374" t="s">
        <v>2534</v>
      </c>
      <c r="B1503" s="374">
        <v>21</v>
      </c>
      <c r="C1503" s="374" t="s">
        <v>502</v>
      </c>
      <c r="D1503" s="375" t="str">
        <f t="shared" si="310"/>
        <v>Emerald Park Estate21</v>
      </c>
      <c r="E1503" s="375" t="s">
        <v>2558</v>
      </c>
      <c r="F1503" s="375"/>
      <c r="G1503" s="375" t="s">
        <v>2536</v>
      </c>
      <c r="H1503" s="375" t="s">
        <v>2537</v>
      </c>
      <c r="I1503" s="63" t="s">
        <v>2538</v>
      </c>
      <c r="J1503" s="47">
        <f t="shared" si="307"/>
        <v>3740</v>
      </c>
      <c r="K1503" s="46" t="s">
        <v>7938</v>
      </c>
      <c r="L1503" s="47"/>
      <c r="M1503" s="47"/>
      <c r="N1503" s="47"/>
      <c r="O1503" s="47"/>
      <c r="P1503" s="47" t="s">
        <v>2539</v>
      </c>
      <c r="Q1503" s="47"/>
      <c r="R1503" s="47" t="s">
        <v>2540</v>
      </c>
      <c r="S1503" s="47" t="s">
        <v>641</v>
      </c>
      <c r="T1503" s="47">
        <f t="shared" si="308"/>
        <v>780</v>
      </c>
      <c r="U1503" s="47"/>
      <c r="V1503" s="47"/>
      <c r="W1503" s="47"/>
      <c r="X1503" s="47"/>
      <c r="Y1503" s="47"/>
      <c r="Z1503" s="47">
        <f t="shared" si="311"/>
        <v>4620</v>
      </c>
      <c r="AA1503" s="47">
        <f t="shared" si="309"/>
        <v>1400</v>
      </c>
      <c r="AB1503" s="47"/>
      <c r="AC1503" s="47"/>
      <c r="AD1503" s="47"/>
      <c r="AE1503" s="47"/>
      <c r="AF1503" s="47"/>
      <c r="AG1503" s="47"/>
      <c r="AH1503" s="47" t="str">
        <f>IFERROR(_xlfn.XLOOKUP(Table6[[#This Row],[Suburb]],Table5[Travel Surcharge],Table5[$$]),"")</f>
        <v/>
      </c>
      <c r="AI1503" s="47"/>
      <c r="AJ1503" s="47"/>
    </row>
    <row r="1504" spans="1:36">
      <c r="A1504" s="157" t="s">
        <v>2534</v>
      </c>
      <c r="B1504" s="157">
        <v>23</v>
      </c>
      <c r="C1504" s="157" t="s">
        <v>8090</v>
      </c>
      <c r="D1504" s="157" t="str">
        <f t="shared" si="310"/>
        <v>Emerald Park Estate23</v>
      </c>
      <c r="E1504" s="157" t="s">
        <v>8387</v>
      </c>
      <c r="F1504" s="157"/>
      <c r="G1504" s="157" t="s">
        <v>2536</v>
      </c>
      <c r="H1504" s="157" t="s">
        <v>8091</v>
      </c>
      <c r="I1504" s="158" t="s">
        <v>2538</v>
      </c>
      <c r="J1504" s="47">
        <f t="shared" si="307"/>
        <v>3740</v>
      </c>
      <c r="K1504" s="46" t="s">
        <v>7938</v>
      </c>
      <c r="L1504" s="47"/>
      <c r="M1504" s="47"/>
      <c r="N1504" s="47"/>
      <c r="O1504" s="47"/>
      <c r="P1504" s="47" t="s">
        <v>2539</v>
      </c>
      <c r="Q1504" s="47"/>
      <c r="R1504" s="47" t="s">
        <v>2540</v>
      </c>
      <c r="S1504" s="47" t="s">
        <v>641</v>
      </c>
      <c r="T1504" s="47">
        <f t="shared" si="308"/>
        <v>780</v>
      </c>
      <c r="U1504" s="47"/>
      <c r="V1504" s="47"/>
      <c r="W1504" s="47"/>
      <c r="X1504" s="47"/>
      <c r="Y1504" s="47"/>
      <c r="Z1504" s="47">
        <f t="shared" si="311"/>
        <v>4620</v>
      </c>
      <c r="AA1504" s="47">
        <f t="shared" si="309"/>
        <v>1400</v>
      </c>
      <c r="AB1504" s="47"/>
      <c r="AC1504" s="47"/>
      <c r="AD1504" s="47"/>
      <c r="AE1504" s="47"/>
      <c r="AF1504" s="47"/>
      <c r="AG1504" s="47"/>
      <c r="AH1504" s="47" t="str">
        <f>IFERROR(_xlfn.XLOOKUP(Table6[[#This Row],[Suburb]],Table5[Travel Surcharge],Table5[$$]),"")</f>
        <v/>
      </c>
      <c r="AI1504" s="47"/>
      <c r="AJ1504" s="47"/>
    </row>
    <row r="1505" spans="1:36">
      <c r="A1505" s="157" t="s">
        <v>2534</v>
      </c>
      <c r="B1505" s="157">
        <v>24</v>
      </c>
      <c r="C1505" s="157" t="s">
        <v>8090</v>
      </c>
      <c r="D1505" s="157" t="str">
        <f t="shared" si="310"/>
        <v>Emerald Park Estate24</v>
      </c>
      <c r="E1505" s="157" t="s">
        <v>9538</v>
      </c>
      <c r="F1505" s="157"/>
      <c r="G1505" s="157" t="s">
        <v>2536</v>
      </c>
      <c r="H1505" s="157" t="s">
        <v>8091</v>
      </c>
      <c r="I1505" s="158" t="s">
        <v>2538</v>
      </c>
      <c r="J1505" s="47">
        <f t="shared" si="307"/>
        <v>3740</v>
      </c>
      <c r="K1505" s="46" t="s">
        <v>7938</v>
      </c>
      <c r="L1505" s="47"/>
      <c r="M1505" s="47"/>
      <c r="N1505" s="47"/>
      <c r="O1505" s="47"/>
      <c r="P1505" s="47" t="s">
        <v>2539</v>
      </c>
      <c r="Q1505" s="47"/>
      <c r="R1505" s="47" t="s">
        <v>2540</v>
      </c>
      <c r="S1505" s="47" t="s">
        <v>641</v>
      </c>
      <c r="T1505" s="47">
        <f t="shared" si="308"/>
        <v>780</v>
      </c>
      <c r="U1505" s="47"/>
      <c r="V1505" s="47"/>
      <c r="W1505" s="47"/>
      <c r="X1505" s="47"/>
      <c r="Y1505" s="47"/>
      <c r="Z1505" s="47">
        <f t="shared" si="311"/>
        <v>4620</v>
      </c>
      <c r="AA1505" s="47">
        <f t="shared" si="309"/>
        <v>1400</v>
      </c>
      <c r="AB1505" s="47"/>
      <c r="AC1505" s="47"/>
      <c r="AD1505" s="47"/>
      <c r="AE1505" s="47"/>
      <c r="AF1505" s="47"/>
      <c r="AG1505" s="47"/>
      <c r="AH1505" s="47" t="str">
        <f>IFERROR(_xlfn.XLOOKUP(Table6[[#This Row],[Suburb]],Table5[Travel Surcharge],Table5[$$]),"")</f>
        <v/>
      </c>
      <c r="AI1505" s="47"/>
      <c r="AJ1505" s="47"/>
    </row>
    <row r="1506" spans="1:36">
      <c r="A1506" s="374" t="s">
        <v>2534</v>
      </c>
      <c r="B1506" s="374">
        <v>25</v>
      </c>
      <c r="C1506" s="374" t="s">
        <v>502</v>
      </c>
      <c r="D1506" s="375" t="str">
        <f t="shared" si="310"/>
        <v>Emerald Park Estate25</v>
      </c>
      <c r="E1506" s="375" t="s">
        <v>9218</v>
      </c>
      <c r="F1506" s="375"/>
      <c r="G1506" s="375" t="s">
        <v>2536</v>
      </c>
      <c r="H1506" s="375" t="s">
        <v>2537</v>
      </c>
      <c r="I1506" s="63" t="s">
        <v>2538</v>
      </c>
      <c r="J1506" s="47">
        <f t="shared" si="307"/>
        <v>3740</v>
      </c>
      <c r="K1506" s="46" t="s">
        <v>7938</v>
      </c>
      <c r="L1506" s="47"/>
      <c r="M1506" s="47"/>
      <c r="N1506" s="47"/>
      <c r="O1506" s="47"/>
      <c r="P1506" s="47" t="s">
        <v>2539</v>
      </c>
      <c r="Q1506" s="47"/>
      <c r="R1506" s="47" t="s">
        <v>2540</v>
      </c>
      <c r="S1506" s="47" t="s">
        <v>641</v>
      </c>
      <c r="T1506" s="47">
        <f t="shared" si="308"/>
        <v>780</v>
      </c>
      <c r="U1506" s="47"/>
      <c r="V1506" s="47"/>
      <c r="W1506" s="47"/>
      <c r="X1506" s="47"/>
      <c r="Y1506" s="47"/>
      <c r="Z1506" s="47">
        <f t="shared" si="311"/>
        <v>4620</v>
      </c>
      <c r="AA1506" s="47">
        <f t="shared" si="309"/>
        <v>1400</v>
      </c>
      <c r="AB1506" s="47"/>
      <c r="AC1506" s="47"/>
      <c r="AD1506" s="47"/>
      <c r="AE1506" s="47"/>
      <c r="AF1506" s="47"/>
      <c r="AG1506" s="47"/>
      <c r="AH1506" s="47" t="str">
        <f>IFERROR(_xlfn.XLOOKUP(Table6[[#This Row],[Suburb]],Table5[Travel Surcharge],Table5[$$]),"")</f>
        <v/>
      </c>
      <c r="AI1506" s="47"/>
      <c r="AJ1506" s="47"/>
    </row>
    <row r="1507" spans="1:36">
      <c r="A1507" s="374" t="s">
        <v>2534</v>
      </c>
      <c r="B1507" s="374">
        <v>29</v>
      </c>
      <c r="C1507" s="374" t="s">
        <v>502</v>
      </c>
      <c r="D1507" s="375" t="str">
        <f t="shared" si="310"/>
        <v>Emerald Park Estate29</v>
      </c>
      <c r="E1507" s="375" t="s">
        <v>2560</v>
      </c>
      <c r="F1507" s="375"/>
      <c r="G1507" s="375" t="s">
        <v>2536</v>
      </c>
      <c r="H1507" s="375" t="s">
        <v>2537</v>
      </c>
      <c r="I1507" s="63" t="s">
        <v>2538</v>
      </c>
      <c r="J1507" s="47">
        <f t="shared" si="307"/>
        <v>3740</v>
      </c>
      <c r="K1507" s="46" t="s">
        <v>7938</v>
      </c>
      <c r="L1507" s="47"/>
      <c r="M1507" s="47"/>
      <c r="N1507" s="47"/>
      <c r="O1507" s="47"/>
      <c r="P1507" s="47" t="s">
        <v>2539</v>
      </c>
      <c r="Q1507" s="47"/>
      <c r="R1507" s="47" t="s">
        <v>2540</v>
      </c>
      <c r="S1507" s="47" t="s">
        <v>641</v>
      </c>
      <c r="T1507" s="47">
        <f t="shared" si="308"/>
        <v>780</v>
      </c>
      <c r="U1507" s="47"/>
      <c r="V1507" s="47"/>
      <c r="W1507" s="47"/>
      <c r="X1507" s="47"/>
      <c r="Y1507" s="47"/>
      <c r="Z1507" s="47">
        <f t="shared" si="311"/>
        <v>4620</v>
      </c>
      <c r="AA1507" s="47">
        <f t="shared" si="309"/>
        <v>1400</v>
      </c>
      <c r="AB1507" s="47"/>
      <c r="AC1507" s="47"/>
      <c r="AD1507" s="47"/>
      <c r="AE1507" s="47"/>
      <c r="AF1507" s="47"/>
      <c r="AG1507" s="47"/>
      <c r="AH1507" s="47" t="str">
        <f>IFERROR(_xlfn.XLOOKUP(Table6[[#This Row],[Suburb]],Table5[Travel Surcharge],Table5[$$]),"")</f>
        <v/>
      </c>
      <c r="AI1507" s="47"/>
      <c r="AJ1507" s="47"/>
    </row>
    <row r="1508" spans="1:36">
      <c r="A1508" s="374" t="s">
        <v>2534</v>
      </c>
      <c r="B1508" s="374">
        <v>30</v>
      </c>
      <c r="C1508" s="374" t="s">
        <v>502</v>
      </c>
      <c r="D1508" s="375" t="str">
        <f t="shared" si="310"/>
        <v>Emerald Park Estate30</v>
      </c>
      <c r="E1508" s="375" t="s">
        <v>2561</v>
      </c>
      <c r="F1508" s="375"/>
      <c r="G1508" s="375" t="s">
        <v>2536</v>
      </c>
      <c r="H1508" s="375" t="s">
        <v>2537</v>
      </c>
      <c r="I1508" s="63" t="s">
        <v>2538</v>
      </c>
      <c r="J1508" s="47">
        <f t="shared" si="307"/>
        <v>3740</v>
      </c>
      <c r="K1508" s="46" t="s">
        <v>7938</v>
      </c>
      <c r="L1508" s="47"/>
      <c r="M1508" s="47"/>
      <c r="N1508" s="47"/>
      <c r="O1508" s="47"/>
      <c r="P1508" s="47" t="s">
        <v>2539</v>
      </c>
      <c r="Q1508" s="47"/>
      <c r="R1508" s="47" t="s">
        <v>2540</v>
      </c>
      <c r="S1508" s="47" t="s">
        <v>641</v>
      </c>
      <c r="T1508" s="47">
        <f t="shared" si="308"/>
        <v>780</v>
      </c>
      <c r="U1508" s="47"/>
      <c r="V1508" s="47"/>
      <c r="W1508" s="47"/>
      <c r="X1508" s="47"/>
      <c r="Y1508" s="47"/>
      <c r="Z1508" s="47">
        <f t="shared" si="311"/>
        <v>4620</v>
      </c>
      <c r="AA1508" s="47">
        <f t="shared" si="309"/>
        <v>1400</v>
      </c>
      <c r="AB1508" s="47"/>
      <c r="AC1508" s="47"/>
      <c r="AD1508" s="47"/>
      <c r="AE1508" s="47"/>
      <c r="AF1508" s="47"/>
      <c r="AG1508" s="47"/>
      <c r="AH1508" s="47" t="str">
        <f>IFERROR(_xlfn.XLOOKUP(Table6[[#This Row],[Suburb]],Table5[Travel Surcharge],Table5[$$]),"")</f>
        <v/>
      </c>
      <c r="AI1508" s="47"/>
      <c r="AJ1508" s="47"/>
    </row>
    <row r="1509" spans="1:36">
      <c r="A1509" s="374" t="s">
        <v>2534</v>
      </c>
      <c r="B1509" s="374">
        <v>31</v>
      </c>
      <c r="C1509" s="374" t="s">
        <v>502</v>
      </c>
      <c r="D1509" s="375" t="str">
        <f t="shared" si="310"/>
        <v>Emerald Park Estate31</v>
      </c>
      <c r="E1509" s="375" t="s">
        <v>2562</v>
      </c>
      <c r="F1509" s="375"/>
      <c r="G1509" s="375" t="s">
        <v>2536</v>
      </c>
      <c r="H1509" s="375" t="s">
        <v>2537</v>
      </c>
      <c r="I1509" s="63" t="s">
        <v>2538</v>
      </c>
      <c r="J1509" s="47">
        <f t="shared" si="307"/>
        <v>3740</v>
      </c>
      <c r="K1509" s="46" t="s">
        <v>7938</v>
      </c>
      <c r="L1509" s="47"/>
      <c r="M1509" s="47"/>
      <c r="N1509" s="47"/>
      <c r="O1509" s="47"/>
      <c r="P1509" s="47" t="s">
        <v>2539</v>
      </c>
      <c r="Q1509" s="47"/>
      <c r="R1509" s="47" t="s">
        <v>2540</v>
      </c>
      <c r="S1509" s="47" t="s">
        <v>641</v>
      </c>
      <c r="T1509" s="47">
        <f t="shared" si="308"/>
        <v>780</v>
      </c>
      <c r="U1509" s="47"/>
      <c r="V1509" s="47"/>
      <c r="W1509" s="47"/>
      <c r="X1509" s="47"/>
      <c r="Y1509" s="47"/>
      <c r="Z1509" s="47">
        <f t="shared" si="311"/>
        <v>4620</v>
      </c>
      <c r="AA1509" s="47">
        <f t="shared" si="309"/>
        <v>1400</v>
      </c>
      <c r="AB1509" s="47"/>
      <c r="AC1509" s="47"/>
      <c r="AD1509" s="47"/>
      <c r="AE1509" s="47"/>
      <c r="AF1509" s="47"/>
      <c r="AG1509" s="47"/>
      <c r="AH1509" s="47" t="str">
        <f>IFERROR(_xlfn.XLOOKUP(Table6[[#This Row],[Suburb]],Table5[Travel Surcharge],Table5[$$]),"")</f>
        <v/>
      </c>
      <c r="AI1509" s="47"/>
      <c r="AJ1509" s="47"/>
    </row>
    <row r="1510" spans="1:36">
      <c r="A1510" s="374" t="s">
        <v>2534</v>
      </c>
      <c r="B1510" s="374">
        <v>33</v>
      </c>
      <c r="C1510" s="374" t="s">
        <v>502</v>
      </c>
      <c r="D1510" s="375" t="str">
        <f t="shared" si="310"/>
        <v>Emerald Park Estate33</v>
      </c>
      <c r="E1510" s="375" t="s">
        <v>2563</v>
      </c>
      <c r="F1510" s="375"/>
      <c r="G1510" s="375" t="s">
        <v>2536</v>
      </c>
      <c r="H1510" s="375" t="s">
        <v>2537</v>
      </c>
      <c r="I1510" s="63" t="s">
        <v>2538</v>
      </c>
      <c r="J1510" s="47">
        <f t="shared" si="307"/>
        <v>3740</v>
      </c>
      <c r="K1510" s="46" t="s">
        <v>7938</v>
      </c>
      <c r="L1510" s="47"/>
      <c r="M1510" s="47"/>
      <c r="N1510" s="47"/>
      <c r="O1510" s="47"/>
      <c r="P1510" s="47" t="s">
        <v>2539</v>
      </c>
      <c r="Q1510" s="47"/>
      <c r="R1510" s="47" t="s">
        <v>2540</v>
      </c>
      <c r="S1510" s="47" t="s">
        <v>641</v>
      </c>
      <c r="T1510" s="47">
        <f t="shared" si="308"/>
        <v>780</v>
      </c>
      <c r="U1510" s="47"/>
      <c r="V1510" s="47"/>
      <c r="W1510" s="47"/>
      <c r="X1510" s="47"/>
      <c r="Y1510" s="47"/>
      <c r="Z1510" s="47">
        <f t="shared" si="311"/>
        <v>4620</v>
      </c>
      <c r="AA1510" s="47">
        <f t="shared" si="309"/>
        <v>1400</v>
      </c>
      <c r="AB1510" s="47"/>
      <c r="AC1510" s="47"/>
      <c r="AD1510" s="47"/>
      <c r="AE1510" s="47"/>
      <c r="AF1510" s="47"/>
      <c r="AG1510" s="47"/>
      <c r="AH1510" s="47" t="str">
        <f>IFERROR(_xlfn.XLOOKUP(Table6[[#This Row],[Suburb]],Table5[Travel Surcharge],Table5[$$]),"")</f>
        <v/>
      </c>
      <c r="AI1510" s="47"/>
      <c r="AJ1510" s="47"/>
    </row>
    <row r="1511" spans="1:36">
      <c r="A1511" s="374" t="s">
        <v>2534</v>
      </c>
      <c r="B1511" s="374">
        <v>34</v>
      </c>
      <c r="C1511" s="374" t="s">
        <v>502</v>
      </c>
      <c r="D1511" s="375" t="str">
        <f t="shared" si="310"/>
        <v>Emerald Park Estate34</v>
      </c>
      <c r="E1511" s="375" t="s">
        <v>2564</v>
      </c>
      <c r="F1511" s="375"/>
      <c r="G1511" s="375" t="s">
        <v>2536</v>
      </c>
      <c r="H1511" s="375" t="s">
        <v>2537</v>
      </c>
      <c r="I1511" s="63" t="s">
        <v>2538</v>
      </c>
      <c r="J1511" s="47">
        <f t="shared" si="307"/>
        <v>3740</v>
      </c>
      <c r="K1511" s="46" t="s">
        <v>7938</v>
      </c>
      <c r="L1511" s="47"/>
      <c r="M1511" s="47"/>
      <c r="N1511" s="47"/>
      <c r="O1511" s="47"/>
      <c r="P1511" s="47" t="s">
        <v>2539</v>
      </c>
      <c r="Q1511" s="47"/>
      <c r="R1511" s="47" t="s">
        <v>2540</v>
      </c>
      <c r="S1511" s="47" t="s">
        <v>641</v>
      </c>
      <c r="T1511" s="47">
        <f t="shared" si="308"/>
        <v>780</v>
      </c>
      <c r="U1511" s="47"/>
      <c r="V1511" s="47"/>
      <c r="W1511" s="47"/>
      <c r="X1511" s="47"/>
      <c r="Y1511" s="47"/>
      <c r="Z1511" s="47">
        <f t="shared" si="311"/>
        <v>4620</v>
      </c>
      <c r="AA1511" s="47">
        <f t="shared" si="309"/>
        <v>1400</v>
      </c>
      <c r="AB1511" s="47"/>
      <c r="AC1511" s="47"/>
      <c r="AD1511" s="47"/>
      <c r="AE1511" s="47"/>
      <c r="AF1511" s="47"/>
      <c r="AG1511" s="47"/>
      <c r="AH1511" s="47" t="str">
        <f>IFERROR(_xlfn.XLOOKUP(Table6[[#This Row],[Suburb]],Table5[Travel Surcharge],Table5[$$]),"")</f>
        <v/>
      </c>
      <c r="AI1511" s="47"/>
      <c r="AJ1511" s="47"/>
    </row>
    <row r="1512" spans="1:36">
      <c r="A1512" s="374" t="s">
        <v>2534</v>
      </c>
      <c r="B1512" s="374" t="s">
        <v>617</v>
      </c>
      <c r="C1512" s="374" t="s">
        <v>502</v>
      </c>
      <c r="D1512" s="375" t="str">
        <f t="shared" si="310"/>
        <v>Emerald Park Estate5A</v>
      </c>
      <c r="E1512" s="375" t="s">
        <v>2559</v>
      </c>
      <c r="F1512" s="375"/>
      <c r="G1512" s="375" t="s">
        <v>2536</v>
      </c>
      <c r="H1512" s="375" t="s">
        <v>2537</v>
      </c>
      <c r="I1512" s="63" t="s">
        <v>2538</v>
      </c>
      <c r="J1512" s="47">
        <f t="shared" si="307"/>
        <v>3740</v>
      </c>
      <c r="K1512" s="46" t="s">
        <v>7938</v>
      </c>
      <c r="L1512" s="47"/>
      <c r="M1512" s="47"/>
      <c r="N1512" s="47"/>
      <c r="O1512" s="47"/>
      <c r="P1512" s="47" t="s">
        <v>2539</v>
      </c>
      <c r="Q1512" s="47"/>
      <c r="R1512" s="47" t="s">
        <v>2540</v>
      </c>
      <c r="S1512" s="47" t="s">
        <v>641</v>
      </c>
      <c r="T1512" s="47">
        <f t="shared" si="308"/>
        <v>780</v>
      </c>
      <c r="U1512" s="47"/>
      <c r="V1512" s="47"/>
      <c r="W1512" s="47"/>
      <c r="X1512" s="47"/>
      <c r="Y1512" s="47"/>
      <c r="Z1512" s="47">
        <f t="shared" si="311"/>
        <v>4620</v>
      </c>
      <c r="AA1512" s="47">
        <f t="shared" si="309"/>
        <v>1400</v>
      </c>
      <c r="AB1512" s="47"/>
      <c r="AC1512" s="47"/>
      <c r="AD1512" s="47"/>
      <c r="AE1512" s="47"/>
      <c r="AF1512" s="47"/>
      <c r="AG1512" s="47"/>
      <c r="AH1512" s="47" t="str">
        <f>IFERROR(_xlfn.XLOOKUP(Table6[[#This Row],[Suburb]],Table5[Travel Surcharge],Table5[$$]),"")</f>
        <v/>
      </c>
      <c r="AI1512" s="47"/>
      <c r="AJ1512" s="47"/>
    </row>
    <row r="1513" spans="1:36">
      <c r="A1513" s="157" t="s">
        <v>7679</v>
      </c>
      <c r="B1513" s="157">
        <v>6</v>
      </c>
      <c r="C1513" s="157" t="s">
        <v>302</v>
      </c>
      <c r="D1513" s="157" t="str">
        <f t="shared" si="310"/>
        <v>Emerald Waters6</v>
      </c>
      <c r="E1513" s="157" t="s">
        <v>7680</v>
      </c>
      <c r="F1513" s="157" t="s">
        <v>7681</v>
      </c>
      <c r="G1513" s="157"/>
      <c r="H1513" s="157" t="s">
        <v>7682</v>
      </c>
      <c r="I1513" s="158" t="s">
        <v>7683</v>
      </c>
      <c r="J1513" s="47"/>
      <c r="K1513" s="46" t="s">
        <v>10735</v>
      </c>
      <c r="L1513" s="47"/>
      <c r="M1513" s="47"/>
      <c r="N1513" s="47"/>
      <c r="O1513" s="47"/>
      <c r="P1513" s="47"/>
      <c r="Q1513" s="47">
        <f>Q$2</f>
        <v>0</v>
      </c>
      <c r="R1513" s="47"/>
      <c r="S1513" s="47"/>
      <c r="T1513" s="47"/>
      <c r="U1513" s="47"/>
      <c r="V1513" s="47"/>
      <c r="W1513" s="47"/>
      <c r="X1513" s="47"/>
      <c r="Y1513" s="47"/>
      <c r="Z1513" s="47">
        <f t="shared" si="311"/>
        <v>4620</v>
      </c>
      <c r="AA1513" s="47"/>
      <c r="AB1513" s="47"/>
      <c r="AC1513" s="47"/>
      <c r="AD1513" s="47"/>
      <c r="AE1513" s="47"/>
      <c r="AF1513" s="47"/>
      <c r="AG1513" s="47"/>
      <c r="AH1513" s="47">
        <f>IFERROR(_xlfn.XLOOKUP(Table6[[#This Row],[Suburb]],Table5[Travel Surcharge],Table5[$$]),"")</f>
        <v>7000</v>
      </c>
      <c r="AI1513" s="47"/>
      <c r="AJ1513" s="47"/>
    </row>
    <row r="1514" spans="1:36">
      <c r="A1514" s="374" t="s">
        <v>2565</v>
      </c>
      <c r="B1514" s="374">
        <v>2</v>
      </c>
      <c r="C1514" s="374" t="s">
        <v>1024</v>
      </c>
      <c r="D1514" s="375" t="str">
        <f t="shared" si="310"/>
        <v>Emerton Estate2</v>
      </c>
      <c r="E1514" s="375" t="s">
        <v>2566</v>
      </c>
      <c r="F1514" s="375" t="s">
        <v>1155</v>
      </c>
      <c r="G1514" s="375" t="s">
        <v>1183</v>
      </c>
      <c r="H1514" s="375" t="s">
        <v>1184</v>
      </c>
      <c r="I1514" s="63" t="s">
        <v>1185</v>
      </c>
      <c r="J1514" s="47">
        <f>J$7</f>
        <v>3740</v>
      </c>
      <c r="K1514" s="46" t="s">
        <v>7938</v>
      </c>
      <c r="L1514" s="47">
        <f>L$7</f>
        <v>1210</v>
      </c>
      <c r="M1514" s="47" t="s">
        <v>2567</v>
      </c>
      <c r="N1514" s="47"/>
      <c r="O1514" s="47"/>
      <c r="P1514" s="47"/>
      <c r="Q1514" s="47"/>
      <c r="R1514" s="47"/>
      <c r="S1514" s="47"/>
      <c r="T1514" s="47">
        <f>T$2</f>
        <v>780</v>
      </c>
      <c r="U1514" s="47"/>
      <c r="V1514" s="47"/>
      <c r="W1514" s="47"/>
      <c r="X1514" s="47"/>
      <c r="Y1514" s="47"/>
      <c r="Z1514" s="47">
        <f t="shared" si="311"/>
        <v>4620</v>
      </c>
      <c r="AA1514" s="47"/>
      <c r="AB1514" s="47"/>
      <c r="AC1514" s="47"/>
      <c r="AD1514" s="47"/>
      <c r="AE1514" s="47"/>
      <c r="AF1514" s="47">
        <f>AF$7</f>
        <v>1485</v>
      </c>
      <c r="AG1514" s="47"/>
      <c r="AH1514" s="47" t="str">
        <f>IFERROR(_xlfn.XLOOKUP(Table6[[#This Row],[Suburb]],Table5[Travel Surcharge],Table5[$$]),"")</f>
        <v/>
      </c>
      <c r="AI1514" s="47"/>
      <c r="AJ1514" s="47"/>
    </row>
    <row r="1515" spans="1:36">
      <c r="A1515" s="374" t="s">
        <v>2568</v>
      </c>
      <c r="B1515" s="374">
        <v>2</v>
      </c>
      <c r="C1515" s="374" t="s">
        <v>394</v>
      </c>
      <c r="D1515" s="375" t="str">
        <f t="shared" si="310"/>
        <v>Eminence Estate2</v>
      </c>
      <c r="E1515" s="375" t="s">
        <v>2569</v>
      </c>
      <c r="F1515" s="375" t="s">
        <v>2570</v>
      </c>
      <c r="G1515" s="375"/>
      <c r="H1515" s="375" t="s">
        <v>2571</v>
      </c>
      <c r="I1515" s="63"/>
      <c r="J1515" s="47">
        <f>J$7</f>
        <v>3740</v>
      </c>
      <c r="K1515" s="46" t="s">
        <v>10735</v>
      </c>
      <c r="L1515" s="47"/>
      <c r="M1515" s="47"/>
      <c r="N1515" s="47"/>
      <c r="O1515" s="47"/>
      <c r="P1515" s="47"/>
      <c r="Q1515" s="47">
        <f>Q$2</f>
        <v>0</v>
      </c>
      <c r="R1515" s="47"/>
      <c r="S1515" s="47"/>
      <c r="T1515" s="47"/>
      <c r="U1515" s="47"/>
      <c r="V1515" s="47"/>
      <c r="W1515" s="47"/>
      <c r="X1515" s="47"/>
      <c r="Y1515" s="47"/>
      <c r="Z1515" s="47">
        <f t="shared" si="311"/>
        <v>4620</v>
      </c>
      <c r="AA1515" s="47"/>
      <c r="AB1515" s="47"/>
      <c r="AC1515" s="47"/>
      <c r="AD1515" s="47"/>
      <c r="AE1515" s="47"/>
      <c r="AF1515" s="47"/>
      <c r="AG1515" s="47"/>
      <c r="AH1515" s="47" t="str">
        <f>IFERROR(_xlfn.XLOOKUP(Table6[[#This Row],[Suburb]],Table5[Travel Surcharge],Table5[$$]),"")</f>
        <v/>
      </c>
      <c r="AI1515" s="47"/>
      <c r="AJ1515" s="47"/>
    </row>
    <row r="1516" spans="1:36">
      <c r="A1516" s="374" t="s">
        <v>2568</v>
      </c>
      <c r="B1516" s="374">
        <v>3</v>
      </c>
      <c r="C1516" s="374" t="s">
        <v>394</v>
      </c>
      <c r="D1516" s="375" t="str">
        <f t="shared" si="310"/>
        <v>Eminence Estate3</v>
      </c>
      <c r="E1516" s="375" t="s">
        <v>2572</v>
      </c>
      <c r="F1516" s="375" t="s">
        <v>2570</v>
      </c>
      <c r="G1516" s="375"/>
      <c r="H1516" s="375" t="s">
        <v>2571</v>
      </c>
      <c r="I1516" s="63"/>
      <c r="J1516" s="47">
        <f>J$7</f>
        <v>3740</v>
      </c>
      <c r="K1516" s="46" t="s">
        <v>10735</v>
      </c>
      <c r="L1516" s="47"/>
      <c r="M1516" s="47"/>
      <c r="N1516" s="47"/>
      <c r="O1516" s="47"/>
      <c r="P1516" s="47"/>
      <c r="Q1516" s="47">
        <f>Q$2</f>
        <v>0</v>
      </c>
      <c r="R1516" s="47"/>
      <c r="S1516" s="47"/>
      <c r="T1516" s="47"/>
      <c r="U1516" s="47"/>
      <c r="V1516" s="47"/>
      <c r="W1516" s="47"/>
      <c r="X1516" s="47"/>
      <c r="Y1516" s="47"/>
      <c r="Z1516" s="47">
        <f t="shared" si="311"/>
        <v>4620</v>
      </c>
      <c r="AA1516" s="47"/>
      <c r="AB1516" s="47"/>
      <c r="AC1516" s="47"/>
      <c r="AD1516" s="47"/>
      <c r="AE1516" s="47"/>
      <c r="AF1516" s="47"/>
      <c r="AG1516" s="47"/>
      <c r="AH1516" s="47" t="str">
        <f>IFERROR(_xlfn.XLOOKUP(Table6[[#This Row],[Suburb]],Table5[Travel Surcharge],Table5[$$]),"")</f>
        <v/>
      </c>
      <c r="AI1516" s="47"/>
      <c r="AJ1516" s="47"/>
    </row>
    <row r="1517" spans="1:36">
      <c r="A1517" s="374" t="s">
        <v>2573</v>
      </c>
      <c r="B1517" s="374">
        <v>1</v>
      </c>
      <c r="C1517" s="374" t="s">
        <v>305</v>
      </c>
      <c r="D1517" s="375" t="str">
        <f t="shared" si="310"/>
        <v>Empire Estate1</v>
      </c>
      <c r="E1517" s="375" t="s">
        <v>2574</v>
      </c>
      <c r="F1517" s="375"/>
      <c r="G1517" s="375" t="s">
        <v>2575</v>
      </c>
      <c r="H1517" s="375"/>
      <c r="I1517" s="63" t="s">
        <v>2576</v>
      </c>
      <c r="J1517" s="47"/>
      <c r="K1517" s="46" t="s">
        <v>10735</v>
      </c>
      <c r="L1517" s="47"/>
      <c r="M1517" s="47">
        <f>M$7</f>
        <v>1430.0000000000002</v>
      </c>
      <c r="N1517" s="47"/>
      <c r="O1517" s="47">
        <f>O$7</f>
        <v>4950</v>
      </c>
      <c r="P1517" s="47"/>
      <c r="Q1517" s="47"/>
      <c r="R1517" s="47"/>
      <c r="S1517" s="47"/>
      <c r="T1517" s="47">
        <f>T$2</f>
        <v>780</v>
      </c>
      <c r="U1517" s="47"/>
      <c r="V1517" s="47"/>
      <c r="W1517" s="47"/>
      <c r="X1517" s="47"/>
      <c r="Y1517" s="47"/>
      <c r="Z1517" s="47">
        <f t="shared" si="311"/>
        <v>4620</v>
      </c>
      <c r="AA1517" s="47"/>
      <c r="AB1517" s="47"/>
      <c r="AC1517" s="47"/>
      <c r="AD1517" s="47"/>
      <c r="AE1517" s="47"/>
      <c r="AF1517" s="47"/>
      <c r="AG1517" s="47"/>
      <c r="AH1517" s="47">
        <f>IFERROR(_xlfn.XLOOKUP(Table6[[#This Row],[Suburb]],Table5[Travel Surcharge],Table5[$$]),"")</f>
        <v>8000</v>
      </c>
      <c r="AI1517" s="47"/>
      <c r="AJ1517" s="47">
        <f>AJ$7</f>
        <v>4400</v>
      </c>
    </row>
    <row r="1518" spans="1:36">
      <c r="A1518" s="374" t="s">
        <v>2573</v>
      </c>
      <c r="B1518" s="374">
        <v>2</v>
      </c>
      <c r="C1518" s="374" t="s">
        <v>305</v>
      </c>
      <c r="D1518" s="375" t="str">
        <f t="shared" si="310"/>
        <v>Empire Estate2</v>
      </c>
      <c r="E1518" s="375" t="s">
        <v>2577</v>
      </c>
      <c r="F1518" s="375"/>
      <c r="G1518" s="375" t="s">
        <v>2575</v>
      </c>
      <c r="H1518" s="375"/>
      <c r="I1518" s="63" t="s">
        <v>2576</v>
      </c>
      <c r="J1518" s="47"/>
      <c r="K1518" s="46" t="s">
        <v>10735</v>
      </c>
      <c r="L1518" s="47"/>
      <c r="M1518" s="47">
        <f>M$7</f>
        <v>1430.0000000000002</v>
      </c>
      <c r="N1518" s="47"/>
      <c r="O1518" s="47">
        <f>O$7</f>
        <v>4950</v>
      </c>
      <c r="P1518" s="47"/>
      <c r="Q1518" s="47"/>
      <c r="R1518" s="47"/>
      <c r="S1518" s="47"/>
      <c r="T1518" s="47">
        <f>T$2</f>
        <v>780</v>
      </c>
      <c r="U1518" s="47"/>
      <c r="V1518" s="47"/>
      <c r="W1518" s="47"/>
      <c r="X1518" s="47"/>
      <c r="Y1518" s="47"/>
      <c r="Z1518" s="47">
        <f t="shared" si="311"/>
        <v>4620</v>
      </c>
      <c r="AA1518" s="47"/>
      <c r="AB1518" s="47"/>
      <c r="AC1518" s="47"/>
      <c r="AD1518" s="47"/>
      <c r="AE1518" s="47"/>
      <c r="AF1518" s="47"/>
      <c r="AG1518" s="47"/>
      <c r="AH1518" s="47">
        <f>IFERROR(_xlfn.XLOOKUP(Table6[[#This Row],[Suburb]],Table5[Travel Surcharge],Table5[$$]),"")</f>
        <v>8000</v>
      </c>
      <c r="AI1518" s="47"/>
      <c r="AJ1518" s="47">
        <f>AJ$7</f>
        <v>4400</v>
      </c>
    </row>
    <row r="1519" spans="1:36">
      <c r="A1519" s="374" t="s">
        <v>2578</v>
      </c>
      <c r="B1519" s="374">
        <v>3</v>
      </c>
      <c r="C1519" s="374" t="s">
        <v>1721</v>
      </c>
      <c r="D1519" s="375" t="s">
        <v>9704</v>
      </c>
      <c r="E1519" s="375" t="s">
        <v>9705</v>
      </c>
      <c r="F1519" s="375"/>
      <c r="G1519" s="375"/>
      <c r="H1519" s="375"/>
      <c r="I1519" s="63"/>
      <c r="J1519" s="47"/>
      <c r="K1519" s="46" t="s">
        <v>10735</v>
      </c>
      <c r="L1519" s="47">
        <v>1210</v>
      </c>
      <c r="M1519" s="47" t="s">
        <v>2580</v>
      </c>
      <c r="N1519" s="47"/>
      <c r="O1519" s="47" t="s">
        <v>9664</v>
      </c>
      <c r="P1519" s="47" t="s">
        <v>9662</v>
      </c>
      <c r="Q1519" s="47"/>
      <c r="R1519" s="47" t="s">
        <v>2581</v>
      </c>
      <c r="S1519" s="47" t="s">
        <v>637</v>
      </c>
      <c r="T1519" s="47"/>
      <c r="U1519" s="47"/>
      <c r="V1519" s="47" t="s">
        <v>2582</v>
      </c>
      <c r="W1519" s="47">
        <v>5990</v>
      </c>
      <c r="X1519" s="47" t="s">
        <v>2583</v>
      </c>
      <c r="Y1519" s="47" t="s">
        <v>2584</v>
      </c>
      <c r="Z1519" s="47">
        <v>4620</v>
      </c>
      <c r="AA1519" s="47" t="s">
        <v>2585</v>
      </c>
      <c r="AB1519" s="47" t="s">
        <v>2586</v>
      </c>
      <c r="AC1519" s="47" t="s">
        <v>9663</v>
      </c>
      <c r="AD1519" s="47"/>
      <c r="AE1519" s="47"/>
      <c r="AF1519" s="47">
        <v>1485</v>
      </c>
      <c r="AG1519" s="47"/>
      <c r="AH1519" s="47" t="str">
        <f>IFERROR(_xlfn.XLOOKUP(Table6[[#This Row],[Suburb]],Table5[Travel Surcharge],Table5[$$]),"")</f>
        <v/>
      </c>
      <c r="AI1519" s="47"/>
      <c r="AJ1519" s="47"/>
    </row>
    <row r="1520" spans="1:36">
      <c r="A1520" s="374" t="s">
        <v>2578</v>
      </c>
      <c r="B1520" s="374">
        <v>1</v>
      </c>
      <c r="C1520" s="374" t="s">
        <v>1721</v>
      </c>
      <c r="D1520" s="375" t="str">
        <f t="shared" ref="D1520:D1547" si="312">CONCATENATE(A1520,B1520)</f>
        <v>Emu Springs1</v>
      </c>
      <c r="E1520" s="375" t="s">
        <v>9661</v>
      </c>
      <c r="F1520" s="375"/>
      <c r="G1520" s="375"/>
      <c r="H1520" s="375"/>
      <c r="I1520" s="63"/>
      <c r="J1520" s="47"/>
      <c r="K1520" s="46" t="s">
        <v>10735</v>
      </c>
      <c r="L1520" s="47">
        <f>L$7</f>
        <v>1210</v>
      </c>
      <c r="M1520" s="47" t="s">
        <v>2580</v>
      </c>
      <c r="N1520" s="47"/>
      <c r="O1520" s="47" t="s">
        <v>9664</v>
      </c>
      <c r="P1520" s="47" t="s">
        <v>9662</v>
      </c>
      <c r="Q1520" s="47"/>
      <c r="R1520" s="47" t="s">
        <v>2581</v>
      </c>
      <c r="S1520" s="47" t="s">
        <v>637</v>
      </c>
      <c r="T1520" s="47"/>
      <c r="U1520" s="47"/>
      <c r="V1520" s="47" t="s">
        <v>2582</v>
      </c>
      <c r="W1520" s="47">
        <f>W$7</f>
        <v>5990</v>
      </c>
      <c r="X1520" s="47" t="s">
        <v>2583</v>
      </c>
      <c r="Y1520" s="47" t="s">
        <v>2584</v>
      </c>
      <c r="Z1520" s="47">
        <f t="shared" ref="Z1520:Z1547" si="313">Z$7</f>
        <v>4620</v>
      </c>
      <c r="AA1520" s="47" t="s">
        <v>2585</v>
      </c>
      <c r="AB1520" s="47" t="s">
        <v>2586</v>
      </c>
      <c r="AC1520" s="47" t="s">
        <v>9663</v>
      </c>
      <c r="AD1520" s="47"/>
      <c r="AE1520" s="47"/>
      <c r="AF1520" s="47">
        <f>AF$7</f>
        <v>1485</v>
      </c>
      <c r="AG1520" s="47"/>
      <c r="AH1520" s="47" t="str">
        <f>IFERROR(_xlfn.XLOOKUP(Table6[[#This Row],[Suburb]],Table5[Travel Surcharge],Table5[$$]),"")</f>
        <v/>
      </c>
      <c r="AI1520" s="47"/>
      <c r="AJ1520" s="47"/>
    </row>
    <row r="1521" spans="1:36">
      <c r="A1521" s="374" t="s">
        <v>2578</v>
      </c>
      <c r="B1521" s="374">
        <v>2</v>
      </c>
      <c r="C1521" s="374" t="s">
        <v>1721</v>
      </c>
      <c r="D1521" s="375" t="str">
        <f t="shared" si="312"/>
        <v>Emu Springs2</v>
      </c>
      <c r="E1521" s="375" t="s">
        <v>2579</v>
      </c>
      <c r="F1521" s="375"/>
      <c r="G1521" s="375"/>
      <c r="H1521" s="375"/>
      <c r="I1521" s="63"/>
      <c r="J1521" s="47"/>
      <c r="K1521" s="46" t="s">
        <v>10735</v>
      </c>
      <c r="L1521" s="47">
        <f>L$7</f>
        <v>1210</v>
      </c>
      <c r="M1521" s="47" t="s">
        <v>2580</v>
      </c>
      <c r="N1521" s="47"/>
      <c r="O1521" s="47" t="s">
        <v>9664</v>
      </c>
      <c r="P1521" s="47" t="s">
        <v>9662</v>
      </c>
      <c r="Q1521" s="47"/>
      <c r="R1521" s="47" t="s">
        <v>2581</v>
      </c>
      <c r="S1521" s="47" t="s">
        <v>637</v>
      </c>
      <c r="T1521" s="47"/>
      <c r="U1521" s="47"/>
      <c r="V1521" s="47" t="s">
        <v>2582</v>
      </c>
      <c r="W1521" s="47">
        <f>W$7</f>
        <v>5990</v>
      </c>
      <c r="X1521" s="47" t="s">
        <v>2583</v>
      </c>
      <c r="Y1521" s="47" t="s">
        <v>2584</v>
      </c>
      <c r="Z1521" s="47">
        <f t="shared" si="313"/>
        <v>4620</v>
      </c>
      <c r="AA1521" s="47" t="s">
        <v>2585</v>
      </c>
      <c r="AB1521" s="47" t="s">
        <v>2586</v>
      </c>
      <c r="AC1521" s="47" t="s">
        <v>9663</v>
      </c>
      <c r="AD1521" s="47"/>
      <c r="AE1521" s="47"/>
      <c r="AF1521" s="47">
        <f>AF$7</f>
        <v>1485</v>
      </c>
      <c r="AG1521" s="47"/>
      <c r="AH1521" s="47" t="str">
        <f>IFERROR(_xlfn.XLOOKUP(Table6[[#This Row],[Suburb]],Table5[Travel Surcharge],Table5[$$]),"")</f>
        <v/>
      </c>
      <c r="AI1521" s="47"/>
      <c r="AJ1521" s="47"/>
    </row>
    <row r="1522" spans="1:36">
      <c r="A1522" s="157" t="s">
        <v>10667</v>
      </c>
      <c r="B1522" s="157">
        <v>10</v>
      </c>
      <c r="C1522" s="157" t="s">
        <v>296</v>
      </c>
      <c r="D1522" s="157" t="str">
        <f>CONCATENATE(A1522,B1522)</f>
        <v>Enchanted Estate10</v>
      </c>
      <c r="E1522" s="157" t="s">
        <v>10668</v>
      </c>
      <c r="F1522" s="157"/>
      <c r="G1522" s="157"/>
      <c r="H1522" s="157"/>
      <c r="I1522" s="158"/>
      <c r="J1522" s="47">
        <f>J$7</f>
        <v>3740</v>
      </c>
      <c r="K1522" s="46" t="s">
        <v>10735</v>
      </c>
      <c r="L1522" s="159"/>
      <c r="M1522" s="159"/>
      <c r="N1522" s="159"/>
      <c r="O1522" s="47">
        <f>O$7</f>
        <v>4950</v>
      </c>
      <c r="P1522" s="159"/>
      <c r="Q1522" s="159"/>
      <c r="R1522" s="159"/>
      <c r="S1522" s="159">
        <f>S$2</f>
        <v>590</v>
      </c>
      <c r="T1522" s="159"/>
      <c r="U1522" s="159"/>
      <c r="V1522" s="159"/>
      <c r="W1522" s="159"/>
      <c r="X1522" s="159"/>
      <c r="Y1522" s="159"/>
      <c r="Z1522" s="159">
        <f>Z$7</f>
        <v>4620</v>
      </c>
      <c r="AA1522" s="159"/>
      <c r="AB1522" s="159"/>
      <c r="AC1522" s="159"/>
      <c r="AD1522" s="159"/>
      <c r="AE1522" s="159"/>
      <c r="AF1522" s="159"/>
      <c r="AG1522" s="159"/>
      <c r="AH1522" s="47">
        <f>IFERROR(_xlfn.XLOOKUP(Table6[[#This Row],[Suburb]],Table5[Travel Surcharge],Table5[$$]),"")</f>
        <v>8000</v>
      </c>
      <c r="AI1522" s="159"/>
      <c r="AJ1522" s="159"/>
    </row>
    <row r="1523" spans="1:36">
      <c r="A1523" s="374" t="s">
        <v>2587</v>
      </c>
      <c r="B1523" s="374">
        <v>2</v>
      </c>
      <c r="C1523" s="374" t="s">
        <v>455</v>
      </c>
      <c r="D1523" s="375" t="str">
        <f t="shared" si="312"/>
        <v>Epping Views Estate2</v>
      </c>
      <c r="E1523" s="375" t="s">
        <v>2588</v>
      </c>
      <c r="F1523" s="375"/>
      <c r="G1523" s="375" t="s">
        <v>2589</v>
      </c>
      <c r="H1523" s="375" t="s">
        <v>2537</v>
      </c>
      <c r="I1523" s="63" t="s">
        <v>2590</v>
      </c>
      <c r="J1523" s="47">
        <f>J$7</f>
        <v>3740</v>
      </c>
      <c r="K1523" s="46" t="s">
        <v>10735</v>
      </c>
      <c r="L1523" s="47"/>
      <c r="M1523" s="47"/>
      <c r="N1523" s="47"/>
      <c r="O1523" s="47"/>
      <c r="P1523" s="47"/>
      <c r="Q1523" s="47">
        <f>Q$2</f>
        <v>0</v>
      </c>
      <c r="R1523" s="47"/>
      <c r="S1523" s="47"/>
      <c r="T1523" s="47"/>
      <c r="U1523" s="47"/>
      <c r="V1523" s="47"/>
      <c r="W1523" s="47"/>
      <c r="X1523" s="47"/>
      <c r="Y1523" s="47"/>
      <c r="Z1523" s="47">
        <f t="shared" si="313"/>
        <v>4620</v>
      </c>
      <c r="AA1523" s="47"/>
      <c r="AB1523" s="47"/>
      <c r="AC1523" s="47"/>
      <c r="AD1523" s="47"/>
      <c r="AE1523" s="47"/>
      <c r="AF1523" s="47"/>
      <c r="AG1523" s="47" t="s">
        <v>464</v>
      </c>
      <c r="AH1523" s="47" t="str">
        <f>IFERROR(_xlfn.XLOOKUP(Table6[[#This Row],[Suburb]],Table5[Travel Surcharge],Table5[$$]),"")</f>
        <v/>
      </c>
      <c r="AI1523" s="47"/>
      <c r="AJ1523" s="47"/>
    </row>
    <row r="1524" spans="1:36">
      <c r="A1524" s="374" t="s">
        <v>2587</v>
      </c>
      <c r="B1524" s="374">
        <v>3</v>
      </c>
      <c r="C1524" s="374" t="s">
        <v>455</v>
      </c>
      <c r="D1524" s="375" t="str">
        <f t="shared" si="312"/>
        <v>Epping Views Estate3</v>
      </c>
      <c r="E1524" s="375" t="s">
        <v>2591</v>
      </c>
      <c r="F1524" s="375"/>
      <c r="G1524" s="375" t="s">
        <v>2589</v>
      </c>
      <c r="H1524" s="375" t="s">
        <v>2537</v>
      </c>
      <c r="I1524" s="63" t="s">
        <v>2590</v>
      </c>
      <c r="J1524" s="47">
        <f>J$7</f>
        <v>3740</v>
      </c>
      <c r="K1524" s="46" t="s">
        <v>10735</v>
      </c>
      <c r="L1524" s="47"/>
      <c r="M1524" s="47"/>
      <c r="N1524" s="47"/>
      <c r="O1524" s="47"/>
      <c r="P1524" s="47"/>
      <c r="Q1524" s="47">
        <f>Q$2</f>
        <v>0</v>
      </c>
      <c r="R1524" s="47"/>
      <c r="S1524" s="47"/>
      <c r="T1524" s="47"/>
      <c r="U1524" s="47"/>
      <c r="V1524" s="47"/>
      <c r="W1524" s="47"/>
      <c r="X1524" s="47"/>
      <c r="Y1524" s="47"/>
      <c r="Z1524" s="47">
        <f t="shared" si="313"/>
        <v>4620</v>
      </c>
      <c r="AA1524" s="47"/>
      <c r="AB1524" s="47"/>
      <c r="AC1524" s="47"/>
      <c r="AD1524" s="47"/>
      <c r="AE1524" s="47"/>
      <c r="AF1524" s="47"/>
      <c r="AG1524" s="47" t="s">
        <v>464</v>
      </c>
      <c r="AH1524" s="47" t="str">
        <f>IFERROR(_xlfn.XLOOKUP(Table6[[#This Row],[Suburb]],Table5[Travel Surcharge],Table5[$$]),"")</f>
        <v/>
      </c>
      <c r="AI1524" s="47"/>
      <c r="AJ1524" s="47"/>
    </row>
    <row r="1525" spans="1:36">
      <c r="A1525" s="374" t="s">
        <v>2587</v>
      </c>
      <c r="B1525" s="374">
        <v>4</v>
      </c>
      <c r="C1525" s="374" t="s">
        <v>455</v>
      </c>
      <c r="D1525" s="375" t="str">
        <f t="shared" si="312"/>
        <v>Epping Views Estate4</v>
      </c>
      <c r="E1525" s="375" t="s">
        <v>2592</v>
      </c>
      <c r="F1525" s="375"/>
      <c r="G1525" s="375" t="s">
        <v>2589</v>
      </c>
      <c r="H1525" s="375" t="s">
        <v>2537</v>
      </c>
      <c r="I1525" s="63" t="s">
        <v>2590</v>
      </c>
      <c r="J1525" s="47">
        <f>J$7</f>
        <v>3740</v>
      </c>
      <c r="K1525" s="46" t="s">
        <v>10735</v>
      </c>
      <c r="L1525" s="47"/>
      <c r="M1525" s="47"/>
      <c r="N1525" s="47"/>
      <c r="O1525" s="47"/>
      <c r="P1525" s="47"/>
      <c r="Q1525" s="47">
        <f>Q$2</f>
        <v>0</v>
      </c>
      <c r="R1525" s="47"/>
      <c r="S1525" s="47"/>
      <c r="T1525" s="47"/>
      <c r="U1525" s="47"/>
      <c r="V1525" s="47"/>
      <c r="W1525" s="47"/>
      <c r="X1525" s="47"/>
      <c r="Y1525" s="47"/>
      <c r="Z1525" s="47">
        <f t="shared" si="313"/>
        <v>4620</v>
      </c>
      <c r="AA1525" s="47"/>
      <c r="AB1525" s="47"/>
      <c r="AC1525" s="47"/>
      <c r="AD1525" s="47"/>
      <c r="AE1525" s="47"/>
      <c r="AF1525" s="47"/>
      <c r="AG1525" s="47" t="s">
        <v>464</v>
      </c>
      <c r="AH1525" s="47" t="str">
        <f>IFERROR(_xlfn.XLOOKUP(Table6[[#This Row],[Suburb]],Table5[Travel Surcharge],Table5[$$]),"")</f>
        <v/>
      </c>
      <c r="AI1525" s="47"/>
      <c r="AJ1525" s="47"/>
    </row>
    <row r="1526" spans="1:36">
      <c r="A1526" s="374" t="s">
        <v>2601</v>
      </c>
      <c r="B1526" s="374">
        <v>6</v>
      </c>
      <c r="C1526" s="374" t="s">
        <v>1261</v>
      </c>
      <c r="D1526" s="375" t="str">
        <f t="shared" si="312"/>
        <v>Essence - Bacchus Marsh6</v>
      </c>
      <c r="E1526" s="375" t="s">
        <v>2602</v>
      </c>
      <c r="F1526" s="375"/>
      <c r="G1526" s="375"/>
      <c r="H1526" s="375"/>
      <c r="I1526" s="63"/>
      <c r="J1526" s="47"/>
      <c r="K1526" s="46" t="s">
        <v>10735</v>
      </c>
      <c r="L1526" s="47"/>
      <c r="M1526" s="47"/>
      <c r="N1526" s="47"/>
      <c r="O1526" s="47"/>
      <c r="P1526" s="47"/>
      <c r="Q1526" s="47">
        <f>Q$2</f>
        <v>0</v>
      </c>
      <c r="R1526" s="47"/>
      <c r="S1526" s="47"/>
      <c r="T1526" s="47"/>
      <c r="U1526" s="47"/>
      <c r="V1526" s="47"/>
      <c r="W1526" s="47"/>
      <c r="X1526" s="47"/>
      <c r="Y1526" s="47"/>
      <c r="Z1526" s="47">
        <f t="shared" si="313"/>
        <v>4620</v>
      </c>
      <c r="AA1526" s="47"/>
      <c r="AB1526" s="47"/>
      <c r="AC1526" s="47"/>
      <c r="AD1526" s="47"/>
      <c r="AE1526" s="47"/>
      <c r="AF1526" s="47">
        <f>AF$7</f>
        <v>1485</v>
      </c>
      <c r="AG1526" s="47"/>
      <c r="AH1526" s="47" t="str">
        <f>IFERROR(_xlfn.XLOOKUP(Table6[[#This Row],[Suburb]],Table5[Travel Surcharge],Table5[$$]),"")</f>
        <v/>
      </c>
      <c r="AI1526" s="47"/>
      <c r="AJ1526" s="47"/>
    </row>
    <row r="1527" spans="1:36">
      <c r="A1527" s="374" t="s">
        <v>2593</v>
      </c>
      <c r="B1527" s="374">
        <v>1</v>
      </c>
      <c r="C1527" s="374" t="s">
        <v>802</v>
      </c>
      <c r="D1527" s="375" t="str">
        <f t="shared" si="312"/>
        <v>Essence - Officer1</v>
      </c>
      <c r="E1527" s="375" t="s">
        <v>2594</v>
      </c>
      <c r="F1527" s="375"/>
      <c r="G1527" s="375" t="s">
        <v>2595</v>
      </c>
      <c r="H1527" s="375" t="s">
        <v>2596</v>
      </c>
      <c r="I1527" s="63" t="s">
        <v>2597</v>
      </c>
      <c r="J1527" s="47">
        <f>J$7</f>
        <v>3740</v>
      </c>
      <c r="K1527" s="46" t="s">
        <v>10735</v>
      </c>
      <c r="L1527" s="47" t="s">
        <v>2598</v>
      </c>
      <c r="M1527" s="47" t="s">
        <v>2599</v>
      </c>
      <c r="N1527" s="47"/>
      <c r="O1527" s="47"/>
      <c r="P1527" s="47"/>
      <c r="Q1527" s="47"/>
      <c r="R1527" s="47"/>
      <c r="S1527" s="47" t="s">
        <v>463</v>
      </c>
      <c r="T1527" s="47"/>
      <c r="U1527" s="47"/>
      <c r="V1527" s="47"/>
      <c r="W1527" s="47"/>
      <c r="X1527" s="47"/>
      <c r="Y1527" s="47"/>
      <c r="Z1527" s="47">
        <f t="shared" si="313"/>
        <v>4620</v>
      </c>
      <c r="AA1527" s="47">
        <f>AA$7</f>
        <v>1400</v>
      </c>
      <c r="AB1527" s="47">
        <f>AB$7</f>
        <v>2800</v>
      </c>
      <c r="AC1527" s="47"/>
      <c r="AD1527" s="47"/>
      <c r="AE1527" s="47"/>
      <c r="AF1527" s="47"/>
      <c r="AG1527" s="47"/>
      <c r="AH1527" s="47" t="str">
        <f>IFERROR(_xlfn.XLOOKUP(Table6[[#This Row],[Suburb]],Table5[Travel Surcharge],Table5[$$]),"")</f>
        <v/>
      </c>
      <c r="AI1527" s="47"/>
      <c r="AJ1527" s="47"/>
    </row>
    <row r="1528" spans="1:36">
      <c r="A1528" s="374" t="s">
        <v>2593</v>
      </c>
      <c r="B1528" s="374">
        <v>2</v>
      </c>
      <c r="C1528" s="374" t="s">
        <v>802</v>
      </c>
      <c r="D1528" s="375" t="str">
        <f t="shared" si="312"/>
        <v>Essence - Officer2</v>
      </c>
      <c r="E1528" s="375" t="s">
        <v>2600</v>
      </c>
      <c r="F1528" s="375"/>
      <c r="G1528" s="375" t="s">
        <v>2595</v>
      </c>
      <c r="H1528" s="375" t="s">
        <v>2596</v>
      </c>
      <c r="I1528" s="63" t="s">
        <v>2597</v>
      </c>
      <c r="J1528" s="47">
        <f>J$7</f>
        <v>3740</v>
      </c>
      <c r="K1528" s="46" t="s">
        <v>10735</v>
      </c>
      <c r="L1528" s="47" t="s">
        <v>2598</v>
      </c>
      <c r="M1528" s="47" t="s">
        <v>2599</v>
      </c>
      <c r="N1528" s="47"/>
      <c r="O1528" s="47"/>
      <c r="P1528" s="47"/>
      <c r="Q1528" s="47"/>
      <c r="R1528" s="47"/>
      <c r="S1528" s="47" t="s">
        <v>463</v>
      </c>
      <c r="T1528" s="47"/>
      <c r="U1528" s="47"/>
      <c r="V1528" s="47"/>
      <c r="W1528" s="47"/>
      <c r="X1528" s="47"/>
      <c r="Y1528" s="47"/>
      <c r="Z1528" s="47">
        <f t="shared" si="313"/>
        <v>4620</v>
      </c>
      <c r="AA1528" s="47">
        <f>AA$7</f>
        <v>1400</v>
      </c>
      <c r="AB1528" s="47">
        <f>AB$7</f>
        <v>2800</v>
      </c>
      <c r="AC1528" s="47"/>
      <c r="AD1528" s="47"/>
      <c r="AE1528" s="47"/>
      <c r="AF1528" s="47"/>
      <c r="AG1528" s="47"/>
      <c r="AH1528" s="47" t="str">
        <f>IFERROR(_xlfn.XLOOKUP(Table6[[#This Row],[Suburb]],Table5[Travel Surcharge],Table5[$$]),"")</f>
        <v/>
      </c>
      <c r="AI1528" s="47"/>
      <c r="AJ1528" s="47"/>
    </row>
    <row r="1529" spans="1:36">
      <c r="A1529" s="374" t="s">
        <v>2603</v>
      </c>
      <c r="B1529" s="374">
        <v>15</v>
      </c>
      <c r="C1529" s="374" t="s">
        <v>283</v>
      </c>
      <c r="D1529" s="375" t="str">
        <f t="shared" si="312"/>
        <v>Estuary15</v>
      </c>
      <c r="E1529" s="375" t="s">
        <v>2604</v>
      </c>
      <c r="F1529" s="375" t="s">
        <v>2605</v>
      </c>
      <c r="G1529" s="375" t="s">
        <v>2606</v>
      </c>
      <c r="H1529" s="375" t="s">
        <v>2607</v>
      </c>
      <c r="I1529" s="63" t="s">
        <v>2608</v>
      </c>
      <c r="J1529" s="47"/>
      <c r="K1529" s="46" t="s">
        <v>7938</v>
      </c>
      <c r="L1529" s="47" t="s">
        <v>2609</v>
      </c>
      <c r="M1529" s="47" t="s">
        <v>2610</v>
      </c>
      <c r="N1529" s="47"/>
      <c r="O1529" s="47" t="s">
        <v>2611</v>
      </c>
      <c r="P1529" s="47"/>
      <c r="Q1529" s="47"/>
      <c r="R1529" s="47"/>
      <c r="S1529" s="47"/>
      <c r="T1529" s="47"/>
      <c r="U1529" s="47">
        <f>U$2</f>
        <v>430</v>
      </c>
      <c r="V1529" s="47"/>
      <c r="W1529" s="47"/>
      <c r="X1529" s="47"/>
      <c r="Y1529" s="47"/>
      <c r="Z1529" s="47">
        <f t="shared" si="313"/>
        <v>4620</v>
      </c>
      <c r="AA1529" s="47"/>
      <c r="AB1529" s="47"/>
      <c r="AC1529" s="47"/>
      <c r="AD1529" s="47"/>
      <c r="AE1529" s="47"/>
      <c r="AF1529" s="47"/>
      <c r="AG1529" s="47"/>
      <c r="AH1529" s="47">
        <f>IFERROR(_xlfn.XLOOKUP(Table6[[#This Row],[Suburb]],Table5[Travel Surcharge],Table5[$$]),"")</f>
        <v>1500</v>
      </c>
      <c r="AI1529" s="47">
        <f>AI$7</f>
        <v>1650.0000000000002</v>
      </c>
      <c r="AJ1529" s="47"/>
    </row>
    <row r="1530" spans="1:36">
      <c r="A1530" s="374" t="s">
        <v>2603</v>
      </c>
      <c r="B1530" s="374">
        <v>16</v>
      </c>
      <c r="C1530" s="374" t="s">
        <v>283</v>
      </c>
      <c r="D1530" s="375" t="str">
        <f t="shared" si="312"/>
        <v>Estuary16</v>
      </c>
      <c r="E1530" s="375" t="s">
        <v>10442</v>
      </c>
      <c r="F1530" s="375" t="s">
        <v>2605</v>
      </c>
      <c r="G1530" s="375" t="s">
        <v>2606</v>
      </c>
      <c r="H1530" s="375" t="s">
        <v>2607</v>
      </c>
      <c r="I1530" s="63" t="s">
        <v>2608</v>
      </c>
      <c r="J1530" s="47"/>
      <c r="K1530" s="46" t="s">
        <v>7938</v>
      </c>
      <c r="L1530" s="47" t="s">
        <v>2609</v>
      </c>
      <c r="M1530" s="47" t="s">
        <v>2610</v>
      </c>
      <c r="N1530" s="47"/>
      <c r="O1530" s="47" t="s">
        <v>2611</v>
      </c>
      <c r="P1530" s="47"/>
      <c r="Q1530" s="47"/>
      <c r="R1530" s="47"/>
      <c r="S1530" s="47"/>
      <c r="T1530" s="47"/>
      <c r="U1530" s="47">
        <v>540</v>
      </c>
      <c r="V1530" s="47"/>
      <c r="W1530" s="47"/>
      <c r="X1530" s="47"/>
      <c r="Y1530" s="47"/>
      <c r="Z1530" s="47">
        <v>4620</v>
      </c>
      <c r="AA1530" s="47"/>
      <c r="AB1530" s="47"/>
      <c r="AC1530" s="47"/>
      <c r="AD1530" s="47"/>
      <c r="AE1530" s="47"/>
      <c r="AF1530" s="47"/>
      <c r="AG1530" s="47"/>
      <c r="AH1530" s="47">
        <v>1500</v>
      </c>
      <c r="AI1530" s="47">
        <v>1650.0000000000002</v>
      </c>
      <c r="AJ1530" s="47"/>
    </row>
    <row r="1531" spans="1:36">
      <c r="A1531" s="374" t="s">
        <v>2603</v>
      </c>
      <c r="B1531" s="276" t="s">
        <v>9282</v>
      </c>
      <c r="C1531" s="374" t="s">
        <v>283</v>
      </c>
      <c r="D1531" s="375" t="str">
        <f t="shared" si="312"/>
        <v>Estuary16C</v>
      </c>
      <c r="E1531" s="375" t="s">
        <v>9283</v>
      </c>
      <c r="F1531" s="375" t="s">
        <v>2605</v>
      </c>
      <c r="G1531" s="375" t="s">
        <v>2606</v>
      </c>
      <c r="H1531" s="375" t="s">
        <v>2607</v>
      </c>
      <c r="I1531" s="63" t="s">
        <v>2608</v>
      </c>
      <c r="J1531" s="47"/>
      <c r="K1531" s="46" t="s">
        <v>7938</v>
      </c>
      <c r="L1531" s="47" t="s">
        <v>2609</v>
      </c>
      <c r="M1531" s="47" t="s">
        <v>2610</v>
      </c>
      <c r="N1531" s="47"/>
      <c r="O1531" s="47" t="s">
        <v>2611</v>
      </c>
      <c r="P1531" s="47"/>
      <c r="Q1531" s="47"/>
      <c r="R1531" s="47"/>
      <c r="S1531" s="47"/>
      <c r="T1531" s="47"/>
      <c r="U1531" s="47">
        <f>U$2</f>
        <v>430</v>
      </c>
      <c r="V1531" s="47"/>
      <c r="W1531" s="47"/>
      <c r="X1531" s="47"/>
      <c r="Y1531" s="47"/>
      <c r="Z1531" s="47">
        <f t="shared" si="313"/>
        <v>4620</v>
      </c>
      <c r="AA1531" s="47"/>
      <c r="AB1531" s="47"/>
      <c r="AC1531" s="47"/>
      <c r="AD1531" s="47"/>
      <c r="AE1531" s="47"/>
      <c r="AF1531" s="47"/>
      <c r="AG1531" s="47"/>
      <c r="AH1531" s="47">
        <f>IFERROR(_xlfn.XLOOKUP(Table6[[#This Row],[Suburb]],Table5[Travel Surcharge],Table5[$$]),"")</f>
        <v>1500</v>
      </c>
      <c r="AI1531" s="47">
        <f>AI$7</f>
        <v>1650.0000000000002</v>
      </c>
      <c r="AJ1531" s="47"/>
    </row>
    <row r="1532" spans="1:36">
      <c r="A1532" s="374" t="s">
        <v>2603</v>
      </c>
      <c r="B1532" s="276" t="s">
        <v>3242</v>
      </c>
      <c r="C1532" s="374" t="s">
        <v>283</v>
      </c>
      <c r="D1532" s="375" t="str">
        <f t="shared" si="312"/>
        <v>Estuary17B</v>
      </c>
      <c r="E1532" s="375" t="s">
        <v>10805</v>
      </c>
      <c r="F1532" s="375" t="s">
        <v>2605</v>
      </c>
      <c r="G1532" s="375" t="s">
        <v>2606</v>
      </c>
      <c r="H1532" s="375" t="s">
        <v>2607</v>
      </c>
      <c r="I1532" s="63" t="s">
        <v>2608</v>
      </c>
      <c r="J1532" s="47"/>
      <c r="K1532" s="46" t="s">
        <v>7938</v>
      </c>
      <c r="L1532" s="47" t="s">
        <v>2609</v>
      </c>
      <c r="M1532" s="47" t="s">
        <v>2610</v>
      </c>
      <c r="N1532" s="47"/>
      <c r="O1532" s="47" t="s">
        <v>2611</v>
      </c>
      <c r="P1532" s="47"/>
      <c r="Q1532" s="47"/>
      <c r="R1532" s="47"/>
      <c r="S1532" s="47"/>
      <c r="T1532" s="47"/>
      <c r="U1532" s="47">
        <v>430</v>
      </c>
      <c r="V1532" s="47"/>
      <c r="W1532" s="47"/>
      <c r="X1532" s="47"/>
      <c r="Y1532" s="47"/>
      <c r="Z1532" s="47">
        <v>4620</v>
      </c>
      <c r="AA1532" s="47"/>
      <c r="AB1532" s="47"/>
      <c r="AC1532" s="47"/>
      <c r="AD1532" s="47"/>
      <c r="AE1532" s="47"/>
      <c r="AF1532" s="47"/>
      <c r="AG1532" s="47"/>
      <c r="AH1532" s="47">
        <v>1500</v>
      </c>
      <c r="AI1532" s="47">
        <v>1650.0000000000002</v>
      </c>
      <c r="AJ1532" s="47"/>
    </row>
    <row r="1533" spans="1:36">
      <c r="A1533" s="374" t="s">
        <v>2603</v>
      </c>
      <c r="B1533" s="276" t="s">
        <v>10373</v>
      </c>
      <c r="C1533" s="374" t="s">
        <v>283</v>
      </c>
      <c r="D1533" s="375" t="str">
        <f t="shared" ref="D1533" si="314">CONCATENATE(A1533,B1533)</f>
        <v>Estuary17P</v>
      </c>
      <c r="E1533" s="375" t="s">
        <v>10374</v>
      </c>
      <c r="F1533" s="375" t="s">
        <v>2605</v>
      </c>
      <c r="G1533" s="375" t="s">
        <v>2606</v>
      </c>
      <c r="H1533" s="375" t="s">
        <v>2607</v>
      </c>
      <c r="I1533" s="63" t="s">
        <v>2608</v>
      </c>
      <c r="J1533" s="47"/>
      <c r="K1533" s="46" t="s">
        <v>7938</v>
      </c>
      <c r="L1533" s="47" t="s">
        <v>2609</v>
      </c>
      <c r="M1533" s="47" t="s">
        <v>2610</v>
      </c>
      <c r="N1533" s="47"/>
      <c r="O1533" s="47" t="s">
        <v>2611</v>
      </c>
      <c r="P1533" s="47"/>
      <c r="Q1533" s="47"/>
      <c r="R1533" s="47"/>
      <c r="S1533" s="47"/>
      <c r="T1533" s="47"/>
      <c r="U1533" s="47">
        <f>U$2</f>
        <v>430</v>
      </c>
      <c r="V1533" s="47"/>
      <c r="W1533" s="47"/>
      <c r="X1533" s="47"/>
      <c r="Y1533" s="47"/>
      <c r="Z1533" s="47">
        <f t="shared" si="313"/>
        <v>4620</v>
      </c>
      <c r="AA1533" s="47"/>
      <c r="AB1533" s="47"/>
      <c r="AC1533" s="47"/>
      <c r="AD1533" s="47"/>
      <c r="AE1533" s="47"/>
      <c r="AF1533" s="47"/>
      <c r="AG1533" s="47"/>
      <c r="AH1533" s="47">
        <f>IFERROR(_xlfn.XLOOKUP(Table6[[#This Row],[Suburb]],Table5[Travel Surcharge],Table5[$$]),"")</f>
        <v>1500</v>
      </c>
      <c r="AI1533" s="47">
        <f>AI$7</f>
        <v>1650.0000000000002</v>
      </c>
      <c r="AJ1533" s="47"/>
    </row>
    <row r="1534" spans="1:36">
      <c r="A1534" s="374" t="s">
        <v>2603</v>
      </c>
      <c r="B1534" s="276" t="s">
        <v>10375</v>
      </c>
      <c r="C1534" s="374" t="s">
        <v>283</v>
      </c>
      <c r="D1534" s="375" t="str">
        <f t="shared" ref="D1534" si="315">CONCATENATE(A1534,B1534)</f>
        <v>Estuary17AW</v>
      </c>
      <c r="E1534" s="375" t="s">
        <v>10376</v>
      </c>
      <c r="F1534" s="375" t="s">
        <v>2605</v>
      </c>
      <c r="G1534" s="375" t="s">
        <v>2606</v>
      </c>
      <c r="H1534" s="375" t="s">
        <v>2607</v>
      </c>
      <c r="I1534" s="63" t="s">
        <v>2608</v>
      </c>
      <c r="J1534" s="47"/>
      <c r="K1534" s="46" t="s">
        <v>7938</v>
      </c>
      <c r="L1534" s="47" t="s">
        <v>2609</v>
      </c>
      <c r="M1534" s="47" t="s">
        <v>2610</v>
      </c>
      <c r="N1534" s="47"/>
      <c r="O1534" s="47" t="s">
        <v>2611</v>
      </c>
      <c r="P1534" s="47"/>
      <c r="Q1534" s="47"/>
      <c r="R1534" s="47"/>
      <c r="S1534" s="47"/>
      <c r="T1534" s="47"/>
      <c r="U1534" s="47">
        <f>U$2</f>
        <v>430</v>
      </c>
      <c r="V1534" s="47"/>
      <c r="W1534" s="47"/>
      <c r="X1534" s="47"/>
      <c r="Y1534" s="47"/>
      <c r="Z1534" s="47">
        <f t="shared" si="313"/>
        <v>4620</v>
      </c>
      <c r="AA1534" s="47"/>
      <c r="AB1534" s="47"/>
      <c r="AC1534" s="47"/>
      <c r="AD1534" s="47"/>
      <c r="AE1534" s="47"/>
      <c r="AF1534" s="47"/>
      <c r="AG1534" s="47"/>
      <c r="AH1534" s="47">
        <f>IFERROR(_xlfn.XLOOKUP(Table6[[#This Row],[Suburb]],Table5[Travel Surcharge],Table5[$$]),"")</f>
        <v>1500</v>
      </c>
      <c r="AI1534" s="47">
        <f>AI$7</f>
        <v>1650.0000000000002</v>
      </c>
      <c r="AJ1534" s="47"/>
    </row>
    <row r="1535" spans="1:36">
      <c r="A1535" s="374" t="s">
        <v>2603</v>
      </c>
      <c r="B1535" s="374">
        <v>18</v>
      </c>
      <c r="C1535" s="374" t="s">
        <v>283</v>
      </c>
      <c r="D1535" s="375" t="str">
        <f t="shared" si="312"/>
        <v>Estuary18</v>
      </c>
      <c r="E1535" s="375" t="s">
        <v>2612</v>
      </c>
      <c r="F1535" s="375" t="s">
        <v>2605</v>
      </c>
      <c r="G1535" s="375" t="s">
        <v>2606</v>
      </c>
      <c r="H1535" s="375" t="s">
        <v>2607</v>
      </c>
      <c r="I1535" s="63" t="s">
        <v>2608</v>
      </c>
      <c r="J1535" s="47"/>
      <c r="K1535" s="46" t="s">
        <v>7938</v>
      </c>
      <c r="L1535" s="47" t="s">
        <v>2609</v>
      </c>
      <c r="M1535" s="47" t="s">
        <v>2610</v>
      </c>
      <c r="N1535" s="47"/>
      <c r="O1535" s="47" t="s">
        <v>2611</v>
      </c>
      <c r="P1535" s="47"/>
      <c r="Q1535" s="47"/>
      <c r="R1535" s="47"/>
      <c r="S1535" s="47"/>
      <c r="T1535" s="47"/>
      <c r="U1535" s="47">
        <f>U$2</f>
        <v>430</v>
      </c>
      <c r="V1535" s="47"/>
      <c r="W1535" s="47"/>
      <c r="X1535" s="47"/>
      <c r="Y1535" s="47"/>
      <c r="Z1535" s="47">
        <f t="shared" si="313"/>
        <v>4620</v>
      </c>
      <c r="AA1535" s="47"/>
      <c r="AB1535" s="47"/>
      <c r="AC1535" s="47"/>
      <c r="AD1535" s="47"/>
      <c r="AE1535" s="47"/>
      <c r="AF1535" s="47"/>
      <c r="AG1535" s="47"/>
      <c r="AH1535" s="47">
        <f>IFERROR(_xlfn.XLOOKUP(Table6[[#This Row],[Suburb]],Table5[Travel Surcharge],Table5[$$]),"")</f>
        <v>1500</v>
      </c>
      <c r="AI1535" s="47">
        <f>AI$7</f>
        <v>1650.0000000000002</v>
      </c>
      <c r="AJ1535" s="47"/>
    </row>
    <row r="1536" spans="1:36">
      <c r="A1536" s="374" t="s">
        <v>2603</v>
      </c>
      <c r="B1536" s="374">
        <v>19</v>
      </c>
      <c r="C1536" s="374" t="s">
        <v>283</v>
      </c>
      <c r="D1536" s="375" t="str">
        <f t="shared" si="312"/>
        <v>Estuary19</v>
      </c>
      <c r="E1536" s="375" t="s">
        <v>9959</v>
      </c>
      <c r="F1536" s="375" t="s">
        <v>2605</v>
      </c>
      <c r="G1536" s="375" t="s">
        <v>2606</v>
      </c>
      <c r="H1536" s="375" t="s">
        <v>2607</v>
      </c>
      <c r="I1536" s="63" t="s">
        <v>2608</v>
      </c>
      <c r="J1536" s="47"/>
      <c r="K1536" s="46" t="s">
        <v>7938</v>
      </c>
      <c r="L1536" s="47" t="s">
        <v>2609</v>
      </c>
      <c r="M1536" s="47" t="s">
        <v>2610</v>
      </c>
      <c r="N1536" s="47"/>
      <c r="O1536" s="47" t="s">
        <v>2611</v>
      </c>
      <c r="P1536" s="47"/>
      <c r="Q1536" s="47"/>
      <c r="R1536" s="47"/>
      <c r="S1536" s="47"/>
      <c r="T1536" s="47"/>
      <c r="U1536" s="47">
        <v>540</v>
      </c>
      <c r="V1536" s="47"/>
      <c r="W1536" s="47"/>
      <c r="X1536" s="47"/>
      <c r="Y1536" s="47"/>
      <c r="Z1536" s="47">
        <v>4620</v>
      </c>
      <c r="AA1536" s="47"/>
      <c r="AB1536" s="47"/>
      <c r="AC1536" s="47"/>
      <c r="AD1536" s="47"/>
      <c r="AE1536" s="47"/>
      <c r="AF1536" s="47"/>
      <c r="AG1536" s="47"/>
      <c r="AH1536" s="47">
        <f>IFERROR(_xlfn.XLOOKUP(Table6[[#This Row],[Suburb]],Table5[Travel Surcharge],Table5[$$]),"")</f>
        <v>1500</v>
      </c>
      <c r="AI1536" s="47">
        <v>1650.0000000000002</v>
      </c>
      <c r="AJ1536" s="47"/>
    </row>
    <row r="1537" spans="1:43">
      <c r="A1537" s="374" t="s">
        <v>2603</v>
      </c>
      <c r="B1537" s="374">
        <v>20</v>
      </c>
      <c r="C1537" s="374" t="s">
        <v>283</v>
      </c>
      <c r="D1537" s="375" t="str">
        <f t="shared" si="312"/>
        <v>Estuary20</v>
      </c>
      <c r="E1537" s="375" t="s">
        <v>7919</v>
      </c>
      <c r="F1537" s="375" t="s">
        <v>2605</v>
      </c>
      <c r="G1537" s="375" t="s">
        <v>2606</v>
      </c>
      <c r="H1537" s="375" t="s">
        <v>2607</v>
      </c>
      <c r="I1537" s="63" t="s">
        <v>2608</v>
      </c>
      <c r="J1537" s="47"/>
      <c r="K1537" s="46" t="s">
        <v>7938</v>
      </c>
      <c r="L1537" s="47" t="s">
        <v>2609</v>
      </c>
      <c r="M1537" s="47" t="s">
        <v>2610</v>
      </c>
      <c r="N1537" s="47"/>
      <c r="O1537" s="47" t="s">
        <v>2611</v>
      </c>
      <c r="P1537" s="47"/>
      <c r="Q1537" s="47"/>
      <c r="R1537" s="47"/>
      <c r="S1537" s="47"/>
      <c r="T1537" s="47"/>
      <c r="U1537" s="47">
        <f>U$2</f>
        <v>430</v>
      </c>
      <c r="V1537" s="47"/>
      <c r="W1537" s="47"/>
      <c r="X1537" s="47"/>
      <c r="Y1537" s="47"/>
      <c r="Z1537" s="47">
        <f t="shared" si="313"/>
        <v>4620</v>
      </c>
      <c r="AA1537" s="47"/>
      <c r="AB1537" s="47"/>
      <c r="AC1537" s="47"/>
      <c r="AD1537" s="47"/>
      <c r="AE1537" s="47"/>
      <c r="AF1537" s="47"/>
      <c r="AG1537" s="47"/>
      <c r="AH1537" s="47">
        <f>IFERROR(_xlfn.XLOOKUP(Table6[[#This Row],[Suburb]],Table5[Travel Surcharge],Table5[$$]),"")</f>
        <v>1500</v>
      </c>
      <c r="AI1537" s="47">
        <f>AI$7</f>
        <v>1650.0000000000002</v>
      </c>
      <c r="AJ1537" s="47"/>
    </row>
    <row r="1538" spans="1:43">
      <c r="A1538" s="374" t="s">
        <v>2603</v>
      </c>
      <c r="B1538" s="276" t="s">
        <v>10443</v>
      </c>
      <c r="C1538" s="374" t="s">
        <v>283</v>
      </c>
      <c r="D1538" s="375" t="str">
        <f t="shared" si="312"/>
        <v>Estuary20B</v>
      </c>
      <c r="E1538" s="375" t="s">
        <v>10444</v>
      </c>
      <c r="F1538" s="375" t="s">
        <v>2605</v>
      </c>
      <c r="G1538" s="375" t="s">
        <v>2606</v>
      </c>
      <c r="H1538" s="375" t="s">
        <v>2607</v>
      </c>
      <c r="I1538" s="63" t="s">
        <v>2608</v>
      </c>
      <c r="J1538" s="47"/>
      <c r="K1538" s="46" t="s">
        <v>7938</v>
      </c>
      <c r="L1538" s="47" t="s">
        <v>2609</v>
      </c>
      <c r="M1538" s="47" t="s">
        <v>2610</v>
      </c>
      <c r="N1538" s="47"/>
      <c r="O1538" s="47" t="s">
        <v>2611</v>
      </c>
      <c r="P1538" s="47"/>
      <c r="Q1538" s="47"/>
      <c r="R1538" s="47"/>
      <c r="S1538" s="47"/>
      <c r="T1538" s="47"/>
      <c r="U1538" s="47">
        <v>540</v>
      </c>
      <c r="V1538" s="47"/>
      <c r="W1538" s="47"/>
      <c r="X1538" s="47"/>
      <c r="Y1538" s="47"/>
      <c r="Z1538" s="47">
        <v>4620</v>
      </c>
      <c r="AA1538" s="47"/>
      <c r="AB1538" s="47"/>
      <c r="AC1538" s="47"/>
      <c r="AD1538" s="47"/>
      <c r="AE1538" s="47"/>
      <c r="AF1538" s="47"/>
      <c r="AG1538" s="47"/>
      <c r="AH1538" s="47">
        <v>1500</v>
      </c>
      <c r="AI1538" s="47">
        <v>1650.0000000000002</v>
      </c>
      <c r="AJ1538" s="47"/>
    </row>
    <row r="1539" spans="1:43" s="157" customFormat="1">
      <c r="A1539" s="374" t="s">
        <v>2613</v>
      </c>
      <c r="B1539" s="374">
        <v>24</v>
      </c>
      <c r="C1539" s="374" t="s">
        <v>455</v>
      </c>
      <c r="D1539" s="375" t="str">
        <f t="shared" si="312"/>
        <v>Eucalypt Estate 24</v>
      </c>
      <c r="E1539" s="375" t="s">
        <v>2614</v>
      </c>
      <c r="F1539" s="375" t="s">
        <v>650</v>
      </c>
      <c r="G1539" s="375" t="s">
        <v>2615</v>
      </c>
      <c r="H1539" s="375"/>
      <c r="I1539" s="63" t="s">
        <v>2616</v>
      </c>
      <c r="J1539" s="47">
        <f t="shared" ref="J1539:J1547" si="316">J$7</f>
        <v>3740</v>
      </c>
      <c r="K1539" s="46" t="s">
        <v>317</v>
      </c>
      <c r="L1539" s="47"/>
      <c r="M1539" s="47"/>
      <c r="N1539" s="47"/>
      <c r="O1539" s="47"/>
      <c r="P1539" s="47"/>
      <c r="Q1539" s="47"/>
      <c r="R1539" s="47"/>
      <c r="S1539" s="47" t="s">
        <v>463</v>
      </c>
      <c r="T1539" s="47"/>
      <c r="U1539" s="47"/>
      <c r="V1539" s="47"/>
      <c r="W1539" s="47"/>
      <c r="X1539" s="47"/>
      <c r="Y1539" s="47"/>
      <c r="Z1539" s="47">
        <f t="shared" si="313"/>
        <v>4620</v>
      </c>
      <c r="AA1539" s="47"/>
      <c r="AB1539" s="47"/>
      <c r="AC1539" s="47">
        <f>AC$7</f>
        <v>5200</v>
      </c>
      <c r="AD1539" s="47"/>
      <c r="AE1539" s="47"/>
      <c r="AF1539" s="47"/>
      <c r="AG1539" s="47" t="s">
        <v>464</v>
      </c>
      <c r="AH1539" s="47" t="str">
        <f>IFERROR(_xlfn.XLOOKUP(Table6[[#This Row],[Suburb]],Table5[Travel Surcharge],Table5[$$]),"")</f>
        <v/>
      </c>
      <c r="AI1539" s="47"/>
      <c r="AJ1539" s="47"/>
      <c r="AK1539" s="63"/>
      <c r="AM1539" s="208"/>
      <c r="AO1539"/>
      <c r="AP1539"/>
      <c r="AQ1539"/>
    </row>
    <row r="1540" spans="1:43">
      <c r="A1540" s="374" t="s">
        <v>2613</v>
      </c>
      <c r="B1540" s="374">
        <v>29</v>
      </c>
      <c r="C1540" s="374" t="s">
        <v>455</v>
      </c>
      <c r="D1540" s="375" t="str">
        <f t="shared" si="312"/>
        <v>Eucalypt Estate 29</v>
      </c>
      <c r="E1540" s="375" t="s">
        <v>2617</v>
      </c>
      <c r="F1540" s="375" t="s">
        <v>650</v>
      </c>
      <c r="G1540" s="375" t="s">
        <v>2615</v>
      </c>
      <c r="H1540" s="375"/>
      <c r="I1540" s="63" t="s">
        <v>2616</v>
      </c>
      <c r="J1540" s="47">
        <f t="shared" si="316"/>
        <v>3740</v>
      </c>
      <c r="K1540" s="46" t="s">
        <v>317</v>
      </c>
      <c r="L1540" s="47"/>
      <c r="M1540" s="47"/>
      <c r="N1540" s="47"/>
      <c r="O1540" s="47"/>
      <c r="P1540" s="47"/>
      <c r="Q1540" s="47"/>
      <c r="R1540" s="47"/>
      <c r="S1540" s="47" t="s">
        <v>463</v>
      </c>
      <c r="T1540" s="47"/>
      <c r="U1540" s="47"/>
      <c r="V1540" s="47"/>
      <c r="W1540" s="47"/>
      <c r="X1540" s="47"/>
      <c r="Y1540" s="47"/>
      <c r="Z1540" s="47">
        <f t="shared" si="313"/>
        <v>4620</v>
      </c>
      <c r="AA1540" s="47"/>
      <c r="AB1540" s="47"/>
      <c r="AC1540" s="47">
        <f>AC$7</f>
        <v>5200</v>
      </c>
      <c r="AD1540" s="47"/>
      <c r="AE1540" s="47"/>
      <c r="AF1540" s="47"/>
      <c r="AG1540" s="47" t="s">
        <v>464</v>
      </c>
      <c r="AH1540" s="47" t="str">
        <f>IFERROR(_xlfn.XLOOKUP(Table6[[#This Row],[Suburb]],Table5[Travel Surcharge],Table5[$$]),"")</f>
        <v/>
      </c>
      <c r="AI1540" s="47"/>
      <c r="AJ1540" s="47"/>
      <c r="AO1540" s="157"/>
      <c r="AP1540" s="157"/>
      <c r="AQ1540" s="157"/>
    </row>
    <row r="1541" spans="1:43">
      <c r="A1541" s="374" t="s">
        <v>2613</v>
      </c>
      <c r="B1541" s="374">
        <v>30</v>
      </c>
      <c r="C1541" s="374" t="s">
        <v>455</v>
      </c>
      <c r="D1541" s="375" t="str">
        <f t="shared" si="312"/>
        <v>Eucalypt Estate 30</v>
      </c>
      <c r="E1541" s="375" t="s">
        <v>2618</v>
      </c>
      <c r="F1541" s="375" t="s">
        <v>650</v>
      </c>
      <c r="G1541" s="375" t="s">
        <v>2615</v>
      </c>
      <c r="H1541" s="375"/>
      <c r="I1541" s="63" t="s">
        <v>2616</v>
      </c>
      <c r="J1541" s="47">
        <f t="shared" si="316"/>
        <v>3740</v>
      </c>
      <c r="K1541" s="46" t="s">
        <v>317</v>
      </c>
      <c r="L1541" s="47"/>
      <c r="M1541" s="47"/>
      <c r="N1541" s="47"/>
      <c r="O1541" s="47"/>
      <c r="P1541" s="47"/>
      <c r="Q1541" s="47"/>
      <c r="R1541" s="47"/>
      <c r="S1541" s="47" t="s">
        <v>463</v>
      </c>
      <c r="T1541" s="47"/>
      <c r="U1541" s="47"/>
      <c r="V1541" s="47"/>
      <c r="W1541" s="47"/>
      <c r="X1541" s="47"/>
      <c r="Y1541" s="47"/>
      <c r="Z1541" s="47">
        <f t="shared" si="313"/>
        <v>4620</v>
      </c>
      <c r="AA1541" s="47"/>
      <c r="AB1541" s="47"/>
      <c r="AC1541" s="47">
        <f>AC$7</f>
        <v>5200</v>
      </c>
      <c r="AD1541" s="47"/>
      <c r="AE1541" s="47"/>
      <c r="AF1541" s="47"/>
      <c r="AG1541" s="47" t="s">
        <v>464</v>
      </c>
      <c r="AH1541" s="47" t="str">
        <f>IFERROR(_xlfn.XLOOKUP(Table6[[#This Row],[Suburb]],Table5[Travel Surcharge],Table5[$$]),"")</f>
        <v/>
      </c>
      <c r="AI1541" s="47"/>
      <c r="AJ1541" s="47"/>
    </row>
    <row r="1542" spans="1:43">
      <c r="A1542" s="374" t="s">
        <v>2613</v>
      </c>
      <c r="B1542" s="374">
        <v>34</v>
      </c>
      <c r="C1542" s="374" t="s">
        <v>455</v>
      </c>
      <c r="D1542" s="375" t="str">
        <f t="shared" si="312"/>
        <v>Eucalypt Estate 34</v>
      </c>
      <c r="E1542" s="375" t="s">
        <v>2619</v>
      </c>
      <c r="F1542" s="375" t="s">
        <v>650</v>
      </c>
      <c r="G1542" s="375" t="s">
        <v>2615</v>
      </c>
      <c r="H1542" s="375"/>
      <c r="I1542" s="63" t="s">
        <v>2616</v>
      </c>
      <c r="J1542" s="47">
        <f t="shared" si="316"/>
        <v>3740</v>
      </c>
      <c r="K1542" s="46" t="s">
        <v>317</v>
      </c>
      <c r="L1542" s="47"/>
      <c r="M1542" s="47"/>
      <c r="N1542" s="47"/>
      <c r="O1542" s="47"/>
      <c r="P1542" s="47"/>
      <c r="Q1542" s="47"/>
      <c r="R1542" s="47"/>
      <c r="S1542" s="47" t="s">
        <v>463</v>
      </c>
      <c r="T1542" s="47"/>
      <c r="U1542" s="47"/>
      <c r="V1542" s="47"/>
      <c r="W1542" s="47"/>
      <c r="X1542" s="47"/>
      <c r="Y1542" s="47"/>
      <c r="Z1542" s="47">
        <f t="shared" si="313"/>
        <v>4620</v>
      </c>
      <c r="AA1542" s="47"/>
      <c r="AB1542" s="47"/>
      <c r="AC1542" s="47">
        <f>AC$7</f>
        <v>5200</v>
      </c>
      <c r="AD1542" s="47"/>
      <c r="AE1542" s="47"/>
      <c r="AF1542" s="47"/>
      <c r="AG1542" s="47" t="s">
        <v>464</v>
      </c>
      <c r="AH1542" s="47" t="str">
        <f>IFERROR(_xlfn.XLOOKUP(Table6[[#This Row],[Suburb]],Table5[Travel Surcharge],Table5[$$]),"")</f>
        <v/>
      </c>
      <c r="AI1542" s="47"/>
      <c r="AJ1542" s="47"/>
    </row>
    <row r="1543" spans="1:43">
      <c r="A1543" s="374" t="s">
        <v>2613</v>
      </c>
      <c r="B1543" s="374">
        <v>35</v>
      </c>
      <c r="C1543" s="374" t="s">
        <v>455</v>
      </c>
      <c r="D1543" s="375" t="str">
        <f t="shared" si="312"/>
        <v>Eucalypt Estate 35</v>
      </c>
      <c r="E1543" s="375" t="s">
        <v>2620</v>
      </c>
      <c r="F1543" s="375" t="s">
        <v>650</v>
      </c>
      <c r="G1543" s="375" t="s">
        <v>2615</v>
      </c>
      <c r="H1543" s="375"/>
      <c r="I1543" s="63" t="s">
        <v>2616</v>
      </c>
      <c r="J1543" s="47">
        <f t="shared" si="316"/>
        <v>3740</v>
      </c>
      <c r="K1543" s="46" t="s">
        <v>317</v>
      </c>
      <c r="L1543" s="47"/>
      <c r="M1543" s="47"/>
      <c r="N1543" s="47"/>
      <c r="O1543" s="47"/>
      <c r="P1543" s="47"/>
      <c r="Q1543" s="47"/>
      <c r="R1543" s="47"/>
      <c r="S1543" s="47" t="s">
        <v>463</v>
      </c>
      <c r="T1543" s="47"/>
      <c r="U1543" s="47"/>
      <c r="V1543" s="47"/>
      <c r="W1543" s="47"/>
      <c r="X1543" s="47"/>
      <c r="Y1543" s="47"/>
      <c r="Z1543" s="47">
        <f t="shared" si="313"/>
        <v>4620</v>
      </c>
      <c r="AA1543" s="47"/>
      <c r="AB1543" s="47"/>
      <c r="AC1543" s="47">
        <f>AC$7</f>
        <v>5200</v>
      </c>
      <c r="AD1543" s="47"/>
      <c r="AE1543" s="47"/>
      <c r="AF1543" s="47"/>
      <c r="AG1543" s="47" t="s">
        <v>464</v>
      </c>
      <c r="AH1543" s="47" t="str">
        <f>IFERROR(_xlfn.XLOOKUP(Table6[[#This Row],[Suburb]],Table5[Travel Surcharge],Table5[$$]),"")</f>
        <v/>
      </c>
      <c r="AI1543" s="47"/>
      <c r="AJ1543" s="47"/>
    </row>
    <row r="1544" spans="1:43">
      <c r="A1544" s="374" t="s">
        <v>2621</v>
      </c>
      <c r="B1544" s="374">
        <v>1</v>
      </c>
      <c r="C1544" s="374" t="s">
        <v>1721</v>
      </c>
      <c r="D1544" s="375" t="str">
        <f t="shared" si="312"/>
        <v>Evans on Vine1</v>
      </c>
      <c r="E1544" s="375" t="s">
        <v>2622</v>
      </c>
      <c r="F1544" s="375"/>
      <c r="G1544" s="375"/>
      <c r="H1544" s="375"/>
      <c r="I1544" s="63"/>
      <c r="J1544" s="47">
        <f t="shared" si="316"/>
        <v>3740</v>
      </c>
      <c r="K1544" s="46" t="s">
        <v>10735</v>
      </c>
      <c r="L1544" s="47"/>
      <c r="M1544" s="47"/>
      <c r="N1544" s="47"/>
      <c r="O1544" s="47"/>
      <c r="P1544" s="47"/>
      <c r="Q1544" s="47">
        <f>Q$2</f>
        <v>0</v>
      </c>
      <c r="R1544" s="47"/>
      <c r="S1544" s="47"/>
      <c r="T1544" s="47"/>
      <c r="U1544" s="47"/>
      <c r="V1544" s="47"/>
      <c r="W1544" s="47"/>
      <c r="X1544" s="47"/>
      <c r="Y1544" s="47"/>
      <c r="Z1544" s="47">
        <f t="shared" si="313"/>
        <v>4620</v>
      </c>
      <c r="AA1544" s="47"/>
      <c r="AB1544" s="47"/>
      <c r="AC1544" s="47"/>
      <c r="AD1544" s="47" t="s">
        <v>2623</v>
      </c>
      <c r="AE1544" s="47"/>
      <c r="AF1544" s="47"/>
      <c r="AG1544" s="47"/>
      <c r="AH1544" s="47" t="str">
        <f>IFERROR(_xlfn.XLOOKUP(Table6[[#This Row],[Suburb]],Table5[Travel Surcharge],Table5[$$]),"")</f>
        <v/>
      </c>
      <c r="AI1544" s="47"/>
      <c r="AJ1544" s="47"/>
    </row>
    <row r="1545" spans="1:43">
      <c r="A1545" s="374" t="s">
        <v>2621</v>
      </c>
      <c r="B1545" s="374">
        <v>2</v>
      </c>
      <c r="C1545" s="374" t="s">
        <v>1721</v>
      </c>
      <c r="D1545" s="375" t="str">
        <f t="shared" si="312"/>
        <v>Evans on Vine2</v>
      </c>
      <c r="E1545" s="375" t="s">
        <v>2624</v>
      </c>
      <c r="F1545" s="375"/>
      <c r="G1545" s="375"/>
      <c r="H1545" s="375"/>
      <c r="I1545" s="63"/>
      <c r="J1545" s="47">
        <f t="shared" si="316"/>
        <v>3740</v>
      </c>
      <c r="K1545" s="46" t="s">
        <v>10735</v>
      </c>
      <c r="L1545" s="47"/>
      <c r="M1545" s="47"/>
      <c r="N1545" s="47"/>
      <c r="O1545" s="47"/>
      <c r="P1545" s="47"/>
      <c r="Q1545" s="47">
        <f>Q$2</f>
        <v>0</v>
      </c>
      <c r="R1545" s="47"/>
      <c r="S1545" s="47"/>
      <c r="T1545" s="47"/>
      <c r="U1545" s="47"/>
      <c r="V1545" s="47"/>
      <c r="W1545" s="47"/>
      <c r="X1545" s="47"/>
      <c r="Y1545" s="47"/>
      <c r="Z1545" s="47">
        <f t="shared" si="313"/>
        <v>4620</v>
      </c>
      <c r="AA1545" s="47"/>
      <c r="AB1545" s="47"/>
      <c r="AC1545" s="47"/>
      <c r="AD1545" s="47" t="s">
        <v>2623</v>
      </c>
      <c r="AE1545" s="47"/>
      <c r="AF1545" s="47"/>
      <c r="AG1545" s="47"/>
      <c r="AH1545" s="47" t="str">
        <f>IFERROR(_xlfn.XLOOKUP(Table6[[#This Row],[Suburb]],Table5[Travel Surcharge],Table5[$$]),"")</f>
        <v/>
      </c>
      <c r="AI1545" s="47"/>
      <c r="AJ1545" s="47"/>
    </row>
    <row r="1546" spans="1:43">
      <c r="A1546" s="374" t="s">
        <v>2621</v>
      </c>
      <c r="B1546" s="374">
        <v>3</v>
      </c>
      <c r="C1546" s="374" t="s">
        <v>1721</v>
      </c>
      <c r="D1546" s="375" t="str">
        <f t="shared" si="312"/>
        <v>Evans on Vine3</v>
      </c>
      <c r="E1546" s="375" t="s">
        <v>2625</v>
      </c>
      <c r="F1546" s="375"/>
      <c r="G1546" s="375"/>
      <c r="H1546" s="375"/>
      <c r="I1546" s="63"/>
      <c r="J1546" s="47">
        <f t="shared" si="316"/>
        <v>3740</v>
      </c>
      <c r="K1546" s="46" t="s">
        <v>10735</v>
      </c>
      <c r="L1546" s="47"/>
      <c r="M1546" s="47"/>
      <c r="N1546" s="47"/>
      <c r="O1546" s="47"/>
      <c r="P1546" s="47"/>
      <c r="Q1546" s="47">
        <f>Q$2</f>
        <v>0</v>
      </c>
      <c r="R1546" s="47"/>
      <c r="S1546" s="47"/>
      <c r="T1546" s="47"/>
      <c r="U1546" s="47"/>
      <c r="V1546" s="47"/>
      <c r="W1546" s="47"/>
      <c r="X1546" s="47"/>
      <c r="Y1546" s="47"/>
      <c r="Z1546" s="47">
        <f t="shared" si="313"/>
        <v>4620</v>
      </c>
      <c r="AA1546" s="47"/>
      <c r="AB1546" s="47"/>
      <c r="AC1546" s="47"/>
      <c r="AD1546" s="47" t="s">
        <v>2623</v>
      </c>
      <c r="AE1546" s="47"/>
      <c r="AF1546" s="47"/>
      <c r="AG1546" s="47"/>
      <c r="AH1546" s="47" t="str">
        <f>IFERROR(_xlfn.XLOOKUP(Table6[[#This Row],[Suburb]],Table5[Travel Surcharge],Table5[$$]),"")</f>
        <v/>
      </c>
      <c r="AI1546" s="47"/>
      <c r="AJ1546" s="47"/>
    </row>
    <row r="1547" spans="1:43">
      <c r="A1547" s="374" t="s">
        <v>2621</v>
      </c>
      <c r="B1547" s="374">
        <v>4</v>
      </c>
      <c r="C1547" s="374" t="s">
        <v>1721</v>
      </c>
      <c r="D1547" s="375" t="str">
        <f t="shared" si="312"/>
        <v>Evans on Vine4</v>
      </c>
      <c r="E1547" s="375" t="s">
        <v>2626</v>
      </c>
      <c r="F1547" s="375"/>
      <c r="G1547" s="375"/>
      <c r="H1547" s="375"/>
      <c r="I1547" s="63"/>
      <c r="J1547" s="47">
        <f t="shared" si="316"/>
        <v>3740</v>
      </c>
      <c r="K1547" s="46" t="s">
        <v>10735</v>
      </c>
      <c r="L1547" s="47"/>
      <c r="M1547" s="47"/>
      <c r="N1547" s="47"/>
      <c r="O1547" s="47"/>
      <c r="P1547" s="47"/>
      <c r="Q1547" s="47">
        <f>Q$2</f>
        <v>0</v>
      </c>
      <c r="R1547" s="47"/>
      <c r="S1547" s="47"/>
      <c r="T1547" s="47"/>
      <c r="U1547" s="47"/>
      <c r="V1547" s="47"/>
      <c r="W1547" s="47"/>
      <c r="X1547" s="47"/>
      <c r="Y1547" s="47"/>
      <c r="Z1547" s="47">
        <f t="shared" si="313"/>
        <v>4620</v>
      </c>
      <c r="AA1547" s="47"/>
      <c r="AB1547" s="47"/>
      <c r="AC1547" s="47"/>
      <c r="AD1547" s="47" t="s">
        <v>2623</v>
      </c>
      <c r="AE1547" s="47"/>
      <c r="AF1547" s="47"/>
      <c r="AG1547" s="47"/>
      <c r="AH1547" s="47" t="str">
        <f>IFERROR(_xlfn.XLOOKUP(Table6[[#This Row],[Suburb]],Table5[Travel Surcharge],Table5[$$]),"")</f>
        <v/>
      </c>
      <c r="AI1547" s="47"/>
      <c r="AJ1547" s="47"/>
    </row>
    <row r="1548" spans="1:43">
      <c r="A1548" s="374" t="s">
        <v>2627</v>
      </c>
      <c r="B1548" s="374">
        <v>9</v>
      </c>
      <c r="C1548" s="374" t="s">
        <v>1042</v>
      </c>
      <c r="D1548" s="375" t="s">
        <v>9700</v>
      </c>
      <c r="E1548" s="375" t="s">
        <v>9701</v>
      </c>
      <c r="F1548" s="375"/>
      <c r="G1548" s="375" t="s">
        <v>2629</v>
      </c>
      <c r="H1548" s="375" t="s">
        <v>2630</v>
      </c>
      <c r="I1548" s="63" t="s">
        <v>2631</v>
      </c>
      <c r="J1548" s="47">
        <v>3740</v>
      </c>
      <c r="K1548" s="46" t="s">
        <v>10735</v>
      </c>
      <c r="L1548" s="47" t="s">
        <v>504</v>
      </c>
      <c r="M1548" s="47">
        <v>1430.0000000000002</v>
      </c>
      <c r="N1548" s="47" t="s">
        <v>2632</v>
      </c>
      <c r="O1548" s="47" t="s">
        <v>2633</v>
      </c>
      <c r="P1548" s="47"/>
      <c r="Q1548" s="47"/>
      <c r="R1548" s="47"/>
      <c r="S1548" s="47" t="s">
        <v>463</v>
      </c>
      <c r="T1548" s="47" t="s">
        <v>2634</v>
      </c>
      <c r="U1548" s="47"/>
      <c r="V1548" s="47"/>
      <c r="W1548" s="47"/>
      <c r="X1548" s="47"/>
      <c r="Y1548" s="47"/>
      <c r="Z1548" s="47">
        <v>4620</v>
      </c>
      <c r="AA1548" s="47"/>
      <c r="AB1548" s="47"/>
      <c r="AC1548" s="47"/>
      <c r="AD1548" s="47" t="s">
        <v>1</v>
      </c>
      <c r="AE1548" s="47"/>
      <c r="AF1548" s="47"/>
      <c r="AG1548" s="47"/>
      <c r="AH1548" s="47" t="str">
        <f>IFERROR(_xlfn.XLOOKUP(Table6[[#This Row],[Suburb]],Table5[Travel Surcharge],Table5[$$]),"")</f>
        <v/>
      </c>
      <c r="AI1548" s="47" t="s">
        <v>2635</v>
      </c>
      <c r="AJ1548" s="47"/>
    </row>
    <row r="1549" spans="1:43">
      <c r="A1549" s="374" t="s">
        <v>2627</v>
      </c>
      <c r="B1549" s="374">
        <v>1</v>
      </c>
      <c r="C1549" s="374" t="s">
        <v>1042</v>
      </c>
      <c r="D1549" s="375" t="str">
        <f t="shared" ref="D1549:D1588" si="317">CONCATENATE(A1549,B1549)</f>
        <v>Evergreen Estate1</v>
      </c>
      <c r="E1549" s="375" t="s">
        <v>2628</v>
      </c>
      <c r="F1549" s="375"/>
      <c r="G1549" s="375" t="s">
        <v>2629</v>
      </c>
      <c r="H1549" s="375" t="s">
        <v>2630</v>
      </c>
      <c r="I1549" s="63" t="s">
        <v>2631</v>
      </c>
      <c r="J1549" s="47">
        <f t="shared" ref="J1549:J1578" si="318">J$7</f>
        <v>3740</v>
      </c>
      <c r="K1549" s="46" t="s">
        <v>10735</v>
      </c>
      <c r="L1549" s="47" t="s">
        <v>504</v>
      </c>
      <c r="M1549" s="47">
        <f t="shared" ref="M1549:M1578" si="319">M$7</f>
        <v>1430.0000000000002</v>
      </c>
      <c r="N1549" s="47" t="s">
        <v>2632</v>
      </c>
      <c r="O1549" s="47" t="s">
        <v>2633</v>
      </c>
      <c r="P1549" s="47"/>
      <c r="Q1549" s="47"/>
      <c r="R1549" s="47"/>
      <c r="S1549" s="47" t="s">
        <v>463</v>
      </c>
      <c r="T1549" s="47" t="s">
        <v>2634</v>
      </c>
      <c r="U1549" s="47"/>
      <c r="V1549" s="47"/>
      <c r="W1549" s="47"/>
      <c r="X1549" s="47"/>
      <c r="Y1549" s="47"/>
      <c r="Z1549" s="47">
        <f t="shared" ref="Z1549:Z1588" si="320">Z$7</f>
        <v>4620</v>
      </c>
      <c r="AA1549" s="47"/>
      <c r="AB1549" s="47"/>
      <c r="AC1549" s="47"/>
      <c r="AD1549" s="47" t="s">
        <v>1</v>
      </c>
      <c r="AE1549" s="47"/>
      <c r="AF1549" s="47"/>
      <c r="AG1549" s="47"/>
      <c r="AH1549" s="47" t="str">
        <f>IFERROR(_xlfn.XLOOKUP(Table6[[#This Row],[Suburb]],Table5[Travel Surcharge],Table5[$$]),"")</f>
        <v/>
      </c>
      <c r="AI1549" s="47" t="s">
        <v>2635</v>
      </c>
      <c r="AJ1549" s="47"/>
    </row>
    <row r="1550" spans="1:43">
      <c r="A1550" s="374" t="s">
        <v>2627</v>
      </c>
      <c r="B1550" s="374">
        <v>2</v>
      </c>
      <c r="C1550" s="374" t="s">
        <v>1042</v>
      </c>
      <c r="D1550" s="375" t="str">
        <f t="shared" si="317"/>
        <v>Evergreen Estate2</v>
      </c>
      <c r="E1550" s="375" t="s">
        <v>2636</v>
      </c>
      <c r="F1550" s="375"/>
      <c r="G1550" s="375" t="s">
        <v>2629</v>
      </c>
      <c r="H1550" s="375" t="s">
        <v>2630</v>
      </c>
      <c r="I1550" s="63" t="s">
        <v>2631</v>
      </c>
      <c r="J1550" s="47">
        <f t="shared" si="318"/>
        <v>3740</v>
      </c>
      <c r="K1550" s="46" t="s">
        <v>10735</v>
      </c>
      <c r="L1550" s="47" t="s">
        <v>504</v>
      </c>
      <c r="M1550" s="47">
        <f t="shared" si="319"/>
        <v>1430.0000000000002</v>
      </c>
      <c r="N1550" s="47" t="s">
        <v>2632</v>
      </c>
      <c r="O1550" s="47" t="s">
        <v>2633</v>
      </c>
      <c r="P1550" s="47"/>
      <c r="Q1550" s="47"/>
      <c r="R1550" s="47"/>
      <c r="S1550" s="47" t="s">
        <v>463</v>
      </c>
      <c r="T1550" s="47" t="s">
        <v>2634</v>
      </c>
      <c r="U1550" s="47"/>
      <c r="V1550" s="47"/>
      <c r="W1550" s="47"/>
      <c r="X1550" s="47"/>
      <c r="Y1550" s="47"/>
      <c r="Z1550" s="47">
        <f t="shared" si="320"/>
        <v>4620</v>
      </c>
      <c r="AA1550" s="47"/>
      <c r="AB1550" s="47"/>
      <c r="AC1550" s="47"/>
      <c r="AD1550" s="47" t="s">
        <v>1</v>
      </c>
      <c r="AE1550" s="47"/>
      <c r="AF1550" s="47"/>
      <c r="AG1550" s="47"/>
      <c r="AH1550" s="47" t="str">
        <f>IFERROR(_xlfn.XLOOKUP(Table6[[#This Row],[Suburb]],Table5[Travel Surcharge],Table5[$$]),"")</f>
        <v/>
      </c>
      <c r="AI1550" s="47" t="s">
        <v>2635</v>
      </c>
      <c r="AJ1550" s="47"/>
    </row>
    <row r="1551" spans="1:43">
      <c r="A1551" s="374" t="s">
        <v>2627</v>
      </c>
      <c r="B1551" s="374">
        <v>3</v>
      </c>
      <c r="C1551" s="374" t="s">
        <v>1042</v>
      </c>
      <c r="D1551" s="375" t="str">
        <f t="shared" si="317"/>
        <v>Evergreen Estate3</v>
      </c>
      <c r="E1551" s="375" t="s">
        <v>2637</v>
      </c>
      <c r="F1551" s="375"/>
      <c r="G1551" s="375" t="s">
        <v>2629</v>
      </c>
      <c r="H1551" s="375" t="s">
        <v>2630</v>
      </c>
      <c r="I1551" s="63" t="s">
        <v>2631</v>
      </c>
      <c r="J1551" s="47">
        <f t="shared" si="318"/>
        <v>3740</v>
      </c>
      <c r="K1551" s="46" t="s">
        <v>10735</v>
      </c>
      <c r="L1551" s="47" t="s">
        <v>504</v>
      </c>
      <c r="M1551" s="47">
        <f t="shared" si="319"/>
        <v>1430.0000000000002</v>
      </c>
      <c r="N1551" s="47" t="s">
        <v>2632</v>
      </c>
      <c r="O1551" s="47" t="s">
        <v>2633</v>
      </c>
      <c r="P1551" s="47"/>
      <c r="Q1551" s="47"/>
      <c r="R1551" s="47"/>
      <c r="S1551" s="47" t="s">
        <v>463</v>
      </c>
      <c r="T1551" s="47" t="s">
        <v>2634</v>
      </c>
      <c r="U1551" s="47"/>
      <c r="V1551" s="47"/>
      <c r="W1551" s="47"/>
      <c r="X1551" s="47"/>
      <c r="Y1551" s="47"/>
      <c r="Z1551" s="47">
        <f t="shared" si="320"/>
        <v>4620</v>
      </c>
      <c r="AA1551" s="47"/>
      <c r="AB1551" s="47"/>
      <c r="AC1551" s="47"/>
      <c r="AD1551" s="47" t="s">
        <v>1</v>
      </c>
      <c r="AE1551" s="47"/>
      <c r="AF1551" s="47"/>
      <c r="AG1551" s="47"/>
      <c r="AH1551" s="47" t="str">
        <f>IFERROR(_xlfn.XLOOKUP(Table6[[#This Row],[Suburb]],Table5[Travel Surcharge],Table5[$$]),"")</f>
        <v/>
      </c>
      <c r="AI1551" s="47" t="s">
        <v>2635</v>
      </c>
      <c r="AJ1551" s="47"/>
    </row>
    <row r="1552" spans="1:43">
      <c r="A1552" s="374" t="s">
        <v>2627</v>
      </c>
      <c r="B1552" s="374">
        <v>5</v>
      </c>
      <c r="C1552" s="374" t="s">
        <v>1042</v>
      </c>
      <c r="D1552" s="375" t="str">
        <f t="shared" si="317"/>
        <v>Evergreen Estate5</v>
      </c>
      <c r="E1552" s="375" t="s">
        <v>9875</v>
      </c>
      <c r="F1552" s="375"/>
      <c r="G1552" s="375" t="s">
        <v>2629</v>
      </c>
      <c r="H1552" s="375" t="s">
        <v>2630</v>
      </c>
      <c r="I1552" s="63" t="s">
        <v>2631</v>
      </c>
      <c r="J1552" s="47">
        <v>3740</v>
      </c>
      <c r="K1552" s="46" t="s">
        <v>10735</v>
      </c>
      <c r="L1552" s="47" t="s">
        <v>504</v>
      </c>
      <c r="M1552" s="47">
        <v>1430.0000000000002</v>
      </c>
      <c r="N1552" s="47" t="s">
        <v>2632</v>
      </c>
      <c r="O1552" s="47" t="s">
        <v>2633</v>
      </c>
      <c r="P1552" s="47"/>
      <c r="Q1552" s="47"/>
      <c r="R1552" s="47"/>
      <c r="S1552" s="47" t="s">
        <v>463</v>
      </c>
      <c r="T1552" s="47" t="s">
        <v>2634</v>
      </c>
      <c r="U1552" s="47"/>
      <c r="V1552" s="47"/>
      <c r="W1552" s="47"/>
      <c r="X1552" s="47"/>
      <c r="Y1552" s="47"/>
      <c r="Z1552" s="47">
        <v>4620</v>
      </c>
      <c r="AA1552" s="47"/>
      <c r="AB1552" s="47"/>
      <c r="AC1552" s="47"/>
      <c r="AD1552" s="47" t="s">
        <v>1</v>
      </c>
      <c r="AE1552" s="47"/>
      <c r="AF1552" s="47"/>
      <c r="AG1552" s="47">
        <v>1</v>
      </c>
      <c r="AH1552" s="47" t="str">
        <f>IFERROR(_xlfn.XLOOKUP(Table6[[#This Row],[Suburb]],Table5[Travel Surcharge],Table5[$$]),"")</f>
        <v/>
      </c>
      <c r="AI1552" s="47" t="s">
        <v>2635</v>
      </c>
      <c r="AJ1552" s="47"/>
    </row>
    <row r="1553" spans="1:36">
      <c r="A1553" s="374" t="s">
        <v>2627</v>
      </c>
      <c r="B1553" s="374">
        <v>6</v>
      </c>
      <c r="C1553" s="374" t="s">
        <v>1042</v>
      </c>
      <c r="D1553" s="375" t="str">
        <f>CONCATENATE(A1553,B1553)</f>
        <v>Evergreen Estate6</v>
      </c>
      <c r="E1553" s="375" t="s">
        <v>10025</v>
      </c>
      <c r="F1553" s="375"/>
      <c r="G1553" s="375" t="s">
        <v>2629</v>
      </c>
      <c r="H1553" s="375" t="s">
        <v>2630</v>
      </c>
      <c r="I1553" s="63" t="s">
        <v>2631</v>
      </c>
      <c r="J1553" s="47">
        <v>3740</v>
      </c>
      <c r="K1553" s="46" t="s">
        <v>10735</v>
      </c>
      <c r="L1553" s="47" t="s">
        <v>504</v>
      </c>
      <c r="M1553" s="47">
        <v>1430.0000000000002</v>
      </c>
      <c r="N1553" s="47" t="s">
        <v>2632</v>
      </c>
      <c r="O1553" s="47" t="s">
        <v>2633</v>
      </c>
      <c r="P1553" s="47"/>
      <c r="Q1553" s="47"/>
      <c r="R1553" s="47"/>
      <c r="S1553" s="47" t="s">
        <v>463</v>
      </c>
      <c r="T1553" s="47" t="s">
        <v>2634</v>
      </c>
      <c r="U1553" s="47"/>
      <c r="V1553" s="47"/>
      <c r="W1553" s="47"/>
      <c r="X1553" s="47"/>
      <c r="Y1553" s="47"/>
      <c r="Z1553" s="47">
        <v>4620</v>
      </c>
      <c r="AA1553" s="47"/>
      <c r="AB1553" s="47"/>
      <c r="AC1553" s="47"/>
      <c r="AD1553" s="47" t="s">
        <v>1</v>
      </c>
      <c r="AE1553" s="47"/>
      <c r="AF1553" s="47"/>
      <c r="AG1553" s="47"/>
      <c r="AH1553" s="47" t="str">
        <f>IFERROR(_xlfn.XLOOKUP(Table6[[#This Row],[Suburb]],Table5[Travel Surcharge],Table5[$$]),"")</f>
        <v/>
      </c>
      <c r="AI1553" s="47" t="s">
        <v>2635</v>
      </c>
      <c r="AJ1553" s="47"/>
    </row>
    <row r="1554" spans="1:36">
      <c r="A1554" s="374" t="s">
        <v>2627</v>
      </c>
      <c r="B1554" s="374">
        <v>7</v>
      </c>
      <c r="C1554" s="374" t="s">
        <v>1042</v>
      </c>
      <c r="D1554" s="375" t="str">
        <f>CONCATENATE(A1554,B1554)</f>
        <v>Evergreen Estate7</v>
      </c>
      <c r="E1554" s="375" t="s">
        <v>10862</v>
      </c>
      <c r="F1554" s="375"/>
      <c r="G1554" s="375" t="s">
        <v>2629</v>
      </c>
      <c r="H1554" s="375" t="s">
        <v>2630</v>
      </c>
      <c r="I1554" s="63" t="s">
        <v>2631</v>
      </c>
      <c r="J1554" s="47">
        <v>3740</v>
      </c>
      <c r="K1554" s="46" t="s">
        <v>10735</v>
      </c>
      <c r="L1554" s="47" t="s">
        <v>504</v>
      </c>
      <c r="M1554" s="47">
        <v>1430.0000000000002</v>
      </c>
      <c r="N1554" s="47" t="s">
        <v>2632</v>
      </c>
      <c r="O1554" s="47" t="s">
        <v>2633</v>
      </c>
      <c r="P1554" s="47"/>
      <c r="Q1554" s="47"/>
      <c r="R1554" s="47"/>
      <c r="S1554" s="47" t="s">
        <v>463</v>
      </c>
      <c r="T1554" s="47" t="s">
        <v>2634</v>
      </c>
      <c r="U1554" s="47"/>
      <c r="V1554" s="47"/>
      <c r="W1554" s="47"/>
      <c r="X1554" s="47"/>
      <c r="Y1554" s="47"/>
      <c r="Z1554" s="47">
        <v>4620</v>
      </c>
      <c r="AA1554" s="47"/>
      <c r="AB1554" s="47"/>
      <c r="AC1554" s="47"/>
      <c r="AD1554" s="47" t="s">
        <v>1</v>
      </c>
      <c r="AE1554" s="47"/>
      <c r="AF1554" s="47"/>
      <c r="AG1554" s="47"/>
      <c r="AH1554" s="47" t="s">
        <v>9976</v>
      </c>
      <c r="AI1554" s="47" t="s">
        <v>2635</v>
      </c>
      <c r="AJ1554" s="47"/>
    </row>
    <row r="1555" spans="1:36">
      <c r="A1555" s="374" t="s">
        <v>2627</v>
      </c>
      <c r="B1555" s="374">
        <v>8</v>
      </c>
      <c r="C1555" s="374" t="s">
        <v>1042</v>
      </c>
      <c r="D1555" s="375" t="str">
        <f t="shared" si="317"/>
        <v>Evergreen Estate8</v>
      </c>
      <c r="E1555" s="375" t="s">
        <v>9328</v>
      </c>
      <c r="F1555" s="375"/>
      <c r="G1555" s="375" t="s">
        <v>2629</v>
      </c>
      <c r="H1555" s="375" t="s">
        <v>2630</v>
      </c>
      <c r="I1555" s="63" t="s">
        <v>2631</v>
      </c>
      <c r="J1555" s="47">
        <f t="shared" si="318"/>
        <v>3740</v>
      </c>
      <c r="K1555" s="46" t="s">
        <v>10735</v>
      </c>
      <c r="L1555" s="47" t="s">
        <v>504</v>
      </c>
      <c r="M1555" s="47">
        <f t="shared" si="319"/>
        <v>1430.0000000000002</v>
      </c>
      <c r="N1555" s="47" t="s">
        <v>2632</v>
      </c>
      <c r="O1555" s="47" t="s">
        <v>2633</v>
      </c>
      <c r="P1555" s="47"/>
      <c r="Q1555" s="47"/>
      <c r="R1555" s="47"/>
      <c r="S1555" s="47" t="s">
        <v>463</v>
      </c>
      <c r="T1555" s="47" t="s">
        <v>2634</v>
      </c>
      <c r="U1555" s="47"/>
      <c r="V1555" s="47"/>
      <c r="W1555" s="47"/>
      <c r="X1555" s="47"/>
      <c r="Y1555" s="47"/>
      <c r="Z1555" s="47">
        <f t="shared" si="320"/>
        <v>4620</v>
      </c>
      <c r="AA1555" s="47"/>
      <c r="AB1555" s="47"/>
      <c r="AC1555" s="47"/>
      <c r="AD1555" s="47" t="s">
        <v>1</v>
      </c>
      <c r="AE1555" s="47"/>
      <c r="AF1555" s="47"/>
      <c r="AG1555" s="47"/>
      <c r="AH1555" s="47" t="str">
        <f>IFERROR(_xlfn.XLOOKUP(Table6[[#This Row],[Suburb]],Table5[Travel Surcharge],Table5[$$]),"")</f>
        <v/>
      </c>
      <c r="AI1555" s="47" t="s">
        <v>2635</v>
      </c>
      <c r="AJ1555" s="47"/>
    </row>
    <row r="1556" spans="1:36">
      <c r="A1556" s="374" t="s">
        <v>2627</v>
      </c>
      <c r="B1556" s="374">
        <v>10</v>
      </c>
      <c r="C1556" s="374" t="s">
        <v>1042</v>
      </c>
      <c r="D1556" s="375" t="str">
        <f t="shared" si="317"/>
        <v>Evergreen Estate10</v>
      </c>
      <c r="E1556" s="375" t="s">
        <v>9043</v>
      </c>
      <c r="F1556" s="375"/>
      <c r="G1556" s="375" t="s">
        <v>2629</v>
      </c>
      <c r="H1556" s="375" t="s">
        <v>2630</v>
      </c>
      <c r="I1556" s="63" t="s">
        <v>2631</v>
      </c>
      <c r="J1556" s="47">
        <f t="shared" si="318"/>
        <v>3740</v>
      </c>
      <c r="K1556" s="46" t="s">
        <v>10735</v>
      </c>
      <c r="L1556" s="47" t="s">
        <v>504</v>
      </c>
      <c r="M1556" s="47">
        <f t="shared" si="319"/>
        <v>1430.0000000000002</v>
      </c>
      <c r="N1556" s="47" t="s">
        <v>2632</v>
      </c>
      <c r="O1556" s="47" t="s">
        <v>2633</v>
      </c>
      <c r="P1556" s="47"/>
      <c r="Q1556" s="47"/>
      <c r="R1556" s="47"/>
      <c r="S1556" s="47" t="s">
        <v>463</v>
      </c>
      <c r="T1556" s="47" t="s">
        <v>2634</v>
      </c>
      <c r="U1556" s="47"/>
      <c r="V1556" s="47"/>
      <c r="W1556" s="47"/>
      <c r="X1556" s="47"/>
      <c r="Y1556" s="47"/>
      <c r="Z1556" s="47">
        <f t="shared" si="320"/>
        <v>4620</v>
      </c>
      <c r="AA1556" s="47"/>
      <c r="AB1556" s="47"/>
      <c r="AC1556" s="47"/>
      <c r="AD1556" s="47" t="s">
        <v>1</v>
      </c>
      <c r="AE1556" s="47"/>
      <c r="AF1556" s="47"/>
      <c r="AG1556" s="47"/>
      <c r="AH1556" s="47" t="str">
        <f>IFERROR(_xlfn.XLOOKUP(Table6[[#This Row],[Suburb]],Table5[Travel Surcharge],Table5[$$]),"")</f>
        <v/>
      </c>
      <c r="AI1556" s="47" t="s">
        <v>2635</v>
      </c>
      <c r="AJ1556" s="47"/>
    </row>
    <row r="1557" spans="1:36">
      <c r="A1557" s="374" t="s">
        <v>2627</v>
      </c>
      <c r="B1557" s="374">
        <v>13</v>
      </c>
      <c r="C1557" s="374" t="s">
        <v>1042</v>
      </c>
      <c r="D1557" s="375" t="str">
        <f t="shared" si="317"/>
        <v>Evergreen Estate13</v>
      </c>
      <c r="E1557" s="375" t="s">
        <v>2638</v>
      </c>
      <c r="F1557" s="375"/>
      <c r="G1557" s="375" t="s">
        <v>2629</v>
      </c>
      <c r="H1557" s="375" t="s">
        <v>2630</v>
      </c>
      <c r="I1557" s="63" t="s">
        <v>2631</v>
      </c>
      <c r="J1557" s="47">
        <f t="shared" si="318"/>
        <v>3740</v>
      </c>
      <c r="K1557" s="46" t="s">
        <v>10735</v>
      </c>
      <c r="L1557" s="47" t="s">
        <v>504</v>
      </c>
      <c r="M1557" s="47">
        <f t="shared" si="319"/>
        <v>1430.0000000000002</v>
      </c>
      <c r="N1557" s="47" t="s">
        <v>2632</v>
      </c>
      <c r="O1557" s="47" t="s">
        <v>2633</v>
      </c>
      <c r="P1557" s="47"/>
      <c r="Q1557" s="47"/>
      <c r="R1557" s="47"/>
      <c r="S1557" s="47" t="s">
        <v>463</v>
      </c>
      <c r="T1557" s="47" t="s">
        <v>2634</v>
      </c>
      <c r="U1557" s="47"/>
      <c r="V1557" s="47"/>
      <c r="W1557" s="47"/>
      <c r="X1557" s="47"/>
      <c r="Y1557" s="47"/>
      <c r="Z1557" s="47">
        <f t="shared" si="320"/>
        <v>4620</v>
      </c>
      <c r="AA1557" s="47"/>
      <c r="AB1557" s="47"/>
      <c r="AC1557" s="47"/>
      <c r="AD1557" s="47" t="s">
        <v>1</v>
      </c>
      <c r="AE1557" s="47"/>
      <c r="AF1557" s="47"/>
      <c r="AG1557" s="47"/>
      <c r="AH1557" s="47" t="str">
        <f>IFERROR(_xlfn.XLOOKUP(Table6[[#This Row],[Suburb]],Table5[Travel Surcharge],Table5[$$]),"")</f>
        <v/>
      </c>
      <c r="AI1557" s="47" t="s">
        <v>2635</v>
      </c>
      <c r="AJ1557" s="47"/>
    </row>
    <row r="1558" spans="1:36">
      <c r="A1558" s="374" t="s">
        <v>2627</v>
      </c>
      <c r="B1558" s="374">
        <v>16</v>
      </c>
      <c r="C1558" s="374" t="s">
        <v>1042</v>
      </c>
      <c r="D1558" s="375" t="str">
        <f t="shared" si="317"/>
        <v>Evergreen Estate16</v>
      </c>
      <c r="E1558" s="375" t="s">
        <v>2639</v>
      </c>
      <c r="F1558" s="375"/>
      <c r="G1558" s="375" t="s">
        <v>2629</v>
      </c>
      <c r="H1558" s="375" t="s">
        <v>2630</v>
      </c>
      <c r="I1558" s="63" t="s">
        <v>2631</v>
      </c>
      <c r="J1558" s="47">
        <f t="shared" si="318"/>
        <v>3740</v>
      </c>
      <c r="K1558" s="46" t="s">
        <v>10735</v>
      </c>
      <c r="L1558" s="47" t="s">
        <v>504</v>
      </c>
      <c r="M1558" s="47">
        <f t="shared" si="319"/>
        <v>1430.0000000000002</v>
      </c>
      <c r="N1558" s="47" t="s">
        <v>2632</v>
      </c>
      <c r="O1558" s="47" t="s">
        <v>2633</v>
      </c>
      <c r="P1558" s="47"/>
      <c r="Q1558" s="47"/>
      <c r="R1558" s="47"/>
      <c r="S1558" s="47" t="s">
        <v>463</v>
      </c>
      <c r="T1558" s="47" t="s">
        <v>2634</v>
      </c>
      <c r="U1558" s="47"/>
      <c r="V1558" s="47"/>
      <c r="W1558" s="47"/>
      <c r="X1558" s="47"/>
      <c r="Y1558" s="47"/>
      <c r="Z1558" s="47">
        <f t="shared" si="320"/>
        <v>4620</v>
      </c>
      <c r="AA1558" s="47"/>
      <c r="AB1558" s="47"/>
      <c r="AC1558" s="47"/>
      <c r="AD1558" s="47" t="s">
        <v>1</v>
      </c>
      <c r="AE1558" s="47"/>
      <c r="AF1558" s="47"/>
      <c r="AG1558" s="47"/>
      <c r="AH1558" s="47" t="str">
        <f>IFERROR(_xlfn.XLOOKUP(Table6[[#This Row],[Suburb]],Table5[Travel Surcharge],Table5[$$]),"")</f>
        <v/>
      </c>
      <c r="AI1558" s="47" t="s">
        <v>2635</v>
      </c>
      <c r="AJ1558" s="47"/>
    </row>
    <row r="1559" spans="1:36">
      <c r="A1559" s="157" t="s">
        <v>2627</v>
      </c>
      <c r="B1559" s="157">
        <v>17</v>
      </c>
      <c r="C1559" s="157" t="s">
        <v>1042</v>
      </c>
      <c r="D1559" s="157" t="str">
        <f t="shared" si="317"/>
        <v>Evergreen Estate17</v>
      </c>
      <c r="E1559" s="157" t="s">
        <v>8060</v>
      </c>
      <c r="F1559" s="157"/>
      <c r="G1559" s="157" t="s">
        <v>2629</v>
      </c>
      <c r="H1559" s="157" t="s">
        <v>2630</v>
      </c>
      <c r="I1559" s="158" t="s">
        <v>2631</v>
      </c>
      <c r="J1559" s="47">
        <f t="shared" si="318"/>
        <v>3740</v>
      </c>
      <c r="K1559" s="46" t="s">
        <v>10735</v>
      </c>
      <c r="L1559" s="47" t="s">
        <v>504</v>
      </c>
      <c r="M1559" s="47">
        <f t="shared" si="319"/>
        <v>1430.0000000000002</v>
      </c>
      <c r="N1559" s="47" t="s">
        <v>2632</v>
      </c>
      <c r="O1559" s="47" t="s">
        <v>2633</v>
      </c>
      <c r="P1559" s="47"/>
      <c r="Q1559" s="47"/>
      <c r="R1559" s="47"/>
      <c r="S1559" s="47" t="s">
        <v>463</v>
      </c>
      <c r="T1559" s="47" t="s">
        <v>2634</v>
      </c>
      <c r="U1559" s="47"/>
      <c r="V1559" s="47"/>
      <c r="W1559" s="47"/>
      <c r="X1559" s="47"/>
      <c r="Y1559" s="47"/>
      <c r="Z1559" s="47">
        <f t="shared" si="320"/>
        <v>4620</v>
      </c>
      <c r="AA1559" s="47" t="s">
        <v>8061</v>
      </c>
      <c r="AB1559" s="47"/>
      <c r="AC1559" s="47"/>
      <c r="AD1559" s="47" t="s">
        <v>1</v>
      </c>
      <c r="AE1559" s="47"/>
      <c r="AF1559" s="47"/>
      <c r="AG1559" s="47"/>
      <c r="AH1559" s="47" t="str">
        <f>IFERROR(_xlfn.XLOOKUP(Table6[[#This Row],[Suburb]],Table5[Travel Surcharge],Table5[$$]),"")</f>
        <v/>
      </c>
      <c r="AI1559" s="47" t="s">
        <v>2635</v>
      </c>
      <c r="AJ1559" s="47"/>
    </row>
    <row r="1560" spans="1:36">
      <c r="A1560" s="374" t="s">
        <v>2627</v>
      </c>
      <c r="B1560" s="374">
        <v>18</v>
      </c>
      <c r="C1560" s="374" t="s">
        <v>1042</v>
      </c>
      <c r="D1560" s="375" t="str">
        <f t="shared" si="317"/>
        <v>Evergreen Estate18</v>
      </c>
      <c r="E1560" s="375" t="s">
        <v>2640</v>
      </c>
      <c r="F1560" s="375"/>
      <c r="G1560" s="375" t="s">
        <v>2629</v>
      </c>
      <c r="H1560" s="375" t="s">
        <v>2630</v>
      </c>
      <c r="I1560" s="63" t="s">
        <v>2631</v>
      </c>
      <c r="J1560" s="47">
        <f t="shared" si="318"/>
        <v>3740</v>
      </c>
      <c r="K1560" s="46" t="s">
        <v>10735</v>
      </c>
      <c r="L1560" s="47" t="s">
        <v>504</v>
      </c>
      <c r="M1560" s="47">
        <f t="shared" si="319"/>
        <v>1430.0000000000002</v>
      </c>
      <c r="N1560" s="47" t="s">
        <v>2632</v>
      </c>
      <c r="O1560" s="47" t="s">
        <v>2633</v>
      </c>
      <c r="P1560" s="47"/>
      <c r="Q1560" s="47"/>
      <c r="R1560" s="47"/>
      <c r="S1560" s="47" t="s">
        <v>463</v>
      </c>
      <c r="T1560" s="47" t="s">
        <v>2634</v>
      </c>
      <c r="U1560" s="47"/>
      <c r="V1560" s="47"/>
      <c r="W1560" s="47"/>
      <c r="X1560" s="47"/>
      <c r="Y1560" s="47"/>
      <c r="Z1560" s="47">
        <f t="shared" si="320"/>
        <v>4620</v>
      </c>
      <c r="AA1560" s="47"/>
      <c r="AB1560" s="47"/>
      <c r="AC1560" s="47"/>
      <c r="AD1560" s="47" t="s">
        <v>1</v>
      </c>
      <c r="AE1560" s="47"/>
      <c r="AF1560" s="47"/>
      <c r="AG1560" s="47"/>
      <c r="AH1560" s="47" t="str">
        <f>IFERROR(_xlfn.XLOOKUP(Table6[[#This Row],[Suburb]],Table5[Travel Surcharge],Table5[$$]),"")</f>
        <v/>
      </c>
      <c r="AI1560" s="47" t="s">
        <v>2635</v>
      </c>
      <c r="AJ1560" s="47"/>
    </row>
    <row r="1561" spans="1:36">
      <c r="A1561" s="157" t="s">
        <v>2627</v>
      </c>
      <c r="B1561" s="157">
        <v>19</v>
      </c>
      <c r="C1561" s="157" t="s">
        <v>7429</v>
      </c>
      <c r="D1561" s="157" t="str">
        <f t="shared" si="317"/>
        <v>Evergreen Estate19</v>
      </c>
      <c r="E1561" s="157" t="s">
        <v>7433</v>
      </c>
      <c r="F1561" s="157"/>
      <c r="G1561" s="157" t="s">
        <v>2629</v>
      </c>
      <c r="H1561" s="157" t="s">
        <v>2630</v>
      </c>
      <c r="I1561" s="158" t="s">
        <v>2631</v>
      </c>
      <c r="J1561" s="47">
        <f t="shared" si="318"/>
        <v>3740</v>
      </c>
      <c r="K1561" s="46" t="s">
        <v>10735</v>
      </c>
      <c r="L1561" s="47" t="s">
        <v>504</v>
      </c>
      <c r="M1561" s="47">
        <f t="shared" si="319"/>
        <v>1430.0000000000002</v>
      </c>
      <c r="N1561" s="47" t="s">
        <v>7431</v>
      </c>
      <c r="O1561" s="47" t="s">
        <v>2633</v>
      </c>
      <c r="P1561" s="47"/>
      <c r="Q1561" s="47"/>
      <c r="R1561" s="47"/>
      <c r="S1561" s="47" t="s">
        <v>463</v>
      </c>
      <c r="T1561" s="47" t="s">
        <v>2634</v>
      </c>
      <c r="U1561" s="47"/>
      <c r="V1561" s="47"/>
      <c r="W1561" s="47"/>
      <c r="X1561" s="47"/>
      <c r="Y1561" s="47"/>
      <c r="Z1561" s="47">
        <f t="shared" si="320"/>
        <v>4620</v>
      </c>
      <c r="AA1561" s="47"/>
      <c r="AB1561" s="47"/>
      <c r="AC1561" s="47"/>
      <c r="AD1561" s="47" t="s">
        <v>1</v>
      </c>
      <c r="AE1561" s="47"/>
      <c r="AF1561" s="47"/>
      <c r="AG1561" s="47"/>
      <c r="AH1561" s="47" t="str">
        <f>IFERROR(_xlfn.XLOOKUP(Table6[[#This Row],[Suburb]],Table5[Travel Surcharge],Table5[$$]),"")</f>
        <v/>
      </c>
      <c r="AI1561" s="47" t="s">
        <v>2635</v>
      </c>
      <c r="AJ1561" s="47"/>
    </row>
    <row r="1562" spans="1:36">
      <c r="A1562" s="374" t="s">
        <v>2627</v>
      </c>
      <c r="B1562" s="374">
        <v>20</v>
      </c>
      <c r="C1562" s="374" t="s">
        <v>1042</v>
      </c>
      <c r="D1562" s="375" t="str">
        <f t="shared" si="317"/>
        <v>Evergreen Estate20</v>
      </c>
      <c r="E1562" s="375" t="s">
        <v>2641</v>
      </c>
      <c r="F1562" s="375"/>
      <c r="G1562" s="375" t="s">
        <v>2629</v>
      </c>
      <c r="H1562" s="375" t="s">
        <v>2630</v>
      </c>
      <c r="I1562" s="63" t="s">
        <v>2631</v>
      </c>
      <c r="J1562" s="47">
        <f t="shared" si="318"/>
        <v>3740</v>
      </c>
      <c r="K1562" s="46" t="s">
        <v>10735</v>
      </c>
      <c r="L1562" s="47" t="s">
        <v>504</v>
      </c>
      <c r="M1562" s="47">
        <f t="shared" si="319"/>
        <v>1430.0000000000002</v>
      </c>
      <c r="N1562" s="47" t="s">
        <v>2632</v>
      </c>
      <c r="O1562" s="47" t="s">
        <v>2633</v>
      </c>
      <c r="P1562" s="47"/>
      <c r="Q1562" s="47"/>
      <c r="R1562" s="47"/>
      <c r="S1562" s="47" t="s">
        <v>463</v>
      </c>
      <c r="T1562" s="47" t="s">
        <v>2634</v>
      </c>
      <c r="U1562" s="47"/>
      <c r="V1562" s="47"/>
      <c r="W1562" s="47"/>
      <c r="X1562" s="47"/>
      <c r="Y1562" s="47"/>
      <c r="Z1562" s="47">
        <f t="shared" si="320"/>
        <v>4620</v>
      </c>
      <c r="AA1562" s="47"/>
      <c r="AB1562" s="47"/>
      <c r="AC1562" s="47"/>
      <c r="AD1562" s="47" t="s">
        <v>1</v>
      </c>
      <c r="AE1562" s="47"/>
      <c r="AF1562" s="47"/>
      <c r="AG1562" s="47"/>
      <c r="AH1562" s="47" t="str">
        <f>IFERROR(_xlfn.XLOOKUP(Table6[[#This Row],[Suburb]],Table5[Travel Surcharge],Table5[$$]),"")</f>
        <v/>
      </c>
      <c r="AI1562" s="47" t="s">
        <v>2635</v>
      </c>
      <c r="AJ1562" s="47"/>
    </row>
    <row r="1563" spans="1:36">
      <c r="A1563" s="157" t="s">
        <v>2627</v>
      </c>
      <c r="B1563" s="157">
        <v>21</v>
      </c>
      <c r="C1563" s="157" t="s">
        <v>7429</v>
      </c>
      <c r="D1563" s="157" t="str">
        <f t="shared" si="317"/>
        <v>Evergreen Estate21</v>
      </c>
      <c r="E1563" s="157" t="s">
        <v>7432</v>
      </c>
      <c r="F1563" s="157"/>
      <c r="G1563" s="157" t="s">
        <v>2629</v>
      </c>
      <c r="H1563" s="157" t="s">
        <v>2630</v>
      </c>
      <c r="I1563" s="158" t="s">
        <v>2631</v>
      </c>
      <c r="J1563" s="47">
        <f t="shared" si="318"/>
        <v>3740</v>
      </c>
      <c r="K1563" s="46" t="s">
        <v>10735</v>
      </c>
      <c r="L1563" s="47" t="s">
        <v>504</v>
      </c>
      <c r="M1563" s="47">
        <f t="shared" si="319"/>
        <v>1430.0000000000002</v>
      </c>
      <c r="N1563" s="47" t="s">
        <v>2632</v>
      </c>
      <c r="O1563" s="47" t="s">
        <v>2633</v>
      </c>
      <c r="P1563" s="47"/>
      <c r="Q1563" s="47"/>
      <c r="R1563" s="47"/>
      <c r="S1563" s="47" t="s">
        <v>463</v>
      </c>
      <c r="T1563" s="47" t="s">
        <v>2634</v>
      </c>
      <c r="U1563" s="47"/>
      <c r="V1563" s="47"/>
      <c r="W1563" s="47"/>
      <c r="X1563" s="47"/>
      <c r="Y1563" s="47"/>
      <c r="Z1563" s="47">
        <f t="shared" si="320"/>
        <v>4620</v>
      </c>
      <c r="AA1563" s="47"/>
      <c r="AB1563" s="47"/>
      <c r="AC1563" s="47"/>
      <c r="AD1563" s="47" t="s">
        <v>1</v>
      </c>
      <c r="AE1563" s="47"/>
      <c r="AF1563" s="47"/>
      <c r="AG1563" s="47"/>
      <c r="AH1563" s="47" t="str">
        <f>IFERROR(_xlfn.XLOOKUP(Table6[[#This Row],[Suburb]],Table5[Travel Surcharge],Table5[$$]),"")</f>
        <v/>
      </c>
      <c r="AI1563" s="47" t="s">
        <v>2635</v>
      </c>
      <c r="AJ1563" s="47"/>
    </row>
    <row r="1564" spans="1:36">
      <c r="A1564" s="157" t="s">
        <v>2627</v>
      </c>
      <c r="B1564" s="157">
        <v>22</v>
      </c>
      <c r="C1564" s="157" t="s">
        <v>7429</v>
      </c>
      <c r="D1564" s="157" t="str">
        <f t="shared" si="317"/>
        <v>Evergreen Estate22</v>
      </c>
      <c r="E1564" s="157" t="s">
        <v>7464</v>
      </c>
      <c r="F1564" s="157"/>
      <c r="G1564" s="157" t="s">
        <v>2629</v>
      </c>
      <c r="H1564" s="157" t="s">
        <v>2630</v>
      </c>
      <c r="I1564" s="158" t="s">
        <v>2631</v>
      </c>
      <c r="J1564" s="47">
        <f t="shared" si="318"/>
        <v>3740</v>
      </c>
      <c r="K1564" s="46" t="s">
        <v>10735</v>
      </c>
      <c r="L1564" s="47" t="s">
        <v>504</v>
      </c>
      <c r="M1564" s="47">
        <f t="shared" si="319"/>
        <v>1430.0000000000002</v>
      </c>
      <c r="N1564" s="47" t="s">
        <v>2632</v>
      </c>
      <c r="O1564" s="47" t="s">
        <v>2633</v>
      </c>
      <c r="P1564" s="47"/>
      <c r="Q1564" s="47"/>
      <c r="R1564" s="47"/>
      <c r="S1564" s="47" t="s">
        <v>463</v>
      </c>
      <c r="T1564" s="47" t="s">
        <v>2634</v>
      </c>
      <c r="U1564" s="47"/>
      <c r="V1564" s="47"/>
      <c r="W1564" s="47"/>
      <c r="X1564" s="47"/>
      <c r="Y1564" s="47"/>
      <c r="Z1564" s="47">
        <f t="shared" si="320"/>
        <v>4620</v>
      </c>
      <c r="AA1564" s="47"/>
      <c r="AB1564" s="47"/>
      <c r="AC1564" s="47"/>
      <c r="AD1564" s="47" t="s">
        <v>1</v>
      </c>
      <c r="AE1564" s="47"/>
      <c r="AF1564" s="47"/>
      <c r="AG1564" s="47"/>
      <c r="AH1564" s="47" t="str">
        <f>IFERROR(_xlfn.XLOOKUP(Table6[[#This Row],[Suburb]],Table5[Travel Surcharge],Table5[$$]),"")</f>
        <v/>
      </c>
      <c r="AI1564" s="47" t="s">
        <v>2635</v>
      </c>
      <c r="AJ1564" s="47"/>
    </row>
    <row r="1565" spans="1:36">
      <c r="A1565" s="157" t="s">
        <v>2627</v>
      </c>
      <c r="B1565" s="157">
        <v>23</v>
      </c>
      <c r="C1565" s="157" t="s">
        <v>7499</v>
      </c>
      <c r="D1565" s="157" t="str">
        <f t="shared" si="317"/>
        <v>Evergreen Estate23</v>
      </c>
      <c r="E1565" s="157" t="s">
        <v>7500</v>
      </c>
      <c r="F1565" s="157"/>
      <c r="G1565" s="157" t="s">
        <v>2629</v>
      </c>
      <c r="H1565" s="157" t="s">
        <v>2630</v>
      </c>
      <c r="I1565" s="158" t="s">
        <v>2631</v>
      </c>
      <c r="J1565" s="47">
        <f t="shared" si="318"/>
        <v>3740</v>
      </c>
      <c r="K1565" s="46" t="s">
        <v>10735</v>
      </c>
      <c r="L1565" s="47" t="s">
        <v>504</v>
      </c>
      <c r="M1565" s="47">
        <f t="shared" si="319"/>
        <v>1430.0000000000002</v>
      </c>
      <c r="N1565" s="47" t="s">
        <v>2632</v>
      </c>
      <c r="O1565" s="47" t="s">
        <v>2633</v>
      </c>
      <c r="P1565" s="47"/>
      <c r="Q1565" s="47"/>
      <c r="R1565" s="47"/>
      <c r="S1565" s="47" t="s">
        <v>463</v>
      </c>
      <c r="T1565" s="47" t="s">
        <v>2634</v>
      </c>
      <c r="U1565" s="47"/>
      <c r="V1565" s="47"/>
      <c r="W1565" s="47"/>
      <c r="X1565" s="47"/>
      <c r="Y1565" s="47"/>
      <c r="Z1565" s="47">
        <f t="shared" si="320"/>
        <v>4620</v>
      </c>
      <c r="AA1565" s="47"/>
      <c r="AB1565" s="47"/>
      <c r="AC1565" s="47"/>
      <c r="AD1565" s="47" t="s">
        <v>1</v>
      </c>
      <c r="AE1565" s="47"/>
      <c r="AF1565" s="47"/>
      <c r="AG1565" s="47"/>
      <c r="AH1565" s="47" t="str">
        <f>IFERROR(_xlfn.XLOOKUP(Table6[[#This Row],[Suburb]],Table5[Travel Surcharge],Table5[$$]),"")</f>
        <v/>
      </c>
      <c r="AI1565" s="47" t="s">
        <v>2635</v>
      </c>
      <c r="AJ1565" s="47"/>
    </row>
    <row r="1566" spans="1:36">
      <c r="A1566" s="157" t="s">
        <v>2627</v>
      </c>
      <c r="B1566" s="157">
        <v>24</v>
      </c>
      <c r="C1566" s="157" t="s">
        <v>7499</v>
      </c>
      <c r="D1566" s="157" t="str">
        <f t="shared" si="317"/>
        <v>Evergreen Estate24</v>
      </c>
      <c r="E1566" s="157" t="s">
        <v>8466</v>
      </c>
      <c r="F1566" s="157"/>
      <c r="G1566" s="157" t="s">
        <v>2629</v>
      </c>
      <c r="H1566" s="157" t="s">
        <v>2630</v>
      </c>
      <c r="I1566" s="158" t="s">
        <v>2631</v>
      </c>
      <c r="J1566" s="47">
        <f t="shared" si="318"/>
        <v>3740</v>
      </c>
      <c r="K1566" s="46" t="s">
        <v>10735</v>
      </c>
      <c r="L1566" s="47" t="s">
        <v>504</v>
      </c>
      <c r="M1566" s="47">
        <f t="shared" si="319"/>
        <v>1430.0000000000002</v>
      </c>
      <c r="N1566" s="47" t="s">
        <v>2632</v>
      </c>
      <c r="O1566" s="47" t="s">
        <v>2633</v>
      </c>
      <c r="P1566" s="47"/>
      <c r="Q1566" s="47"/>
      <c r="R1566" s="47"/>
      <c r="S1566" s="47" t="s">
        <v>463</v>
      </c>
      <c r="T1566" s="47" t="s">
        <v>2634</v>
      </c>
      <c r="U1566" s="47"/>
      <c r="V1566" s="47"/>
      <c r="W1566" s="47"/>
      <c r="X1566" s="47"/>
      <c r="Y1566" s="47"/>
      <c r="Z1566" s="47">
        <f t="shared" si="320"/>
        <v>4620</v>
      </c>
      <c r="AA1566" s="47"/>
      <c r="AB1566" s="47"/>
      <c r="AC1566" s="47"/>
      <c r="AD1566" s="47" t="s">
        <v>1</v>
      </c>
      <c r="AE1566" s="47"/>
      <c r="AF1566" s="47"/>
      <c r="AG1566" s="47"/>
      <c r="AH1566" s="47" t="str">
        <f>IFERROR(_xlfn.XLOOKUP(Table6[[#This Row],[Suburb]],Table5[Travel Surcharge],Table5[$$]),"")</f>
        <v/>
      </c>
      <c r="AI1566" s="47" t="s">
        <v>2635</v>
      </c>
      <c r="AJ1566" s="47"/>
    </row>
    <row r="1567" spans="1:36">
      <c r="A1567" s="157" t="s">
        <v>2627</v>
      </c>
      <c r="B1567" s="157">
        <v>25</v>
      </c>
      <c r="C1567" s="157" t="s">
        <v>7499</v>
      </c>
      <c r="D1567" s="157" t="str">
        <f t="shared" si="317"/>
        <v>Evergreen Estate25</v>
      </c>
      <c r="E1567" s="157" t="s">
        <v>8406</v>
      </c>
      <c r="F1567" s="157"/>
      <c r="G1567" s="157" t="s">
        <v>2629</v>
      </c>
      <c r="H1567" s="157" t="s">
        <v>2630</v>
      </c>
      <c r="I1567" s="158" t="s">
        <v>2631</v>
      </c>
      <c r="J1567" s="47">
        <f t="shared" si="318"/>
        <v>3740</v>
      </c>
      <c r="K1567" s="46" t="s">
        <v>10735</v>
      </c>
      <c r="L1567" s="47" t="s">
        <v>504</v>
      </c>
      <c r="M1567" s="47">
        <f t="shared" si="319"/>
        <v>1430.0000000000002</v>
      </c>
      <c r="N1567" s="47" t="s">
        <v>2632</v>
      </c>
      <c r="O1567" s="47" t="s">
        <v>2633</v>
      </c>
      <c r="P1567" s="47"/>
      <c r="Q1567" s="47"/>
      <c r="R1567" s="47"/>
      <c r="S1567" s="47" t="s">
        <v>463</v>
      </c>
      <c r="T1567" s="47" t="s">
        <v>2634</v>
      </c>
      <c r="U1567" s="47"/>
      <c r="V1567" s="47"/>
      <c r="W1567" s="47"/>
      <c r="X1567" s="47"/>
      <c r="Y1567" s="47"/>
      <c r="Z1567" s="47">
        <f t="shared" si="320"/>
        <v>4620</v>
      </c>
      <c r="AA1567" s="47"/>
      <c r="AB1567" s="47"/>
      <c r="AC1567" s="47"/>
      <c r="AD1567" s="47" t="s">
        <v>1</v>
      </c>
      <c r="AE1567" s="47"/>
      <c r="AF1567" s="47"/>
      <c r="AG1567" s="47"/>
      <c r="AH1567" s="47" t="str">
        <f>IFERROR(_xlfn.XLOOKUP(Table6[[#This Row],[Suburb]],Table5[Travel Surcharge],Table5[$$]),"")</f>
        <v/>
      </c>
      <c r="AI1567" s="47" t="s">
        <v>2635</v>
      </c>
      <c r="AJ1567" s="47"/>
    </row>
    <row r="1568" spans="1:36">
      <c r="A1568" s="157" t="s">
        <v>2627</v>
      </c>
      <c r="B1568" s="157">
        <v>26</v>
      </c>
      <c r="C1568" s="157" t="s">
        <v>7499</v>
      </c>
      <c r="D1568" s="157" t="str">
        <f t="shared" si="317"/>
        <v>Evergreen Estate26</v>
      </c>
      <c r="E1568" s="157" t="s">
        <v>8407</v>
      </c>
      <c r="F1568" s="157"/>
      <c r="G1568" s="157" t="s">
        <v>2629</v>
      </c>
      <c r="H1568" s="157" t="s">
        <v>2630</v>
      </c>
      <c r="I1568" s="158" t="s">
        <v>2631</v>
      </c>
      <c r="J1568" s="47">
        <f t="shared" si="318"/>
        <v>3740</v>
      </c>
      <c r="K1568" s="46" t="s">
        <v>10735</v>
      </c>
      <c r="L1568" s="47" t="s">
        <v>504</v>
      </c>
      <c r="M1568" s="47">
        <f t="shared" si="319"/>
        <v>1430.0000000000002</v>
      </c>
      <c r="N1568" s="47" t="s">
        <v>2632</v>
      </c>
      <c r="O1568" s="47" t="s">
        <v>2633</v>
      </c>
      <c r="P1568" s="47"/>
      <c r="Q1568" s="47"/>
      <c r="R1568" s="47"/>
      <c r="S1568" s="47" t="s">
        <v>463</v>
      </c>
      <c r="T1568" s="47" t="s">
        <v>2634</v>
      </c>
      <c r="U1568" s="47"/>
      <c r="V1568" s="47"/>
      <c r="W1568" s="47"/>
      <c r="X1568" s="47"/>
      <c r="Y1568" s="47"/>
      <c r="Z1568" s="47">
        <f t="shared" si="320"/>
        <v>4620</v>
      </c>
      <c r="AA1568" s="47"/>
      <c r="AB1568" s="47"/>
      <c r="AC1568" s="47"/>
      <c r="AD1568" s="47" t="s">
        <v>1</v>
      </c>
      <c r="AE1568" s="47"/>
      <c r="AF1568" s="47"/>
      <c r="AG1568" s="47"/>
      <c r="AH1568" s="47" t="str">
        <f>IFERROR(_xlfn.XLOOKUP(Table6[[#This Row],[Suburb]],Table5[Travel Surcharge],Table5[$$]),"")</f>
        <v/>
      </c>
      <c r="AI1568" s="47" t="s">
        <v>2635</v>
      </c>
      <c r="AJ1568" s="47"/>
    </row>
    <row r="1569" spans="1:36">
      <c r="A1569" s="374" t="s">
        <v>2627</v>
      </c>
      <c r="B1569" s="374">
        <v>27</v>
      </c>
      <c r="C1569" s="374" t="s">
        <v>8652</v>
      </c>
      <c r="D1569" s="375" t="str">
        <f t="shared" si="317"/>
        <v>Evergreen Estate27</v>
      </c>
      <c r="E1569" s="375" t="s">
        <v>10400</v>
      </c>
      <c r="F1569" s="375"/>
      <c r="G1569" s="375" t="s">
        <v>2629</v>
      </c>
      <c r="H1569" s="375" t="s">
        <v>8653</v>
      </c>
      <c r="I1569" s="63" t="s">
        <v>2631</v>
      </c>
      <c r="J1569" s="47">
        <v>3740</v>
      </c>
      <c r="K1569" s="46" t="s">
        <v>10735</v>
      </c>
      <c r="L1569" s="47" t="s">
        <v>7430</v>
      </c>
      <c r="M1569" s="47">
        <v>1430.0000000000002</v>
      </c>
      <c r="N1569" s="47" t="s">
        <v>7431</v>
      </c>
      <c r="O1569" s="47" t="s">
        <v>2633</v>
      </c>
      <c r="P1569" s="47"/>
      <c r="Q1569" s="47"/>
      <c r="R1569" s="47"/>
      <c r="S1569" s="47" t="s">
        <v>463</v>
      </c>
      <c r="T1569" s="47" t="s">
        <v>2634</v>
      </c>
      <c r="U1569" s="47"/>
      <c r="V1569" s="47"/>
      <c r="W1569" s="47"/>
      <c r="X1569" s="47"/>
      <c r="Y1569" s="47"/>
      <c r="Z1569" s="47">
        <v>4620</v>
      </c>
      <c r="AA1569" s="47"/>
      <c r="AB1569" s="47"/>
      <c r="AC1569" s="47"/>
      <c r="AD1569" s="47" t="s">
        <v>1</v>
      </c>
      <c r="AE1569" s="47"/>
      <c r="AF1569" s="47"/>
      <c r="AG1569" s="47"/>
      <c r="AH1569" s="47" t="s">
        <v>9976</v>
      </c>
      <c r="AI1569" s="47" t="s">
        <v>2635</v>
      </c>
      <c r="AJ1569" s="47"/>
    </row>
    <row r="1570" spans="1:36">
      <c r="A1570" s="157" t="s">
        <v>2627</v>
      </c>
      <c r="B1570" s="157">
        <v>28</v>
      </c>
      <c r="C1570" s="157" t="s">
        <v>8652</v>
      </c>
      <c r="D1570" s="157" t="str">
        <f t="shared" si="317"/>
        <v>Evergreen Estate28</v>
      </c>
      <c r="E1570" s="157" t="s">
        <v>8407</v>
      </c>
      <c r="F1570" s="157"/>
      <c r="G1570" s="157" t="s">
        <v>2629</v>
      </c>
      <c r="H1570" s="157" t="s">
        <v>8653</v>
      </c>
      <c r="I1570" s="158" t="s">
        <v>2631</v>
      </c>
      <c r="J1570" s="47">
        <f t="shared" si="318"/>
        <v>3740</v>
      </c>
      <c r="K1570" s="46" t="s">
        <v>10735</v>
      </c>
      <c r="L1570" s="47" t="s">
        <v>7430</v>
      </c>
      <c r="M1570" s="47">
        <f t="shared" si="319"/>
        <v>1430.0000000000002</v>
      </c>
      <c r="N1570" s="47" t="s">
        <v>7431</v>
      </c>
      <c r="O1570" s="47" t="s">
        <v>2633</v>
      </c>
      <c r="P1570" s="47"/>
      <c r="Q1570" s="47"/>
      <c r="R1570" s="47"/>
      <c r="S1570" s="47" t="s">
        <v>463</v>
      </c>
      <c r="T1570" s="47" t="s">
        <v>2634</v>
      </c>
      <c r="U1570" s="47"/>
      <c r="V1570" s="47"/>
      <c r="W1570" s="47"/>
      <c r="X1570" s="47"/>
      <c r="Y1570" s="47"/>
      <c r="Z1570" s="47">
        <f t="shared" si="320"/>
        <v>4620</v>
      </c>
      <c r="AA1570" s="47"/>
      <c r="AB1570" s="47"/>
      <c r="AC1570" s="47"/>
      <c r="AD1570" s="47" t="s">
        <v>1</v>
      </c>
      <c r="AE1570" s="47"/>
      <c r="AF1570" s="47"/>
      <c r="AG1570" s="47"/>
      <c r="AH1570" s="47" t="str">
        <f>IFERROR(_xlfn.XLOOKUP(Table6[[#This Row],[Suburb]],Table5[Travel Surcharge],Table5[$$]),"")</f>
        <v/>
      </c>
      <c r="AI1570" s="47" t="s">
        <v>2635</v>
      </c>
      <c r="AJ1570" s="47"/>
    </row>
    <row r="1571" spans="1:36">
      <c r="A1571" s="374" t="s">
        <v>2627</v>
      </c>
      <c r="B1571" s="374">
        <v>29</v>
      </c>
      <c r="C1571" s="374" t="s">
        <v>8652</v>
      </c>
      <c r="D1571" s="157" t="str">
        <f t="shared" si="317"/>
        <v>Evergreen Estate29</v>
      </c>
      <c r="E1571" s="375"/>
      <c r="F1571" s="375"/>
      <c r="G1571" s="375" t="s">
        <v>2629</v>
      </c>
      <c r="H1571" s="375" t="s">
        <v>8653</v>
      </c>
      <c r="I1571" s="63" t="s">
        <v>2631</v>
      </c>
      <c r="J1571" s="47">
        <v>3740</v>
      </c>
      <c r="K1571" s="46" t="s">
        <v>10735</v>
      </c>
      <c r="L1571" s="47" t="s">
        <v>7430</v>
      </c>
      <c r="M1571" s="47">
        <v>1430.0000000000002</v>
      </c>
      <c r="N1571" s="47" t="s">
        <v>7431</v>
      </c>
      <c r="O1571" s="47" t="s">
        <v>2633</v>
      </c>
      <c r="P1571" s="47"/>
      <c r="Q1571" s="47"/>
      <c r="R1571" s="47"/>
      <c r="S1571" s="47" t="s">
        <v>463</v>
      </c>
      <c r="T1571" s="47" t="s">
        <v>2634</v>
      </c>
      <c r="U1571" s="47"/>
      <c r="V1571" s="47"/>
      <c r="W1571" s="47"/>
      <c r="X1571" s="47"/>
      <c r="Y1571" s="47"/>
      <c r="Z1571" s="47">
        <v>4620</v>
      </c>
      <c r="AA1571" s="47"/>
      <c r="AB1571" s="47"/>
      <c r="AC1571" s="47"/>
      <c r="AD1571" s="47" t="s">
        <v>1</v>
      </c>
      <c r="AE1571" s="47"/>
      <c r="AF1571" s="47"/>
      <c r="AG1571" s="47"/>
      <c r="AH1571" s="47" t="s">
        <v>9976</v>
      </c>
      <c r="AI1571" s="47" t="s">
        <v>2635</v>
      </c>
      <c r="AJ1571" s="47"/>
    </row>
    <row r="1572" spans="1:36">
      <c r="A1572" s="374" t="s">
        <v>10445</v>
      </c>
      <c r="B1572" s="374">
        <v>2</v>
      </c>
      <c r="C1572" s="374" t="s">
        <v>10446</v>
      </c>
      <c r="D1572" s="375" t="str">
        <f>CONCATENATE(A1572,B1572)</f>
        <v>Evermore2</v>
      </c>
      <c r="E1572" s="375" t="s">
        <v>10447</v>
      </c>
      <c r="F1572" s="375"/>
      <c r="G1572" s="375" t="s">
        <v>10318</v>
      </c>
      <c r="H1572" s="375" t="s">
        <v>10448</v>
      </c>
      <c r="I1572" s="63" t="s">
        <v>10449</v>
      </c>
      <c r="J1572" s="47" t="s">
        <v>10464</v>
      </c>
      <c r="K1572" s="46" t="s">
        <v>10735</v>
      </c>
      <c r="L1572" s="47" t="s">
        <v>10450</v>
      </c>
      <c r="M1572" s="47"/>
      <c r="N1572" s="47" t="s">
        <v>10451</v>
      </c>
      <c r="O1572" s="47"/>
      <c r="P1572" s="47"/>
      <c r="Q1572" s="47">
        <v>0</v>
      </c>
      <c r="R1572" s="47"/>
      <c r="S1572" s="47"/>
      <c r="T1572" s="47"/>
      <c r="U1572" s="47"/>
      <c r="V1572" s="47"/>
      <c r="W1572" s="47"/>
      <c r="X1572" s="47"/>
      <c r="Y1572" s="47"/>
      <c r="Z1572" s="47">
        <f>Z$7</f>
        <v>4620</v>
      </c>
      <c r="AA1572" s="47"/>
      <c r="AB1572" s="47"/>
      <c r="AC1572" s="47"/>
      <c r="AD1572" s="47"/>
      <c r="AE1572" s="47"/>
      <c r="AF1572" s="47"/>
      <c r="AG1572" s="47"/>
      <c r="AH1572" s="47">
        <v>4000</v>
      </c>
      <c r="AI1572" s="47"/>
      <c r="AJ1572" s="47"/>
    </row>
    <row r="1573" spans="1:36">
      <c r="A1573" s="374" t="s">
        <v>2642</v>
      </c>
      <c r="B1573" s="374">
        <v>1</v>
      </c>
      <c r="C1573" s="374" t="s">
        <v>1721</v>
      </c>
      <c r="D1573" s="375" t="str">
        <f t="shared" si="317"/>
        <v>Everley1</v>
      </c>
      <c r="E1573" s="375" t="s">
        <v>2643</v>
      </c>
      <c r="F1573" s="375"/>
      <c r="G1573" s="375" t="s">
        <v>1675</v>
      </c>
      <c r="H1573" s="375" t="s">
        <v>2644</v>
      </c>
      <c r="I1573" s="63" t="s">
        <v>2645</v>
      </c>
      <c r="J1573" s="47">
        <f t="shared" si="318"/>
        <v>3740</v>
      </c>
      <c r="K1573" s="46" t="s">
        <v>10735</v>
      </c>
      <c r="L1573" s="47" t="s">
        <v>2646</v>
      </c>
      <c r="M1573" s="47">
        <f t="shared" si="319"/>
        <v>1430.0000000000002</v>
      </c>
      <c r="N1573" s="47" t="s">
        <v>2647</v>
      </c>
      <c r="O1573" s="47" t="s">
        <v>2648</v>
      </c>
      <c r="P1573" s="47" t="s">
        <v>2649</v>
      </c>
      <c r="Q1573" s="47"/>
      <c r="R1573" s="47"/>
      <c r="S1573" s="47"/>
      <c r="T1573" s="47">
        <f t="shared" ref="T1573:T1578" si="321">T$2</f>
        <v>780</v>
      </c>
      <c r="U1573" s="47"/>
      <c r="V1573" s="47"/>
      <c r="W1573" s="47"/>
      <c r="X1573" s="47"/>
      <c r="Y1573" s="47"/>
      <c r="Z1573" s="47">
        <f t="shared" si="320"/>
        <v>4620</v>
      </c>
      <c r="AA1573" s="47"/>
      <c r="AB1573" s="47"/>
      <c r="AC1573" s="47"/>
      <c r="AD1573" s="47" t="s">
        <v>1</v>
      </c>
      <c r="AE1573" s="47"/>
      <c r="AF1573" s="47">
        <f t="shared" ref="AF1573:AF1578" si="322">AF$7</f>
        <v>1485</v>
      </c>
      <c r="AG1573" s="47"/>
      <c r="AH1573" s="47" t="str">
        <f>IFERROR(_xlfn.XLOOKUP(Table6[[#This Row],[Suburb]],Table5[Travel Surcharge],Table5[$$]),"")</f>
        <v/>
      </c>
      <c r="AI1573" s="47"/>
      <c r="AJ1573" s="47"/>
    </row>
    <row r="1574" spans="1:36">
      <c r="A1574" s="374" t="s">
        <v>2642</v>
      </c>
      <c r="B1574" s="374">
        <v>2</v>
      </c>
      <c r="C1574" s="374" t="s">
        <v>1721</v>
      </c>
      <c r="D1574" s="375" t="str">
        <f t="shared" si="317"/>
        <v>Everley2</v>
      </c>
      <c r="E1574" s="375" t="s">
        <v>2650</v>
      </c>
      <c r="F1574" s="375"/>
      <c r="G1574" s="375" t="s">
        <v>1675</v>
      </c>
      <c r="H1574" s="375" t="s">
        <v>2644</v>
      </c>
      <c r="I1574" s="63" t="s">
        <v>2645</v>
      </c>
      <c r="J1574" s="47">
        <f t="shared" si="318"/>
        <v>3740</v>
      </c>
      <c r="K1574" s="46" t="s">
        <v>10735</v>
      </c>
      <c r="L1574" s="47" t="s">
        <v>2646</v>
      </c>
      <c r="M1574" s="47">
        <f t="shared" si="319"/>
        <v>1430.0000000000002</v>
      </c>
      <c r="N1574" s="47" t="s">
        <v>2647</v>
      </c>
      <c r="O1574" s="47" t="s">
        <v>2648</v>
      </c>
      <c r="P1574" s="47" t="s">
        <v>2649</v>
      </c>
      <c r="Q1574" s="47"/>
      <c r="R1574" s="47"/>
      <c r="S1574" s="47"/>
      <c r="T1574" s="47">
        <f t="shared" si="321"/>
        <v>780</v>
      </c>
      <c r="U1574" s="47"/>
      <c r="V1574" s="47"/>
      <c r="W1574" s="47"/>
      <c r="X1574" s="47"/>
      <c r="Y1574" s="47"/>
      <c r="Z1574" s="47">
        <f t="shared" si="320"/>
        <v>4620</v>
      </c>
      <c r="AA1574" s="47"/>
      <c r="AB1574" s="47"/>
      <c r="AC1574" s="47"/>
      <c r="AD1574" s="47" t="s">
        <v>1</v>
      </c>
      <c r="AE1574" s="47"/>
      <c r="AF1574" s="47">
        <f t="shared" si="322"/>
        <v>1485</v>
      </c>
      <c r="AG1574" s="47"/>
      <c r="AH1574" s="47" t="str">
        <f>IFERROR(_xlfn.XLOOKUP(Table6[[#This Row],[Suburb]],Table5[Travel Surcharge],Table5[$$]),"")</f>
        <v/>
      </c>
      <c r="AI1574" s="47"/>
      <c r="AJ1574" s="47"/>
    </row>
    <row r="1575" spans="1:36">
      <c r="A1575" s="374" t="s">
        <v>2642</v>
      </c>
      <c r="B1575" s="374">
        <v>3</v>
      </c>
      <c r="C1575" s="374" t="s">
        <v>1721</v>
      </c>
      <c r="D1575" s="375" t="str">
        <f t="shared" si="317"/>
        <v>Everley3</v>
      </c>
      <c r="E1575" s="375" t="s">
        <v>2651</v>
      </c>
      <c r="F1575" s="375"/>
      <c r="G1575" s="375" t="s">
        <v>1675</v>
      </c>
      <c r="H1575" s="375" t="s">
        <v>2644</v>
      </c>
      <c r="I1575" s="63" t="s">
        <v>2645</v>
      </c>
      <c r="J1575" s="47">
        <f t="shared" si="318"/>
        <v>3740</v>
      </c>
      <c r="K1575" s="46" t="s">
        <v>10735</v>
      </c>
      <c r="L1575" s="47" t="s">
        <v>2646</v>
      </c>
      <c r="M1575" s="47">
        <f t="shared" si="319"/>
        <v>1430.0000000000002</v>
      </c>
      <c r="N1575" s="47" t="s">
        <v>2647</v>
      </c>
      <c r="O1575" s="47" t="s">
        <v>2648</v>
      </c>
      <c r="P1575" s="47" t="s">
        <v>2649</v>
      </c>
      <c r="Q1575" s="47"/>
      <c r="R1575" s="47"/>
      <c r="S1575" s="47"/>
      <c r="T1575" s="47">
        <f t="shared" si="321"/>
        <v>780</v>
      </c>
      <c r="U1575" s="47"/>
      <c r="V1575" s="47"/>
      <c r="W1575" s="47"/>
      <c r="X1575" s="47"/>
      <c r="Y1575" s="47"/>
      <c r="Z1575" s="47">
        <f t="shared" si="320"/>
        <v>4620</v>
      </c>
      <c r="AA1575" s="47"/>
      <c r="AB1575" s="47"/>
      <c r="AC1575" s="47"/>
      <c r="AD1575" s="47" t="s">
        <v>1</v>
      </c>
      <c r="AE1575" s="47"/>
      <c r="AF1575" s="47">
        <f t="shared" si="322"/>
        <v>1485</v>
      </c>
      <c r="AG1575" s="47"/>
      <c r="AH1575" s="47" t="str">
        <f>IFERROR(_xlfn.XLOOKUP(Table6[[#This Row],[Suburb]],Table5[Travel Surcharge],Table5[$$]),"")</f>
        <v/>
      </c>
      <c r="AI1575" s="47"/>
      <c r="AJ1575" s="47"/>
    </row>
    <row r="1576" spans="1:36">
      <c r="A1576" s="374" t="s">
        <v>2642</v>
      </c>
      <c r="B1576" s="374">
        <v>4</v>
      </c>
      <c r="C1576" s="374" t="s">
        <v>1721</v>
      </c>
      <c r="D1576" s="375" t="str">
        <f t="shared" si="317"/>
        <v>Everley4</v>
      </c>
      <c r="E1576" s="375" t="s">
        <v>2652</v>
      </c>
      <c r="F1576" s="375"/>
      <c r="G1576" s="375" t="s">
        <v>1675</v>
      </c>
      <c r="H1576" s="375" t="s">
        <v>2644</v>
      </c>
      <c r="I1576" s="63" t="s">
        <v>2645</v>
      </c>
      <c r="J1576" s="47">
        <f t="shared" si="318"/>
        <v>3740</v>
      </c>
      <c r="K1576" s="46" t="s">
        <v>10735</v>
      </c>
      <c r="L1576" s="47" t="s">
        <v>2646</v>
      </c>
      <c r="M1576" s="47">
        <f t="shared" si="319"/>
        <v>1430.0000000000002</v>
      </c>
      <c r="N1576" s="47" t="s">
        <v>2647</v>
      </c>
      <c r="O1576" s="47" t="s">
        <v>2648</v>
      </c>
      <c r="P1576" s="47" t="s">
        <v>2649</v>
      </c>
      <c r="Q1576" s="47"/>
      <c r="R1576" s="47"/>
      <c r="S1576" s="47"/>
      <c r="T1576" s="47">
        <f t="shared" si="321"/>
        <v>780</v>
      </c>
      <c r="U1576" s="47"/>
      <c r="V1576" s="47" t="s">
        <v>2653</v>
      </c>
      <c r="W1576" s="47"/>
      <c r="X1576" s="47"/>
      <c r="Y1576" s="47"/>
      <c r="Z1576" s="47">
        <f t="shared" si="320"/>
        <v>4620</v>
      </c>
      <c r="AA1576" s="47"/>
      <c r="AB1576" s="47"/>
      <c r="AC1576" s="47"/>
      <c r="AD1576" s="47" t="s">
        <v>1</v>
      </c>
      <c r="AE1576" s="47"/>
      <c r="AF1576" s="47">
        <f t="shared" si="322"/>
        <v>1485</v>
      </c>
      <c r="AG1576" s="47"/>
      <c r="AH1576" s="47" t="str">
        <f>IFERROR(_xlfn.XLOOKUP(Table6[[#This Row],[Suburb]],Table5[Travel Surcharge],Table5[$$]),"")</f>
        <v/>
      </c>
      <c r="AI1576" s="47"/>
      <c r="AJ1576" s="47"/>
    </row>
    <row r="1577" spans="1:36">
      <c r="A1577" s="374" t="s">
        <v>2642</v>
      </c>
      <c r="B1577" s="374">
        <v>5</v>
      </c>
      <c r="C1577" s="374" t="s">
        <v>1721</v>
      </c>
      <c r="D1577" s="375" t="str">
        <f t="shared" si="317"/>
        <v>Everley5</v>
      </c>
      <c r="E1577" s="375" t="s">
        <v>2654</v>
      </c>
      <c r="F1577" s="375"/>
      <c r="G1577" s="375" t="s">
        <v>1675</v>
      </c>
      <c r="H1577" s="375" t="s">
        <v>2644</v>
      </c>
      <c r="I1577" s="63" t="s">
        <v>2645</v>
      </c>
      <c r="J1577" s="47">
        <f t="shared" si="318"/>
        <v>3740</v>
      </c>
      <c r="K1577" s="46" t="s">
        <v>10735</v>
      </c>
      <c r="L1577" s="47" t="s">
        <v>2646</v>
      </c>
      <c r="M1577" s="47">
        <f t="shared" si="319"/>
        <v>1430.0000000000002</v>
      </c>
      <c r="N1577" s="47" t="s">
        <v>2647</v>
      </c>
      <c r="O1577" s="47" t="s">
        <v>2648</v>
      </c>
      <c r="P1577" s="47" t="s">
        <v>2649</v>
      </c>
      <c r="Q1577" s="47"/>
      <c r="R1577" s="47"/>
      <c r="S1577" s="47"/>
      <c r="T1577" s="47">
        <f t="shared" si="321"/>
        <v>780</v>
      </c>
      <c r="U1577" s="47"/>
      <c r="V1577" s="47"/>
      <c r="W1577" s="47"/>
      <c r="X1577" s="47"/>
      <c r="Y1577" s="47"/>
      <c r="Z1577" s="47">
        <f t="shared" si="320"/>
        <v>4620</v>
      </c>
      <c r="AA1577" s="47"/>
      <c r="AB1577" s="47"/>
      <c r="AC1577" s="47"/>
      <c r="AD1577" s="47" t="s">
        <v>1</v>
      </c>
      <c r="AE1577" s="47"/>
      <c r="AF1577" s="47">
        <f t="shared" si="322"/>
        <v>1485</v>
      </c>
      <c r="AG1577" s="47"/>
      <c r="AH1577" s="47" t="str">
        <f>IFERROR(_xlfn.XLOOKUP(Table6[[#This Row],[Suburb]],Table5[Travel Surcharge],Table5[$$]),"")</f>
        <v/>
      </c>
      <c r="AI1577" s="47"/>
      <c r="AJ1577" s="47"/>
    </row>
    <row r="1578" spans="1:36">
      <c r="A1578" s="157" t="s">
        <v>2642</v>
      </c>
      <c r="B1578" s="157">
        <v>6</v>
      </c>
      <c r="C1578" s="157" t="s">
        <v>1721</v>
      </c>
      <c r="D1578" s="157" t="str">
        <f t="shared" si="317"/>
        <v>Everley6</v>
      </c>
      <c r="E1578" s="157" t="s">
        <v>2654</v>
      </c>
      <c r="F1578" s="157"/>
      <c r="G1578" s="157" t="s">
        <v>1675</v>
      </c>
      <c r="H1578" s="157" t="s">
        <v>2644</v>
      </c>
      <c r="I1578" s="158" t="s">
        <v>2645</v>
      </c>
      <c r="J1578" s="159">
        <f t="shared" si="318"/>
        <v>3740</v>
      </c>
      <c r="K1578" s="46" t="s">
        <v>10735</v>
      </c>
      <c r="L1578" s="159" t="s">
        <v>2646</v>
      </c>
      <c r="M1578" s="159">
        <f t="shared" si="319"/>
        <v>1430.0000000000002</v>
      </c>
      <c r="N1578" s="159" t="s">
        <v>2647</v>
      </c>
      <c r="O1578" s="159" t="s">
        <v>2648</v>
      </c>
      <c r="P1578" s="159" t="s">
        <v>2649</v>
      </c>
      <c r="Q1578" s="159"/>
      <c r="R1578" s="159"/>
      <c r="S1578" s="159"/>
      <c r="T1578" s="159">
        <f t="shared" si="321"/>
        <v>780</v>
      </c>
      <c r="U1578" s="159"/>
      <c r="V1578" s="159"/>
      <c r="W1578" s="159"/>
      <c r="X1578" s="159"/>
      <c r="Y1578" s="159"/>
      <c r="Z1578" s="159">
        <f t="shared" si="320"/>
        <v>4620</v>
      </c>
      <c r="AA1578" s="159"/>
      <c r="AB1578" s="159"/>
      <c r="AC1578" s="159"/>
      <c r="AD1578" s="159" t="s">
        <v>1</v>
      </c>
      <c r="AE1578" s="159"/>
      <c r="AF1578" s="159">
        <f t="shared" si="322"/>
        <v>1485</v>
      </c>
      <c r="AG1578" s="159"/>
      <c r="AH1578" s="47" t="str">
        <f>IFERROR(_xlfn.XLOOKUP(Table6[[#This Row],[Suburb]],Table5[Travel Surcharge],Table5[$$]),"")</f>
        <v/>
      </c>
      <c r="AI1578" s="159"/>
      <c r="AJ1578" s="159"/>
    </row>
    <row r="1579" spans="1:36">
      <c r="A1579" s="374" t="s">
        <v>2642</v>
      </c>
      <c r="B1579" s="374">
        <v>7</v>
      </c>
      <c r="C1579" s="374" t="s">
        <v>1721</v>
      </c>
      <c r="D1579" s="157" t="str">
        <f t="shared" si="317"/>
        <v>Everley7</v>
      </c>
      <c r="E1579" s="375" t="s">
        <v>10208</v>
      </c>
      <c r="F1579" s="375"/>
      <c r="G1579" s="375" t="s">
        <v>1675</v>
      </c>
      <c r="H1579" s="375" t="s">
        <v>2644</v>
      </c>
      <c r="I1579" s="63" t="s">
        <v>2645</v>
      </c>
      <c r="J1579" s="159">
        <v>3740</v>
      </c>
      <c r="K1579" s="46" t="s">
        <v>10735</v>
      </c>
      <c r="L1579" s="159" t="s">
        <v>2646</v>
      </c>
      <c r="M1579" s="159">
        <v>1430.0000000000002</v>
      </c>
      <c r="N1579" s="159" t="s">
        <v>2647</v>
      </c>
      <c r="O1579" s="159" t="s">
        <v>2648</v>
      </c>
      <c r="P1579" s="159" t="s">
        <v>2649</v>
      </c>
      <c r="Q1579" s="159"/>
      <c r="R1579" s="159"/>
      <c r="S1579" s="159"/>
      <c r="T1579" s="159">
        <v>1420</v>
      </c>
      <c r="U1579" s="159"/>
      <c r="V1579" s="159"/>
      <c r="W1579" s="159"/>
      <c r="X1579" s="159"/>
      <c r="Y1579" s="159"/>
      <c r="Z1579" s="159">
        <v>4620</v>
      </c>
      <c r="AA1579" s="159"/>
      <c r="AB1579" s="159"/>
      <c r="AC1579" s="159"/>
      <c r="AD1579" s="159" t="s">
        <v>1</v>
      </c>
      <c r="AE1579" s="159"/>
      <c r="AF1579" s="159">
        <v>1485</v>
      </c>
      <c r="AG1579" s="159"/>
      <c r="AH1579" s="47" t="s">
        <v>9976</v>
      </c>
      <c r="AI1579" s="159"/>
      <c r="AJ1579" s="159"/>
    </row>
    <row r="1580" spans="1:36">
      <c r="A1580" s="374" t="s">
        <v>2642</v>
      </c>
      <c r="B1580" s="374">
        <v>9</v>
      </c>
      <c r="C1580" s="374" t="s">
        <v>1721</v>
      </c>
      <c r="D1580" s="375" t="str">
        <f t="shared" si="317"/>
        <v>Everley9</v>
      </c>
      <c r="E1580" s="375" t="s">
        <v>10792</v>
      </c>
      <c r="F1580" s="375"/>
      <c r="G1580" s="375" t="s">
        <v>1675</v>
      </c>
      <c r="H1580" s="375" t="s">
        <v>2644</v>
      </c>
      <c r="I1580" s="63" t="s">
        <v>2645</v>
      </c>
      <c r="J1580" s="159">
        <v>3740</v>
      </c>
      <c r="K1580" s="46" t="s">
        <v>10735</v>
      </c>
      <c r="L1580" s="159" t="s">
        <v>2646</v>
      </c>
      <c r="M1580" s="159">
        <v>1430.0000000000002</v>
      </c>
      <c r="N1580" s="159" t="s">
        <v>2647</v>
      </c>
      <c r="O1580" s="159" t="s">
        <v>2648</v>
      </c>
      <c r="P1580" s="159" t="s">
        <v>2649</v>
      </c>
      <c r="Q1580" s="159"/>
      <c r="R1580" s="159"/>
      <c r="S1580" s="159"/>
      <c r="T1580" s="159">
        <v>1420</v>
      </c>
      <c r="U1580" s="159"/>
      <c r="V1580" s="159"/>
      <c r="W1580" s="159"/>
      <c r="X1580" s="159"/>
      <c r="Y1580" s="159"/>
      <c r="Z1580" s="159">
        <v>4620</v>
      </c>
      <c r="AA1580" s="159"/>
      <c r="AB1580" s="159"/>
      <c r="AC1580" s="159"/>
      <c r="AD1580" s="159" t="s">
        <v>1</v>
      </c>
      <c r="AE1580" s="159"/>
      <c r="AF1580" s="159">
        <v>1485</v>
      </c>
      <c r="AG1580" s="159"/>
      <c r="AH1580" s="47" t="s">
        <v>9976</v>
      </c>
      <c r="AI1580" s="159"/>
      <c r="AJ1580" s="159"/>
    </row>
    <row r="1581" spans="1:36">
      <c r="A1581" s="374" t="s">
        <v>2655</v>
      </c>
      <c r="B1581" s="374">
        <v>1</v>
      </c>
      <c r="C1581" s="374" t="s">
        <v>2656</v>
      </c>
      <c r="D1581" s="375" t="str">
        <f t="shared" si="317"/>
        <v>Everton1</v>
      </c>
      <c r="E1581" s="375" t="s">
        <v>2657</v>
      </c>
      <c r="F1581" s="375"/>
      <c r="G1581" s="375" t="s">
        <v>2658</v>
      </c>
      <c r="H1581" s="375" t="s">
        <v>2659</v>
      </c>
      <c r="I1581" s="63" t="s">
        <v>2660</v>
      </c>
      <c r="J1581" s="47"/>
      <c r="K1581" s="46" t="s">
        <v>10735</v>
      </c>
      <c r="L1581" s="47"/>
      <c r="M1581" s="47" t="s">
        <v>7640</v>
      </c>
      <c r="N1581" s="47"/>
      <c r="O1581" s="47"/>
      <c r="P1581" s="47"/>
      <c r="Q1581" s="47">
        <f>Q$2</f>
        <v>0</v>
      </c>
      <c r="R1581" s="47"/>
      <c r="S1581" s="47"/>
      <c r="T1581" s="47"/>
      <c r="U1581" s="47"/>
      <c r="V1581" s="47"/>
      <c r="W1581" s="47"/>
      <c r="X1581" s="47"/>
      <c r="Y1581" s="47"/>
      <c r="Z1581" s="47">
        <f t="shared" si="320"/>
        <v>4620</v>
      </c>
      <c r="AA1581" s="47"/>
      <c r="AB1581" s="47"/>
      <c r="AC1581" s="47"/>
      <c r="AD1581" s="47"/>
      <c r="AE1581" s="47"/>
      <c r="AF1581" s="47"/>
      <c r="AG1581" s="47"/>
      <c r="AH1581" s="47" t="str">
        <f>IFERROR(_xlfn.XLOOKUP(Table6[[#This Row],[Suburb]],Table5[Travel Surcharge],Table5[$$]),"")</f>
        <v/>
      </c>
      <c r="AI1581" s="47"/>
      <c r="AJ1581" s="47"/>
    </row>
    <row r="1582" spans="1:36">
      <c r="A1582" s="374" t="s">
        <v>2655</v>
      </c>
      <c r="B1582" s="374">
        <v>2</v>
      </c>
      <c r="C1582" s="374" t="s">
        <v>2656</v>
      </c>
      <c r="D1582" s="375" t="str">
        <f t="shared" si="317"/>
        <v>Everton2</v>
      </c>
      <c r="E1582" s="375" t="s">
        <v>2661</v>
      </c>
      <c r="F1582" s="375"/>
      <c r="G1582" s="375" t="s">
        <v>2658</v>
      </c>
      <c r="H1582" s="375" t="s">
        <v>2659</v>
      </c>
      <c r="I1582" s="63" t="s">
        <v>2660</v>
      </c>
      <c r="J1582" s="47"/>
      <c r="K1582" s="46" t="s">
        <v>10735</v>
      </c>
      <c r="L1582" s="47"/>
      <c r="M1582" s="47" t="s">
        <v>7640</v>
      </c>
      <c r="N1582" s="47"/>
      <c r="O1582" s="47"/>
      <c r="P1582" s="47"/>
      <c r="Q1582" s="47">
        <f>Q$2</f>
        <v>0</v>
      </c>
      <c r="R1582" s="47"/>
      <c r="S1582" s="47"/>
      <c r="T1582" s="47"/>
      <c r="U1582" s="47"/>
      <c r="V1582" s="47"/>
      <c r="W1582" s="47"/>
      <c r="X1582" s="47"/>
      <c r="Y1582" s="47"/>
      <c r="Z1582" s="47">
        <f t="shared" si="320"/>
        <v>4620</v>
      </c>
      <c r="AA1582" s="47"/>
      <c r="AB1582" s="47"/>
      <c r="AC1582" s="47"/>
      <c r="AD1582" s="47"/>
      <c r="AE1582" s="47"/>
      <c r="AF1582" s="47"/>
      <c r="AG1582" s="47"/>
      <c r="AH1582" s="47" t="str">
        <f>IFERROR(_xlfn.XLOOKUP(Table6[[#This Row],[Suburb]],Table5[Travel Surcharge],Table5[$$]),"")</f>
        <v/>
      </c>
      <c r="AI1582" s="47"/>
      <c r="AJ1582" s="47"/>
    </row>
    <row r="1583" spans="1:36">
      <c r="A1583" s="374" t="s">
        <v>2655</v>
      </c>
      <c r="B1583" s="374">
        <v>3</v>
      </c>
      <c r="C1583" s="374" t="s">
        <v>2656</v>
      </c>
      <c r="D1583" s="375" t="str">
        <f t="shared" si="317"/>
        <v>Everton3</v>
      </c>
      <c r="E1583" s="375" t="s">
        <v>2651</v>
      </c>
      <c r="F1583" s="375"/>
      <c r="G1583" s="375" t="s">
        <v>2658</v>
      </c>
      <c r="H1583" s="375" t="s">
        <v>2659</v>
      </c>
      <c r="I1583" s="63" t="s">
        <v>2660</v>
      </c>
      <c r="J1583" s="47"/>
      <c r="K1583" s="46" t="s">
        <v>10735</v>
      </c>
      <c r="L1583" s="47"/>
      <c r="M1583" s="47" t="s">
        <v>7640</v>
      </c>
      <c r="N1583" s="47"/>
      <c r="O1583" s="47"/>
      <c r="P1583" s="47"/>
      <c r="Q1583" s="47">
        <f>Q$2</f>
        <v>0</v>
      </c>
      <c r="R1583" s="47"/>
      <c r="S1583" s="47"/>
      <c r="T1583" s="47"/>
      <c r="U1583" s="47"/>
      <c r="V1583" s="47"/>
      <c r="W1583" s="47"/>
      <c r="X1583" s="47"/>
      <c r="Y1583" s="47"/>
      <c r="Z1583" s="47">
        <f t="shared" si="320"/>
        <v>4620</v>
      </c>
      <c r="AA1583" s="47"/>
      <c r="AB1583" s="47"/>
      <c r="AC1583" s="47"/>
      <c r="AD1583" s="47"/>
      <c r="AE1583" s="47"/>
      <c r="AF1583" s="47"/>
      <c r="AG1583" s="47"/>
      <c r="AH1583" s="47" t="str">
        <f>IFERROR(_xlfn.XLOOKUP(Table6[[#This Row],[Suburb]],Table5[Travel Surcharge],Table5[$$]),"")</f>
        <v/>
      </c>
      <c r="AI1583" s="47"/>
      <c r="AJ1583" s="47"/>
    </row>
    <row r="1584" spans="1:36">
      <c r="A1584" s="374" t="s">
        <v>2662</v>
      </c>
      <c r="B1584" s="374">
        <v>2</v>
      </c>
      <c r="C1584" s="374" t="s">
        <v>404</v>
      </c>
      <c r="D1584" s="375" t="str">
        <f t="shared" si="317"/>
        <v>Exford Waters Estate2</v>
      </c>
      <c r="E1584" s="375" t="s">
        <v>2663</v>
      </c>
      <c r="F1584" s="375" t="s">
        <v>2664</v>
      </c>
      <c r="G1584" s="375" t="s">
        <v>2276</v>
      </c>
      <c r="H1584" s="375" t="s">
        <v>2277</v>
      </c>
      <c r="I1584" s="63" t="s">
        <v>2665</v>
      </c>
      <c r="J1584" s="47">
        <f t="shared" ref="J1584:J1608" si="323">J$7</f>
        <v>3740</v>
      </c>
      <c r="K1584" s="46" t="s">
        <v>7938</v>
      </c>
      <c r="L1584" s="47"/>
      <c r="M1584" s="47"/>
      <c r="N1584" s="47" t="s">
        <v>2666</v>
      </c>
      <c r="O1584" s="47" t="s">
        <v>2667</v>
      </c>
      <c r="P1584" s="47"/>
      <c r="Q1584" s="47"/>
      <c r="R1584" s="47"/>
      <c r="S1584" s="47" t="s">
        <v>2668</v>
      </c>
      <c r="T1584" s="47"/>
      <c r="U1584" s="47"/>
      <c r="V1584" s="47"/>
      <c r="W1584" s="47"/>
      <c r="X1584" s="47"/>
      <c r="Y1584" s="47"/>
      <c r="Z1584" s="47">
        <f t="shared" si="320"/>
        <v>4620</v>
      </c>
      <c r="AA1584" s="47"/>
      <c r="AB1584" s="47"/>
      <c r="AC1584" s="47"/>
      <c r="AD1584" s="47"/>
      <c r="AE1584" s="47"/>
      <c r="AF1584" s="47">
        <f t="shared" ref="AF1584:AF1600" si="324">AF$7</f>
        <v>1485</v>
      </c>
      <c r="AG1584" s="47"/>
      <c r="AH1584" s="47" t="str">
        <f>IFERROR(_xlfn.XLOOKUP(Table6[[#This Row],[Suburb]],Table5[Travel Surcharge],Table5[$$]),"")</f>
        <v/>
      </c>
      <c r="AI1584" s="47">
        <f t="shared" ref="AI1584:AI1600" si="325">AI$7</f>
        <v>1650.0000000000002</v>
      </c>
      <c r="AJ1584" s="47"/>
    </row>
    <row r="1585" spans="1:36">
      <c r="A1585" s="374" t="s">
        <v>2662</v>
      </c>
      <c r="B1585" s="374">
        <v>3</v>
      </c>
      <c r="C1585" s="374" t="s">
        <v>404</v>
      </c>
      <c r="D1585" s="375" t="str">
        <f t="shared" si="317"/>
        <v>Exford Waters Estate3</v>
      </c>
      <c r="E1585" s="375" t="s">
        <v>2669</v>
      </c>
      <c r="F1585" s="375" t="s">
        <v>2664</v>
      </c>
      <c r="G1585" s="375" t="s">
        <v>2276</v>
      </c>
      <c r="H1585" s="375" t="s">
        <v>2277</v>
      </c>
      <c r="I1585" s="63" t="s">
        <v>2665</v>
      </c>
      <c r="J1585" s="47">
        <f t="shared" si="323"/>
        <v>3740</v>
      </c>
      <c r="K1585" s="46" t="s">
        <v>7938</v>
      </c>
      <c r="L1585" s="47"/>
      <c r="M1585" s="47"/>
      <c r="N1585" s="47" t="s">
        <v>2666</v>
      </c>
      <c r="O1585" s="47" t="s">
        <v>2667</v>
      </c>
      <c r="P1585" s="47"/>
      <c r="Q1585" s="47"/>
      <c r="R1585" s="47"/>
      <c r="S1585" s="47" t="s">
        <v>2668</v>
      </c>
      <c r="T1585" s="47"/>
      <c r="U1585" s="47"/>
      <c r="V1585" s="47"/>
      <c r="W1585" s="47"/>
      <c r="X1585" s="47"/>
      <c r="Y1585" s="47"/>
      <c r="Z1585" s="47">
        <f t="shared" si="320"/>
        <v>4620</v>
      </c>
      <c r="AA1585" s="47"/>
      <c r="AB1585" s="47"/>
      <c r="AC1585" s="47"/>
      <c r="AD1585" s="47"/>
      <c r="AE1585" s="47"/>
      <c r="AF1585" s="47">
        <f t="shared" si="324"/>
        <v>1485</v>
      </c>
      <c r="AG1585" s="47"/>
      <c r="AH1585" s="47" t="str">
        <f>IFERROR(_xlfn.XLOOKUP(Table6[[#This Row],[Suburb]],Table5[Travel Surcharge],Table5[$$]),"")</f>
        <v/>
      </c>
      <c r="AI1585" s="47">
        <f t="shared" si="325"/>
        <v>1650.0000000000002</v>
      </c>
      <c r="AJ1585" s="47"/>
    </row>
    <row r="1586" spans="1:36">
      <c r="A1586" s="374" t="s">
        <v>2662</v>
      </c>
      <c r="B1586" s="374">
        <v>4</v>
      </c>
      <c r="C1586" s="374" t="s">
        <v>404</v>
      </c>
      <c r="D1586" s="375" t="str">
        <f t="shared" si="317"/>
        <v>Exford Waters Estate4</v>
      </c>
      <c r="E1586" s="375" t="s">
        <v>2670</v>
      </c>
      <c r="F1586" s="375" t="s">
        <v>2664</v>
      </c>
      <c r="G1586" s="375" t="s">
        <v>2276</v>
      </c>
      <c r="H1586" s="375" t="s">
        <v>2277</v>
      </c>
      <c r="I1586" s="63" t="s">
        <v>2665</v>
      </c>
      <c r="J1586" s="47">
        <f t="shared" si="323"/>
        <v>3740</v>
      </c>
      <c r="K1586" s="46" t="s">
        <v>7938</v>
      </c>
      <c r="L1586" s="47"/>
      <c r="M1586" s="47"/>
      <c r="N1586" s="47" t="s">
        <v>2666</v>
      </c>
      <c r="O1586" s="47" t="s">
        <v>2667</v>
      </c>
      <c r="P1586" s="47"/>
      <c r="Q1586" s="47"/>
      <c r="R1586" s="47"/>
      <c r="S1586" s="47" t="s">
        <v>2668</v>
      </c>
      <c r="T1586" s="47"/>
      <c r="U1586" s="47"/>
      <c r="V1586" s="47"/>
      <c r="W1586" s="47"/>
      <c r="X1586" s="47"/>
      <c r="Y1586" s="47"/>
      <c r="Z1586" s="47">
        <f t="shared" si="320"/>
        <v>4620</v>
      </c>
      <c r="AA1586" s="47"/>
      <c r="AB1586" s="47"/>
      <c r="AC1586" s="47"/>
      <c r="AD1586" s="47"/>
      <c r="AE1586" s="47"/>
      <c r="AF1586" s="47">
        <f t="shared" si="324"/>
        <v>1485</v>
      </c>
      <c r="AG1586" s="47"/>
      <c r="AH1586" s="47" t="str">
        <f>IFERROR(_xlfn.XLOOKUP(Table6[[#This Row],[Suburb]],Table5[Travel Surcharge],Table5[$$]),"")</f>
        <v/>
      </c>
      <c r="AI1586" s="47">
        <f t="shared" si="325"/>
        <v>1650.0000000000002</v>
      </c>
      <c r="AJ1586" s="47"/>
    </row>
    <row r="1587" spans="1:36">
      <c r="A1587" s="374" t="s">
        <v>2662</v>
      </c>
      <c r="B1587" s="374">
        <v>5</v>
      </c>
      <c r="C1587" s="374" t="s">
        <v>404</v>
      </c>
      <c r="D1587" s="375" t="str">
        <f t="shared" si="317"/>
        <v>Exford Waters Estate5</v>
      </c>
      <c r="E1587" s="375" t="s">
        <v>2671</v>
      </c>
      <c r="F1587" s="375" t="s">
        <v>2664</v>
      </c>
      <c r="G1587" s="375" t="s">
        <v>2276</v>
      </c>
      <c r="H1587" s="375" t="s">
        <v>2277</v>
      </c>
      <c r="I1587" s="63" t="s">
        <v>2665</v>
      </c>
      <c r="J1587" s="47">
        <f t="shared" si="323"/>
        <v>3740</v>
      </c>
      <c r="K1587" s="46" t="s">
        <v>7938</v>
      </c>
      <c r="L1587" s="47"/>
      <c r="M1587" s="47"/>
      <c r="N1587" s="47" t="s">
        <v>2666</v>
      </c>
      <c r="O1587" s="47" t="s">
        <v>2667</v>
      </c>
      <c r="P1587" s="47"/>
      <c r="Q1587" s="47"/>
      <c r="R1587" s="47"/>
      <c r="S1587" s="47" t="s">
        <v>2668</v>
      </c>
      <c r="T1587" s="47"/>
      <c r="U1587" s="47"/>
      <c r="V1587" s="47"/>
      <c r="W1587" s="47"/>
      <c r="X1587" s="47"/>
      <c r="Y1587" s="47"/>
      <c r="Z1587" s="47">
        <f t="shared" si="320"/>
        <v>4620</v>
      </c>
      <c r="AA1587" s="47"/>
      <c r="AB1587" s="47"/>
      <c r="AC1587" s="47"/>
      <c r="AD1587" s="47"/>
      <c r="AE1587" s="47"/>
      <c r="AF1587" s="47">
        <f t="shared" si="324"/>
        <v>1485</v>
      </c>
      <c r="AG1587" s="47"/>
      <c r="AH1587" s="47" t="str">
        <f>IFERROR(_xlfn.XLOOKUP(Table6[[#This Row],[Suburb]],Table5[Travel Surcharge],Table5[$$]),"")</f>
        <v/>
      </c>
      <c r="AI1587" s="47">
        <f t="shared" si="325"/>
        <v>1650.0000000000002</v>
      </c>
      <c r="AJ1587" s="47"/>
    </row>
    <row r="1588" spans="1:36">
      <c r="A1588" s="374" t="s">
        <v>2662</v>
      </c>
      <c r="B1588" s="374">
        <v>6</v>
      </c>
      <c r="C1588" s="374" t="s">
        <v>404</v>
      </c>
      <c r="D1588" s="375" t="str">
        <f t="shared" si="317"/>
        <v>Exford Waters Estate6</v>
      </c>
      <c r="E1588" s="375" t="s">
        <v>2672</v>
      </c>
      <c r="F1588" s="375" t="s">
        <v>2664</v>
      </c>
      <c r="G1588" s="375" t="s">
        <v>2276</v>
      </c>
      <c r="H1588" s="375" t="s">
        <v>2277</v>
      </c>
      <c r="I1588" s="63" t="s">
        <v>2665</v>
      </c>
      <c r="J1588" s="47">
        <f t="shared" si="323"/>
        <v>3740</v>
      </c>
      <c r="K1588" s="46" t="s">
        <v>7938</v>
      </c>
      <c r="L1588" s="47"/>
      <c r="M1588" s="47"/>
      <c r="N1588" s="47" t="s">
        <v>2666</v>
      </c>
      <c r="O1588" s="47" t="s">
        <v>2667</v>
      </c>
      <c r="P1588" s="47"/>
      <c r="Q1588" s="47"/>
      <c r="R1588" s="47"/>
      <c r="S1588" s="47" t="s">
        <v>2668</v>
      </c>
      <c r="T1588" s="47"/>
      <c r="U1588" s="47"/>
      <c r="V1588" s="47"/>
      <c r="W1588" s="47"/>
      <c r="X1588" s="47"/>
      <c r="Y1588" s="47"/>
      <c r="Z1588" s="47">
        <f t="shared" si="320"/>
        <v>4620</v>
      </c>
      <c r="AA1588" s="47"/>
      <c r="AB1588" s="47"/>
      <c r="AC1588" s="47"/>
      <c r="AD1588" s="47"/>
      <c r="AE1588" s="47"/>
      <c r="AF1588" s="47">
        <f t="shared" si="324"/>
        <v>1485</v>
      </c>
      <c r="AG1588" s="47"/>
      <c r="AH1588" s="47" t="str">
        <f>IFERROR(_xlfn.XLOOKUP(Table6[[#This Row],[Suburb]],Table5[Travel Surcharge],Table5[$$]),"")</f>
        <v/>
      </c>
      <c r="AI1588" s="47">
        <f t="shared" si="325"/>
        <v>1650.0000000000002</v>
      </c>
      <c r="AJ1588" s="47"/>
    </row>
    <row r="1589" spans="1:36">
      <c r="A1589" s="157" t="s">
        <v>2662</v>
      </c>
      <c r="B1589" s="157">
        <v>7</v>
      </c>
      <c r="C1589" s="157" t="s">
        <v>7427</v>
      </c>
      <c r="D1589" s="157" t="str">
        <f t="shared" ref="D1589:D1621" si="326">CONCATENATE(A1589,B1589)</f>
        <v>Exford Waters Estate7</v>
      </c>
      <c r="E1589" s="157" t="s">
        <v>8285</v>
      </c>
      <c r="F1589" s="157" t="s">
        <v>2664</v>
      </c>
      <c r="G1589" s="157" t="s">
        <v>2276</v>
      </c>
      <c r="H1589" s="157" t="s">
        <v>8283</v>
      </c>
      <c r="I1589" s="158" t="s">
        <v>2665</v>
      </c>
      <c r="J1589" s="47">
        <f t="shared" si="323"/>
        <v>3740</v>
      </c>
      <c r="K1589" s="46" t="s">
        <v>7938</v>
      </c>
      <c r="L1589" s="47"/>
      <c r="M1589" s="47"/>
      <c r="N1589" s="47" t="s">
        <v>8284</v>
      </c>
      <c r="O1589" s="47" t="s">
        <v>2667</v>
      </c>
      <c r="P1589" s="47"/>
      <c r="Q1589" s="47"/>
      <c r="R1589" s="47"/>
      <c r="S1589" s="47" t="s">
        <v>2668</v>
      </c>
      <c r="T1589" s="47"/>
      <c r="U1589" s="47"/>
      <c r="V1589" s="47"/>
      <c r="W1589" s="47"/>
      <c r="X1589" s="47"/>
      <c r="Y1589" s="47"/>
      <c r="Z1589" s="47">
        <f t="shared" ref="Z1589:Z1608" si="327">Z$7</f>
        <v>4620</v>
      </c>
      <c r="AA1589" s="47"/>
      <c r="AB1589" s="47"/>
      <c r="AC1589" s="47"/>
      <c r="AD1589" s="47"/>
      <c r="AE1589" s="47"/>
      <c r="AF1589" s="47">
        <f t="shared" si="324"/>
        <v>1485</v>
      </c>
      <c r="AG1589" s="47"/>
      <c r="AH1589" s="47" t="str">
        <f>IFERROR(_xlfn.XLOOKUP(Table6[[#This Row],[Suburb]],Table5[Travel Surcharge],Table5[$$]),"")</f>
        <v/>
      </c>
      <c r="AI1589" s="47">
        <f t="shared" si="325"/>
        <v>1650.0000000000002</v>
      </c>
      <c r="AJ1589" s="47"/>
    </row>
    <row r="1590" spans="1:36">
      <c r="A1590" s="374" t="s">
        <v>2662</v>
      </c>
      <c r="B1590" s="374">
        <v>8</v>
      </c>
      <c r="C1590" s="374" t="s">
        <v>404</v>
      </c>
      <c r="D1590" s="375" t="str">
        <f t="shared" si="326"/>
        <v>Exford Waters Estate8</v>
      </c>
      <c r="E1590" s="375" t="s">
        <v>2673</v>
      </c>
      <c r="F1590" s="375" t="s">
        <v>2664</v>
      </c>
      <c r="G1590" s="375" t="s">
        <v>2276</v>
      </c>
      <c r="H1590" s="375" t="s">
        <v>2277</v>
      </c>
      <c r="I1590" s="63" t="s">
        <v>2665</v>
      </c>
      <c r="J1590" s="47">
        <f t="shared" si="323"/>
        <v>3740</v>
      </c>
      <c r="K1590" s="46" t="s">
        <v>7938</v>
      </c>
      <c r="L1590" s="47"/>
      <c r="M1590" s="47"/>
      <c r="N1590" s="47" t="s">
        <v>2666</v>
      </c>
      <c r="O1590" s="47" t="s">
        <v>2667</v>
      </c>
      <c r="P1590" s="47"/>
      <c r="Q1590" s="47"/>
      <c r="R1590" s="47"/>
      <c r="S1590" s="47" t="s">
        <v>2668</v>
      </c>
      <c r="T1590" s="47"/>
      <c r="U1590" s="47"/>
      <c r="V1590" s="47"/>
      <c r="W1590" s="47"/>
      <c r="X1590" s="47"/>
      <c r="Y1590" s="47"/>
      <c r="Z1590" s="47">
        <f t="shared" si="327"/>
        <v>4620</v>
      </c>
      <c r="AA1590" s="47"/>
      <c r="AB1590" s="47"/>
      <c r="AC1590" s="47"/>
      <c r="AD1590" s="47"/>
      <c r="AE1590" s="47"/>
      <c r="AF1590" s="47">
        <f t="shared" si="324"/>
        <v>1485</v>
      </c>
      <c r="AG1590" s="47"/>
      <c r="AH1590" s="47" t="str">
        <f>IFERROR(_xlfn.XLOOKUP(Table6[[#This Row],[Suburb]],Table5[Travel Surcharge],Table5[$$]),"")</f>
        <v/>
      </c>
      <c r="AI1590" s="47">
        <f t="shared" si="325"/>
        <v>1650.0000000000002</v>
      </c>
      <c r="AJ1590" s="47"/>
    </row>
    <row r="1591" spans="1:36">
      <c r="A1591" s="374" t="s">
        <v>2662</v>
      </c>
      <c r="B1591" s="374">
        <v>9</v>
      </c>
      <c r="C1591" s="374" t="s">
        <v>404</v>
      </c>
      <c r="D1591" s="375" t="str">
        <f t="shared" si="326"/>
        <v>Exford Waters Estate9</v>
      </c>
      <c r="E1591" s="375" t="s">
        <v>2674</v>
      </c>
      <c r="F1591" s="375" t="s">
        <v>2664</v>
      </c>
      <c r="G1591" s="375" t="s">
        <v>2276</v>
      </c>
      <c r="H1591" s="375" t="s">
        <v>2277</v>
      </c>
      <c r="I1591" s="63" t="s">
        <v>2665</v>
      </c>
      <c r="J1591" s="47">
        <f t="shared" si="323"/>
        <v>3740</v>
      </c>
      <c r="K1591" s="46" t="s">
        <v>7938</v>
      </c>
      <c r="L1591" s="47"/>
      <c r="M1591" s="47"/>
      <c r="N1591" s="47" t="s">
        <v>2666</v>
      </c>
      <c r="O1591" s="47" t="s">
        <v>2667</v>
      </c>
      <c r="P1591" s="47"/>
      <c r="Q1591" s="47"/>
      <c r="R1591" s="47"/>
      <c r="S1591" s="47" t="s">
        <v>2668</v>
      </c>
      <c r="T1591" s="47"/>
      <c r="U1591" s="47"/>
      <c r="V1591" s="47"/>
      <c r="W1591" s="47"/>
      <c r="X1591" s="47"/>
      <c r="Y1591" s="47"/>
      <c r="Z1591" s="47">
        <f t="shared" si="327"/>
        <v>4620</v>
      </c>
      <c r="AA1591" s="47"/>
      <c r="AB1591" s="47"/>
      <c r="AC1591" s="47"/>
      <c r="AD1591" s="47"/>
      <c r="AE1591" s="47"/>
      <c r="AF1591" s="47">
        <f t="shared" si="324"/>
        <v>1485</v>
      </c>
      <c r="AG1591" s="47"/>
      <c r="AH1591" s="47" t="str">
        <f>IFERROR(_xlfn.XLOOKUP(Table6[[#This Row],[Suburb]],Table5[Travel Surcharge],Table5[$$]),"")</f>
        <v/>
      </c>
      <c r="AI1591" s="47">
        <f t="shared" si="325"/>
        <v>1650.0000000000002</v>
      </c>
      <c r="AJ1591" s="47"/>
    </row>
    <row r="1592" spans="1:36">
      <c r="A1592" s="374" t="s">
        <v>2662</v>
      </c>
      <c r="B1592" s="374">
        <v>10</v>
      </c>
      <c r="C1592" s="374" t="s">
        <v>404</v>
      </c>
      <c r="D1592" s="375" t="str">
        <f t="shared" si="326"/>
        <v>Exford Waters Estate10</v>
      </c>
      <c r="E1592" s="375" t="s">
        <v>2675</v>
      </c>
      <c r="F1592" s="375" t="s">
        <v>2664</v>
      </c>
      <c r="G1592" s="375" t="s">
        <v>2276</v>
      </c>
      <c r="H1592" s="375" t="s">
        <v>2277</v>
      </c>
      <c r="I1592" s="63" t="s">
        <v>2665</v>
      </c>
      <c r="J1592" s="47">
        <f t="shared" si="323"/>
        <v>3740</v>
      </c>
      <c r="K1592" s="46" t="s">
        <v>7938</v>
      </c>
      <c r="L1592" s="47"/>
      <c r="M1592" s="47"/>
      <c r="N1592" s="47" t="s">
        <v>2666</v>
      </c>
      <c r="O1592" s="47" t="s">
        <v>2667</v>
      </c>
      <c r="P1592" s="47"/>
      <c r="Q1592" s="47"/>
      <c r="R1592" s="47"/>
      <c r="S1592" s="47" t="s">
        <v>2668</v>
      </c>
      <c r="T1592" s="47"/>
      <c r="U1592" s="47"/>
      <c r="V1592" s="47"/>
      <c r="W1592" s="47"/>
      <c r="X1592" s="47"/>
      <c r="Y1592" s="47"/>
      <c r="Z1592" s="47">
        <f t="shared" si="327"/>
        <v>4620</v>
      </c>
      <c r="AA1592" s="47"/>
      <c r="AB1592" s="47"/>
      <c r="AC1592" s="47"/>
      <c r="AD1592" s="47"/>
      <c r="AE1592" s="47"/>
      <c r="AF1592" s="47">
        <f t="shared" si="324"/>
        <v>1485</v>
      </c>
      <c r="AG1592" s="47"/>
      <c r="AH1592" s="47" t="str">
        <f>IFERROR(_xlfn.XLOOKUP(Table6[[#This Row],[Suburb]],Table5[Travel Surcharge],Table5[$$]),"")</f>
        <v/>
      </c>
      <c r="AI1592" s="47">
        <f t="shared" si="325"/>
        <v>1650.0000000000002</v>
      </c>
      <c r="AJ1592" s="47"/>
    </row>
    <row r="1593" spans="1:36">
      <c r="A1593" s="374" t="s">
        <v>2662</v>
      </c>
      <c r="B1593" s="374">
        <v>11</v>
      </c>
      <c r="C1593" s="374" t="s">
        <v>404</v>
      </c>
      <c r="D1593" s="375" t="str">
        <f t="shared" si="326"/>
        <v>Exford Waters Estate11</v>
      </c>
      <c r="E1593" s="375" t="s">
        <v>2676</v>
      </c>
      <c r="F1593" s="375" t="s">
        <v>2664</v>
      </c>
      <c r="G1593" s="375" t="s">
        <v>2276</v>
      </c>
      <c r="H1593" s="375" t="s">
        <v>2277</v>
      </c>
      <c r="I1593" s="63" t="s">
        <v>2665</v>
      </c>
      <c r="J1593" s="47">
        <f t="shared" si="323"/>
        <v>3740</v>
      </c>
      <c r="K1593" s="46" t="s">
        <v>7938</v>
      </c>
      <c r="L1593" s="47"/>
      <c r="M1593" s="47"/>
      <c r="N1593" s="47" t="s">
        <v>2666</v>
      </c>
      <c r="O1593" s="47" t="s">
        <v>2667</v>
      </c>
      <c r="P1593" s="47"/>
      <c r="Q1593" s="47"/>
      <c r="R1593" s="47"/>
      <c r="S1593" s="47" t="s">
        <v>2668</v>
      </c>
      <c r="T1593" s="47"/>
      <c r="U1593" s="47"/>
      <c r="V1593" s="47"/>
      <c r="W1593" s="47"/>
      <c r="X1593" s="47"/>
      <c r="Y1593" s="47"/>
      <c r="Z1593" s="47">
        <f t="shared" si="327"/>
        <v>4620</v>
      </c>
      <c r="AA1593" s="47"/>
      <c r="AB1593" s="47"/>
      <c r="AC1593" s="47"/>
      <c r="AD1593" s="47"/>
      <c r="AE1593" s="47"/>
      <c r="AF1593" s="47">
        <f t="shared" si="324"/>
        <v>1485</v>
      </c>
      <c r="AG1593" s="47"/>
      <c r="AH1593" s="47" t="str">
        <f>IFERROR(_xlfn.XLOOKUP(Table6[[#This Row],[Suburb]],Table5[Travel Surcharge],Table5[$$]),"")</f>
        <v/>
      </c>
      <c r="AI1593" s="47">
        <f t="shared" si="325"/>
        <v>1650.0000000000002</v>
      </c>
      <c r="AJ1593" s="47"/>
    </row>
    <row r="1594" spans="1:36">
      <c r="A1594" s="374" t="s">
        <v>2662</v>
      </c>
      <c r="B1594" s="374">
        <v>12</v>
      </c>
      <c r="C1594" s="374" t="s">
        <v>404</v>
      </c>
      <c r="D1594" s="375" t="str">
        <f t="shared" si="326"/>
        <v>Exford Waters Estate12</v>
      </c>
      <c r="E1594" s="375" t="s">
        <v>2677</v>
      </c>
      <c r="F1594" s="375" t="s">
        <v>2664</v>
      </c>
      <c r="G1594" s="375" t="s">
        <v>2276</v>
      </c>
      <c r="H1594" s="375" t="s">
        <v>2277</v>
      </c>
      <c r="I1594" s="63" t="s">
        <v>2665</v>
      </c>
      <c r="J1594" s="47">
        <f t="shared" si="323"/>
        <v>3740</v>
      </c>
      <c r="K1594" s="46" t="s">
        <v>7938</v>
      </c>
      <c r="L1594" s="47"/>
      <c r="M1594" s="47"/>
      <c r="N1594" s="47" t="s">
        <v>2666</v>
      </c>
      <c r="O1594" s="47" t="s">
        <v>2667</v>
      </c>
      <c r="P1594" s="47"/>
      <c r="Q1594" s="47"/>
      <c r="R1594" s="47"/>
      <c r="S1594" s="47" t="s">
        <v>2668</v>
      </c>
      <c r="T1594" s="47"/>
      <c r="U1594" s="47"/>
      <c r="V1594" s="47"/>
      <c r="W1594" s="47"/>
      <c r="X1594" s="47"/>
      <c r="Y1594" s="47"/>
      <c r="Z1594" s="47">
        <f t="shared" si="327"/>
        <v>4620</v>
      </c>
      <c r="AA1594" s="47"/>
      <c r="AB1594" s="47"/>
      <c r="AC1594" s="47"/>
      <c r="AD1594" s="47"/>
      <c r="AE1594" s="47"/>
      <c r="AF1594" s="47">
        <f t="shared" si="324"/>
        <v>1485</v>
      </c>
      <c r="AG1594" s="47"/>
      <c r="AH1594" s="47" t="str">
        <f>IFERROR(_xlfn.XLOOKUP(Table6[[#This Row],[Suburb]],Table5[Travel Surcharge],Table5[$$]),"")</f>
        <v/>
      </c>
      <c r="AI1594" s="47">
        <f t="shared" si="325"/>
        <v>1650.0000000000002</v>
      </c>
      <c r="AJ1594" s="47"/>
    </row>
    <row r="1595" spans="1:36">
      <c r="A1595" s="374" t="s">
        <v>2662</v>
      </c>
      <c r="B1595" s="374">
        <v>17</v>
      </c>
      <c r="C1595" s="374" t="s">
        <v>404</v>
      </c>
      <c r="D1595" s="375" t="str">
        <f t="shared" si="326"/>
        <v>Exford Waters Estate17</v>
      </c>
      <c r="E1595" s="375" t="s">
        <v>2678</v>
      </c>
      <c r="F1595" s="375" t="s">
        <v>2664</v>
      </c>
      <c r="G1595" s="375" t="s">
        <v>2276</v>
      </c>
      <c r="H1595" s="375" t="s">
        <v>2277</v>
      </c>
      <c r="I1595" s="63" t="s">
        <v>2665</v>
      </c>
      <c r="J1595" s="47">
        <f t="shared" si="323"/>
        <v>3740</v>
      </c>
      <c r="K1595" s="46" t="s">
        <v>7938</v>
      </c>
      <c r="L1595" s="47"/>
      <c r="M1595" s="47"/>
      <c r="N1595" s="47" t="s">
        <v>2666</v>
      </c>
      <c r="O1595" s="47" t="s">
        <v>2667</v>
      </c>
      <c r="P1595" s="47"/>
      <c r="Q1595" s="47"/>
      <c r="R1595" s="47"/>
      <c r="S1595" s="47" t="s">
        <v>2668</v>
      </c>
      <c r="T1595" s="47"/>
      <c r="U1595" s="47"/>
      <c r="V1595" s="47"/>
      <c r="W1595" s="47"/>
      <c r="X1595" s="47"/>
      <c r="Y1595" s="47"/>
      <c r="Z1595" s="47">
        <f t="shared" si="327"/>
        <v>4620</v>
      </c>
      <c r="AA1595" s="47"/>
      <c r="AB1595" s="47"/>
      <c r="AC1595" s="47"/>
      <c r="AD1595" s="47"/>
      <c r="AE1595" s="47"/>
      <c r="AF1595" s="47">
        <f t="shared" si="324"/>
        <v>1485</v>
      </c>
      <c r="AG1595" s="47"/>
      <c r="AH1595" s="47" t="str">
        <f>IFERROR(_xlfn.XLOOKUP(Table6[[#This Row],[Suburb]],Table5[Travel Surcharge],Table5[$$]),"")</f>
        <v/>
      </c>
      <c r="AI1595" s="47">
        <f t="shared" si="325"/>
        <v>1650.0000000000002</v>
      </c>
      <c r="AJ1595" s="47"/>
    </row>
    <row r="1596" spans="1:36">
      <c r="A1596" s="374" t="s">
        <v>2662</v>
      </c>
      <c r="B1596" s="374">
        <v>18</v>
      </c>
      <c r="C1596" s="374" t="s">
        <v>404</v>
      </c>
      <c r="D1596" s="375" t="str">
        <f t="shared" si="326"/>
        <v>Exford Waters Estate18</v>
      </c>
      <c r="E1596" s="375" t="s">
        <v>10346</v>
      </c>
      <c r="F1596" s="375" t="s">
        <v>2664</v>
      </c>
      <c r="G1596" s="375" t="s">
        <v>2276</v>
      </c>
      <c r="H1596" s="375" t="s">
        <v>2277</v>
      </c>
      <c r="I1596" s="63" t="s">
        <v>2665</v>
      </c>
      <c r="J1596" s="47">
        <v>3740</v>
      </c>
      <c r="K1596" s="46" t="s">
        <v>7938</v>
      </c>
      <c r="L1596" s="47"/>
      <c r="M1596" s="47"/>
      <c r="N1596" s="47" t="s">
        <v>2666</v>
      </c>
      <c r="O1596" s="47" t="s">
        <v>2667</v>
      </c>
      <c r="P1596" s="47"/>
      <c r="Q1596" s="47"/>
      <c r="R1596" s="47"/>
      <c r="S1596" s="47" t="s">
        <v>2668</v>
      </c>
      <c r="T1596" s="47"/>
      <c r="U1596" s="47"/>
      <c r="V1596" s="47"/>
      <c r="W1596" s="47"/>
      <c r="X1596" s="47"/>
      <c r="Y1596" s="47"/>
      <c r="Z1596" s="47">
        <v>4620</v>
      </c>
      <c r="AA1596" s="47"/>
      <c r="AB1596" s="47"/>
      <c r="AC1596" s="47"/>
      <c r="AD1596" s="47"/>
      <c r="AE1596" s="47"/>
      <c r="AF1596" s="47">
        <v>1485</v>
      </c>
      <c r="AG1596" s="47"/>
      <c r="AH1596" s="47" t="s">
        <v>9976</v>
      </c>
      <c r="AI1596" s="47">
        <v>1650.0000000000002</v>
      </c>
      <c r="AJ1596" s="47"/>
    </row>
    <row r="1597" spans="1:36">
      <c r="A1597" s="374" t="s">
        <v>2662</v>
      </c>
      <c r="B1597" s="374">
        <v>24</v>
      </c>
      <c r="C1597" s="374" t="s">
        <v>404</v>
      </c>
      <c r="D1597" s="375" t="str">
        <f t="shared" si="326"/>
        <v>Exford Waters Estate24</v>
      </c>
      <c r="E1597" s="375" t="s">
        <v>2679</v>
      </c>
      <c r="F1597" s="375" t="s">
        <v>2664</v>
      </c>
      <c r="G1597" s="375" t="s">
        <v>2276</v>
      </c>
      <c r="H1597" s="375" t="s">
        <v>2277</v>
      </c>
      <c r="I1597" s="63" t="s">
        <v>2665</v>
      </c>
      <c r="J1597" s="47">
        <f t="shared" si="323"/>
        <v>3740</v>
      </c>
      <c r="K1597" s="46" t="s">
        <v>7938</v>
      </c>
      <c r="L1597" s="47"/>
      <c r="M1597" s="47"/>
      <c r="N1597" s="47" t="s">
        <v>2666</v>
      </c>
      <c r="O1597" s="47" t="s">
        <v>2667</v>
      </c>
      <c r="P1597" s="47"/>
      <c r="Q1597" s="47"/>
      <c r="R1597" s="47"/>
      <c r="S1597" s="47" t="s">
        <v>2668</v>
      </c>
      <c r="T1597" s="47"/>
      <c r="U1597" s="47"/>
      <c r="V1597" s="47"/>
      <c r="W1597" s="47"/>
      <c r="X1597" s="47"/>
      <c r="Y1597" s="47"/>
      <c r="Z1597" s="47">
        <f t="shared" si="327"/>
        <v>4620</v>
      </c>
      <c r="AA1597" s="47"/>
      <c r="AB1597" s="47"/>
      <c r="AC1597" s="47"/>
      <c r="AD1597" s="47"/>
      <c r="AE1597" s="47"/>
      <c r="AF1597" s="47">
        <f t="shared" si="324"/>
        <v>1485</v>
      </c>
      <c r="AG1597" s="47"/>
      <c r="AH1597" s="47" t="str">
        <f>IFERROR(_xlfn.XLOOKUP(Table6[[#This Row],[Suburb]],Table5[Travel Surcharge],Table5[$$]),"")</f>
        <v/>
      </c>
      <c r="AI1597" s="47">
        <f t="shared" si="325"/>
        <v>1650.0000000000002</v>
      </c>
      <c r="AJ1597" s="47"/>
    </row>
    <row r="1598" spans="1:36">
      <c r="A1598" s="374" t="s">
        <v>2662</v>
      </c>
      <c r="B1598" s="374">
        <v>25</v>
      </c>
      <c r="C1598" s="374" t="s">
        <v>404</v>
      </c>
      <c r="D1598" s="375" t="str">
        <f t="shared" si="326"/>
        <v>Exford Waters Estate25</v>
      </c>
      <c r="E1598" s="375" t="s">
        <v>2680</v>
      </c>
      <c r="F1598" s="375" t="s">
        <v>2664</v>
      </c>
      <c r="G1598" s="375" t="s">
        <v>2276</v>
      </c>
      <c r="H1598" s="375" t="s">
        <v>2277</v>
      </c>
      <c r="I1598" s="63" t="s">
        <v>2665</v>
      </c>
      <c r="J1598" s="47">
        <f t="shared" si="323"/>
        <v>3740</v>
      </c>
      <c r="K1598" s="46" t="s">
        <v>7938</v>
      </c>
      <c r="L1598" s="47"/>
      <c r="M1598" s="47"/>
      <c r="N1598" s="47" t="s">
        <v>2666</v>
      </c>
      <c r="O1598" s="47" t="s">
        <v>2667</v>
      </c>
      <c r="P1598" s="47"/>
      <c r="Q1598" s="47"/>
      <c r="R1598" s="47"/>
      <c r="S1598" s="47" t="s">
        <v>2668</v>
      </c>
      <c r="T1598" s="47"/>
      <c r="U1598" s="47"/>
      <c r="V1598" s="47"/>
      <c r="W1598" s="47"/>
      <c r="X1598" s="47"/>
      <c r="Y1598" s="47"/>
      <c r="Z1598" s="47">
        <f t="shared" si="327"/>
        <v>4620</v>
      </c>
      <c r="AA1598" s="47"/>
      <c r="AB1598" s="47"/>
      <c r="AC1598" s="47"/>
      <c r="AD1598" s="47"/>
      <c r="AE1598" s="47"/>
      <c r="AF1598" s="47">
        <f t="shared" si="324"/>
        <v>1485</v>
      </c>
      <c r="AG1598" s="47"/>
      <c r="AH1598" s="47" t="str">
        <f>IFERROR(_xlfn.XLOOKUP(Table6[[#This Row],[Suburb]],Table5[Travel Surcharge],Table5[$$]),"")</f>
        <v/>
      </c>
      <c r="AI1598" s="47">
        <f t="shared" si="325"/>
        <v>1650.0000000000002</v>
      </c>
      <c r="AJ1598" s="47"/>
    </row>
    <row r="1599" spans="1:36">
      <c r="A1599" s="157" t="s">
        <v>2662</v>
      </c>
      <c r="B1599" s="157">
        <v>50</v>
      </c>
      <c r="C1599" s="157" t="s">
        <v>404</v>
      </c>
      <c r="D1599" s="157" t="str">
        <f t="shared" si="326"/>
        <v>Exford Waters Estate50</v>
      </c>
      <c r="E1599" s="157" t="s">
        <v>8021</v>
      </c>
      <c r="F1599" s="157" t="s">
        <v>2664</v>
      </c>
      <c r="G1599" s="157" t="s">
        <v>2276</v>
      </c>
      <c r="H1599" s="157" t="s">
        <v>2277</v>
      </c>
      <c r="I1599" s="158" t="s">
        <v>2665</v>
      </c>
      <c r="J1599" s="47">
        <f t="shared" si="323"/>
        <v>3740</v>
      </c>
      <c r="K1599" s="46" t="s">
        <v>7938</v>
      </c>
      <c r="L1599" s="47"/>
      <c r="M1599" s="47"/>
      <c r="N1599" s="47" t="s">
        <v>2666</v>
      </c>
      <c r="O1599" s="47" t="s">
        <v>2667</v>
      </c>
      <c r="P1599" s="47"/>
      <c r="Q1599" s="47"/>
      <c r="R1599" s="47"/>
      <c r="S1599" s="47" t="s">
        <v>2668</v>
      </c>
      <c r="T1599" s="47"/>
      <c r="U1599" s="47"/>
      <c r="V1599" s="47"/>
      <c r="W1599" s="47"/>
      <c r="X1599" s="47"/>
      <c r="Y1599" s="47"/>
      <c r="Z1599" s="47">
        <f t="shared" si="327"/>
        <v>4620</v>
      </c>
      <c r="AA1599" s="47"/>
      <c r="AB1599" s="47"/>
      <c r="AC1599" s="47"/>
      <c r="AD1599" s="47"/>
      <c r="AE1599" s="47"/>
      <c r="AF1599" s="47">
        <f t="shared" si="324"/>
        <v>1485</v>
      </c>
      <c r="AG1599" s="47"/>
      <c r="AH1599" s="47" t="str">
        <f>IFERROR(_xlfn.XLOOKUP(Table6[[#This Row],[Suburb]],Table5[Travel Surcharge],Table5[$$]),"")</f>
        <v/>
      </c>
      <c r="AI1599" s="47">
        <f t="shared" si="325"/>
        <v>1650.0000000000002</v>
      </c>
      <c r="AJ1599" s="47"/>
    </row>
    <row r="1600" spans="1:36">
      <c r="A1600" s="374" t="s">
        <v>2662</v>
      </c>
      <c r="B1600" s="374" t="s">
        <v>501</v>
      </c>
      <c r="C1600" s="374" t="s">
        <v>404</v>
      </c>
      <c r="D1600" s="375" t="str">
        <f t="shared" si="326"/>
        <v>Exford Waters Estate1A</v>
      </c>
      <c r="E1600" s="375" t="s">
        <v>2681</v>
      </c>
      <c r="F1600" s="375" t="s">
        <v>2664</v>
      </c>
      <c r="G1600" s="375" t="s">
        <v>2276</v>
      </c>
      <c r="H1600" s="375" t="s">
        <v>2277</v>
      </c>
      <c r="I1600" s="63" t="s">
        <v>2665</v>
      </c>
      <c r="J1600" s="47">
        <f t="shared" si="323"/>
        <v>3740</v>
      </c>
      <c r="K1600" s="46" t="s">
        <v>7938</v>
      </c>
      <c r="L1600" s="47"/>
      <c r="M1600" s="47"/>
      <c r="N1600" s="47" t="s">
        <v>2666</v>
      </c>
      <c r="O1600" s="47" t="s">
        <v>2667</v>
      </c>
      <c r="P1600" s="47"/>
      <c r="Q1600" s="47"/>
      <c r="R1600" s="47"/>
      <c r="S1600" s="47" t="s">
        <v>2668</v>
      </c>
      <c r="T1600" s="47"/>
      <c r="U1600" s="47"/>
      <c r="V1600" s="47"/>
      <c r="W1600" s="47"/>
      <c r="X1600" s="47"/>
      <c r="Y1600" s="47"/>
      <c r="Z1600" s="47">
        <f t="shared" si="327"/>
        <v>4620</v>
      </c>
      <c r="AA1600" s="47"/>
      <c r="AB1600" s="47"/>
      <c r="AC1600" s="47"/>
      <c r="AD1600" s="47"/>
      <c r="AE1600" s="47"/>
      <c r="AF1600" s="47">
        <f t="shared" si="324"/>
        <v>1485</v>
      </c>
      <c r="AG1600" s="47"/>
      <c r="AH1600" s="47" t="str">
        <f>IFERROR(_xlfn.XLOOKUP(Table6[[#This Row],[Suburb]],Table5[Travel Surcharge],Table5[$$]),"")</f>
        <v/>
      </c>
      <c r="AI1600" s="47">
        <f t="shared" si="325"/>
        <v>1650.0000000000002</v>
      </c>
      <c r="AJ1600" s="47"/>
    </row>
    <row r="1601" spans="1:43">
      <c r="A1601" s="374" t="s">
        <v>2682</v>
      </c>
      <c r="B1601" s="374">
        <v>5</v>
      </c>
      <c r="C1601" s="374" t="s">
        <v>2683</v>
      </c>
      <c r="D1601" s="375" t="str">
        <f t="shared" si="326"/>
        <v>Eynesbury Estate5</v>
      </c>
      <c r="E1601" s="375" t="s">
        <v>2684</v>
      </c>
      <c r="F1601" s="375" t="s">
        <v>2685</v>
      </c>
      <c r="G1601" s="375" t="s">
        <v>2686</v>
      </c>
      <c r="H1601" s="375" t="s">
        <v>2687</v>
      </c>
      <c r="I1601" s="63"/>
      <c r="J1601" s="47">
        <f t="shared" si="323"/>
        <v>3740</v>
      </c>
      <c r="K1601" s="46" t="s">
        <v>7938</v>
      </c>
      <c r="L1601" s="47">
        <f t="shared" ref="L1601:L1608" si="328">L$7</f>
        <v>1210</v>
      </c>
      <c r="M1601" s="47" t="s">
        <v>2688</v>
      </c>
      <c r="N1601" s="47"/>
      <c r="O1601" s="47" t="s">
        <v>2689</v>
      </c>
      <c r="P1601" s="47"/>
      <c r="Q1601" s="47">
        <f t="shared" ref="Q1601:Q1608" si="329">Q$2</f>
        <v>0</v>
      </c>
      <c r="R1601" s="47" t="s">
        <v>2690</v>
      </c>
      <c r="S1601" s="47"/>
      <c r="T1601" s="47" t="s">
        <v>1192</v>
      </c>
      <c r="U1601" s="47"/>
      <c r="V1601" s="47" t="s">
        <v>2691</v>
      </c>
      <c r="W1601" s="47"/>
      <c r="X1601" s="47">
        <f t="shared" ref="X1601:X1608" si="330">X$7</f>
        <v>3000</v>
      </c>
      <c r="Y1601" s="47"/>
      <c r="Z1601" s="47">
        <f t="shared" si="327"/>
        <v>4620</v>
      </c>
      <c r="AA1601" s="47"/>
      <c r="AB1601" s="47"/>
      <c r="AC1601" s="47">
        <f t="shared" ref="AC1601:AC1608" si="331">AC$7</f>
        <v>5200</v>
      </c>
      <c r="AD1601" s="47"/>
      <c r="AE1601" s="47" t="s">
        <v>2692</v>
      </c>
      <c r="AF1601" s="47"/>
      <c r="AG1601" s="47"/>
      <c r="AH1601" s="47" t="str">
        <f>IFERROR(_xlfn.XLOOKUP(Table6[[#This Row],[Suburb]],Table5[Travel Surcharge],Table5[$$]),"")</f>
        <v/>
      </c>
      <c r="AI1601" s="47" t="s">
        <v>2693</v>
      </c>
      <c r="AJ1601" s="47"/>
    </row>
    <row r="1602" spans="1:43">
      <c r="A1602" s="374" t="s">
        <v>2682</v>
      </c>
      <c r="B1602" s="374">
        <v>10</v>
      </c>
      <c r="C1602" s="374" t="s">
        <v>2683</v>
      </c>
      <c r="D1602" s="375" t="str">
        <f t="shared" si="326"/>
        <v>Eynesbury Estate10</v>
      </c>
      <c r="E1602" s="375" t="s">
        <v>2684</v>
      </c>
      <c r="F1602" s="375" t="s">
        <v>2685</v>
      </c>
      <c r="G1602" s="375" t="s">
        <v>2686</v>
      </c>
      <c r="H1602" s="375" t="s">
        <v>2687</v>
      </c>
      <c r="I1602" s="63"/>
      <c r="J1602" s="47">
        <f t="shared" si="323"/>
        <v>3740</v>
      </c>
      <c r="K1602" s="46" t="s">
        <v>7938</v>
      </c>
      <c r="L1602" s="47">
        <f t="shared" si="328"/>
        <v>1210</v>
      </c>
      <c r="M1602" s="47" t="s">
        <v>2688</v>
      </c>
      <c r="N1602" s="47"/>
      <c r="O1602" s="47" t="s">
        <v>2689</v>
      </c>
      <c r="P1602" s="47"/>
      <c r="Q1602" s="47">
        <f t="shared" si="329"/>
        <v>0</v>
      </c>
      <c r="R1602" s="47" t="s">
        <v>2690</v>
      </c>
      <c r="S1602" s="47"/>
      <c r="T1602" s="47" t="s">
        <v>1192</v>
      </c>
      <c r="U1602" s="47"/>
      <c r="V1602" s="47" t="s">
        <v>2691</v>
      </c>
      <c r="W1602" s="47"/>
      <c r="X1602" s="47">
        <f t="shared" si="330"/>
        <v>3000</v>
      </c>
      <c r="Y1602" s="47"/>
      <c r="Z1602" s="47">
        <f t="shared" si="327"/>
        <v>4620</v>
      </c>
      <c r="AA1602" s="47"/>
      <c r="AB1602" s="47"/>
      <c r="AC1602" s="47">
        <f t="shared" si="331"/>
        <v>5200</v>
      </c>
      <c r="AD1602" s="47"/>
      <c r="AE1602" s="47" t="s">
        <v>2692</v>
      </c>
      <c r="AF1602" s="47"/>
      <c r="AG1602" s="47"/>
      <c r="AH1602" s="47" t="str">
        <f>IFERROR(_xlfn.XLOOKUP(Table6[[#This Row],[Suburb]],Table5[Travel Surcharge],Table5[$$]),"")</f>
        <v/>
      </c>
      <c r="AI1602" s="47" t="s">
        <v>2693</v>
      </c>
      <c r="AJ1602" s="47"/>
    </row>
    <row r="1603" spans="1:43">
      <c r="A1603" s="374" t="s">
        <v>2682</v>
      </c>
      <c r="B1603" s="374" t="s">
        <v>2706</v>
      </c>
      <c r="C1603" s="374" t="s">
        <v>2683</v>
      </c>
      <c r="D1603" s="375" t="str">
        <f t="shared" si="326"/>
        <v>Eynesbury Estate11A2</v>
      </c>
      <c r="E1603" s="375" t="s">
        <v>2684</v>
      </c>
      <c r="F1603" s="375" t="s">
        <v>2685</v>
      </c>
      <c r="G1603" s="375" t="s">
        <v>2686</v>
      </c>
      <c r="H1603" s="375" t="s">
        <v>2687</v>
      </c>
      <c r="I1603" s="63"/>
      <c r="J1603" s="47">
        <f t="shared" si="323"/>
        <v>3740</v>
      </c>
      <c r="K1603" s="46" t="s">
        <v>7938</v>
      </c>
      <c r="L1603" s="47">
        <f t="shared" si="328"/>
        <v>1210</v>
      </c>
      <c r="M1603" s="47" t="s">
        <v>2688</v>
      </c>
      <c r="N1603" s="47"/>
      <c r="O1603" s="47" t="s">
        <v>2689</v>
      </c>
      <c r="P1603" s="47"/>
      <c r="Q1603" s="47">
        <f t="shared" si="329"/>
        <v>0</v>
      </c>
      <c r="R1603" s="47" t="s">
        <v>2690</v>
      </c>
      <c r="S1603" s="47"/>
      <c r="T1603" s="47" t="s">
        <v>1192</v>
      </c>
      <c r="U1603" s="47"/>
      <c r="V1603" s="47" t="s">
        <v>2691</v>
      </c>
      <c r="W1603" s="47"/>
      <c r="X1603" s="47">
        <f t="shared" si="330"/>
        <v>3000</v>
      </c>
      <c r="Y1603" s="47"/>
      <c r="Z1603" s="47">
        <f t="shared" si="327"/>
        <v>4620</v>
      </c>
      <c r="AA1603" s="47"/>
      <c r="AB1603" s="47"/>
      <c r="AC1603" s="47">
        <f t="shared" si="331"/>
        <v>5200</v>
      </c>
      <c r="AD1603" s="47"/>
      <c r="AE1603" s="47" t="s">
        <v>2692</v>
      </c>
      <c r="AF1603" s="47"/>
      <c r="AG1603" s="47"/>
      <c r="AH1603" s="47" t="str">
        <f>IFERROR(_xlfn.XLOOKUP(Table6[[#This Row],[Suburb]],Table5[Travel Surcharge],Table5[$$]),"")</f>
        <v/>
      </c>
      <c r="AI1603" s="47" t="s">
        <v>2693</v>
      </c>
      <c r="AJ1603" s="47"/>
    </row>
    <row r="1604" spans="1:43" s="379" customFormat="1">
      <c r="A1604" s="374" t="s">
        <v>2682</v>
      </c>
      <c r="B1604" s="374" t="s">
        <v>2707</v>
      </c>
      <c r="C1604" s="374" t="s">
        <v>2683</v>
      </c>
      <c r="D1604" s="375" t="str">
        <f t="shared" si="326"/>
        <v>Eynesbury Estate11A3</v>
      </c>
      <c r="E1604" s="375" t="s">
        <v>2684</v>
      </c>
      <c r="F1604" s="375" t="s">
        <v>2685</v>
      </c>
      <c r="G1604" s="375" t="s">
        <v>2686</v>
      </c>
      <c r="H1604" s="375" t="s">
        <v>2687</v>
      </c>
      <c r="I1604" s="63"/>
      <c r="J1604" s="47">
        <f t="shared" si="323"/>
        <v>3740</v>
      </c>
      <c r="K1604" s="46" t="s">
        <v>7938</v>
      </c>
      <c r="L1604" s="47">
        <f t="shared" si="328"/>
        <v>1210</v>
      </c>
      <c r="M1604" s="47" t="s">
        <v>2688</v>
      </c>
      <c r="N1604" s="47"/>
      <c r="O1604" s="47" t="s">
        <v>2689</v>
      </c>
      <c r="P1604" s="47"/>
      <c r="Q1604" s="47">
        <f t="shared" si="329"/>
        <v>0</v>
      </c>
      <c r="R1604" s="47" t="s">
        <v>2690</v>
      </c>
      <c r="S1604" s="47"/>
      <c r="T1604" s="47" t="s">
        <v>1192</v>
      </c>
      <c r="U1604" s="47"/>
      <c r="V1604" s="47" t="s">
        <v>2691</v>
      </c>
      <c r="W1604" s="47"/>
      <c r="X1604" s="47">
        <f t="shared" si="330"/>
        <v>3000</v>
      </c>
      <c r="Y1604" s="47"/>
      <c r="Z1604" s="47">
        <f t="shared" si="327"/>
        <v>4620</v>
      </c>
      <c r="AA1604" s="47"/>
      <c r="AB1604" s="47"/>
      <c r="AC1604" s="47">
        <f t="shared" si="331"/>
        <v>5200</v>
      </c>
      <c r="AD1604" s="47"/>
      <c r="AE1604" s="47" t="s">
        <v>2692</v>
      </c>
      <c r="AF1604" s="47"/>
      <c r="AG1604" s="47"/>
      <c r="AH1604" s="47" t="str">
        <f>IFERROR(_xlfn.XLOOKUP(Table6[[#This Row],[Suburb]],Table5[Travel Surcharge],Table5[$$]),"")</f>
        <v/>
      </c>
      <c r="AI1604" s="47" t="s">
        <v>2693</v>
      </c>
      <c r="AJ1604" s="47"/>
      <c r="AM1604" s="170"/>
      <c r="AO1604"/>
      <c r="AP1604"/>
      <c r="AQ1604"/>
    </row>
    <row r="1605" spans="1:43">
      <c r="A1605" s="374" t="s">
        <v>2682</v>
      </c>
      <c r="B1605" s="374" t="s">
        <v>2708</v>
      </c>
      <c r="C1605" s="374" t="s">
        <v>2683</v>
      </c>
      <c r="D1605" s="375" t="str">
        <f t="shared" si="326"/>
        <v>Eynesbury Estate11A4</v>
      </c>
      <c r="E1605" s="375" t="s">
        <v>2684</v>
      </c>
      <c r="F1605" s="375" t="s">
        <v>2685</v>
      </c>
      <c r="G1605" s="375" t="s">
        <v>2686</v>
      </c>
      <c r="H1605" s="375" t="s">
        <v>2687</v>
      </c>
      <c r="I1605" s="63"/>
      <c r="J1605" s="47">
        <f t="shared" si="323"/>
        <v>3740</v>
      </c>
      <c r="K1605" s="46" t="s">
        <v>7938</v>
      </c>
      <c r="L1605" s="47">
        <f t="shared" si="328"/>
        <v>1210</v>
      </c>
      <c r="M1605" s="47" t="s">
        <v>2688</v>
      </c>
      <c r="N1605" s="47"/>
      <c r="O1605" s="47" t="s">
        <v>2689</v>
      </c>
      <c r="P1605" s="47"/>
      <c r="Q1605" s="47">
        <f t="shared" si="329"/>
        <v>0</v>
      </c>
      <c r="R1605" s="47" t="s">
        <v>2690</v>
      </c>
      <c r="S1605" s="47"/>
      <c r="T1605" s="47" t="s">
        <v>1192</v>
      </c>
      <c r="U1605" s="47"/>
      <c r="V1605" s="47" t="s">
        <v>2691</v>
      </c>
      <c r="W1605" s="47"/>
      <c r="X1605" s="47">
        <f t="shared" si="330"/>
        <v>3000</v>
      </c>
      <c r="Y1605" s="47"/>
      <c r="Z1605" s="47">
        <f t="shared" si="327"/>
        <v>4620</v>
      </c>
      <c r="AA1605" s="47"/>
      <c r="AB1605" s="47"/>
      <c r="AC1605" s="47">
        <f t="shared" si="331"/>
        <v>5200</v>
      </c>
      <c r="AD1605" s="47"/>
      <c r="AE1605" s="47" t="s">
        <v>2692</v>
      </c>
      <c r="AF1605" s="47"/>
      <c r="AG1605" s="47"/>
      <c r="AH1605" s="47" t="str">
        <f>IFERROR(_xlfn.XLOOKUP(Table6[[#This Row],[Suburb]],Table5[Travel Surcharge],Table5[$$]),"")</f>
        <v/>
      </c>
      <c r="AI1605" s="47" t="s">
        <v>2693</v>
      </c>
      <c r="AJ1605" s="47"/>
      <c r="AO1605" s="379"/>
      <c r="AP1605" s="379"/>
      <c r="AQ1605" s="379"/>
    </row>
    <row r="1606" spans="1:43">
      <c r="A1606" s="374" t="s">
        <v>2682</v>
      </c>
      <c r="B1606" s="374" t="s">
        <v>2709</v>
      </c>
      <c r="C1606" s="374" t="s">
        <v>2683</v>
      </c>
      <c r="D1606" s="375" t="str">
        <f t="shared" si="326"/>
        <v>Eynesbury Estate11A5</v>
      </c>
      <c r="E1606" s="375" t="s">
        <v>2684</v>
      </c>
      <c r="F1606" s="375" t="s">
        <v>2685</v>
      </c>
      <c r="G1606" s="375" t="s">
        <v>2686</v>
      </c>
      <c r="H1606" s="375" t="s">
        <v>2687</v>
      </c>
      <c r="I1606" s="63"/>
      <c r="J1606" s="47">
        <f t="shared" si="323"/>
        <v>3740</v>
      </c>
      <c r="K1606" s="46" t="s">
        <v>7938</v>
      </c>
      <c r="L1606" s="47">
        <f t="shared" si="328"/>
        <v>1210</v>
      </c>
      <c r="M1606" s="47" t="s">
        <v>2688</v>
      </c>
      <c r="N1606" s="47"/>
      <c r="O1606" s="47" t="s">
        <v>2689</v>
      </c>
      <c r="P1606" s="47"/>
      <c r="Q1606" s="47">
        <f t="shared" si="329"/>
        <v>0</v>
      </c>
      <c r="R1606" s="47" t="s">
        <v>2690</v>
      </c>
      <c r="S1606" s="47"/>
      <c r="T1606" s="47" t="s">
        <v>1192</v>
      </c>
      <c r="U1606" s="47"/>
      <c r="V1606" s="47" t="s">
        <v>2691</v>
      </c>
      <c r="W1606" s="47"/>
      <c r="X1606" s="47">
        <f t="shared" si="330"/>
        <v>3000</v>
      </c>
      <c r="Y1606" s="47"/>
      <c r="Z1606" s="47">
        <f t="shared" si="327"/>
        <v>4620</v>
      </c>
      <c r="AA1606" s="47"/>
      <c r="AB1606" s="47"/>
      <c r="AC1606" s="47">
        <f t="shared" si="331"/>
        <v>5200</v>
      </c>
      <c r="AD1606" s="47"/>
      <c r="AE1606" s="47" t="s">
        <v>2692</v>
      </c>
      <c r="AF1606" s="47"/>
      <c r="AG1606" s="47"/>
      <c r="AH1606" s="47" t="str">
        <f>IFERROR(_xlfn.XLOOKUP(Table6[[#This Row],[Suburb]],Table5[Travel Surcharge],Table5[$$]),"")</f>
        <v/>
      </c>
      <c r="AI1606" s="47" t="s">
        <v>2693</v>
      </c>
      <c r="AJ1606" s="47"/>
    </row>
    <row r="1607" spans="1:43">
      <c r="A1607" s="374" t="s">
        <v>2682</v>
      </c>
      <c r="B1607" s="374" t="s">
        <v>2710</v>
      </c>
      <c r="C1607" s="374" t="s">
        <v>2683</v>
      </c>
      <c r="D1607" s="375" t="str">
        <f t="shared" si="326"/>
        <v>Eynesbury Estate11A6</v>
      </c>
      <c r="E1607" s="375" t="s">
        <v>2711</v>
      </c>
      <c r="F1607" s="375" t="s">
        <v>2685</v>
      </c>
      <c r="G1607" s="375" t="s">
        <v>2686</v>
      </c>
      <c r="H1607" s="375" t="s">
        <v>2687</v>
      </c>
      <c r="I1607" s="63"/>
      <c r="J1607" s="47">
        <f t="shared" si="323"/>
        <v>3740</v>
      </c>
      <c r="K1607" s="46" t="s">
        <v>7938</v>
      </c>
      <c r="L1607" s="47">
        <f t="shared" si="328"/>
        <v>1210</v>
      </c>
      <c r="M1607" s="47" t="s">
        <v>2688</v>
      </c>
      <c r="N1607" s="47"/>
      <c r="O1607" s="47" t="s">
        <v>2689</v>
      </c>
      <c r="P1607" s="47"/>
      <c r="Q1607" s="47">
        <f t="shared" si="329"/>
        <v>0</v>
      </c>
      <c r="R1607" s="47" t="s">
        <v>2690</v>
      </c>
      <c r="S1607" s="47"/>
      <c r="T1607" s="47" t="s">
        <v>1192</v>
      </c>
      <c r="U1607" s="47"/>
      <c r="V1607" s="47" t="s">
        <v>2691</v>
      </c>
      <c r="W1607" s="47"/>
      <c r="X1607" s="47">
        <f t="shared" si="330"/>
        <v>3000</v>
      </c>
      <c r="Y1607" s="47"/>
      <c r="Z1607" s="47">
        <f t="shared" si="327"/>
        <v>4620</v>
      </c>
      <c r="AA1607" s="47"/>
      <c r="AB1607" s="47"/>
      <c r="AC1607" s="47">
        <f t="shared" si="331"/>
        <v>5200</v>
      </c>
      <c r="AD1607" s="47"/>
      <c r="AE1607" s="47" t="s">
        <v>2692</v>
      </c>
      <c r="AF1607" s="47"/>
      <c r="AG1607" s="47"/>
      <c r="AH1607" s="47" t="str">
        <f>IFERROR(_xlfn.XLOOKUP(Table6[[#This Row],[Suburb]],Table5[Travel Surcharge],Table5[$$]),"")</f>
        <v/>
      </c>
      <c r="AI1607" s="47" t="s">
        <v>2693</v>
      </c>
      <c r="AJ1607" s="47"/>
    </row>
    <row r="1608" spans="1:43">
      <c r="A1608" s="374" t="s">
        <v>2682</v>
      </c>
      <c r="B1608" s="374" t="s">
        <v>1936</v>
      </c>
      <c r="C1608" s="374" t="s">
        <v>2683</v>
      </c>
      <c r="D1608" s="375" t="str">
        <f t="shared" si="326"/>
        <v>Eynesbury Estate15A</v>
      </c>
      <c r="E1608" s="375" t="s">
        <v>2716</v>
      </c>
      <c r="F1608" s="375" t="s">
        <v>2685</v>
      </c>
      <c r="G1608" s="375" t="s">
        <v>2686</v>
      </c>
      <c r="H1608" s="375" t="s">
        <v>2687</v>
      </c>
      <c r="I1608" s="63"/>
      <c r="J1608" s="47">
        <f t="shared" si="323"/>
        <v>3740</v>
      </c>
      <c r="K1608" s="46" t="s">
        <v>7938</v>
      </c>
      <c r="L1608" s="47">
        <f t="shared" si="328"/>
        <v>1210</v>
      </c>
      <c r="M1608" s="47" t="s">
        <v>2688</v>
      </c>
      <c r="N1608" s="47"/>
      <c r="O1608" s="47" t="s">
        <v>2689</v>
      </c>
      <c r="P1608" s="47"/>
      <c r="Q1608" s="47">
        <f t="shared" si="329"/>
        <v>0</v>
      </c>
      <c r="R1608" s="47" t="s">
        <v>2690</v>
      </c>
      <c r="S1608" s="47"/>
      <c r="T1608" s="47" t="s">
        <v>1192</v>
      </c>
      <c r="U1608" s="47"/>
      <c r="V1608" s="47" t="s">
        <v>2691</v>
      </c>
      <c r="W1608" s="47"/>
      <c r="X1608" s="47">
        <f t="shared" si="330"/>
        <v>3000</v>
      </c>
      <c r="Y1608" s="47"/>
      <c r="Z1608" s="47">
        <f t="shared" si="327"/>
        <v>4620</v>
      </c>
      <c r="AA1608" s="47"/>
      <c r="AB1608" s="47"/>
      <c r="AC1608" s="47">
        <f t="shared" si="331"/>
        <v>5200</v>
      </c>
      <c r="AD1608" s="47"/>
      <c r="AE1608" s="47" t="s">
        <v>2692</v>
      </c>
      <c r="AF1608" s="47"/>
      <c r="AG1608" s="47"/>
      <c r="AH1608" s="47" t="str">
        <f>IFERROR(_xlfn.XLOOKUP(Table6[[#This Row],[Suburb]],Table5[Travel Surcharge],Table5[$$]),"")</f>
        <v/>
      </c>
      <c r="AI1608" s="47" t="s">
        <v>2693</v>
      </c>
      <c r="AJ1608" s="47"/>
    </row>
    <row r="1609" spans="1:43">
      <c r="A1609" s="374" t="s">
        <v>2682</v>
      </c>
      <c r="B1609" s="374" t="s">
        <v>2717</v>
      </c>
      <c r="C1609" s="374" t="s">
        <v>2683</v>
      </c>
      <c r="D1609" s="375" t="str">
        <f t="shared" si="326"/>
        <v>Eynesbury Estate15B</v>
      </c>
      <c r="E1609" s="375" t="s">
        <v>2718</v>
      </c>
      <c r="F1609" s="375" t="s">
        <v>2685</v>
      </c>
      <c r="G1609" s="375" t="s">
        <v>2686</v>
      </c>
      <c r="H1609" s="375" t="s">
        <v>2687</v>
      </c>
      <c r="I1609" s="63"/>
      <c r="J1609" s="47">
        <v>3740</v>
      </c>
      <c r="K1609" s="46" t="s">
        <v>7938</v>
      </c>
      <c r="L1609" s="47">
        <v>1210</v>
      </c>
      <c r="M1609" s="47" t="s">
        <v>2688</v>
      </c>
      <c r="N1609" s="47"/>
      <c r="O1609" s="47" t="s">
        <v>2689</v>
      </c>
      <c r="P1609" s="47"/>
      <c r="Q1609" s="47">
        <v>0</v>
      </c>
      <c r="R1609" s="47" t="s">
        <v>2690</v>
      </c>
      <c r="S1609" s="47"/>
      <c r="T1609" s="47" t="s">
        <v>1192</v>
      </c>
      <c r="U1609" s="47"/>
      <c r="V1609" s="47" t="s">
        <v>2691</v>
      </c>
      <c r="W1609" s="47"/>
      <c r="X1609" s="47">
        <v>3000</v>
      </c>
      <c r="Y1609" s="47"/>
      <c r="Z1609" s="47">
        <v>4620</v>
      </c>
      <c r="AA1609" s="47"/>
      <c r="AB1609" s="47"/>
      <c r="AC1609" s="47">
        <v>4400</v>
      </c>
      <c r="AD1609" s="47"/>
      <c r="AE1609" s="47" t="s">
        <v>2692</v>
      </c>
      <c r="AF1609" s="47"/>
      <c r="AG1609" s="47"/>
      <c r="AH1609" s="47" t="str">
        <f>IFERROR(_xlfn.XLOOKUP(Table6[[#This Row],[Suburb]],Table5[Travel Surcharge],Table5[$$]),"")</f>
        <v/>
      </c>
      <c r="AI1609" s="47" t="s">
        <v>2693</v>
      </c>
      <c r="AJ1609" s="47"/>
    </row>
    <row r="1610" spans="1:43">
      <c r="A1610" s="374" t="s">
        <v>2682</v>
      </c>
      <c r="B1610" s="374" t="s">
        <v>2717</v>
      </c>
      <c r="C1610" s="374" t="s">
        <v>8565</v>
      </c>
      <c r="D1610" s="375" t="str">
        <f t="shared" si="326"/>
        <v>Eynesbury Estate15B</v>
      </c>
      <c r="E1610" s="375" t="s">
        <v>8566</v>
      </c>
      <c r="F1610" s="375" t="s">
        <v>2685</v>
      </c>
      <c r="G1610" s="375" t="s">
        <v>2686</v>
      </c>
      <c r="H1610" s="375" t="s">
        <v>8567</v>
      </c>
      <c r="I1610" s="63"/>
      <c r="J1610" s="47">
        <v>3741</v>
      </c>
      <c r="K1610" s="46" t="s">
        <v>7938</v>
      </c>
      <c r="L1610" s="47">
        <v>1211</v>
      </c>
      <c r="M1610" s="47" t="s">
        <v>8568</v>
      </c>
      <c r="N1610" s="47"/>
      <c r="O1610" s="47" t="s">
        <v>8569</v>
      </c>
      <c r="P1610" s="47"/>
      <c r="Q1610" s="47">
        <v>1</v>
      </c>
      <c r="R1610" s="47" t="s">
        <v>8570</v>
      </c>
      <c r="S1610" s="47"/>
      <c r="T1610" s="47" t="s">
        <v>1192</v>
      </c>
      <c r="U1610" s="47"/>
      <c r="V1610" s="47" t="s">
        <v>8571</v>
      </c>
      <c r="W1610" s="47"/>
      <c r="X1610" s="47">
        <v>3000</v>
      </c>
      <c r="Y1610" s="47"/>
      <c r="Z1610" s="47">
        <v>4620</v>
      </c>
      <c r="AA1610" s="47"/>
      <c r="AB1610" s="47"/>
      <c r="AC1610" s="47">
        <v>4400</v>
      </c>
      <c r="AD1610" s="47"/>
      <c r="AE1610" s="47" t="s">
        <v>8572</v>
      </c>
      <c r="AF1610" s="47"/>
      <c r="AG1610" s="47"/>
      <c r="AH1610" s="47" t="str">
        <f>IFERROR(_xlfn.XLOOKUP(Table6[[#This Row],[Suburb]],Table5[Travel Surcharge],Table5[$$]),"")</f>
        <v/>
      </c>
      <c r="AI1610" s="47" t="s">
        <v>8573</v>
      </c>
      <c r="AJ1610" s="47"/>
    </row>
    <row r="1611" spans="1:43">
      <c r="A1611" s="157" t="s">
        <v>2682</v>
      </c>
      <c r="B1611" s="157" t="s">
        <v>4082</v>
      </c>
      <c r="C1611" s="157" t="s">
        <v>2683</v>
      </c>
      <c r="D1611" s="157" t="str">
        <f t="shared" si="326"/>
        <v>Eynesbury Estate18A</v>
      </c>
      <c r="E1611" s="157" t="s">
        <v>8574</v>
      </c>
      <c r="F1611" s="157" t="s">
        <v>2685</v>
      </c>
      <c r="G1611" s="157" t="s">
        <v>2686</v>
      </c>
      <c r="H1611" s="157" t="s">
        <v>2687</v>
      </c>
      <c r="I1611" s="158"/>
      <c r="J1611" s="47">
        <f t="shared" ref="J1611:J1627" si="332">J$7</f>
        <v>3740</v>
      </c>
      <c r="K1611" s="46" t="s">
        <v>7938</v>
      </c>
      <c r="L1611" s="47" t="s">
        <v>4119</v>
      </c>
      <c r="M1611" s="47" t="s">
        <v>2688</v>
      </c>
      <c r="N1611" s="47"/>
      <c r="O1611" s="47" t="s">
        <v>2689</v>
      </c>
      <c r="P1611" s="47"/>
      <c r="Q1611" s="47">
        <f t="shared" ref="Q1611:Q1627" si="333">Q$2</f>
        <v>0</v>
      </c>
      <c r="R1611" s="47" t="s">
        <v>2690</v>
      </c>
      <c r="S1611" s="47"/>
      <c r="T1611" s="47" t="s">
        <v>1192</v>
      </c>
      <c r="U1611" s="47"/>
      <c r="V1611" s="47" t="s">
        <v>2691</v>
      </c>
      <c r="W1611" s="47"/>
      <c r="X1611" s="47">
        <f t="shared" ref="X1611:X1627" si="334">X$7</f>
        <v>3000</v>
      </c>
      <c r="Y1611" s="47"/>
      <c r="Z1611" s="47">
        <f t="shared" ref="Z1611:Z1659" si="335">Z$7</f>
        <v>4620</v>
      </c>
      <c r="AA1611" s="47"/>
      <c r="AB1611" s="47"/>
      <c r="AC1611" s="47">
        <f t="shared" ref="AC1611:AC1627" si="336">AC$7</f>
        <v>5200</v>
      </c>
      <c r="AD1611" s="47"/>
      <c r="AE1611" s="47" t="str">
        <f>"**PREMIUM LOTS** "&amp;AE$7</f>
        <v>**PREMIUM LOTS** 5000</v>
      </c>
      <c r="AF1611" s="47"/>
      <c r="AG1611" s="47"/>
      <c r="AH1611" s="47" t="str">
        <f>IFERROR(_xlfn.XLOOKUP(Table6[[#This Row],[Suburb]],Table5[Travel Surcharge],Table5[$$]),"")</f>
        <v/>
      </c>
      <c r="AI1611" s="47" t="s">
        <v>2693</v>
      </c>
      <c r="AJ1611" s="47"/>
    </row>
    <row r="1612" spans="1:43">
      <c r="A1612" s="374" t="s">
        <v>2682</v>
      </c>
      <c r="B1612" s="374" t="s">
        <v>2719</v>
      </c>
      <c r="C1612" s="374" t="s">
        <v>2683</v>
      </c>
      <c r="D1612" s="375" t="str">
        <f t="shared" si="326"/>
        <v>Eynesbury Estate18D</v>
      </c>
      <c r="E1612" s="375" t="s">
        <v>2720</v>
      </c>
      <c r="F1612" s="375" t="s">
        <v>2685</v>
      </c>
      <c r="G1612" s="375" t="s">
        <v>2686</v>
      </c>
      <c r="H1612" s="375" t="s">
        <v>2687</v>
      </c>
      <c r="I1612" s="63"/>
      <c r="J1612" s="47">
        <f t="shared" si="332"/>
        <v>3740</v>
      </c>
      <c r="K1612" s="46" t="s">
        <v>7938</v>
      </c>
      <c r="L1612" s="47">
        <f t="shared" ref="L1612:L1627" si="337">L$7</f>
        <v>1210</v>
      </c>
      <c r="M1612" s="47" t="s">
        <v>2688</v>
      </c>
      <c r="N1612" s="47"/>
      <c r="O1612" s="47" t="s">
        <v>2689</v>
      </c>
      <c r="P1612" s="47"/>
      <c r="Q1612" s="47">
        <f t="shared" si="333"/>
        <v>0</v>
      </c>
      <c r="R1612" s="47" t="s">
        <v>2690</v>
      </c>
      <c r="S1612" s="47"/>
      <c r="T1612" s="47" t="s">
        <v>1192</v>
      </c>
      <c r="U1612" s="47"/>
      <c r="V1612" s="47" t="s">
        <v>2691</v>
      </c>
      <c r="W1612" s="47"/>
      <c r="X1612" s="47">
        <f t="shared" si="334"/>
        <v>3000</v>
      </c>
      <c r="Y1612" s="47"/>
      <c r="Z1612" s="47">
        <f t="shared" si="335"/>
        <v>4620</v>
      </c>
      <c r="AA1612" s="47"/>
      <c r="AB1612" s="47"/>
      <c r="AC1612" s="47">
        <f t="shared" si="336"/>
        <v>5200</v>
      </c>
      <c r="AD1612" s="47"/>
      <c r="AE1612" s="47" t="s">
        <v>2692</v>
      </c>
      <c r="AF1612" s="47"/>
      <c r="AG1612" s="47"/>
      <c r="AH1612" s="47" t="str">
        <f>IFERROR(_xlfn.XLOOKUP(Table6[[#This Row],[Suburb]],Table5[Travel Surcharge],Table5[$$]),"")</f>
        <v/>
      </c>
      <c r="AI1612" s="47" t="s">
        <v>2693</v>
      </c>
      <c r="AJ1612" s="47"/>
    </row>
    <row r="1613" spans="1:43">
      <c r="A1613" s="374" t="s">
        <v>2682</v>
      </c>
      <c r="B1613" s="374" t="s">
        <v>7468</v>
      </c>
      <c r="C1613" s="374" t="s">
        <v>2683</v>
      </c>
      <c r="D1613" s="375" t="str">
        <f t="shared" si="326"/>
        <v>Eynesbury Estate23D</v>
      </c>
      <c r="E1613" s="375" t="s">
        <v>7469</v>
      </c>
      <c r="F1613" s="375" t="s">
        <v>2685</v>
      </c>
      <c r="G1613" s="375" t="s">
        <v>2686</v>
      </c>
      <c r="H1613" s="375" t="s">
        <v>2687</v>
      </c>
      <c r="I1613" s="63"/>
      <c r="J1613" s="47">
        <f t="shared" si="332"/>
        <v>3740</v>
      </c>
      <c r="K1613" s="46" t="s">
        <v>7938</v>
      </c>
      <c r="L1613" s="47">
        <f t="shared" si="337"/>
        <v>1210</v>
      </c>
      <c r="M1613" s="47" t="s">
        <v>2688</v>
      </c>
      <c r="N1613" s="47"/>
      <c r="O1613" s="47" t="s">
        <v>2689</v>
      </c>
      <c r="P1613" s="47"/>
      <c r="Q1613" s="47">
        <f t="shared" si="333"/>
        <v>0</v>
      </c>
      <c r="R1613" s="47" t="s">
        <v>2690</v>
      </c>
      <c r="S1613" s="47"/>
      <c r="T1613" s="47" t="s">
        <v>1192</v>
      </c>
      <c r="U1613" s="47"/>
      <c r="V1613" s="47" t="s">
        <v>2691</v>
      </c>
      <c r="W1613" s="47"/>
      <c r="X1613" s="47">
        <f t="shared" si="334"/>
        <v>3000</v>
      </c>
      <c r="Y1613" s="47"/>
      <c r="Z1613" s="47">
        <f t="shared" si="335"/>
        <v>4620</v>
      </c>
      <c r="AA1613" s="47"/>
      <c r="AB1613" s="47"/>
      <c r="AC1613" s="47">
        <f t="shared" si="336"/>
        <v>5200</v>
      </c>
      <c r="AD1613" s="47"/>
      <c r="AE1613" s="47" t="s">
        <v>2692</v>
      </c>
      <c r="AF1613" s="47"/>
      <c r="AG1613" s="47"/>
      <c r="AH1613" s="47" t="str">
        <f>IFERROR(_xlfn.XLOOKUP(Table6[[#This Row],[Suburb]],Table5[Travel Surcharge],Table5[$$]),"")</f>
        <v/>
      </c>
      <c r="AI1613" s="47" t="s">
        <v>2693</v>
      </c>
      <c r="AJ1613" s="47"/>
    </row>
    <row r="1614" spans="1:43">
      <c r="A1614" s="374" t="s">
        <v>2682</v>
      </c>
      <c r="B1614" s="374" t="s">
        <v>2712</v>
      </c>
      <c r="C1614" s="374" t="s">
        <v>2683</v>
      </c>
      <c r="D1614" s="375" t="str">
        <f t="shared" si="326"/>
        <v>Eynesbury Estate4A1</v>
      </c>
      <c r="E1614" s="375" t="s">
        <v>2684</v>
      </c>
      <c r="F1614" s="375" t="s">
        <v>2685</v>
      </c>
      <c r="G1614" s="375" t="s">
        <v>2686</v>
      </c>
      <c r="H1614" s="375" t="s">
        <v>2687</v>
      </c>
      <c r="I1614" s="63"/>
      <c r="J1614" s="47">
        <f t="shared" si="332"/>
        <v>3740</v>
      </c>
      <c r="K1614" s="46" t="s">
        <v>7938</v>
      </c>
      <c r="L1614" s="47">
        <f t="shared" si="337"/>
        <v>1210</v>
      </c>
      <c r="M1614" s="47" t="s">
        <v>2688</v>
      </c>
      <c r="N1614" s="47"/>
      <c r="O1614" s="47" t="s">
        <v>2689</v>
      </c>
      <c r="P1614" s="47"/>
      <c r="Q1614" s="47">
        <f t="shared" si="333"/>
        <v>0</v>
      </c>
      <c r="R1614" s="47" t="s">
        <v>2690</v>
      </c>
      <c r="S1614" s="47"/>
      <c r="T1614" s="47" t="s">
        <v>1192</v>
      </c>
      <c r="U1614" s="47"/>
      <c r="V1614" s="47" t="s">
        <v>2691</v>
      </c>
      <c r="W1614" s="47"/>
      <c r="X1614" s="47">
        <f t="shared" si="334"/>
        <v>3000</v>
      </c>
      <c r="Y1614" s="47"/>
      <c r="Z1614" s="47">
        <f t="shared" si="335"/>
        <v>4620</v>
      </c>
      <c r="AA1614" s="47"/>
      <c r="AB1614" s="47"/>
      <c r="AC1614" s="47">
        <f t="shared" si="336"/>
        <v>5200</v>
      </c>
      <c r="AD1614" s="47"/>
      <c r="AE1614" s="47" t="s">
        <v>2692</v>
      </c>
      <c r="AF1614" s="47"/>
      <c r="AG1614" s="47"/>
      <c r="AH1614" s="47" t="str">
        <f>IFERROR(_xlfn.XLOOKUP(Table6[[#This Row],[Suburb]],Table5[Travel Surcharge],Table5[$$]),"")</f>
        <v/>
      </c>
      <c r="AI1614" s="47" t="s">
        <v>2693</v>
      </c>
      <c r="AJ1614" s="47"/>
    </row>
    <row r="1615" spans="1:43">
      <c r="A1615" s="374" t="s">
        <v>2682</v>
      </c>
      <c r="B1615" s="374" t="s">
        <v>2713</v>
      </c>
      <c r="C1615" s="374" t="s">
        <v>2683</v>
      </c>
      <c r="D1615" s="375" t="str">
        <f t="shared" si="326"/>
        <v>Eynesbury Estate4A2</v>
      </c>
      <c r="E1615" s="375" t="s">
        <v>2684</v>
      </c>
      <c r="F1615" s="375" t="s">
        <v>2685</v>
      </c>
      <c r="G1615" s="375" t="s">
        <v>2686</v>
      </c>
      <c r="H1615" s="375" t="s">
        <v>2687</v>
      </c>
      <c r="I1615" s="63"/>
      <c r="J1615" s="47">
        <f t="shared" si="332"/>
        <v>3740</v>
      </c>
      <c r="K1615" s="46" t="s">
        <v>7938</v>
      </c>
      <c r="L1615" s="47">
        <f t="shared" si="337"/>
        <v>1210</v>
      </c>
      <c r="M1615" s="47" t="s">
        <v>2688</v>
      </c>
      <c r="N1615" s="47"/>
      <c r="O1615" s="47" t="s">
        <v>2689</v>
      </c>
      <c r="P1615" s="47"/>
      <c r="Q1615" s="47">
        <f t="shared" si="333"/>
        <v>0</v>
      </c>
      <c r="R1615" s="47" t="s">
        <v>2690</v>
      </c>
      <c r="S1615" s="47"/>
      <c r="T1615" s="47" t="s">
        <v>1192</v>
      </c>
      <c r="U1615" s="47"/>
      <c r="V1615" s="47" t="s">
        <v>2691</v>
      </c>
      <c r="W1615" s="47"/>
      <c r="X1615" s="47">
        <f t="shared" si="334"/>
        <v>3000</v>
      </c>
      <c r="Y1615" s="47"/>
      <c r="Z1615" s="47">
        <f t="shared" si="335"/>
        <v>4620</v>
      </c>
      <c r="AA1615" s="47"/>
      <c r="AB1615" s="47"/>
      <c r="AC1615" s="47">
        <f t="shared" si="336"/>
        <v>5200</v>
      </c>
      <c r="AD1615" s="47"/>
      <c r="AE1615" s="47" t="s">
        <v>2692</v>
      </c>
      <c r="AF1615" s="47"/>
      <c r="AG1615" s="47"/>
      <c r="AH1615" s="47" t="str">
        <f>IFERROR(_xlfn.XLOOKUP(Table6[[#This Row],[Suburb]],Table5[Travel Surcharge],Table5[$$]),"")</f>
        <v/>
      </c>
      <c r="AI1615" s="47" t="s">
        <v>2693</v>
      </c>
      <c r="AJ1615" s="47"/>
    </row>
    <row r="1616" spans="1:43">
      <c r="A1616" s="374" t="s">
        <v>2682</v>
      </c>
      <c r="B1616" s="374" t="s">
        <v>2713</v>
      </c>
      <c r="C1616" s="374" t="s">
        <v>2683</v>
      </c>
      <c r="D1616" s="375" t="str">
        <f t="shared" si="326"/>
        <v>Eynesbury Estate4A2</v>
      </c>
      <c r="E1616" s="375" t="s">
        <v>2684</v>
      </c>
      <c r="F1616" s="375" t="s">
        <v>2685</v>
      </c>
      <c r="G1616" s="375" t="s">
        <v>2686</v>
      </c>
      <c r="H1616" s="375" t="s">
        <v>2687</v>
      </c>
      <c r="I1616" s="63"/>
      <c r="J1616" s="47">
        <f t="shared" si="332"/>
        <v>3740</v>
      </c>
      <c r="K1616" s="46" t="s">
        <v>7938</v>
      </c>
      <c r="L1616" s="47">
        <f t="shared" si="337"/>
        <v>1210</v>
      </c>
      <c r="M1616" s="47" t="s">
        <v>2688</v>
      </c>
      <c r="N1616" s="47"/>
      <c r="O1616" s="47" t="s">
        <v>2689</v>
      </c>
      <c r="P1616" s="47"/>
      <c r="Q1616" s="47">
        <f t="shared" si="333"/>
        <v>0</v>
      </c>
      <c r="R1616" s="47" t="s">
        <v>2690</v>
      </c>
      <c r="S1616" s="47"/>
      <c r="T1616" s="47" t="s">
        <v>1192</v>
      </c>
      <c r="U1616" s="47"/>
      <c r="V1616" s="47" t="s">
        <v>2691</v>
      </c>
      <c r="W1616" s="47"/>
      <c r="X1616" s="47">
        <f t="shared" si="334"/>
        <v>3000</v>
      </c>
      <c r="Y1616" s="47"/>
      <c r="Z1616" s="47">
        <f t="shared" si="335"/>
        <v>4620</v>
      </c>
      <c r="AA1616" s="47"/>
      <c r="AB1616" s="47"/>
      <c r="AC1616" s="47">
        <f t="shared" si="336"/>
        <v>5200</v>
      </c>
      <c r="AD1616" s="47"/>
      <c r="AE1616" s="47" t="s">
        <v>2692</v>
      </c>
      <c r="AF1616" s="47"/>
      <c r="AG1616" s="47"/>
      <c r="AH1616" s="47" t="str">
        <f>IFERROR(_xlfn.XLOOKUP(Table6[[#This Row],[Suburb]],Table5[Travel Surcharge],Table5[$$]),"")</f>
        <v/>
      </c>
      <c r="AI1616" s="47" t="s">
        <v>2693</v>
      </c>
      <c r="AJ1616" s="47"/>
    </row>
    <row r="1617" spans="1:36">
      <c r="A1617" s="374" t="s">
        <v>2682</v>
      </c>
      <c r="B1617" s="374" t="s">
        <v>2714</v>
      </c>
      <c r="C1617" s="374" t="s">
        <v>2683</v>
      </c>
      <c r="D1617" s="375" t="str">
        <f t="shared" si="326"/>
        <v>Eynesbury Estate4A3</v>
      </c>
      <c r="E1617" s="375" t="s">
        <v>2715</v>
      </c>
      <c r="F1617" s="375" t="s">
        <v>2685</v>
      </c>
      <c r="G1617" s="375" t="s">
        <v>2686</v>
      </c>
      <c r="H1617" s="375" t="s">
        <v>2687</v>
      </c>
      <c r="I1617" s="63"/>
      <c r="J1617" s="47">
        <f t="shared" si="332"/>
        <v>3740</v>
      </c>
      <c r="K1617" s="46" t="s">
        <v>7938</v>
      </c>
      <c r="L1617" s="47">
        <f t="shared" si="337"/>
        <v>1210</v>
      </c>
      <c r="M1617" s="47" t="s">
        <v>2688</v>
      </c>
      <c r="N1617" s="47"/>
      <c r="O1617" s="47" t="s">
        <v>2689</v>
      </c>
      <c r="P1617" s="47"/>
      <c r="Q1617" s="47">
        <f t="shared" si="333"/>
        <v>0</v>
      </c>
      <c r="R1617" s="47" t="s">
        <v>2690</v>
      </c>
      <c r="S1617" s="47"/>
      <c r="T1617" s="47" t="s">
        <v>1192</v>
      </c>
      <c r="U1617" s="47"/>
      <c r="V1617" s="47" t="s">
        <v>2691</v>
      </c>
      <c r="W1617" s="47"/>
      <c r="X1617" s="47">
        <f t="shared" si="334"/>
        <v>3000</v>
      </c>
      <c r="Y1617" s="47"/>
      <c r="Z1617" s="47">
        <f t="shared" si="335"/>
        <v>4620</v>
      </c>
      <c r="AA1617" s="47"/>
      <c r="AB1617" s="47"/>
      <c r="AC1617" s="47">
        <f t="shared" si="336"/>
        <v>5200</v>
      </c>
      <c r="AD1617" s="47"/>
      <c r="AE1617" s="47" t="s">
        <v>2692</v>
      </c>
      <c r="AF1617" s="47"/>
      <c r="AG1617" s="47"/>
      <c r="AH1617" s="47" t="str">
        <f>IFERROR(_xlfn.XLOOKUP(Table6[[#This Row],[Suburb]],Table5[Travel Surcharge],Table5[$$]),"")</f>
        <v/>
      </c>
      <c r="AI1617" s="47" t="s">
        <v>2693</v>
      </c>
      <c r="AJ1617" s="47"/>
    </row>
    <row r="1618" spans="1:36">
      <c r="A1618" s="374" t="s">
        <v>2682</v>
      </c>
      <c r="B1618" s="374" t="s">
        <v>619</v>
      </c>
      <c r="C1618" s="374" t="s">
        <v>2683</v>
      </c>
      <c r="D1618" s="375" t="str">
        <f t="shared" si="326"/>
        <v>Eynesbury Estate5C</v>
      </c>
      <c r="E1618" s="375" t="s">
        <v>9591</v>
      </c>
      <c r="F1618" s="375" t="s">
        <v>2685</v>
      </c>
      <c r="G1618" s="375" t="s">
        <v>2686</v>
      </c>
      <c r="H1618" s="375" t="s">
        <v>2687</v>
      </c>
      <c r="I1618" s="63"/>
      <c r="J1618" s="47">
        <f t="shared" si="332"/>
        <v>3740</v>
      </c>
      <c r="K1618" s="46" t="s">
        <v>7938</v>
      </c>
      <c r="L1618" s="47">
        <f t="shared" si="337"/>
        <v>1210</v>
      </c>
      <c r="M1618" s="47" t="s">
        <v>2688</v>
      </c>
      <c r="N1618" s="47"/>
      <c r="O1618" s="47" t="s">
        <v>2689</v>
      </c>
      <c r="P1618" s="47"/>
      <c r="Q1618" s="47">
        <f t="shared" si="333"/>
        <v>0</v>
      </c>
      <c r="R1618" s="47" t="s">
        <v>2690</v>
      </c>
      <c r="S1618" s="47"/>
      <c r="T1618" s="47" t="s">
        <v>1192</v>
      </c>
      <c r="U1618" s="47"/>
      <c r="V1618" s="47" t="s">
        <v>2691</v>
      </c>
      <c r="W1618" s="47"/>
      <c r="X1618" s="47">
        <f t="shared" si="334"/>
        <v>3000</v>
      </c>
      <c r="Y1618" s="47"/>
      <c r="Z1618" s="47">
        <f t="shared" si="335"/>
        <v>4620</v>
      </c>
      <c r="AA1618" s="47"/>
      <c r="AB1618" s="47"/>
      <c r="AC1618" s="47">
        <f t="shared" si="336"/>
        <v>5200</v>
      </c>
      <c r="AD1618" s="47"/>
      <c r="AE1618" s="47" t="s">
        <v>2692</v>
      </c>
      <c r="AF1618" s="47"/>
      <c r="AG1618" s="47"/>
      <c r="AH1618" s="47" t="str">
        <f>IFERROR(_xlfn.XLOOKUP(Table6[[#This Row],[Suburb]],Table5[Travel Surcharge],Table5[$$]),"")</f>
        <v/>
      </c>
      <c r="AI1618" s="47" t="s">
        <v>2693</v>
      </c>
      <c r="AJ1618" s="47"/>
    </row>
    <row r="1619" spans="1:36">
      <c r="A1619" s="374" t="s">
        <v>2682</v>
      </c>
      <c r="B1619" s="374" t="s">
        <v>622</v>
      </c>
      <c r="C1619" s="374" t="s">
        <v>2683</v>
      </c>
      <c r="D1619" s="375" t="str">
        <f t="shared" si="326"/>
        <v>Eynesbury Estate6A</v>
      </c>
      <c r="E1619" s="375" t="s">
        <v>2694</v>
      </c>
      <c r="F1619" s="375" t="s">
        <v>2685</v>
      </c>
      <c r="G1619" s="375" t="s">
        <v>2686</v>
      </c>
      <c r="H1619" s="375" t="s">
        <v>2687</v>
      </c>
      <c r="I1619" s="63"/>
      <c r="J1619" s="47">
        <f t="shared" si="332"/>
        <v>3740</v>
      </c>
      <c r="K1619" s="46" t="s">
        <v>7938</v>
      </c>
      <c r="L1619" s="47">
        <f t="shared" si="337"/>
        <v>1210</v>
      </c>
      <c r="M1619" s="47" t="s">
        <v>2688</v>
      </c>
      <c r="N1619" s="47"/>
      <c r="O1619" s="47" t="s">
        <v>2689</v>
      </c>
      <c r="P1619" s="47"/>
      <c r="Q1619" s="47">
        <f t="shared" si="333"/>
        <v>0</v>
      </c>
      <c r="R1619" s="47" t="s">
        <v>2690</v>
      </c>
      <c r="S1619" s="47"/>
      <c r="T1619" s="47" t="s">
        <v>1192</v>
      </c>
      <c r="U1619" s="47"/>
      <c r="V1619" s="47" t="s">
        <v>2691</v>
      </c>
      <c r="W1619" s="47"/>
      <c r="X1619" s="47">
        <f t="shared" si="334"/>
        <v>3000</v>
      </c>
      <c r="Y1619" s="47"/>
      <c r="Z1619" s="47">
        <f t="shared" si="335"/>
        <v>4620</v>
      </c>
      <c r="AA1619" s="47"/>
      <c r="AB1619" s="47"/>
      <c r="AC1619" s="47">
        <f t="shared" si="336"/>
        <v>5200</v>
      </c>
      <c r="AD1619" s="47"/>
      <c r="AE1619" s="47" t="s">
        <v>2692</v>
      </c>
      <c r="AF1619" s="47"/>
      <c r="AG1619" s="47"/>
      <c r="AH1619" s="47" t="str">
        <f>IFERROR(_xlfn.XLOOKUP(Table6[[#This Row],[Suburb]],Table5[Travel Surcharge],Table5[$$]),"")</f>
        <v/>
      </c>
      <c r="AI1619" s="47" t="s">
        <v>2693</v>
      </c>
      <c r="AJ1619" s="47"/>
    </row>
    <row r="1620" spans="1:36">
      <c r="A1620" s="374" t="s">
        <v>2682</v>
      </c>
      <c r="B1620" s="374" t="s">
        <v>624</v>
      </c>
      <c r="C1620" s="374" t="s">
        <v>2683</v>
      </c>
      <c r="D1620" s="375" t="str">
        <f t="shared" si="326"/>
        <v>Eynesbury Estate6B</v>
      </c>
      <c r="E1620" s="375" t="s">
        <v>2695</v>
      </c>
      <c r="F1620" s="375" t="s">
        <v>2685</v>
      </c>
      <c r="G1620" s="375" t="s">
        <v>2686</v>
      </c>
      <c r="H1620" s="375" t="s">
        <v>2687</v>
      </c>
      <c r="I1620" s="63"/>
      <c r="J1620" s="47">
        <f t="shared" si="332"/>
        <v>3740</v>
      </c>
      <c r="K1620" s="46" t="s">
        <v>7938</v>
      </c>
      <c r="L1620" s="47">
        <f t="shared" si="337"/>
        <v>1210</v>
      </c>
      <c r="M1620" s="47" t="s">
        <v>2688</v>
      </c>
      <c r="N1620" s="47"/>
      <c r="O1620" s="47" t="s">
        <v>2689</v>
      </c>
      <c r="P1620" s="47"/>
      <c r="Q1620" s="47">
        <f t="shared" si="333"/>
        <v>0</v>
      </c>
      <c r="R1620" s="47" t="s">
        <v>2690</v>
      </c>
      <c r="S1620" s="47"/>
      <c r="T1620" s="47" t="s">
        <v>1192</v>
      </c>
      <c r="U1620" s="47"/>
      <c r="V1620" s="47" t="s">
        <v>2691</v>
      </c>
      <c r="W1620" s="47"/>
      <c r="X1620" s="47">
        <f t="shared" si="334"/>
        <v>3000</v>
      </c>
      <c r="Y1620" s="47"/>
      <c r="Z1620" s="47">
        <f t="shared" si="335"/>
        <v>4620</v>
      </c>
      <c r="AA1620" s="47"/>
      <c r="AB1620" s="47"/>
      <c r="AC1620" s="47">
        <f t="shared" si="336"/>
        <v>5200</v>
      </c>
      <c r="AD1620" s="47"/>
      <c r="AE1620" s="47" t="s">
        <v>2692</v>
      </c>
      <c r="AF1620" s="47"/>
      <c r="AG1620" s="47"/>
      <c r="AH1620" s="47" t="str">
        <f>IFERROR(_xlfn.XLOOKUP(Table6[[#This Row],[Suburb]],Table5[Travel Surcharge],Table5[$$]),"")</f>
        <v/>
      </c>
      <c r="AI1620" s="47" t="s">
        <v>2693</v>
      </c>
      <c r="AJ1620" s="47"/>
    </row>
    <row r="1621" spans="1:36">
      <c r="A1621" s="374" t="s">
        <v>2682</v>
      </c>
      <c r="B1621" s="374" t="s">
        <v>626</v>
      </c>
      <c r="C1621" s="374" t="s">
        <v>2683</v>
      </c>
      <c r="D1621" s="375" t="str">
        <f t="shared" si="326"/>
        <v>Eynesbury Estate6C</v>
      </c>
      <c r="E1621" s="375" t="s">
        <v>2696</v>
      </c>
      <c r="F1621" s="375" t="s">
        <v>2685</v>
      </c>
      <c r="G1621" s="375" t="s">
        <v>2686</v>
      </c>
      <c r="H1621" s="375" t="s">
        <v>2687</v>
      </c>
      <c r="I1621" s="63"/>
      <c r="J1621" s="47">
        <f t="shared" si="332"/>
        <v>3740</v>
      </c>
      <c r="K1621" s="46" t="s">
        <v>7938</v>
      </c>
      <c r="L1621" s="47">
        <f t="shared" si="337"/>
        <v>1210</v>
      </c>
      <c r="M1621" s="47" t="s">
        <v>2688</v>
      </c>
      <c r="N1621" s="47"/>
      <c r="O1621" s="47" t="s">
        <v>2689</v>
      </c>
      <c r="P1621" s="47"/>
      <c r="Q1621" s="47">
        <f t="shared" si="333"/>
        <v>0</v>
      </c>
      <c r="R1621" s="47" t="s">
        <v>2690</v>
      </c>
      <c r="S1621" s="47"/>
      <c r="T1621" s="47" t="s">
        <v>1192</v>
      </c>
      <c r="U1621" s="47"/>
      <c r="V1621" s="47" t="s">
        <v>2691</v>
      </c>
      <c r="W1621" s="47"/>
      <c r="X1621" s="47">
        <f t="shared" si="334"/>
        <v>3000</v>
      </c>
      <c r="Y1621" s="47"/>
      <c r="Z1621" s="47">
        <f t="shared" si="335"/>
        <v>4620</v>
      </c>
      <c r="AA1621" s="47"/>
      <c r="AB1621" s="47"/>
      <c r="AC1621" s="47">
        <f t="shared" si="336"/>
        <v>5200</v>
      </c>
      <c r="AD1621" s="47"/>
      <c r="AE1621" s="47" t="s">
        <v>2692</v>
      </c>
      <c r="AF1621" s="47"/>
      <c r="AG1621" s="47"/>
      <c r="AH1621" s="47" t="str">
        <f>IFERROR(_xlfn.XLOOKUP(Table6[[#This Row],[Suburb]],Table5[Travel Surcharge],Table5[$$]),"")</f>
        <v/>
      </c>
      <c r="AI1621" s="47" t="s">
        <v>2693</v>
      </c>
      <c r="AJ1621" s="47"/>
    </row>
    <row r="1622" spans="1:36">
      <c r="A1622" s="374" t="s">
        <v>2682</v>
      </c>
      <c r="B1622" s="374" t="s">
        <v>2697</v>
      </c>
      <c r="C1622" s="374" t="s">
        <v>2683</v>
      </c>
      <c r="D1622" s="375" t="str">
        <f t="shared" ref="D1622:D1659" si="338">CONCATENATE(A1622,B1622)</f>
        <v>Eynesbury Estate6D</v>
      </c>
      <c r="E1622" s="375" t="s">
        <v>2698</v>
      </c>
      <c r="F1622" s="375" t="s">
        <v>2685</v>
      </c>
      <c r="G1622" s="375" t="s">
        <v>2686</v>
      </c>
      <c r="H1622" s="375" t="s">
        <v>2687</v>
      </c>
      <c r="I1622" s="63"/>
      <c r="J1622" s="47">
        <f t="shared" si="332"/>
        <v>3740</v>
      </c>
      <c r="K1622" s="46" t="s">
        <v>7938</v>
      </c>
      <c r="L1622" s="47">
        <f t="shared" si="337"/>
        <v>1210</v>
      </c>
      <c r="M1622" s="47" t="s">
        <v>2688</v>
      </c>
      <c r="N1622" s="47"/>
      <c r="O1622" s="47" t="s">
        <v>2689</v>
      </c>
      <c r="P1622" s="47"/>
      <c r="Q1622" s="47">
        <f t="shared" si="333"/>
        <v>0</v>
      </c>
      <c r="R1622" s="47" t="s">
        <v>2690</v>
      </c>
      <c r="S1622" s="47"/>
      <c r="T1622" s="47" t="s">
        <v>1192</v>
      </c>
      <c r="U1622" s="47"/>
      <c r="V1622" s="47" t="s">
        <v>2691</v>
      </c>
      <c r="W1622" s="47"/>
      <c r="X1622" s="47">
        <f t="shared" si="334"/>
        <v>3000</v>
      </c>
      <c r="Y1622" s="47"/>
      <c r="Z1622" s="47">
        <f t="shared" si="335"/>
        <v>4620</v>
      </c>
      <c r="AA1622" s="47"/>
      <c r="AB1622" s="47"/>
      <c r="AC1622" s="47">
        <f t="shared" si="336"/>
        <v>5200</v>
      </c>
      <c r="AD1622" s="47"/>
      <c r="AE1622" s="47" t="s">
        <v>2692</v>
      </c>
      <c r="AF1622" s="47"/>
      <c r="AG1622" s="47"/>
      <c r="AH1622" s="47" t="str">
        <f>IFERROR(_xlfn.XLOOKUP(Table6[[#This Row],[Suburb]],Table5[Travel Surcharge],Table5[$$]),"")</f>
        <v/>
      </c>
      <c r="AI1622" s="47" t="s">
        <v>2693</v>
      </c>
      <c r="AJ1622" s="47"/>
    </row>
    <row r="1623" spans="1:36">
      <c r="A1623" s="374" t="s">
        <v>2682</v>
      </c>
      <c r="B1623" s="374" t="s">
        <v>2699</v>
      </c>
      <c r="C1623" s="374" t="s">
        <v>2683</v>
      </c>
      <c r="D1623" s="375" t="str">
        <f t="shared" si="338"/>
        <v>Eynesbury Estate6E</v>
      </c>
      <c r="E1623" s="375" t="s">
        <v>2700</v>
      </c>
      <c r="F1623" s="375" t="s">
        <v>2685</v>
      </c>
      <c r="G1623" s="375" t="s">
        <v>2686</v>
      </c>
      <c r="H1623" s="375" t="s">
        <v>2687</v>
      </c>
      <c r="I1623" s="63"/>
      <c r="J1623" s="47">
        <f t="shared" si="332"/>
        <v>3740</v>
      </c>
      <c r="K1623" s="46" t="s">
        <v>7938</v>
      </c>
      <c r="L1623" s="47">
        <f t="shared" si="337"/>
        <v>1210</v>
      </c>
      <c r="M1623" s="47" t="s">
        <v>2688</v>
      </c>
      <c r="N1623" s="47"/>
      <c r="O1623" s="47" t="s">
        <v>2689</v>
      </c>
      <c r="P1623" s="47"/>
      <c r="Q1623" s="47">
        <f t="shared" si="333"/>
        <v>0</v>
      </c>
      <c r="R1623" s="47" t="s">
        <v>2690</v>
      </c>
      <c r="S1623" s="47"/>
      <c r="T1623" s="47" t="s">
        <v>1192</v>
      </c>
      <c r="U1623" s="47"/>
      <c r="V1623" s="47" t="s">
        <v>2691</v>
      </c>
      <c r="W1623" s="47"/>
      <c r="X1623" s="47">
        <f t="shared" si="334"/>
        <v>3000</v>
      </c>
      <c r="Y1623" s="47"/>
      <c r="Z1623" s="47">
        <f t="shared" si="335"/>
        <v>4620</v>
      </c>
      <c r="AA1623" s="47"/>
      <c r="AB1623" s="47"/>
      <c r="AC1623" s="47">
        <f t="shared" si="336"/>
        <v>5200</v>
      </c>
      <c r="AD1623" s="47"/>
      <c r="AE1623" s="47" t="s">
        <v>2692</v>
      </c>
      <c r="AF1623" s="47"/>
      <c r="AG1623" s="47"/>
      <c r="AH1623" s="47" t="str">
        <f>IFERROR(_xlfn.XLOOKUP(Table6[[#This Row],[Suburb]],Table5[Travel Surcharge],Table5[$$]),"")</f>
        <v/>
      </c>
      <c r="AI1623" s="47" t="s">
        <v>2693</v>
      </c>
      <c r="AJ1623" s="47"/>
    </row>
    <row r="1624" spans="1:36">
      <c r="A1624" s="374" t="s">
        <v>2682</v>
      </c>
      <c r="B1624" s="374" t="s">
        <v>628</v>
      </c>
      <c r="C1624" s="374" t="s">
        <v>2683</v>
      </c>
      <c r="D1624" s="375" t="str">
        <f t="shared" si="338"/>
        <v>Eynesbury Estate6F</v>
      </c>
      <c r="E1624" s="375" t="s">
        <v>2701</v>
      </c>
      <c r="F1624" s="375" t="s">
        <v>2685</v>
      </c>
      <c r="G1624" s="375" t="s">
        <v>2686</v>
      </c>
      <c r="H1624" s="375" t="s">
        <v>2687</v>
      </c>
      <c r="I1624" s="63"/>
      <c r="J1624" s="47">
        <f t="shared" si="332"/>
        <v>3740</v>
      </c>
      <c r="K1624" s="46" t="s">
        <v>7938</v>
      </c>
      <c r="L1624" s="47">
        <f t="shared" si="337"/>
        <v>1210</v>
      </c>
      <c r="M1624" s="47" t="s">
        <v>2688</v>
      </c>
      <c r="N1624" s="47"/>
      <c r="O1624" s="47" t="s">
        <v>2689</v>
      </c>
      <c r="P1624" s="47"/>
      <c r="Q1624" s="47">
        <f t="shared" si="333"/>
        <v>0</v>
      </c>
      <c r="R1624" s="47" t="s">
        <v>2690</v>
      </c>
      <c r="S1624" s="47"/>
      <c r="T1624" s="47" t="s">
        <v>1192</v>
      </c>
      <c r="U1624" s="47"/>
      <c r="V1624" s="47" t="s">
        <v>2691</v>
      </c>
      <c r="W1624" s="47"/>
      <c r="X1624" s="47">
        <f t="shared" si="334"/>
        <v>3000</v>
      </c>
      <c r="Y1624" s="47"/>
      <c r="Z1624" s="47">
        <f t="shared" si="335"/>
        <v>4620</v>
      </c>
      <c r="AA1624" s="47"/>
      <c r="AB1624" s="47"/>
      <c r="AC1624" s="47">
        <f t="shared" si="336"/>
        <v>5200</v>
      </c>
      <c r="AD1624" s="47"/>
      <c r="AE1624" s="47" t="s">
        <v>2692</v>
      </c>
      <c r="AF1624" s="47"/>
      <c r="AG1624" s="47"/>
      <c r="AH1624" s="47" t="str">
        <f>IFERROR(_xlfn.XLOOKUP(Table6[[#This Row],[Suburb]],Table5[Travel Surcharge],Table5[$$]),"")</f>
        <v/>
      </c>
      <c r="AI1624" s="47" t="s">
        <v>2693</v>
      </c>
      <c r="AJ1624" s="47"/>
    </row>
    <row r="1625" spans="1:36">
      <c r="A1625" s="374" t="s">
        <v>2682</v>
      </c>
      <c r="B1625" s="374" t="s">
        <v>748</v>
      </c>
      <c r="C1625" s="374" t="s">
        <v>2683</v>
      </c>
      <c r="D1625" s="375" t="str">
        <f t="shared" si="338"/>
        <v>Eynesbury Estate8A</v>
      </c>
      <c r="E1625" s="375" t="s">
        <v>2702</v>
      </c>
      <c r="F1625" s="375" t="s">
        <v>2685</v>
      </c>
      <c r="G1625" s="375" t="s">
        <v>2686</v>
      </c>
      <c r="H1625" s="375" t="s">
        <v>2687</v>
      </c>
      <c r="I1625" s="63"/>
      <c r="J1625" s="47">
        <f t="shared" si="332"/>
        <v>3740</v>
      </c>
      <c r="K1625" s="46" t="s">
        <v>7938</v>
      </c>
      <c r="L1625" s="47">
        <f t="shared" si="337"/>
        <v>1210</v>
      </c>
      <c r="M1625" s="47" t="s">
        <v>2688</v>
      </c>
      <c r="N1625" s="47"/>
      <c r="O1625" s="47" t="s">
        <v>2689</v>
      </c>
      <c r="P1625" s="47"/>
      <c r="Q1625" s="47">
        <f t="shared" si="333"/>
        <v>0</v>
      </c>
      <c r="R1625" s="47" t="s">
        <v>2690</v>
      </c>
      <c r="S1625" s="47"/>
      <c r="T1625" s="47" t="s">
        <v>1192</v>
      </c>
      <c r="U1625" s="47"/>
      <c r="V1625" s="47" t="s">
        <v>2691</v>
      </c>
      <c r="W1625" s="47"/>
      <c r="X1625" s="47">
        <f t="shared" si="334"/>
        <v>3000</v>
      </c>
      <c r="Y1625" s="47"/>
      <c r="Z1625" s="47">
        <f t="shared" si="335"/>
        <v>4620</v>
      </c>
      <c r="AA1625" s="47"/>
      <c r="AB1625" s="47"/>
      <c r="AC1625" s="47">
        <f t="shared" si="336"/>
        <v>5200</v>
      </c>
      <c r="AD1625" s="47"/>
      <c r="AE1625" s="47" t="s">
        <v>2692</v>
      </c>
      <c r="AF1625" s="47"/>
      <c r="AG1625" s="47"/>
      <c r="AH1625" s="47" t="str">
        <f>IFERROR(_xlfn.XLOOKUP(Table6[[#This Row],[Suburb]],Table5[Travel Surcharge],Table5[$$]),"")</f>
        <v/>
      </c>
      <c r="AI1625" s="47" t="s">
        <v>2693</v>
      </c>
      <c r="AJ1625" s="47"/>
    </row>
    <row r="1626" spans="1:36">
      <c r="A1626" s="374" t="s">
        <v>2682</v>
      </c>
      <c r="B1626" s="374" t="s">
        <v>750</v>
      </c>
      <c r="C1626" s="374" t="s">
        <v>2683</v>
      </c>
      <c r="D1626" s="375" t="str">
        <f t="shared" si="338"/>
        <v>Eynesbury Estate8B</v>
      </c>
      <c r="E1626" s="375" t="s">
        <v>2703</v>
      </c>
      <c r="F1626" s="375" t="s">
        <v>2685</v>
      </c>
      <c r="G1626" s="375" t="s">
        <v>2686</v>
      </c>
      <c r="H1626" s="375" t="s">
        <v>2687</v>
      </c>
      <c r="I1626" s="63"/>
      <c r="J1626" s="47">
        <f t="shared" si="332"/>
        <v>3740</v>
      </c>
      <c r="K1626" s="46" t="s">
        <v>7938</v>
      </c>
      <c r="L1626" s="47">
        <f t="shared" si="337"/>
        <v>1210</v>
      </c>
      <c r="M1626" s="47" t="s">
        <v>2688</v>
      </c>
      <c r="N1626" s="47"/>
      <c r="O1626" s="47" t="s">
        <v>2689</v>
      </c>
      <c r="P1626" s="47"/>
      <c r="Q1626" s="47">
        <f t="shared" si="333"/>
        <v>0</v>
      </c>
      <c r="R1626" s="47" t="s">
        <v>2690</v>
      </c>
      <c r="S1626" s="47"/>
      <c r="T1626" s="47" t="s">
        <v>1192</v>
      </c>
      <c r="U1626" s="47"/>
      <c r="V1626" s="47" t="s">
        <v>2691</v>
      </c>
      <c r="W1626" s="47"/>
      <c r="X1626" s="47">
        <f t="shared" si="334"/>
        <v>3000</v>
      </c>
      <c r="Y1626" s="47"/>
      <c r="Z1626" s="47">
        <f t="shared" si="335"/>
        <v>4620</v>
      </c>
      <c r="AA1626" s="47"/>
      <c r="AB1626" s="47"/>
      <c r="AC1626" s="47">
        <f t="shared" si="336"/>
        <v>5200</v>
      </c>
      <c r="AD1626" s="47"/>
      <c r="AE1626" s="47" t="s">
        <v>2692</v>
      </c>
      <c r="AF1626" s="47"/>
      <c r="AG1626" s="47"/>
      <c r="AH1626" s="47" t="str">
        <f>IFERROR(_xlfn.XLOOKUP(Table6[[#This Row],[Suburb]],Table5[Travel Surcharge],Table5[$$]),"")</f>
        <v/>
      </c>
      <c r="AI1626" s="47" t="s">
        <v>2693</v>
      </c>
      <c r="AJ1626" s="47"/>
    </row>
    <row r="1627" spans="1:36">
      <c r="A1627" s="374" t="s">
        <v>2682</v>
      </c>
      <c r="B1627" s="374" t="s">
        <v>2704</v>
      </c>
      <c r="C1627" s="374" t="s">
        <v>2683</v>
      </c>
      <c r="D1627" s="375" t="str">
        <f t="shared" si="338"/>
        <v>Eynesbury Estate8C</v>
      </c>
      <c r="E1627" s="375" t="s">
        <v>2705</v>
      </c>
      <c r="F1627" s="375" t="s">
        <v>2685</v>
      </c>
      <c r="G1627" s="375" t="s">
        <v>2686</v>
      </c>
      <c r="H1627" s="375" t="s">
        <v>2687</v>
      </c>
      <c r="I1627" s="63"/>
      <c r="J1627" s="47">
        <f t="shared" si="332"/>
        <v>3740</v>
      </c>
      <c r="K1627" s="46" t="s">
        <v>7938</v>
      </c>
      <c r="L1627" s="47">
        <f t="shared" si="337"/>
        <v>1210</v>
      </c>
      <c r="M1627" s="47" t="s">
        <v>2688</v>
      </c>
      <c r="N1627" s="47"/>
      <c r="O1627" s="47" t="s">
        <v>2689</v>
      </c>
      <c r="P1627" s="47"/>
      <c r="Q1627" s="47">
        <f t="shared" si="333"/>
        <v>0</v>
      </c>
      <c r="R1627" s="47" t="s">
        <v>2690</v>
      </c>
      <c r="S1627" s="47"/>
      <c r="T1627" s="47" t="s">
        <v>1192</v>
      </c>
      <c r="U1627" s="47"/>
      <c r="V1627" s="47" t="s">
        <v>2691</v>
      </c>
      <c r="W1627" s="47"/>
      <c r="X1627" s="47">
        <f t="shared" si="334"/>
        <v>3000</v>
      </c>
      <c r="Y1627" s="47"/>
      <c r="Z1627" s="47">
        <f t="shared" si="335"/>
        <v>4620</v>
      </c>
      <c r="AA1627" s="47"/>
      <c r="AB1627" s="47"/>
      <c r="AC1627" s="47">
        <f t="shared" si="336"/>
        <v>5200</v>
      </c>
      <c r="AD1627" s="47"/>
      <c r="AE1627" s="47" t="s">
        <v>2692</v>
      </c>
      <c r="AF1627" s="47"/>
      <c r="AG1627" s="47"/>
      <c r="AH1627" s="47" t="str">
        <f>IFERROR(_xlfn.XLOOKUP(Table6[[#This Row],[Suburb]],Table5[Travel Surcharge],Table5[$$]),"")</f>
        <v/>
      </c>
      <c r="AI1627" s="47" t="s">
        <v>2693</v>
      </c>
      <c r="AJ1627" s="47"/>
    </row>
    <row r="1628" spans="1:36">
      <c r="A1628" s="374" t="s">
        <v>3039</v>
      </c>
      <c r="B1628" s="374">
        <v>3</v>
      </c>
      <c r="C1628" s="374" t="s">
        <v>3040</v>
      </c>
      <c r="D1628" s="375" t="str">
        <f t="shared" si="338"/>
        <v>Fairview3</v>
      </c>
      <c r="E1628" s="375" t="s">
        <v>3041</v>
      </c>
      <c r="F1628" s="375"/>
      <c r="G1628" s="375"/>
      <c r="H1628" s="375"/>
      <c r="I1628" s="63"/>
      <c r="J1628" s="47"/>
      <c r="K1628" s="46" t="s">
        <v>10735</v>
      </c>
      <c r="L1628" s="47" t="s">
        <v>3042</v>
      </c>
      <c r="M1628" s="47"/>
      <c r="N1628" s="47"/>
      <c r="O1628" s="47"/>
      <c r="P1628" s="47"/>
      <c r="Q1628" s="47"/>
      <c r="R1628" s="47"/>
      <c r="S1628" s="47"/>
      <c r="T1628" s="47"/>
      <c r="U1628" s="47">
        <f>U$2</f>
        <v>430</v>
      </c>
      <c r="V1628" s="47"/>
      <c r="W1628" s="47"/>
      <c r="X1628" s="47"/>
      <c r="Y1628" s="47"/>
      <c r="Z1628" s="47">
        <f t="shared" si="335"/>
        <v>4620</v>
      </c>
      <c r="AA1628" s="47"/>
      <c r="AB1628" s="47"/>
      <c r="AC1628" s="47"/>
      <c r="AD1628" s="47"/>
      <c r="AE1628" s="47"/>
      <c r="AF1628" s="47"/>
      <c r="AG1628" s="47"/>
      <c r="AH1628" s="47" t="str">
        <f>IFERROR(_xlfn.XLOOKUP(Table6[[#This Row],[Suburb]],Table5[Travel Surcharge],Table5[$$]),"")</f>
        <v/>
      </c>
      <c r="AI1628" s="47"/>
      <c r="AJ1628" s="47"/>
    </row>
    <row r="1629" spans="1:36">
      <c r="A1629" s="374" t="s">
        <v>2721</v>
      </c>
      <c r="B1629" s="374">
        <v>1</v>
      </c>
      <c r="C1629" s="374" t="s">
        <v>2722</v>
      </c>
      <c r="D1629" s="375" t="str">
        <f t="shared" si="338"/>
        <v>Fairway Crt1</v>
      </c>
      <c r="E1629" s="375" t="s">
        <v>2723</v>
      </c>
      <c r="F1629" s="375" t="s">
        <v>2724</v>
      </c>
      <c r="G1629" s="375" t="s">
        <v>2725</v>
      </c>
      <c r="H1629" s="375" t="s">
        <v>2726</v>
      </c>
      <c r="I1629" s="63" t="s">
        <v>2727</v>
      </c>
      <c r="J1629" s="47"/>
      <c r="K1629" s="46" t="s">
        <v>10735</v>
      </c>
      <c r="L1629" s="47"/>
      <c r="M1629" s="47"/>
      <c r="N1629" s="47"/>
      <c r="O1629" s="47"/>
      <c r="P1629" s="47"/>
      <c r="Q1629" s="47">
        <f t="shared" ref="Q1629:Q1643" si="339">Q$2</f>
        <v>0</v>
      </c>
      <c r="R1629" s="47"/>
      <c r="S1629" s="47"/>
      <c r="T1629" s="47"/>
      <c r="U1629" s="47"/>
      <c r="V1629" s="47"/>
      <c r="W1629" s="47"/>
      <c r="X1629" s="47"/>
      <c r="Y1629" s="47"/>
      <c r="Z1629" s="47">
        <f t="shared" si="335"/>
        <v>4620</v>
      </c>
      <c r="AA1629" s="47"/>
      <c r="AB1629" s="47"/>
      <c r="AC1629" s="47"/>
      <c r="AD1629" s="47"/>
      <c r="AE1629" s="47"/>
      <c r="AF1629" s="47"/>
      <c r="AG1629" s="47"/>
      <c r="AH1629" s="47" t="str">
        <f>IFERROR(_xlfn.XLOOKUP(Table6[[#This Row],[Suburb]],Table5[Travel Surcharge],Table5[$$]),"")</f>
        <v/>
      </c>
      <c r="AI1629" s="47"/>
      <c r="AJ1629" s="47"/>
    </row>
    <row r="1630" spans="1:36">
      <c r="A1630" s="374" t="s">
        <v>2728</v>
      </c>
      <c r="B1630" s="374">
        <v>6</v>
      </c>
      <c r="C1630" s="374" t="s">
        <v>1590</v>
      </c>
      <c r="D1630" s="375" t="str">
        <f t="shared" si="338"/>
        <v>Featherbrook Estate6</v>
      </c>
      <c r="E1630" s="375" t="s">
        <v>2729</v>
      </c>
      <c r="F1630" s="375" t="s">
        <v>2072</v>
      </c>
      <c r="G1630" s="375" t="s">
        <v>2730</v>
      </c>
      <c r="H1630" s="375" t="s">
        <v>2731</v>
      </c>
      <c r="I1630" s="63" t="s">
        <v>2732</v>
      </c>
      <c r="J1630" s="47"/>
      <c r="K1630" s="46" t="s">
        <v>10735</v>
      </c>
      <c r="L1630" s="47"/>
      <c r="M1630" s="47"/>
      <c r="N1630" s="47"/>
      <c r="O1630" s="47"/>
      <c r="P1630" s="47"/>
      <c r="Q1630" s="47">
        <f t="shared" si="339"/>
        <v>0</v>
      </c>
      <c r="R1630" s="47"/>
      <c r="S1630" s="47"/>
      <c r="T1630" s="47" t="s">
        <v>641</v>
      </c>
      <c r="U1630" s="47"/>
      <c r="V1630" s="47"/>
      <c r="W1630" s="47"/>
      <c r="X1630" s="47"/>
      <c r="Y1630" s="47"/>
      <c r="Z1630" s="47">
        <f t="shared" si="335"/>
        <v>4620</v>
      </c>
      <c r="AA1630" s="47"/>
      <c r="AB1630" s="47"/>
      <c r="AC1630" s="47"/>
      <c r="AD1630" s="47"/>
      <c r="AE1630" s="47"/>
      <c r="AF1630" s="47"/>
      <c r="AG1630" s="47"/>
      <c r="AH1630" s="47" t="str">
        <f>IFERROR(_xlfn.XLOOKUP(Table6[[#This Row],[Suburb]],Table5[Travel Surcharge],Table5[$$]),"")</f>
        <v/>
      </c>
      <c r="AI1630" s="47"/>
      <c r="AJ1630" s="47"/>
    </row>
    <row r="1631" spans="1:36">
      <c r="A1631" s="374" t="s">
        <v>2728</v>
      </c>
      <c r="B1631" s="374">
        <v>21</v>
      </c>
      <c r="C1631" s="374" t="s">
        <v>1590</v>
      </c>
      <c r="D1631" s="375" t="str">
        <f t="shared" si="338"/>
        <v>Featherbrook Estate21</v>
      </c>
      <c r="E1631" s="375" t="s">
        <v>2733</v>
      </c>
      <c r="F1631" s="375" t="s">
        <v>2072</v>
      </c>
      <c r="G1631" s="375" t="s">
        <v>2730</v>
      </c>
      <c r="H1631" s="375" t="s">
        <v>2731</v>
      </c>
      <c r="I1631" s="63" t="s">
        <v>2732</v>
      </c>
      <c r="J1631" s="47"/>
      <c r="K1631" s="46" t="s">
        <v>10735</v>
      </c>
      <c r="L1631" s="47"/>
      <c r="M1631" s="47"/>
      <c r="N1631" s="47"/>
      <c r="O1631" s="47"/>
      <c r="P1631" s="47"/>
      <c r="Q1631" s="47">
        <f t="shared" si="339"/>
        <v>0</v>
      </c>
      <c r="R1631" s="47"/>
      <c r="S1631" s="47"/>
      <c r="T1631" s="47" t="s">
        <v>641</v>
      </c>
      <c r="U1631" s="47"/>
      <c r="V1631" s="47"/>
      <c r="W1631" s="47"/>
      <c r="X1631" s="47"/>
      <c r="Y1631" s="47"/>
      <c r="Z1631" s="47">
        <f t="shared" si="335"/>
        <v>4620</v>
      </c>
      <c r="AA1631" s="47"/>
      <c r="AB1631" s="47"/>
      <c r="AC1631" s="47"/>
      <c r="AD1631" s="47"/>
      <c r="AE1631" s="47"/>
      <c r="AF1631" s="47"/>
      <c r="AG1631" s="47"/>
      <c r="AH1631" s="47" t="str">
        <f>IFERROR(_xlfn.XLOOKUP(Table6[[#This Row],[Suburb]],Table5[Travel Surcharge],Table5[$$]),"")</f>
        <v/>
      </c>
      <c r="AI1631" s="47"/>
      <c r="AJ1631" s="47"/>
    </row>
    <row r="1632" spans="1:36">
      <c r="A1632" s="374" t="s">
        <v>2728</v>
      </c>
      <c r="B1632" s="374">
        <v>25</v>
      </c>
      <c r="C1632" s="374" t="s">
        <v>1590</v>
      </c>
      <c r="D1632" s="375" t="str">
        <f t="shared" si="338"/>
        <v>Featherbrook Estate25</v>
      </c>
      <c r="E1632" s="375" t="s">
        <v>2734</v>
      </c>
      <c r="F1632" s="375" t="s">
        <v>2072</v>
      </c>
      <c r="G1632" s="375" t="s">
        <v>2730</v>
      </c>
      <c r="H1632" s="375" t="s">
        <v>2731</v>
      </c>
      <c r="I1632" s="63" t="s">
        <v>2732</v>
      </c>
      <c r="J1632" s="47"/>
      <c r="K1632" s="46" t="s">
        <v>10735</v>
      </c>
      <c r="L1632" s="47"/>
      <c r="M1632" s="47"/>
      <c r="N1632" s="47"/>
      <c r="O1632" s="47"/>
      <c r="P1632" s="47"/>
      <c r="Q1632" s="47">
        <f t="shared" si="339"/>
        <v>0</v>
      </c>
      <c r="R1632" s="47"/>
      <c r="S1632" s="47"/>
      <c r="T1632" s="47" t="s">
        <v>641</v>
      </c>
      <c r="U1632" s="47"/>
      <c r="V1632" s="47"/>
      <c r="W1632" s="47"/>
      <c r="X1632" s="47"/>
      <c r="Y1632" s="47"/>
      <c r="Z1632" s="47">
        <f t="shared" si="335"/>
        <v>4620</v>
      </c>
      <c r="AA1632" s="47"/>
      <c r="AB1632" s="47"/>
      <c r="AC1632" s="47"/>
      <c r="AD1632" s="47"/>
      <c r="AE1632" s="47"/>
      <c r="AF1632" s="47"/>
      <c r="AG1632" s="47"/>
      <c r="AH1632" s="47" t="str">
        <f>IFERROR(_xlfn.XLOOKUP(Table6[[#This Row],[Suburb]],Table5[Travel Surcharge],Table5[$$]),"")</f>
        <v/>
      </c>
      <c r="AI1632" s="47"/>
      <c r="AJ1632" s="47"/>
    </row>
    <row r="1633" spans="1:36">
      <c r="A1633" s="374" t="s">
        <v>2728</v>
      </c>
      <c r="B1633" s="374">
        <v>26</v>
      </c>
      <c r="C1633" s="374" t="s">
        <v>1590</v>
      </c>
      <c r="D1633" s="375" t="str">
        <f t="shared" si="338"/>
        <v>Featherbrook Estate26</v>
      </c>
      <c r="E1633" s="375" t="s">
        <v>2735</v>
      </c>
      <c r="F1633" s="375" t="s">
        <v>2072</v>
      </c>
      <c r="G1633" s="375" t="s">
        <v>2730</v>
      </c>
      <c r="H1633" s="375" t="s">
        <v>2731</v>
      </c>
      <c r="I1633" s="63" t="s">
        <v>2732</v>
      </c>
      <c r="J1633" s="47"/>
      <c r="K1633" s="46" t="s">
        <v>10735</v>
      </c>
      <c r="L1633" s="47"/>
      <c r="M1633" s="47"/>
      <c r="N1633" s="47"/>
      <c r="O1633" s="47"/>
      <c r="P1633" s="47"/>
      <c r="Q1633" s="47">
        <f t="shared" si="339"/>
        <v>0</v>
      </c>
      <c r="R1633" s="47"/>
      <c r="S1633" s="47"/>
      <c r="T1633" s="47" t="s">
        <v>641</v>
      </c>
      <c r="U1633" s="47"/>
      <c r="V1633" s="47"/>
      <c r="W1633" s="47"/>
      <c r="X1633" s="47"/>
      <c r="Y1633" s="47"/>
      <c r="Z1633" s="47">
        <f t="shared" si="335"/>
        <v>4620</v>
      </c>
      <c r="AA1633" s="47"/>
      <c r="AB1633" s="47"/>
      <c r="AC1633" s="47"/>
      <c r="AD1633" s="47"/>
      <c r="AE1633" s="47"/>
      <c r="AF1633" s="47"/>
      <c r="AG1633" s="47"/>
      <c r="AH1633" s="47" t="str">
        <f>IFERROR(_xlfn.XLOOKUP(Table6[[#This Row],[Suburb]],Table5[Travel Surcharge],Table5[$$]),"")</f>
        <v/>
      </c>
      <c r="AI1633" s="47"/>
      <c r="AJ1633" s="47"/>
    </row>
    <row r="1634" spans="1:36">
      <c r="A1634" s="374" t="s">
        <v>2728</v>
      </c>
      <c r="B1634" s="374">
        <v>29</v>
      </c>
      <c r="C1634" s="374" t="s">
        <v>1590</v>
      </c>
      <c r="D1634" s="375" t="str">
        <f t="shared" si="338"/>
        <v>Featherbrook Estate29</v>
      </c>
      <c r="E1634" s="375" t="s">
        <v>2736</v>
      </c>
      <c r="F1634" s="375" t="s">
        <v>2072</v>
      </c>
      <c r="G1634" s="375" t="s">
        <v>2730</v>
      </c>
      <c r="H1634" s="375" t="s">
        <v>2731</v>
      </c>
      <c r="I1634" s="63" t="s">
        <v>2732</v>
      </c>
      <c r="J1634" s="47"/>
      <c r="K1634" s="46" t="s">
        <v>10735</v>
      </c>
      <c r="L1634" s="47"/>
      <c r="M1634" s="47"/>
      <c r="N1634" s="47"/>
      <c r="O1634" s="47"/>
      <c r="P1634" s="47"/>
      <c r="Q1634" s="47">
        <f t="shared" si="339"/>
        <v>0</v>
      </c>
      <c r="R1634" s="47"/>
      <c r="S1634" s="47"/>
      <c r="T1634" s="47" t="s">
        <v>641</v>
      </c>
      <c r="U1634" s="47"/>
      <c r="V1634" s="47"/>
      <c r="W1634" s="47"/>
      <c r="X1634" s="47"/>
      <c r="Y1634" s="47"/>
      <c r="Z1634" s="47">
        <f t="shared" si="335"/>
        <v>4620</v>
      </c>
      <c r="AA1634" s="47"/>
      <c r="AB1634" s="47"/>
      <c r="AC1634" s="47"/>
      <c r="AD1634" s="47"/>
      <c r="AE1634" s="47"/>
      <c r="AF1634" s="47"/>
      <c r="AG1634" s="47"/>
      <c r="AH1634" s="47" t="str">
        <f>IFERROR(_xlfn.XLOOKUP(Table6[[#This Row],[Suburb]],Table5[Travel Surcharge],Table5[$$]),"")</f>
        <v/>
      </c>
      <c r="AI1634" s="47"/>
      <c r="AJ1634" s="47"/>
    </row>
    <row r="1635" spans="1:36">
      <c r="A1635" s="374" t="s">
        <v>2728</v>
      </c>
      <c r="B1635" s="374">
        <v>30</v>
      </c>
      <c r="C1635" s="374" t="s">
        <v>1590</v>
      </c>
      <c r="D1635" s="375" t="str">
        <f t="shared" si="338"/>
        <v>Featherbrook Estate30</v>
      </c>
      <c r="E1635" s="375" t="s">
        <v>2737</v>
      </c>
      <c r="F1635" s="375" t="s">
        <v>2072</v>
      </c>
      <c r="G1635" s="375" t="s">
        <v>2730</v>
      </c>
      <c r="H1635" s="375" t="s">
        <v>2731</v>
      </c>
      <c r="I1635" s="63" t="s">
        <v>2732</v>
      </c>
      <c r="J1635" s="47"/>
      <c r="K1635" s="46" t="s">
        <v>10735</v>
      </c>
      <c r="L1635" s="47"/>
      <c r="M1635" s="47"/>
      <c r="N1635" s="47"/>
      <c r="O1635" s="47"/>
      <c r="P1635" s="47"/>
      <c r="Q1635" s="47">
        <f t="shared" si="339"/>
        <v>0</v>
      </c>
      <c r="R1635" s="47"/>
      <c r="S1635" s="47"/>
      <c r="T1635" s="47" t="s">
        <v>641</v>
      </c>
      <c r="U1635" s="47"/>
      <c r="V1635" s="47"/>
      <c r="W1635" s="47"/>
      <c r="X1635" s="47"/>
      <c r="Y1635" s="47"/>
      <c r="Z1635" s="47">
        <f t="shared" si="335"/>
        <v>4620</v>
      </c>
      <c r="AA1635" s="47"/>
      <c r="AB1635" s="47"/>
      <c r="AC1635" s="47"/>
      <c r="AD1635" s="47"/>
      <c r="AE1635" s="47"/>
      <c r="AF1635" s="47"/>
      <c r="AG1635" s="47"/>
      <c r="AH1635" s="47" t="str">
        <f>IFERROR(_xlfn.XLOOKUP(Table6[[#This Row],[Suburb]],Table5[Travel Surcharge],Table5[$$]),"")</f>
        <v/>
      </c>
      <c r="AI1635" s="47"/>
      <c r="AJ1635" s="47"/>
    </row>
    <row r="1636" spans="1:36">
      <c r="A1636" s="374" t="s">
        <v>2728</v>
      </c>
      <c r="B1636" s="374" t="s">
        <v>887</v>
      </c>
      <c r="C1636" s="374" t="s">
        <v>1590</v>
      </c>
      <c r="D1636" s="375" t="str">
        <f t="shared" si="338"/>
        <v>Featherbrook Estate27A</v>
      </c>
      <c r="E1636" s="375" t="s">
        <v>2738</v>
      </c>
      <c r="F1636" s="375" t="s">
        <v>2072</v>
      </c>
      <c r="G1636" s="375" t="s">
        <v>2730</v>
      </c>
      <c r="H1636" s="375" t="s">
        <v>2731</v>
      </c>
      <c r="I1636" s="63" t="s">
        <v>2732</v>
      </c>
      <c r="J1636" s="47"/>
      <c r="K1636" s="46" t="s">
        <v>10735</v>
      </c>
      <c r="L1636" s="47"/>
      <c r="M1636" s="47"/>
      <c r="N1636" s="47"/>
      <c r="O1636" s="47"/>
      <c r="P1636" s="47"/>
      <c r="Q1636" s="47">
        <f t="shared" si="339"/>
        <v>0</v>
      </c>
      <c r="R1636" s="47"/>
      <c r="S1636" s="47"/>
      <c r="T1636" s="47" t="s">
        <v>641</v>
      </c>
      <c r="U1636" s="47"/>
      <c r="V1636" s="47"/>
      <c r="W1636" s="47"/>
      <c r="X1636" s="47"/>
      <c r="Y1636" s="47"/>
      <c r="Z1636" s="47">
        <f t="shared" si="335"/>
        <v>4620</v>
      </c>
      <c r="AA1636" s="47"/>
      <c r="AB1636" s="47"/>
      <c r="AC1636" s="47"/>
      <c r="AD1636" s="47"/>
      <c r="AE1636" s="47"/>
      <c r="AF1636" s="47"/>
      <c r="AG1636" s="47"/>
      <c r="AH1636" s="47" t="str">
        <f>IFERROR(_xlfn.XLOOKUP(Table6[[#This Row],[Suburb]],Table5[Travel Surcharge],Table5[$$]),"")</f>
        <v/>
      </c>
      <c r="AI1636" s="47"/>
      <c r="AJ1636" s="47"/>
    </row>
    <row r="1637" spans="1:36">
      <c r="A1637" s="374" t="s">
        <v>2728</v>
      </c>
      <c r="B1637" s="374" t="s">
        <v>889</v>
      </c>
      <c r="C1637" s="374" t="s">
        <v>1590</v>
      </c>
      <c r="D1637" s="375" t="str">
        <f t="shared" si="338"/>
        <v>Featherbrook Estate27B</v>
      </c>
      <c r="E1637" s="375" t="s">
        <v>2739</v>
      </c>
      <c r="F1637" s="375" t="s">
        <v>2072</v>
      </c>
      <c r="G1637" s="375" t="s">
        <v>2730</v>
      </c>
      <c r="H1637" s="375" t="s">
        <v>2731</v>
      </c>
      <c r="I1637" s="63" t="s">
        <v>2732</v>
      </c>
      <c r="J1637" s="47"/>
      <c r="K1637" s="46" t="s">
        <v>10735</v>
      </c>
      <c r="L1637" s="47"/>
      <c r="M1637" s="47"/>
      <c r="N1637" s="47"/>
      <c r="O1637" s="47"/>
      <c r="P1637" s="47"/>
      <c r="Q1637" s="47">
        <f t="shared" si="339"/>
        <v>0</v>
      </c>
      <c r="R1637" s="47"/>
      <c r="S1637" s="47"/>
      <c r="T1637" s="47" t="s">
        <v>641</v>
      </c>
      <c r="U1637" s="47"/>
      <c r="V1637" s="47"/>
      <c r="W1637" s="47"/>
      <c r="X1637" s="47"/>
      <c r="Y1637" s="47"/>
      <c r="Z1637" s="47">
        <f t="shared" si="335"/>
        <v>4620</v>
      </c>
      <c r="AA1637" s="47"/>
      <c r="AB1637" s="47"/>
      <c r="AC1637" s="47"/>
      <c r="AD1637" s="47"/>
      <c r="AE1637" s="47"/>
      <c r="AF1637" s="47"/>
      <c r="AG1637" s="47"/>
      <c r="AH1637" s="47" t="str">
        <f>IFERROR(_xlfn.XLOOKUP(Table6[[#This Row],[Suburb]],Table5[Travel Surcharge],Table5[$$]),"")</f>
        <v/>
      </c>
      <c r="AI1637" s="47"/>
      <c r="AJ1637" s="47"/>
    </row>
    <row r="1638" spans="1:36">
      <c r="A1638" s="374" t="s">
        <v>2728</v>
      </c>
      <c r="B1638" s="374" t="s">
        <v>2740</v>
      </c>
      <c r="C1638" s="374" t="s">
        <v>1590</v>
      </c>
      <c r="D1638" s="375" t="str">
        <f t="shared" si="338"/>
        <v>Featherbrook Estate30A</v>
      </c>
      <c r="E1638" s="375" t="s">
        <v>2741</v>
      </c>
      <c r="F1638" s="375" t="s">
        <v>2072</v>
      </c>
      <c r="G1638" s="375" t="s">
        <v>2730</v>
      </c>
      <c r="H1638" s="375" t="s">
        <v>2731</v>
      </c>
      <c r="I1638" s="63" t="s">
        <v>2732</v>
      </c>
      <c r="J1638" s="47"/>
      <c r="K1638" s="46" t="s">
        <v>10735</v>
      </c>
      <c r="L1638" s="47"/>
      <c r="M1638" s="47"/>
      <c r="N1638" s="47"/>
      <c r="O1638" s="47"/>
      <c r="P1638" s="47"/>
      <c r="Q1638" s="47">
        <f t="shared" si="339"/>
        <v>0</v>
      </c>
      <c r="R1638" s="47"/>
      <c r="S1638" s="47"/>
      <c r="T1638" s="47" t="s">
        <v>641</v>
      </c>
      <c r="U1638" s="47"/>
      <c r="V1638" s="47"/>
      <c r="W1638" s="47"/>
      <c r="X1638" s="47"/>
      <c r="Y1638" s="47"/>
      <c r="Z1638" s="47">
        <f t="shared" si="335"/>
        <v>4620</v>
      </c>
      <c r="AA1638" s="47"/>
      <c r="AB1638" s="47"/>
      <c r="AC1638" s="47"/>
      <c r="AD1638" s="47"/>
      <c r="AE1638" s="47"/>
      <c r="AF1638" s="47"/>
      <c r="AG1638" s="47"/>
      <c r="AH1638" s="47" t="str">
        <f>IFERROR(_xlfn.XLOOKUP(Table6[[#This Row],[Suburb]],Table5[Travel Surcharge],Table5[$$]),"")</f>
        <v/>
      </c>
      <c r="AI1638" s="47"/>
      <c r="AJ1638" s="47"/>
    </row>
    <row r="1639" spans="1:36">
      <c r="A1639" s="374" t="s">
        <v>2728</v>
      </c>
      <c r="B1639" s="374" t="s">
        <v>1630</v>
      </c>
      <c r="C1639" s="374" t="s">
        <v>1590</v>
      </c>
      <c r="D1639" s="375" t="str">
        <f t="shared" si="338"/>
        <v>Featherbrook Estate7B</v>
      </c>
      <c r="E1639" s="375" t="s">
        <v>2742</v>
      </c>
      <c r="F1639" s="375" t="s">
        <v>2072</v>
      </c>
      <c r="G1639" s="375" t="s">
        <v>2730</v>
      </c>
      <c r="H1639" s="375" t="s">
        <v>2731</v>
      </c>
      <c r="I1639" s="63" t="s">
        <v>2732</v>
      </c>
      <c r="J1639" s="47"/>
      <c r="K1639" s="46" t="s">
        <v>10735</v>
      </c>
      <c r="L1639" s="47"/>
      <c r="M1639" s="47"/>
      <c r="N1639" s="47"/>
      <c r="O1639" s="47"/>
      <c r="P1639" s="47"/>
      <c r="Q1639" s="47">
        <f t="shared" si="339"/>
        <v>0</v>
      </c>
      <c r="R1639" s="47">
        <f>R$2</f>
        <v>540</v>
      </c>
      <c r="S1639" s="47"/>
      <c r="T1639" s="47"/>
      <c r="U1639" s="47"/>
      <c r="V1639" s="47"/>
      <c r="W1639" s="47"/>
      <c r="X1639" s="47"/>
      <c r="Y1639" s="47"/>
      <c r="Z1639" s="47">
        <f t="shared" si="335"/>
        <v>4620</v>
      </c>
      <c r="AA1639" s="47"/>
      <c r="AB1639" s="47"/>
      <c r="AC1639" s="47"/>
      <c r="AD1639" s="47"/>
      <c r="AE1639" s="47"/>
      <c r="AF1639" s="47"/>
      <c r="AG1639" s="47"/>
      <c r="AH1639" s="47" t="str">
        <f>IFERROR(_xlfn.XLOOKUP(Table6[[#This Row],[Suburb]],Table5[Travel Surcharge],Table5[$$]),"")</f>
        <v/>
      </c>
      <c r="AI1639" s="47"/>
      <c r="AJ1639" s="47"/>
    </row>
    <row r="1640" spans="1:36">
      <c r="A1640" s="374" t="s">
        <v>2743</v>
      </c>
      <c r="B1640" s="374">
        <v>6</v>
      </c>
      <c r="C1640" s="374" t="s">
        <v>2433</v>
      </c>
      <c r="D1640" s="375" t="str">
        <f t="shared" si="338"/>
        <v>Featherton Rise Estate6</v>
      </c>
      <c r="E1640" s="375" t="s">
        <v>2744</v>
      </c>
      <c r="F1640" s="375" t="s">
        <v>2745</v>
      </c>
      <c r="G1640" s="375" t="s">
        <v>2746</v>
      </c>
      <c r="H1640" s="375" t="s">
        <v>2747</v>
      </c>
      <c r="I1640" s="63" t="s">
        <v>2748</v>
      </c>
      <c r="J1640" s="47"/>
      <c r="K1640" s="46" t="s">
        <v>10735</v>
      </c>
      <c r="L1640" s="47">
        <f>L$7</f>
        <v>1210</v>
      </c>
      <c r="M1640" s="47"/>
      <c r="N1640" s="47"/>
      <c r="O1640" s="47"/>
      <c r="P1640" s="47"/>
      <c r="Q1640" s="47">
        <f t="shared" si="339"/>
        <v>0</v>
      </c>
      <c r="R1640" s="47"/>
      <c r="S1640" s="47"/>
      <c r="T1640" s="47"/>
      <c r="U1640" s="47"/>
      <c r="V1640" s="47"/>
      <c r="W1640" s="47"/>
      <c r="X1640" s="47"/>
      <c r="Y1640" s="47"/>
      <c r="Z1640" s="47">
        <f t="shared" si="335"/>
        <v>4620</v>
      </c>
      <c r="AA1640" s="47"/>
      <c r="AB1640" s="47"/>
      <c r="AC1640" s="47"/>
      <c r="AD1640" s="47"/>
      <c r="AE1640" s="47"/>
      <c r="AF1640" s="47"/>
      <c r="AG1640" s="47"/>
      <c r="AH1640" s="47" t="str">
        <f>IFERROR(_xlfn.XLOOKUP(Table6[[#This Row],[Suburb]],Table5[Travel Surcharge],Table5[$$]),"")</f>
        <v/>
      </c>
      <c r="AI1640" s="47"/>
      <c r="AJ1640" s="47"/>
    </row>
    <row r="1641" spans="1:36">
      <c r="A1641" s="374" t="s">
        <v>2743</v>
      </c>
      <c r="B1641" s="374">
        <v>7</v>
      </c>
      <c r="C1641" s="374" t="s">
        <v>2433</v>
      </c>
      <c r="D1641" s="375" t="str">
        <f t="shared" si="338"/>
        <v>Featherton Rise Estate7</v>
      </c>
      <c r="E1641" s="375" t="s">
        <v>2749</v>
      </c>
      <c r="F1641" s="375" t="s">
        <v>2745</v>
      </c>
      <c r="G1641" s="375" t="s">
        <v>2746</v>
      </c>
      <c r="H1641" s="375" t="s">
        <v>2747</v>
      </c>
      <c r="I1641" s="63" t="s">
        <v>2748</v>
      </c>
      <c r="J1641" s="47"/>
      <c r="K1641" s="46" t="s">
        <v>10735</v>
      </c>
      <c r="L1641" s="47">
        <f>L$7</f>
        <v>1210</v>
      </c>
      <c r="M1641" s="47"/>
      <c r="N1641" s="47"/>
      <c r="O1641" s="47"/>
      <c r="P1641" s="47"/>
      <c r="Q1641" s="47">
        <f t="shared" si="339"/>
        <v>0</v>
      </c>
      <c r="R1641" s="47"/>
      <c r="S1641" s="47"/>
      <c r="T1641" s="47"/>
      <c r="U1641" s="47"/>
      <c r="V1641" s="47"/>
      <c r="W1641" s="47"/>
      <c r="X1641" s="47"/>
      <c r="Y1641" s="47"/>
      <c r="Z1641" s="47">
        <f t="shared" si="335"/>
        <v>4620</v>
      </c>
      <c r="AA1641" s="47"/>
      <c r="AB1641" s="47"/>
      <c r="AC1641" s="47"/>
      <c r="AD1641" s="47"/>
      <c r="AE1641" s="47"/>
      <c r="AF1641" s="47"/>
      <c r="AG1641" s="47"/>
      <c r="AH1641" s="47" t="str">
        <f>IFERROR(_xlfn.XLOOKUP(Table6[[#This Row],[Suburb]],Table5[Travel Surcharge],Table5[$$]),"")</f>
        <v/>
      </c>
      <c r="AI1641" s="47"/>
      <c r="AJ1641" s="47"/>
    </row>
    <row r="1642" spans="1:36">
      <c r="A1642" s="374" t="s">
        <v>2743</v>
      </c>
      <c r="B1642" s="374">
        <v>8</v>
      </c>
      <c r="C1642" s="374" t="s">
        <v>2433</v>
      </c>
      <c r="D1642" s="375" t="str">
        <f t="shared" si="338"/>
        <v>Featherton Rise Estate8</v>
      </c>
      <c r="E1642" s="375" t="s">
        <v>2750</v>
      </c>
      <c r="F1642" s="375" t="s">
        <v>2745</v>
      </c>
      <c r="G1642" s="375" t="s">
        <v>2746</v>
      </c>
      <c r="H1642" s="375" t="s">
        <v>2747</v>
      </c>
      <c r="I1642" s="63" t="s">
        <v>2748</v>
      </c>
      <c r="J1642" s="47"/>
      <c r="K1642" s="46" t="s">
        <v>10735</v>
      </c>
      <c r="L1642" s="47">
        <f>L$7</f>
        <v>1210</v>
      </c>
      <c r="M1642" s="47"/>
      <c r="N1642" s="47"/>
      <c r="O1642" s="47"/>
      <c r="P1642" s="47"/>
      <c r="Q1642" s="47">
        <f t="shared" si="339"/>
        <v>0</v>
      </c>
      <c r="R1642" s="47"/>
      <c r="S1642" s="47"/>
      <c r="T1642" s="47"/>
      <c r="U1642" s="47"/>
      <c r="V1642" s="47"/>
      <c r="W1642" s="47"/>
      <c r="X1642" s="47"/>
      <c r="Y1642" s="47"/>
      <c r="Z1642" s="47">
        <f t="shared" si="335"/>
        <v>4620</v>
      </c>
      <c r="AA1642" s="47"/>
      <c r="AB1642" s="47"/>
      <c r="AC1642" s="47"/>
      <c r="AD1642" s="47"/>
      <c r="AE1642" s="47"/>
      <c r="AF1642" s="47"/>
      <c r="AG1642" s="47"/>
      <c r="AH1642" s="47" t="str">
        <f>IFERROR(_xlfn.XLOOKUP(Table6[[#This Row],[Suburb]],Table5[Travel Surcharge],Table5[$$]),"")</f>
        <v/>
      </c>
      <c r="AI1642" s="47"/>
      <c r="AJ1642" s="47"/>
    </row>
    <row r="1643" spans="1:36">
      <c r="A1643" s="374" t="s">
        <v>2743</v>
      </c>
      <c r="B1643" s="374">
        <v>10</v>
      </c>
      <c r="C1643" s="374" t="s">
        <v>2433</v>
      </c>
      <c r="D1643" s="375" t="str">
        <f t="shared" si="338"/>
        <v>Featherton Rise Estate10</v>
      </c>
      <c r="E1643" s="375" t="s">
        <v>2750</v>
      </c>
      <c r="F1643" s="375" t="s">
        <v>2745</v>
      </c>
      <c r="G1643" s="375" t="s">
        <v>2746</v>
      </c>
      <c r="H1643" s="375" t="s">
        <v>2747</v>
      </c>
      <c r="I1643" s="63" t="s">
        <v>2748</v>
      </c>
      <c r="J1643" s="47"/>
      <c r="K1643" s="46" t="s">
        <v>10735</v>
      </c>
      <c r="L1643" s="47">
        <f>L$7</f>
        <v>1210</v>
      </c>
      <c r="M1643" s="47"/>
      <c r="N1643" s="47"/>
      <c r="O1643" s="47"/>
      <c r="P1643" s="47"/>
      <c r="Q1643" s="47">
        <f t="shared" si="339"/>
        <v>0</v>
      </c>
      <c r="R1643" s="47"/>
      <c r="S1643" s="47"/>
      <c r="T1643" s="47"/>
      <c r="U1643" s="47"/>
      <c r="V1643" s="47"/>
      <c r="W1643" s="47"/>
      <c r="X1643" s="47"/>
      <c r="Y1643" s="47"/>
      <c r="Z1643" s="47">
        <f t="shared" si="335"/>
        <v>4620</v>
      </c>
      <c r="AA1643" s="47"/>
      <c r="AB1643" s="47"/>
      <c r="AC1643" s="47"/>
      <c r="AD1643" s="47"/>
      <c r="AE1643" s="47"/>
      <c r="AF1643" s="47"/>
      <c r="AG1643" s="47"/>
      <c r="AH1643" s="47" t="str">
        <f>IFERROR(_xlfn.XLOOKUP(Table6[[#This Row],[Suburb]],Table5[Travel Surcharge],Table5[$$]),"")</f>
        <v/>
      </c>
      <c r="AI1643" s="47"/>
      <c r="AJ1643" s="47"/>
    </row>
    <row r="1644" spans="1:36">
      <c r="A1644" s="374" t="s">
        <v>9915</v>
      </c>
      <c r="B1644" s="374">
        <v>1</v>
      </c>
      <c r="C1644" s="374" t="s">
        <v>455</v>
      </c>
      <c r="D1644" s="375" t="str">
        <f>CONCATENATE(A1644,B1644)</f>
        <v>Fellow Estate1</v>
      </c>
      <c r="E1644" s="375"/>
      <c r="F1644" s="375" t="s">
        <v>9916</v>
      </c>
      <c r="G1644" s="375" t="s">
        <v>9917</v>
      </c>
      <c r="H1644" s="375" t="s">
        <v>3818</v>
      </c>
      <c r="I1644" s="63" t="s">
        <v>4433</v>
      </c>
      <c r="J1644" s="47">
        <v>3740</v>
      </c>
      <c r="K1644" s="46" t="s">
        <v>10735</v>
      </c>
      <c r="L1644" s="47"/>
      <c r="M1644" s="47"/>
      <c r="N1644" s="47"/>
      <c r="O1644" s="47"/>
      <c r="P1644" s="47"/>
      <c r="Q1644" s="47">
        <v>0</v>
      </c>
      <c r="R1644" s="47"/>
      <c r="S1644" s="47"/>
      <c r="T1644" s="47"/>
      <c r="U1644" s="47"/>
      <c r="V1644" s="47"/>
      <c r="W1644" s="47"/>
      <c r="X1644" s="47"/>
      <c r="Y1644" s="47"/>
      <c r="Z1644" s="47">
        <f t="shared" si="335"/>
        <v>4620</v>
      </c>
      <c r="AA1644" s="47"/>
      <c r="AB1644" s="47"/>
      <c r="AC1644" s="47"/>
      <c r="AD1644" s="47"/>
      <c r="AE1644" s="47"/>
      <c r="AF1644" s="47"/>
      <c r="AG1644" s="47"/>
      <c r="AH1644" s="47" t="str">
        <f>IFERROR(_xlfn.XLOOKUP(Table6[[#This Row],[Suburb]],Table5[Travel Surcharge],Table5[$$]),"")</f>
        <v/>
      </c>
      <c r="AI1644" s="47"/>
      <c r="AJ1644" s="47"/>
    </row>
    <row r="1645" spans="1:36">
      <c r="A1645" s="374" t="s">
        <v>2751</v>
      </c>
      <c r="B1645" s="374">
        <v>1</v>
      </c>
      <c r="C1645" s="374" t="s">
        <v>1042</v>
      </c>
      <c r="D1645" s="375" t="str">
        <f t="shared" si="338"/>
        <v>Fernlea1</v>
      </c>
      <c r="E1645" s="375" t="s">
        <v>2752</v>
      </c>
      <c r="F1645" s="375"/>
      <c r="G1645" s="375" t="s">
        <v>2753</v>
      </c>
      <c r="H1645" s="375" t="s">
        <v>2754</v>
      </c>
      <c r="I1645" s="63" t="s">
        <v>1158</v>
      </c>
      <c r="J1645" s="47">
        <f t="shared" ref="J1645:J1659" si="340">J$7</f>
        <v>3740</v>
      </c>
      <c r="K1645" s="46" t="s">
        <v>10735</v>
      </c>
      <c r="L1645" s="47"/>
      <c r="M1645" s="47">
        <f>M$7</f>
        <v>1430.0000000000002</v>
      </c>
      <c r="N1645" s="47" t="s">
        <v>2755</v>
      </c>
      <c r="O1645" s="47"/>
      <c r="P1645" s="47"/>
      <c r="Q1645" s="47"/>
      <c r="R1645" s="47"/>
      <c r="S1645" s="47" t="s">
        <v>463</v>
      </c>
      <c r="T1645" s="47" t="s">
        <v>2756</v>
      </c>
      <c r="U1645" s="47"/>
      <c r="V1645" s="47" t="s">
        <v>2757</v>
      </c>
      <c r="W1645" s="47" t="s">
        <v>2758</v>
      </c>
      <c r="X1645" s="47" t="s">
        <v>2759</v>
      </c>
      <c r="Y1645" s="47"/>
      <c r="Z1645" s="47">
        <f t="shared" si="335"/>
        <v>4620</v>
      </c>
      <c r="AA1645" s="47">
        <f>AA$7</f>
        <v>1400</v>
      </c>
      <c r="AB1645" s="47"/>
      <c r="AC1645" s="47"/>
      <c r="AD1645" s="47"/>
      <c r="AE1645" s="47"/>
      <c r="AF1645" s="47">
        <f>AF$7</f>
        <v>1485</v>
      </c>
      <c r="AG1645" s="47"/>
      <c r="AH1645" s="47" t="str">
        <f>IFERROR(_xlfn.XLOOKUP(Table6[[#This Row],[Suburb]],Table5[Travel Surcharge],Table5[$$]),"")</f>
        <v/>
      </c>
      <c r="AI1645" s="47"/>
      <c r="AJ1645" s="47"/>
    </row>
    <row r="1646" spans="1:36">
      <c r="A1646" s="374" t="s">
        <v>2751</v>
      </c>
      <c r="B1646" s="374">
        <v>2</v>
      </c>
      <c r="C1646" s="374" t="s">
        <v>1042</v>
      </c>
      <c r="D1646" s="375" t="str">
        <f t="shared" si="338"/>
        <v>Fernlea2</v>
      </c>
      <c r="E1646" s="375" t="s">
        <v>10817</v>
      </c>
      <c r="F1646" s="375"/>
      <c r="G1646" s="375" t="s">
        <v>2753</v>
      </c>
      <c r="H1646" s="375" t="s">
        <v>2754</v>
      </c>
      <c r="I1646" s="63" t="s">
        <v>1158</v>
      </c>
      <c r="J1646" s="47">
        <v>3740</v>
      </c>
      <c r="K1646" s="46" t="s">
        <v>10735</v>
      </c>
      <c r="L1646" s="47"/>
      <c r="M1646" s="47">
        <v>1430.0000000000002</v>
      </c>
      <c r="N1646" s="47" t="s">
        <v>2755</v>
      </c>
      <c r="O1646" s="47"/>
      <c r="P1646" s="47"/>
      <c r="Q1646" s="47"/>
      <c r="R1646" s="47"/>
      <c r="S1646" s="47" t="s">
        <v>463</v>
      </c>
      <c r="T1646" s="47" t="s">
        <v>2756</v>
      </c>
      <c r="U1646" s="47"/>
      <c r="V1646" s="47" t="s">
        <v>2757</v>
      </c>
      <c r="W1646" s="47" t="s">
        <v>2758</v>
      </c>
      <c r="X1646" s="47" t="s">
        <v>2759</v>
      </c>
      <c r="Y1646" s="47"/>
      <c r="Z1646" s="47">
        <v>4620</v>
      </c>
      <c r="AA1646" s="47">
        <v>1400</v>
      </c>
      <c r="AB1646" s="47"/>
      <c r="AC1646" s="47"/>
      <c r="AD1646" s="47"/>
      <c r="AE1646" s="47"/>
      <c r="AF1646" s="47">
        <v>1485</v>
      </c>
      <c r="AG1646" s="47"/>
      <c r="AH1646" s="47" t="s">
        <v>9976</v>
      </c>
      <c r="AI1646" s="47"/>
      <c r="AJ1646" s="47"/>
    </row>
    <row r="1647" spans="1:36">
      <c r="A1647" s="374" t="s">
        <v>2760</v>
      </c>
      <c r="B1647" s="374">
        <v>2</v>
      </c>
      <c r="C1647" s="374" t="s">
        <v>289</v>
      </c>
      <c r="D1647" s="375" t="str">
        <f t="shared" si="338"/>
        <v>Ferntree Ridge2</v>
      </c>
      <c r="E1647" s="375" t="s">
        <v>2761</v>
      </c>
      <c r="F1647" s="375" t="s">
        <v>2762</v>
      </c>
      <c r="G1647" s="375" t="s">
        <v>725</v>
      </c>
      <c r="H1647" s="375" t="s">
        <v>726</v>
      </c>
      <c r="I1647" s="63"/>
      <c r="J1647" s="47">
        <f t="shared" si="340"/>
        <v>3740</v>
      </c>
      <c r="K1647" s="46" t="s">
        <v>7938</v>
      </c>
      <c r="L1647" s="47"/>
      <c r="M1647" s="47"/>
      <c r="N1647" s="47"/>
      <c r="O1647" s="47"/>
      <c r="P1647" s="47"/>
      <c r="Q1647" s="47">
        <f t="shared" ref="Q1647:Q1657" si="341">Q$2</f>
        <v>0</v>
      </c>
      <c r="R1647" s="47"/>
      <c r="S1647" s="47"/>
      <c r="T1647" s="47"/>
      <c r="U1647" s="47"/>
      <c r="V1647" s="47"/>
      <c r="W1647" s="47"/>
      <c r="X1647" s="47"/>
      <c r="Y1647" s="47"/>
      <c r="Z1647" s="47">
        <f t="shared" si="335"/>
        <v>4620</v>
      </c>
      <c r="AA1647" s="47"/>
      <c r="AB1647" s="47"/>
      <c r="AC1647" s="47"/>
      <c r="AD1647" s="47"/>
      <c r="AE1647" s="47"/>
      <c r="AF1647" s="47"/>
      <c r="AG1647" s="47"/>
      <c r="AH1647" s="47">
        <f>IFERROR(_xlfn.XLOOKUP(Table6[[#This Row],[Suburb]],Table5[Travel Surcharge],Table5[$$]),"")</f>
        <v>7000</v>
      </c>
      <c r="AI1647" s="47"/>
      <c r="AJ1647" s="47"/>
    </row>
    <row r="1648" spans="1:36">
      <c r="A1648" s="374" t="s">
        <v>2760</v>
      </c>
      <c r="B1648" s="374">
        <v>4</v>
      </c>
      <c r="C1648" s="374" t="s">
        <v>289</v>
      </c>
      <c r="D1648" s="375" t="str">
        <f t="shared" si="338"/>
        <v>Ferntree Ridge4</v>
      </c>
      <c r="E1648" s="375" t="s">
        <v>2763</v>
      </c>
      <c r="F1648" s="375" t="s">
        <v>2762</v>
      </c>
      <c r="G1648" s="375" t="s">
        <v>725</v>
      </c>
      <c r="H1648" s="375" t="s">
        <v>726</v>
      </c>
      <c r="I1648" s="63"/>
      <c r="J1648" s="47">
        <f t="shared" si="340"/>
        <v>3740</v>
      </c>
      <c r="K1648" s="46" t="s">
        <v>7938</v>
      </c>
      <c r="L1648" s="47"/>
      <c r="M1648" s="47"/>
      <c r="N1648" s="47"/>
      <c r="O1648" s="47"/>
      <c r="P1648" s="47"/>
      <c r="Q1648" s="47">
        <f t="shared" si="341"/>
        <v>0</v>
      </c>
      <c r="R1648" s="47"/>
      <c r="S1648" s="47"/>
      <c r="T1648" s="47"/>
      <c r="U1648" s="47"/>
      <c r="V1648" s="47"/>
      <c r="W1648" s="47"/>
      <c r="X1648" s="47"/>
      <c r="Y1648" s="47"/>
      <c r="Z1648" s="47">
        <f t="shared" si="335"/>
        <v>4620</v>
      </c>
      <c r="AA1648" s="47"/>
      <c r="AB1648" s="47"/>
      <c r="AC1648" s="47"/>
      <c r="AD1648" s="47"/>
      <c r="AE1648" s="47"/>
      <c r="AF1648" s="47"/>
      <c r="AG1648" s="47"/>
      <c r="AH1648" s="47">
        <f>IFERROR(_xlfn.XLOOKUP(Table6[[#This Row],[Suburb]],Table5[Travel Surcharge],Table5[$$]),"")</f>
        <v>7000</v>
      </c>
      <c r="AI1648" s="47"/>
      <c r="AJ1648" s="47"/>
    </row>
    <row r="1649" spans="1:36">
      <c r="A1649" s="374" t="s">
        <v>2760</v>
      </c>
      <c r="B1649" s="374">
        <v>5</v>
      </c>
      <c r="C1649" s="374" t="s">
        <v>289</v>
      </c>
      <c r="D1649" s="375" t="str">
        <f t="shared" si="338"/>
        <v>Ferntree Ridge5</v>
      </c>
      <c r="E1649" s="375" t="s">
        <v>2764</v>
      </c>
      <c r="F1649" s="375" t="s">
        <v>2762</v>
      </c>
      <c r="G1649" s="375" t="s">
        <v>725</v>
      </c>
      <c r="H1649" s="375" t="s">
        <v>726</v>
      </c>
      <c r="I1649" s="63"/>
      <c r="J1649" s="47">
        <f t="shared" si="340"/>
        <v>3740</v>
      </c>
      <c r="K1649" s="46" t="s">
        <v>7938</v>
      </c>
      <c r="L1649" s="47"/>
      <c r="M1649" s="47"/>
      <c r="N1649" s="47"/>
      <c r="O1649" s="47"/>
      <c r="P1649" s="47"/>
      <c r="Q1649" s="47">
        <f t="shared" si="341"/>
        <v>0</v>
      </c>
      <c r="R1649" s="47"/>
      <c r="S1649" s="47"/>
      <c r="T1649" s="47"/>
      <c r="U1649" s="47"/>
      <c r="V1649" s="47"/>
      <c r="W1649" s="47"/>
      <c r="X1649" s="47"/>
      <c r="Y1649" s="47"/>
      <c r="Z1649" s="47">
        <f t="shared" si="335"/>
        <v>4620</v>
      </c>
      <c r="AA1649" s="47"/>
      <c r="AB1649" s="47"/>
      <c r="AC1649" s="47"/>
      <c r="AD1649" s="47"/>
      <c r="AE1649" s="47"/>
      <c r="AF1649" s="47"/>
      <c r="AG1649" s="47"/>
      <c r="AH1649" s="47">
        <f>IFERROR(_xlfn.XLOOKUP(Table6[[#This Row],[Suburb]],Table5[Travel Surcharge],Table5[$$]),"")</f>
        <v>7000</v>
      </c>
      <c r="AI1649" s="47"/>
      <c r="AJ1649" s="47"/>
    </row>
    <row r="1650" spans="1:36">
      <c r="A1650" s="374" t="s">
        <v>2760</v>
      </c>
      <c r="B1650" s="374">
        <v>6</v>
      </c>
      <c r="C1650" s="374" t="s">
        <v>289</v>
      </c>
      <c r="D1650" s="375" t="str">
        <f t="shared" si="338"/>
        <v>Ferntree Ridge6</v>
      </c>
      <c r="E1650" s="375" t="s">
        <v>2765</v>
      </c>
      <c r="F1650" s="375" t="s">
        <v>2762</v>
      </c>
      <c r="G1650" s="375" t="s">
        <v>725</v>
      </c>
      <c r="H1650" s="375" t="s">
        <v>726</v>
      </c>
      <c r="I1650" s="63"/>
      <c r="J1650" s="47">
        <f t="shared" si="340"/>
        <v>3740</v>
      </c>
      <c r="K1650" s="46" t="s">
        <v>7938</v>
      </c>
      <c r="L1650" s="47"/>
      <c r="M1650" s="47"/>
      <c r="N1650" s="47"/>
      <c r="O1650" s="47"/>
      <c r="P1650" s="47"/>
      <c r="Q1650" s="47">
        <f t="shared" si="341"/>
        <v>0</v>
      </c>
      <c r="R1650" s="47"/>
      <c r="S1650" s="47"/>
      <c r="T1650" s="47"/>
      <c r="U1650" s="47"/>
      <c r="V1650" s="47"/>
      <c r="W1650" s="47"/>
      <c r="X1650" s="47"/>
      <c r="Y1650" s="47"/>
      <c r="Z1650" s="47">
        <f t="shared" si="335"/>
        <v>4620</v>
      </c>
      <c r="AA1650" s="47"/>
      <c r="AB1650" s="47"/>
      <c r="AC1650" s="47"/>
      <c r="AD1650" s="47"/>
      <c r="AE1650" s="47"/>
      <c r="AF1650" s="47"/>
      <c r="AG1650" s="47"/>
      <c r="AH1650" s="47">
        <f>IFERROR(_xlfn.XLOOKUP(Table6[[#This Row],[Suburb]],Table5[Travel Surcharge],Table5[$$]),"")</f>
        <v>7000</v>
      </c>
      <c r="AI1650" s="47"/>
      <c r="AJ1650" s="47"/>
    </row>
    <row r="1651" spans="1:36">
      <c r="A1651" s="374" t="s">
        <v>2760</v>
      </c>
      <c r="B1651" s="374">
        <v>7</v>
      </c>
      <c r="C1651" s="374" t="s">
        <v>289</v>
      </c>
      <c r="D1651" s="375" t="str">
        <f t="shared" si="338"/>
        <v>Ferntree Ridge7</v>
      </c>
      <c r="E1651" s="375" t="s">
        <v>2766</v>
      </c>
      <c r="F1651" s="375" t="s">
        <v>2762</v>
      </c>
      <c r="G1651" s="375" t="s">
        <v>725</v>
      </c>
      <c r="H1651" s="375" t="s">
        <v>726</v>
      </c>
      <c r="I1651" s="63"/>
      <c r="J1651" s="47">
        <f t="shared" si="340"/>
        <v>3740</v>
      </c>
      <c r="K1651" s="46" t="s">
        <v>7938</v>
      </c>
      <c r="L1651" s="47"/>
      <c r="M1651" s="47"/>
      <c r="N1651" s="47"/>
      <c r="O1651" s="47"/>
      <c r="P1651" s="47"/>
      <c r="Q1651" s="47">
        <f t="shared" si="341"/>
        <v>0</v>
      </c>
      <c r="R1651" s="47"/>
      <c r="S1651" s="47"/>
      <c r="T1651" s="47"/>
      <c r="U1651" s="47"/>
      <c r="V1651" s="47"/>
      <c r="W1651" s="47"/>
      <c r="X1651" s="47"/>
      <c r="Y1651" s="47"/>
      <c r="Z1651" s="47">
        <f t="shared" si="335"/>
        <v>4620</v>
      </c>
      <c r="AA1651" s="47"/>
      <c r="AB1651" s="47"/>
      <c r="AC1651" s="47"/>
      <c r="AD1651" s="47"/>
      <c r="AE1651" s="47"/>
      <c r="AF1651" s="47"/>
      <c r="AG1651" s="47"/>
      <c r="AH1651" s="47">
        <f>IFERROR(_xlfn.XLOOKUP(Table6[[#This Row],[Suburb]],Table5[Travel Surcharge],Table5[$$]),"")</f>
        <v>7000</v>
      </c>
      <c r="AI1651" s="47"/>
      <c r="AJ1651" s="47"/>
    </row>
    <row r="1652" spans="1:36">
      <c r="A1652" s="374" t="s">
        <v>2760</v>
      </c>
      <c r="B1652" s="374">
        <v>8</v>
      </c>
      <c r="C1652" s="374" t="s">
        <v>289</v>
      </c>
      <c r="D1652" s="375" t="str">
        <f t="shared" si="338"/>
        <v>Ferntree Ridge8</v>
      </c>
      <c r="E1652" s="375" t="s">
        <v>2767</v>
      </c>
      <c r="F1652" s="375" t="s">
        <v>2762</v>
      </c>
      <c r="G1652" s="375" t="s">
        <v>725</v>
      </c>
      <c r="H1652" s="375" t="s">
        <v>726</v>
      </c>
      <c r="I1652" s="63"/>
      <c r="J1652" s="47">
        <f t="shared" si="340"/>
        <v>3740</v>
      </c>
      <c r="K1652" s="46" t="s">
        <v>7938</v>
      </c>
      <c r="L1652" s="47"/>
      <c r="M1652" s="47"/>
      <c r="N1652" s="47"/>
      <c r="O1652" s="47"/>
      <c r="P1652" s="47"/>
      <c r="Q1652" s="47">
        <f t="shared" si="341"/>
        <v>0</v>
      </c>
      <c r="R1652" s="47"/>
      <c r="S1652" s="47"/>
      <c r="T1652" s="47"/>
      <c r="U1652" s="47"/>
      <c r="V1652" s="47"/>
      <c r="W1652" s="47"/>
      <c r="X1652" s="47"/>
      <c r="Y1652" s="47"/>
      <c r="Z1652" s="47">
        <f t="shared" si="335"/>
        <v>4620</v>
      </c>
      <c r="AA1652" s="47"/>
      <c r="AB1652" s="47"/>
      <c r="AC1652" s="47"/>
      <c r="AD1652" s="47"/>
      <c r="AE1652" s="47"/>
      <c r="AF1652" s="47"/>
      <c r="AG1652" s="47"/>
      <c r="AH1652" s="47">
        <f>IFERROR(_xlfn.XLOOKUP(Table6[[#This Row],[Suburb]],Table5[Travel Surcharge],Table5[$$]),"")</f>
        <v>7000</v>
      </c>
      <c r="AI1652" s="47"/>
      <c r="AJ1652" s="47"/>
    </row>
    <row r="1653" spans="1:36">
      <c r="A1653" s="374" t="s">
        <v>2760</v>
      </c>
      <c r="B1653" s="374">
        <v>9</v>
      </c>
      <c r="C1653" s="374" t="s">
        <v>289</v>
      </c>
      <c r="D1653" s="375" t="str">
        <f t="shared" si="338"/>
        <v>Ferntree Ridge9</v>
      </c>
      <c r="E1653" s="375" t="s">
        <v>2768</v>
      </c>
      <c r="F1653" s="375" t="s">
        <v>2762</v>
      </c>
      <c r="G1653" s="375" t="s">
        <v>725</v>
      </c>
      <c r="H1653" s="375" t="s">
        <v>726</v>
      </c>
      <c r="I1653" s="63"/>
      <c r="J1653" s="47">
        <f t="shared" si="340"/>
        <v>3740</v>
      </c>
      <c r="K1653" s="46" t="s">
        <v>7938</v>
      </c>
      <c r="L1653" s="47"/>
      <c r="M1653" s="47"/>
      <c r="N1653" s="47"/>
      <c r="O1653" s="47"/>
      <c r="P1653" s="47"/>
      <c r="Q1653" s="47">
        <f t="shared" si="341"/>
        <v>0</v>
      </c>
      <c r="R1653" s="47"/>
      <c r="S1653" s="47"/>
      <c r="T1653" s="47"/>
      <c r="U1653" s="47"/>
      <c r="V1653" s="47"/>
      <c r="W1653" s="47"/>
      <c r="X1653" s="47"/>
      <c r="Y1653" s="47"/>
      <c r="Z1653" s="47">
        <f t="shared" si="335"/>
        <v>4620</v>
      </c>
      <c r="AA1653" s="47"/>
      <c r="AB1653" s="47"/>
      <c r="AC1653" s="47"/>
      <c r="AD1653" s="47"/>
      <c r="AE1653" s="47"/>
      <c r="AF1653" s="47"/>
      <c r="AG1653" s="47"/>
      <c r="AH1653" s="47">
        <f>IFERROR(_xlfn.XLOOKUP(Table6[[#This Row],[Suburb]],Table5[Travel Surcharge],Table5[$$]),"")</f>
        <v>7000</v>
      </c>
      <c r="AI1653" s="47"/>
      <c r="AJ1653" s="47"/>
    </row>
    <row r="1654" spans="1:36">
      <c r="A1654" s="374" t="s">
        <v>2760</v>
      </c>
      <c r="B1654" s="374">
        <v>10</v>
      </c>
      <c r="C1654" s="374" t="s">
        <v>289</v>
      </c>
      <c r="D1654" s="375" t="str">
        <f t="shared" si="338"/>
        <v>Ferntree Ridge10</v>
      </c>
      <c r="E1654" s="375" t="s">
        <v>2769</v>
      </c>
      <c r="F1654" s="375" t="s">
        <v>2762</v>
      </c>
      <c r="G1654" s="375" t="s">
        <v>725</v>
      </c>
      <c r="H1654" s="375" t="s">
        <v>726</v>
      </c>
      <c r="I1654" s="63"/>
      <c r="J1654" s="47">
        <f t="shared" si="340"/>
        <v>3740</v>
      </c>
      <c r="K1654" s="46" t="s">
        <v>7938</v>
      </c>
      <c r="L1654" s="47"/>
      <c r="M1654" s="47"/>
      <c r="N1654" s="47"/>
      <c r="O1654" s="47"/>
      <c r="P1654" s="47"/>
      <c r="Q1654" s="47">
        <f t="shared" si="341"/>
        <v>0</v>
      </c>
      <c r="R1654" s="47"/>
      <c r="S1654" s="47"/>
      <c r="T1654" s="47"/>
      <c r="U1654" s="47"/>
      <c r="V1654" s="47"/>
      <c r="W1654" s="47"/>
      <c r="X1654" s="47"/>
      <c r="Y1654" s="47"/>
      <c r="Z1654" s="47">
        <f t="shared" si="335"/>
        <v>4620</v>
      </c>
      <c r="AA1654" s="47"/>
      <c r="AB1654" s="47"/>
      <c r="AC1654" s="47"/>
      <c r="AD1654" s="47"/>
      <c r="AE1654" s="47"/>
      <c r="AF1654" s="47"/>
      <c r="AG1654" s="47"/>
      <c r="AH1654" s="47">
        <f>IFERROR(_xlfn.XLOOKUP(Table6[[#This Row],[Suburb]],Table5[Travel Surcharge],Table5[$$]),"")</f>
        <v>7000</v>
      </c>
      <c r="AI1654" s="47"/>
      <c r="AJ1654" s="47"/>
    </row>
    <row r="1655" spans="1:36">
      <c r="A1655" s="374" t="s">
        <v>2760</v>
      </c>
      <c r="B1655" s="374" t="s">
        <v>754</v>
      </c>
      <c r="C1655" s="374" t="s">
        <v>289</v>
      </c>
      <c r="D1655" s="375" t="str">
        <f t="shared" si="338"/>
        <v>Ferntree Ridge10A</v>
      </c>
      <c r="E1655" s="375" t="s">
        <v>2770</v>
      </c>
      <c r="F1655" s="375" t="s">
        <v>2762</v>
      </c>
      <c r="G1655" s="375" t="s">
        <v>725</v>
      </c>
      <c r="H1655" s="375" t="s">
        <v>726</v>
      </c>
      <c r="I1655" s="63"/>
      <c r="J1655" s="47">
        <f t="shared" si="340"/>
        <v>3740</v>
      </c>
      <c r="K1655" s="46" t="s">
        <v>7938</v>
      </c>
      <c r="L1655" s="47"/>
      <c r="M1655" s="47"/>
      <c r="N1655" s="47"/>
      <c r="O1655" s="47"/>
      <c r="P1655" s="47"/>
      <c r="Q1655" s="47">
        <f t="shared" si="341"/>
        <v>0</v>
      </c>
      <c r="R1655" s="47"/>
      <c r="S1655" s="47"/>
      <c r="T1655" s="47"/>
      <c r="U1655" s="47"/>
      <c r="V1655" s="47"/>
      <c r="W1655" s="47"/>
      <c r="X1655" s="47"/>
      <c r="Y1655" s="47"/>
      <c r="Z1655" s="47">
        <f t="shared" si="335"/>
        <v>4620</v>
      </c>
      <c r="AA1655" s="47"/>
      <c r="AB1655" s="47"/>
      <c r="AC1655" s="47"/>
      <c r="AD1655" s="47"/>
      <c r="AE1655" s="47"/>
      <c r="AF1655" s="47"/>
      <c r="AG1655" s="47"/>
      <c r="AH1655" s="47">
        <f>IFERROR(_xlfn.XLOOKUP(Table6[[#This Row],[Suburb]],Table5[Travel Surcharge],Table5[$$]),"")</f>
        <v>7000</v>
      </c>
      <c r="AI1655" s="47"/>
      <c r="AJ1655" s="47"/>
    </row>
    <row r="1656" spans="1:36">
      <c r="A1656" s="157" t="s">
        <v>2760</v>
      </c>
      <c r="B1656" s="157">
        <v>11</v>
      </c>
      <c r="C1656" s="157" t="s">
        <v>289</v>
      </c>
      <c r="D1656" s="157" t="str">
        <f t="shared" si="338"/>
        <v>Ferntree Ridge11</v>
      </c>
      <c r="E1656" s="157" t="s">
        <v>8503</v>
      </c>
      <c r="F1656" s="157" t="s">
        <v>2762</v>
      </c>
      <c r="G1656" s="157" t="s">
        <v>725</v>
      </c>
      <c r="H1656" s="157" t="s">
        <v>726</v>
      </c>
      <c r="I1656" s="158"/>
      <c r="J1656" s="47">
        <f t="shared" si="340"/>
        <v>3740</v>
      </c>
      <c r="K1656" s="46" t="s">
        <v>7938</v>
      </c>
      <c r="L1656" s="47"/>
      <c r="M1656" s="47"/>
      <c r="N1656" s="47"/>
      <c r="O1656" s="47"/>
      <c r="P1656" s="47"/>
      <c r="Q1656" s="47">
        <f t="shared" si="341"/>
        <v>0</v>
      </c>
      <c r="R1656" s="47"/>
      <c r="S1656" s="47"/>
      <c r="T1656" s="47"/>
      <c r="U1656" s="47"/>
      <c r="V1656" s="47"/>
      <c r="W1656" s="47"/>
      <c r="X1656" s="47"/>
      <c r="Y1656" s="47"/>
      <c r="Z1656" s="47">
        <f t="shared" si="335"/>
        <v>4620</v>
      </c>
      <c r="AA1656" s="47"/>
      <c r="AB1656" s="47"/>
      <c r="AC1656" s="47"/>
      <c r="AD1656" s="47"/>
      <c r="AE1656" s="47"/>
      <c r="AF1656" s="47"/>
      <c r="AG1656" s="47"/>
      <c r="AH1656" s="47">
        <f>IFERROR(_xlfn.XLOOKUP(Table6[[#This Row],[Suburb]],Table5[Travel Surcharge],Table5[$$]),"")</f>
        <v>7000</v>
      </c>
      <c r="AI1656" s="47"/>
      <c r="AJ1656" s="47"/>
    </row>
    <row r="1657" spans="1:36">
      <c r="A1657" s="157" t="s">
        <v>2760</v>
      </c>
      <c r="B1657" s="157">
        <v>12</v>
      </c>
      <c r="C1657" s="157" t="s">
        <v>289</v>
      </c>
      <c r="D1657" s="157" t="str">
        <f t="shared" si="338"/>
        <v>Ferntree Ridge12</v>
      </c>
      <c r="E1657" s="157" t="s">
        <v>8504</v>
      </c>
      <c r="F1657" s="157" t="s">
        <v>2762</v>
      </c>
      <c r="G1657" s="157" t="s">
        <v>725</v>
      </c>
      <c r="H1657" s="157" t="s">
        <v>726</v>
      </c>
      <c r="I1657" s="158"/>
      <c r="J1657" s="47">
        <f t="shared" si="340"/>
        <v>3740</v>
      </c>
      <c r="K1657" s="46" t="s">
        <v>7938</v>
      </c>
      <c r="L1657" s="47"/>
      <c r="M1657" s="47"/>
      <c r="N1657" s="47"/>
      <c r="O1657" s="47"/>
      <c r="P1657" s="47"/>
      <c r="Q1657" s="47">
        <f t="shared" si="341"/>
        <v>0</v>
      </c>
      <c r="R1657" s="47"/>
      <c r="S1657" s="47"/>
      <c r="T1657" s="47"/>
      <c r="U1657" s="47"/>
      <c r="V1657" s="47"/>
      <c r="W1657" s="47"/>
      <c r="X1657" s="47"/>
      <c r="Y1657" s="47"/>
      <c r="Z1657" s="47">
        <f t="shared" si="335"/>
        <v>4620</v>
      </c>
      <c r="AA1657" s="47"/>
      <c r="AB1657" s="47"/>
      <c r="AC1657" s="47"/>
      <c r="AD1657" s="47"/>
      <c r="AE1657" s="47"/>
      <c r="AF1657" s="47"/>
      <c r="AG1657" s="47"/>
      <c r="AH1657" s="47">
        <f>IFERROR(_xlfn.XLOOKUP(Table6[[#This Row],[Suburb]],Table5[Travel Surcharge],Table5[$$]),"")</f>
        <v>7000</v>
      </c>
      <c r="AI1657" s="47"/>
      <c r="AJ1657" s="47"/>
    </row>
    <row r="1658" spans="1:36">
      <c r="A1658" s="374" t="s">
        <v>2771</v>
      </c>
      <c r="B1658" s="374">
        <v>1</v>
      </c>
      <c r="C1658" s="374" t="s">
        <v>455</v>
      </c>
      <c r="D1658" s="375" t="str">
        <f t="shared" si="338"/>
        <v>Findonview Estate1</v>
      </c>
      <c r="E1658" s="375" t="s">
        <v>2772</v>
      </c>
      <c r="F1658" s="375"/>
      <c r="G1658" s="375" t="s">
        <v>2773</v>
      </c>
      <c r="H1658" s="375" t="s">
        <v>2774</v>
      </c>
      <c r="I1658" s="63" t="s">
        <v>2775</v>
      </c>
      <c r="J1658" s="47">
        <f t="shared" si="340"/>
        <v>3740</v>
      </c>
      <c r="K1658" s="46" t="s">
        <v>10735</v>
      </c>
      <c r="L1658" s="47"/>
      <c r="M1658" s="47">
        <f>M$7</f>
        <v>1430.0000000000002</v>
      </c>
      <c r="N1658" s="47" t="s">
        <v>2776</v>
      </c>
      <c r="O1658" s="47"/>
      <c r="P1658" s="47"/>
      <c r="Q1658" s="47"/>
      <c r="R1658" s="47"/>
      <c r="S1658" s="47"/>
      <c r="T1658" s="47"/>
      <c r="U1658" s="47">
        <f>U$2</f>
        <v>430</v>
      </c>
      <c r="V1658" s="47"/>
      <c r="W1658" s="47"/>
      <c r="X1658" s="47"/>
      <c r="Y1658" s="47"/>
      <c r="Z1658" s="47">
        <f t="shared" si="335"/>
        <v>4620</v>
      </c>
      <c r="AA1658" s="47"/>
      <c r="AB1658" s="47"/>
      <c r="AC1658" s="47"/>
      <c r="AD1658" s="47"/>
      <c r="AE1658" s="47"/>
      <c r="AF1658" s="47">
        <f>AF$7</f>
        <v>1485</v>
      </c>
      <c r="AG1658" s="47"/>
      <c r="AH1658" s="47" t="str">
        <f>IFERROR(_xlfn.XLOOKUP(Table6[[#This Row],[Suburb]],Table5[Travel Surcharge],Table5[$$]),"")</f>
        <v/>
      </c>
      <c r="AI1658" s="47"/>
      <c r="AJ1658" s="47"/>
    </row>
    <row r="1659" spans="1:36">
      <c r="A1659" s="374" t="s">
        <v>2771</v>
      </c>
      <c r="B1659" s="374">
        <v>2</v>
      </c>
      <c r="C1659" s="374" t="s">
        <v>455</v>
      </c>
      <c r="D1659" s="375" t="str">
        <f t="shared" si="338"/>
        <v>Findonview Estate2</v>
      </c>
      <c r="E1659" s="375" t="s">
        <v>2777</v>
      </c>
      <c r="F1659" s="375"/>
      <c r="G1659" s="375" t="s">
        <v>2773</v>
      </c>
      <c r="H1659" s="375" t="s">
        <v>2774</v>
      </c>
      <c r="I1659" s="63" t="s">
        <v>2775</v>
      </c>
      <c r="J1659" s="47">
        <f t="shared" si="340"/>
        <v>3740</v>
      </c>
      <c r="K1659" s="46" t="s">
        <v>10735</v>
      </c>
      <c r="L1659" s="47"/>
      <c r="M1659" s="47">
        <f>M$7</f>
        <v>1430.0000000000002</v>
      </c>
      <c r="N1659" s="47" t="s">
        <v>2776</v>
      </c>
      <c r="O1659" s="47"/>
      <c r="P1659" s="47"/>
      <c r="Q1659" s="47"/>
      <c r="R1659" s="47"/>
      <c r="S1659" s="47"/>
      <c r="T1659" s="47"/>
      <c r="U1659" s="47">
        <f>U$2</f>
        <v>430</v>
      </c>
      <c r="V1659" s="47"/>
      <c r="W1659" s="47"/>
      <c r="X1659" s="47"/>
      <c r="Y1659" s="47"/>
      <c r="Z1659" s="47">
        <f t="shared" si="335"/>
        <v>4620</v>
      </c>
      <c r="AA1659" s="47"/>
      <c r="AB1659" s="47"/>
      <c r="AC1659" s="47"/>
      <c r="AD1659" s="47"/>
      <c r="AE1659" s="47"/>
      <c r="AF1659" s="47">
        <f>AF$7</f>
        <v>1485</v>
      </c>
      <c r="AG1659" s="47"/>
      <c r="AH1659" s="47" t="str">
        <f>IFERROR(_xlfn.XLOOKUP(Table6[[#This Row],[Suburb]],Table5[Travel Surcharge],Table5[$$]),"")</f>
        <v/>
      </c>
      <c r="AI1659" s="47"/>
      <c r="AJ1659" s="47"/>
    </row>
    <row r="1660" spans="1:36">
      <c r="A1660" s="374" t="s">
        <v>2778</v>
      </c>
      <c r="B1660" s="374">
        <v>2</v>
      </c>
      <c r="C1660" s="374" t="s">
        <v>428</v>
      </c>
      <c r="D1660" s="375" t="s">
        <v>9744</v>
      </c>
      <c r="E1660" s="375" t="s">
        <v>9745</v>
      </c>
      <c r="F1660" s="375" t="s">
        <v>1738</v>
      </c>
      <c r="G1660" s="375" t="s">
        <v>2780</v>
      </c>
      <c r="H1660" s="375" t="s">
        <v>2781</v>
      </c>
      <c r="I1660" s="63" t="s">
        <v>2782</v>
      </c>
      <c r="J1660" s="47">
        <v>3740</v>
      </c>
      <c r="K1660" s="46" t="s">
        <v>7938</v>
      </c>
      <c r="L1660" s="47" t="s">
        <v>2783</v>
      </c>
      <c r="M1660" s="47" t="s">
        <v>2784</v>
      </c>
      <c r="N1660" s="47"/>
      <c r="O1660" s="47" t="s">
        <v>2785</v>
      </c>
      <c r="P1660" s="47" t="s">
        <v>2786</v>
      </c>
      <c r="Q1660" s="47" t="s">
        <v>9187</v>
      </c>
      <c r="R1660" s="47"/>
      <c r="S1660" s="47" t="s">
        <v>2787</v>
      </c>
      <c r="T1660" s="47"/>
      <c r="U1660" s="47"/>
      <c r="V1660" s="47"/>
      <c r="W1660" s="47"/>
      <c r="X1660" s="47"/>
      <c r="Y1660" s="47"/>
      <c r="Z1660" s="47">
        <v>4620</v>
      </c>
      <c r="AA1660" s="47" t="s">
        <v>2788</v>
      </c>
      <c r="AB1660" s="47" t="s">
        <v>2789</v>
      </c>
      <c r="AC1660" s="47"/>
      <c r="AD1660" s="47"/>
      <c r="AE1660" s="47"/>
      <c r="AF1660" s="47">
        <v>1485</v>
      </c>
      <c r="AG1660" s="47"/>
      <c r="AH1660" s="47" t="str">
        <f>IFERROR(_xlfn.XLOOKUP(Table6[[#This Row],[Suburb]],Table5[Travel Surcharge],Table5[$$]),"")</f>
        <v/>
      </c>
      <c r="AI1660" s="47"/>
      <c r="AJ1660" s="47"/>
    </row>
    <row r="1661" spans="1:36">
      <c r="A1661" s="374" t="s">
        <v>2778</v>
      </c>
      <c r="B1661" s="374">
        <v>8</v>
      </c>
      <c r="C1661" s="374" t="s">
        <v>428</v>
      </c>
      <c r="D1661" s="375" t="str">
        <f t="shared" ref="D1661:D1705" si="342">CONCATENATE(A1661,B1661)</f>
        <v>Five Farms Estate8</v>
      </c>
      <c r="E1661" s="375" t="s">
        <v>2779</v>
      </c>
      <c r="F1661" s="375" t="s">
        <v>1738</v>
      </c>
      <c r="G1661" s="375" t="s">
        <v>2780</v>
      </c>
      <c r="H1661" s="375" t="s">
        <v>2781</v>
      </c>
      <c r="I1661" s="63" t="s">
        <v>2782</v>
      </c>
      <c r="J1661" s="47">
        <f t="shared" ref="J1661:J1673" si="343">J$7</f>
        <v>3740</v>
      </c>
      <c r="K1661" s="46" t="s">
        <v>7938</v>
      </c>
      <c r="L1661" s="47" t="s">
        <v>2783</v>
      </c>
      <c r="M1661" s="47" t="s">
        <v>2784</v>
      </c>
      <c r="N1661" s="47"/>
      <c r="O1661" s="47" t="s">
        <v>2785</v>
      </c>
      <c r="P1661" s="47" t="s">
        <v>2786</v>
      </c>
      <c r="Q1661" s="47" t="s">
        <v>9187</v>
      </c>
      <c r="R1661" s="47"/>
      <c r="S1661" s="47" t="s">
        <v>2787</v>
      </c>
      <c r="T1661" s="47"/>
      <c r="U1661" s="47"/>
      <c r="V1661" s="47"/>
      <c r="W1661" s="47"/>
      <c r="X1661" s="47"/>
      <c r="Y1661" s="47"/>
      <c r="Z1661" s="47">
        <f t="shared" ref="Z1661:Z1705" si="344">Z$7</f>
        <v>4620</v>
      </c>
      <c r="AA1661" s="47" t="s">
        <v>2788</v>
      </c>
      <c r="AB1661" s="47" t="s">
        <v>2789</v>
      </c>
      <c r="AC1661" s="47"/>
      <c r="AD1661" s="47"/>
      <c r="AE1661" s="47"/>
      <c r="AF1661" s="47">
        <f t="shared" ref="AF1661:AF1673" si="345">AF$7</f>
        <v>1485</v>
      </c>
      <c r="AG1661" s="47"/>
      <c r="AH1661" s="47" t="str">
        <f>IFERROR(_xlfn.XLOOKUP(Table6[[#This Row],[Suburb]],Table5[Travel Surcharge],Table5[$$]),"")</f>
        <v/>
      </c>
      <c r="AI1661" s="47"/>
      <c r="AJ1661" s="47"/>
    </row>
    <row r="1662" spans="1:36">
      <c r="A1662" s="374" t="s">
        <v>2778</v>
      </c>
      <c r="B1662" s="374">
        <v>3</v>
      </c>
      <c r="C1662" s="374" t="s">
        <v>428</v>
      </c>
      <c r="D1662" s="375" t="str">
        <f t="shared" si="342"/>
        <v>Five Farms Estate3</v>
      </c>
      <c r="E1662" s="157" t="s">
        <v>7418</v>
      </c>
      <c r="F1662" s="157" t="s">
        <v>1738</v>
      </c>
      <c r="G1662" s="157" t="s">
        <v>2780</v>
      </c>
      <c r="H1662" s="157" t="s">
        <v>8089</v>
      </c>
      <c r="I1662" s="158" t="s">
        <v>2782</v>
      </c>
      <c r="J1662" s="47">
        <f t="shared" si="343"/>
        <v>3740</v>
      </c>
      <c r="K1662" s="46" t="s">
        <v>7938</v>
      </c>
      <c r="L1662" s="47" t="s">
        <v>2783</v>
      </c>
      <c r="M1662" s="47" t="s">
        <v>2784</v>
      </c>
      <c r="N1662" s="47"/>
      <c r="O1662" s="47" t="s">
        <v>7417</v>
      </c>
      <c r="P1662" s="47" t="s">
        <v>2786</v>
      </c>
      <c r="Q1662" s="47" t="s">
        <v>9187</v>
      </c>
      <c r="R1662" s="47"/>
      <c r="S1662" s="47" t="s">
        <v>2787</v>
      </c>
      <c r="T1662" s="47"/>
      <c r="U1662" s="47"/>
      <c r="V1662" s="47"/>
      <c r="W1662" s="47"/>
      <c r="X1662" s="47"/>
      <c r="Y1662" s="47"/>
      <c r="Z1662" s="47">
        <f t="shared" si="344"/>
        <v>4620</v>
      </c>
      <c r="AA1662" s="47" t="s">
        <v>2788</v>
      </c>
      <c r="AB1662" s="47" t="s">
        <v>2789</v>
      </c>
      <c r="AC1662" s="47"/>
      <c r="AD1662" s="47"/>
      <c r="AE1662" s="47"/>
      <c r="AF1662" s="47">
        <f t="shared" si="345"/>
        <v>1485</v>
      </c>
      <c r="AG1662" s="47"/>
      <c r="AH1662" s="47" t="str">
        <f>IFERROR(_xlfn.XLOOKUP(Table6[[#This Row],[Suburb]],Table5[Travel Surcharge],Table5[$$]),"")</f>
        <v/>
      </c>
      <c r="AI1662" s="47"/>
      <c r="AJ1662" s="47"/>
    </row>
    <row r="1663" spans="1:36">
      <c r="A1663" s="374" t="s">
        <v>2778</v>
      </c>
      <c r="B1663" s="374">
        <v>6</v>
      </c>
      <c r="C1663" s="374" t="s">
        <v>7416</v>
      </c>
      <c r="D1663" s="375" t="str">
        <f t="shared" si="342"/>
        <v>Five Farms Estate6</v>
      </c>
      <c r="E1663" s="157" t="s">
        <v>8148</v>
      </c>
      <c r="F1663" s="157" t="s">
        <v>1738</v>
      </c>
      <c r="G1663" s="157" t="s">
        <v>2780</v>
      </c>
      <c r="H1663" s="157" t="s">
        <v>8144</v>
      </c>
      <c r="I1663" s="158" t="s">
        <v>2782</v>
      </c>
      <c r="J1663" s="47">
        <f t="shared" si="343"/>
        <v>3740</v>
      </c>
      <c r="K1663" s="46" t="s">
        <v>7938</v>
      </c>
      <c r="L1663" s="47" t="s">
        <v>8145</v>
      </c>
      <c r="M1663" s="47" t="s">
        <v>8146</v>
      </c>
      <c r="N1663" s="47"/>
      <c r="O1663" s="47" t="s">
        <v>8147</v>
      </c>
      <c r="P1663" s="47" t="s">
        <v>2786</v>
      </c>
      <c r="Q1663" s="47" t="s">
        <v>9187</v>
      </c>
      <c r="R1663" s="47"/>
      <c r="S1663" s="47" t="s">
        <v>2787</v>
      </c>
      <c r="T1663" s="47"/>
      <c r="U1663" s="47"/>
      <c r="V1663" s="47"/>
      <c r="W1663" s="47"/>
      <c r="X1663" s="47"/>
      <c r="Y1663" s="47"/>
      <c r="Z1663" s="47">
        <f t="shared" si="344"/>
        <v>4620</v>
      </c>
      <c r="AA1663" s="47" t="s">
        <v>2788</v>
      </c>
      <c r="AB1663" s="47" t="s">
        <v>2789</v>
      </c>
      <c r="AC1663" s="47"/>
      <c r="AD1663" s="47"/>
      <c r="AE1663" s="47"/>
      <c r="AF1663" s="47">
        <f t="shared" si="345"/>
        <v>1485</v>
      </c>
      <c r="AG1663" s="47"/>
      <c r="AH1663" s="47" t="str">
        <f>IFERROR(_xlfn.XLOOKUP(Table6[[#This Row],[Suburb]],Table5[Travel Surcharge],Table5[$$]),"")</f>
        <v/>
      </c>
      <c r="AI1663" s="47"/>
      <c r="AJ1663" s="47"/>
    </row>
    <row r="1664" spans="1:36">
      <c r="A1664" s="374" t="s">
        <v>2778</v>
      </c>
      <c r="B1664" s="374">
        <v>7</v>
      </c>
      <c r="C1664" s="374" t="s">
        <v>428</v>
      </c>
      <c r="D1664" s="375" t="str">
        <f t="shared" si="342"/>
        <v>Five Farms Estate7</v>
      </c>
      <c r="E1664" s="375" t="s">
        <v>10649</v>
      </c>
      <c r="F1664" s="375" t="s">
        <v>1738</v>
      </c>
      <c r="G1664" s="375" t="s">
        <v>2780</v>
      </c>
      <c r="H1664" s="375" t="s">
        <v>2781</v>
      </c>
      <c r="I1664" s="63" t="s">
        <v>2782</v>
      </c>
      <c r="J1664" s="47">
        <v>3740</v>
      </c>
      <c r="K1664" s="46" t="s">
        <v>7938</v>
      </c>
      <c r="L1664" s="47" t="s">
        <v>2783</v>
      </c>
      <c r="M1664" s="47" t="s">
        <v>2784</v>
      </c>
      <c r="N1664" s="47"/>
      <c r="O1664" s="47" t="s">
        <v>2785</v>
      </c>
      <c r="P1664" s="47" t="s">
        <v>2786</v>
      </c>
      <c r="Q1664" s="47" t="s">
        <v>9187</v>
      </c>
      <c r="R1664" s="47"/>
      <c r="S1664" s="47" t="s">
        <v>2787</v>
      </c>
      <c r="T1664" s="47"/>
      <c r="U1664" s="47"/>
      <c r="V1664" s="47"/>
      <c r="W1664" s="47"/>
      <c r="X1664" s="47"/>
      <c r="Y1664" s="47"/>
      <c r="Z1664" s="47">
        <v>4620</v>
      </c>
      <c r="AA1664" s="47" t="s">
        <v>2788</v>
      </c>
      <c r="AB1664" s="47" t="s">
        <v>2789</v>
      </c>
      <c r="AC1664" s="47"/>
      <c r="AD1664" s="47"/>
      <c r="AE1664" s="47"/>
      <c r="AF1664" s="47">
        <v>1485</v>
      </c>
      <c r="AG1664" s="47"/>
      <c r="AH1664" s="47" t="s">
        <v>9976</v>
      </c>
      <c r="AI1664" s="47"/>
      <c r="AJ1664" s="47"/>
    </row>
    <row r="1665" spans="1:36">
      <c r="A1665" s="374" t="s">
        <v>2778</v>
      </c>
      <c r="B1665" s="374">
        <v>9</v>
      </c>
      <c r="C1665" s="374" t="s">
        <v>428</v>
      </c>
      <c r="D1665" s="375" t="str">
        <f t="shared" si="342"/>
        <v>Five Farms Estate9</v>
      </c>
      <c r="E1665" s="375" t="s">
        <v>10227</v>
      </c>
      <c r="F1665" s="375" t="s">
        <v>1738</v>
      </c>
      <c r="G1665" s="375" t="s">
        <v>2780</v>
      </c>
      <c r="H1665" s="375" t="s">
        <v>2781</v>
      </c>
      <c r="I1665" s="63" t="s">
        <v>2782</v>
      </c>
      <c r="J1665" s="47">
        <v>3740</v>
      </c>
      <c r="K1665" s="46" t="s">
        <v>7938</v>
      </c>
      <c r="L1665" s="47" t="s">
        <v>2783</v>
      </c>
      <c r="M1665" s="47" t="s">
        <v>2784</v>
      </c>
      <c r="N1665" s="47"/>
      <c r="O1665" s="47" t="s">
        <v>2785</v>
      </c>
      <c r="P1665" s="47" t="s">
        <v>2786</v>
      </c>
      <c r="Q1665" s="47" t="s">
        <v>9187</v>
      </c>
      <c r="R1665" s="47"/>
      <c r="S1665" s="47" t="s">
        <v>2787</v>
      </c>
      <c r="T1665" s="47"/>
      <c r="U1665" s="47"/>
      <c r="V1665" s="47"/>
      <c r="W1665" s="47"/>
      <c r="X1665" s="47"/>
      <c r="Y1665" s="47"/>
      <c r="Z1665" s="47">
        <v>4620</v>
      </c>
      <c r="AA1665" s="47" t="s">
        <v>2788</v>
      </c>
      <c r="AB1665" s="47" t="s">
        <v>2789</v>
      </c>
      <c r="AC1665" s="47"/>
      <c r="AD1665" s="47"/>
      <c r="AE1665" s="47"/>
      <c r="AF1665" s="47">
        <v>1485</v>
      </c>
      <c r="AG1665" s="47"/>
      <c r="AH1665" s="47" t="s">
        <v>9976</v>
      </c>
      <c r="AI1665" s="47"/>
      <c r="AJ1665" s="47"/>
    </row>
    <row r="1666" spans="1:36">
      <c r="A1666" s="374" t="s">
        <v>2778</v>
      </c>
      <c r="B1666" s="374">
        <v>10</v>
      </c>
      <c r="C1666" s="374" t="s">
        <v>428</v>
      </c>
      <c r="D1666" s="375" t="str">
        <f t="shared" si="342"/>
        <v>Five Farms Estate10</v>
      </c>
      <c r="E1666" s="375" t="s">
        <v>10790</v>
      </c>
      <c r="F1666" s="375" t="s">
        <v>1738</v>
      </c>
      <c r="G1666" s="375" t="s">
        <v>2780</v>
      </c>
      <c r="H1666" s="375" t="s">
        <v>2781</v>
      </c>
      <c r="I1666" s="63" t="s">
        <v>2782</v>
      </c>
      <c r="J1666" s="47">
        <v>3740</v>
      </c>
      <c r="K1666" s="46" t="s">
        <v>7938</v>
      </c>
      <c r="L1666" s="47" t="s">
        <v>2783</v>
      </c>
      <c r="M1666" s="47" t="s">
        <v>2784</v>
      </c>
      <c r="N1666" s="47"/>
      <c r="O1666" s="47" t="s">
        <v>2785</v>
      </c>
      <c r="P1666" s="47" t="s">
        <v>2786</v>
      </c>
      <c r="Q1666" s="47" t="s">
        <v>9187</v>
      </c>
      <c r="R1666" s="47"/>
      <c r="S1666" s="47" t="s">
        <v>2787</v>
      </c>
      <c r="T1666" s="47"/>
      <c r="U1666" s="47"/>
      <c r="V1666" s="47"/>
      <c r="W1666" s="47"/>
      <c r="X1666" s="47"/>
      <c r="Y1666" s="47"/>
      <c r="Z1666" s="47">
        <v>4620</v>
      </c>
      <c r="AA1666" s="47" t="s">
        <v>2788</v>
      </c>
      <c r="AB1666" s="47" t="s">
        <v>2789</v>
      </c>
      <c r="AC1666" s="47"/>
      <c r="AD1666" s="47"/>
      <c r="AE1666" s="47"/>
      <c r="AF1666" s="47">
        <v>1485</v>
      </c>
      <c r="AG1666" s="47"/>
      <c r="AH1666" s="47" t="s">
        <v>9976</v>
      </c>
      <c r="AI1666" s="47"/>
      <c r="AJ1666" s="47"/>
    </row>
    <row r="1667" spans="1:36">
      <c r="A1667" s="374" t="s">
        <v>2778</v>
      </c>
      <c r="B1667" s="374">
        <v>11</v>
      </c>
      <c r="C1667" s="374" t="s">
        <v>428</v>
      </c>
      <c r="D1667" s="375" t="str">
        <f t="shared" si="342"/>
        <v>Five Farms Estate11</v>
      </c>
      <c r="E1667" s="375" t="s">
        <v>2790</v>
      </c>
      <c r="F1667" s="375" t="s">
        <v>1738</v>
      </c>
      <c r="G1667" s="375" t="s">
        <v>2780</v>
      </c>
      <c r="H1667" s="375" t="s">
        <v>2781</v>
      </c>
      <c r="I1667" s="63" t="s">
        <v>2782</v>
      </c>
      <c r="J1667" s="47">
        <f t="shared" si="343"/>
        <v>3740</v>
      </c>
      <c r="K1667" s="46" t="s">
        <v>7938</v>
      </c>
      <c r="L1667" s="47" t="s">
        <v>2783</v>
      </c>
      <c r="M1667" s="47" t="s">
        <v>2784</v>
      </c>
      <c r="N1667" s="47"/>
      <c r="O1667" s="47" t="s">
        <v>2785</v>
      </c>
      <c r="P1667" s="47" t="s">
        <v>2786</v>
      </c>
      <c r="Q1667" s="47" t="s">
        <v>9187</v>
      </c>
      <c r="R1667" s="47"/>
      <c r="S1667" s="47" t="s">
        <v>2787</v>
      </c>
      <c r="T1667" s="47"/>
      <c r="U1667" s="47"/>
      <c r="V1667" s="47"/>
      <c r="W1667" s="47"/>
      <c r="X1667" s="47"/>
      <c r="Y1667" s="47"/>
      <c r="Z1667" s="47">
        <f t="shared" si="344"/>
        <v>4620</v>
      </c>
      <c r="AA1667" s="47" t="s">
        <v>2788</v>
      </c>
      <c r="AB1667" s="47" t="s">
        <v>2789</v>
      </c>
      <c r="AC1667" s="47"/>
      <c r="AD1667" s="47"/>
      <c r="AE1667" s="47"/>
      <c r="AF1667" s="47">
        <f t="shared" si="345"/>
        <v>1485</v>
      </c>
      <c r="AG1667" s="47"/>
      <c r="AH1667" s="47" t="str">
        <f>IFERROR(_xlfn.XLOOKUP(Table6[[#This Row],[Suburb]],Table5[Travel Surcharge],Table5[$$]),"")</f>
        <v/>
      </c>
      <c r="AI1667" s="47"/>
      <c r="AJ1667" s="47"/>
    </row>
    <row r="1668" spans="1:36">
      <c r="A1668" s="374" t="s">
        <v>2778</v>
      </c>
      <c r="B1668" s="374">
        <v>21</v>
      </c>
      <c r="C1668" s="374" t="s">
        <v>428</v>
      </c>
      <c r="D1668" s="375" t="str">
        <f t="shared" si="342"/>
        <v>Five Farms Estate21</v>
      </c>
      <c r="E1668" s="375" t="s">
        <v>2791</v>
      </c>
      <c r="F1668" s="375" t="s">
        <v>1738</v>
      </c>
      <c r="G1668" s="375" t="s">
        <v>2780</v>
      </c>
      <c r="H1668" s="375" t="s">
        <v>2781</v>
      </c>
      <c r="I1668" s="63" t="s">
        <v>2782</v>
      </c>
      <c r="J1668" s="47">
        <f t="shared" si="343"/>
        <v>3740</v>
      </c>
      <c r="K1668" s="46" t="s">
        <v>7938</v>
      </c>
      <c r="L1668" s="47" t="s">
        <v>2783</v>
      </c>
      <c r="M1668" s="47" t="s">
        <v>2784</v>
      </c>
      <c r="N1668" s="47"/>
      <c r="O1668" s="47" t="s">
        <v>2785</v>
      </c>
      <c r="P1668" s="47" t="s">
        <v>2786</v>
      </c>
      <c r="Q1668" s="47" t="s">
        <v>9187</v>
      </c>
      <c r="R1668" s="47"/>
      <c r="S1668" s="47" t="s">
        <v>2787</v>
      </c>
      <c r="T1668" s="47"/>
      <c r="U1668" s="47"/>
      <c r="V1668" s="47"/>
      <c r="W1668" s="47"/>
      <c r="X1668" s="47"/>
      <c r="Y1668" s="47"/>
      <c r="Z1668" s="47">
        <f t="shared" si="344"/>
        <v>4620</v>
      </c>
      <c r="AA1668" s="47" t="s">
        <v>2788</v>
      </c>
      <c r="AB1668" s="47" t="s">
        <v>2789</v>
      </c>
      <c r="AC1668" s="47"/>
      <c r="AD1668" s="47"/>
      <c r="AE1668" s="47"/>
      <c r="AF1668" s="47">
        <f t="shared" si="345"/>
        <v>1485</v>
      </c>
      <c r="AG1668" s="47"/>
      <c r="AH1668" s="47" t="str">
        <f>IFERROR(_xlfn.XLOOKUP(Table6[[#This Row],[Suburb]],Table5[Travel Surcharge],Table5[$$]),"")</f>
        <v/>
      </c>
      <c r="AI1668" s="47"/>
      <c r="AJ1668" s="47"/>
    </row>
    <row r="1669" spans="1:36">
      <c r="A1669" s="374" t="s">
        <v>2778</v>
      </c>
      <c r="B1669" s="374">
        <v>22</v>
      </c>
      <c r="C1669" s="374" t="s">
        <v>428</v>
      </c>
      <c r="D1669" s="375" t="str">
        <f t="shared" si="342"/>
        <v>Five Farms Estate22</v>
      </c>
      <c r="E1669" s="375" t="s">
        <v>2792</v>
      </c>
      <c r="F1669" s="375" t="s">
        <v>1738</v>
      </c>
      <c r="G1669" s="375" t="s">
        <v>2780</v>
      </c>
      <c r="H1669" s="375" t="s">
        <v>2781</v>
      </c>
      <c r="I1669" s="63" t="s">
        <v>2782</v>
      </c>
      <c r="J1669" s="47">
        <f t="shared" si="343"/>
        <v>3740</v>
      </c>
      <c r="K1669" s="46" t="s">
        <v>7938</v>
      </c>
      <c r="L1669" s="47" t="s">
        <v>2783</v>
      </c>
      <c r="M1669" s="47" t="s">
        <v>2784</v>
      </c>
      <c r="N1669" s="47"/>
      <c r="O1669" s="47" t="s">
        <v>2785</v>
      </c>
      <c r="P1669" s="47" t="s">
        <v>2786</v>
      </c>
      <c r="Q1669" s="47" t="s">
        <v>9187</v>
      </c>
      <c r="R1669" s="47"/>
      <c r="S1669" s="47" t="s">
        <v>2787</v>
      </c>
      <c r="T1669" s="47"/>
      <c r="U1669" s="47"/>
      <c r="V1669" s="47"/>
      <c r="W1669" s="47"/>
      <c r="X1669" s="47"/>
      <c r="Y1669" s="47"/>
      <c r="Z1669" s="47">
        <f t="shared" si="344"/>
        <v>4620</v>
      </c>
      <c r="AA1669" s="47" t="s">
        <v>2788</v>
      </c>
      <c r="AB1669" s="47" t="s">
        <v>2789</v>
      </c>
      <c r="AC1669" s="47"/>
      <c r="AD1669" s="47"/>
      <c r="AE1669" s="47"/>
      <c r="AF1669" s="47">
        <f t="shared" si="345"/>
        <v>1485</v>
      </c>
      <c r="AG1669" s="47"/>
      <c r="AH1669" s="47" t="str">
        <f>IFERROR(_xlfn.XLOOKUP(Table6[[#This Row],[Suburb]],Table5[Travel Surcharge],Table5[$$]),"")</f>
        <v/>
      </c>
      <c r="AI1669" s="47"/>
      <c r="AJ1669" s="47"/>
    </row>
    <row r="1670" spans="1:36">
      <c r="A1670" s="157" t="s">
        <v>2778</v>
      </c>
      <c r="B1670" s="157">
        <v>23</v>
      </c>
      <c r="C1670" s="157" t="s">
        <v>7416</v>
      </c>
      <c r="D1670" s="157" t="str">
        <f t="shared" si="342"/>
        <v>Five Farms Estate23</v>
      </c>
      <c r="E1670" s="157" t="s">
        <v>8329</v>
      </c>
      <c r="F1670" s="157" t="s">
        <v>1738</v>
      </c>
      <c r="G1670" s="157" t="s">
        <v>2780</v>
      </c>
      <c r="H1670" s="157" t="s">
        <v>8330</v>
      </c>
      <c r="I1670" s="158" t="s">
        <v>2782</v>
      </c>
      <c r="J1670" s="47">
        <f t="shared" si="343"/>
        <v>3740</v>
      </c>
      <c r="K1670" s="46" t="s">
        <v>7938</v>
      </c>
      <c r="L1670" s="47" t="s">
        <v>8145</v>
      </c>
      <c r="M1670" s="47" t="s">
        <v>8146</v>
      </c>
      <c r="N1670" s="47"/>
      <c r="O1670" s="47" t="s">
        <v>7417</v>
      </c>
      <c r="P1670" s="47" t="s">
        <v>2786</v>
      </c>
      <c r="Q1670" s="47" t="s">
        <v>9187</v>
      </c>
      <c r="R1670" s="47"/>
      <c r="S1670" s="47" t="s">
        <v>2787</v>
      </c>
      <c r="T1670" s="47"/>
      <c r="U1670" s="47"/>
      <c r="V1670" s="47"/>
      <c r="W1670" s="47"/>
      <c r="X1670" s="47"/>
      <c r="Y1670" s="47"/>
      <c r="Z1670" s="47">
        <f t="shared" si="344"/>
        <v>4620</v>
      </c>
      <c r="AA1670" s="47" t="s">
        <v>2788</v>
      </c>
      <c r="AB1670" s="47" t="s">
        <v>2789</v>
      </c>
      <c r="AC1670" s="47"/>
      <c r="AD1670" s="47"/>
      <c r="AE1670" s="47"/>
      <c r="AF1670" s="47">
        <f t="shared" si="345"/>
        <v>1485</v>
      </c>
      <c r="AG1670" s="47"/>
      <c r="AH1670" s="47" t="str">
        <f>IFERROR(_xlfn.XLOOKUP(Table6[[#This Row],[Suburb]],Table5[Travel Surcharge],Table5[$$]),"")</f>
        <v/>
      </c>
      <c r="AI1670" s="47"/>
      <c r="AJ1670" s="47"/>
    </row>
    <row r="1671" spans="1:36">
      <c r="A1671" s="157" t="s">
        <v>2778</v>
      </c>
      <c r="B1671" s="157">
        <v>24</v>
      </c>
      <c r="C1671" s="157" t="s">
        <v>428</v>
      </c>
      <c r="D1671" s="157" t="str">
        <f t="shared" si="342"/>
        <v>Five Farms Estate24</v>
      </c>
      <c r="E1671" s="157" t="s">
        <v>8088</v>
      </c>
      <c r="F1671" s="157" t="s">
        <v>1738</v>
      </c>
      <c r="G1671" s="157" t="s">
        <v>2780</v>
      </c>
      <c r="H1671" s="157" t="s">
        <v>2781</v>
      </c>
      <c r="I1671" s="158" t="s">
        <v>2782</v>
      </c>
      <c r="J1671" s="47">
        <f t="shared" si="343"/>
        <v>3740</v>
      </c>
      <c r="K1671" s="46" t="s">
        <v>7938</v>
      </c>
      <c r="L1671" s="47" t="s">
        <v>2783</v>
      </c>
      <c r="M1671" s="47" t="s">
        <v>2784</v>
      </c>
      <c r="N1671" s="47"/>
      <c r="O1671" s="47" t="s">
        <v>7417</v>
      </c>
      <c r="P1671" s="47" t="s">
        <v>2786</v>
      </c>
      <c r="Q1671" s="47" t="s">
        <v>9187</v>
      </c>
      <c r="R1671" s="47"/>
      <c r="S1671" s="47" t="s">
        <v>2787</v>
      </c>
      <c r="T1671" s="47"/>
      <c r="U1671" s="47"/>
      <c r="V1671" s="47"/>
      <c r="W1671" s="47"/>
      <c r="X1671" s="47"/>
      <c r="Y1671" s="47"/>
      <c r="Z1671" s="47">
        <f t="shared" si="344"/>
        <v>4620</v>
      </c>
      <c r="AA1671" s="47" t="s">
        <v>2788</v>
      </c>
      <c r="AB1671" s="47" t="s">
        <v>2789</v>
      </c>
      <c r="AC1671" s="47"/>
      <c r="AD1671" s="47"/>
      <c r="AE1671" s="47"/>
      <c r="AF1671" s="47">
        <f t="shared" si="345"/>
        <v>1485</v>
      </c>
      <c r="AG1671" s="47"/>
      <c r="AH1671" s="47" t="str">
        <f>IFERROR(_xlfn.XLOOKUP(Table6[[#This Row],[Suburb]],Table5[Travel Surcharge],Table5[$$]),"")</f>
        <v/>
      </c>
      <c r="AI1671" s="47"/>
      <c r="AJ1671" s="47"/>
    </row>
    <row r="1672" spans="1:36">
      <c r="A1672" s="157" t="s">
        <v>2778</v>
      </c>
      <c r="B1672" s="157">
        <v>25</v>
      </c>
      <c r="C1672" s="157" t="s">
        <v>428</v>
      </c>
      <c r="D1672" s="157" t="str">
        <f t="shared" si="342"/>
        <v>Five Farms Estate25</v>
      </c>
      <c r="E1672" s="157" t="s">
        <v>8450</v>
      </c>
      <c r="F1672" s="157" t="s">
        <v>1738</v>
      </c>
      <c r="G1672" s="157" t="s">
        <v>2780</v>
      </c>
      <c r="H1672" s="157" t="s">
        <v>2781</v>
      </c>
      <c r="I1672" s="158" t="s">
        <v>2782</v>
      </c>
      <c r="J1672" s="47">
        <f t="shared" si="343"/>
        <v>3740</v>
      </c>
      <c r="K1672" s="46" t="s">
        <v>7938</v>
      </c>
      <c r="L1672" s="47" t="s">
        <v>2783</v>
      </c>
      <c r="M1672" s="47" t="s">
        <v>2784</v>
      </c>
      <c r="N1672" s="47"/>
      <c r="O1672" s="47" t="s">
        <v>7417</v>
      </c>
      <c r="P1672" s="47" t="s">
        <v>2786</v>
      </c>
      <c r="Q1672" s="47" t="s">
        <v>9187</v>
      </c>
      <c r="R1672" s="47"/>
      <c r="S1672" s="47" t="s">
        <v>2787</v>
      </c>
      <c r="T1672" s="47"/>
      <c r="U1672" s="47"/>
      <c r="V1672" s="47"/>
      <c r="W1672" s="47"/>
      <c r="X1672" s="47"/>
      <c r="Y1672" s="47"/>
      <c r="Z1672" s="47">
        <f t="shared" si="344"/>
        <v>4620</v>
      </c>
      <c r="AA1672" s="47" t="s">
        <v>2788</v>
      </c>
      <c r="AB1672" s="47" t="s">
        <v>2789</v>
      </c>
      <c r="AC1672" s="47"/>
      <c r="AD1672" s="47"/>
      <c r="AE1672" s="47"/>
      <c r="AF1672" s="47">
        <f t="shared" si="345"/>
        <v>1485</v>
      </c>
      <c r="AG1672" s="47"/>
      <c r="AH1672" s="47" t="str">
        <f>IFERROR(_xlfn.XLOOKUP(Table6[[#This Row],[Suburb]],Table5[Travel Surcharge],Table5[$$]),"")</f>
        <v/>
      </c>
      <c r="AI1672" s="47"/>
      <c r="AJ1672" s="47"/>
    </row>
    <row r="1673" spans="1:36">
      <c r="A1673" s="157" t="s">
        <v>2778</v>
      </c>
      <c r="B1673" s="157">
        <v>26</v>
      </c>
      <c r="C1673" s="157" t="s">
        <v>428</v>
      </c>
      <c r="D1673" s="157" t="str">
        <f t="shared" si="342"/>
        <v>Five Farms Estate26</v>
      </c>
      <c r="E1673" s="157" t="s">
        <v>9451</v>
      </c>
      <c r="F1673" s="157" t="s">
        <v>1738</v>
      </c>
      <c r="G1673" s="157" t="s">
        <v>2780</v>
      </c>
      <c r="H1673" s="157" t="s">
        <v>2781</v>
      </c>
      <c r="I1673" s="158" t="s">
        <v>2782</v>
      </c>
      <c r="J1673" s="47">
        <f t="shared" si="343"/>
        <v>3740</v>
      </c>
      <c r="K1673" s="46" t="s">
        <v>7938</v>
      </c>
      <c r="L1673" s="47" t="s">
        <v>2783</v>
      </c>
      <c r="M1673" s="47" t="s">
        <v>2784</v>
      </c>
      <c r="N1673" s="47"/>
      <c r="O1673" s="47" t="s">
        <v>7417</v>
      </c>
      <c r="P1673" s="47" t="s">
        <v>2786</v>
      </c>
      <c r="Q1673" s="47" t="s">
        <v>9187</v>
      </c>
      <c r="R1673" s="47"/>
      <c r="S1673" s="47" t="s">
        <v>2787</v>
      </c>
      <c r="T1673" s="47"/>
      <c r="U1673" s="47"/>
      <c r="V1673" s="47"/>
      <c r="W1673" s="47"/>
      <c r="X1673" s="47"/>
      <c r="Y1673" s="47"/>
      <c r="Z1673" s="47">
        <f t="shared" si="344"/>
        <v>4620</v>
      </c>
      <c r="AA1673" s="47" t="s">
        <v>2788</v>
      </c>
      <c r="AB1673" s="47" t="s">
        <v>2789</v>
      </c>
      <c r="AC1673" s="47"/>
      <c r="AD1673" s="47"/>
      <c r="AE1673" s="47"/>
      <c r="AF1673" s="47">
        <f t="shared" si="345"/>
        <v>1485</v>
      </c>
      <c r="AG1673" s="47"/>
      <c r="AH1673" s="47" t="str">
        <f>IFERROR(_xlfn.XLOOKUP(Table6[[#This Row],[Suburb]],Table5[Travel Surcharge],Table5[$$]),"")</f>
        <v/>
      </c>
      <c r="AI1673" s="47"/>
      <c r="AJ1673" s="47"/>
    </row>
    <row r="1674" spans="1:36">
      <c r="A1674" s="374" t="s">
        <v>2778</v>
      </c>
      <c r="B1674" s="374">
        <v>28</v>
      </c>
      <c r="C1674" s="374" t="s">
        <v>428</v>
      </c>
      <c r="D1674" s="375" t="str">
        <f>CONCATENATE(A1674,B1674)</f>
        <v>Five Farms Estate28</v>
      </c>
      <c r="E1674" s="375" t="s">
        <v>9999</v>
      </c>
      <c r="F1674" s="375" t="s">
        <v>1738</v>
      </c>
      <c r="G1674" s="375" t="s">
        <v>2780</v>
      </c>
      <c r="H1674" s="375" t="s">
        <v>2781</v>
      </c>
      <c r="I1674" s="63" t="s">
        <v>2782</v>
      </c>
      <c r="J1674" s="47">
        <v>3740</v>
      </c>
      <c r="K1674" s="46" t="s">
        <v>7938</v>
      </c>
      <c r="L1674" s="47" t="s">
        <v>2783</v>
      </c>
      <c r="M1674" s="47" t="s">
        <v>2784</v>
      </c>
      <c r="N1674" s="47"/>
      <c r="O1674" s="47" t="s">
        <v>2785</v>
      </c>
      <c r="P1674" s="47" t="s">
        <v>2786</v>
      </c>
      <c r="Q1674" s="47" t="s">
        <v>9187</v>
      </c>
      <c r="R1674" s="47"/>
      <c r="S1674" s="47" t="s">
        <v>2787</v>
      </c>
      <c r="T1674" s="47"/>
      <c r="U1674" s="47"/>
      <c r="V1674" s="47"/>
      <c r="W1674" s="47"/>
      <c r="X1674" s="47"/>
      <c r="Y1674" s="47"/>
      <c r="Z1674" s="47">
        <v>4620</v>
      </c>
      <c r="AA1674" s="47" t="s">
        <v>2788</v>
      </c>
      <c r="AB1674" s="47" t="s">
        <v>2789</v>
      </c>
      <c r="AC1674" s="47"/>
      <c r="AD1674" s="47"/>
      <c r="AE1674" s="47"/>
      <c r="AF1674" s="47">
        <v>1485</v>
      </c>
      <c r="AG1674" s="47"/>
      <c r="AH1674" s="47" t="s">
        <v>9976</v>
      </c>
      <c r="AI1674" s="47"/>
      <c r="AJ1674" s="47"/>
    </row>
    <row r="1675" spans="1:36">
      <c r="A1675" s="374" t="s">
        <v>2778</v>
      </c>
      <c r="B1675" s="374">
        <v>29</v>
      </c>
      <c r="C1675" s="374" t="s">
        <v>428</v>
      </c>
      <c r="D1675" s="375" t="str">
        <f>CONCATENATE(A1675,B1675)</f>
        <v>Five Farms Estate29</v>
      </c>
      <c r="E1675" s="375" t="s">
        <v>10087</v>
      </c>
      <c r="F1675" s="375" t="s">
        <v>1738</v>
      </c>
      <c r="G1675" s="375" t="s">
        <v>2780</v>
      </c>
      <c r="H1675" s="375" t="s">
        <v>2781</v>
      </c>
      <c r="I1675" s="63" t="s">
        <v>2782</v>
      </c>
      <c r="J1675" s="47">
        <v>3740</v>
      </c>
      <c r="K1675" s="46" t="s">
        <v>7938</v>
      </c>
      <c r="L1675" s="47" t="s">
        <v>2783</v>
      </c>
      <c r="M1675" s="47" t="s">
        <v>2784</v>
      </c>
      <c r="N1675" s="47"/>
      <c r="O1675" s="47" t="s">
        <v>2785</v>
      </c>
      <c r="P1675" s="47" t="s">
        <v>2786</v>
      </c>
      <c r="Q1675" s="47" t="s">
        <v>9187</v>
      </c>
      <c r="R1675" s="47"/>
      <c r="S1675" s="47" t="s">
        <v>2787</v>
      </c>
      <c r="T1675" s="47"/>
      <c r="U1675" s="47"/>
      <c r="V1675" s="47"/>
      <c r="W1675" s="47"/>
      <c r="X1675" s="47"/>
      <c r="Y1675" s="47"/>
      <c r="Z1675" s="47">
        <v>4620</v>
      </c>
      <c r="AA1675" s="47" t="s">
        <v>2788</v>
      </c>
      <c r="AB1675" s="47" t="s">
        <v>2789</v>
      </c>
      <c r="AC1675" s="47"/>
      <c r="AD1675" s="47"/>
      <c r="AE1675" s="47"/>
      <c r="AF1675" s="47">
        <v>1485</v>
      </c>
      <c r="AG1675" s="47"/>
      <c r="AH1675" s="47" t="s">
        <v>9976</v>
      </c>
      <c r="AI1675" s="47"/>
      <c r="AJ1675" s="47"/>
    </row>
    <row r="1676" spans="1:36">
      <c r="A1676" s="374" t="s">
        <v>2778</v>
      </c>
      <c r="B1676" s="374">
        <v>30</v>
      </c>
      <c r="C1676" s="374" t="s">
        <v>428</v>
      </c>
      <c r="D1676" s="375" t="str">
        <f>CONCATENATE(A1676,B1676)</f>
        <v>Five Farms Estate30</v>
      </c>
      <c r="E1676" s="375" t="s">
        <v>10731</v>
      </c>
      <c r="F1676" s="375" t="s">
        <v>1738</v>
      </c>
      <c r="G1676" s="375" t="s">
        <v>2780</v>
      </c>
      <c r="H1676" s="375" t="s">
        <v>2781</v>
      </c>
      <c r="I1676" s="63" t="s">
        <v>2782</v>
      </c>
      <c r="J1676" s="47">
        <v>3740</v>
      </c>
      <c r="K1676" s="46" t="s">
        <v>7938</v>
      </c>
      <c r="L1676" s="47" t="s">
        <v>2783</v>
      </c>
      <c r="M1676" s="47" t="s">
        <v>2784</v>
      </c>
      <c r="N1676" s="47"/>
      <c r="O1676" s="47" t="s">
        <v>2785</v>
      </c>
      <c r="P1676" s="47" t="s">
        <v>2786</v>
      </c>
      <c r="Q1676" s="47" t="s">
        <v>9187</v>
      </c>
      <c r="R1676" s="47"/>
      <c r="S1676" s="47" t="s">
        <v>2787</v>
      </c>
      <c r="T1676" s="47"/>
      <c r="U1676" s="47"/>
      <c r="V1676" s="47"/>
      <c r="W1676" s="47"/>
      <c r="X1676" s="47"/>
      <c r="Y1676" s="47"/>
      <c r="Z1676" s="47">
        <v>4620</v>
      </c>
      <c r="AA1676" s="47" t="s">
        <v>2788</v>
      </c>
      <c r="AB1676" s="47" t="s">
        <v>2789</v>
      </c>
      <c r="AC1676" s="47"/>
      <c r="AD1676" s="47"/>
      <c r="AE1676" s="47"/>
      <c r="AF1676" s="47">
        <v>1485</v>
      </c>
      <c r="AG1676" s="47"/>
      <c r="AH1676" s="47" t="s">
        <v>9976</v>
      </c>
      <c r="AI1676" s="47"/>
      <c r="AJ1676" s="47"/>
    </row>
    <row r="1677" spans="1:36">
      <c r="A1677" s="374" t="s">
        <v>2793</v>
      </c>
      <c r="B1677" s="374">
        <v>2</v>
      </c>
      <c r="C1677" s="374" t="s">
        <v>2794</v>
      </c>
      <c r="D1677" s="375" t="str">
        <f t="shared" si="342"/>
        <v>Flinders Park Estate2</v>
      </c>
      <c r="E1677" s="375" t="s">
        <v>2795</v>
      </c>
      <c r="F1677" s="375" t="s">
        <v>2796</v>
      </c>
      <c r="G1677" s="375" t="s">
        <v>2797</v>
      </c>
      <c r="H1677" s="375" t="s">
        <v>2798</v>
      </c>
      <c r="I1677" s="63"/>
      <c r="J1677" s="47"/>
      <c r="K1677" s="46" t="s">
        <v>10735</v>
      </c>
      <c r="L1677" s="47"/>
      <c r="M1677" s="47"/>
      <c r="N1677" s="47"/>
      <c r="O1677" s="47"/>
      <c r="P1677" s="47"/>
      <c r="Q1677" s="47">
        <f>Q$2</f>
        <v>0</v>
      </c>
      <c r="R1677" s="47"/>
      <c r="S1677" s="47"/>
      <c r="T1677" s="47"/>
      <c r="U1677" s="47"/>
      <c r="V1677" s="47"/>
      <c r="W1677" s="47"/>
      <c r="X1677" s="47"/>
      <c r="Y1677" s="47"/>
      <c r="Z1677" s="47">
        <f t="shared" si="344"/>
        <v>4620</v>
      </c>
      <c r="AA1677" s="47"/>
      <c r="AB1677" s="47"/>
      <c r="AC1677" s="47"/>
      <c r="AD1677" s="47"/>
      <c r="AE1677" s="47"/>
      <c r="AF1677" s="47"/>
      <c r="AG1677" s="47"/>
      <c r="AH1677" s="47" t="str">
        <f>IFERROR(_xlfn.XLOOKUP(Table6[[#This Row],[Suburb]],Table5[Travel Surcharge],Table5[$$]),"")</f>
        <v/>
      </c>
      <c r="AI1677" s="47"/>
      <c r="AJ1677" s="47"/>
    </row>
    <row r="1678" spans="1:36">
      <c r="A1678" s="374" t="s">
        <v>2793</v>
      </c>
      <c r="B1678" s="374" t="s">
        <v>501</v>
      </c>
      <c r="C1678" s="374" t="s">
        <v>2794</v>
      </c>
      <c r="D1678" s="375" t="str">
        <f t="shared" si="342"/>
        <v>Flinders Park Estate1A</v>
      </c>
      <c r="E1678" s="375" t="s">
        <v>2799</v>
      </c>
      <c r="F1678" s="375" t="s">
        <v>2796</v>
      </c>
      <c r="G1678" s="375" t="s">
        <v>2797</v>
      </c>
      <c r="H1678" s="375" t="s">
        <v>2798</v>
      </c>
      <c r="I1678" s="63"/>
      <c r="J1678" s="47"/>
      <c r="K1678" s="46" t="s">
        <v>10735</v>
      </c>
      <c r="L1678" s="47"/>
      <c r="M1678" s="47"/>
      <c r="N1678" s="47"/>
      <c r="O1678" s="47"/>
      <c r="P1678" s="47"/>
      <c r="Q1678" s="47">
        <f>Q$2</f>
        <v>0</v>
      </c>
      <c r="R1678" s="47"/>
      <c r="S1678" s="47"/>
      <c r="T1678" s="47"/>
      <c r="U1678" s="47"/>
      <c r="V1678" s="47"/>
      <c r="W1678" s="47"/>
      <c r="X1678" s="47"/>
      <c r="Y1678" s="47"/>
      <c r="Z1678" s="47">
        <f t="shared" si="344"/>
        <v>4620</v>
      </c>
      <c r="AA1678" s="47"/>
      <c r="AB1678" s="47"/>
      <c r="AC1678" s="47"/>
      <c r="AD1678" s="47"/>
      <c r="AE1678" s="47"/>
      <c r="AF1678" s="47"/>
      <c r="AG1678" s="47"/>
      <c r="AH1678" s="47" t="str">
        <f>IFERROR(_xlfn.XLOOKUP(Table6[[#This Row],[Suburb]],Table5[Travel Surcharge],Table5[$$]),"")</f>
        <v/>
      </c>
      <c r="AI1678" s="47"/>
      <c r="AJ1678" s="47"/>
    </row>
    <row r="1679" spans="1:36">
      <c r="A1679" s="374" t="s">
        <v>2793</v>
      </c>
      <c r="B1679" s="374" t="s">
        <v>507</v>
      </c>
      <c r="C1679" s="374" t="s">
        <v>2794</v>
      </c>
      <c r="D1679" s="375" t="str">
        <f t="shared" si="342"/>
        <v>Flinders Park Estate1B</v>
      </c>
      <c r="E1679" s="375" t="s">
        <v>2800</v>
      </c>
      <c r="F1679" s="375" t="s">
        <v>2796</v>
      </c>
      <c r="G1679" s="375" t="s">
        <v>2797</v>
      </c>
      <c r="H1679" s="375" t="s">
        <v>2798</v>
      </c>
      <c r="I1679" s="63"/>
      <c r="J1679" s="47"/>
      <c r="K1679" s="46" t="s">
        <v>10735</v>
      </c>
      <c r="L1679" s="47"/>
      <c r="M1679" s="47"/>
      <c r="N1679" s="47"/>
      <c r="O1679" s="47"/>
      <c r="P1679" s="47"/>
      <c r="Q1679" s="47">
        <f>Q$2</f>
        <v>0</v>
      </c>
      <c r="R1679" s="47"/>
      <c r="S1679" s="47"/>
      <c r="T1679" s="47"/>
      <c r="U1679" s="47"/>
      <c r="V1679" s="47"/>
      <c r="W1679" s="47"/>
      <c r="X1679" s="47"/>
      <c r="Y1679" s="47"/>
      <c r="Z1679" s="47">
        <f t="shared" si="344"/>
        <v>4620</v>
      </c>
      <c r="AA1679" s="47"/>
      <c r="AB1679" s="47"/>
      <c r="AC1679" s="47"/>
      <c r="AD1679" s="47"/>
      <c r="AE1679" s="47"/>
      <c r="AF1679" s="47"/>
      <c r="AG1679" s="47"/>
      <c r="AH1679" s="47" t="str">
        <f>IFERROR(_xlfn.XLOOKUP(Table6[[#This Row],[Suburb]],Table5[Travel Surcharge],Table5[$$]),"")</f>
        <v/>
      </c>
      <c r="AI1679" s="47"/>
      <c r="AJ1679" s="47"/>
    </row>
    <row r="1680" spans="1:36">
      <c r="A1680" s="374" t="s">
        <v>10103</v>
      </c>
      <c r="B1680" s="374">
        <v>1</v>
      </c>
      <c r="C1680" s="374" t="s">
        <v>1886</v>
      </c>
      <c r="D1680" s="375" t="str">
        <f>CONCATENATE(A1680,B1680)</f>
        <v>Flinders View Drysdale1</v>
      </c>
      <c r="E1680" s="375" t="s">
        <v>10104</v>
      </c>
      <c r="F1680" s="375"/>
      <c r="G1680" s="375" t="s">
        <v>1183</v>
      </c>
      <c r="H1680" s="375" t="s">
        <v>1184</v>
      </c>
      <c r="I1680" s="63" t="s">
        <v>10116</v>
      </c>
      <c r="J1680" s="47" t="s">
        <v>10109</v>
      </c>
      <c r="K1680" s="46" t="s">
        <v>10735</v>
      </c>
      <c r="L1680" s="47">
        <v>1210</v>
      </c>
      <c r="M1680" s="47" t="s">
        <v>10106</v>
      </c>
      <c r="N1680" s="47" t="s">
        <v>10115</v>
      </c>
      <c r="O1680" s="47" t="s">
        <v>10107</v>
      </c>
      <c r="P1680" s="47"/>
      <c r="Q1680" s="47" t="s">
        <v>10108</v>
      </c>
      <c r="R1680" s="47"/>
      <c r="S1680" s="47"/>
      <c r="T1680" s="47"/>
      <c r="U1680" s="47" t="s">
        <v>10105</v>
      </c>
      <c r="V1680" s="47"/>
      <c r="W1680" s="47"/>
      <c r="X1680" s="47"/>
      <c r="Y1680" s="47"/>
      <c r="Z1680" s="47">
        <f>Z$7</f>
        <v>4620</v>
      </c>
      <c r="AA1680" s="47"/>
      <c r="AB1680" s="47"/>
      <c r="AC1680" s="47"/>
      <c r="AD1680" s="47"/>
      <c r="AE1680" s="47"/>
      <c r="AF1680" s="47">
        <v>1485</v>
      </c>
      <c r="AG1680" s="47"/>
      <c r="AH1680" s="47"/>
      <c r="AI1680" s="47"/>
      <c r="AJ1680" s="47"/>
    </row>
    <row r="1681" spans="1:36">
      <c r="A1681" s="374" t="s">
        <v>9460</v>
      </c>
      <c r="B1681" s="374">
        <v>1</v>
      </c>
      <c r="C1681" s="374" t="s">
        <v>794</v>
      </c>
      <c r="D1681" s="375" t="str">
        <f t="shared" si="342"/>
        <v>Flinders Walk1</v>
      </c>
      <c r="E1681" s="375" t="s">
        <v>9461</v>
      </c>
      <c r="F1681" s="375"/>
      <c r="G1681" s="375"/>
      <c r="H1681" s="375"/>
      <c r="I1681" s="63"/>
      <c r="J1681" s="47"/>
      <c r="K1681" s="46" t="s">
        <v>7938</v>
      </c>
      <c r="L1681" s="47"/>
      <c r="M1681" s="47"/>
      <c r="N1681" s="47"/>
      <c r="O1681" s="47"/>
      <c r="P1681" s="47"/>
      <c r="Q1681" s="47" t="s">
        <v>9462</v>
      </c>
      <c r="R1681" s="47"/>
      <c r="S1681" s="47"/>
      <c r="T1681" s="47"/>
      <c r="U1681" s="47"/>
      <c r="V1681" s="47"/>
      <c r="W1681" s="47"/>
      <c r="X1681" s="47"/>
      <c r="Y1681" s="47"/>
      <c r="Z1681" s="47">
        <f t="shared" si="344"/>
        <v>4620</v>
      </c>
      <c r="AA1681" s="47"/>
      <c r="AB1681" s="47"/>
      <c r="AC1681" s="47"/>
      <c r="AD1681" s="47"/>
      <c r="AE1681" s="47"/>
      <c r="AF1681" s="47"/>
      <c r="AG1681" s="47"/>
      <c r="AH1681" s="47" t="str">
        <f>IFERROR(_xlfn.XLOOKUP(Table6[[#This Row],[Suburb]],Table5[Travel Surcharge],Table5[$$]),"")</f>
        <v/>
      </c>
      <c r="AI1681" s="47"/>
      <c r="AJ1681" s="47"/>
    </row>
    <row r="1682" spans="1:36">
      <c r="A1682" s="374" t="s">
        <v>9460</v>
      </c>
      <c r="B1682" s="374">
        <v>2</v>
      </c>
      <c r="C1682" s="374" t="s">
        <v>794</v>
      </c>
      <c r="D1682" s="375" t="str">
        <f t="shared" si="342"/>
        <v>Flinders Walk2</v>
      </c>
      <c r="E1682" s="375" t="s">
        <v>9463</v>
      </c>
      <c r="F1682" s="375"/>
      <c r="G1682" s="375"/>
      <c r="H1682" s="375"/>
      <c r="I1682" s="63"/>
      <c r="J1682" s="47"/>
      <c r="K1682" s="46" t="s">
        <v>7938</v>
      </c>
      <c r="L1682" s="47"/>
      <c r="M1682" s="47"/>
      <c r="N1682" s="47"/>
      <c r="O1682" s="47"/>
      <c r="P1682" s="47"/>
      <c r="Q1682" s="47" t="s">
        <v>9462</v>
      </c>
      <c r="R1682" s="47"/>
      <c r="S1682" s="47"/>
      <c r="T1682" s="47"/>
      <c r="U1682" s="47"/>
      <c r="V1682" s="47"/>
      <c r="W1682" s="47"/>
      <c r="X1682" s="47"/>
      <c r="Y1682" s="47"/>
      <c r="Z1682" s="47">
        <f t="shared" si="344"/>
        <v>4620</v>
      </c>
      <c r="AA1682" s="47"/>
      <c r="AB1682" s="47"/>
      <c r="AC1682" s="47"/>
      <c r="AD1682" s="47"/>
      <c r="AE1682" s="47"/>
      <c r="AF1682" s="47"/>
      <c r="AG1682" s="47"/>
      <c r="AH1682" s="47" t="str">
        <f>IFERROR(_xlfn.XLOOKUP(Table6[[#This Row],[Suburb]],Table5[Travel Surcharge],Table5[$$]),"")</f>
        <v/>
      </c>
      <c r="AI1682" s="47"/>
      <c r="AJ1682" s="47"/>
    </row>
    <row r="1683" spans="1:36">
      <c r="A1683" s="374" t="s">
        <v>9618</v>
      </c>
      <c r="B1683" s="374">
        <v>1</v>
      </c>
      <c r="C1683" s="374" t="s">
        <v>7524</v>
      </c>
      <c r="D1683" s="375" t="str">
        <f t="shared" si="342"/>
        <v>Flockhard St1</v>
      </c>
      <c r="E1683" s="375" t="s">
        <v>9619</v>
      </c>
      <c r="F1683" s="375" t="s">
        <v>9620</v>
      </c>
      <c r="G1683" s="375"/>
      <c r="H1683" s="375" t="s">
        <v>9621</v>
      </c>
      <c r="I1683" s="63" t="s">
        <v>9622</v>
      </c>
      <c r="J1683" s="47" t="s">
        <v>3018</v>
      </c>
      <c r="K1683" s="46" t="s">
        <v>10735</v>
      </c>
      <c r="L1683" s="47"/>
      <c r="M1683" s="47"/>
      <c r="N1683" s="47"/>
      <c r="O1683" s="47">
        <f t="shared" ref="O1683:O1693" si="346">O$7</f>
        <v>4950</v>
      </c>
      <c r="P1683" s="47"/>
      <c r="Q1683" s="47"/>
      <c r="R1683" s="47">
        <v>540</v>
      </c>
      <c r="S1683" s="47"/>
      <c r="T1683" s="47"/>
      <c r="U1683" s="47"/>
      <c r="V1683" s="47"/>
      <c r="W1683" s="47"/>
      <c r="X1683" s="47"/>
      <c r="Y1683" s="47"/>
      <c r="Z1683" s="47">
        <f t="shared" si="344"/>
        <v>4620</v>
      </c>
      <c r="AA1683" s="47"/>
      <c r="AB1683" s="47"/>
      <c r="AC1683" s="47"/>
      <c r="AD1683" s="47"/>
      <c r="AE1683" s="47"/>
      <c r="AF1683" s="47"/>
      <c r="AG1683" s="47"/>
      <c r="AH1683" s="47">
        <f>IFERROR(_xlfn.XLOOKUP(Table6[[#This Row],[Suburb]],Table5[Travel Surcharge],Table5[$$]),"")</f>
        <v>8000</v>
      </c>
      <c r="AI1683" s="47"/>
      <c r="AJ1683" s="47"/>
    </row>
    <row r="1684" spans="1:36">
      <c r="A1684" s="157" t="s">
        <v>9852</v>
      </c>
      <c r="B1684" s="157">
        <v>1</v>
      </c>
      <c r="C1684" s="157" t="s">
        <v>294</v>
      </c>
      <c r="D1684" s="375" t="s">
        <v>10990</v>
      </c>
      <c r="E1684" s="375" t="s">
        <v>10991</v>
      </c>
      <c r="F1684" s="375"/>
      <c r="G1684" s="375"/>
      <c r="H1684" s="375"/>
      <c r="I1684" s="63"/>
      <c r="J1684" s="63"/>
      <c r="K1684" s="63" t="s">
        <v>10735</v>
      </c>
      <c r="L1684" s="63"/>
      <c r="M1684" s="63">
        <v>1430.0000000000002</v>
      </c>
      <c r="N1684" s="63"/>
      <c r="O1684" s="63">
        <v>4950</v>
      </c>
      <c r="P1684" s="63" t="s">
        <v>8788</v>
      </c>
      <c r="Q1684" s="63"/>
      <c r="R1684" s="63"/>
      <c r="S1684" s="63"/>
      <c r="T1684" s="63"/>
      <c r="U1684" s="63">
        <v>540</v>
      </c>
      <c r="V1684" s="63"/>
      <c r="W1684" s="63"/>
      <c r="X1684" s="63"/>
      <c r="Y1684" s="63"/>
      <c r="Z1684" s="63">
        <v>4620</v>
      </c>
      <c r="AA1684" s="63"/>
      <c r="AB1684" s="63"/>
      <c r="AC1684" s="63"/>
      <c r="AD1684" s="63"/>
      <c r="AE1684" s="63"/>
      <c r="AF1684" s="63"/>
      <c r="AG1684" s="63"/>
      <c r="AH1684" s="47">
        <f>IFERROR(_xlfn.XLOOKUP(Table6[[#This Row],[Suburb]],Table5[Travel Surcharge],Table5[$$]),"")</f>
        <v>8000</v>
      </c>
      <c r="AI1684" s="63"/>
      <c r="AJ1684" s="63">
        <v>4400</v>
      </c>
    </row>
    <row r="1685" spans="1:36">
      <c r="A1685" s="374" t="s">
        <v>9852</v>
      </c>
      <c r="B1685" s="374">
        <v>2</v>
      </c>
      <c r="C1685" s="374" t="s">
        <v>294</v>
      </c>
      <c r="D1685" s="375" t="s">
        <v>9853</v>
      </c>
      <c r="E1685" s="375" t="s">
        <v>8173</v>
      </c>
      <c r="F1685" s="375"/>
      <c r="G1685" s="375"/>
      <c r="H1685" s="375"/>
      <c r="I1685" s="63"/>
      <c r="J1685" s="414"/>
      <c r="K1685" s="415" t="s">
        <v>10735</v>
      </c>
      <c r="L1685" s="414"/>
      <c r="M1685" s="414">
        <v>1430.0000000000002</v>
      </c>
      <c r="N1685" s="414"/>
      <c r="O1685" s="414">
        <v>4950</v>
      </c>
      <c r="P1685" s="414" t="s">
        <v>8788</v>
      </c>
      <c r="Q1685" s="414"/>
      <c r="R1685" s="414"/>
      <c r="S1685" s="414"/>
      <c r="T1685" s="414"/>
      <c r="U1685" s="414">
        <v>540</v>
      </c>
      <c r="V1685" s="414"/>
      <c r="W1685" s="414"/>
      <c r="X1685" s="414"/>
      <c r="Y1685" s="414"/>
      <c r="Z1685" s="414">
        <v>4620</v>
      </c>
      <c r="AA1685" s="414"/>
      <c r="AB1685" s="414"/>
      <c r="AC1685" s="414"/>
      <c r="AD1685" s="414"/>
      <c r="AE1685" s="414"/>
      <c r="AF1685" s="414"/>
      <c r="AG1685" s="414"/>
      <c r="AH1685" s="47">
        <v>8000</v>
      </c>
      <c r="AI1685" s="414"/>
      <c r="AJ1685" s="414">
        <v>4400</v>
      </c>
    </row>
    <row r="1686" spans="1:36">
      <c r="A1686" s="374" t="s">
        <v>2801</v>
      </c>
      <c r="B1686" s="374">
        <v>1</v>
      </c>
      <c r="C1686" s="374" t="s">
        <v>294</v>
      </c>
      <c r="D1686" s="375" t="str">
        <f t="shared" si="342"/>
        <v>Florian Estate1</v>
      </c>
      <c r="E1686" s="375" t="s">
        <v>2802</v>
      </c>
      <c r="F1686" s="375" t="s">
        <v>2803</v>
      </c>
      <c r="G1686" s="375"/>
      <c r="H1686" s="375" t="s">
        <v>2804</v>
      </c>
      <c r="I1686" s="63" t="s">
        <v>2805</v>
      </c>
      <c r="J1686" s="47"/>
      <c r="K1686" s="46" t="s">
        <v>10735</v>
      </c>
      <c r="L1686" s="47"/>
      <c r="M1686" s="47">
        <f t="shared" ref="M1686:M1698" si="347">M$7</f>
        <v>1430.0000000000002</v>
      </c>
      <c r="N1686" s="47"/>
      <c r="O1686" s="47">
        <f t="shared" si="346"/>
        <v>4950</v>
      </c>
      <c r="P1686" s="47" t="s">
        <v>8788</v>
      </c>
      <c r="Q1686" s="47"/>
      <c r="R1686" s="47"/>
      <c r="S1686" s="47"/>
      <c r="T1686" s="47"/>
      <c r="U1686" s="47">
        <f t="shared" ref="U1686:U1693" si="348">U$2</f>
        <v>430</v>
      </c>
      <c r="V1686" s="47"/>
      <c r="W1686" s="47"/>
      <c r="X1686" s="47"/>
      <c r="Y1686" s="47"/>
      <c r="Z1686" s="47">
        <f t="shared" si="344"/>
        <v>4620</v>
      </c>
      <c r="AA1686" s="47"/>
      <c r="AB1686" s="47"/>
      <c r="AC1686" s="47"/>
      <c r="AD1686" s="47"/>
      <c r="AE1686" s="47"/>
      <c r="AF1686" s="47"/>
      <c r="AG1686" s="47"/>
      <c r="AH1686" s="47">
        <f>IFERROR(_xlfn.XLOOKUP(Table6[[#This Row],[Suburb]],Table5[Travel Surcharge],Table5[$$]),"")</f>
        <v>8000</v>
      </c>
      <c r="AI1686" s="47"/>
      <c r="AJ1686" s="47">
        <f t="shared" ref="AJ1686:AJ1693" si="349">AJ$7</f>
        <v>4400</v>
      </c>
    </row>
    <row r="1687" spans="1:36">
      <c r="A1687" s="374" t="s">
        <v>2801</v>
      </c>
      <c r="B1687" s="374">
        <v>2</v>
      </c>
      <c r="C1687" s="374" t="s">
        <v>294</v>
      </c>
      <c r="D1687" s="375" t="str">
        <f t="shared" si="342"/>
        <v>Florian Estate2</v>
      </c>
      <c r="E1687" s="375" t="s">
        <v>2806</v>
      </c>
      <c r="F1687" s="375" t="s">
        <v>2803</v>
      </c>
      <c r="G1687" s="375"/>
      <c r="H1687" s="375" t="s">
        <v>2804</v>
      </c>
      <c r="I1687" s="63" t="s">
        <v>2805</v>
      </c>
      <c r="J1687" s="47"/>
      <c r="K1687" s="46" t="s">
        <v>10735</v>
      </c>
      <c r="L1687" s="47"/>
      <c r="M1687" s="47">
        <f t="shared" si="347"/>
        <v>1430.0000000000002</v>
      </c>
      <c r="N1687" s="47"/>
      <c r="O1687" s="47">
        <f t="shared" si="346"/>
        <v>4950</v>
      </c>
      <c r="P1687" s="47" t="s">
        <v>8788</v>
      </c>
      <c r="Q1687" s="47"/>
      <c r="R1687" s="47"/>
      <c r="S1687" s="47"/>
      <c r="T1687" s="47"/>
      <c r="U1687" s="47">
        <f t="shared" si="348"/>
        <v>430</v>
      </c>
      <c r="V1687" s="47"/>
      <c r="W1687" s="47"/>
      <c r="X1687" s="47"/>
      <c r="Y1687" s="47"/>
      <c r="Z1687" s="47">
        <f t="shared" si="344"/>
        <v>4620</v>
      </c>
      <c r="AA1687" s="47"/>
      <c r="AB1687" s="47"/>
      <c r="AC1687" s="47"/>
      <c r="AD1687" s="47"/>
      <c r="AE1687" s="47"/>
      <c r="AF1687" s="47"/>
      <c r="AG1687" s="47"/>
      <c r="AH1687" s="47">
        <f>IFERROR(_xlfn.XLOOKUP(Table6[[#This Row],[Suburb]],Table5[Travel Surcharge],Table5[$$]),"")</f>
        <v>8000</v>
      </c>
      <c r="AI1687" s="47"/>
      <c r="AJ1687" s="47">
        <f t="shared" si="349"/>
        <v>4400</v>
      </c>
    </row>
    <row r="1688" spans="1:36">
      <c r="A1688" s="374" t="s">
        <v>2801</v>
      </c>
      <c r="B1688" s="374">
        <v>3</v>
      </c>
      <c r="C1688" s="374" t="s">
        <v>294</v>
      </c>
      <c r="D1688" s="375" t="str">
        <f t="shared" si="342"/>
        <v>Florian Estate3</v>
      </c>
      <c r="E1688" s="375" t="s">
        <v>2807</v>
      </c>
      <c r="F1688" s="375" t="s">
        <v>2803</v>
      </c>
      <c r="G1688" s="375"/>
      <c r="H1688" s="375" t="s">
        <v>2804</v>
      </c>
      <c r="I1688" s="63" t="s">
        <v>2805</v>
      </c>
      <c r="J1688" s="47"/>
      <c r="K1688" s="46" t="s">
        <v>10735</v>
      </c>
      <c r="L1688" s="47"/>
      <c r="M1688" s="47">
        <f t="shared" si="347"/>
        <v>1430.0000000000002</v>
      </c>
      <c r="N1688" s="47"/>
      <c r="O1688" s="47">
        <f t="shared" si="346"/>
        <v>4950</v>
      </c>
      <c r="P1688" s="47" t="s">
        <v>8788</v>
      </c>
      <c r="Q1688" s="47"/>
      <c r="R1688" s="47"/>
      <c r="S1688" s="47"/>
      <c r="T1688" s="47"/>
      <c r="U1688" s="47">
        <f t="shared" si="348"/>
        <v>430</v>
      </c>
      <c r="V1688" s="47"/>
      <c r="W1688" s="47"/>
      <c r="X1688" s="47"/>
      <c r="Y1688" s="47"/>
      <c r="Z1688" s="47">
        <f t="shared" si="344"/>
        <v>4620</v>
      </c>
      <c r="AA1688" s="47"/>
      <c r="AB1688" s="47"/>
      <c r="AC1688" s="47"/>
      <c r="AD1688" s="47"/>
      <c r="AE1688" s="47"/>
      <c r="AF1688" s="47"/>
      <c r="AG1688" s="47"/>
      <c r="AH1688" s="47">
        <f>IFERROR(_xlfn.XLOOKUP(Table6[[#This Row],[Suburb]],Table5[Travel Surcharge],Table5[$$]),"")</f>
        <v>8000</v>
      </c>
      <c r="AI1688" s="47"/>
      <c r="AJ1688" s="47">
        <f t="shared" si="349"/>
        <v>4400</v>
      </c>
    </row>
    <row r="1689" spans="1:36">
      <c r="A1689" s="374" t="s">
        <v>2801</v>
      </c>
      <c r="B1689" s="374">
        <v>4</v>
      </c>
      <c r="C1689" s="374" t="s">
        <v>294</v>
      </c>
      <c r="D1689" s="375" t="str">
        <f t="shared" si="342"/>
        <v>Florian Estate4</v>
      </c>
      <c r="E1689" s="375" t="s">
        <v>2808</v>
      </c>
      <c r="F1689" s="375" t="s">
        <v>2803</v>
      </c>
      <c r="G1689" s="375"/>
      <c r="H1689" s="375" t="s">
        <v>2804</v>
      </c>
      <c r="I1689" s="63" t="s">
        <v>2805</v>
      </c>
      <c r="J1689" s="47"/>
      <c r="K1689" s="46" t="s">
        <v>10735</v>
      </c>
      <c r="L1689" s="47"/>
      <c r="M1689" s="47">
        <f t="shared" si="347"/>
        <v>1430.0000000000002</v>
      </c>
      <c r="N1689" s="47"/>
      <c r="O1689" s="47">
        <f t="shared" si="346"/>
        <v>4950</v>
      </c>
      <c r="P1689" s="47" t="s">
        <v>8788</v>
      </c>
      <c r="Q1689" s="47"/>
      <c r="R1689" s="47"/>
      <c r="S1689" s="47"/>
      <c r="T1689" s="47"/>
      <c r="U1689" s="47">
        <f t="shared" si="348"/>
        <v>430</v>
      </c>
      <c r="V1689" s="47"/>
      <c r="W1689" s="47"/>
      <c r="X1689" s="47"/>
      <c r="Y1689" s="47"/>
      <c r="Z1689" s="47">
        <f t="shared" si="344"/>
        <v>4620</v>
      </c>
      <c r="AA1689" s="47"/>
      <c r="AB1689" s="47"/>
      <c r="AC1689" s="47"/>
      <c r="AD1689" s="47"/>
      <c r="AE1689" s="47"/>
      <c r="AF1689" s="47"/>
      <c r="AG1689" s="47"/>
      <c r="AH1689" s="47">
        <f>IFERROR(_xlfn.XLOOKUP(Table6[[#This Row],[Suburb]],Table5[Travel Surcharge],Table5[$$]),"")</f>
        <v>8000</v>
      </c>
      <c r="AI1689" s="47"/>
      <c r="AJ1689" s="47">
        <f t="shared" si="349"/>
        <v>4400</v>
      </c>
    </row>
    <row r="1690" spans="1:36">
      <c r="A1690" s="374" t="s">
        <v>2801</v>
      </c>
      <c r="B1690" s="374">
        <v>5</v>
      </c>
      <c r="C1690" s="374" t="s">
        <v>294</v>
      </c>
      <c r="D1690" s="375" t="str">
        <f t="shared" si="342"/>
        <v>Florian Estate5</v>
      </c>
      <c r="E1690" s="375" t="s">
        <v>2809</v>
      </c>
      <c r="F1690" s="375" t="s">
        <v>2803</v>
      </c>
      <c r="G1690" s="375"/>
      <c r="H1690" s="375" t="s">
        <v>2804</v>
      </c>
      <c r="I1690" s="63" t="s">
        <v>2805</v>
      </c>
      <c r="J1690" s="47"/>
      <c r="K1690" s="46" t="s">
        <v>10735</v>
      </c>
      <c r="L1690" s="47"/>
      <c r="M1690" s="47">
        <f t="shared" si="347"/>
        <v>1430.0000000000002</v>
      </c>
      <c r="N1690" s="47"/>
      <c r="O1690" s="47">
        <f t="shared" si="346"/>
        <v>4950</v>
      </c>
      <c r="P1690" s="47" t="s">
        <v>8788</v>
      </c>
      <c r="Q1690" s="47"/>
      <c r="R1690" s="47"/>
      <c r="S1690" s="47"/>
      <c r="T1690" s="47"/>
      <c r="U1690" s="47">
        <f t="shared" si="348"/>
        <v>430</v>
      </c>
      <c r="V1690" s="47"/>
      <c r="W1690" s="47"/>
      <c r="X1690" s="47"/>
      <c r="Y1690" s="47"/>
      <c r="Z1690" s="47">
        <f t="shared" si="344"/>
        <v>4620</v>
      </c>
      <c r="AA1690" s="47"/>
      <c r="AB1690" s="47"/>
      <c r="AC1690" s="47"/>
      <c r="AD1690" s="47"/>
      <c r="AE1690" s="47"/>
      <c r="AF1690" s="47"/>
      <c r="AG1690" s="47"/>
      <c r="AH1690" s="47">
        <f>IFERROR(_xlfn.XLOOKUP(Table6[[#This Row],[Suburb]],Table5[Travel Surcharge],Table5[$$]),"")</f>
        <v>8000</v>
      </c>
      <c r="AI1690" s="47"/>
      <c r="AJ1690" s="47">
        <f t="shared" si="349"/>
        <v>4400</v>
      </c>
    </row>
    <row r="1691" spans="1:36">
      <c r="A1691" s="374" t="s">
        <v>2801</v>
      </c>
      <c r="B1691" s="374">
        <v>6</v>
      </c>
      <c r="C1691" s="374" t="s">
        <v>294</v>
      </c>
      <c r="D1691" s="375" t="str">
        <f t="shared" si="342"/>
        <v>Florian Estate6</v>
      </c>
      <c r="E1691" s="375" t="s">
        <v>2810</v>
      </c>
      <c r="F1691" s="375" t="s">
        <v>2803</v>
      </c>
      <c r="G1691" s="375"/>
      <c r="H1691" s="375" t="s">
        <v>2804</v>
      </c>
      <c r="I1691" s="63" t="s">
        <v>2805</v>
      </c>
      <c r="J1691" s="47"/>
      <c r="K1691" s="46" t="s">
        <v>10735</v>
      </c>
      <c r="L1691" s="47"/>
      <c r="M1691" s="47">
        <f t="shared" si="347"/>
        <v>1430.0000000000002</v>
      </c>
      <c r="N1691" s="47"/>
      <c r="O1691" s="47">
        <f t="shared" si="346"/>
        <v>4950</v>
      </c>
      <c r="P1691" s="47" t="s">
        <v>8788</v>
      </c>
      <c r="Q1691" s="47"/>
      <c r="R1691" s="47"/>
      <c r="S1691" s="47"/>
      <c r="T1691" s="47"/>
      <c r="U1691" s="47">
        <f t="shared" si="348"/>
        <v>430</v>
      </c>
      <c r="V1691" s="47"/>
      <c r="W1691" s="47"/>
      <c r="X1691" s="47"/>
      <c r="Y1691" s="47"/>
      <c r="Z1691" s="47">
        <f t="shared" si="344"/>
        <v>4620</v>
      </c>
      <c r="AA1691" s="47"/>
      <c r="AB1691" s="47"/>
      <c r="AC1691" s="47"/>
      <c r="AD1691" s="47"/>
      <c r="AE1691" s="47"/>
      <c r="AF1691" s="47"/>
      <c r="AG1691" s="47"/>
      <c r="AH1691" s="47">
        <f>IFERROR(_xlfn.XLOOKUP(Table6[[#This Row],[Suburb]],Table5[Travel Surcharge],Table5[$$]),"")</f>
        <v>8000</v>
      </c>
      <c r="AI1691" s="47"/>
      <c r="AJ1691" s="47">
        <f t="shared" si="349"/>
        <v>4400</v>
      </c>
    </row>
    <row r="1692" spans="1:36">
      <c r="A1692" s="374" t="s">
        <v>2801</v>
      </c>
      <c r="B1692" s="374">
        <v>7</v>
      </c>
      <c r="C1692" s="374" t="s">
        <v>294</v>
      </c>
      <c r="D1692" s="375" t="str">
        <f t="shared" si="342"/>
        <v>Florian Estate7</v>
      </c>
      <c r="E1692" s="375" t="s">
        <v>2811</v>
      </c>
      <c r="F1692" s="375" t="s">
        <v>2803</v>
      </c>
      <c r="G1692" s="375"/>
      <c r="H1692" s="375" t="s">
        <v>2804</v>
      </c>
      <c r="I1692" s="63" t="s">
        <v>2805</v>
      </c>
      <c r="J1692" s="47"/>
      <c r="K1692" s="46" t="s">
        <v>10735</v>
      </c>
      <c r="L1692" s="47"/>
      <c r="M1692" s="47">
        <f t="shared" si="347"/>
        <v>1430.0000000000002</v>
      </c>
      <c r="N1692" s="47"/>
      <c r="O1692" s="47">
        <f t="shared" si="346"/>
        <v>4950</v>
      </c>
      <c r="P1692" s="47" t="s">
        <v>8788</v>
      </c>
      <c r="Q1692" s="47"/>
      <c r="R1692" s="47"/>
      <c r="S1692" s="47"/>
      <c r="T1692" s="47"/>
      <c r="U1692" s="47">
        <f t="shared" si="348"/>
        <v>430</v>
      </c>
      <c r="V1692" s="47"/>
      <c r="W1692" s="47"/>
      <c r="X1692" s="47"/>
      <c r="Y1692" s="47"/>
      <c r="Z1692" s="47">
        <f t="shared" si="344"/>
        <v>4620</v>
      </c>
      <c r="AA1692" s="47"/>
      <c r="AB1692" s="47"/>
      <c r="AC1692" s="47"/>
      <c r="AD1692" s="47"/>
      <c r="AE1692" s="47"/>
      <c r="AF1692" s="47"/>
      <c r="AG1692" s="47"/>
      <c r="AH1692" s="47">
        <f>IFERROR(_xlfn.XLOOKUP(Table6[[#This Row],[Suburb]],Table5[Travel Surcharge],Table5[$$]),"")</f>
        <v>8000</v>
      </c>
      <c r="AI1692" s="47"/>
      <c r="AJ1692" s="47">
        <f t="shared" si="349"/>
        <v>4400</v>
      </c>
    </row>
    <row r="1693" spans="1:36">
      <c r="A1693" s="374" t="s">
        <v>2801</v>
      </c>
      <c r="B1693" s="374">
        <v>8</v>
      </c>
      <c r="C1693" s="374" t="s">
        <v>294</v>
      </c>
      <c r="D1693" s="375" t="str">
        <f t="shared" ref="D1693" si="350">CONCATENATE(A1693,B1693)</f>
        <v>Florian Estate8</v>
      </c>
      <c r="E1693" s="375" t="s">
        <v>10982</v>
      </c>
      <c r="F1693" s="375" t="s">
        <v>2803</v>
      </c>
      <c r="G1693" s="375"/>
      <c r="H1693" s="375" t="s">
        <v>2804</v>
      </c>
      <c r="I1693" s="63" t="s">
        <v>2805</v>
      </c>
      <c r="J1693" s="47"/>
      <c r="K1693" s="46" t="s">
        <v>10735</v>
      </c>
      <c r="L1693" s="47"/>
      <c r="M1693" s="47">
        <f t="shared" si="347"/>
        <v>1430.0000000000002</v>
      </c>
      <c r="N1693" s="47"/>
      <c r="O1693" s="47">
        <f t="shared" si="346"/>
        <v>4950</v>
      </c>
      <c r="P1693" s="47" t="s">
        <v>8788</v>
      </c>
      <c r="Q1693" s="47"/>
      <c r="R1693" s="47"/>
      <c r="S1693" s="47"/>
      <c r="T1693" s="47"/>
      <c r="U1693" s="47">
        <f t="shared" si="348"/>
        <v>430</v>
      </c>
      <c r="V1693" s="47"/>
      <c r="W1693" s="47"/>
      <c r="X1693" s="47"/>
      <c r="Y1693" s="47"/>
      <c r="Z1693" s="47">
        <f t="shared" si="344"/>
        <v>4620</v>
      </c>
      <c r="AA1693" s="47"/>
      <c r="AB1693" s="47"/>
      <c r="AC1693" s="47"/>
      <c r="AD1693" s="47"/>
      <c r="AE1693" s="47"/>
      <c r="AF1693" s="47"/>
      <c r="AG1693" s="47"/>
      <c r="AH1693" s="47">
        <f>IFERROR(_xlfn.XLOOKUP(Table6[[#This Row],[Suburb]],Table5[Travel Surcharge],Table5[$$]),"")</f>
        <v>8000</v>
      </c>
      <c r="AI1693" s="47"/>
      <c r="AJ1693" s="47">
        <f t="shared" si="349"/>
        <v>4400</v>
      </c>
    </row>
    <row r="1694" spans="1:36">
      <c r="A1694" s="374" t="s">
        <v>2812</v>
      </c>
      <c r="B1694" s="374">
        <v>1</v>
      </c>
      <c r="C1694" s="374" t="s">
        <v>281</v>
      </c>
      <c r="D1694" s="375" t="str">
        <f t="shared" si="342"/>
        <v>Forrest Green1</v>
      </c>
      <c r="E1694" s="375" t="s">
        <v>2813</v>
      </c>
      <c r="F1694" s="375"/>
      <c r="G1694" s="375" t="s">
        <v>2814</v>
      </c>
      <c r="H1694" s="375" t="s">
        <v>2815</v>
      </c>
      <c r="I1694" s="63" t="s">
        <v>2816</v>
      </c>
      <c r="J1694" s="47">
        <f t="shared" ref="J1694:J1709" si="351">J$7</f>
        <v>3740</v>
      </c>
      <c r="K1694" s="46" t="s">
        <v>10735</v>
      </c>
      <c r="L1694" s="47" t="s">
        <v>2817</v>
      </c>
      <c r="M1694" s="47">
        <f t="shared" si="347"/>
        <v>1430.0000000000002</v>
      </c>
      <c r="N1694" s="47"/>
      <c r="O1694" s="47" t="s">
        <v>2818</v>
      </c>
      <c r="P1694" s="47" t="s">
        <v>2819</v>
      </c>
      <c r="Q1694" s="47"/>
      <c r="R1694" s="47">
        <f>R$2</f>
        <v>540</v>
      </c>
      <c r="S1694" s="47"/>
      <c r="T1694" s="47" t="s">
        <v>1192</v>
      </c>
      <c r="U1694" s="47"/>
      <c r="V1694" s="47"/>
      <c r="W1694" s="47"/>
      <c r="X1694" s="47">
        <f>X$7</f>
        <v>3000</v>
      </c>
      <c r="Y1694" s="47"/>
      <c r="Z1694" s="47">
        <f t="shared" si="344"/>
        <v>4620</v>
      </c>
      <c r="AA1694" s="47"/>
      <c r="AB1694" s="47"/>
      <c r="AC1694" s="47"/>
      <c r="AD1694" s="47"/>
      <c r="AE1694" s="47"/>
      <c r="AF1694" s="47">
        <f>AF$7</f>
        <v>1485</v>
      </c>
      <c r="AG1694" s="47"/>
      <c r="AH1694" s="47">
        <f>IFERROR(_xlfn.XLOOKUP(Table6[[#This Row],[Suburb]],Table5[Travel Surcharge],Table5[$$]),"")</f>
        <v>1500</v>
      </c>
      <c r="AI1694" s="47"/>
      <c r="AJ1694" s="47"/>
    </row>
    <row r="1695" spans="1:36">
      <c r="A1695" s="374" t="s">
        <v>2812</v>
      </c>
      <c r="B1695" s="374">
        <v>2</v>
      </c>
      <c r="C1695" s="374" t="s">
        <v>281</v>
      </c>
      <c r="D1695" s="375" t="str">
        <f t="shared" si="342"/>
        <v>Forrest Green2</v>
      </c>
      <c r="E1695" s="375" t="s">
        <v>10126</v>
      </c>
      <c r="F1695" s="375"/>
      <c r="G1695" s="375" t="s">
        <v>2814</v>
      </c>
      <c r="H1695" s="375" t="s">
        <v>2815</v>
      </c>
      <c r="I1695" s="63" t="s">
        <v>2816</v>
      </c>
      <c r="J1695" s="47">
        <v>3740</v>
      </c>
      <c r="K1695" s="46" t="s">
        <v>10735</v>
      </c>
      <c r="L1695" s="47" t="s">
        <v>2817</v>
      </c>
      <c r="M1695" s="47">
        <v>1430.0000000000002</v>
      </c>
      <c r="N1695" s="47"/>
      <c r="O1695" s="47" t="s">
        <v>2818</v>
      </c>
      <c r="P1695" s="47" t="s">
        <v>2819</v>
      </c>
      <c r="Q1695" s="47"/>
      <c r="R1695" s="47">
        <v>540</v>
      </c>
      <c r="S1695" s="47"/>
      <c r="T1695" s="47" t="s">
        <v>1192</v>
      </c>
      <c r="U1695" s="47"/>
      <c r="V1695" s="47"/>
      <c r="W1695" s="47"/>
      <c r="X1695" s="47">
        <v>3000</v>
      </c>
      <c r="Y1695" s="47"/>
      <c r="Z1695" s="47">
        <v>4620</v>
      </c>
      <c r="AA1695" s="47"/>
      <c r="AB1695" s="47"/>
      <c r="AC1695" s="47"/>
      <c r="AD1695" s="47"/>
      <c r="AE1695" s="47"/>
      <c r="AF1695" s="47">
        <v>1485</v>
      </c>
      <c r="AG1695" s="47"/>
      <c r="AH1695" s="47">
        <v>1500</v>
      </c>
      <c r="AI1695" s="47"/>
      <c r="AJ1695" s="47"/>
    </row>
    <row r="1696" spans="1:36">
      <c r="A1696" s="374" t="s">
        <v>2812</v>
      </c>
      <c r="B1696" s="276" t="s">
        <v>718</v>
      </c>
      <c r="C1696" s="374" t="s">
        <v>281</v>
      </c>
      <c r="D1696" s="375" t="str">
        <f t="shared" si="342"/>
        <v>Forrest Green2A</v>
      </c>
      <c r="E1696" s="375" t="s">
        <v>9065</v>
      </c>
      <c r="F1696" s="375"/>
      <c r="G1696" s="375" t="s">
        <v>2814</v>
      </c>
      <c r="H1696" s="375" t="s">
        <v>2815</v>
      </c>
      <c r="I1696" s="63" t="s">
        <v>2816</v>
      </c>
      <c r="J1696" s="47">
        <f t="shared" si="351"/>
        <v>3740</v>
      </c>
      <c r="K1696" s="46" t="s">
        <v>10735</v>
      </c>
      <c r="L1696" s="47" t="s">
        <v>2817</v>
      </c>
      <c r="M1696" s="47">
        <f t="shared" si="347"/>
        <v>1430.0000000000002</v>
      </c>
      <c r="N1696" s="47"/>
      <c r="O1696" s="47" t="s">
        <v>2818</v>
      </c>
      <c r="P1696" s="47" t="s">
        <v>2819</v>
      </c>
      <c r="Q1696" s="47"/>
      <c r="R1696" s="47">
        <f>R$2</f>
        <v>540</v>
      </c>
      <c r="S1696" s="47"/>
      <c r="T1696" s="47" t="s">
        <v>1192</v>
      </c>
      <c r="U1696" s="47"/>
      <c r="V1696" s="47"/>
      <c r="W1696" s="47"/>
      <c r="X1696" s="47">
        <f>X$7</f>
        <v>3000</v>
      </c>
      <c r="Y1696" s="47"/>
      <c r="Z1696" s="47">
        <f t="shared" si="344"/>
        <v>4620</v>
      </c>
      <c r="AA1696" s="47"/>
      <c r="AB1696" s="47"/>
      <c r="AC1696" s="47"/>
      <c r="AD1696" s="47"/>
      <c r="AE1696" s="47"/>
      <c r="AF1696" s="47">
        <f>AF$7</f>
        <v>1485</v>
      </c>
      <c r="AG1696" s="47"/>
      <c r="AH1696" s="47">
        <f>IFERROR(_xlfn.XLOOKUP(Table6[[#This Row],[Suburb]],Table5[Travel Surcharge],Table5[$$]),"")</f>
        <v>1500</v>
      </c>
      <c r="AI1696" s="47"/>
      <c r="AJ1696" s="47"/>
    </row>
    <row r="1697" spans="1:36">
      <c r="A1697" s="374" t="s">
        <v>2820</v>
      </c>
      <c r="B1697" s="374">
        <v>1</v>
      </c>
      <c r="C1697" s="374" t="s">
        <v>281</v>
      </c>
      <c r="D1697" s="375" t="str">
        <f t="shared" si="342"/>
        <v>Forrest Green - The Precinct1</v>
      </c>
      <c r="E1697" s="375" t="s">
        <v>2821</v>
      </c>
      <c r="F1697" s="375"/>
      <c r="G1697" s="375" t="s">
        <v>2814</v>
      </c>
      <c r="H1697" s="375" t="s">
        <v>2815</v>
      </c>
      <c r="I1697" s="63" t="s">
        <v>2816</v>
      </c>
      <c r="J1697" s="47">
        <f t="shared" si="351"/>
        <v>3740</v>
      </c>
      <c r="K1697" s="46" t="s">
        <v>10735</v>
      </c>
      <c r="L1697" s="47" t="s">
        <v>2817</v>
      </c>
      <c r="M1697" s="47">
        <f t="shared" si="347"/>
        <v>1430.0000000000002</v>
      </c>
      <c r="N1697" s="47"/>
      <c r="O1697" s="47" t="s">
        <v>2818</v>
      </c>
      <c r="P1697" s="47" t="s">
        <v>2819</v>
      </c>
      <c r="Q1697" s="47"/>
      <c r="R1697" s="47">
        <f>R$2</f>
        <v>540</v>
      </c>
      <c r="S1697" s="47"/>
      <c r="T1697" s="47" t="s">
        <v>986</v>
      </c>
      <c r="U1697" s="47"/>
      <c r="V1697" s="47"/>
      <c r="W1697" s="47"/>
      <c r="X1697" s="47">
        <f>X$7</f>
        <v>3000</v>
      </c>
      <c r="Y1697" s="47"/>
      <c r="Z1697" s="47">
        <f t="shared" si="344"/>
        <v>4620</v>
      </c>
      <c r="AA1697" s="47">
        <f>AA$7</f>
        <v>1400</v>
      </c>
      <c r="AB1697" s="47"/>
      <c r="AC1697" s="47"/>
      <c r="AD1697" s="47"/>
      <c r="AE1697" s="47"/>
      <c r="AF1697" s="47">
        <f>AF$7</f>
        <v>1485</v>
      </c>
      <c r="AG1697" s="47"/>
      <c r="AH1697" s="47">
        <f>IFERROR(_xlfn.XLOOKUP(Table6[[#This Row],[Suburb]],Table5[Travel Surcharge],Table5[$$]),"")</f>
        <v>1500</v>
      </c>
      <c r="AI1697" s="47"/>
      <c r="AJ1697" s="47"/>
    </row>
    <row r="1698" spans="1:36">
      <c r="A1698" s="157" t="s">
        <v>2820</v>
      </c>
      <c r="B1698" s="157">
        <v>2</v>
      </c>
      <c r="C1698" s="157" t="s">
        <v>281</v>
      </c>
      <c r="D1698" s="157" t="str">
        <f t="shared" si="342"/>
        <v>Forrest Green - The Precinct2</v>
      </c>
      <c r="E1698" s="157" t="s">
        <v>2821</v>
      </c>
      <c r="F1698" s="157"/>
      <c r="G1698" s="157" t="s">
        <v>2814</v>
      </c>
      <c r="H1698" s="157" t="s">
        <v>2815</v>
      </c>
      <c r="I1698" s="158" t="s">
        <v>2816</v>
      </c>
      <c r="J1698" s="47">
        <f t="shared" si="351"/>
        <v>3740</v>
      </c>
      <c r="K1698" s="46" t="s">
        <v>10735</v>
      </c>
      <c r="L1698" s="47" t="s">
        <v>2817</v>
      </c>
      <c r="M1698" s="47">
        <f t="shared" si="347"/>
        <v>1430.0000000000002</v>
      </c>
      <c r="N1698" s="47"/>
      <c r="O1698" s="47" t="s">
        <v>2818</v>
      </c>
      <c r="P1698" s="47" t="s">
        <v>2819</v>
      </c>
      <c r="Q1698" s="47"/>
      <c r="R1698" s="47">
        <f>R$2</f>
        <v>540</v>
      </c>
      <c r="S1698" s="47"/>
      <c r="T1698" s="47" t="s">
        <v>986</v>
      </c>
      <c r="U1698" s="47"/>
      <c r="V1698" s="47"/>
      <c r="W1698" s="47"/>
      <c r="X1698" s="47">
        <f>X$7</f>
        <v>3000</v>
      </c>
      <c r="Y1698" s="47"/>
      <c r="Z1698" s="47">
        <f t="shared" si="344"/>
        <v>4620</v>
      </c>
      <c r="AA1698" s="47">
        <f>AA$7</f>
        <v>1400</v>
      </c>
      <c r="AB1698" s="47"/>
      <c r="AC1698" s="47"/>
      <c r="AD1698" s="47"/>
      <c r="AE1698" s="47"/>
      <c r="AF1698" s="47">
        <f>AF$7</f>
        <v>1485</v>
      </c>
      <c r="AG1698" s="47"/>
      <c r="AH1698" s="47">
        <f>IFERROR(_xlfn.XLOOKUP(Table6[[#This Row],[Suburb]],Table5[Travel Surcharge],Table5[$$]),"")</f>
        <v>1500</v>
      </c>
      <c r="AI1698" s="47"/>
      <c r="AJ1698" s="47"/>
    </row>
    <row r="1699" spans="1:36">
      <c r="A1699" s="374" t="s">
        <v>2822</v>
      </c>
      <c r="B1699" s="374">
        <v>4</v>
      </c>
      <c r="C1699" s="374" t="s">
        <v>289</v>
      </c>
      <c r="D1699" s="375" t="str">
        <f t="shared" si="342"/>
        <v>Franklin Place4</v>
      </c>
      <c r="E1699" s="375" t="s">
        <v>2823</v>
      </c>
      <c r="F1699" s="375"/>
      <c r="G1699" s="375" t="s">
        <v>2824</v>
      </c>
      <c r="H1699" s="375" t="s">
        <v>2825</v>
      </c>
      <c r="I1699" s="63" t="s">
        <v>2826</v>
      </c>
      <c r="J1699" s="47">
        <f t="shared" si="351"/>
        <v>3740</v>
      </c>
      <c r="K1699" s="46" t="s">
        <v>10735</v>
      </c>
      <c r="L1699" s="47"/>
      <c r="M1699" s="47"/>
      <c r="N1699" s="47" t="s">
        <v>2827</v>
      </c>
      <c r="O1699" s="47"/>
      <c r="P1699" s="47"/>
      <c r="Q1699" s="47"/>
      <c r="R1699" s="47"/>
      <c r="S1699" s="47"/>
      <c r="T1699" s="47"/>
      <c r="U1699" s="47">
        <f>U$2</f>
        <v>430</v>
      </c>
      <c r="V1699" s="47"/>
      <c r="W1699" s="47"/>
      <c r="X1699" s="47"/>
      <c r="Y1699" s="47"/>
      <c r="Z1699" s="47">
        <f t="shared" si="344"/>
        <v>4620</v>
      </c>
      <c r="AA1699" s="47">
        <f>AA$7</f>
        <v>1400</v>
      </c>
      <c r="AB1699" s="47">
        <f>AB$7</f>
        <v>2800</v>
      </c>
      <c r="AC1699" s="47"/>
      <c r="AD1699" s="47"/>
      <c r="AE1699" s="47"/>
      <c r="AF1699" s="47"/>
      <c r="AG1699" s="47"/>
      <c r="AH1699" s="47">
        <f>IFERROR(_xlfn.XLOOKUP(Table6[[#This Row],[Suburb]],Table5[Travel Surcharge],Table5[$$]),"")</f>
        <v>7000</v>
      </c>
      <c r="AI1699" s="47"/>
      <c r="AJ1699" s="47"/>
    </row>
    <row r="1700" spans="1:36">
      <c r="A1700" s="374" t="s">
        <v>9861</v>
      </c>
      <c r="B1700" s="276" t="s">
        <v>10970</v>
      </c>
      <c r="C1700" s="374" t="s">
        <v>302</v>
      </c>
      <c r="D1700" s="375" t="str">
        <f>CONCATENATE(A1700,B1700)</f>
        <v>Franklin North 1W</v>
      </c>
      <c r="E1700" s="375" t="s">
        <v>10971</v>
      </c>
      <c r="F1700" s="375"/>
      <c r="G1700" s="375" t="s">
        <v>2824</v>
      </c>
      <c r="H1700" s="375" t="s">
        <v>2825</v>
      </c>
      <c r="I1700" s="63" t="s">
        <v>2826</v>
      </c>
      <c r="J1700" s="47"/>
      <c r="K1700" s="46" t="s">
        <v>10735</v>
      </c>
      <c r="L1700" s="47"/>
      <c r="M1700" s="47" t="s">
        <v>2827</v>
      </c>
      <c r="N1700" s="47"/>
      <c r="O1700" s="47">
        <v>4950</v>
      </c>
      <c r="P1700" s="47"/>
      <c r="Q1700" s="47"/>
      <c r="R1700" s="47"/>
      <c r="S1700" s="47"/>
      <c r="T1700" s="47">
        <v>1420</v>
      </c>
      <c r="U1700" s="47"/>
      <c r="V1700" s="47"/>
      <c r="W1700" s="47"/>
      <c r="X1700" s="47"/>
      <c r="Y1700" s="47"/>
      <c r="Z1700" s="47">
        <v>4620</v>
      </c>
      <c r="AA1700" s="47"/>
      <c r="AB1700" s="47"/>
      <c r="AC1700" s="47"/>
      <c r="AD1700" s="47"/>
      <c r="AE1700" s="47"/>
      <c r="AF1700" s="47"/>
      <c r="AG1700" s="47"/>
      <c r="AH1700" s="47">
        <v>7000</v>
      </c>
      <c r="AI1700" s="47"/>
      <c r="AJ1700" s="47"/>
    </row>
    <row r="1701" spans="1:36">
      <c r="A1701" s="374" t="s">
        <v>9861</v>
      </c>
      <c r="B1701" s="374">
        <v>9</v>
      </c>
      <c r="C1701" s="374" t="s">
        <v>302</v>
      </c>
      <c r="D1701" s="375" t="str">
        <f>CONCATENATE(A1701,B1701)</f>
        <v>Franklin North 9</v>
      </c>
      <c r="E1701" s="375" t="s">
        <v>9862</v>
      </c>
      <c r="F1701" s="375"/>
      <c r="G1701" s="375" t="s">
        <v>2824</v>
      </c>
      <c r="H1701" s="375" t="s">
        <v>2825</v>
      </c>
      <c r="I1701" s="338" t="s">
        <v>2826</v>
      </c>
      <c r="J1701" s="47"/>
      <c r="K1701" s="46" t="s">
        <v>10735</v>
      </c>
      <c r="L1701" s="47"/>
      <c r="M1701" s="47" t="s">
        <v>2827</v>
      </c>
      <c r="N1701" s="47"/>
      <c r="O1701" s="47">
        <f>O$7</f>
        <v>4950</v>
      </c>
      <c r="P1701" s="47"/>
      <c r="Q1701" s="47"/>
      <c r="R1701" s="47"/>
      <c r="S1701" s="47"/>
      <c r="T1701" s="47">
        <v>1420</v>
      </c>
      <c r="U1701" s="47"/>
      <c r="V1701" s="47"/>
      <c r="W1701" s="47"/>
      <c r="X1701" s="47"/>
      <c r="Y1701" s="47"/>
      <c r="Z1701" s="47">
        <f>Z$7</f>
        <v>4620</v>
      </c>
      <c r="AA1701" s="47"/>
      <c r="AB1701" s="47"/>
      <c r="AC1701" s="47"/>
      <c r="AD1701" s="47"/>
      <c r="AE1701" s="47"/>
      <c r="AF1701" s="47"/>
      <c r="AG1701" s="47"/>
      <c r="AH1701" s="47">
        <f>IFERROR(_xlfn.XLOOKUP(Table6[[#This Row],[Suburb]],Table5[Travel Surcharge],Table5[$$]),"")</f>
        <v>7000</v>
      </c>
      <c r="AI1701" s="47"/>
      <c r="AJ1701" s="47"/>
    </row>
    <row r="1702" spans="1:36">
      <c r="A1702" s="374" t="s">
        <v>2828</v>
      </c>
      <c r="B1702" s="374">
        <v>1</v>
      </c>
      <c r="C1702" s="374" t="s">
        <v>675</v>
      </c>
      <c r="D1702" s="375" t="str">
        <f t="shared" si="342"/>
        <v>Galway Gold1</v>
      </c>
      <c r="E1702" s="375" t="s">
        <v>2829</v>
      </c>
      <c r="F1702" s="375" t="s">
        <v>493</v>
      </c>
      <c r="G1702" s="375" t="s">
        <v>531</v>
      </c>
      <c r="H1702" s="375" t="s">
        <v>532</v>
      </c>
      <c r="I1702" s="63" t="s">
        <v>2830</v>
      </c>
      <c r="J1702" s="47">
        <f t="shared" si="351"/>
        <v>3740</v>
      </c>
      <c r="K1702" s="46" t="s">
        <v>10735</v>
      </c>
      <c r="L1702" s="47"/>
      <c r="M1702" s="47"/>
      <c r="N1702" s="47" t="s">
        <v>2831</v>
      </c>
      <c r="O1702" s="47"/>
      <c r="P1702" s="47"/>
      <c r="Q1702" s="47"/>
      <c r="R1702" s="47"/>
      <c r="S1702" s="47"/>
      <c r="T1702" s="47">
        <f>T$2</f>
        <v>780</v>
      </c>
      <c r="U1702" s="47"/>
      <c r="V1702" s="47"/>
      <c r="W1702" s="47"/>
      <c r="X1702" s="47"/>
      <c r="Y1702" s="47"/>
      <c r="Z1702" s="47">
        <f t="shared" si="344"/>
        <v>4620</v>
      </c>
      <c r="AA1702" s="47"/>
      <c r="AB1702" s="47"/>
      <c r="AC1702" s="47"/>
      <c r="AD1702" s="47"/>
      <c r="AE1702" s="47"/>
      <c r="AF1702" s="47"/>
      <c r="AG1702" s="47"/>
      <c r="AH1702" s="47" t="str">
        <f>IFERROR(_xlfn.XLOOKUP(Table6[[#This Row],[Suburb]],Table5[Travel Surcharge],Table5[$$]),"")</f>
        <v/>
      </c>
      <c r="AI1702" s="47">
        <f>AI$7</f>
        <v>1650.0000000000002</v>
      </c>
      <c r="AJ1702" s="47"/>
    </row>
    <row r="1703" spans="1:36">
      <c r="A1703" s="374" t="s">
        <v>2828</v>
      </c>
      <c r="B1703" s="374">
        <v>2</v>
      </c>
      <c r="C1703" s="374" t="s">
        <v>675</v>
      </c>
      <c r="D1703" s="375" t="str">
        <f t="shared" si="342"/>
        <v>Galway Gold2</v>
      </c>
      <c r="E1703" s="375" t="s">
        <v>2832</v>
      </c>
      <c r="F1703" s="375" t="s">
        <v>493</v>
      </c>
      <c r="G1703" s="375" t="s">
        <v>531</v>
      </c>
      <c r="H1703" s="375" t="s">
        <v>532</v>
      </c>
      <c r="I1703" s="63" t="s">
        <v>2830</v>
      </c>
      <c r="J1703" s="47">
        <f t="shared" si="351"/>
        <v>3740</v>
      </c>
      <c r="K1703" s="46" t="s">
        <v>10735</v>
      </c>
      <c r="L1703" s="47"/>
      <c r="M1703" s="47"/>
      <c r="N1703" s="47" t="s">
        <v>2831</v>
      </c>
      <c r="O1703" s="47"/>
      <c r="P1703" s="47"/>
      <c r="Q1703" s="47"/>
      <c r="R1703" s="47"/>
      <c r="S1703" s="47"/>
      <c r="T1703" s="47">
        <f>T$2</f>
        <v>780</v>
      </c>
      <c r="U1703" s="47"/>
      <c r="V1703" s="47"/>
      <c r="W1703" s="47"/>
      <c r="X1703" s="47"/>
      <c r="Y1703" s="47"/>
      <c r="Z1703" s="47">
        <f t="shared" si="344"/>
        <v>4620</v>
      </c>
      <c r="AA1703" s="47"/>
      <c r="AB1703" s="47"/>
      <c r="AC1703" s="47"/>
      <c r="AD1703" s="47"/>
      <c r="AE1703" s="47"/>
      <c r="AF1703" s="47"/>
      <c r="AG1703" s="47"/>
      <c r="AH1703" s="47" t="str">
        <f>IFERROR(_xlfn.XLOOKUP(Table6[[#This Row],[Suburb]],Table5[Travel Surcharge],Table5[$$]),"")</f>
        <v/>
      </c>
      <c r="AI1703" s="47">
        <f>AI$7</f>
        <v>1650.0000000000002</v>
      </c>
      <c r="AJ1703" s="47"/>
    </row>
    <row r="1704" spans="1:36">
      <c r="A1704" s="374" t="s">
        <v>2833</v>
      </c>
      <c r="B1704" s="374">
        <v>1</v>
      </c>
      <c r="C1704" s="374" t="s">
        <v>675</v>
      </c>
      <c r="D1704" s="375" t="str">
        <f t="shared" si="342"/>
        <v>Galway View Estate1</v>
      </c>
      <c r="E1704" s="375" t="s">
        <v>2829</v>
      </c>
      <c r="F1704" s="375" t="s">
        <v>493</v>
      </c>
      <c r="G1704" s="375" t="s">
        <v>531</v>
      </c>
      <c r="H1704" s="375" t="s">
        <v>532</v>
      </c>
      <c r="I1704" s="63" t="s">
        <v>2830</v>
      </c>
      <c r="J1704" s="47">
        <f t="shared" si="351"/>
        <v>3740</v>
      </c>
      <c r="K1704" s="46" t="s">
        <v>10735</v>
      </c>
      <c r="L1704" s="47"/>
      <c r="M1704" s="47"/>
      <c r="N1704" s="47"/>
      <c r="O1704" s="47"/>
      <c r="P1704" s="47"/>
      <c r="Q1704" s="47">
        <f>Q$2</f>
        <v>0</v>
      </c>
      <c r="R1704" s="47"/>
      <c r="S1704" s="47"/>
      <c r="T1704" s="47"/>
      <c r="U1704" s="47"/>
      <c r="V1704" s="47"/>
      <c r="W1704" s="47"/>
      <c r="X1704" s="47"/>
      <c r="Y1704" s="47"/>
      <c r="Z1704" s="47">
        <f t="shared" si="344"/>
        <v>4620</v>
      </c>
      <c r="AA1704" s="47"/>
      <c r="AB1704" s="47"/>
      <c r="AC1704" s="47"/>
      <c r="AD1704" s="47"/>
      <c r="AE1704" s="47"/>
      <c r="AF1704" s="47"/>
      <c r="AG1704" s="47"/>
      <c r="AH1704" s="47" t="str">
        <f>IFERROR(_xlfn.XLOOKUP(Table6[[#This Row],[Suburb]],Table5[Travel Surcharge],Table5[$$]),"")</f>
        <v/>
      </c>
      <c r="AI1704" s="47"/>
      <c r="AJ1704" s="47"/>
    </row>
    <row r="1705" spans="1:36">
      <c r="A1705" s="374" t="s">
        <v>2833</v>
      </c>
      <c r="B1705" s="374">
        <v>2</v>
      </c>
      <c r="C1705" s="374" t="s">
        <v>675</v>
      </c>
      <c r="D1705" s="375" t="str">
        <f t="shared" si="342"/>
        <v>Galway View Estate2</v>
      </c>
      <c r="E1705" s="375" t="s">
        <v>2832</v>
      </c>
      <c r="F1705" s="375" t="s">
        <v>493</v>
      </c>
      <c r="G1705" s="375" t="s">
        <v>531</v>
      </c>
      <c r="H1705" s="375" t="s">
        <v>532</v>
      </c>
      <c r="I1705" s="63" t="s">
        <v>2830</v>
      </c>
      <c r="J1705" s="47">
        <f t="shared" si="351"/>
        <v>3740</v>
      </c>
      <c r="K1705" s="46" t="s">
        <v>10735</v>
      </c>
      <c r="L1705" s="47"/>
      <c r="M1705" s="47"/>
      <c r="N1705" s="47"/>
      <c r="O1705" s="47"/>
      <c r="P1705" s="47"/>
      <c r="Q1705" s="47">
        <f>Q$2</f>
        <v>0</v>
      </c>
      <c r="R1705" s="47"/>
      <c r="S1705" s="47"/>
      <c r="T1705" s="47"/>
      <c r="U1705" s="47"/>
      <c r="V1705" s="47"/>
      <c r="W1705" s="47"/>
      <c r="X1705" s="47"/>
      <c r="Y1705" s="47"/>
      <c r="Z1705" s="47">
        <f t="shared" si="344"/>
        <v>4620</v>
      </c>
      <c r="AA1705" s="47"/>
      <c r="AB1705" s="47"/>
      <c r="AC1705" s="47"/>
      <c r="AD1705" s="47"/>
      <c r="AE1705" s="47"/>
      <c r="AF1705" s="47"/>
      <c r="AG1705" s="47"/>
      <c r="AH1705" s="47" t="str">
        <f>IFERROR(_xlfn.XLOOKUP(Table6[[#This Row],[Suburb]],Table5[Travel Surcharge],Table5[$$]),"")</f>
        <v/>
      </c>
      <c r="AI1705" s="47"/>
      <c r="AJ1705" s="47"/>
    </row>
    <row r="1706" spans="1:36">
      <c r="A1706" s="374" t="s">
        <v>2834</v>
      </c>
      <c r="B1706" s="374">
        <v>1</v>
      </c>
      <c r="C1706" s="374" t="s">
        <v>1381</v>
      </c>
      <c r="D1706" s="375" t="str">
        <f t="shared" ref="D1706:D1737" si="352">CONCATENATE(A1706,B1706)</f>
        <v>Gardenia Estate1</v>
      </c>
      <c r="E1706" s="375" t="s">
        <v>2835</v>
      </c>
      <c r="F1706" s="375" t="s">
        <v>2836</v>
      </c>
      <c r="G1706" s="375" t="s">
        <v>2837</v>
      </c>
      <c r="H1706" s="375" t="s">
        <v>2838</v>
      </c>
      <c r="I1706" s="63" t="s">
        <v>2839</v>
      </c>
      <c r="J1706" s="47">
        <f t="shared" si="351"/>
        <v>3740</v>
      </c>
      <c r="K1706" s="46" t="s">
        <v>10735</v>
      </c>
      <c r="L1706" s="47"/>
      <c r="M1706" s="47">
        <f>M$7</f>
        <v>1430.0000000000002</v>
      </c>
      <c r="N1706" s="47" t="s">
        <v>545</v>
      </c>
      <c r="O1706" s="47" t="s">
        <v>2840</v>
      </c>
      <c r="P1706" s="47" t="s">
        <v>2841</v>
      </c>
      <c r="Q1706" s="47"/>
      <c r="R1706" s="47">
        <f>R$2</f>
        <v>540</v>
      </c>
      <c r="S1706" s="47"/>
      <c r="T1706" s="47"/>
      <c r="U1706" s="47"/>
      <c r="V1706" s="47"/>
      <c r="W1706" s="47"/>
      <c r="X1706" s="47"/>
      <c r="Y1706" s="47"/>
      <c r="Z1706" s="47">
        <f t="shared" ref="Z1706:Z1737" si="353">Z$7</f>
        <v>4620</v>
      </c>
      <c r="AA1706" s="47"/>
      <c r="AB1706" s="47"/>
      <c r="AC1706" s="47"/>
      <c r="AD1706" s="47"/>
      <c r="AE1706" s="47" t="s">
        <v>2842</v>
      </c>
      <c r="AF1706" s="47"/>
      <c r="AG1706" s="47"/>
      <c r="AH1706" s="47" t="str">
        <f>IFERROR(_xlfn.XLOOKUP(Table6[[#This Row],[Suburb]],Table5[Travel Surcharge],Table5[$$]),"")</f>
        <v/>
      </c>
      <c r="AI1706" s="47"/>
      <c r="AJ1706" s="47"/>
    </row>
    <row r="1707" spans="1:36">
      <c r="A1707" s="374" t="s">
        <v>2834</v>
      </c>
      <c r="B1707" s="374">
        <v>2</v>
      </c>
      <c r="C1707" s="374" t="s">
        <v>1381</v>
      </c>
      <c r="D1707" s="375" t="str">
        <f t="shared" si="352"/>
        <v>Gardenia Estate2</v>
      </c>
      <c r="E1707" s="375" t="s">
        <v>2843</v>
      </c>
      <c r="F1707" s="375" t="s">
        <v>2836</v>
      </c>
      <c r="G1707" s="375" t="s">
        <v>2837</v>
      </c>
      <c r="H1707" s="375" t="s">
        <v>2838</v>
      </c>
      <c r="I1707" s="63" t="s">
        <v>2839</v>
      </c>
      <c r="J1707" s="47">
        <f t="shared" si="351"/>
        <v>3740</v>
      </c>
      <c r="K1707" s="46" t="s">
        <v>10735</v>
      </c>
      <c r="L1707" s="47"/>
      <c r="M1707" s="47">
        <f>M$7</f>
        <v>1430.0000000000002</v>
      </c>
      <c r="N1707" s="47" t="s">
        <v>545</v>
      </c>
      <c r="O1707" s="47" t="s">
        <v>2840</v>
      </c>
      <c r="P1707" s="47" t="s">
        <v>2841</v>
      </c>
      <c r="Q1707" s="47"/>
      <c r="R1707" s="47">
        <f>R$2</f>
        <v>540</v>
      </c>
      <c r="S1707" s="47"/>
      <c r="T1707" s="47"/>
      <c r="U1707" s="47"/>
      <c r="V1707" s="47"/>
      <c r="W1707" s="47"/>
      <c r="X1707" s="47"/>
      <c r="Y1707" s="47"/>
      <c r="Z1707" s="47">
        <f t="shared" si="353"/>
        <v>4620</v>
      </c>
      <c r="AA1707" s="47"/>
      <c r="AB1707" s="47"/>
      <c r="AC1707" s="47"/>
      <c r="AD1707" s="47"/>
      <c r="AE1707" s="47" t="s">
        <v>2844</v>
      </c>
      <c r="AF1707" s="47"/>
      <c r="AG1707" s="47"/>
      <c r="AH1707" s="47" t="str">
        <f>IFERROR(_xlfn.XLOOKUP(Table6[[#This Row],[Suburb]],Table5[Travel Surcharge],Table5[$$]),"")</f>
        <v/>
      </c>
      <c r="AI1707" s="47"/>
      <c r="AJ1707" s="47"/>
    </row>
    <row r="1708" spans="1:36">
      <c r="A1708" s="374" t="s">
        <v>2834</v>
      </c>
      <c r="B1708" s="374">
        <v>3</v>
      </c>
      <c r="C1708" s="374" t="s">
        <v>1381</v>
      </c>
      <c r="D1708" s="375" t="str">
        <f t="shared" si="352"/>
        <v>Gardenia Estate3</v>
      </c>
      <c r="E1708" s="375" t="s">
        <v>2845</v>
      </c>
      <c r="F1708" s="375" t="s">
        <v>2836</v>
      </c>
      <c r="G1708" s="375" t="s">
        <v>2837</v>
      </c>
      <c r="H1708" s="375" t="s">
        <v>2838</v>
      </c>
      <c r="I1708" s="63" t="s">
        <v>2839</v>
      </c>
      <c r="J1708" s="47">
        <f t="shared" si="351"/>
        <v>3740</v>
      </c>
      <c r="K1708" s="46" t="s">
        <v>10735</v>
      </c>
      <c r="L1708" s="47"/>
      <c r="M1708" s="47">
        <f>M$7</f>
        <v>1430.0000000000002</v>
      </c>
      <c r="N1708" s="47" t="s">
        <v>545</v>
      </c>
      <c r="O1708" s="47"/>
      <c r="P1708" s="47" t="s">
        <v>2846</v>
      </c>
      <c r="Q1708" s="47"/>
      <c r="R1708" s="47">
        <f>R$2</f>
        <v>540</v>
      </c>
      <c r="S1708" s="47"/>
      <c r="T1708" s="47"/>
      <c r="U1708" s="47"/>
      <c r="V1708" s="47"/>
      <c r="W1708" s="47"/>
      <c r="X1708" s="47"/>
      <c r="Y1708" s="47"/>
      <c r="Z1708" s="47">
        <f t="shared" si="353"/>
        <v>4620</v>
      </c>
      <c r="AA1708" s="47"/>
      <c r="AB1708" s="47"/>
      <c r="AC1708" s="47"/>
      <c r="AD1708" s="47"/>
      <c r="AE1708" s="47" t="s">
        <v>2847</v>
      </c>
      <c r="AF1708" s="47"/>
      <c r="AG1708" s="47"/>
      <c r="AH1708" s="47" t="str">
        <f>IFERROR(_xlfn.XLOOKUP(Table6[[#This Row],[Suburb]],Table5[Travel Surcharge],Table5[$$]),"")</f>
        <v/>
      </c>
      <c r="AI1708" s="47"/>
      <c r="AJ1708" s="47"/>
    </row>
    <row r="1709" spans="1:36">
      <c r="A1709" s="374" t="s">
        <v>2834</v>
      </c>
      <c r="B1709" s="374">
        <v>4</v>
      </c>
      <c r="C1709" s="374" t="s">
        <v>1381</v>
      </c>
      <c r="D1709" s="375" t="str">
        <f t="shared" si="352"/>
        <v>Gardenia Estate4</v>
      </c>
      <c r="E1709" s="375" t="s">
        <v>2845</v>
      </c>
      <c r="F1709" s="375" t="s">
        <v>2836</v>
      </c>
      <c r="G1709" s="375" t="s">
        <v>2837</v>
      </c>
      <c r="H1709" s="375" t="s">
        <v>2838</v>
      </c>
      <c r="I1709" s="63" t="s">
        <v>2839</v>
      </c>
      <c r="J1709" s="47">
        <f t="shared" si="351"/>
        <v>3740</v>
      </c>
      <c r="K1709" s="46" t="s">
        <v>10735</v>
      </c>
      <c r="L1709" s="47"/>
      <c r="M1709" s="47">
        <f>M$7</f>
        <v>1430.0000000000002</v>
      </c>
      <c r="N1709" s="47" t="s">
        <v>545</v>
      </c>
      <c r="O1709" s="47"/>
      <c r="P1709" s="47" t="s">
        <v>2846</v>
      </c>
      <c r="Q1709" s="47"/>
      <c r="R1709" s="47">
        <f>R$2</f>
        <v>540</v>
      </c>
      <c r="S1709" s="47"/>
      <c r="T1709" s="47"/>
      <c r="U1709" s="47"/>
      <c r="V1709" s="47"/>
      <c r="W1709" s="47"/>
      <c r="X1709" s="47"/>
      <c r="Y1709" s="47"/>
      <c r="Z1709" s="47">
        <f t="shared" si="353"/>
        <v>4620</v>
      </c>
      <c r="AA1709" s="47"/>
      <c r="AB1709" s="47"/>
      <c r="AC1709" s="47"/>
      <c r="AD1709" s="47"/>
      <c r="AE1709" s="47" t="s">
        <v>2848</v>
      </c>
      <c r="AF1709" s="47"/>
      <c r="AG1709" s="47"/>
      <c r="AH1709" s="47" t="str">
        <f>IFERROR(_xlfn.XLOOKUP(Table6[[#This Row],[Suburb]],Table5[Travel Surcharge],Table5[$$]),"")</f>
        <v/>
      </c>
      <c r="AI1709" s="47"/>
      <c r="AJ1709" s="47"/>
    </row>
    <row r="1710" spans="1:36">
      <c r="A1710" s="374" t="s">
        <v>2849</v>
      </c>
      <c r="B1710" s="374">
        <v>1</v>
      </c>
      <c r="C1710" s="374" t="s">
        <v>538</v>
      </c>
      <c r="D1710" s="375" t="str">
        <f t="shared" si="352"/>
        <v>Gateway Estate1</v>
      </c>
      <c r="E1710" s="375" t="s">
        <v>2850</v>
      </c>
      <c r="F1710" s="375" t="s">
        <v>2072</v>
      </c>
      <c r="G1710" s="375" t="s">
        <v>2730</v>
      </c>
      <c r="H1710" s="375" t="s">
        <v>2731</v>
      </c>
      <c r="I1710" s="63" t="s">
        <v>2732</v>
      </c>
      <c r="J1710" s="47"/>
      <c r="K1710" s="46" t="s">
        <v>10735</v>
      </c>
      <c r="L1710" s="47"/>
      <c r="M1710" s="47"/>
      <c r="N1710" s="47"/>
      <c r="O1710" s="47"/>
      <c r="P1710" s="47"/>
      <c r="Q1710" s="47">
        <f t="shared" ref="Q1710:Q1719" si="354">Q$2</f>
        <v>0</v>
      </c>
      <c r="R1710" s="47"/>
      <c r="S1710" s="47"/>
      <c r="T1710" s="47" t="s">
        <v>641</v>
      </c>
      <c r="U1710" s="47"/>
      <c r="V1710" s="47"/>
      <c r="W1710" s="47"/>
      <c r="X1710" s="47"/>
      <c r="Y1710" s="47"/>
      <c r="Z1710" s="47">
        <f t="shared" si="353"/>
        <v>4620</v>
      </c>
      <c r="AA1710" s="47"/>
      <c r="AB1710" s="47"/>
      <c r="AC1710" s="47"/>
      <c r="AD1710" s="47"/>
      <c r="AE1710" s="47"/>
      <c r="AF1710" s="47"/>
      <c r="AG1710" s="47"/>
      <c r="AH1710" s="47" t="str">
        <f>IFERROR(_xlfn.XLOOKUP(Table6[[#This Row],[Suburb]],Table5[Travel Surcharge],Table5[$$]),"")</f>
        <v/>
      </c>
      <c r="AI1710" s="47"/>
      <c r="AJ1710" s="47"/>
    </row>
    <row r="1711" spans="1:36">
      <c r="A1711" s="374" t="s">
        <v>2849</v>
      </c>
      <c r="B1711" s="374">
        <v>2</v>
      </c>
      <c r="C1711" s="374" t="s">
        <v>538</v>
      </c>
      <c r="D1711" s="375" t="str">
        <f t="shared" si="352"/>
        <v>Gateway Estate2</v>
      </c>
      <c r="E1711" s="375" t="s">
        <v>2077</v>
      </c>
      <c r="F1711" s="375" t="s">
        <v>2072</v>
      </c>
      <c r="G1711" s="375" t="s">
        <v>2730</v>
      </c>
      <c r="H1711" s="375" t="s">
        <v>2731</v>
      </c>
      <c r="I1711" s="63" t="s">
        <v>2732</v>
      </c>
      <c r="J1711" s="47"/>
      <c r="K1711" s="46" t="s">
        <v>10735</v>
      </c>
      <c r="L1711" s="47"/>
      <c r="M1711" s="47"/>
      <c r="N1711" s="47"/>
      <c r="O1711" s="47"/>
      <c r="P1711" s="47"/>
      <c r="Q1711" s="47">
        <f t="shared" si="354"/>
        <v>0</v>
      </c>
      <c r="R1711" s="47"/>
      <c r="S1711" s="47"/>
      <c r="T1711" s="47" t="s">
        <v>641</v>
      </c>
      <c r="U1711" s="47"/>
      <c r="V1711" s="47"/>
      <c r="W1711" s="47"/>
      <c r="X1711" s="47"/>
      <c r="Y1711" s="47"/>
      <c r="Z1711" s="47">
        <f t="shared" si="353"/>
        <v>4620</v>
      </c>
      <c r="AA1711" s="47"/>
      <c r="AB1711" s="47"/>
      <c r="AC1711" s="47"/>
      <c r="AD1711" s="47"/>
      <c r="AE1711" s="47"/>
      <c r="AF1711" s="47"/>
      <c r="AG1711" s="47"/>
      <c r="AH1711" s="47" t="str">
        <f>IFERROR(_xlfn.XLOOKUP(Table6[[#This Row],[Suburb]],Table5[Travel Surcharge],Table5[$$]),"")</f>
        <v/>
      </c>
      <c r="AI1711" s="47"/>
      <c r="AJ1711" s="47"/>
    </row>
    <row r="1712" spans="1:36">
      <c r="A1712" s="374" t="s">
        <v>2849</v>
      </c>
      <c r="B1712" s="374">
        <v>3</v>
      </c>
      <c r="C1712" s="374" t="s">
        <v>538</v>
      </c>
      <c r="D1712" s="375" t="str">
        <f t="shared" si="352"/>
        <v>Gateway Estate3</v>
      </c>
      <c r="E1712" s="375" t="s">
        <v>2078</v>
      </c>
      <c r="F1712" s="375" t="s">
        <v>2072</v>
      </c>
      <c r="G1712" s="375" t="s">
        <v>2730</v>
      </c>
      <c r="H1712" s="375" t="s">
        <v>2731</v>
      </c>
      <c r="I1712" s="63" t="s">
        <v>2732</v>
      </c>
      <c r="J1712" s="47"/>
      <c r="K1712" s="46" t="s">
        <v>10735</v>
      </c>
      <c r="L1712" s="47"/>
      <c r="M1712" s="47"/>
      <c r="N1712" s="47"/>
      <c r="O1712" s="47"/>
      <c r="P1712" s="47"/>
      <c r="Q1712" s="47">
        <f t="shared" si="354"/>
        <v>0</v>
      </c>
      <c r="R1712" s="47"/>
      <c r="S1712" s="47"/>
      <c r="T1712" s="47" t="s">
        <v>641</v>
      </c>
      <c r="U1712" s="47"/>
      <c r="V1712" s="47"/>
      <c r="W1712" s="47"/>
      <c r="X1712" s="47"/>
      <c r="Y1712" s="47"/>
      <c r="Z1712" s="47">
        <f t="shared" si="353"/>
        <v>4620</v>
      </c>
      <c r="AA1712" s="47"/>
      <c r="AB1712" s="47"/>
      <c r="AC1712" s="47"/>
      <c r="AD1712" s="47"/>
      <c r="AE1712" s="47"/>
      <c r="AF1712" s="47"/>
      <c r="AG1712" s="47"/>
      <c r="AH1712" s="47" t="str">
        <f>IFERROR(_xlfn.XLOOKUP(Table6[[#This Row],[Suburb]],Table5[Travel Surcharge],Table5[$$]),"")</f>
        <v/>
      </c>
      <c r="AI1712" s="47"/>
      <c r="AJ1712" s="47"/>
    </row>
    <row r="1713" spans="1:36">
      <c r="A1713" s="374" t="s">
        <v>2849</v>
      </c>
      <c r="B1713" s="374">
        <v>5</v>
      </c>
      <c r="C1713" s="374" t="s">
        <v>538</v>
      </c>
      <c r="D1713" s="375" t="str">
        <f t="shared" si="352"/>
        <v>Gateway Estate5</v>
      </c>
      <c r="E1713" s="375"/>
      <c r="F1713" s="375" t="s">
        <v>2072</v>
      </c>
      <c r="G1713" s="375" t="s">
        <v>2730</v>
      </c>
      <c r="H1713" s="375" t="s">
        <v>2731</v>
      </c>
      <c r="I1713" s="63" t="s">
        <v>2732</v>
      </c>
      <c r="J1713" s="47"/>
      <c r="K1713" s="46" t="s">
        <v>10735</v>
      </c>
      <c r="L1713" s="47"/>
      <c r="M1713" s="47"/>
      <c r="N1713" s="47"/>
      <c r="O1713" s="47"/>
      <c r="P1713" s="47"/>
      <c r="Q1713" s="47">
        <f t="shared" si="354"/>
        <v>0</v>
      </c>
      <c r="R1713" s="47"/>
      <c r="S1713" s="47"/>
      <c r="T1713" s="47" t="s">
        <v>641</v>
      </c>
      <c r="U1713" s="47"/>
      <c r="V1713" s="47"/>
      <c r="W1713" s="47"/>
      <c r="X1713" s="47"/>
      <c r="Y1713" s="47"/>
      <c r="Z1713" s="47">
        <f t="shared" si="353"/>
        <v>4620</v>
      </c>
      <c r="AA1713" s="47"/>
      <c r="AB1713" s="47"/>
      <c r="AC1713" s="47"/>
      <c r="AD1713" s="47"/>
      <c r="AE1713" s="47"/>
      <c r="AF1713" s="47"/>
      <c r="AG1713" s="47"/>
      <c r="AH1713" s="47" t="str">
        <f>IFERROR(_xlfn.XLOOKUP(Table6[[#This Row],[Suburb]],Table5[Travel Surcharge],Table5[$$]),"")</f>
        <v/>
      </c>
      <c r="AI1713" s="47"/>
      <c r="AJ1713" s="47"/>
    </row>
    <row r="1714" spans="1:36">
      <c r="A1714" s="374" t="s">
        <v>2849</v>
      </c>
      <c r="B1714" s="374">
        <v>6</v>
      </c>
      <c r="C1714" s="374" t="s">
        <v>538</v>
      </c>
      <c r="D1714" s="375" t="str">
        <f t="shared" si="352"/>
        <v>Gateway Estate6</v>
      </c>
      <c r="E1714" s="375" t="s">
        <v>2851</v>
      </c>
      <c r="F1714" s="375" t="s">
        <v>2072</v>
      </c>
      <c r="G1714" s="375" t="s">
        <v>2730</v>
      </c>
      <c r="H1714" s="375" t="s">
        <v>2731</v>
      </c>
      <c r="I1714" s="63" t="s">
        <v>2732</v>
      </c>
      <c r="J1714" s="47"/>
      <c r="K1714" s="46" t="s">
        <v>10735</v>
      </c>
      <c r="L1714" s="47"/>
      <c r="M1714" s="47"/>
      <c r="N1714" s="47"/>
      <c r="O1714" s="47"/>
      <c r="P1714" s="47"/>
      <c r="Q1714" s="47">
        <f t="shared" si="354"/>
        <v>0</v>
      </c>
      <c r="R1714" s="47"/>
      <c r="S1714" s="47"/>
      <c r="T1714" s="47" t="s">
        <v>641</v>
      </c>
      <c r="U1714" s="47"/>
      <c r="V1714" s="47"/>
      <c r="W1714" s="47"/>
      <c r="X1714" s="47"/>
      <c r="Y1714" s="47"/>
      <c r="Z1714" s="47">
        <f t="shared" si="353"/>
        <v>4620</v>
      </c>
      <c r="AA1714" s="47"/>
      <c r="AB1714" s="47"/>
      <c r="AC1714" s="47"/>
      <c r="AD1714" s="47"/>
      <c r="AE1714" s="47"/>
      <c r="AF1714" s="47"/>
      <c r="AG1714" s="47"/>
      <c r="AH1714" s="47" t="str">
        <f>IFERROR(_xlfn.XLOOKUP(Table6[[#This Row],[Suburb]],Table5[Travel Surcharge],Table5[$$]),"")</f>
        <v/>
      </c>
      <c r="AI1714" s="47"/>
      <c r="AJ1714" s="47"/>
    </row>
    <row r="1715" spans="1:36">
      <c r="A1715" s="374" t="s">
        <v>2849</v>
      </c>
      <c r="B1715" s="374">
        <v>8</v>
      </c>
      <c r="C1715" s="374" t="s">
        <v>538</v>
      </c>
      <c r="D1715" s="375" t="str">
        <f t="shared" si="352"/>
        <v>Gateway Estate8</v>
      </c>
      <c r="E1715" s="375" t="s">
        <v>2852</v>
      </c>
      <c r="F1715" s="375" t="s">
        <v>2072</v>
      </c>
      <c r="G1715" s="375" t="s">
        <v>2730</v>
      </c>
      <c r="H1715" s="375" t="s">
        <v>2731</v>
      </c>
      <c r="I1715" s="63" t="s">
        <v>2732</v>
      </c>
      <c r="J1715" s="47"/>
      <c r="K1715" s="46" t="s">
        <v>10735</v>
      </c>
      <c r="L1715" s="47"/>
      <c r="M1715" s="47"/>
      <c r="N1715" s="47"/>
      <c r="O1715" s="47"/>
      <c r="P1715" s="47"/>
      <c r="Q1715" s="47">
        <f t="shared" si="354"/>
        <v>0</v>
      </c>
      <c r="R1715" s="47"/>
      <c r="S1715" s="47"/>
      <c r="T1715" s="47" t="s">
        <v>641</v>
      </c>
      <c r="U1715" s="47"/>
      <c r="V1715" s="47"/>
      <c r="W1715" s="47"/>
      <c r="X1715" s="47"/>
      <c r="Y1715" s="47"/>
      <c r="Z1715" s="47">
        <f t="shared" si="353"/>
        <v>4620</v>
      </c>
      <c r="AA1715" s="47"/>
      <c r="AB1715" s="47"/>
      <c r="AC1715" s="47"/>
      <c r="AD1715" s="47"/>
      <c r="AE1715" s="47"/>
      <c r="AF1715" s="47"/>
      <c r="AG1715" s="47"/>
      <c r="AH1715" s="47" t="str">
        <f>IFERROR(_xlfn.XLOOKUP(Table6[[#This Row],[Suburb]],Table5[Travel Surcharge],Table5[$$]),"")</f>
        <v/>
      </c>
      <c r="AI1715" s="47"/>
      <c r="AJ1715" s="47"/>
    </row>
    <row r="1716" spans="1:36">
      <c r="A1716" s="374" t="s">
        <v>2849</v>
      </c>
      <c r="B1716" s="374">
        <v>15</v>
      </c>
      <c r="C1716" s="374" t="s">
        <v>538</v>
      </c>
      <c r="D1716" s="375" t="str">
        <f t="shared" si="352"/>
        <v>Gateway Estate15</v>
      </c>
      <c r="E1716" s="375" t="s">
        <v>2853</v>
      </c>
      <c r="F1716" s="375" t="s">
        <v>2072</v>
      </c>
      <c r="G1716" s="375" t="s">
        <v>2730</v>
      </c>
      <c r="H1716" s="375" t="s">
        <v>2731</v>
      </c>
      <c r="I1716" s="63" t="s">
        <v>2732</v>
      </c>
      <c r="J1716" s="47"/>
      <c r="K1716" s="46" t="s">
        <v>10735</v>
      </c>
      <c r="L1716" s="47"/>
      <c r="M1716" s="47"/>
      <c r="N1716" s="47"/>
      <c r="O1716" s="47"/>
      <c r="P1716" s="47"/>
      <c r="Q1716" s="47">
        <f t="shared" si="354"/>
        <v>0</v>
      </c>
      <c r="R1716" s="47"/>
      <c r="S1716" s="47"/>
      <c r="T1716" s="47" t="s">
        <v>641</v>
      </c>
      <c r="U1716" s="47"/>
      <c r="V1716" s="47"/>
      <c r="W1716" s="47"/>
      <c r="X1716" s="47"/>
      <c r="Y1716" s="47"/>
      <c r="Z1716" s="47">
        <f t="shared" si="353"/>
        <v>4620</v>
      </c>
      <c r="AA1716" s="47"/>
      <c r="AB1716" s="47"/>
      <c r="AC1716" s="47"/>
      <c r="AD1716" s="47"/>
      <c r="AE1716" s="47"/>
      <c r="AF1716" s="47"/>
      <c r="AG1716" s="47"/>
      <c r="AH1716" s="47" t="str">
        <f>IFERROR(_xlfn.XLOOKUP(Table6[[#This Row],[Suburb]],Table5[Travel Surcharge],Table5[$$]),"")</f>
        <v/>
      </c>
      <c r="AI1716" s="47"/>
      <c r="AJ1716" s="47"/>
    </row>
    <row r="1717" spans="1:36">
      <c r="A1717" s="374" t="s">
        <v>2849</v>
      </c>
      <c r="B1717" s="374">
        <v>16</v>
      </c>
      <c r="C1717" s="374" t="s">
        <v>538</v>
      </c>
      <c r="D1717" s="375" t="str">
        <f t="shared" si="352"/>
        <v>Gateway Estate16</v>
      </c>
      <c r="E1717" s="375" t="s">
        <v>2854</v>
      </c>
      <c r="F1717" s="375" t="s">
        <v>2072</v>
      </c>
      <c r="G1717" s="375" t="s">
        <v>2730</v>
      </c>
      <c r="H1717" s="375" t="s">
        <v>2731</v>
      </c>
      <c r="I1717" s="63" t="s">
        <v>2732</v>
      </c>
      <c r="J1717" s="47"/>
      <c r="K1717" s="46" t="s">
        <v>10735</v>
      </c>
      <c r="L1717" s="47"/>
      <c r="M1717" s="47"/>
      <c r="N1717" s="47"/>
      <c r="O1717" s="47"/>
      <c r="P1717" s="47"/>
      <c r="Q1717" s="47">
        <f t="shared" si="354"/>
        <v>0</v>
      </c>
      <c r="R1717" s="47"/>
      <c r="S1717" s="47"/>
      <c r="T1717" s="47" t="s">
        <v>641</v>
      </c>
      <c r="U1717" s="47"/>
      <c r="V1717" s="47"/>
      <c r="W1717" s="47"/>
      <c r="X1717" s="47"/>
      <c r="Y1717" s="47"/>
      <c r="Z1717" s="47">
        <f t="shared" si="353"/>
        <v>4620</v>
      </c>
      <c r="AA1717" s="47"/>
      <c r="AB1717" s="47"/>
      <c r="AC1717" s="47"/>
      <c r="AD1717" s="47"/>
      <c r="AE1717" s="47"/>
      <c r="AF1717" s="47"/>
      <c r="AG1717" s="47"/>
      <c r="AH1717" s="47" t="str">
        <f>IFERROR(_xlfn.XLOOKUP(Table6[[#This Row],[Suburb]],Table5[Travel Surcharge],Table5[$$]),"")</f>
        <v/>
      </c>
      <c r="AI1717" s="47"/>
      <c r="AJ1717" s="47"/>
    </row>
    <row r="1718" spans="1:36">
      <c r="A1718" s="374" t="s">
        <v>2849</v>
      </c>
      <c r="B1718" s="374">
        <v>17</v>
      </c>
      <c r="C1718" s="374" t="s">
        <v>538</v>
      </c>
      <c r="D1718" s="375" t="str">
        <f t="shared" si="352"/>
        <v>Gateway Estate17</v>
      </c>
      <c r="E1718" s="375" t="s">
        <v>2855</v>
      </c>
      <c r="F1718" s="375" t="s">
        <v>2072</v>
      </c>
      <c r="G1718" s="375" t="s">
        <v>2730</v>
      </c>
      <c r="H1718" s="375" t="s">
        <v>2731</v>
      </c>
      <c r="I1718" s="63" t="s">
        <v>2732</v>
      </c>
      <c r="J1718" s="47"/>
      <c r="K1718" s="46" t="s">
        <v>10735</v>
      </c>
      <c r="L1718" s="47"/>
      <c r="M1718" s="47"/>
      <c r="N1718" s="47"/>
      <c r="O1718" s="47"/>
      <c r="P1718" s="47"/>
      <c r="Q1718" s="47">
        <f t="shared" si="354"/>
        <v>0</v>
      </c>
      <c r="R1718" s="47"/>
      <c r="S1718" s="47"/>
      <c r="T1718" s="47" t="s">
        <v>641</v>
      </c>
      <c r="U1718" s="47"/>
      <c r="V1718" s="47"/>
      <c r="W1718" s="47"/>
      <c r="X1718" s="47"/>
      <c r="Y1718" s="47"/>
      <c r="Z1718" s="47">
        <f t="shared" si="353"/>
        <v>4620</v>
      </c>
      <c r="AA1718" s="47"/>
      <c r="AB1718" s="47"/>
      <c r="AC1718" s="47"/>
      <c r="AD1718" s="47"/>
      <c r="AE1718" s="47"/>
      <c r="AF1718" s="47"/>
      <c r="AG1718" s="47"/>
      <c r="AH1718" s="47" t="str">
        <f>IFERROR(_xlfn.XLOOKUP(Table6[[#This Row],[Suburb]],Table5[Travel Surcharge],Table5[$$]),"")</f>
        <v/>
      </c>
      <c r="AI1718" s="47"/>
      <c r="AJ1718" s="47"/>
    </row>
    <row r="1719" spans="1:36">
      <c r="A1719" s="374" t="s">
        <v>2849</v>
      </c>
      <c r="B1719" s="374">
        <v>18</v>
      </c>
      <c r="C1719" s="374" t="s">
        <v>538</v>
      </c>
      <c r="D1719" s="375" t="str">
        <f t="shared" si="352"/>
        <v>Gateway Estate18</v>
      </c>
      <c r="E1719" s="375" t="s">
        <v>2856</v>
      </c>
      <c r="F1719" s="375" t="s">
        <v>2072</v>
      </c>
      <c r="G1719" s="375" t="s">
        <v>2730</v>
      </c>
      <c r="H1719" s="375" t="s">
        <v>2731</v>
      </c>
      <c r="I1719" s="63" t="s">
        <v>2732</v>
      </c>
      <c r="J1719" s="47"/>
      <c r="K1719" s="46" t="s">
        <v>10735</v>
      </c>
      <c r="L1719" s="47"/>
      <c r="M1719" s="47"/>
      <c r="N1719" s="47"/>
      <c r="O1719" s="47"/>
      <c r="P1719" s="47"/>
      <c r="Q1719" s="47">
        <f t="shared" si="354"/>
        <v>0</v>
      </c>
      <c r="R1719" s="47"/>
      <c r="S1719" s="47"/>
      <c r="T1719" s="47" t="s">
        <v>641</v>
      </c>
      <c r="U1719" s="47"/>
      <c r="V1719" s="47"/>
      <c r="W1719" s="47"/>
      <c r="X1719" s="47"/>
      <c r="Y1719" s="47"/>
      <c r="Z1719" s="47">
        <f t="shared" si="353"/>
        <v>4620</v>
      </c>
      <c r="AA1719" s="47"/>
      <c r="AB1719" s="47"/>
      <c r="AC1719" s="47"/>
      <c r="AD1719" s="47"/>
      <c r="AE1719" s="47"/>
      <c r="AF1719" s="47"/>
      <c r="AG1719" s="47"/>
      <c r="AH1719" s="47" t="str">
        <f>IFERROR(_xlfn.XLOOKUP(Table6[[#This Row],[Suburb]],Table5[Travel Surcharge],Table5[$$]),"")</f>
        <v/>
      </c>
      <c r="AI1719" s="47"/>
      <c r="AJ1719" s="47"/>
    </row>
    <row r="1720" spans="1:36">
      <c r="A1720" s="374" t="s">
        <v>2857</v>
      </c>
      <c r="B1720" s="374">
        <v>1</v>
      </c>
      <c r="C1720" s="374" t="s">
        <v>2060</v>
      </c>
      <c r="D1720" s="375" t="str">
        <f t="shared" si="352"/>
        <v>GEM Estate1</v>
      </c>
      <c r="E1720" s="375" t="s">
        <v>2858</v>
      </c>
      <c r="F1720" s="375" t="s">
        <v>2664</v>
      </c>
      <c r="G1720" s="375" t="s">
        <v>2859</v>
      </c>
      <c r="H1720" s="375" t="s">
        <v>2860</v>
      </c>
      <c r="I1720" s="63" t="s">
        <v>2861</v>
      </c>
      <c r="J1720" s="47">
        <f>J$7</f>
        <v>3740</v>
      </c>
      <c r="K1720" s="46" t="s">
        <v>10735</v>
      </c>
      <c r="L1720" s="47"/>
      <c r="M1720" s="47">
        <f>M$7</f>
        <v>1430.0000000000002</v>
      </c>
      <c r="N1720" s="47"/>
      <c r="O1720" s="47"/>
      <c r="P1720" s="47"/>
      <c r="Q1720" s="47"/>
      <c r="R1720" s="47"/>
      <c r="S1720" s="47"/>
      <c r="T1720" s="47">
        <f t="shared" ref="T1720:T1727" si="355">T$2</f>
        <v>780</v>
      </c>
      <c r="U1720" s="47"/>
      <c r="V1720" s="47"/>
      <c r="W1720" s="47"/>
      <c r="X1720" s="47"/>
      <c r="Y1720" s="47"/>
      <c r="Z1720" s="47">
        <f t="shared" si="353"/>
        <v>4620</v>
      </c>
      <c r="AA1720" s="47"/>
      <c r="AB1720" s="47"/>
      <c r="AC1720" s="47"/>
      <c r="AD1720" s="47"/>
      <c r="AE1720" s="47"/>
      <c r="AF1720" s="47">
        <f t="shared" ref="AF1720:AF1745" si="356">AF$7</f>
        <v>1485</v>
      </c>
      <c r="AG1720" s="47"/>
      <c r="AH1720" s="47" t="str">
        <f>IFERROR(_xlfn.XLOOKUP(Table6[[#This Row],[Suburb]],Table5[Travel Surcharge],Table5[$$]),"")</f>
        <v/>
      </c>
      <c r="AI1720" s="47"/>
      <c r="AJ1720" s="47"/>
    </row>
    <row r="1721" spans="1:36">
      <c r="A1721" s="374" t="s">
        <v>2857</v>
      </c>
      <c r="B1721" s="374">
        <v>2</v>
      </c>
      <c r="C1721" s="374" t="s">
        <v>2060</v>
      </c>
      <c r="D1721" s="375" t="str">
        <f t="shared" si="352"/>
        <v>GEM Estate2</v>
      </c>
      <c r="E1721" s="375"/>
      <c r="F1721" s="375" t="s">
        <v>2664</v>
      </c>
      <c r="G1721" s="375" t="s">
        <v>2859</v>
      </c>
      <c r="H1721" s="375" t="s">
        <v>2860</v>
      </c>
      <c r="I1721" s="63" t="s">
        <v>2861</v>
      </c>
      <c r="J1721" s="47">
        <f>J$7</f>
        <v>3740</v>
      </c>
      <c r="K1721" s="46" t="s">
        <v>10735</v>
      </c>
      <c r="L1721" s="47"/>
      <c r="M1721" s="47">
        <f>M$7</f>
        <v>1430.0000000000002</v>
      </c>
      <c r="N1721" s="47"/>
      <c r="O1721" s="47"/>
      <c r="P1721" s="47"/>
      <c r="Q1721" s="47"/>
      <c r="R1721" s="47"/>
      <c r="S1721" s="47"/>
      <c r="T1721" s="47">
        <f t="shared" si="355"/>
        <v>780</v>
      </c>
      <c r="U1721" s="47"/>
      <c r="V1721" s="47"/>
      <c r="W1721" s="47"/>
      <c r="X1721" s="47"/>
      <c r="Y1721" s="47"/>
      <c r="Z1721" s="47">
        <f t="shared" si="353"/>
        <v>4620</v>
      </c>
      <c r="AA1721" s="47"/>
      <c r="AB1721" s="47"/>
      <c r="AC1721" s="47"/>
      <c r="AD1721" s="47"/>
      <c r="AE1721" s="47"/>
      <c r="AF1721" s="47">
        <f t="shared" si="356"/>
        <v>1485</v>
      </c>
      <c r="AG1721" s="47"/>
      <c r="AH1721" s="47" t="str">
        <f>IFERROR(_xlfn.XLOOKUP(Table6[[#This Row],[Suburb]],Table5[Travel Surcharge],Table5[$$]),"")</f>
        <v/>
      </c>
      <c r="AI1721" s="47"/>
      <c r="AJ1721" s="47"/>
    </row>
    <row r="1722" spans="1:36">
      <c r="A1722" s="374" t="s">
        <v>2857</v>
      </c>
      <c r="B1722" s="374">
        <v>3</v>
      </c>
      <c r="C1722" s="374" t="s">
        <v>2060</v>
      </c>
      <c r="D1722" s="375" t="str">
        <f t="shared" si="352"/>
        <v>GEM Estate3</v>
      </c>
      <c r="E1722" s="375"/>
      <c r="F1722" s="375" t="s">
        <v>2664</v>
      </c>
      <c r="G1722" s="375" t="s">
        <v>2859</v>
      </c>
      <c r="H1722" s="375" t="s">
        <v>2860</v>
      </c>
      <c r="I1722" s="63" t="s">
        <v>2861</v>
      </c>
      <c r="J1722" s="47">
        <f>J$7</f>
        <v>3740</v>
      </c>
      <c r="K1722" s="46" t="s">
        <v>10735</v>
      </c>
      <c r="L1722" s="47"/>
      <c r="M1722" s="47">
        <f>M$7</f>
        <v>1430.0000000000002</v>
      </c>
      <c r="N1722" s="47"/>
      <c r="O1722" s="47"/>
      <c r="P1722" s="47"/>
      <c r="Q1722" s="47"/>
      <c r="R1722" s="47"/>
      <c r="S1722" s="47"/>
      <c r="T1722" s="47">
        <f t="shared" si="355"/>
        <v>780</v>
      </c>
      <c r="U1722" s="47"/>
      <c r="V1722" s="47"/>
      <c r="W1722" s="47"/>
      <c r="X1722" s="47"/>
      <c r="Y1722" s="47"/>
      <c r="Z1722" s="47">
        <f t="shared" si="353"/>
        <v>4620</v>
      </c>
      <c r="AA1722" s="47"/>
      <c r="AB1722" s="47"/>
      <c r="AC1722" s="47"/>
      <c r="AD1722" s="47"/>
      <c r="AE1722" s="47"/>
      <c r="AF1722" s="47">
        <f t="shared" si="356"/>
        <v>1485</v>
      </c>
      <c r="AG1722" s="47"/>
      <c r="AH1722" s="47" t="str">
        <f>IFERROR(_xlfn.XLOOKUP(Table6[[#This Row],[Suburb]],Table5[Travel Surcharge],Table5[$$]),"")</f>
        <v/>
      </c>
      <c r="AI1722" s="47"/>
      <c r="AJ1722" s="47"/>
    </row>
    <row r="1723" spans="1:36">
      <c r="A1723" s="374" t="s">
        <v>2857</v>
      </c>
      <c r="B1723" s="374">
        <v>4</v>
      </c>
      <c r="C1723" s="374" t="s">
        <v>2060</v>
      </c>
      <c r="D1723" s="375" t="str">
        <f t="shared" si="352"/>
        <v>GEM Estate4</v>
      </c>
      <c r="E1723" s="375" t="s">
        <v>2862</v>
      </c>
      <c r="F1723" s="375" t="s">
        <v>2664</v>
      </c>
      <c r="G1723" s="375" t="s">
        <v>2859</v>
      </c>
      <c r="H1723" s="375" t="s">
        <v>2860</v>
      </c>
      <c r="I1723" s="63" t="s">
        <v>2861</v>
      </c>
      <c r="J1723" s="47">
        <f>J$7</f>
        <v>3740</v>
      </c>
      <c r="K1723" s="46" t="s">
        <v>10735</v>
      </c>
      <c r="L1723" s="47"/>
      <c r="M1723" s="47">
        <f>M$7</f>
        <v>1430.0000000000002</v>
      </c>
      <c r="N1723" s="47"/>
      <c r="O1723" s="47"/>
      <c r="P1723" s="47"/>
      <c r="Q1723" s="47"/>
      <c r="R1723" s="47"/>
      <c r="S1723" s="47"/>
      <c r="T1723" s="47">
        <f t="shared" si="355"/>
        <v>780</v>
      </c>
      <c r="U1723" s="47"/>
      <c r="V1723" s="47"/>
      <c r="W1723" s="47"/>
      <c r="X1723" s="47"/>
      <c r="Y1723" s="47"/>
      <c r="Z1723" s="47">
        <f t="shared" si="353"/>
        <v>4620</v>
      </c>
      <c r="AA1723" s="47"/>
      <c r="AB1723" s="47"/>
      <c r="AC1723" s="47"/>
      <c r="AD1723" s="47"/>
      <c r="AE1723" s="47"/>
      <c r="AF1723" s="47">
        <f t="shared" si="356"/>
        <v>1485</v>
      </c>
      <c r="AG1723" s="47"/>
      <c r="AH1723" s="47" t="str">
        <f>IFERROR(_xlfn.XLOOKUP(Table6[[#This Row],[Suburb]],Table5[Travel Surcharge],Table5[$$]),"")</f>
        <v/>
      </c>
      <c r="AI1723" s="47"/>
      <c r="AJ1723" s="47"/>
    </row>
    <row r="1724" spans="1:36">
      <c r="A1724" s="374" t="s">
        <v>2863</v>
      </c>
      <c r="B1724" s="374">
        <v>3</v>
      </c>
      <c r="C1724" s="374" t="s">
        <v>2864</v>
      </c>
      <c r="D1724" s="375" t="str">
        <f t="shared" si="352"/>
        <v>Gen Fyansford3</v>
      </c>
      <c r="E1724" s="375" t="s">
        <v>2865</v>
      </c>
      <c r="F1724" s="375"/>
      <c r="G1724" s="375"/>
      <c r="H1724" s="375"/>
      <c r="I1724" s="63"/>
      <c r="J1724" s="47"/>
      <c r="K1724" s="46" t="s">
        <v>7938</v>
      </c>
      <c r="L1724" s="47">
        <f>L$7</f>
        <v>1210</v>
      </c>
      <c r="M1724" s="47"/>
      <c r="N1724" s="47" t="s">
        <v>2866</v>
      </c>
      <c r="O1724" s="47"/>
      <c r="P1724" s="47"/>
      <c r="Q1724" s="47"/>
      <c r="R1724" s="47"/>
      <c r="S1724" s="47"/>
      <c r="T1724" s="47">
        <f t="shared" si="355"/>
        <v>780</v>
      </c>
      <c r="U1724" s="47"/>
      <c r="V1724" s="47" t="str">
        <f>V$7</f>
        <v>$6/m2</v>
      </c>
      <c r="W1724" s="47"/>
      <c r="X1724" s="47" t="s">
        <v>2867</v>
      </c>
      <c r="Y1724" s="47"/>
      <c r="Z1724" s="47">
        <f t="shared" si="353"/>
        <v>4620</v>
      </c>
      <c r="AA1724" s="47" t="s">
        <v>2868</v>
      </c>
      <c r="AB1724" s="47"/>
      <c r="AC1724" s="47"/>
      <c r="AD1724" s="47"/>
      <c r="AE1724" s="47"/>
      <c r="AF1724" s="47">
        <f t="shared" si="356"/>
        <v>1485</v>
      </c>
      <c r="AG1724" s="47"/>
      <c r="AH1724" s="47" t="str">
        <f>IFERROR(_xlfn.XLOOKUP(Table6[[#This Row],[Suburb]],Table5[Travel Surcharge],Table5[$$]),"")</f>
        <v/>
      </c>
      <c r="AI1724" s="47"/>
      <c r="AJ1724" s="47"/>
    </row>
    <row r="1725" spans="1:36">
      <c r="A1725" s="157" t="s">
        <v>2863</v>
      </c>
      <c r="B1725" s="157">
        <v>3.2</v>
      </c>
      <c r="C1725" s="157" t="s">
        <v>2864</v>
      </c>
      <c r="D1725" s="375" t="str">
        <f t="shared" si="352"/>
        <v>Gen Fyansford3.2</v>
      </c>
      <c r="E1725" s="375" t="s">
        <v>7983</v>
      </c>
      <c r="F1725" s="375"/>
      <c r="G1725" s="375"/>
      <c r="H1725" s="375"/>
      <c r="I1725" s="63"/>
      <c r="J1725" s="47"/>
      <c r="K1725" s="46" t="s">
        <v>7938</v>
      </c>
      <c r="L1725" s="47">
        <f>L$7</f>
        <v>1210</v>
      </c>
      <c r="M1725" s="47"/>
      <c r="N1725" s="47" t="s">
        <v>2866</v>
      </c>
      <c r="O1725" s="47"/>
      <c r="P1725" s="47"/>
      <c r="Q1725" s="47"/>
      <c r="R1725" s="47"/>
      <c r="S1725" s="47"/>
      <c r="T1725" s="47">
        <f t="shared" si="355"/>
        <v>780</v>
      </c>
      <c r="U1725" s="47"/>
      <c r="V1725" s="47" t="str">
        <f>V$7</f>
        <v>$6/m2</v>
      </c>
      <c r="W1725" s="47"/>
      <c r="X1725" s="47" t="s">
        <v>2867</v>
      </c>
      <c r="Y1725" s="47"/>
      <c r="Z1725" s="47">
        <f t="shared" si="353"/>
        <v>4620</v>
      </c>
      <c r="AA1725" s="47" t="s">
        <v>2868</v>
      </c>
      <c r="AB1725" s="47"/>
      <c r="AC1725" s="47"/>
      <c r="AD1725" s="47"/>
      <c r="AE1725" s="47"/>
      <c r="AF1725" s="47">
        <f t="shared" si="356"/>
        <v>1485</v>
      </c>
      <c r="AG1725" s="47"/>
      <c r="AH1725" s="47" t="str">
        <f>IFERROR(_xlfn.XLOOKUP(Table6[[#This Row],[Suburb]],Table5[Travel Surcharge],Table5[$$]),"")</f>
        <v/>
      </c>
      <c r="AI1725" s="47"/>
      <c r="AJ1725" s="47"/>
    </row>
    <row r="1726" spans="1:36">
      <c r="A1726" s="374" t="s">
        <v>2863</v>
      </c>
      <c r="B1726" s="374">
        <v>3.3</v>
      </c>
      <c r="C1726" s="374" t="s">
        <v>2864</v>
      </c>
      <c r="D1726" s="375" t="str">
        <f t="shared" si="352"/>
        <v>Gen Fyansford3.3</v>
      </c>
      <c r="E1726" s="375" t="s">
        <v>2869</v>
      </c>
      <c r="F1726" s="375"/>
      <c r="G1726" s="375"/>
      <c r="H1726" s="375"/>
      <c r="I1726" s="63"/>
      <c r="J1726" s="47"/>
      <c r="K1726" s="46" t="s">
        <v>7938</v>
      </c>
      <c r="L1726" s="47">
        <f>L$7</f>
        <v>1210</v>
      </c>
      <c r="M1726" s="47"/>
      <c r="N1726" s="47" t="s">
        <v>2866</v>
      </c>
      <c r="O1726" s="47"/>
      <c r="P1726" s="47"/>
      <c r="Q1726" s="47"/>
      <c r="R1726" s="47"/>
      <c r="S1726" s="47"/>
      <c r="T1726" s="47">
        <f t="shared" si="355"/>
        <v>780</v>
      </c>
      <c r="U1726" s="47"/>
      <c r="V1726" s="47" t="str">
        <f>V$7</f>
        <v>$6/m2</v>
      </c>
      <c r="W1726" s="47"/>
      <c r="X1726" s="47" t="s">
        <v>2867</v>
      </c>
      <c r="Y1726" s="47"/>
      <c r="Z1726" s="47">
        <f t="shared" si="353"/>
        <v>4620</v>
      </c>
      <c r="AA1726" s="47" t="s">
        <v>2868</v>
      </c>
      <c r="AB1726" s="47"/>
      <c r="AC1726" s="47"/>
      <c r="AD1726" s="47"/>
      <c r="AE1726" s="47"/>
      <c r="AF1726" s="47">
        <f t="shared" si="356"/>
        <v>1485</v>
      </c>
      <c r="AG1726" s="47"/>
      <c r="AH1726" s="47" t="str">
        <f>IFERROR(_xlfn.XLOOKUP(Table6[[#This Row],[Suburb]],Table5[Travel Surcharge],Table5[$$]),"")</f>
        <v/>
      </c>
      <c r="AI1726" s="47"/>
      <c r="AJ1726" s="47"/>
    </row>
    <row r="1727" spans="1:36">
      <c r="A1727" s="374" t="s">
        <v>2863</v>
      </c>
      <c r="B1727" s="374" t="s">
        <v>750</v>
      </c>
      <c r="C1727" s="374" t="s">
        <v>2864</v>
      </c>
      <c r="D1727" s="375" t="str">
        <f t="shared" si="352"/>
        <v>Gen Fyansford8B</v>
      </c>
      <c r="E1727" s="375" t="s">
        <v>2870</v>
      </c>
      <c r="F1727" s="375"/>
      <c r="G1727" s="375"/>
      <c r="H1727" s="375"/>
      <c r="I1727" s="63"/>
      <c r="J1727" s="47"/>
      <c r="K1727" s="46" t="s">
        <v>7938</v>
      </c>
      <c r="L1727" s="47">
        <f>L$7</f>
        <v>1210</v>
      </c>
      <c r="M1727" s="47"/>
      <c r="N1727" s="47" t="s">
        <v>2866</v>
      </c>
      <c r="O1727" s="47"/>
      <c r="P1727" s="47"/>
      <c r="Q1727" s="47"/>
      <c r="R1727" s="47"/>
      <c r="S1727" s="47"/>
      <c r="T1727" s="47">
        <f t="shared" si="355"/>
        <v>780</v>
      </c>
      <c r="U1727" s="47"/>
      <c r="V1727" s="47" t="str">
        <f>V$7</f>
        <v>$6/m2</v>
      </c>
      <c r="W1727" s="47"/>
      <c r="X1727" s="47" t="s">
        <v>2867</v>
      </c>
      <c r="Y1727" s="47"/>
      <c r="Z1727" s="47">
        <f t="shared" si="353"/>
        <v>4620</v>
      </c>
      <c r="AA1727" s="47" t="s">
        <v>2868</v>
      </c>
      <c r="AB1727" s="47"/>
      <c r="AC1727" s="47"/>
      <c r="AD1727" s="47"/>
      <c r="AE1727" s="47"/>
      <c r="AF1727" s="47">
        <f t="shared" si="356"/>
        <v>1485</v>
      </c>
      <c r="AG1727" s="47"/>
      <c r="AH1727" s="47" t="str">
        <f>IFERROR(_xlfn.XLOOKUP(Table6[[#This Row],[Suburb]],Table5[Travel Surcharge],Table5[$$]),"")</f>
        <v/>
      </c>
      <c r="AI1727" s="47"/>
      <c r="AJ1727" s="47"/>
    </row>
    <row r="1728" spans="1:36">
      <c r="A1728" s="374" t="s">
        <v>2871</v>
      </c>
      <c r="B1728" s="374"/>
      <c r="C1728" s="374" t="s">
        <v>2060</v>
      </c>
      <c r="D1728" s="375" t="str">
        <f t="shared" si="352"/>
        <v>Girvan Place</v>
      </c>
      <c r="E1728" s="375" t="s">
        <v>2872</v>
      </c>
      <c r="F1728" s="375"/>
      <c r="G1728" s="375"/>
      <c r="H1728" s="375"/>
      <c r="I1728" s="63" t="s">
        <v>2873</v>
      </c>
      <c r="J1728" s="47"/>
      <c r="K1728" s="46" t="s">
        <v>7938</v>
      </c>
      <c r="L1728" s="47" t="s">
        <v>2874</v>
      </c>
      <c r="M1728" s="47">
        <f>M$7</f>
        <v>1430.0000000000002</v>
      </c>
      <c r="N1728" s="47"/>
      <c r="O1728" s="47"/>
      <c r="P1728" s="47"/>
      <c r="Q1728" s="47"/>
      <c r="R1728" s="47"/>
      <c r="S1728" s="47"/>
      <c r="T1728" s="47"/>
      <c r="U1728" s="47">
        <f t="shared" ref="U1728:U1741" si="357">U$2</f>
        <v>430</v>
      </c>
      <c r="V1728" s="47"/>
      <c r="W1728" s="47"/>
      <c r="X1728" s="47"/>
      <c r="Y1728" s="47"/>
      <c r="Z1728" s="47">
        <f t="shared" si="353"/>
        <v>4620</v>
      </c>
      <c r="AA1728" s="47"/>
      <c r="AB1728" s="47"/>
      <c r="AC1728" s="47"/>
      <c r="AD1728" s="47"/>
      <c r="AE1728" s="47"/>
      <c r="AF1728" s="47">
        <f t="shared" si="356"/>
        <v>1485</v>
      </c>
      <c r="AG1728" s="47"/>
      <c r="AH1728" s="47" t="str">
        <f>IFERROR(_xlfn.XLOOKUP(Table6[[#This Row],[Suburb]],Table5[Travel Surcharge],Table5[$$]),"")</f>
        <v/>
      </c>
      <c r="AI1728" s="47"/>
      <c r="AJ1728" s="47"/>
    </row>
    <row r="1729" spans="1:36">
      <c r="A1729" s="374" t="s">
        <v>2875</v>
      </c>
      <c r="B1729" s="374">
        <v>1</v>
      </c>
      <c r="C1729" s="374" t="s">
        <v>281</v>
      </c>
      <c r="D1729" s="375" t="str">
        <f t="shared" si="352"/>
        <v>Glenlee1</v>
      </c>
      <c r="E1729" s="375" t="s">
        <v>2876</v>
      </c>
      <c r="F1729" s="375"/>
      <c r="G1729" s="375"/>
      <c r="H1729" s="375"/>
      <c r="I1729" s="63"/>
      <c r="J1729" s="47">
        <f t="shared" ref="J1729:J1745" si="358">J$7</f>
        <v>3740</v>
      </c>
      <c r="K1729" s="46" t="s">
        <v>10735</v>
      </c>
      <c r="L1729" s="47">
        <f t="shared" ref="L1729:L1745" si="359">L$7</f>
        <v>1210</v>
      </c>
      <c r="M1729" s="47" t="s">
        <v>2877</v>
      </c>
      <c r="N1729" s="47"/>
      <c r="O1729" s="47"/>
      <c r="P1729" s="47"/>
      <c r="Q1729" s="47"/>
      <c r="R1729" s="47"/>
      <c r="S1729" s="47"/>
      <c r="T1729" s="47" t="s">
        <v>2878</v>
      </c>
      <c r="U1729" s="47">
        <f t="shared" si="357"/>
        <v>430</v>
      </c>
      <c r="V1729" s="47"/>
      <c r="W1729" s="47"/>
      <c r="X1729" s="47"/>
      <c r="Y1729" s="47"/>
      <c r="Z1729" s="47">
        <f t="shared" si="353"/>
        <v>4620</v>
      </c>
      <c r="AA1729" s="47"/>
      <c r="AB1729" s="47"/>
      <c r="AC1729" s="47"/>
      <c r="AD1729" s="47"/>
      <c r="AE1729" s="47"/>
      <c r="AF1729" s="47">
        <f t="shared" si="356"/>
        <v>1485</v>
      </c>
      <c r="AG1729" s="47"/>
      <c r="AH1729" s="47">
        <f>IFERROR(_xlfn.XLOOKUP(Table6[[#This Row],[Suburb]],Table5[Travel Surcharge],Table5[$$]),"")</f>
        <v>1500</v>
      </c>
      <c r="AI1729" s="47"/>
      <c r="AJ1729" s="47"/>
    </row>
    <row r="1730" spans="1:36">
      <c r="A1730" s="374" t="s">
        <v>2875</v>
      </c>
      <c r="B1730" s="374">
        <v>2</v>
      </c>
      <c r="C1730" s="374" t="s">
        <v>281</v>
      </c>
      <c r="D1730" s="375" t="str">
        <f t="shared" si="352"/>
        <v>Glenlee2</v>
      </c>
      <c r="E1730" s="375" t="s">
        <v>2879</v>
      </c>
      <c r="F1730" s="375"/>
      <c r="G1730" s="375"/>
      <c r="H1730" s="375"/>
      <c r="I1730" s="63"/>
      <c r="J1730" s="47">
        <f t="shared" si="358"/>
        <v>3740</v>
      </c>
      <c r="K1730" s="46" t="s">
        <v>10735</v>
      </c>
      <c r="L1730" s="47">
        <f t="shared" si="359"/>
        <v>1210</v>
      </c>
      <c r="M1730" s="47" t="s">
        <v>2877</v>
      </c>
      <c r="N1730" s="47"/>
      <c r="O1730" s="47"/>
      <c r="P1730" s="47"/>
      <c r="Q1730" s="47"/>
      <c r="R1730" s="47"/>
      <c r="S1730" s="47"/>
      <c r="T1730" s="47" t="s">
        <v>2878</v>
      </c>
      <c r="U1730" s="47">
        <f t="shared" si="357"/>
        <v>430</v>
      </c>
      <c r="V1730" s="47"/>
      <c r="W1730" s="47"/>
      <c r="X1730" s="47"/>
      <c r="Y1730" s="47"/>
      <c r="Z1730" s="47">
        <f t="shared" si="353"/>
        <v>4620</v>
      </c>
      <c r="AA1730" s="47"/>
      <c r="AB1730" s="47"/>
      <c r="AC1730" s="47"/>
      <c r="AD1730" s="47"/>
      <c r="AE1730" s="47"/>
      <c r="AF1730" s="47">
        <f t="shared" si="356"/>
        <v>1485</v>
      </c>
      <c r="AG1730" s="47"/>
      <c r="AH1730" s="47">
        <f>IFERROR(_xlfn.XLOOKUP(Table6[[#This Row],[Suburb]],Table5[Travel Surcharge],Table5[$$]),"")</f>
        <v>1500</v>
      </c>
      <c r="AI1730" s="47"/>
      <c r="AJ1730" s="47"/>
    </row>
    <row r="1731" spans="1:36">
      <c r="A1731" s="374" t="s">
        <v>2875</v>
      </c>
      <c r="B1731" s="374">
        <v>3</v>
      </c>
      <c r="C1731" s="374" t="s">
        <v>281</v>
      </c>
      <c r="D1731" s="375" t="str">
        <f t="shared" si="352"/>
        <v>Glenlee3</v>
      </c>
      <c r="E1731" s="375" t="s">
        <v>2880</v>
      </c>
      <c r="F1731" s="375"/>
      <c r="G1731" s="375"/>
      <c r="H1731" s="375"/>
      <c r="I1731" s="63"/>
      <c r="J1731" s="47">
        <f t="shared" si="358"/>
        <v>3740</v>
      </c>
      <c r="K1731" s="46" t="s">
        <v>10735</v>
      </c>
      <c r="L1731" s="47">
        <f t="shared" si="359"/>
        <v>1210</v>
      </c>
      <c r="M1731" s="47" t="s">
        <v>2877</v>
      </c>
      <c r="N1731" s="47"/>
      <c r="O1731" s="47"/>
      <c r="P1731" s="47"/>
      <c r="Q1731" s="47"/>
      <c r="R1731" s="47"/>
      <c r="S1731" s="47"/>
      <c r="T1731" s="47" t="s">
        <v>2878</v>
      </c>
      <c r="U1731" s="47">
        <f t="shared" si="357"/>
        <v>430</v>
      </c>
      <c r="V1731" s="47"/>
      <c r="W1731" s="47"/>
      <c r="X1731" s="47"/>
      <c r="Y1731" s="47"/>
      <c r="Z1731" s="47">
        <f t="shared" si="353"/>
        <v>4620</v>
      </c>
      <c r="AA1731" s="47"/>
      <c r="AB1731" s="47"/>
      <c r="AC1731" s="47"/>
      <c r="AD1731" s="47"/>
      <c r="AE1731" s="47"/>
      <c r="AF1731" s="47">
        <f t="shared" si="356"/>
        <v>1485</v>
      </c>
      <c r="AG1731" s="47"/>
      <c r="AH1731" s="47">
        <f>IFERROR(_xlfn.XLOOKUP(Table6[[#This Row],[Suburb]],Table5[Travel Surcharge],Table5[$$]),"")</f>
        <v>1500</v>
      </c>
      <c r="AI1731" s="47"/>
      <c r="AJ1731" s="47"/>
    </row>
    <row r="1732" spans="1:36">
      <c r="A1732" s="374" t="s">
        <v>2875</v>
      </c>
      <c r="B1732" s="374">
        <v>4</v>
      </c>
      <c r="C1732" s="374" t="s">
        <v>281</v>
      </c>
      <c r="D1732" s="375" t="str">
        <f t="shared" si="352"/>
        <v>Glenlee4</v>
      </c>
      <c r="E1732" s="375" t="s">
        <v>2881</v>
      </c>
      <c r="F1732" s="375"/>
      <c r="G1732" s="375"/>
      <c r="H1732" s="375"/>
      <c r="I1732" s="63"/>
      <c r="J1732" s="47">
        <f t="shared" si="358"/>
        <v>3740</v>
      </c>
      <c r="K1732" s="46" t="s">
        <v>10735</v>
      </c>
      <c r="L1732" s="47">
        <f t="shared" si="359"/>
        <v>1210</v>
      </c>
      <c r="M1732" s="47" t="s">
        <v>2877</v>
      </c>
      <c r="N1732" s="47"/>
      <c r="O1732" s="47"/>
      <c r="P1732" s="47"/>
      <c r="Q1732" s="47"/>
      <c r="R1732" s="47"/>
      <c r="S1732" s="47"/>
      <c r="T1732" s="47" t="s">
        <v>2878</v>
      </c>
      <c r="U1732" s="47">
        <f t="shared" si="357"/>
        <v>430</v>
      </c>
      <c r="V1732" s="47"/>
      <c r="W1732" s="47"/>
      <c r="X1732" s="47"/>
      <c r="Y1732" s="47"/>
      <c r="Z1732" s="47">
        <f t="shared" si="353"/>
        <v>4620</v>
      </c>
      <c r="AA1732" s="47"/>
      <c r="AB1732" s="47"/>
      <c r="AC1732" s="47"/>
      <c r="AD1732" s="47"/>
      <c r="AE1732" s="47"/>
      <c r="AF1732" s="47">
        <f t="shared" si="356"/>
        <v>1485</v>
      </c>
      <c r="AG1732" s="47"/>
      <c r="AH1732" s="47">
        <f>IFERROR(_xlfn.XLOOKUP(Table6[[#This Row],[Suburb]],Table5[Travel Surcharge],Table5[$$]),"")</f>
        <v>1500</v>
      </c>
      <c r="AI1732" s="47"/>
      <c r="AJ1732" s="47"/>
    </row>
    <row r="1733" spans="1:36">
      <c r="A1733" s="374" t="s">
        <v>2875</v>
      </c>
      <c r="B1733" s="374">
        <v>5</v>
      </c>
      <c r="C1733" s="374" t="s">
        <v>281</v>
      </c>
      <c r="D1733" s="375" t="str">
        <f t="shared" si="352"/>
        <v>Glenlee5</v>
      </c>
      <c r="E1733" s="375" t="s">
        <v>2882</v>
      </c>
      <c r="F1733" s="375"/>
      <c r="G1733" s="375"/>
      <c r="H1733" s="375"/>
      <c r="I1733" s="63"/>
      <c r="J1733" s="47">
        <f t="shared" si="358"/>
        <v>3740</v>
      </c>
      <c r="K1733" s="46" t="s">
        <v>10735</v>
      </c>
      <c r="L1733" s="47">
        <f t="shared" si="359"/>
        <v>1210</v>
      </c>
      <c r="M1733" s="47" t="s">
        <v>2877</v>
      </c>
      <c r="N1733" s="47"/>
      <c r="O1733" s="47"/>
      <c r="P1733" s="47"/>
      <c r="Q1733" s="47"/>
      <c r="R1733" s="47"/>
      <c r="S1733" s="47"/>
      <c r="T1733" s="47" t="s">
        <v>2878</v>
      </c>
      <c r="U1733" s="47">
        <f t="shared" si="357"/>
        <v>430</v>
      </c>
      <c r="V1733" s="47"/>
      <c r="W1733" s="47"/>
      <c r="X1733" s="47"/>
      <c r="Y1733" s="47"/>
      <c r="Z1733" s="47">
        <f t="shared" si="353"/>
        <v>4620</v>
      </c>
      <c r="AA1733" s="47"/>
      <c r="AB1733" s="47"/>
      <c r="AC1733" s="47"/>
      <c r="AD1733" s="47"/>
      <c r="AE1733" s="47"/>
      <c r="AF1733" s="47">
        <f t="shared" si="356"/>
        <v>1485</v>
      </c>
      <c r="AG1733" s="47"/>
      <c r="AH1733" s="47">
        <f>IFERROR(_xlfn.XLOOKUP(Table6[[#This Row],[Suburb]],Table5[Travel Surcharge],Table5[$$]),"")</f>
        <v>1500</v>
      </c>
      <c r="AI1733" s="47"/>
      <c r="AJ1733" s="47"/>
    </row>
    <row r="1734" spans="1:36">
      <c r="A1734" s="374" t="s">
        <v>2875</v>
      </c>
      <c r="B1734" s="374">
        <v>6</v>
      </c>
      <c r="C1734" s="374" t="s">
        <v>281</v>
      </c>
      <c r="D1734" s="375" t="str">
        <f t="shared" si="352"/>
        <v>Glenlee6</v>
      </c>
      <c r="E1734" s="375" t="s">
        <v>2883</v>
      </c>
      <c r="F1734" s="375"/>
      <c r="G1734" s="375"/>
      <c r="H1734" s="375"/>
      <c r="I1734" s="63"/>
      <c r="J1734" s="47">
        <f t="shared" si="358"/>
        <v>3740</v>
      </c>
      <c r="K1734" s="46" t="s">
        <v>10735</v>
      </c>
      <c r="L1734" s="47">
        <f t="shared" si="359"/>
        <v>1210</v>
      </c>
      <c r="M1734" s="47" t="s">
        <v>2877</v>
      </c>
      <c r="N1734" s="47"/>
      <c r="O1734" s="47"/>
      <c r="P1734" s="47"/>
      <c r="Q1734" s="47"/>
      <c r="R1734" s="47"/>
      <c r="S1734" s="47"/>
      <c r="T1734" s="47" t="s">
        <v>2878</v>
      </c>
      <c r="U1734" s="47">
        <f t="shared" si="357"/>
        <v>430</v>
      </c>
      <c r="V1734" s="47"/>
      <c r="W1734" s="47"/>
      <c r="X1734" s="47"/>
      <c r="Y1734" s="47"/>
      <c r="Z1734" s="47">
        <f t="shared" si="353"/>
        <v>4620</v>
      </c>
      <c r="AA1734" s="47"/>
      <c r="AB1734" s="47"/>
      <c r="AC1734" s="47"/>
      <c r="AD1734" s="47"/>
      <c r="AE1734" s="47"/>
      <c r="AF1734" s="47">
        <f t="shared" si="356"/>
        <v>1485</v>
      </c>
      <c r="AG1734" s="47"/>
      <c r="AH1734" s="47">
        <f>IFERROR(_xlfn.XLOOKUP(Table6[[#This Row],[Suburb]],Table5[Travel Surcharge],Table5[$$]),"")</f>
        <v>1500</v>
      </c>
      <c r="AI1734" s="47"/>
      <c r="AJ1734" s="47"/>
    </row>
    <row r="1735" spans="1:36">
      <c r="A1735" s="374" t="s">
        <v>2875</v>
      </c>
      <c r="B1735" s="374">
        <v>7</v>
      </c>
      <c r="C1735" s="374" t="s">
        <v>281</v>
      </c>
      <c r="D1735" s="375" t="str">
        <f t="shared" si="352"/>
        <v>Glenlee7</v>
      </c>
      <c r="E1735" s="375" t="s">
        <v>2884</v>
      </c>
      <c r="F1735" s="375"/>
      <c r="G1735" s="375"/>
      <c r="H1735" s="375"/>
      <c r="I1735" s="63"/>
      <c r="J1735" s="47">
        <f t="shared" si="358"/>
        <v>3740</v>
      </c>
      <c r="K1735" s="46" t="s">
        <v>10735</v>
      </c>
      <c r="L1735" s="47">
        <f t="shared" si="359"/>
        <v>1210</v>
      </c>
      <c r="M1735" s="47" t="s">
        <v>2877</v>
      </c>
      <c r="N1735" s="47"/>
      <c r="O1735" s="47"/>
      <c r="P1735" s="47"/>
      <c r="Q1735" s="47"/>
      <c r="R1735" s="47"/>
      <c r="S1735" s="47"/>
      <c r="T1735" s="47" t="s">
        <v>2878</v>
      </c>
      <c r="U1735" s="47">
        <f t="shared" si="357"/>
        <v>430</v>
      </c>
      <c r="V1735" s="47"/>
      <c r="W1735" s="47"/>
      <c r="X1735" s="47"/>
      <c r="Y1735" s="47"/>
      <c r="Z1735" s="47">
        <f t="shared" si="353"/>
        <v>4620</v>
      </c>
      <c r="AA1735" s="47"/>
      <c r="AB1735" s="47"/>
      <c r="AC1735" s="47"/>
      <c r="AD1735" s="47"/>
      <c r="AE1735" s="47"/>
      <c r="AF1735" s="47">
        <f t="shared" si="356"/>
        <v>1485</v>
      </c>
      <c r="AG1735" s="47"/>
      <c r="AH1735" s="47">
        <f>IFERROR(_xlfn.XLOOKUP(Table6[[#This Row],[Suburb]],Table5[Travel Surcharge],Table5[$$]),"")</f>
        <v>1500</v>
      </c>
      <c r="AI1735" s="47"/>
      <c r="AJ1735" s="47"/>
    </row>
    <row r="1736" spans="1:36">
      <c r="A1736" s="374" t="s">
        <v>2875</v>
      </c>
      <c r="B1736" s="374">
        <v>8</v>
      </c>
      <c r="C1736" s="374" t="s">
        <v>281</v>
      </c>
      <c r="D1736" s="375" t="str">
        <f t="shared" si="352"/>
        <v>Glenlee8</v>
      </c>
      <c r="E1736" s="375" t="s">
        <v>2885</v>
      </c>
      <c r="F1736" s="375"/>
      <c r="G1736" s="375"/>
      <c r="H1736" s="375"/>
      <c r="I1736" s="63"/>
      <c r="J1736" s="47">
        <f t="shared" si="358"/>
        <v>3740</v>
      </c>
      <c r="K1736" s="46" t="s">
        <v>10735</v>
      </c>
      <c r="L1736" s="47">
        <f t="shared" si="359"/>
        <v>1210</v>
      </c>
      <c r="M1736" s="47" t="s">
        <v>2877</v>
      </c>
      <c r="N1736" s="47"/>
      <c r="O1736" s="47"/>
      <c r="P1736" s="47"/>
      <c r="Q1736" s="47"/>
      <c r="R1736" s="47"/>
      <c r="S1736" s="47"/>
      <c r="T1736" s="47" t="s">
        <v>2878</v>
      </c>
      <c r="U1736" s="47">
        <f t="shared" si="357"/>
        <v>430</v>
      </c>
      <c r="V1736" s="47"/>
      <c r="W1736" s="47"/>
      <c r="X1736" s="47"/>
      <c r="Y1736" s="47"/>
      <c r="Z1736" s="47">
        <f t="shared" si="353"/>
        <v>4620</v>
      </c>
      <c r="AA1736" s="47"/>
      <c r="AB1736" s="47"/>
      <c r="AC1736" s="47"/>
      <c r="AD1736" s="47"/>
      <c r="AE1736" s="47"/>
      <c r="AF1736" s="47">
        <f t="shared" si="356"/>
        <v>1485</v>
      </c>
      <c r="AG1736" s="47"/>
      <c r="AH1736" s="47">
        <f>IFERROR(_xlfn.XLOOKUP(Table6[[#This Row],[Suburb]],Table5[Travel Surcharge],Table5[$$]),"")</f>
        <v>1500</v>
      </c>
      <c r="AI1736" s="47"/>
      <c r="AJ1736" s="47"/>
    </row>
    <row r="1737" spans="1:36">
      <c r="A1737" s="374" t="s">
        <v>2875</v>
      </c>
      <c r="B1737" s="374">
        <v>9</v>
      </c>
      <c r="C1737" s="374" t="s">
        <v>281</v>
      </c>
      <c r="D1737" s="375" t="str">
        <f t="shared" si="352"/>
        <v>Glenlee9</v>
      </c>
      <c r="E1737" s="375" t="s">
        <v>2886</v>
      </c>
      <c r="F1737" s="375"/>
      <c r="G1737" s="375"/>
      <c r="H1737" s="375"/>
      <c r="I1737" s="63"/>
      <c r="J1737" s="47">
        <f t="shared" si="358"/>
        <v>3740</v>
      </c>
      <c r="K1737" s="46" t="s">
        <v>10735</v>
      </c>
      <c r="L1737" s="47">
        <f t="shared" si="359"/>
        <v>1210</v>
      </c>
      <c r="M1737" s="47" t="s">
        <v>2877</v>
      </c>
      <c r="N1737" s="47"/>
      <c r="O1737" s="47"/>
      <c r="P1737" s="47"/>
      <c r="Q1737" s="47"/>
      <c r="R1737" s="47"/>
      <c r="S1737" s="47"/>
      <c r="T1737" s="47" t="s">
        <v>2878</v>
      </c>
      <c r="U1737" s="47">
        <f t="shared" si="357"/>
        <v>430</v>
      </c>
      <c r="V1737" s="47"/>
      <c r="W1737" s="47"/>
      <c r="X1737" s="47"/>
      <c r="Y1737" s="47"/>
      <c r="Z1737" s="47">
        <f t="shared" si="353"/>
        <v>4620</v>
      </c>
      <c r="AA1737" s="47"/>
      <c r="AB1737" s="47"/>
      <c r="AC1737" s="47"/>
      <c r="AD1737" s="47"/>
      <c r="AE1737" s="47"/>
      <c r="AF1737" s="47">
        <f t="shared" si="356"/>
        <v>1485</v>
      </c>
      <c r="AG1737" s="47"/>
      <c r="AH1737" s="47">
        <f>IFERROR(_xlfn.XLOOKUP(Table6[[#This Row],[Suburb]],Table5[Travel Surcharge],Table5[$$]),"")</f>
        <v>1500</v>
      </c>
      <c r="AI1737" s="47"/>
      <c r="AJ1737" s="47"/>
    </row>
    <row r="1738" spans="1:36">
      <c r="A1738" s="374" t="s">
        <v>2875</v>
      </c>
      <c r="B1738" s="374">
        <v>10</v>
      </c>
      <c r="C1738" s="374" t="s">
        <v>281</v>
      </c>
      <c r="D1738" s="375" t="str">
        <f t="shared" ref="D1738:D1775" si="360">CONCATENATE(A1738,B1738)</f>
        <v>Glenlee10</v>
      </c>
      <c r="E1738" s="375" t="s">
        <v>2887</v>
      </c>
      <c r="F1738" s="375"/>
      <c r="G1738" s="375"/>
      <c r="H1738" s="375"/>
      <c r="I1738" s="63"/>
      <c r="J1738" s="47">
        <f t="shared" si="358"/>
        <v>3740</v>
      </c>
      <c r="K1738" s="46" t="s">
        <v>10735</v>
      </c>
      <c r="L1738" s="47">
        <f t="shared" si="359"/>
        <v>1210</v>
      </c>
      <c r="M1738" s="47" t="s">
        <v>2877</v>
      </c>
      <c r="N1738" s="47"/>
      <c r="O1738" s="47"/>
      <c r="P1738" s="47"/>
      <c r="Q1738" s="47"/>
      <c r="R1738" s="47"/>
      <c r="S1738" s="47"/>
      <c r="T1738" s="47" t="s">
        <v>2878</v>
      </c>
      <c r="U1738" s="47">
        <f t="shared" si="357"/>
        <v>430</v>
      </c>
      <c r="V1738" s="47"/>
      <c r="W1738" s="47"/>
      <c r="X1738" s="47"/>
      <c r="Y1738" s="47"/>
      <c r="Z1738" s="47">
        <f t="shared" ref="Z1738:Z1775" si="361">Z$7</f>
        <v>4620</v>
      </c>
      <c r="AA1738" s="47"/>
      <c r="AB1738" s="47"/>
      <c r="AC1738" s="47"/>
      <c r="AD1738" s="47"/>
      <c r="AE1738" s="47"/>
      <c r="AF1738" s="47">
        <f t="shared" si="356"/>
        <v>1485</v>
      </c>
      <c r="AG1738" s="47"/>
      <c r="AH1738" s="47">
        <f>IFERROR(_xlfn.XLOOKUP(Table6[[#This Row],[Suburb]],Table5[Travel Surcharge],Table5[$$]),"")</f>
        <v>1500</v>
      </c>
      <c r="AI1738" s="47"/>
      <c r="AJ1738" s="47"/>
    </row>
    <row r="1739" spans="1:36">
      <c r="A1739" s="374" t="s">
        <v>2875</v>
      </c>
      <c r="B1739" s="374">
        <v>11</v>
      </c>
      <c r="C1739" s="374" t="s">
        <v>281</v>
      </c>
      <c r="D1739" s="375" t="str">
        <f t="shared" si="360"/>
        <v>Glenlee11</v>
      </c>
      <c r="E1739" s="375" t="s">
        <v>2888</v>
      </c>
      <c r="F1739" s="375"/>
      <c r="G1739" s="375"/>
      <c r="H1739" s="375"/>
      <c r="I1739" s="63"/>
      <c r="J1739" s="47">
        <f t="shared" si="358"/>
        <v>3740</v>
      </c>
      <c r="K1739" s="46" t="s">
        <v>10735</v>
      </c>
      <c r="L1739" s="47">
        <f t="shared" si="359"/>
        <v>1210</v>
      </c>
      <c r="M1739" s="47" t="s">
        <v>2877</v>
      </c>
      <c r="N1739" s="47"/>
      <c r="O1739" s="47"/>
      <c r="P1739" s="47"/>
      <c r="Q1739" s="47"/>
      <c r="R1739" s="47"/>
      <c r="S1739" s="47"/>
      <c r="T1739" s="47" t="s">
        <v>2878</v>
      </c>
      <c r="U1739" s="47">
        <f t="shared" si="357"/>
        <v>430</v>
      </c>
      <c r="V1739" s="47"/>
      <c r="W1739" s="47"/>
      <c r="X1739" s="47"/>
      <c r="Y1739" s="47"/>
      <c r="Z1739" s="47">
        <f t="shared" si="361"/>
        <v>4620</v>
      </c>
      <c r="AA1739" s="47"/>
      <c r="AB1739" s="47"/>
      <c r="AC1739" s="47"/>
      <c r="AD1739" s="47"/>
      <c r="AE1739" s="47"/>
      <c r="AF1739" s="47">
        <f t="shared" si="356"/>
        <v>1485</v>
      </c>
      <c r="AG1739" s="47"/>
      <c r="AH1739" s="47">
        <f>IFERROR(_xlfn.XLOOKUP(Table6[[#This Row],[Suburb]],Table5[Travel Surcharge],Table5[$$]),"")</f>
        <v>1500</v>
      </c>
      <c r="AI1739" s="47"/>
      <c r="AJ1739" s="47"/>
    </row>
    <row r="1740" spans="1:36">
      <c r="A1740" s="374" t="s">
        <v>2875</v>
      </c>
      <c r="B1740" s="374">
        <v>12</v>
      </c>
      <c r="C1740" s="374" t="s">
        <v>281</v>
      </c>
      <c r="D1740" s="375" t="str">
        <f t="shared" si="360"/>
        <v>Glenlee12</v>
      </c>
      <c r="E1740" s="375" t="s">
        <v>2889</v>
      </c>
      <c r="F1740" s="375"/>
      <c r="G1740" s="375"/>
      <c r="H1740" s="375"/>
      <c r="I1740" s="63"/>
      <c r="J1740" s="47">
        <f t="shared" si="358"/>
        <v>3740</v>
      </c>
      <c r="K1740" s="46" t="s">
        <v>10735</v>
      </c>
      <c r="L1740" s="47">
        <f t="shared" si="359"/>
        <v>1210</v>
      </c>
      <c r="M1740" s="47" t="s">
        <v>2877</v>
      </c>
      <c r="N1740" s="47"/>
      <c r="O1740" s="47"/>
      <c r="P1740" s="47"/>
      <c r="Q1740" s="47"/>
      <c r="R1740" s="47"/>
      <c r="S1740" s="47"/>
      <c r="T1740" s="47" t="s">
        <v>2878</v>
      </c>
      <c r="U1740" s="47">
        <f t="shared" si="357"/>
        <v>430</v>
      </c>
      <c r="V1740" s="47" t="s">
        <v>2890</v>
      </c>
      <c r="W1740" s="47"/>
      <c r="X1740" s="47"/>
      <c r="Y1740" s="47"/>
      <c r="Z1740" s="47">
        <f t="shared" si="361"/>
        <v>4620</v>
      </c>
      <c r="AA1740" s="47"/>
      <c r="AB1740" s="47"/>
      <c r="AC1740" s="47"/>
      <c r="AD1740" s="47"/>
      <c r="AE1740" s="47"/>
      <c r="AF1740" s="47">
        <f t="shared" si="356"/>
        <v>1485</v>
      </c>
      <c r="AG1740" s="47"/>
      <c r="AH1740" s="47">
        <f>IFERROR(_xlfn.XLOOKUP(Table6[[#This Row],[Suburb]],Table5[Travel Surcharge],Table5[$$]),"")</f>
        <v>1500</v>
      </c>
      <c r="AI1740" s="47"/>
      <c r="AJ1740" s="47"/>
    </row>
    <row r="1741" spans="1:36">
      <c r="A1741" s="374" t="s">
        <v>2875</v>
      </c>
      <c r="B1741" s="374">
        <v>13</v>
      </c>
      <c r="C1741" s="374" t="s">
        <v>281</v>
      </c>
      <c r="D1741" s="375" t="str">
        <f t="shared" si="360"/>
        <v>Glenlee13</v>
      </c>
      <c r="E1741" s="375" t="s">
        <v>9007</v>
      </c>
      <c r="F1741" s="375"/>
      <c r="G1741" s="375"/>
      <c r="H1741" s="375"/>
      <c r="I1741" s="63"/>
      <c r="J1741" s="47">
        <f t="shared" si="358"/>
        <v>3740</v>
      </c>
      <c r="K1741" s="46" t="s">
        <v>10735</v>
      </c>
      <c r="L1741" s="47">
        <f t="shared" si="359"/>
        <v>1210</v>
      </c>
      <c r="M1741" s="47" t="s">
        <v>2877</v>
      </c>
      <c r="N1741" s="47"/>
      <c r="O1741" s="47"/>
      <c r="P1741" s="47"/>
      <c r="Q1741" s="47"/>
      <c r="R1741" s="47"/>
      <c r="S1741" s="47"/>
      <c r="T1741" s="47" t="s">
        <v>2878</v>
      </c>
      <c r="U1741" s="47">
        <f t="shared" si="357"/>
        <v>430</v>
      </c>
      <c r="V1741" s="47" t="s">
        <v>2890</v>
      </c>
      <c r="W1741" s="47"/>
      <c r="X1741" s="47"/>
      <c r="Y1741" s="47"/>
      <c r="Z1741" s="47">
        <f t="shared" si="361"/>
        <v>4620</v>
      </c>
      <c r="AA1741" s="47"/>
      <c r="AB1741" s="47"/>
      <c r="AC1741" s="47"/>
      <c r="AD1741" s="47"/>
      <c r="AE1741" s="47"/>
      <c r="AF1741" s="47">
        <f t="shared" si="356"/>
        <v>1485</v>
      </c>
      <c r="AG1741" s="47"/>
      <c r="AH1741" s="47">
        <f>IFERROR(_xlfn.XLOOKUP(Table6[[#This Row],[Suburb]],Table5[Travel Surcharge],Table5[$$]),"")</f>
        <v>1500</v>
      </c>
      <c r="AI1741" s="47"/>
      <c r="AJ1741" s="47"/>
    </row>
    <row r="1742" spans="1:36">
      <c r="A1742" s="374" t="s">
        <v>2875</v>
      </c>
      <c r="B1742" s="374">
        <v>14</v>
      </c>
      <c r="C1742" s="374" t="s">
        <v>281</v>
      </c>
      <c r="D1742" s="375" t="str">
        <f t="shared" si="360"/>
        <v>Glenlee14</v>
      </c>
      <c r="E1742" s="375" t="s">
        <v>10303</v>
      </c>
      <c r="F1742" s="375"/>
      <c r="G1742" s="375"/>
      <c r="H1742" s="375"/>
      <c r="I1742" s="63"/>
      <c r="J1742" s="47">
        <v>3740</v>
      </c>
      <c r="K1742" s="46" t="s">
        <v>10735</v>
      </c>
      <c r="L1742" s="47">
        <v>1210</v>
      </c>
      <c r="M1742" s="47" t="s">
        <v>2877</v>
      </c>
      <c r="N1742" s="47"/>
      <c r="O1742" s="47"/>
      <c r="P1742" s="47"/>
      <c r="Q1742" s="47"/>
      <c r="R1742" s="47"/>
      <c r="S1742" s="47"/>
      <c r="T1742" s="47" t="s">
        <v>2878</v>
      </c>
      <c r="U1742" s="47">
        <v>540</v>
      </c>
      <c r="V1742" s="47" t="s">
        <v>2890</v>
      </c>
      <c r="W1742" s="47"/>
      <c r="X1742" s="47"/>
      <c r="Y1742" s="47"/>
      <c r="Z1742" s="47">
        <v>4620</v>
      </c>
      <c r="AA1742" s="47"/>
      <c r="AB1742" s="47"/>
      <c r="AC1742" s="47"/>
      <c r="AD1742" s="47"/>
      <c r="AE1742" s="47"/>
      <c r="AF1742" s="47">
        <v>1485</v>
      </c>
      <c r="AG1742" s="47"/>
      <c r="AH1742" s="47">
        <v>1500</v>
      </c>
      <c r="AI1742" s="47"/>
      <c r="AJ1742" s="47"/>
    </row>
    <row r="1743" spans="1:36">
      <c r="A1743" s="374" t="s">
        <v>2891</v>
      </c>
      <c r="B1743" s="374">
        <v>1</v>
      </c>
      <c r="C1743" s="374" t="s">
        <v>631</v>
      </c>
      <c r="D1743" s="375" t="str">
        <f t="shared" si="360"/>
        <v>Glenmore1</v>
      </c>
      <c r="E1743" s="375" t="s">
        <v>2892</v>
      </c>
      <c r="F1743" s="375"/>
      <c r="G1743" s="375"/>
      <c r="H1743" s="375"/>
      <c r="I1743" s="63"/>
      <c r="J1743" s="47">
        <f t="shared" si="358"/>
        <v>3740</v>
      </c>
      <c r="K1743" s="46" t="s">
        <v>10735</v>
      </c>
      <c r="L1743" s="47">
        <f t="shared" si="359"/>
        <v>1210</v>
      </c>
      <c r="M1743" s="47"/>
      <c r="N1743" s="47" t="s">
        <v>2893</v>
      </c>
      <c r="O1743" s="47" t="s">
        <v>2894</v>
      </c>
      <c r="P1743" s="47"/>
      <c r="Q1743" s="47"/>
      <c r="R1743" s="47">
        <f>R$2</f>
        <v>540</v>
      </c>
      <c r="S1743" s="47"/>
      <c r="T1743" s="47"/>
      <c r="U1743" s="47" t="s">
        <v>2212</v>
      </c>
      <c r="V1743" s="47"/>
      <c r="W1743" s="47"/>
      <c r="X1743" s="47">
        <f>X$7</f>
        <v>3000</v>
      </c>
      <c r="Y1743" s="47"/>
      <c r="Z1743" s="47">
        <f t="shared" si="361"/>
        <v>4620</v>
      </c>
      <c r="AA1743" s="47"/>
      <c r="AB1743" s="47"/>
      <c r="AC1743" s="47"/>
      <c r="AD1743" s="47"/>
      <c r="AE1743" s="47"/>
      <c r="AF1743" s="47">
        <f t="shared" si="356"/>
        <v>1485</v>
      </c>
      <c r="AG1743" s="47"/>
      <c r="AH1743" s="47" t="str">
        <f>IFERROR(_xlfn.XLOOKUP(Table6[[#This Row],[Suburb]],Table5[Travel Surcharge],Table5[$$]),"")</f>
        <v/>
      </c>
      <c r="AI1743" s="47"/>
      <c r="AJ1743" s="47"/>
    </row>
    <row r="1744" spans="1:36">
      <c r="A1744" s="374" t="s">
        <v>2891</v>
      </c>
      <c r="B1744" s="374">
        <v>2</v>
      </c>
      <c r="C1744" s="374" t="s">
        <v>631</v>
      </c>
      <c r="D1744" s="375" t="str">
        <f t="shared" si="360"/>
        <v>Glenmore2</v>
      </c>
      <c r="E1744" s="375" t="s">
        <v>2895</v>
      </c>
      <c r="F1744" s="375"/>
      <c r="G1744" s="375"/>
      <c r="H1744" s="375"/>
      <c r="I1744" s="63"/>
      <c r="J1744" s="47">
        <f t="shared" si="358"/>
        <v>3740</v>
      </c>
      <c r="K1744" s="46" t="s">
        <v>10735</v>
      </c>
      <c r="L1744" s="47">
        <f t="shared" si="359"/>
        <v>1210</v>
      </c>
      <c r="M1744" s="47"/>
      <c r="N1744" s="47" t="s">
        <v>2893</v>
      </c>
      <c r="O1744" s="47" t="s">
        <v>2894</v>
      </c>
      <c r="P1744" s="47"/>
      <c r="Q1744" s="47"/>
      <c r="R1744" s="47">
        <f>R$2</f>
        <v>540</v>
      </c>
      <c r="S1744" s="47"/>
      <c r="T1744" s="47"/>
      <c r="U1744" s="47" t="s">
        <v>2212</v>
      </c>
      <c r="V1744" s="47"/>
      <c r="W1744" s="47"/>
      <c r="X1744" s="47">
        <f>X$7</f>
        <v>3000</v>
      </c>
      <c r="Y1744" s="47"/>
      <c r="Z1744" s="47">
        <f t="shared" si="361"/>
        <v>4620</v>
      </c>
      <c r="AA1744" s="47"/>
      <c r="AB1744" s="47"/>
      <c r="AC1744" s="47"/>
      <c r="AD1744" s="47"/>
      <c r="AE1744" s="47"/>
      <c r="AF1744" s="47">
        <f t="shared" si="356"/>
        <v>1485</v>
      </c>
      <c r="AG1744" s="47"/>
      <c r="AH1744" s="47" t="str">
        <f>IFERROR(_xlfn.XLOOKUP(Table6[[#This Row],[Suburb]],Table5[Travel Surcharge],Table5[$$]),"")</f>
        <v/>
      </c>
      <c r="AI1744" s="47"/>
      <c r="AJ1744" s="47"/>
    </row>
    <row r="1745" spans="1:36">
      <c r="A1745" s="374" t="s">
        <v>2891</v>
      </c>
      <c r="B1745" s="374">
        <v>3</v>
      </c>
      <c r="C1745" s="374" t="s">
        <v>631</v>
      </c>
      <c r="D1745" s="375" t="str">
        <f t="shared" si="360"/>
        <v>Glenmore3</v>
      </c>
      <c r="E1745" s="375" t="s">
        <v>2896</v>
      </c>
      <c r="F1745" s="375"/>
      <c r="G1745" s="375"/>
      <c r="H1745" s="375"/>
      <c r="I1745" s="63"/>
      <c r="J1745" s="47">
        <f t="shared" si="358"/>
        <v>3740</v>
      </c>
      <c r="K1745" s="46" t="s">
        <v>10735</v>
      </c>
      <c r="L1745" s="47">
        <f t="shared" si="359"/>
        <v>1210</v>
      </c>
      <c r="M1745" s="47"/>
      <c r="N1745" s="47" t="s">
        <v>2893</v>
      </c>
      <c r="O1745" s="47" t="s">
        <v>2894</v>
      </c>
      <c r="P1745" s="47"/>
      <c r="Q1745" s="47"/>
      <c r="R1745" s="47">
        <f>R$2</f>
        <v>540</v>
      </c>
      <c r="S1745" s="47"/>
      <c r="T1745" s="47"/>
      <c r="U1745" s="47" t="s">
        <v>2212</v>
      </c>
      <c r="V1745" s="47"/>
      <c r="W1745" s="47"/>
      <c r="X1745" s="47">
        <f>X$7</f>
        <v>3000</v>
      </c>
      <c r="Y1745" s="47"/>
      <c r="Z1745" s="47">
        <f t="shared" si="361"/>
        <v>4620</v>
      </c>
      <c r="AA1745" s="47"/>
      <c r="AB1745" s="47"/>
      <c r="AC1745" s="47"/>
      <c r="AD1745" s="47"/>
      <c r="AE1745" s="47"/>
      <c r="AF1745" s="47">
        <f t="shared" si="356"/>
        <v>1485</v>
      </c>
      <c r="AG1745" s="47"/>
      <c r="AH1745" s="47" t="str">
        <f>IFERROR(_xlfn.XLOOKUP(Table6[[#This Row],[Suburb]],Table5[Travel Surcharge],Table5[$$]),"")</f>
        <v/>
      </c>
      <c r="AI1745" s="47"/>
      <c r="AJ1745" s="47"/>
    </row>
    <row r="1746" spans="1:36">
      <c r="A1746" s="374" t="s">
        <v>2897</v>
      </c>
      <c r="B1746" s="374">
        <v>1</v>
      </c>
      <c r="C1746" s="374" t="s">
        <v>394</v>
      </c>
      <c r="D1746" s="375" t="str">
        <f t="shared" si="360"/>
        <v>Glenn Crest Estate1</v>
      </c>
      <c r="E1746" s="375" t="s">
        <v>2898</v>
      </c>
      <c r="F1746" s="375" t="s">
        <v>2899</v>
      </c>
      <c r="G1746" s="375" t="s">
        <v>494</v>
      </c>
      <c r="H1746" s="375" t="s">
        <v>495</v>
      </c>
      <c r="I1746" s="63" t="s">
        <v>496</v>
      </c>
      <c r="J1746" s="47"/>
      <c r="K1746" s="46" t="s">
        <v>10735</v>
      </c>
      <c r="L1746" s="47"/>
      <c r="M1746" s="47"/>
      <c r="N1746" s="47"/>
      <c r="O1746" s="47"/>
      <c r="P1746" s="47"/>
      <c r="Q1746" s="47">
        <f>Q$2</f>
        <v>0</v>
      </c>
      <c r="R1746" s="47"/>
      <c r="S1746" s="47"/>
      <c r="T1746" s="47"/>
      <c r="U1746" s="47"/>
      <c r="V1746" s="47"/>
      <c r="W1746" s="47"/>
      <c r="X1746" s="47"/>
      <c r="Y1746" s="47"/>
      <c r="Z1746" s="47">
        <f t="shared" si="361"/>
        <v>4620</v>
      </c>
      <c r="AA1746" s="47"/>
      <c r="AB1746" s="47"/>
      <c r="AC1746" s="47"/>
      <c r="AD1746" s="47"/>
      <c r="AE1746" s="47"/>
      <c r="AF1746" s="47"/>
      <c r="AG1746" s="47"/>
      <c r="AH1746" s="47" t="str">
        <f>IFERROR(_xlfn.XLOOKUP(Table6[[#This Row],[Suburb]],Table5[Travel Surcharge],Table5[$$]),"")</f>
        <v/>
      </c>
      <c r="AI1746" s="47"/>
      <c r="AJ1746" s="47"/>
    </row>
    <row r="1747" spans="1:36">
      <c r="A1747" s="374" t="s">
        <v>2897</v>
      </c>
      <c r="B1747" s="374">
        <v>2</v>
      </c>
      <c r="C1747" s="374" t="s">
        <v>394</v>
      </c>
      <c r="D1747" s="375" t="str">
        <f t="shared" si="360"/>
        <v>Glenn Crest Estate2</v>
      </c>
      <c r="E1747" s="375" t="s">
        <v>2569</v>
      </c>
      <c r="F1747" s="375" t="s">
        <v>2899</v>
      </c>
      <c r="G1747" s="375" t="s">
        <v>494</v>
      </c>
      <c r="H1747" s="375" t="s">
        <v>495</v>
      </c>
      <c r="I1747" s="63" t="s">
        <v>496</v>
      </c>
      <c r="J1747" s="47"/>
      <c r="K1747" s="46" t="s">
        <v>10735</v>
      </c>
      <c r="L1747" s="47"/>
      <c r="M1747" s="47"/>
      <c r="N1747" s="47"/>
      <c r="O1747" s="47"/>
      <c r="P1747" s="47"/>
      <c r="Q1747" s="47">
        <f>Q$2</f>
        <v>0</v>
      </c>
      <c r="R1747" s="47"/>
      <c r="S1747" s="47"/>
      <c r="T1747" s="47"/>
      <c r="U1747" s="47"/>
      <c r="V1747" s="47"/>
      <c r="W1747" s="47"/>
      <c r="X1747" s="47"/>
      <c r="Y1747" s="47"/>
      <c r="Z1747" s="47">
        <f t="shared" si="361"/>
        <v>4620</v>
      </c>
      <c r="AA1747" s="47"/>
      <c r="AB1747" s="47"/>
      <c r="AC1747" s="47"/>
      <c r="AD1747" s="47"/>
      <c r="AE1747" s="47"/>
      <c r="AF1747" s="47"/>
      <c r="AG1747" s="47"/>
      <c r="AH1747" s="47" t="str">
        <f>IFERROR(_xlfn.XLOOKUP(Table6[[#This Row],[Suburb]],Table5[Travel Surcharge],Table5[$$]),"")</f>
        <v/>
      </c>
      <c r="AI1747" s="47"/>
      <c r="AJ1747" s="47"/>
    </row>
    <row r="1748" spans="1:36">
      <c r="A1748" s="374" t="s">
        <v>2897</v>
      </c>
      <c r="B1748" s="374">
        <v>3</v>
      </c>
      <c r="C1748" s="374" t="s">
        <v>394</v>
      </c>
      <c r="D1748" s="375" t="str">
        <f t="shared" si="360"/>
        <v>Glenn Crest Estate3</v>
      </c>
      <c r="E1748" s="375" t="s">
        <v>2572</v>
      </c>
      <c r="F1748" s="375" t="s">
        <v>2899</v>
      </c>
      <c r="G1748" s="375" t="s">
        <v>494</v>
      </c>
      <c r="H1748" s="375" t="s">
        <v>495</v>
      </c>
      <c r="I1748" s="63" t="s">
        <v>496</v>
      </c>
      <c r="J1748" s="47"/>
      <c r="K1748" s="46" t="s">
        <v>10735</v>
      </c>
      <c r="L1748" s="47"/>
      <c r="M1748" s="47"/>
      <c r="N1748" s="47"/>
      <c r="O1748" s="47"/>
      <c r="P1748" s="47"/>
      <c r="Q1748" s="47">
        <f>Q$2</f>
        <v>0</v>
      </c>
      <c r="R1748" s="47"/>
      <c r="S1748" s="47"/>
      <c r="T1748" s="47"/>
      <c r="U1748" s="47"/>
      <c r="V1748" s="47"/>
      <c r="W1748" s="47"/>
      <c r="X1748" s="47"/>
      <c r="Y1748" s="47"/>
      <c r="Z1748" s="47">
        <f t="shared" si="361"/>
        <v>4620</v>
      </c>
      <c r="AA1748" s="47"/>
      <c r="AB1748" s="47"/>
      <c r="AC1748" s="47"/>
      <c r="AD1748" s="47"/>
      <c r="AE1748" s="47"/>
      <c r="AF1748" s="47"/>
      <c r="AG1748" s="47"/>
      <c r="AH1748" s="47" t="str">
        <f>IFERROR(_xlfn.XLOOKUP(Table6[[#This Row],[Suburb]],Table5[Travel Surcharge],Table5[$$]),"")</f>
        <v/>
      </c>
      <c r="AI1748" s="47"/>
      <c r="AJ1748" s="47"/>
    </row>
    <row r="1749" spans="1:36">
      <c r="A1749" s="374" t="s">
        <v>2900</v>
      </c>
      <c r="B1749" s="374">
        <v>3</v>
      </c>
      <c r="C1749" s="374" t="s">
        <v>2371</v>
      </c>
      <c r="D1749" s="375" t="str">
        <f t="shared" si="360"/>
        <v>Golden Meadows Estate3</v>
      </c>
      <c r="E1749" s="375" t="s">
        <v>2901</v>
      </c>
      <c r="F1749" s="375"/>
      <c r="G1749" s="375"/>
      <c r="H1749" s="375"/>
      <c r="I1749" s="63"/>
      <c r="J1749" s="47">
        <f>J$7</f>
        <v>3740</v>
      </c>
      <c r="K1749" s="46" t="s">
        <v>10735</v>
      </c>
      <c r="L1749" s="47">
        <f>L$7</f>
        <v>1210</v>
      </c>
      <c r="M1749" s="47"/>
      <c r="N1749" s="47"/>
      <c r="O1749" s="47">
        <f>O$7</f>
        <v>4950</v>
      </c>
      <c r="P1749" s="47"/>
      <c r="Q1749" s="47">
        <f>Q$2</f>
        <v>0</v>
      </c>
      <c r="R1749" s="47"/>
      <c r="S1749" s="47"/>
      <c r="T1749" s="47"/>
      <c r="U1749" s="47"/>
      <c r="V1749" s="47"/>
      <c r="W1749" s="47"/>
      <c r="X1749" s="47"/>
      <c r="Y1749" s="47"/>
      <c r="Z1749" s="47">
        <f t="shared" si="361"/>
        <v>4620</v>
      </c>
      <c r="AA1749" s="47"/>
      <c r="AB1749" s="47"/>
      <c r="AC1749" s="47"/>
      <c r="AD1749" s="47"/>
      <c r="AE1749" s="47"/>
      <c r="AF1749" s="47"/>
      <c r="AG1749" s="47"/>
      <c r="AH1749" s="47">
        <f>IFERROR(_xlfn.XLOOKUP(Table6[[#This Row],[Suburb]],Table5[Travel Surcharge],Table5[$$]),"")</f>
        <v>4000</v>
      </c>
      <c r="AI1749" s="47"/>
      <c r="AJ1749" s="47"/>
    </row>
    <row r="1750" spans="1:36">
      <c r="A1750" s="374" t="s">
        <v>9287</v>
      </c>
      <c r="B1750" s="374">
        <v>1</v>
      </c>
      <c r="C1750" s="374" t="s">
        <v>385</v>
      </c>
      <c r="D1750" s="375" t="str">
        <f t="shared" si="360"/>
        <v>Golden Rise1</v>
      </c>
      <c r="E1750" s="375" t="s">
        <v>1270</v>
      </c>
      <c r="F1750" s="375"/>
      <c r="G1750" s="375"/>
      <c r="H1750" s="375"/>
      <c r="I1750" s="63"/>
      <c r="J1750" s="47">
        <f>J$7</f>
        <v>3740</v>
      </c>
      <c r="K1750" s="46" t="s">
        <v>10735</v>
      </c>
      <c r="L1750" s="47" t="s">
        <v>2817</v>
      </c>
      <c r="M1750" s="47">
        <f>M$7</f>
        <v>1430.0000000000002</v>
      </c>
      <c r="N1750" s="47" t="s">
        <v>9290</v>
      </c>
      <c r="O1750" s="47"/>
      <c r="P1750" s="47" t="s">
        <v>9289</v>
      </c>
      <c r="Q1750" s="47"/>
      <c r="R1750" s="47"/>
      <c r="S1750" s="47"/>
      <c r="T1750" s="47" t="s">
        <v>4475</v>
      </c>
      <c r="U1750" s="47">
        <f>U$2</f>
        <v>430</v>
      </c>
      <c r="V1750" s="47"/>
      <c r="W1750" s="47"/>
      <c r="X1750" s="47">
        <f>X$7</f>
        <v>3000</v>
      </c>
      <c r="Y1750" s="47"/>
      <c r="Z1750" s="47">
        <f t="shared" si="361"/>
        <v>4620</v>
      </c>
      <c r="AA1750" s="47"/>
      <c r="AB1750" s="47" t="s">
        <v>9288</v>
      </c>
      <c r="AC1750" s="47"/>
      <c r="AD1750" s="47"/>
      <c r="AE1750" s="47"/>
      <c r="AF1750" s="47">
        <f>AF$7</f>
        <v>1485</v>
      </c>
      <c r="AG1750" s="47"/>
      <c r="AH1750" s="47" t="str">
        <f>IFERROR(_xlfn.XLOOKUP(Table6[[#This Row],[Suburb]],Table5[Travel Surcharge],Table5[$$]),"")</f>
        <v/>
      </c>
      <c r="AI1750" s="47"/>
      <c r="AJ1750" s="47"/>
    </row>
    <row r="1751" spans="1:36">
      <c r="A1751" s="374" t="s">
        <v>9066</v>
      </c>
      <c r="B1751" s="374">
        <v>1</v>
      </c>
      <c r="C1751" s="374" t="s">
        <v>9068</v>
      </c>
      <c r="D1751" s="375" t="str">
        <f t="shared" si="360"/>
        <v>Golden Win1</v>
      </c>
      <c r="E1751" s="375" t="s">
        <v>9067</v>
      </c>
      <c r="F1751" s="375" t="s">
        <v>9069</v>
      </c>
      <c r="G1751" s="375" t="s">
        <v>5858</v>
      </c>
      <c r="H1751" s="375" t="s">
        <v>5859</v>
      </c>
      <c r="I1751" s="338" t="s">
        <v>9070</v>
      </c>
      <c r="J1751" s="47">
        <v>3740</v>
      </c>
      <c r="K1751" s="46" t="s">
        <v>10735</v>
      </c>
      <c r="L1751" s="47"/>
      <c r="M1751" s="47"/>
      <c r="N1751" s="47"/>
      <c r="O1751" s="47"/>
      <c r="P1751" s="47"/>
      <c r="Q1751" s="47"/>
      <c r="R1751" s="47"/>
      <c r="S1751" s="47"/>
      <c r="T1751" s="47"/>
      <c r="U1751" s="47"/>
      <c r="V1751" s="47"/>
      <c r="W1751" s="47"/>
      <c r="X1751" s="47"/>
      <c r="Y1751" s="47"/>
      <c r="Z1751" s="47">
        <f t="shared" si="361"/>
        <v>4620</v>
      </c>
      <c r="AA1751" s="47"/>
      <c r="AB1751" s="47"/>
      <c r="AC1751" s="47"/>
      <c r="AD1751" s="47"/>
      <c r="AE1751" s="47"/>
      <c r="AF1751" s="47"/>
      <c r="AG1751" s="47"/>
      <c r="AH1751" s="47" t="str">
        <f>IFERROR(_xlfn.XLOOKUP(Table6[[#This Row],[Suburb]],Table5[Travel Surcharge],Table5[$$]),"")</f>
        <v/>
      </c>
      <c r="AI1751" s="47"/>
      <c r="AJ1751" s="47"/>
    </row>
    <row r="1752" spans="1:36">
      <c r="A1752" s="374" t="s">
        <v>2902</v>
      </c>
      <c r="B1752" s="374">
        <v>1</v>
      </c>
      <c r="C1752" s="374" t="s">
        <v>292</v>
      </c>
      <c r="D1752" s="375" t="str">
        <f t="shared" si="360"/>
        <v>Goldenvue 1</v>
      </c>
      <c r="E1752" s="375" t="s">
        <v>2903</v>
      </c>
      <c r="F1752" s="375" t="s">
        <v>2664</v>
      </c>
      <c r="G1752" s="375" t="s">
        <v>2904</v>
      </c>
      <c r="H1752" s="375" t="s">
        <v>2905</v>
      </c>
      <c r="I1752" s="63" t="s">
        <v>2906</v>
      </c>
      <c r="J1752" s="47"/>
      <c r="K1752" s="46" t="s">
        <v>10735</v>
      </c>
      <c r="L1752" s="47"/>
      <c r="M1752" s="47">
        <f>M$7</f>
        <v>1430.0000000000002</v>
      </c>
      <c r="N1752" s="47"/>
      <c r="O1752" s="47">
        <f>O$7</f>
        <v>4950</v>
      </c>
      <c r="P1752" s="47"/>
      <c r="Q1752" s="47"/>
      <c r="R1752" s="47"/>
      <c r="S1752" s="47"/>
      <c r="T1752" s="47"/>
      <c r="U1752" s="47">
        <f>U$2</f>
        <v>430</v>
      </c>
      <c r="V1752" s="47"/>
      <c r="W1752" s="47"/>
      <c r="X1752" s="47"/>
      <c r="Y1752" s="47"/>
      <c r="Z1752" s="47">
        <f t="shared" si="361"/>
        <v>4620</v>
      </c>
      <c r="AA1752" s="47"/>
      <c r="AB1752" s="47"/>
      <c r="AC1752" s="47"/>
      <c r="AD1752" s="47"/>
      <c r="AE1752" s="47"/>
      <c r="AF1752" s="47">
        <f t="shared" ref="AF1752:AF1775" si="362">AF$7</f>
        <v>1485</v>
      </c>
      <c r="AG1752" s="47"/>
      <c r="AH1752" s="47">
        <f>IFERROR(_xlfn.XLOOKUP(Table6[[#This Row],[Suburb]],Table5[Travel Surcharge],Table5[$$]),"")</f>
        <v>8000</v>
      </c>
      <c r="AI1752" s="47">
        <f>AI$7</f>
        <v>1650.0000000000002</v>
      </c>
      <c r="AJ1752" s="47">
        <f>AJ$7</f>
        <v>4400</v>
      </c>
    </row>
    <row r="1753" spans="1:36">
      <c r="A1753" s="374" t="s">
        <v>2907</v>
      </c>
      <c r="B1753" s="374">
        <v>1</v>
      </c>
      <c r="C1753" s="374" t="s">
        <v>502</v>
      </c>
      <c r="D1753" s="375" t="str">
        <f t="shared" si="360"/>
        <v>Grace Estate1</v>
      </c>
      <c r="E1753" s="375" t="s">
        <v>2908</v>
      </c>
      <c r="F1753" s="375" t="s">
        <v>2803</v>
      </c>
      <c r="G1753" s="375"/>
      <c r="H1753" s="375" t="s">
        <v>2909</v>
      </c>
      <c r="I1753" s="63" t="s">
        <v>2910</v>
      </c>
      <c r="J1753" s="47">
        <f t="shared" ref="J1753:J1775" si="363">J$7</f>
        <v>3740</v>
      </c>
      <c r="K1753" s="46" t="s">
        <v>10735</v>
      </c>
      <c r="L1753" s="47"/>
      <c r="M1753" s="47"/>
      <c r="N1753" s="47" t="s">
        <v>8120</v>
      </c>
      <c r="O1753" s="47"/>
      <c r="P1753" s="47"/>
      <c r="Q1753" s="47"/>
      <c r="R1753" s="47"/>
      <c r="S1753" s="47"/>
      <c r="T1753" s="47" t="s">
        <v>2212</v>
      </c>
      <c r="U1753" s="47">
        <f t="shared" ref="U1753:U1762" si="364">$U$2</f>
        <v>430</v>
      </c>
      <c r="V1753" s="47"/>
      <c r="W1753" s="47"/>
      <c r="X1753" s="47"/>
      <c r="Y1753" s="47"/>
      <c r="Z1753" s="47">
        <f t="shared" si="361"/>
        <v>4620</v>
      </c>
      <c r="AA1753" s="47">
        <f t="shared" ref="AA1753:AA1762" si="365">$AA$7</f>
        <v>1400</v>
      </c>
      <c r="AB1753" s="47"/>
      <c r="AC1753" s="47"/>
      <c r="AD1753" s="47"/>
      <c r="AE1753" s="47"/>
      <c r="AF1753" s="47">
        <f t="shared" si="362"/>
        <v>1485</v>
      </c>
      <c r="AG1753" s="47"/>
      <c r="AH1753" s="47" t="str">
        <f>IFERROR(_xlfn.XLOOKUP(Table6[[#This Row],[Suburb]],Table5[Travel Surcharge],Table5[$$]),"")</f>
        <v/>
      </c>
      <c r="AI1753" s="47"/>
      <c r="AJ1753" s="47"/>
    </row>
    <row r="1754" spans="1:36">
      <c r="A1754" s="374" t="s">
        <v>2907</v>
      </c>
      <c r="B1754" s="374">
        <v>2</v>
      </c>
      <c r="C1754" s="374" t="s">
        <v>502</v>
      </c>
      <c r="D1754" s="375" t="str">
        <f t="shared" si="360"/>
        <v>Grace Estate2</v>
      </c>
      <c r="E1754" s="375" t="s">
        <v>2911</v>
      </c>
      <c r="F1754" s="375" t="s">
        <v>2803</v>
      </c>
      <c r="G1754" s="375"/>
      <c r="H1754" s="375" t="s">
        <v>2909</v>
      </c>
      <c r="I1754" s="63" t="s">
        <v>2910</v>
      </c>
      <c r="J1754" s="47">
        <f t="shared" si="363"/>
        <v>3740</v>
      </c>
      <c r="K1754" s="46" t="s">
        <v>10735</v>
      </c>
      <c r="L1754" s="47"/>
      <c r="M1754" s="47"/>
      <c r="N1754" s="47" t="s">
        <v>8120</v>
      </c>
      <c r="O1754" s="47"/>
      <c r="P1754" s="47"/>
      <c r="Q1754" s="47"/>
      <c r="R1754" s="47"/>
      <c r="S1754" s="47"/>
      <c r="T1754" s="47" t="s">
        <v>2212</v>
      </c>
      <c r="U1754" s="47">
        <f t="shared" si="364"/>
        <v>430</v>
      </c>
      <c r="V1754" s="47"/>
      <c r="W1754" s="47"/>
      <c r="X1754" s="47"/>
      <c r="Y1754" s="47"/>
      <c r="Z1754" s="47">
        <f t="shared" si="361"/>
        <v>4620</v>
      </c>
      <c r="AA1754" s="47">
        <f t="shared" si="365"/>
        <v>1400</v>
      </c>
      <c r="AB1754" s="47"/>
      <c r="AC1754" s="47"/>
      <c r="AD1754" s="47"/>
      <c r="AE1754" s="47"/>
      <c r="AF1754" s="47">
        <f t="shared" si="362"/>
        <v>1485</v>
      </c>
      <c r="AG1754" s="47"/>
      <c r="AH1754" s="47" t="str">
        <f>IFERROR(_xlfn.XLOOKUP(Table6[[#This Row],[Suburb]],Table5[Travel Surcharge],Table5[$$]),"")</f>
        <v/>
      </c>
      <c r="AI1754" s="47"/>
      <c r="AJ1754" s="47"/>
    </row>
    <row r="1755" spans="1:36">
      <c r="A1755" s="374" t="s">
        <v>2907</v>
      </c>
      <c r="B1755" s="374">
        <v>3</v>
      </c>
      <c r="C1755" s="374" t="s">
        <v>502</v>
      </c>
      <c r="D1755" s="375" t="str">
        <f t="shared" si="360"/>
        <v>Grace Estate3</v>
      </c>
      <c r="E1755" s="375" t="s">
        <v>2912</v>
      </c>
      <c r="F1755" s="375" t="s">
        <v>2803</v>
      </c>
      <c r="G1755" s="375"/>
      <c r="H1755" s="375" t="s">
        <v>2909</v>
      </c>
      <c r="I1755" s="63" t="s">
        <v>2910</v>
      </c>
      <c r="J1755" s="47">
        <f t="shared" si="363"/>
        <v>3740</v>
      </c>
      <c r="K1755" s="46" t="s">
        <v>10735</v>
      </c>
      <c r="L1755" s="47"/>
      <c r="M1755" s="47"/>
      <c r="N1755" s="47" t="s">
        <v>8120</v>
      </c>
      <c r="O1755" s="47"/>
      <c r="P1755" s="47"/>
      <c r="Q1755" s="47"/>
      <c r="R1755" s="47"/>
      <c r="S1755" s="47"/>
      <c r="T1755" s="47" t="s">
        <v>2212</v>
      </c>
      <c r="U1755" s="47">
        <f t="shared" si="364"/>
        <v>430</v>
      </c>
      <c r="V1755" s="47"/>
      <c r="W1755" s="47"/>
      <c r="X1755" s="47"/>
      <c r="Y1755" s="47"/>
      <c r="Z1755" s="47">
        <f t="shared" si="361"/>
        <v>4620</v>
      </c>
      <c r="AA1755" s="47">
        <f t="shared" si="365"/>
        <v>1400</v>
      </c>
      <c r="AB1755" s="47"/>
      <c r="AC1755" s="47"/>
      <c r="AD1755" s="47"/>
      <c r="AE1755" s="47"/>
      <c r="AF1755" s="47">
        <f t="shared" si="362"/>
        <v>1485</v>
      </c>
      <c r="AG1755" s="47"/>
      <c r="AH1755" s="47" t="str">
        <f>IFERROR(_xlfn.XLOOKUP(Table6[[#This Row],[Suburb]],Table5[Travel Surcharge],Table5[$$]),"")</f>
        <v/>
      </c>
      <c r="AI1755" s="47"/>
      <c r="AJ1755" s="47"/>
    </row>
    <row r="1756" spans="1:36">
      <c r="A1756" s="374" t="s">
        <v>2907</v>
      </c>
      <c r="B1756" s="374">
        <v>4</v>
      </c>
      <c r="C1756" s="374" t="s">
        <v>502</v>
      </c>
      <c r="D1756" s="375" t="str">
        <f t="shared" si="360"/>
        <v>Grace Estate4</v>
      </c>
      <c r="E1756" s="375" t="s">
        <v>2913</v>
      </c>
      <c r="F1756" s="375" t="s">
        <v>2803</v>
      </c>
      <c r="G1756" s="375"/>
      <c r="H1756" s="375" t="s">
        <v>2909</v>
      </c>
      <c r="I1756" s="63" t="s">
        <v>2910</v>
      </c>
      <c r="J1756" s="47">
        <f t="shared" si="363"/>
        <v>3740</v>
      </c>
      <c r="K1756" s="46" t="s">
        <v>10735</v>
      </c>
      <c r="L1756" s="47"/>
      <c r="M1756" s="47"/>
      <c r="N1756" s="47" t="s">
        <v>8120</v>
      </c>
      <c r="O1756" s="47"/>
      <c r="P1756" s="47"/>
      <c r="Q1756" s="47"/>
      <c r="R1756" s="47"/>
      <c r="S1756" s="47"/>
      <c r="T1756" s="47" t="s">
        <v>2212</v>
      </c>
      <c r="U1756" s="47">
        <f t="shared" si="364"/>
        <v>430</v>
      </c>
      <c r="V1756" s="47"/>
      <c r="W1756" s="47"/>
      <c r="X1756" s="47"/>
      <c r="Y1756" s="47"/>
      <c r="Z1756" s="47">
        <f t="shared" si="361"/>
        <v>4620</v>
      </c>
      <c r="AA1756" s="47">
        <f t="shared" si="365"/>
        <v>1400</v>
      </c>
      <c r="AB1756" s="47"/>
      <c r="AC1756" s="47"/>
      <c r="AD1756" s="47"/>
      <c r="AE1756" s="47"/>
      <c r="AF1756" s="47">
        <f t="shared" si="362"/>
        <v>1485</v>
      </c>
      <c r="AG1756" s="47"/>
      <c r="AH1756" s="47" t="str">
        <f>IFERROR(_xlfn.XLOOKUP(Table6[[#This Row],[Suburb]],Table5[Travel Surcharge],Table5[$$]),"")</f>
        <v/>
      </c>
      <c r="AI1756" s="47"/>
      <c r="AJ1756" s="47"/>
    </row>
    <row r="1757" spans="1:36">
      <c r="A1757" s="374" t="s">
        <v>2907</v>
      </c>
      <c r="B1757" s="374">
        <v>5</v>
      </c>
      <c r="C1757" s="374" t="s">
        <v>502</v>
      </c>
      <c r="D1757" s="375" t="str">
        <f t="shared" si="360"/>
        <v>Grace Estate5</v>
      </c>
      <c r="E1757" s="375" t="s">
        <v>2914</v>
      </c>
      <c r="F1757" s="375" t="s">
        <v>2803</v>
      </c>
      <c r="G1757" s="375"/>
      <c r="H1757" s="375" t="s">
        <v>2909</v>
      </c>
      <c r="I1757" s="63" t="s">
        <v>2910</v>
      </c>
      <c r="J1757" s="47">
        <f t="shared" si="363"/>
        <v>3740</v>
      </c>
      <c r="K1757" s="46" t="s">
        <v>10735</v>
      </c>
      <c r="L1757" s="47"/>
      <c r="M1757" s="47"/>
      <c r="N1757" s="47" t="s">
        <v>8120</v>
      </c>
      <c r="O1757" s="47"/>
      <c r="P1757" s="47"/>
      <c r="Q1757" s="47"/>
      <c r="R1757" s="47"/>
      <c r="S1757" s="47"/>
      <c r="T1757" s="47" t="s">
        <v>2212</v>
      </c>
      <c r="U1757" s="47">
        <f t="shared" si="364"/>
        <v>430</v>
      </c>
      <c r="V1757" s="47"/>
      <c r="W1757" s="47"/>
      <c r="X1757" s="47"/>
      <c r="Y1757" s="47"/>
      <c r="Z1757" s="47">
        <f t="shared" si="361"/>
        <v>4620</v>
      </c>
      <c r="AA1757" s="47">
        <f t="shared" si="365"/>
        <v>1400</v>
      </c>
      <c r="AB1757" s="47"/>
      <c r="AC1757" s="47"/>
      <c r="AD1757" s="47"/>
      <c r="AE1757" s="47"/>
      <c r="AF1757" s="47">
        <f t="shared" si="362"/>
        <v>1485</v>
      </c>
      <c r="AG1757" s="47"/>
      <c r="AH1757" s="47" t="str">
        <f>IFERROR(_xlfn.XLOOKUP(Table6[[#This Row],[Suburb]],Table5[Travel Surcharge],Table5[$$]),"")</f>
        <v/>
      </c>
      <c r="AI1757" s="47"/>
      <c r="AJ1757" s="47"/>
    </row>
    <row r="1758" spans="1:36">
      <c r="A1758" s="374" t="s">
        <v>2907</v>
      </c>
      <c r="B1758" s="374">
        <v>6</v>
      </c>
      <c r="C1758" s="374" t="s">
        <v>502</v>
      </c>
      <c r="D1758" s="375" t="str">
        <f t="shared" si="360"/>
        <v>Grace Estate6</v>
      </c>
      <c r="E1758" s="375" t="s">
        <v>2915</v>
      </c>
      <c r="F1758" s="375" t="s">
        <v>2803</v>
      </c>
      <c r="G1758" s="375"/>
      <c r="H1758" s="375" t="s">
        <v>2909</v>
      </c>
      <c r="I1758" s="63" t="s">
        <v>2910</v>
      </c>
      <c r="J1758" s="47">
        <f t="shared" si="363"/>
        <v>3740</v>
      </c>
      <c r="K1758" s="46" t="s">
        <v>10735</v>
      </c>
      <c r="L1758" s="47"/>
      <c r="M1758" s="47"/>
      <c r="N1758" s="47" t="s">
        <v>8120</v>
      </c>
      <c r="O1758" s="47"/>
      <c r="P1758" s="47"/>
      <c r="Q1758" s="47"/>
      <c r="R1758" s="47"/>
      <c r="S1758" s="47"/>
      <c r="T1758" s="47" t="s">
        <v>2212</v>
      </c>
      <c r="U1758" s="47">
        <f t="shared" si="364"/>
        <v>430</v>
      </c>
      <c r="V1758" s="47"/>
      <c r="W1758" s="47"/>
      <c r="X1758" s="47"/>
      <c r="Y1758" s="47"/>
      <c r="Z1758" s="47">
        <f t="shared" si="361"/>
        <v>4620</v>
      </c>
      <c r="AA1758" s="47">
        <f t="shared" si="365"/>
        <v>1400</v>
      </c>
      <c r="AB1758" s="47"/>
      <c r="AC1758" s="47"/>
      <c r="AD1758" s="47"/>
      <c r="AE1758" s="47"/>
      <c r="AF1758" s="47">
        <f t="shared" si="362"/>
        <v>1485</v>
      </c>
      <c r="AG1758" s="47"/>
      <c r="AH1758" s="47" t="str">
        <f>IFERROR(_xlfn.XLOOKUP(Table6[[#This Row],[Suburb]],Table5[Travel Surcharge],Table5[$$]),"")</f>
        <v/>
      </c>
      <c r="AI1758" s="47"/>
      <c r="AJ1758" s="47"/>
    </row>
    <row r="1759" spans="1:36">
      <c r="A1759" s="157" t="s">
        <v>2907</v>
      </c>
      <c r="B1759" s="157">
        <v>7</v>
      </c>
      <c r="C1759" s="157" t="s">
        <v>502</v>
      </c>
      <c r="D1759" s="157" t="str">
        <f t="shared" si="360"/>
        <v>Grace Estate7</v>
      </c>
      <c r="E1759" s="157" t="s">
        <v>8119</v>
      </c>
      <c r="F1759" s="157" t="s">
        <v>2803</v>
      </c>
      <c r="G1759" s="157"/>
      <c r="H1759" s="157" t="s">
        <v>2909</v>
      </c>
      <c r="I1759" s="158" t="s">
        <v>2910</v>
      </c>
      <c r="J1759" s="47">
        <f t="shared" si="363"/>
        <v>3740</v>
      </c>
      <c r="K1759" s="46" t="s">
        <v>10735</v>
      </c>
      <c r="L1759" s="47"/>
      <c r="M1759" s="47"/>
      <c r="N1759" s="47" t="s">
        <v>8120</v>
      </c>
      <c r="O1759" s="47"/>
      <c r="P1759" s="47"/>
      <c r="Q1759" s="47"/>
      <c r="R1759" s="47"/>
      <c r="S1759" s="47"/>
      <c r="T1759" s="47" t="s">
        <v>2212</v>
      </c>
      <c r="U1759" s="47">
        <f t="shared" si="364"/>
        <v>430</v>
      </c>
      <c r="V1759" s="47"/>
      <c r="W1759" s="47"/>
      <c r="X1759" s="47"/>
      <c r="Y1759" s="47"/>
      <c r="Z1759" s="47">
        <f t="shared" si="361"/>
        <v>4620</v>
      </c>
      <c r="AA1759" s="47">
        <f t="shared" si="365"/>
        <v>1400</v>
      </c>
      <c r="AB1759" s="47"/>
      <c r="AC1759" s="47"/>
      <c r="AD1759" s="47"/>
      <c r="AE1759" s="47"/>
      <c r="AF1759" s="47">
        <f t="shared" si="362"/>
        <v>1485</v>
      </c>
      <c r="AG1759" s="47"/>
      <c r="AH1759" s="47" t="str">
        <f>IFERROR(_xlfn.XLOOKUP(Table6[[#This Row],[Suburb]],Table5[Travel Surcharge],Table5[$$]),"")</f>
        <v/>
      </c>
      <c r="AI1759" s="47"/>
      <c r="AJ1759" s="47"/>
    </row>
    <row r="1760" spans="1:36">
      <c r="A1760" s="157" t="s">
        <v>2907</v>
      </c>
      <c r="B1760" s="157">
        <v>8</v>
      </c>
      <c r="C1760" s="157" t="s">
        <v>502</v>
      </c>
      <c r="D1760" s="157" t="str">
        <f t="shared" si="360"/>
        <v>Grace Estate8</v>
      </c>
      <c r="E1760" s="157" t="s">
        <v>8553</v>
      </c>
      <c r="F1760" s="157" t="s">
        <v>2803</v>
      </c>
      <c r="G1760" s="157"/>
      <c r="H1760" s="157" t="s">
        <v>2909</v>
      </c>
      <c r="I1760" s="158" t="s">
        <v>2910</v>
      </c>
      <c r="J1760" s="47">
        <f t="shared" si="363"/>
        <v>3740</v>
      </c>
      <c r="K1760" s="46" t="s">
        <v>10735</v>
      </c>
      <c r="L1760" s="47"/>
      <c r="M1760" s="47"/>
      <c r="N1760" s="47" t="s">
        <v>8120</v>
      </c>
      <c r="O1760" s="47"/>
      <c r="P1760" s="47"/>
      <c r="Q1760" s="47"/>
      <c r="R1760" s="47"/>
      <c r="S1760" s="47"/>
      <c r="T1760" s="47" t="s">
        <v>2212</v>
      </c>
      <c r="U1760" s="47">
        <f t="shared" si="364"/>
        <v>430</v>
      </c>
      <c r="V1760" s="47"/>
      <c r="W1760" s="47"/>
      <c r="X1760" s="47"/>
      <c r="Y1760" s="47"/>
      <c r="Z1760" s="47">
        <f t="shared" si="361"/>
        <v>4620</v>
      </c>
      <c r="AA1760" s="47">
        <f t="shared" si="365"/>
        <v>1400</v>
      </c>
      <c r="AB1760" s="47"/>
      <c r="AC1760" s="47"/>
      <c r="AD1760" s="47"/>
      <c r="AE1760" s="47"/>
      <c r="AF1760" s="47">
        <f t="shared" si="362"/>
        <v>1485</v>
      </c>
      <c r="AG1760" s="47"/>
      <c r="AH1760" s="47" t="str">
        <f>IFERROR(_xlfn.XLOOKUP(Table6[[#This Row],[Suburb]],Table5[Travel Surcharge],Table5[$$]),"")</f>
        <v/>
      </c>
      <c r="AI1760" s="47"/>
      <c r="AJ1760" s="47"/>
    </row>
    <row r="1761" spans="1:36">
      <c r="A1761" s="157" t="s">
        <v>2907</v>
      </c>
      <c r="B1761" s="157">
        <v>10</v>
      </c>
      <c r="C1761" s="157" t="s">
        <v>502</v>
      </c>
      <c r="D1761" s="157" t="str">
        <f t="shared" si="360"/>
        <v>Grace Estate10</v>
      </c>
      <c r="E1761" s="157" t="s">
        <v>8553</v>
      </c>
      <c r="F1761" s="157" t="s">
        <v>2803</v>
      </c>
      <c r="G1761" s="157"/>
      <c r="H1761" s="157" t="s">
        <v>2909</v>
      </c>
      <c r="I1761" s="158" t="s">
        <v>2910</v>
      </c>
      <c r="J1761" s="47">
        <f t="shared" si="363"/>
        <v>3740</v>
      </c>
      <c r="K1761" s="46" t="s">
        <v>10735</v>
      </c>
      <c r="L1761" s="47"/>
      <c r="M1761" s="47"/>
      <c r="N1761" s="47" t="s">
        <v>8120</v>
      </c>
      <c r="O1761" s="47"/>
      <c r="P1761" s="47"/>
      <c r="Q1761" s="47"/>
      <c r="R1761" s="47"/>
      <c r="S1761" s="47"/>
      <c r="T1761" s="47" t="s">
        <v>2212</v>
      </c>
      <c r="U1761" s="47">
        <f t="shared" si="364"/>
        <v>430</v>
      </c>
      <c r="V1761" s="47"/>
      <c r="W1761" s="47"/>
      <c r="X1761" s="47"/>
      <c r="Y1761" s="47"/>
      <c r="Z1761" s="47">
        <f t="shared" si="361"/>
        <v>4620</v>
      </c>
      <c r="AA1761" s="47">
        <f t="shared" si="365"/>
        <v>1400</v>
      </c>
      <c r="AB1761" s="47"/>
      <c r="AC1761" s="47"/>
      <c r="AD1761" s="47"/>
      <c r="AE1761" s="47"/>
      <c r="AF1761" s="47">
        <f t="shared" si="362"/>
        <v>1485</v>
      </c>
      <c r="AG1761" s="47"/>
      <c r="AH1761" s="47" t="str">
        <f>IFERROR(_xlfn.XLOOKUP(Table6[[#This Row],[Suburb]],Table5[Travel Surcharge],Table5[$$]),"")</f>
        <v/>
      </c>
      <c r="AI1761" s="47"/>
      <c r="AJ1761" s="47"/>
    </row>
    <row r="1762" spans="1:36">
      <c r="A1762" s="157" t="s">
        <v>2907</v>
      </c>
      <c r="B1762" s="157">
        <v>11</v>
      </c>
      <c r="C1762" s="157" t="s">
        <v>502</v>
      </c>
      <c r="D1762" s="157" t="str">
        <f t="shared" si="360"/>
        <v>Grace Estate11</v>
      </c>
      <c r="E1762" s="157" t="s">
        <v>8553</v>
      </c>
      <c r="F1762" s="157" t="s">
        <v>2803</v>
      </c>
      <c r="G1762" s="157"/>
      <c r="H1762" s="157" t="s">
        <v>2909</v>
      </c>
      <c r="I1762" s="158" t="s">
        <v>2910</v>
      </c>
      <c r="J1762" s="47">
        <f t="shared" si="363"/>
        <v>3740</v>
      </c>
      <c r="K1762" s="46" t="s">
        <v>10735</v>
      </c>
      <c r="L1762" s="47"/>
      <c r="M1762" s="47"/>
      <c r="N1762" s="47" t="s">
        <v>8120</v>
      </c>
      <c r="O1762" s="47"/>
      <c r="P1762" s="47"/>
      <c r="Q1762" s="47"/>
      <c r="R1762" s="47"/>
      <c r="S1762" s="47"/>
      <c r="T1762" s="47" t="s">
        <v>2212</v>
      </c>
      <c r="U1762" s="47">
        <f t="shared" si="364"/>
        <v>430</v>
      </c>
      <c r="V1762" s="47"/>
      <c r="W1762" s="47"/>
      <c r="X1762" s="47"/>
      <c r="Y1762" s="47"/>
      <c r="Z1762" s="47">
        <f t="shared" si="361"/>
        <v>4620</v>
      </c>
      <c r="AA1762" s="47">
        <f t="shared" si="365"/>
        <v>1400</v>
      </c>
      <c r="AB1762" s="47"/>
      <c r="AC1762" s="47"/>
      <c r="AD1762" s="47"/>
      <c r="AE1762" s="47"/>
      <c r="AF1762" s="47">
        <f t="shared" si="362"/>
        <v>1485</v>
      </c>
      <c r="AG1762" s="47"/>
      <c r="AH1762" s="47" t="str">
        <f>IFERROR(_xlfn.XLOOKUP(Table6[[#This Row],[Suburb]],Table5[Travel Surcharge],Table5[$$]),"")</f>
        <v/>
      </c>
      <c r="AI1762" s="47"/>
      <c r="AJ1762" s="47"/>
    </row>
    <row r="1763" spans="1:36">
      <c r="A1763" s="374" t="s">
        <v>2916</v>
      </c>
      <c r="B1763" s="374">
        <v>1</v>
      </c>
      <c r="C1763" s="374" t="s">
        <v>502</v>
      </c>
      <c r="D1763" s="375" t="str">
        <f t="shared" si="360"/>
        <v>Grand Central Estate1</v>
      </c>
      <c r="E1763" s="375" t="s">
        <v>2917</v>
      </c>
      <c r="F1763" s="375" t="s">
        <v>2918</v>
      </c>
      <c r="G1763" s="375" t="s">
        <v>2919</v>
      </c>
      <c r="H1763" s="375" t="s">
        <v>2920</v>
      </c>
      <c r="I1763" s="63" t="s">
        <v>2921</v>
      </c>
      <c r="J1763" s="47">
        <f t="shared" si="363"/>
        <v>3740</v>
      </c>
      <c r="K1763" s="46" t="s">
        <v>10735</v>
      </c>
      <c r="L1763" s="47">
        <f t="shared" ref="L1763:L1775" si="366">L$7</f>
        <v>1210</v>
      </c>
      <c r="M1763" s="47"/>
      <c r="N1763" s="47"/>
      <c r="O1763" s="47"/>
      <c r="P1763" s="47"/>
      <c r="Q1763" s="47"/>
      <c r="R1763" s="47"/>
      <c r="S1763" s="47" t="s">
        <v>967</v>
      </c>
      <c r="T1763" s="47"/>
      <c r="U1763" s="47"/>
      <c r="V1763" s="47"/>
      <c r="W1763" s="47"/>
      <c r="X1763" s="47"/>
      <c r="Y1763" s="47"/>
      <c r="Z1763" s="47">
        <f t="shared" si="361"/>
        <v>4620</v>
      </c>
      <c r="AA1763" s="47">
        <f t="shared" ref="AA1763:AA1775" si="367">AA$7</f>
        <v>1400</v>
      </c>
      <c r="AB1763" s="47"/>
      <c r="AC1763" s="47"/>
      <c r="AD1763" s="47" t="s">
        <v>1</v>
      </c>
      <c r="AE1763" s="47"/>
      <c r="AF1763" s="47">
        <f t="shared" si="362"/>
        <v>1485</v>
      </c>
      <c r="AG1763" s="47"/>
      <c r="AH1763" s="47" t="str">
        <f>IFERROR(_xlfn.XLOOKUP(Table6[[#This Row],[Suburb]],Table5[Travel Surcharge],Table5[$$]),"")</f>
        <v/>
      </c>
      <c r="AI1763" s="47"/>
      <c r="AJ1763" s="47"/>
    </row>
    <row r="1764" spans="1:36">
      <c r="A1764" s="374" t="s">
        <v>2916</v>
      </c>
      <c r="B1764" s="374">
        <v>2</v>
      </c>
      <c r="C1764" s="374" t="s">
        <v>502</v>
      </c>
      <c r="D1764" s="375" t="str">
        <f t="shared" si="360"/>
        <v>Grand Central Estate2</v>
      </c>
      <c r="E1764" s="375" t="s">
        <v>2922</v>
      </c>
      <c r="F1764" s="375" t="s">
        <v>2918</v>
      </c>
      <c r="G1764" s="375" t="s">
        <v>2919</v>
      </c>
      <c r="H1764" s="375" t="s">
        <v>2920</v>
      </c>
      <c r="I1764" s="63" t="s">
        <v>2921</v>
      </c>
      <c r="J1764" s="47">
        <f t="shared" si="363"/>
        <v>3740</v>
      </c>
      <c r="K1764" s="46" t="s">
        <v>10735</v>
      </c>
      <c r="L1764" s="47">
        <f t="shared" si="366"/>
        <v>1210</v>
      </c>
      <c r="M1764" s="47"/>
      <c r="N1764" s="47"/>
      <c r="O1764" s="47"/>
      <c r="P1764" s="47"/>
      <c r="Q1764" s="47"/>
      <c r="R1764" s="47"/>
      <c r="S1764" s="47" t="s">
        <v>967</v>
      </c>
      <c r="T1764" s="47"/>
      <c r="U1764" s="47"/>
      <c r="V1764" s="47"/>
      <c r="W1764" s="47"/>
      <c r="X1764" s="47"/>
      <c r="Y1764" s="47"/>
      <c r="Z1764" s="47">
        <f t="shared" si="361"/>
        <v>4620</v>
      </c>
      <c r="AA1764" s="47">
        <f t="shared" si="367"/>
        <v>1400</v>
      </c>
      <c r="AB1764" s="47"/>
      <c r="AC1764" s="47"/>
      <c r="AD1764" s="47" t="s">
        <v>1</v>
      </c>
      <c r="AE1764" s="47"/>
      <c r="AF1764" s="47">
        <f t="shared" si="362"/>
        <v>1485</v>
      </c>
      <c r="AG1764" s="47"/>
      <c r="AH1764" s="47" t="str">
        <f>IFERROR(_xlfn.XLOOKUP(Table6[[#This Row],[Suburb]],Table5[Travel Surcharge],Table5[$$]),"")</f>
        <v/>
      </c>
      <c r="AI1764" s="47"/>
      <c r="AJ1764" s="47"/>
    </row>
    <row r="1765" spans="1:36">
      <c r="A1765" s="374" t="s">
        <v>2916</v>
      </c>
      <c r="B1765" s="374">
        <v>3</v>
      </c>
      <c r="C1765" s="374" t="s">
        <v>502</v>
      </c>
      <c r="D1765" s="375" t="str">
        <f t="shared" si="360"/>
        <v>Grand Central Estate3</v>
      </c>
      <c r="E1765" s="375" t="s">
        <v>2923</v>
      </c>
      <c r="F1765" s="375" t="s">
        <v>2918</v>
      </c>
      <c r="G1765" s="375" t="s">
        <v>2919</v>
      </c>
      <c r="H1765" s="375" t="s">
        <v>2920</v>
      </c>
      <c r="I1765" s="63" t="s">
        <v>2921</v>
      </c>
      <c r="J1765" s="47">
        <f t="shared" si="363"/>
        <v>3740</v>
      </c>
      <c r="K1765" s="46" t="s">
        <v>10735</v>
      </c>
      <c r="L1765" s="47">
        <f t="shared" si="366"/>
        <v>1210</v>
      </c>
      <c r="M1765" s="47"/>
      <c r="N1765" s="47"/>
      <c r="O1765" s="47"/>
      <c r="P1765" s="47"/>
      <c r="Q1765" s="47"/>
      <c r="R1765" s="47"/>
      <c r="S1765" s="47" t="s">
        <v>967</v>
      </c>
      <c r="T1765" s="47"/>
      <c r="U1765" s="47"/>
      <c r="V1765" s="47"/>
      <c r="W1765" s="47"/>
      <c r="X1765" s="47"/>
      <c r="Y1765" s="47"/>
      <c r="Z1765" s="47">
        <f t="shared" si="361"/>
        <v>4620</v>
      </c>
      <c r="AA1765" s="47">
        <f t="shared" si="367"/>
        <v>1400</v>
      </c>
      <c r="AB1765" s="47"/>
      <c r="AC1765" s="47"/>
      <c r="AD1765" s="47" t="s">
        <v>1</v>
      </c>
      <c r="AE1765" s="47"/>
      <c r="AF1765" s="47">
        <f t="shared" si="362"/>
        <v>1485</v>
      </c>
      <c r="AG1765" s="47"/>
      <c r="AH1765" s="47" t="str">
        <f>IFERROR(_xlfn.XLOOKUP(Table6[[#This Row],[Suburb]],Table5[Travel Surcharge],Table5[$$]),"")</f>
        <v/>
      </c>
      <c r="AI1765" s="47"/>
      <c r="AJ1765" s="47"/>
    </row>
    <row r="1766" spans="1:36">
      <c r="A1766" s="374" t="s">
        <v>2916</v>
      </c>
      <c r="B1766" s="374">
        <v>4</v>
      </c>
      <c r="C1766" s="374" t="s">
        <v>502</v>
      </c>
      <c r="D1766" s="375" t="str">
        <f t="shared" si="360"/>
        <v>Grand Central Estate4</v>
      </c>
      <c r="E1766" s="375" t="s">
        <v>2924</v>
      </c>
      <c r="F1766" s="375" t="s">
        <v>2918</v>
      </c>
      <c r="G1766" s="375" t="s">
        <v>2919</v>
      </c>
      <c r="H1766" s="375" t="s">
        <v>2920</v>
      </c>
      <c r="I1766" s="63" t="s">
        <v>2921</v>
      </c>
      <c r="J1766" s="47">
        <f t="shared" si="363"/>
        <v>3740</v>
      </c>
      <c r="K1766" s="46" t="s">
        <v>10735</v>
      </c>
      <c r="L1766" s="47">
        <f t="shared" si="366"/>
        <v>1210</v>
      </c>
      <c r="M1766" s="47"/>
      <c r="N1766" s="47"/>
      <c r="O1766" s="47"/>
      <c r="P1766" s="47"/>
      <c r="Q1766" s="47"/>
      <c r="R1766" s="47"/>
      <c r="S1766" s="47" t="s">
        <v>967</v>
      </c>
      <c r="T1766" s="47"/>
      <c r="U1766" s="47"/>
      <c r="V1766" s="47"/>
      <c r="W1766" s="47"/>
      <c r="X1766" s="47"/>
      <c r="Y1766" s="47"/>
      <c r="Z1766" s="47">
        <f t="shared" si="361"/>
        <v>4620</v>
      </c>
      <c r="AA1766" s="47">
        <f t="shared" si="367"/>
        <v>1400</v>
      </c>
      <c r="AB1766" s="47"/>
      <c r="AC1766" s="47"/>
      <c r="AD1766" s="47" t="s">
        <v>1</v>
      </c>
      <c r="AE1766" s="47"/>
      <c r="AF1766" s="47">
        <f t="shared" si="362"/>
        <v>1485</v>
      </c>
      <c r="AG1766" s="47"/>
      <c r="AH1766" s="47" t="str">
        <f>IFERROR(_xlfn.XLOOKUP(Table6[[#This Row],[Suburb]],Table5[Travel Surcharge],Table5[$$]),"")</f>
        <v/>
      </c>
      <c r="AI1766" s="47"/>
      <c r="AJ1766" s="47"/>
    </row>
    <row r="1767" spans="1:36" ht="15.75" customHeight="1">
      <c r="A1767" s="374" t="s">
        <v>2916</v>
      </c>
      <c r="B1767" s="374">
        <v>7</v>
      </c>
      <c r="C1767" s="374" t="s">
        <v>502</v>
      </c>
      <c r="D1767" s="375" t="str">
        <f t="shared" si="360"/>
        <v>Grand Central Estate7</v>
      </c>
      <c r="E1767" s="375" t="s">
        <v>2925</v>
      </c>
      <c r="F1767" s="375" t="s">
        <v>2918</v>
      </c>
      <c r="G1767" s="375" t="s">
        <v>2919</v>
      </c>
      <c r="H1767" s="375" t="s">
        <v>2920</v>
      </c>
      <c r="I1767" s="63" t="s">
        <v>2921</v>
      </c>
      <c r="J1767" s="47">
        <f t="shared" si="363"/>
        <v>3740</v>
      </c>
      <c r="K1767" s="46" t="s">
        <v>10735</v>
      </c>
      <c r="L1767" s="47">
        <f t="shared" si="366"/>
        <v>1210</v>
      </c>
      <c r="M1767" s="47"/>
      <c r="N1767" s="47"/>
      <c r="O1767" s="47"/>
      <c r="P1767" s="47"/>
      <c r="Q1767" s="47"/>
      <c r="R1767" s="47"/>
      <c r="S1767" s="47" t="s">
        <v>967</v>
      </c>
      <c r="T1767" s="47"/>
      <c r="U1767" s="47"/>
      <c r="V1767" s="47"/>
      <c r="W1767" s="47"/>
      <c r="X1767" s="47"/>
      <c r="Y1767" s="47"/>
      <c r="Z1767" s="47">
        <f t="shared" si="361"/>
        <v>4620</v>
      </c>
      <c r="AA1767" s="47">
        <f t="shared" si="367"/>
        <v>1400</v>
      </c>
      <c r="AB1767" s="47"/>
      <c r="AC1767" s="47"/>
      <c r="AD1767" s="47" t="s">
        <v>1</v>
      </c>
      <c r="AE1767" s="47"/>
      <c r="AF1767" s="47">
        <f t="shared" si="362"/>
        <v>1485</v>
      </c>
      <c r="AG1767" s="47"/>
      <c r="AH1767" s="47" t="str">
        <f>IFERROR(_xlfn.XLOOKUP(Table6[[#This Row],[Suburb]],Table5[Travel Surcharge],Table5[$$]),"")</f>
        <v/>
      </c>
      <c r="AI1767" s="47"/>
      <c r="AJ1767" s="47"/>
    </row>
    <row r="1768" spans="1:36" ht="15.75" customHeight="1">
      <c r="A1768" s="374" t="s">
        <v>2916</v>
      </c>
      <c r="B1768" s="374">
        <v>8</v>
      </c>
      <c r="C1768" s="374" t="s">
        <v>502</v>
      </c>
      <c r="D1768" s="375" t="str">
        <f t="shared" si="360"/>
        <v>Grand Central Estate8</v>
      </c>
      <c r="E1768" s="375" t="s">
        <v>2926</v>
      </c>
      <c r="F1768" s="375" t="s">
        <v>2918</v>
      </c>
      <c r="G1768" s="375" t="s">
        <v>2919</v>
      </c>
      <c r="H1768" s="375" t="s">
        <v>2920</v>
      </c>
      <c r="I1768" s="63" t="s">
        <v>2921</v>
      </c>
      <c r="J1768" s="47">
        <f t="shared" si="363"/>
        <v>3740</v>
      </c>
      <c r="K1768" s="46" t="s">
        <v>10735</v>
      </c>
      <c r="L1768" s="47">
        <f t="shared" si="366"/>
        <v>1210</v>
      </c>
      <c r="M1768" s="47"/>
      <c r="N1768" s="47"/>
      <c r="O1768" s="47"/>
      <c r="P1768" s="47"/>
      <c r="Q1768" s="47"/>
      <c r="R1768" s="47"/>
      <c r="S1768" s="47" t="s">
        <v>967</v>
      </c>
      <c r="T1768" s="47"/>
      <c r="U1768" s="47"/>
      <c r="V1768" s="47"/>
      <c r="W1768" s="47"/>
      <c r="X1768" s="47"/>
      <c r="Y1768" s="47"/>
      <c r="Z1768" s="47">
        <f t="shared" si="361"/>
        <v>4620</v>
      </c>
      <c r="AA1768" s="47">
        <f t="shared" si="367"/>
        <v>1400</v>
      </c>
      <c r="AB1768" s="47"/>
      <c r="AC1768" s="47"/>
      <c r="AD1768" s="47" t="s">
        <v>1</v>
      </c>
      <c r="AE1768" s="47"/>
      <c r="AF1768" s="47">
        <f t="shared" si="362"/>
        <v>1485</v>
      </c>
      <c r="AG1768" s="47"/>
      <c r="AH1768" s="47" t="str">
        <f>IFERROR(_xlfn.XLOOKUP(Table6[[#This Row],[Suburb]],Table5[Travel Surcharge],Table5[$$]),"")</f>
        <v/>
      </c>
      <c r="AI1768" s="47"/>
      <c r="AJ1768" s="47"/>
    </row>
    <row r="1769" spans="1:36">
      <c r="A1769" s="374" t="s">
        <v>2916</v>
      </c>
      <c r="B1769" s="374">
        <v>9</v>
      </c>
      <c r="C1769" s="374" t="s">
        <v>502</v>
      </c>
      <c r="D1769" s="375" t="str">
        <f t="shared" si="360"/>
        <v>Grand Central Estate9</v>
      </c>
      <c r="E1769" s="375" t="s">
        <v>2927</v>
      </c>
      <c r="F1769" s="375" t="s">
        <v>2918</v>
      </c>
      <c r="G1769" s="375" t="s">
        <v>2919</v>
      </c>
      <c r="H1769" s="375" t="s">
        <v>2920</v>
      </c>
      <c r="I1769" s="63" t="s">
        <v>2921</v>
      </c>
      <c r="J1769" s="47">
        <f t="shared" si="363"/>
        <v>3740</v>
      </c>
      <c r="K1769" s="46" t="s">
        <v>10735</v>
      </c>
      <c r="L1769" s="47">
        <f t="shared" si="366"/>
        <v>1210</v>
      </c>
      <c r="M1769" s="47"/>
      <c r="N1769" s="47" t="s">
        <v>2928</v>
      </c>
      <c r="O1769" s="47"/>
      <c r="P1769" s="47"/>
      <c r="Q1769" s="47"/>
      <c r="R1769" s="47"/>
      <c r="S1769" s="47" t="s">
        <v>967</v>
      </c>
      <c r="T1769" s="47"/>
      <c r="U1769" s="47"/>
      <c r="V1769" s="47" t="s">
        <v>2929</v>
      </c>
      <c r="W1769" s="47"/>
      <c r="X1769" s="47"/>
      <c r="Y1769" s="47"/>
      <c r="Z1769" s="47">
        <f t="shared" si="361"/>
        <v>4620</v>
      </c>
      <c r="AA1769" s="47">
        <f t="shared" si="367"/>
        <v>1400</v>
      </c>
      <c r="AB1769" s="47">
        <f>AB$7</f>
        <v>2800</v>
      </c>
      <c r="AC1769" s="47"/>
      <c r="AD1769" s="47" t="s">
        <v>1</v>
      </c>
      <c r="AE1769" s="47"/>
      <c r="AF1769" s="47">
        <f t="shared" si="362"/>
        <v>1485</v>
      </c>
      <c r="AG1769" s="47"/>
      <c r="AH1769" s="47" t="str">
        <f>IFERROR(_xlfn.XLOOKUP(Table6[[#This Row],[Suburb]],Table5[Travel Surcharge],Table5[$$]),"")</f>
        <v/>
      </c>
      <c r="AI1769" s="47"/>
      <c r="AJ1769" s="47"/>
    </row>
    <row r="1770" spans="1:36">
      <c r="A1770" s="374" t="s">
        <v>2916</v>
      </c>
      <c r="B1770" s="374">
        <v>10</v>
      </c>
      <c r="C1770" s="374" t="s">
        <v>502</v>
      </c>
      <c r="D1770" s="375" t="str">
        <f t="shared" si="360"/>
        <v>Grand Central Estate10</v>
      </c>
      <c r="E1770" s="375" t="s">
        <v>2930</v>
      </c>
      <c r="F1770" s="375" t="s">
        <v>2918</v>
      </c>
      <c r="G1770" s="375" t="s">
        <v>2919</v>
      </c>
      <c r="H1770" s="375" t="s">
        <v>2920</v>
      </c>
      <c r="I1770" s="63" t="s">
        <v>2921</v>
      </c>
      <c r="J1770" s="47">
        <f t="shared" si="363"/>
        <v>3740</v>
      </c>
      <c r="K1770" s="46" t="s">
        <v>10735</v>
      </c>
      <c r="L1770" s="47">
        <f t="shared" si="366"/>
        <v>1210</v>
      </c>
      <c r="M1770" s="47"/>
      <c r="N1770" s="47" t="s">
        <v>2928</v>
      </c>
      <c r="O1770" s="47"/>
      <c r="P1770" s="47"/>
      <c r="Q1770" s="47"/>
      <c r="R1770" s="47"/>
      <c r="S1770" s="47" t="s">
        <v>967</v>
      </c>
      <c r="T1770" s="47"/>
      <c r="U1770" s="47"/>
      <c r="V1770" s="47" t="s">
        <v>2929</v>
      </c>
      <c r="W1770" s="47"/>
      <c r="X1770" s="47"/>
      <c r="Y1770" s="47"/>
      <c r="Z1770" s="47">
        <f t="shared" si="361"/>
        <v>4620</v>
      </c>
      <c r="AA1770" s="47">
        <f t="shared" si="367"/>
        <v>1400</v>
      </c>
      <c r="AB1770" s="47">
        <f>AB$7</f>
        <v>2800</v>
      </c>
      <c r="AC1770" s="47"/>
      <c r="AD1770" s="47" t="s">
        <v>1</v>
      </c>
      <c r="AE1770" s="47"/>
      <c r="AF1770" s="47">
        <f t="shared" si="362"/>
        <v>1485</v>
      </c>
      <c r="AG1770" s="47"/>
      <c r="AH1770" s="47" t="str">
        <f>IFERROR(_xlfn.XLOOKUP(Table6[[#This Row],[Suburb]],Table5[Travel Surcharge],Table5[$$]),"")</f>
        <v/>
      </c>
      <c r="AI1770" s="47"/>
      <c r="AJ1770" s="47"/>
    </row>
    <row r="1771" spans="1:36">
      <c r="A1771" s="374" t="s">
        <v>2916</v>
      </c>
      <c r="B1771" s="374">
        <v>11</v>
      </c>
      <c r="C1771" s="374" t="s">
        <v>502</v>
      </c>
      <c r="D1771" s="375" t="str">
        <f t="shared" si="360"/>
        <v>Grand Central Estate11</v>
      </c>
      <c r="E1771" s="375" t="s">
        <v>2931</v>
      </c>
      <c r="F1771" s="375" t="s">
        <v>2918</v>
      </c>
      <c r="G1771" s="375" t="s">
        <v>2919</v>
      </c>
      <c r="H1771" s="375" t="s">
        <v>2920</v>
      </c>
      <c r="I1771" s="63" t="s">
        <v>2921</v>
      </c>
      <c r="J1771" s="47">
        <f t="shared" si="363"/>
        <v>3740</v>
      </c>
      <c r="K1771" s="46" t="s">
        <v>10735</v>
      </c>
      <c r="L1771" s="47">
        <f t="shared" si="366"/>
        <v>1210</v>
      </c>
      <c r="M1771" s="47"/>
      <c r="N1771" s="47"/>
      <c r="O1771" s="47"/>
      <c r="P1771" s="47"/>
      <c r="Q1771" s="47"/>
      <c r="R1771" s="47"/>
      <c r="S1771" s="47" t="s">
        <v>967</v>
      </c>
      <c r="T1771" s="47"/>
      <c r="U1771" s="47"/>
      <c r="V1771" s="47"/>
      <c r="W1771" s="47"/>
      <c r="X1771" s="47"/>
      <c r="Y1771" s="47"/>
      <c r="Z1771" s="47">
        <f t="shared" si="361"/>
        <v>4620</v>
      </c>
      <c r="AA1771" s="47">
        <f t="shared" si="367"/>
        <v>1400</v>
      </c>
      <c r="AB1771" s="47"/>
      <c r="AC1771" s="47"/>
      <c r="AD1771" s="47" t="s">
        <v>1</v>
      </c>
      <c r="AE1771" s="47"/>
      <c r="AF1771" s="47">
        <f t="shared" si="362"/>
        <v>1485</v>
      </c>
      <c r="AG1771" s="47"/>
      <c r="AH1771" s="47" t="str">
        <f>IFERROR(_xlfn.XLOOKUP(Table6[[#This Row],[Suburb]],Table5[Travel Surcharge],Table5[$$]),"")</f>
        <v/>
      </c>
      <c r="AI1771" s="47"/>
      <c r="AJ1771" s="47"/>
    </row>
    <row r="1772" spans="1:36">
      <c r="A1772" s="374" t="s">
        <v>2916</v>
      </c>
      <c r="B1772" s="374">
        <v>12</v>
      </c>
      <c r="C1772" s="374" t="s">
        <v>502</v>
      </c>
      <c r="D1772" s="375" t="str">
        <f t="shared" si="360"/>
        <v>Grand Central Estate12</v>
      </c>
      <c r="E1772" s="375" t="s">
        <v>2932</v>
      </c>
      <c r="F1772" s="375" t="s">
        <v>2918</v>
      </c>
      <c r="G1772" s="375" t="s">
        <v>2919</v>
      </c>
      <c r="H1772" s="375" t="s">
        <v>2920</v>
      </c>
      <c r="I1772" s="63" t="s">
        <v>2921</v>
      </c>
      <c r="J1772" s="47">
        <f t="shared" si="363"/>
        <v>3740</v>
      </c>
      <c r="K1772" s="46" t="s">
        <v>10735</v>
      </c>
      <c r="L1772" s="47">
        <f t="shared" si="366"/>
        <v>1210</v>
      </c>
      <c r="M1772" s="47" t="s">
        <v>2933</v>
      </c>
      <c r="N1772" s="47"/>
      <c r="O1772" s="47"/>
      <c r="P1772" s="47"/>
      <c r="Q1772" s="47"/>
      <c r="R1772" s="47"/>
      <c r="S1772" s="47" t="s">
        <v>967</v>
      </c>
      <c r="T1772" s="47"/>
      <c r="U1772" s="47"/>
      <c r="V1772" s="47"/>
      <c r="W1772" s="47"/>
      <c r="X1772" s="47"/>
      <c r="Y1772" s="47"/>
      <c r="Z1772" s="47">
        <f t="shared" si="361"/>
        <v>4620</v>
      </c>
      <c r="AA1772" s="47">
        <f t="shared" si="367"/>
        <v>1400</v>
      </c>
      <c r="AB1772" s="47"/>
      <c r="AC1772" s="47"/>
      <c r="AD1772" s="47" t="s">
        <v>1</v>
      </c>
      <c r="AE1772" s="47"/>
      <c r="AF1772" s="47">
        <f t="shared" si="362"/>
        <v>1485</v>
      </c>
      <c r="AG1772" s="47"/>
      <c r="AH1772" s="47" t="str">
        <f>IFERROR(_xlfn.XLOOKUP(Table6[[#This Row],[Suburb]],Table5[Travel Surcharge],Table5[$$]),"")</f>
        <v/>
      </c>
      <c r="AI1772" s="47"/>
      <c r="AJ1772" s="47"/>
    </row>
    <row r="1773" spans="1:36">
      <c r="A1773" s="374" t="s">
        <v>2916</v>
      </c>
      <c r="B1773" s="374">
        <v>13</v>
      </c>
      <c r="C1773" s="374" t="s">
        <v>502</v>
      </c>
      <c r="D1773" s="375" t="str">
        <f t="shared" si="360"/>
        <v>Grand Central Estate13</v>
      </c>
      <c r="E1773" s="375" t="s">
        <v>2934</v>
      </c>
      <c r="F1773" s="375" t="s">
        <v>2918</v>
      </c>
      <c r="G1773" s="375" t="s">
        <v>2919</v>
      </c>
      <c r="H1773" s="375" t="s">
        <v>2920</v>
      </c>
      <c r="I1773" s="63" t="s">
        <v>2921</v>
      </c>
      <c r="J1773" s="47">
        <f t="shared" si="363"/>
        <v>3740</v>
      </c>
      <c r="K1773" s="46" t="s">
        <v>10735</v>
      </c>
      <c r="L1773" s="47">
        <f t="shared" si="366"/>
        <v>1210</v>
      </c>
      <c r="M1773" s="47" t="s">
        <v>2933</v>
      </c>
      <c r="N1773" s="47"/>
      <c r="O1773" s="47"/>
      <c r="P1773" s="47"/>
      <c r="Q1773" s="47"/>
      <c r="R1773" s="47"/>
      <c r="S1773" s="47" t="s">
        <v>967</v>
      </c>
      <c r="T1773" s="47"/>
      <c r="U1773" s="47"/>
      <c r="V1773" s="47"/>
      <c r="W1773" s="47"/>
      <c r="X1773" s="47"/>
      <c r="Y1773" s="47"/>
      <c r="Z1773" s="47">
        <f t="shared" si="361"/>
        <v>4620</v>
      </c>
      <c r="AA1773" s="47">
        <f t="shared" si="367"/>
        <v>1400</v>
      </c>
      <c r="AB1773" s="47"/>
      <c r="AC1773" s="47"/>
      <c r="AD1773" s="47" t="s">
        <v>1</v>
      </c>
      <c r="AE1773" s="47"/>
      <c r="AF1773" s="47">
        <f t="shared" si="362"/>
        <v>1485</v>
      </c>
      <c r="AG1773" s="47"/>
      <c r="AH1773" s="47" t="str">
        <f>IFERROR(_xlfn.XLOOKUP(Table6[[#This Row],[Suburb]],Table5[Travel Surcharge],Table5[$$]),"")</f>
        <v/>
      </c>
      <c r="AI1773" s="47"/>
      <c r="AJ1773" s="47"/>
    </row>
    <row r="1774" spans="1:36">
      <c r="A1774" s="374" t="s">
        <v>2916</v>
      </c>
      <c r="B1774" s="374">
        <v>14</v>
      </c>
      <c r="C1774" s="374" t="s">
        <v>502</v>
      </c>
      <c r="D1774" s="375" t="str">
        <f t="shared" si="360"/>
        <v>Grand Central Estate14</v>
      </c>
      <c r="E1774" s="375" t="s">
        <v>2935</v>
      </c>
      <c r="F1774" s="375" t="s">
        <v>2918</v>
      </c>
      <c r="G1774" s="375" t="s">
        <v>2919</v>
      </c>
      <c r="H1774" s="375" t="s">
        <v>2920</v>
      </c>
      <c r="I1774" s="63" t="s">
        <v>2921</v>
      </c>
      <c r="J1774" s="47">
        <f t="shared" si="363"/>
        <v>3740</v>
      </c>
      <c r="K1774" s="46" t="s">
        <v>10735</v>
      </c>
      <c r="L1774" s="47">
        <f t="shared" si="366"/>
        <v>1210</v>
      </c>
      <c r="M1774" s="47" t="s">
        <v>2933</v>
      </c>
      <c r="N1774" s="47"/>
      <c r="O1774" s="47"/>
      <c r="P1774" s="47"/>
      <c r="Q1774" s="47"/>
      <c r="R1774" s="47"/>
      <c r="S1774" s="47" t="s">
        <v>967</v>
      </c>
      <c r="T1774" s="47"/>
      <c r="U1774" s="47"/>
      <c r="V1774" s="47"/>
      <c r="W1774" s="47"/>
      <c r="X1774" s="47"/>
      <c r="Y1774" s="47"/>
      <c r="Z1774" s="47">
        <f t="shared" si="361"/>
        <v>4620</v>
      </c>
      <c r="AA1774" s="47">
        <f t="shared" si="367"/>
        <v>1400</v>
      </c>
      <c r="AB1774" s="47"/>
      <c r="AC1774" s="47"/>
      <c r="AD1774" s="47" t="s">
        <v>1</v>
      </c>
      <c r="AE1774" s="47"/>
      <c r="AF1774" s="47">
        <f t="shared" si="362"/>
        <v>1485</v>
      </c>
      <c r="AG1774" s="47"/>
      <c r="AH1774" s="47" t="str">
        <f>IFERROR(_xlfn.XLOOKUP(Table6[[#This Row],[Suburb]],Table5[Travel Surcharge],Table5[$$]),"")</f>
        <v/>
      </c>
      <c r="AI1774" s="47"/>
      <c r="AJ1774" s="47"/>
    </row>
    <row r="1775" spans="1:36">
      <c r="A1775" s="157" t="s">
        <v>2916</v>
      </c>
      <c r="B1775" s="157">
        <v>15</v>
      </c>
      <c r="C1775" s="157" t="s">
        <v>502</v>
      </c>
      <c r="D1775" s="157" t="str">
        <f t="shared" si="360"/>
        <v>Grand Central Estate15</v>
      </c>
      <c r="E1775" s="157" t="s">
        <v>7974</v>
      </c>
      <c r="F1775" s="157" t="s">
        <v>2918</v>
      </c>
      <c r="G1775" s="157" t="s">
        <v>2919</v>
      </c>
      <c r="H1775" s="157" t="s">
        <v>2920</v>
      </c>
      <c r="I1775" s="158" t="s">
        <v>2921</v>
      </c>
      <c r="J1775" s="47">
        <f t="shared" si="363"/>
        <v>3740</v>
      </c>
      <c r="K1775" s="46" t="s">
        <v>10735</v>
      </c>
      <c r="L1775" s="47">
        <f t="shared" si="366"/>
        <v>1210</v>
      </c>
      <c r="M1775" s="47" t="s">
        <v>2933</v>
      </c>
      <c r="N1775" s="47"/>
      <c r="O1775" s="47"/>
      <c r="P1775" s="47"/>
      <c r="Q1775" s="47"/>
      <c r="R1775" s="47"/>
      <c r="S1775" s="47" t="s">
        <v>967</v>
      </c>
      <c r="T1775" s="47"/>
      <c r="U1775" s="47"/>
      <c r="V1775" s="47"/>
      <c r="W1775" s="47"/>
      <c r="X1775" s="47"/>
      <c r="Y1775" s="47"/>
      <c r="Z1775" s="47">
        <f t="shared" si="361"/>
        <v>4620</v>
      </c>
      <c r="AA1775" s="47">
        <f t="shared" si="367"/>
        <v>1400</v>
      </c>
      <c r="AB1775" s="47"/>
      <c r="AC1775" s="47"/>
      <c r="AD1775" s="47" t="s">
        <v>1</v>
      </c>
      <c r="AE1775" s="47"/>
      <c r="AF1775" s="47">
        <f t="shared" si="362"/>
        <v>1485</v>
      </c>
      <c r="AG1775" s="47"/>
      <c r="AH1775" s="47" t="str">
        <f>IFERROR(_xlfn.XLOOKUP(Table6[[#This Row],[Suburb]],Table5[Travel Surcharge],Table5[$$]),"")</f>
        <v/>
      </c>
      <c r="AI1775" s="47"/>
      <c r="AJ1775" s="47"/>
    </row>
    <row r="1776" spans="1:36">
      <c r="A1776" s="157" t="s">
        <v>2916</v>
      </c>
      <c r="B1776" s="157">
        <v>16</v>
      </c>
      <c r="C1776" s="157" t="s">
        <v>502</v>
      </c>
      <c r="D1776" s="157" t="s">
        <v>8201</v>
      </c>
      <c r="E1776" s="157" t="s">
        <v>8202</v>
      </c>
      <c r="F1776" s="157" t="s">
        <v>2918</v>
      </c>
      <c r="G1776" s="157" t="s">
        <v>2919</v>
      </c>
      <c r="H1776" s="157" t="s">
        <v>2920</v>
      </c>
      <c r="I1776" s="158" t="s">
        <v>2921</v>
      </c>
      <c r="J1776" s="47">
        <v>3740</v>
      </c>
      <c r="K1776" s="46" t="s">
        <v>10735</v>
      </c>
      <c r="L1776" s="47">
        <v>1210</v>
      </c>
      <c r="M1776" s="47" t="s">
        <v>2933</v>
      </c>
      <c r="N1776" s="47"/>
      <c r="O1776" s="47"/>
      <c r="P1776" s="47"/>
      <c r="Q1776" s="47"/>
      <c r="R1776" s="47"/>
      <c r="S1776" s="47" t="s">
        <v>967</v>
      </c>
      <c r="T1776" s="47"/>
      <c r="U1776" s="47"/>
      <c r="V1776" s="47"/>
      <c r="W1776" s="47"/>
      <c r="X1776" s="47"/>
      <c r="Y1776" s="47"/>
      <c r="Z1776" s="47">
        <v>4620</v>
      </c>
      <c r="AA1776" s="47">
        <v>1400</v>
      </c>
      <c r="AB1776" s="47"/>
      <c r="AC1776" s="47"/>
      <c r="AD1776" s="47" t="s">
        <v>1</v>
      </c>
      <c r="AE1776" s="47"/>
      <c r="AF1776" s="47">
        <v>1650.0000000000002</v>
      </c>
      <c r="AG1776" s="47"/>
      <c r="AH1776" s="47" t="str">
        <f>IFERROR(_xlfn.XLOOKUP(Table6[[#This Row],[Suburb]],Table5[Travel Surcharge],Table5[$$]),"")</f>
        <v/>
      </c>
      <c r="AI1776" s="47"/>
      <c r="AJ1776" s="47"/>
    </row>
    <row r="1777" spans="1:36">
      <c r="A1777" s="157" t="s">
        <v>2916</v>
      </c>
      <c r="B1777" s="157">
        <v>17</v>
      </c>
      <c r="C1777" s="157" t="s">
        <v>502</v>
      </c>
      <c r="D1777" s="157" t="s">
        <v>9004</v>
      </c>
      <c r="E1777" s="157" t="s">
        <v>9005</v>
      </c>
      <c r="F1777" s="157" t="s">
        <v>2918</v>
      </c>
      <c r="G1777" s="157" t="s">
        <v>2919</v>
      </c>
      <c r="H1777" s="157" t="s">
        <v>2920</v>
      </c>
      <c r="I1777" s="158" t="s">
        <v>2921</v>
      </c>
      <c r="J1777" s="47">
        <v>3740</v>
      </c>
      <c r="K1777" s="46" t="s">
        <v>10735</v>
      </c>
      <c r="L1777" s="47">
        <v>1210</v>
      </c>
      <c r="M1777" s="47" t="s">
        <v>2933</v>
      </c>
      <c r="N1777" s="47"/>
      <c r="O1777" s="47"/>
      <c r="P1777" s="47"/>
      <c r="Q1777" s="47"/>
      <c r="R1777" s="47"/>
      <c r="S1777" s="47" t="s">
        <v>967</v>
      </c>
      <c r="T1777" s="47"/>
      <c r="U1777" s="47"/>
      <c r="V1777" s="47"/>
      <c r="W1777" s="47"/>
      <c r="X1777" s="47"/>
      <c r="Y1777" s="47"/>
      <c r="Z1777" s="47">
        <v>4620</v>
      </c>
      <c r="AA1777" s="47">
        <v>1400</v>
      </c>
      <c r="AB1777" s="47"/>
      <c r="AC1777" s="47"/>
      <c r="AD1777" s="47" t="s">
        <v>1</v>
      </c>
      <c r="AE1777" s="47"/>
      <c r="AF1777" s="47">
        <v>1650.0000000000002</v>
      </c>
      <c r="AG1777" s="47"/>
      <c r="AH1777" s="47" t="str">
        <f>IFERROR(_xlfn.XLOOKUP(Table6[[#This Row],[Suburb]],Table5[Travel Surcharge],Table5[$$]),"")</f>
        <v/>
      </c>
      <c r="AI1777" s="47"/>
      <c r="AJ1777" s="47"/>
    </row>
    <row r="1778" spans="1:36">
      <c r="A1778" s="374" t="s">
        <v>2916</v>
      </c>
      <c r="B1778" s="374">
        <v>18</v>
      </c>
      <c r="C1778" s="374" t="s">
        <v>502</v>
      </c>
      <c r="D1778" s="157" t="s">
        <v>10127</v>
      </c>
      <c r="E1778" s="375" t="s">
        <v>10128</v>
      </c>
      <c r="F1778" s="375" t="s">
        <v>2918</v>
      </c>
      <c r="G1778" s="375" t="s">
        <v>2919</v>
      </c>
      <c r="H1778" s="375" t="s">
        <v>2920</v>
      </c>
      <c r="I1778" s="63" t="s">
        <v>2921</v>
      </c>
      <c r="J1778" s="47">
        <v>3740</v>
      </c>
      <c r="K1778" s="46" t="s">
        <v>10735</v>
      </c>
      <c r="L1778" s="47">
        <v>1210</v>
      </c>
      <c r="M1778" s="47" t="s">
        <v>2933</v>
      </c>
      <c r="N1778" s="47"/>
      <c r="O1778" s="47"/>
      <c r="P1778" s="47"/>
      <c r="Q1778" s="47"/>
      <c r="R1778" s="47"/>
      <c r="S1778" s="47" t="s">
        <v>967</v>
      </c>
      <c r="T1778" s="47"/>
      <c r="U1778" s="47"/>
      <c r="V1778" s="47"/>
      <c r="W1778" s="47"/>
      <c r="X1778" s="47"/>
      <c r="Y1778" s="47"/>
      <c r="Z1778" s="47">
        <v>4620</v>
      </c>
      <c r="AA1778" s="47">
        <v>1400</v>
      </c>
      <c r="AB1778" s="47"/>
      <c r="AC1778" s="47"/>
      <c r="AD1778" s="47" t="s">
        <v>1</v>
      </c>
      <c r="AE1778" s="47"/>
      <c r="AF1778" s="47">
        <v>1650.0000000000002</v>
      </c>
      <c r="AG1778" s="47"/>
      <c r="AH1778" s="47" t="s">
        <v>9976</v>
      </c>
      <c r="AI1778" s="47"/>
      <c r="AJ1778" s="47"/>
    </row>
    <row r="1779" spans="1:36">
      <c r="A1779" s="374" t="s">
        <v>2916</v>
      </c>
      <c r="B1779" s="374" t="s">
        <v>1253</v>
      </c>
      <c r="C1779" s="374" t="s">
        <v>502</v>
      </c>
      <c r="D1779" s="375" t="str">
        <f t="shared" ref="D1779:D1793" si="368">CONCATENATE(A1779,B1779)</f>
        <v>Grand Central Estate1C</v>
      </c>
      <c r="E1779" s="375"/>
      <c r="F1779" s="375" t="s">
        <v>2918</v>
      </c>
      <c r="G1779" s="375" t="s">
        <v>2919</v>
      </c>
      <c r="H1779" s="375" t="s">
        <v>2920</v>
      </c>
      <c r="I1779" s="63" t="s">
        <v>2921</v>
      </c>
      <c r="J1779" s="47">
        <f t="shared" ref="J1779:J1793" si="369">J$7</f>
        <v>3740</v>
      </c>
      <c r="K1779" s="46" t="s">
        <v>10735</v>
      </c>
      <c r="L1779" s="47">
        <f>L$7</f>
        <v>1210</v>
      </c>
      <c r="M1779" s="47"/>
      <c r="N1779" s="47"/>
      <c r="O1779" s="47"/>
      <c r="P1779" s="47"/>
      <c r="Q1779" s="47"/>
      <c r="R1779" s="47"/>
      <c r="S1779" s="47" t="s">
        <v>967</v>
      </c>
      <c r="T1779" s="47"/>
      <c r="U1779" s="47"/>
      <c r="V1779" s="47"/>
      <c r="W1779" s="47"/>
      <c r="X1779" s="47"/>
      <c r="Y1779" s="47"/>
      <c r="Z1779" s="47">
        <f t="shared" ref="Z1779:AA1781" si="370">Z$7</f>
        <v>4620</v>
      </c>
      <c r="AA1779" s="47">
        <f t="shared" si="370"/>
        <v>1400</v>
      </c>
      <c r="AB1779" s="47"/>
      <c r="AC1779" s="47"/>
      <c r="AD1779" s="47" t="s">
        <v>1</v>
      </c>
      <c r="AE1779" s="47"/>
      <c r="AF1779" s="47">
        <f>AF$7</f>
        <v>1485</v>
      </c>
      <c r="AG1779" s="47"/>
      <c r="AH1779" s="47" t="str">
        <f>IFERROR(_xlfn.XLOOKUP(Table6[[#This Row],[Suburb]],Table5[Travel Surcharge],Table5[$$]),"")</f>
        <v/>
      </c>
      <c r="AI1779" s="47"/>
      <c r="AJ1779" s="47"/>
    </row>
    <row r="1780" spans="1:36">
      <c r="A1780" s="374" t="s">
        <v>2916</v>
      </c>
      <c r="B1780" s="374" t="s">
        <v>617</v>
      </c>
      <c r="C1780" s="374" t="s">
        <v>502</v>
      </c>
      <c r="D1780" s="375" t="str">
        <f t="shared" si="368"/>
        <v>Grand Central Estate5A</v>
      </c>
      <c r="E1780" s="375" t="s">
        <v>2936</v>
      </c>
      <c r="F1780" s="375" t="s">
        <v>2918</v>
      </c>
      <c r="G1780" s="375" t="s">
        <v>2919</v>
      </c>
      <c r="H1780" s="375" t="s">
        <v>2920</v>
      </c>
      <c r="I1780" s="63" t="s">
        <v>2921</v>
      </c>
      <c r="J1780" s="47">
        <f t="shared" si="369"/>
        <v>3740</v>
      </c>
      <c r="K1780" s="46" t="s">
        <v>10735</v>
      </c>
      <c r="L1780" s="47">
        <f>L$7</f>
        <v>1210</v>
      </c>
      <c r="M1780" s="47"/>
      <c r="N1780" s="47"/>
      <c r="O1780" s="47"/>
      <c r="P1780" s="47"/>
      <c r="Q1780" s="47"/>
      <c r="R1780" s="47"/>
      <c r="S1780" s="47" t="s">
        <v>967</v>
      </c>
      <c r="T1780" s="47"/>
      <c r="U1780" s="47"/>
      <c r="V1780" s="47"/>
      <c r="W1780" s="47"/>
      <c r="X1780" s="47"/>
      <c r="Y1780" s="47"/>
      <c r="Z1780" s="47">
        <f t="shared" si="370"/>
        <v>4620</v>
      </c>
      <c r="AA1780" s="47">
        <f t="shared" si="370"/>
        <v>1400</v>
      </c>
      <c r="AB1780" s="47"/>
      <c r="AC1780" s="47"/>
      <c r="AD1780" s="47" t="s">
        <v>1</v>
      </c>
      <c r="AE1780" s="47"/>
      <c r="AF1780" s="47">
        <f>AF$7</f>
        <v>1485</v>
      </c>
      <c r="AG1780" s="47"/>
      <c r="AH1780" s="47" t="str">
        <f>IFERROR(_xlfn.XLOOKUP(Table6[[#This Row],[Suburb]],Table5[Travel Surcharge],Table5[$$]),"")</f>
        <v/>
      </c>
      <c r="AI1780" s="47"/>
      <c r="AJ1780" s="47"/>
    </row>
    <row r="1781" spans="1:36">
      <c r="A1781" s="374" t="s">
        <v>2916</v>
      </c>
      <c r="B1781" s="374" t="s">
        <v>622</v>
      </c>
      <c r="C1781" s="374" t="s">
        <v>502</v>
      </c>
      <c r="D1781" s="375" t="str">
        <f t="shared" si="368"/>
        <v>Grand Central Estate6A</v>
      </c>
      <c r="E1781" s="375" t="s">
        <v>2937</v>
      </c>
      <c r="F1781" s="375" t="s">
        <v>2918</v>
      </c>
      <c r="G1781" s="375" t="s">
        <v>2919</v>
      </c>
      <c r="H1781" s="375" t="s">
        <v>2920</v>
      </c>
      <c r="I1781" s="63" t="s">
        <v>2921</v>
      </c>
      <c r="J1781" s="47">
        <f t="shared" si="369"/>
        <v>3740</v>
      </c>
      <c r="K1781" s="46" t="s">
        <v>10735</v>
      </c>
      <c r="L1781" s="47">
        <f>L$7</f>
        <v>1210</v>
      </c>
      <c r="M1781" s="47"/>
      <c r="N1781" s="47"/>
      <c r="O1781" s="47"/>
      <c r="P1781" s="47"/>
      <c r="Q1781" s="47"/>
      <c r="R1781" s="47"/>
      <c r="S1781" s="47" t="s">
        <v>967</v>
      </c>
      <c r="T1781" s="47"/>
      <c r="U1781" s="47"/>
      <c r="V1781" s="47"/>
      <c r="W1781" s="47"/>
      <c r="X1781" s="47"/>
      <c r="Y1781" s="47"/>
      <c r="Z1781" s="47">
        <f t="shared" si="370"/>
        <v>4620</v>
      </c>
      <c r="AA1781" s="47">
        <f t="shared" si="370"/>
        <v>1400</v>
      </c>
      <c r="AB1781" s="47"/>
      <c r="AC1781" s="47"/>
      <c r="AD1781" s="47" t="s">
        <v>1</v>
      </c>
      <c r="AE1781" s="47"/>
      <c r="AF1781" s="47">
        <f>AF$7</f>
        <v>1485</v>
      </c>
      <c r="AG1781" s="47"/>
      <c r="AH1781" s="47" t="str">
        <f>IFERROR(_xlfn.XLOOKUP(Table6[[#This Row],[Suburb]],Table5[Travel Surcharge],Table5[$$]),"")</f>
        <v/>
      </c>
      <c r="AI1781" s="47"/>
      <c r="AJ1781" s="47"/>
    </row>
    <row r="1782" spans="1:36">
      <c r="A1782" s="374" t="s">
        <v>2938</v>
      </c>
      <c r="B1782" s="374">
        <v>2</v>
      </c>
      <c r="C1782" s="374" t="s">
        <v>289</v>
      </c>
      <c r="D1782" s="375" t="str">
        <f t="shared" si="368"/>
        <v>Grand Vue2</v>
      </c>
      <c r="E1782" s="375" t="s">
        <v>2939</v>
      </c>
      <c r="F1782" s="375"/>
      <c r="G1782" s="375"/>
      <c r="H1782" s="375"/>
      <c r="I1782" s="63"/>
      <c r="J1782" s="47">
        <f t="shared" si="369"/>
        <v>3740</v>
      </c>
      <c r="K1782" s="46" t="s">
        <v>7938</v>
      </c>
      <c r="L1782" s="47"/>
      <c r="M1782" s="47"/>
      <c r="N1782" s="47"/>
      <c r="O1782" s="47"/>
      <c r="P1782" s="47"/>
      <c r="Q1782" s="47">
        <f>Q$2</f>
        <v>0</v>
      </c>
      <c r="R1782" s="47"/>
      <c r="S1782" s="47"/>
      <c r="T1782" s="47"/>
      <c r="U1782" s="47"/>
      <c r="V1782" s="47"/>
      <c r="W1782" s="47"/>
      <c r="X1782" s="47"/>
      <c r="Y1782" s="47"/>
      <c r="Z1782" s="47">
        <f t="shared" ref="Z1782:Z1793" si="371">Z$7</f>
        <v>4620</v>
      </c>
      <c r="AA1782" s="47"/>
      <c r="AB1782" s="47"/>
      <c r="AC1782" s="47"/>
      <c r="AD1782" s="47"/>
      <c r="AE1782" s="47"/>
      <c r="AF1782" s="47"/>
      <c r="AG1782" s="47"/>
      <c r="AH1782" s="47">
        <f>IFERROR(_xlfn.XLOOKUP(Table6[[#This Row],[Suburb]],Table5[Travel Surcharge],Table5[$$]),"")</f>
        <v>7000</v>
      </c>
      <c r="AI1782" s="47"/>
      <c r="AJ1782" s="47"/>
    </row>
    <row r="1783" spans="1:36">
      <c r="A1783" s="374" t="s">
        <v>2938</v>
      </c>
      <c r="B1783" s="374">
        <v>3</v>
      </c>
      <c r="C1783" s="374" t="s">
        <v>289</v>
      </c>
      <c r="D1783" s="375" t="str">
        <f t="shared" si="368"/>
        <v>Grand Vue3</v>
      </c>
      <c r="E1783" s="375" t="s">
        <v>2940</v>
      </c>
      <c r="F1783" s="375"/>
      <c r="G1783" s="375"/>
      <c r="H1783" s="375"/>
      <c r="I1783" s="63"/>
      <c r="J1783" s="47">
        <f t="shared" si="369"/>
        <v>3740</v>
      </c>
      <c r="K1783" s="46" t="s">
        <v>7938</v>
      </c>
      <c r="L1783" s="47"/>
      <c r="M1783" s="47"/>
      <c r="N1783" s="47"/>
      <c r="O1783" s="47"/>
      <c r="P1783" s="47"/>
      <c r="Q1783" s="47">
        <f>Q$2</f>
        <v>0</v>
      </c>
      <c r="R1783" s="47"/>
      <c r="S1783" s="47"/>
      <c r="T1783" s="47"/>
      <c r="U1783" s="47"/>
      <c r="V1783" s="47"/>
      <c r="W1783" s="47"/>
      <c r="X1783" s="47"/>
      <c r="Y1783" s="47"/>
      <c r="Z1783" s="47">
        <f t="shared" si="371"/>
        <v>4620</v>
      </c>
      <c r="AA1783" s="47"/>
      <c r="AB1783" s="47"/>
      <c r="AC1783" s="47"/>
      <c r="AD1783" s="47"/>
      <c r="AE1783" s="47"/>
      <c r="AF1783" s="47"/>
      <c r="AG1783" s="47"/>
      <c r="AH1783" s="47">
        <f>IFERROR(_xlfn.XLOOKUP(Table6[[#This Row],[Suburb]],Table5[Travel Surcharge],Table5[$$]),"")</f>
        <v>7000</v>
      </c>
      <c r="AI1783" s="47"/>
      <c r="AJ1783" s="47"/>
    </row>
    <row r="1784" spans="1:36">
      <c r="A1784" s="374" t="s">
        <v>2941</v>
      </c>
      <c r="B1784" s="276">
        <v>1</v>
      </c>
      <c r="C1784" s="374" t="s">
        <v>538</v>
      </c>
      <c r="D1784" s="375" t="str">
        <f t="shared" si="368"/>
        <v>Grandview Estate1</v>
      </c>
      <c r="E1784" s="375" t="s">
        <v>2942</v>
      </c>
      <c r="F1784" s="375" t="s">
        <v>650</v>
      </c>
      <c r="G1784" s="375" t="s">
        <v>2943</v>
      </c>
      <c r="H1784" s="375" t="s">
        <v>2944</v>
      </c>
      <c r="I1784" s="63" t="s">
        <v>2945</v>
      </c>
      <c r="J1784" s="47">
        <f t="shared" si="369"/>
        <v>3740</v>
      </c>
      <c r="K1784" s="46" t="s">
        <v>7938</v>
      </c>
      <c r="L1784" s="47" t="s">
        <v>504</v>
      </c>
      <c r="M1784" s="47">
        <f t="shared" ref="M1784:M1793" si="372">M$7</f>
        <v>1430.0000000000002</v>
      </c>
      <c r="N1784" s="47" t="s">
        <v>2946</v>
      </c>
      <c r="O1784" s="47" t="s">
        <v>2947</v>
      </c>
      <c r="P1784" s="47" t="s">
        <v>2948</v>
      </c>
      <c r="Q1784" s="47"/>
      <c r="R1784" s="47"/>
      <c r="S1784" s="47" t="s">
        <v>967</v>
      </c>
      <c r="T1784" s="47" t="s">
        <v>2949</v>
      </c>
      <c r="U1784" s="47"/>
      <c r="V1784" s="47"/>
      <c r="W1784" s="47"/>
      <c r="X1784" s="47"/>
      <c r="Y1784" s="47"/>
      <c r="Z1784" s="47">
        <f t="shared" si="371"/>
        <v>4620</v>
      </c>
      <c r="AA1784" s="47"/>
      <c r="AB1784" s="47"/>
      <c r="AC1784" s="47"/>
      <c r="AD1784" s="47" t="s">
        <v>1</v>
      </c>
      <c r="AE1784" s="47"/>
      <c r="AF1784" s="47">
        <f t="shared" ref="AF1784:AF1793" si="373">AF$7</f>
        <v>1485</v>
      </c>
      <c r="AG1784" s="47"/>
      <c r="AH1784" s="47" t="str">
        <f>IFERROR(_xlfn.XLOOKUP(Table6[[#This Row],[Suburb]],Table5[Travel Surcharge],Table5[$$]),"")</f>
        <v/>
      </c>
      <c r="AI1784" s="47"/>
      <c r="AJ1784" s="47"/>
    </row>
    <row r="1785" spans="1:36">
      <c r="A1785" s="374" t="s">
        <v>2941</v>
      </c>
      <c r="B1785" s="276">
        <v>2</v>
      </c>
      <c r="C1785" s="374" t="s">
        <v>538</v>
      </c>
      <c r="D1785" s="375" t="str">
        <f t="shared" si="368"/>
        <v>Grandview Estate2</v>
      </c>
      <c r="E1785" s="375" t="s">
        <v>2950</v>
      </c>
      <c r="F1785" s="375" t="s">
        <v>650</v>
      </c>
      <c r="G1785" s="375" t="s">
        <v>2943</v>
      </c>
      <c r="H1785" s="375" t="s">
        <v>2944</v>
      </c>
      <c r="I1785" s="63" t="s">
        <v>2945</v>
      </c>
      <c r="J1785" s="47">
        <f t="shared" si="369"/>
        <v>3740</v>
      </c>
      <c r="K1785" s="46" t="s">
        <v>7938</v>
      </c>
      <c r="L1785" s="47" t="s">
        <v>504</v>
      </c>
      <c r="M1785" s="47">
        <f t="shared" si="372"/>
        <v>1430.0000000000002</v>
      </c>
      <c r="N1785" s="47" t="s">
        <v>2946</v>
      </c>
      <c r="O1785" s="47" t="s">
        <v>2947</v>
      </c>
      <c r="P1785" s="47" t="s">
        <v>2948</v>
      </c>
      <c r="Q1785" s="47"/>
      <c r="R1785" s="47"/>
      <c r="S1785" s="47" t="s">
        <v>967</v>
      </c>
      <c r="T1785" s="47" t="s">
        <v>2949</v>
      </c>
      <c r="U1785" s="47"/>
      <c r="V1785" s="47"/>
      <c r="W1785" s="47"/>
      <c r="X1785" s="47"/>
      <c r="Y1785" s="47"/>
      <c r="Z1785" s="47">
        <f t="shared" si="371"/>
        <v>4620</v>
      </c>
      <c r="AA1785" s="47"/>
      <c r="AB1785" s="47"/>
      <c r="AC1785" s="47"/>
      <c r="AD1785" s="47" t="s">
        <v>1</v>
      </c>
      <c r="AE1785" s="47"/>
      <c r="AF1785" s="47">
        <f t="shared" si="373"/>
        <v>1485</v>
      </c>
      <c r="AG1785" s="47"/>
      <c r="AH1785" s="47" t="str">
        <f>IFERROR(_xlfn.XLOOKUP(Table6[[#This Row],[Suburb]],Table5[Travel Surcharge],Table5[$$]),"")</f>
        <v/>
      </c>
      <c r="AI1785" s="47"/>
      <c r="AJ1785" s="47"/>
    </row>
    <row r="1786" spans="1:36">
      <c r="A1786" s="157" t="s">
        <v>2941</v>
      </c>
      <c r="B1786" s="324" t="s">
        <v>606</v>
      </c>
      <c r="C1786" s="157" t="s">
        <v>538</v>
      </c>
      <c r="D1786" s="157" t="str">
        <f t="shared" si="368"/>
        <v>Grandview Estate3A</v>
      </c>
      <c r="E1786" s="157" t="s">
        <v>8077</v>
      </c>
      <c r="F1786" s="157" t="s">
        <v>650</v>
      </c>
      <c r="G1786" s="157" t="s">
        <v>2943</v>
      </c>
      <c r="H1786" s="157" t="s">
        <v>2944</v>
      </c>
      <c r="I1786" s="158" t="s">
        <v>2945</v>
      </c>
      <c r="J1786" s="47">
        <f t="shared" si="369"/>
        <v>3740</v>
      </c>
      <c r="K1786" s="46" t="s">
        <v>7938</v>
      </c>
      <c r="L1786" s="47" t="s">
        <v>504</v>
      </c>
      <c r="M1786" s="47">
        <f t="shared" si="372"/>
        <v>1430.0000000000002</v>
      </c>
      <c r="N1786" s="47" t="s">
        <v>2946</v>
      </c>
      <c r="O1786" s="47" t="s">
        <v>2947</v>
      </c>
      <c r="P1786" s="47" t="s">
        <v>2948</v>
      </c>
      <c r="Q1786" s="47"/>
      <c r="R1786" s="47"/>
      <c r="S1786" s="47" t="s">
        <v>967</v>
      </c>
      <c r="T1786" s="47" t="s">
        <v>2949</v>
      </c>
      <c r="U1786" s="47"/>
      <c r="V1786" s="47"/>
      <c r="W1786" s="47"/>
      <c r="X1786" s="47"/>
      <c r="Y1786" s="47"/>
      <c r="Z1786" s="47">
        <f t="shared" si="371"/>
        <v>4620</v>
      </c>
      <c r="AA1786" s="47"/>
      <c r="AB1786" s="47"/>
      <c r="AC1786" s="47"/>
      <c r="AD1786" s="47" t="s">
        <v>1</v>
      </c>
      <c r="AE1786" s="47"/>
      <c r="AF1786" s="47">
        <f t="shared" si="373"/>
        <v>1485</v>
      </c>
      <c r="AG1786" s="47"/>
      <c r="AH1786" s="47" t="str">
        <f>IFERROR(_xlfn.XLOOKUP(Table6[[#This Row],[Suburb]],Table5[Travel Surcharge],Table5[$$]),"")</f>
        <v/>
      </c>
      <c r="AI1786" s="47"/>
      <c r="AJ1786" s="47"/>
    </row>
    <row r="1787" spans="1:36">
      <c r="A1787" s="157" t="s">
        <v>2941</v>
      </c>
      <c r="B1787" s="324" t="s">
        <v>608</v>
      </c>
      <c r="C1787" s="157" t="s">
        <v>538</v>
      </c>
      <c r="D1787" s="157" t="str">
        <f t="shared" si="368"/>
        <v>Grandview Estate3B</v>
      </c>
      <c r="E1787" s="157" t="s">
        <v>8057</v>
      </c>
      <c r="F1787" s="157" t="s">
        <v>650</v>
      </c>
      <c r="G1787" s="157" t="s">
        <v>2943</v>
      </c>
      <c r="H1787" s="157" t="s">
        <v>2944</v>
      </c>
      <c r="I1787" s="158" t="s">
        <v>2945</v>
      </c>
      <c r="J1787" s="47">
        <f t="shared" si="369"/>
        <v>3740</v>
      </c>
      <c r="K1787" s="46" t="s">
        <v>7938</v>
      </c>
      <c r="L1787" s="47" t="s">
        <v>504</v>
      </c>
      <c r="M1787" s="47">
        <f t="shared" si="372"/>
        <v>1430.0000000000002</v>
      </c>
      <c r="N1787" s="47" t="s">
        <v>2946</v>
      </c>
      <c r="O1787" s="47" t="s">
        <v>2947</v>
      </c>
      <c r="P1787" s="47" t="s">
        <v>2948</v>
      </c>
      <c r="Q1787" s="47"/>
      <c r="R1787" s="47"/>
      <c r="S1787" s="47" t="s">
        <v>967</v>
      </c>
      <c r="T1787" s="47" t="s">
        <v>2949</v>
      </c>
      <c r="U1787" s="47"/>
      <c r="V1787" s="47"/>
      <c r="W1787" s="47"/>
      <c r="X1787" s="47"/>
      <c r="Y1787" s="47"/>
      <c r="Z1787" s="47">
        <f t="shared" si="371"/>
        <v>4620</v>
      </c>
      <c r="AA1787" s="47"/>
      <c r="AB1787" s="47"/>
      <c r="AC1787" s="47"/>
      <c r="AD1787" s="47" t="s">
        <v>1</v>
      </c>
      <c r="AE1787" s="47"/>
      <c r="AF1787" s="47">
        <f t="shared" si="373"/>
        <v>1485</v>
      </c>
      <c r="AG1787" s="47"/>
      <c r="AH1787" s="47" t="str">
        <f>IFERROR(_xlfn.XLOOKUP(Table6[[#This Row],[Suburb]],Table5[Travel Surcharge],Table5[$$]),"")</f>
        <v/>
      </c>
      <c r="AI1787" s="47"/>
      <c r="AJ1787" s="47"/>
    </row>
    <row r="1788" spans="1:36">
      <c r="A1788" s="374" t="s">
        <v>2941</v>
      </c>
      <c r="B1788" s="276">
        <v>6</v>
      </c>
      <c r="C1788" s="374" t="s">
        <v>538</v>
      </c>
      <c r="D1788" s="375" t="str">
        <f t="shared" si="368"/>
        <v>Grandview Estate6</v>
      </c>
      <c r="E1788" s="375" t="s">
        <v>2957</v>
      </c>
      <c r="F1788" s="375" t="s">
        <v>650</v>
      </c>
      <c r="G1788" s="375" t="s">
        <v>2943</v>
      </c>
      <c r="H1788" s="375" t="s">
        <v>2958</v>
      </c>
      <c r="I1788" s="63" t="s">
        <v>2945</v>
      </c>
      <c r="J1788" s="47">
        <f t="shared" si="369"/>
        <v>3740</v>
      </c>
      <c r="K1788" s="46" t="s">
        <v>7938</v>
      </c>
      <c r="L1788" s="47" t="s">
        <v>504</v>
      </c>
      <c r="M1788" s="47">
        <f t="shared" si="372"/>
        <v>1430.0000000000002</v>
      </c>
      <c r="N1788" s="47" t="s">
        <v>2946</v>
      </c>
      <c r="O1788" s="47" t="s">
        <v>2947</v>
      </c>
      <c r="P1788" s="47" t="s">
        <v>2948</v>
      </c>
      <c r="Q1788" s="47"/>
      <c r="R1788" s="47"/>
      <c r="S1788" s="47" t="s">
        <v>967</v>
      </c>
      <c r="T1788" s="47" t="s">
        <v>2949</v>
      </c>
      <c r="U1788" s="47"/>
      <c r="V1788" s="47"/>
      <c r="W1788" s="47"/>
      <c r="X1788" s="47"/>
      <c r="Y1788" s="47"/>
      <c r="Z1788" s="47">
        <f t="shared" si="371"/>
        <v>4620</v>
      </c>
      <c r="AA1788" s="47"/>
      <c r="AB1788" s="47"/>
      <c r="AC1788" s="47"/>
      <c r="AD1788" s="47" t="s">
        <v>1</v>
      </c>
      <c r="AE1788" s="47"/>
      <c r="AF1788" s="47">
        <f t="shared" si="373"/>
        <v>1485</v>
      </c>
      <c r="AG1788" s="47"/>
      <c r="AH1788" s="47" t="str">
        <f>IFERROR(_xlfn.XLOOKUP(Table6[[#This Row],[Suburb]],Table5[Travel Surcharge],Table5[$$]),"")</f>
        <v/>
      </c>
      <c r="AI1788" s="47"/>
      <c r="AJ1788" s="47"/>
    </row>
    <row r="1789" spans="1:36">
      <c r="A1789" s="374" t="s">
        <v>2941</v>
      </c>
      <c r="B1789" s="276">
        <v>7</v>
      </c>
      <c r="C1789" s="374" t="s">
        <v>538</v>
      </c>
      <c r="D1789" s="375" t="str">
        <f t="shared" si="368"/>
        <v>Grandview Estate7</v>
      </c>
      <c r="E1789" s="375" t="s">
        <v>2959</v>
      </c>
      <c r="F1789" s="375" t="s">
        <v>650</v>
      </c>
      <c r="G1789" s="375" t="s">
        <v>2943</v>
      </c>
      <c r="H1789" s="375" t="s">
        <v>2960</v>
      </c>
      <c r="I1789" s="63" t="s">
        <v>2945</v>
      </c>
      <c r="J1789" s="47">
        <f t="shared" si="369"/>
        <v>3740</v>
      </c>
      <c r="K1789" s="46" t="s">
        <v>7938</v>
      </c>
      <c r="L1789" s="47" t="s">
        <v>504</v>
      </c>
      <c r="M1789" s="47">
        <f t="shared" si="372"/>
        <v>1430.0000000000002</v>
      </c>
      <c r="N1789" s="47" t="s">
        <v>2946</v>
      </c>
      <c r="O1789" s="47" t="s">
        <v>2947</v>
      </c>
      <c r="P1789" s="47" t="s">
        <v>2948</v>
      </c>
      <c r="Q1789" s="47"/>
      <c r="R1789" s="47"/>
      <c r="S1789" s="47" t="s">
        <v>967</v>
      </c>
      <c r="T1789" s="47" t="s">
        <v>2949</v>
      </c>
      <c r="U1789" s="47"/>
      <c r="V1789" s="47"/>
      <c r="W1789" s="47"/>
      <c r="X1789" s="47"/>
      <c r="Y1789" s="47"/>
      <c r="Z1789" s="47">
        <f t="shared" si="371"/>
        <v>4620</v>
      </c>
      <c r="AA1789" s="47"/>
      <c r="AB1789" s="47"/>
      <c r="AC1789" s="47"/>
      <c r="AD1789" s="47" t="s">
        <v>1</v>
      </c>
      <c r="AE1789" s="47"/>
      <c r="AF1789" s="47">
        <f t="shared" si="373"/>
        <v>1485</v>
      </c>
      <c r="AG1789" s="47"/>
      <c r="AH1789" s="47" t="str">
        <f>IFERROR(_xlfn.XLOOKUP(Table6[[#This Row],[Suburb]],Table5[Travel Surcharge],Table5[$$]),"")</f>
        <v/>
      </c>
      <c r="AI1789" s="47"/>
      <c r="AJ1789" s="47"/>
    </row>
    <row r="1790" spans="1:36">
      <c r="A1790" s="374" t="s">
        <v>2941</v>
      </c>
      <c r="B1790" s="276">
        <v>8</v>
      </c>
      <c r="C1790" s="374" t="s">
        <v>538</v>
      </c>
      <c r="D1790" s="375" t="str">
        <f t="shared" si="368"/>
        <v>Grandview Estate8</v>
      </c>
      <c r="E1790" s="375" t="s">
        <v>2961</v>
      </c>
      <c r="F1790" s="375" t="s">
        <v>650</v>
      </c>
      <c r="G1790" s="375" t="s">
        <v>2943</v>
      </c>
      <c r="H1790" s="375" t="s">
        <v>2960</v>
      </c>
      <c r="I1790" s="63" t="s">
        <v>2945</v>
      </c>
      <c r="J1790" s="47">
        <f t="shared" si="369"/>
        <v>3740</v>
      </c>
      <c r="K1790" s="46" t="s">
        <v>7938</v>
      </c>
      <c r="L1790" s="47" t="s">
        <v>504</v>
      </c>
      <c r="M1790" s="47">
        <f t="shared" si="372"/>
        <v>1430.0000000000002</v>
      </c>
      <c r="N1790" s="47" t="s">
        <v>2946</v>
      </c>
      <c r="O1790" s="47" t="s">
        <v>2947</v>
      </c>
      <c r="P1790" s="47" t="s">
        <v>2948</v>
      </c>
      <c r="Q1790" s="47"/>
      <c r="R1790" s="47"/>
      <c r="S1790" s="47" t="s">
        <v>967</v>
      </c>
      <c r="T1790" s="47" t="s">
        <v>2949</v>
      </c>
      <c r="U1790" s="47"/>
      <c r="V1790" s="47"/>
      <c r="W1790" s="47"/>
      <c r="X1790" s="47"/>
      <c r="Y1790" s="47"/>
      <c r="Z1790" s="47">
        <f t="shared" si="371"/>
        <v>4620</v>
      </c>
      <c r="AA1790" s="47"/>
      <c r="AB1790" s="47"/>
      <c r="AC1790" s="47"/>
      <c r="AD1790" s="47" t="s">
        <v>1</v>
      </c>
      <c r="AE1790" s="47"/>
      <c r="AF1790" s="47">
        <f t="shared" si="373"/>
        <v>1485</v>
      </c>
      <c r="AG1790" s="47"/>
      <c r="AH1790" s="47" t="str">
        <f>IFERROR(_xlfn.XLOOKUP(Table6[[#This Row],[Suburb]],Table5[Travel Surcharge],Table5[$$]),"")</f>
        <v/>
      </c>
      <c r="AI1790" s="47"/>
      <c r="AJ1790" s="47"/>
    </row>
    <row r="1791" spans="1:36">
      <c r="A1791" s="374" t="s">
        <v>2941</v>
      </c>
      <c r="B1791" s="276">
        <v>9</v>
      </c>
      <c r="C1791" s="374" t="s">
        <v>538</v>
      </c>
      <c r="D1791" s="375" t="str">
        <f t="shared" si="368"/>
        <v>Grandview Estate9</v>
      </c>
      <c r="E1791" s="375" t="s">
        <v>2962</v>
      </c>
      <c r="F1791" s="375" t="s">
        <v>650</v>
      </c>
      <c r="G1791" s="375" t="s">
        <v>2943</v>
      </c>
      <c r="H1791" s="375" t="s">
        <v>2960</v>
      </c>
      <c r="I1791" s="63" t="s">
        <v>2945</v>
      </c>
      <c r="J1791" s="47">
        <f t="shared" si="369"/>
        <v>3740</v>
      </c>
      <c r="K1791" s="46" t="s">
        <v>7938</v>
      </c>
      <c r="L1791" s="47" t="s">
        <v>504</v>
      </c>
      <c r="M1791" s="47">
        <f t="shared" si="372"/>
        <v>1430.0000000000002</v>
      </c>
      <c r="N1791" s="47" t="s">
        <v>2946</v>
      </c>
      <c r="O1791" s="47" t="s">
        <v>2947</v>
      </c>
      <c r="P1791" s="47" t="s">
        <v>2948</v>
      </c>
      <c r="Q1791" s="47"/>
      <c r="R1791" s="47"/>
      <c r="S1791" s="47" t="s">
        <v>967</v>
      </c>
      <c r="T1791" s="47" t="s">
        <v>2949</v>
      </c>
      <c r="U1791" s="47"/>
      <c r="V1791" s="47"/>
      <c r="W1791" s="47"/>
      <c r="X1791" s="47"/>
      <c r="Y1791" s="47"/>
      <c r="Z1791" s="47">
        <f t="shared" si="371"/>
        <v>4620</v>
      </c>
      <c r="AA1791" s="47"/>
      <c r="AB1791" s="47"/>
      <c r="AC1791" s="47"/>
      <c r="AD1791" s="47" t="s">
        <v>1</v>
      </c>
      <c r="AE1791" s="47"/>
      <c r="AF1791" s="47">
        <f t="shared" si="373"/>
        <v>1485</v>
      </c>
      <c r="AG1791" s="47"/>
      <c r="AH1791" s="47" t="str">
        <f>IFERROR(_xlfn.XLOOKUP(Table6[[#This Row],[Suburb]],Table5[Travel Surcharge],Table5[$$]),"")</f>
        <v/>
      </c>
      <c r="AI1791" s="47"/>
      <c r="AJ1791" s="47"/>
    </row>
    <row r="1792" spans="1:36">
      <c r="A1792" s="374" t="s">
        <v>2941</v>
      </c>
      <c r="B1792" s="276">
        <v>10</v>
      </c>
      <c r="C1792" s="374" t="s">
        <v>538</v>
      </c>
      <c r="D1792" s="375" t="str">
        <f t="shared" si="368"/>
        <v>Grandview Estate10</v>
      </c>
      <c r="E1792" s="375" t="s">
        <v>10163</v>
      </c>
      <c r="F1792" s="375" t="s">
        <v>650</v>
      </c>
      <c r="G1792" s="375" t="s">
        <v>2943</v>
      </c>
      <c r="H1792" s="375" t="s">
        <v>2960</v>
      </c>
      <c r="I1792" s="63" t="s">
        <v>2945</v>
      </c>
      <c r="J1792" s="47">
        <v>3740</v>
      </c>
      <c r="K1792" s="46" t="s">
        <v>7938</v>
      </c>
      <c r="L1792" s="47" t="s">
        <v>504</v>
      </c>
      <c r="M1792" s="47">
        <v>1430.0000000000002</v>
      </c>
      <c r="N1792" s="47" t="s">
        <v>2946</v>
      </c>
      <c r="O1792" s="47" t="s">
        <v>2947</v>
      </c>
      <c r="P1792" s="47" t="s">
        <v>2948</v>
      </c>
      <c r="Q1792" s="47"/>
      <c r="R1792" s="47"/>
      <c r="S1792" s="47" t="s">
        <v>967</v>
      </c>
      <c r="T1792" s="47" t="s">
        <v>2949</v>
      </c>
      <c r="U1792" s="47"/>
      <c r="V1792" s="47"/>
      <c r="W1792" s="47"/>
      <c r="X1792" s="47"/>
      <c r="Y1792" s="47"/>
      <c r="Z1792" s="47">
        <v>4620</v>
      </c>
      <c r="AA1792" s="47"/>
      <c r="AB1792" s="47"/>
      <c r="AC1792" s="47"/>
      <c r="AD1792" s="47" t="s">
        <v>1</v>
      </c>
      <c r="AE1792" s="47"/>
      <c r="AF1792" s="47">
        <v>1485</v>
      </c>
      <c r="AG1792" s="47"/>
      <c r="AH1792" s="47" t="s">
        <v>9976</v>
      </c>
      <c r="AI1792" s="47"/>
      <c r="AJ1792" s="47"/>
    </row>
    <row r="1793" spans="1:36">
      <c r="A1793" s="157" t="s">
        <v>2941</v>
      </c>
      <c r="B1793" s="324">
        <v>11</v>
      </c>
      <c r="C1793" s="157" t="s">
        <v>538</v>
      </c>
      <c r="D1793" s="157" t="str">
        <f t="shared" si="368"/>
        <v>Grandview Estate11</v>
      </c>
      <c r="E1793" s="157" t="s">
        <v>8045</v>
      </c>
      <c r="F1793" s="157" t="s">
        <v>650</v>
      </c>
      <c r="G1793" s="157" t="s">
        <v>2943</v>
      </c>
      <c r="H1793" s="157" t="s">
        <v>2960</v>
      </c>
      <c r="I1793" s="158" t="s">
        <v>2945</v>
      </c>
      <c r="J1793" s="47">
        <f t="shared" si="369"/>
        <v>3740</v>
      </c>
      <c r="K1793" s="46" t="s">
        <v>7938</v>
      </c>
      <c r="L1793" s="47" t="s">
        <v>504</v>
      </c>
      <c r="M1793" s="47">
        <f t="shared" si="372"/>
        <v>1430.0000000000002</v>
      </c>
      <c r="N1793" s="47" t="s">
        <v>2946</v>
      </c>
      <c r="O1793" s="47" t="s">
        <v>2947</v>
      </c>
      <c r="P1793" s="47" t="s">
        <v>2948</v>
      </c>
      <c r="Q1793" s="47"/>
      <c r="R1793" s="47"/>
      <c r="S1793" s="47" t="s">
        <v>967</v>
      </c>
      <c r="T1793" s="47" t="s">
        <v>2949</v>
      </c>
      <c r="U1793" s="47"/>
      <c r="V1793" s="47"/>
      <c r="W1793" s="47"/>
      <c r="X1793" s="47"/>
      <c r="Y1793" s="47"/>
      <c r="Z1793" s="47">
        <f t="shared" si="371"/>
        <v>4620</v>
      </c>
      <c r="AA1793" s="47"/>
      <c r="AB1793" s="47"/>
      <c r="AC1793" s="47"/>
      <c r="AD1793" s="47" t="s">
        <v>1</v>
      </c>
      <c r="AE1793" s="47"/>
      <c r="AF1793" s="47">
        <f t="shared" si="373"/>
        <v>1485</v>
      </c>
      <c r="AG1793" s="47"/>
      <c r="AH1793" s="47" t="str">
        <f>IFERROR(_xlfn.XLOOKUP(Table6[[#This Row],[Suburb]],Table5[Travel Surcharge],Table5[$$]),"")</f>
        <v/>
      </c>
      <c r="AI1793" s="47"/>
      <c r="AJ1793" s="47"/>
    </row>
    <row r="1794" spans="1:36">
      <c r="A1794" s="374" t="s">
        <v>2941</v>
      </c>
      <c r="B1794" s="374">
        <v>12</v>
      </c>
      <c r="C1794" s="374" t="s">
        <v>538</v>
      </c>
      <c r="D1794" s="375" t="s">
        <v>2963</v>
      </c>
      <c r="E1794" s="375" t="s">
        <v>2964</v>
      </c>
      <c r="F1794" s="375" t="s">
        <v>650</v>
      </c>
      <c r="G1794" s="375" t="s">
        <v>2943</v>
      </c>
      <c r="H1794" s="375" t="s">
        <v>2960</v>
      </c>
      <c r="I1794" s="63" t="s">
        <v>2945</v>
      </c>
      <c r="J1794" s="47">
        <v>3740</v>
      </c>
      <c r="K1794" s="46" t="s">
        <v>7938</v>
      </c>
      <c r="L1794" s="47" t="s">
        <v>504</v>
      </c>
      <c r="M1794" s="47">
        <v>1430.0000000000002</v>
      </c>
      <c r="N1794" s="47" t="s">
        <v>2946</v>
      </c>
      <c r="O1794" s="47" t="s">
        <v>2947</v>
      </c>
      <c r="P1794" s="47" t="s">
        <v>2948</v>
      </c>
      <c r="Q1794" s="47"/>
      <c r="R1794" s="47"/>
      <c r="S1794" s="47" t="s">
        <v>967</v>
      </c>
      <c r="T1794" s="47" t="s">
        <v>2949</v>
      </c>
      <c r="U1794" s="47"/>
      <c r="V1794" s="47"/>
      <c r="W1794" s="47"/>
      <c r="X1794" s="47"/>
      <c r="Y1794" s="47"/>
      <c r="Z1794" s="47">
        <v>4620</v>
      </c>
      <c r="AA1794" s="47"/>
      <c r="AB1794" s="47"/>
      <c r="AC1794" s="47"/>
      <c r="AD1794" s="47" t="s">
        <v>1</v>
      </c>
      <c r="AE1794" s="47"/>
      <c r="AF1794" s="47">
        <v>1650.0000000000002</v>
      </c>
      <c r="AG1794" s="47"/>
      <c r="AH1794" s="47" t="str">
        <f>IFERROR(_xlfn.XLOOKUP(Table6[[#This Row],[Suburb]],Table5[Travel Surcharge],Table5[$$]),"")</f>
        <v/>
      </c>
      <c r="AI1794" s="47"/>
      <c r="AJ1794" s="47"/>
    </row>
    <row r="1795" spans="1:36">
      <c r="A1795" s="374" t="s">
        <v>2941</v>
      </c>
      <c r="B1795" s="374">
        <v>13</v>
      </c>
      <c r="C1795" s="374" t="s">
        <v>538</v>
      </c>
      <c r="D1795" s="375" t="str">
        <f t="shared" ref="D1795:D1828" si="374">CONCATENATE(A1795,B1795)</f>
        <v>Grandview Estate13</v>
      </c>
      <c r="E1795" s="375" t="s">
        <v>2965</v>
      </c>
      <c r="F1795" s="375" t="s">
        <v>650</v>
      </c>
      <c r="G1795" s="375" t="s">
        <v>2943</v>
      </c>
      <c r="H1795" s="375" t="s">
        <v>2960</v>
      </c>
      <c r="I1795" s="63" t="s">
        <v>2945</v>
      </c>
      <c r="J1795" s="47">
        <f t="shared" ref="J1795:J1833" si="375">J$7</f>
        <v>3740</v>
      </c>
      <c r="K1795" s="46" t="s">
        <v>7938</v>
      </c>
      <c r="L1795" s="47" t="s">
        <v>504</v>
      </c>
      <c r="M1795" s="47">
        <f t="shared" ref="M1795:M1810" si="376">M$7</f>
        <v>1430.0000000000002</v>
      </c>
      <c r="N1795" s="47" t="s">
        <v>2946</v>
      </c>
      <c r="O1795" s="47" t="s">
        <v>2947</v>
      </c>
      <c r="P1795" s="47" t="s">
        <v>2948</v>
      </c>
      <c r="Q1795" s="47"/>
      <c r="R1795" s="47"/>
      <c r="S1795" s="47" t="s">
        <v>967</v>
      </c>
      <c r="T1795" s="47" t="s">
        <v>2949</v>
      </c>
      <c r="U1795" s="47"/>
      <c r="V1795" s="47"/>
      <c r="W1795" s="47"/>
      <c r="X1795" s="47"/>
      <c r="Y1795" s="47"/>
      <c r="Z1795" s="47">
        <f t="shared" ref="Z1795:Z1828" si="377">Z$7</f>
        <v>4620</v>
      </c>
      <c r="AA1795" s="47"/>
      <c r="AB1795" s="47"/>
      <c r="AC1795" s="47"/>
      <c r="AD1795" s="47" t="s">
        <v>1</v>
      </c>
      <c r="AE1795" s="47"/>
      <c r="AF1795" s="47">
        <f t="shared" ref="AF1795:AF1810" si="378">AF$7</f>
        <v>1485</v>
      </c>
      <c r="AG1795" s="47"/>
      <c r="AH1795" s="47" t="str">
        <f>IFERROR(_xlfn.XLOOKUP(Table6[[#This Row],[Suburb]],Table5[Travel Surcharge],Table5[$$]),"")</f>
        <v/>
      </c>
      <c r="AI1795" s="47"/>
      <c r="AJ1795" s="47"/>
    </row>
    <row r="1796" spans="1:36">
      <c r="A1796" s="157" t="s">
        <v>2941</v>
      </c>
      <c r="B1796" s="157">
        <v>14</v>
      </c>
      <c r="C1796" s="157" t="s">
        <v>538</v>
      </c>
      <c r="D1796" s="157" t="str">
        <f t="shared" si="374"/>
        <v>Grandview Estate14</v>
      </c>
      <c r="E1796" s="157" t="s">
        <v>7746</v>
      </c>
      <c r="F1796" s="157" t="s">
        <v>650</v>
      </c>
      <c r="G1796" s="157" t="s">
        <v>2943</v>
      </c>
      <c r="H1796" s="157" t="s">
        <v>2960</v>
      </c>
      <c r="I1796" s="63" t="s">
        <v>2945</v>
      </c>
      <c r="J1796" s="47">
        <f t="shared" si="375"/>
        <v>3740</v>
      </c>
      <c r="K1796" s="46" t="s">
        <v>7938</v>
      </c>
      <c r="L1796" s="47" t="s">
        <v>504</v>
      </c>
      <c r="M1796" s="47">
        <f t="shared" si="376"/>
        <v>1430.0000000000002</v>
      </c>
      <c r="N1796" s="47" t="s">
        <v>2946</v>
      </c>
      <c r="O1796" s="47" t="s">
        <v>2947</v>
      </c>
      <c r="P1796" s="47" t="s">
        <v>2948</v>
      </c>
      <c r="Q1796" s="47"/>
      <c r="R1796" s="47"/>
      <c r="S1796" s="47" t="s">
        <v>967</v>
      </c>
      <c r="T1796" s="47" t="s">
        <v>2949</v>
      </c>
      <c r="U1796" s="47"/>
      <c r="V1796" s="47"/>
      <c r="W1796" s="47"/>
      <c r="X1796" s="47"/>
      <c r="Y1796" s="47"/>
      <c r="Z1796" s="47">
        <f t="shared" si="377"/>
        <v>4620</v>
      </c>
      <c r="AA1796" s="47"/>
      <c r="AB1796" s="47"/>
      <c r="AC1796" s="47"/>
      <c r="AD1796" s="47" t="s">
        <v>1</v>
      </c>
      <c r="AE1796" s="47"/>
      <c r="AF1796" s="47">
        <f t="shared" si="378"/>
        <v>1485</v>
      </c>
      <c r="AG1796" s="47"/>
      <c r="AH1796" s="47" t="str">
        <f>IFERROR(_xlfn.XLOOKUP(Table6[[#This Row],[Suburb]],Table5[Travel Surcharge],Table5[$$]),"")</f>
        <v/>
      </c>
      <c r="AI1796" s="47"/>
      <c r="AJ1796" s="47"/>
    </row>
    <row r="1797" spans="1:36">
      <c r="A1797" s="157" t="s">
        <v>2941</v>
      </c>
      <c r="B1797" s="157">
        <v>15</v>
      </c>
      <c r="C1797" s="157" t="s">
        <v>538</v>
      </c>
      <c r="D1797" s="157" t="str">
        <f t="shared" si="374"/>
        <v>Grandview Estate15</v>
      </c>
      <c r="E1797" s="157" t="s">
        <v>7761</v>
      </c>
      <c r="F1797" s="157" t="s">
        <v>650</v>
      </c>
      <c r="G1797" s="157" t="s">
        <v>2943</v>
      </c>
      <c r="H1797" s="157" t="s">
        <v>2960</v>
      </c>
      <c r="I1797" s="63" t="s">
        <v>2945</v>
      </c>
      <c r="J1797" s="47">
        <f t="shared" si="375"/>
        <v>3740</v>
      </c>
      <c r="K1797" s="46" t="s">
        <v>7938</v>
      </c>
      <c r="L1797" s="47" t="s">
        <v>504</v>
      </c>
      <c r="M1797" s="47">
        <f t="shared" si="376"/>
        <v>1430.0000000000002</v>
      </c>
      <c r="N1797" s="47" t="s">
        <v>2946</v>
      </c>
      <c r="O1797" s="47" t="s">
        <v>2947</v>
      </c>
      <c r="P1797" s="47" t="s">
        <v>2948</v>
      </c>
      <c r="Q1797" s="47"/>
      <c r="R1797" s="47"/>
      <c r="S1797" s="47" t="s">
        <v>967</v>
      </c>
      <c r="T1797" s="47" t="s">
        <v>2949</v>
      </c>
      <c r="U1797" s="47"/>
      <c r="V1797" s="47"/>
      <c r="W1797" s="47"/>
      <c r="X1797" s="47"/>
      <c r="Y1797" s="47"/>
      <c r="Z1797" s="47">
        <f t="shared" si="377"/>
        <v>4620</v>
      </c>
      <c r="AA1797" s="47"/>
      <c r="AB1797" s="47"/>
      <c r="AC1797" s="47"/>
      <c r="AD1797" s="47" t="s">
        <v>1</v>
      </c>
      <c r="AE1797" s="47"/>
      <c r="AF1797" s="47">
        <f t="shared" si="378"/>
        <v>1485</v>
      </c>
      <c r="AG1797" s="47"/>
      <c r="AH1797" s="47" t="str">
        <f>IFERROR(_xlfn.XLOOKUP(Table6[[#This Row],[Suburb]],Table5[Travel Surcharge],Table5[$$]),"")</f>
        <v/>
      </c>
      <c r="AI1797" s="47"/>
      <c r="AJ1797" s="47"/>
    </row>
    <row r="1798" spans="1:36">
      <c r="A1798" s="374" t="s">
        <v>2941</v>
      </c>
      <c r="B1798" s="374">
        <v>16</v>
      </c>
      <c r="C1798" s="374" t="s">
        <v>538</v>
      </c>
      <c r="D1798" s="375" t="str">
        <f t="shared" si="374"/>
        <v>Grandview Estate16</v>
      </c>
      <c r="E1798" s="375" t="s">
        <v>2966</v>
      </c>
      <c r="F1798" s="375" t="s">
        <v>650</v>
      </c>
      <c r="G1798" s="375" t="s">
        <v>2943</v>
      </c>
      <c r="H1798" s="375" t="s">
        <v>2960</v>
      </c>
      <c r="I1798" s="63" t="s">
        <v>2945</v>
      </c>
      <c r="J1798" s="47">
        <f t="shared" si="375"/>
        <v>3740</v>
      </c>
      <c r="K1798" s="46" t="s">
        <v>7938</v>
      </c>
      <c r="L1798" s="47" t="s">
        <v>504</v>
      </c>
      <c r="M1798" s="47">
        <f t="shared" si="376"/>
        <v>1430.0000000000002</v>
      </c>
      <c r="N1798" s="47" t="s">
        <v>2946</v>
      </c>
      <c r="O1798" s="47" t="s">
        <v>2947</v>
      </c>
      <c r="P1798" s="47" t="s">
        <v>2948</v>
      </c>
      <c r="Q1798" s="47"/>
      <c r="R1798" s="47"/>
      <c r="S1798" s="47" t="s">
        <v>967</v>
      </c>
      <c r="T1798" s="47" t="s">
        <v>2949</v>
      </c>
      <c r="U1798" s="47"/>
      <c r="V1798" s="47"/>
      <c r="W1798" s="47"/>
      <c r="X1798" s="47"/>
      <c r="Y1798" s="47"/>
      <c r="Z1798" s="47">
        <f t="shared" si="377"/>
        <v>4620</v>
      </c>
      <c r="AA1798" s="47"/>
      <c r="AB1798" s="47"/>
      <c r="AC1798" s="47"/>
      <c r="AD1798" s="47" t="s">
        <v>1</v>
      </c>
      <c r="AE1798" s="47"/>
      <c r="AF1798" s="47">
        <f t="shared" si="378"/>
        <v>1485</v>
      </c>
      <c r="AG1798" s="47"/>
      <c r="AH1798" s="47" t="str">
        <f>IFERROR(_xlfn.XLOOKUP(Table6[[#This Row],[Suburb]],Table5[Travel Surcharge],Table5[$$]),"")</f>
        <v/>
      </c>
      <c r="AI1798" s="47"/>
      <c r="AJ1798" s="47"/>
    </row>
    <row r="1799" spans="1:36">
      <c r="A1799" s="380" t="s">
        <v>2941</v>
      </c>
      <c r="B1799" s="380">
        <v>17</v>
      </c>
      <c r="C1799" s="380" t="s">
        <v>538</v>
      </c>
      <c r="D1799" s="380" t="str">
        <f t="shared" si="374"/>
        <v>Grandview Estate17</v>
      </c>
      <c r="E1799" s="380" t="s">
        <v>8174</v>
      </c>
      <c r="F1799" s="380" t="s">
        <v>650</v>
      </c>
      <c r="G1799" s="380" t="s">
        <v>2943</v>
      </c>
      <c r="H1799" s="380" t="s">
        <v>2960</v>
      </c>
      <c r="I1799" s="175" t="s">
        <v>2945</v>
      </c>
      <c r="J1799" s="47">
        <f t="shared" si="375"/>
        <v>3740</v>
      </c>
      <c r="K1799" s="46" t="s">
        <v>7938</v>
      </c>
      <c r="L1799" s="47" t="s">
        <v>504</v>
      </c>
      <c r="M1799" s="47">
        <f t="shared" si="376"/>
        <v>1430.0000000000002</v>
      </c>
      <c r="N1799" s="47" t="s">
        <v>2946</v>
      </c>
      <c r="O1799" s="47" t="s">
        <v>2947</v>
      </c>
      <c r="P1799" s="47" t="s">
        <v>2948</v>
      </c>
      <c r="Q1799" s="47"/>
      <c r="R1799" s="47"/>
      <c r="S1799" s="47" t="s">
        <v>967</v>
      </c>
      <c r="T1799" s="47" t="s">
        <v>2949</v>
      </c>
      <c r="U1799" s="47"/>
      <c r="V1799" s="47"/>
      <c r="W1799" s="47"/>
      <c r="X1799" s="47"/>
      <c r="Y1799" s="47"/>
      <c r="Z1799" s="47">
        <f t="shared" si="377"/>
        <v>4620</v>
      </c>
      <c r="AA1799" s="47"/>
      <c r="AB1799" s="47"/>
      <c r="AC1799" s="47"/>
      <c r="AD1799" s="47" t="s">
        <v>1</v>
      </c>
      <c r="AE1799" s="47"/>
      <c r="AF1799" s="47">
        <f t="shared" si="378"/>
        <v>1485</v>
      </c>
      <c r="AG1799" s="47"/>
      <c r="AH1799" s="47" t="str">
        <f>IFERROR(_xlfn.XLOOKUP(Table6[[#This Row],[Suburb]],Table5[Travel Surcharge],Table5[$$]),"")</f>
        <v/>
      </c>
      <c r="AI1799" s="47"/>
      <c r="AJ1799" s="47"/>
    </row>
    <row r="1800" spans="1:36">
      <c r="A1800" s="374" t="s">
        <v>2941</v>
      </c>
      <c r="B1800" s="374">
        <v>18</v>
      </c>
      <c r="C1800" s="374" t="s">
        <v>538</v>
      </c>
      <c r="D1800" s="375" t="str">
        <f t="shared" si="374"/>
        <v>Grandview Estate18</v>
      </c>
      <c r="E1800" s="375" t="s">
        <v>2967</v>
      </c>
      <c r="F1800" s="375" t="s">
        <v>650</v>
      </c>
      <c r="G1800" s="375" t="s">
        <v>2943</v>
      </c>
      <c r="H1800" s="375" t="s">
        <v>2960</v>
      </c>
      <c r="I1800" s="63" t="s">
        <v>2945</v>
      </c>
      <c r="J1800" s="47">
        <f t="shared" si="375"/>
        <v>3740</v>
      </c>
      <c r="K1800" s="46" t="s">
        <v>7938</v>
      </c>
      <c r="L1800" s="47" t="s">
        <v>504</v>
      </c>
      <c r="M1800" s="47">
        <f t="shared" si="376"/>
        <v>1430.0000000000002</v>
      </c>
      <c r="N1800" s="47" t="s">
        <v>2946</v>
      </c>
      <c r="O1800" s="47" t="s">
        <v>2947</v>
      </c>
      <c r="P1800" s="47" t="s">
        <v>2948</v>
      </c>
      <c r="Q1800" s="47"/>
      <c r="R1800" s="47"/>
      <c r="S1800" s="47" t="s">
        <v>967</v>
      </c>
      <c r="T1800" s="47" t="s">
        <v>2949</v>
      </c>
      <c r="U1800" s="47"/>
      <c r="V1800" s="47"/>
      <c r="W1800" s="47"/>
      <c r="X1800" s="47"/>
      <c r="Y1800" s="47"/>
      <c r="Z1800" s="47">
        <f t="shared" si="377"/>
        <v>4620</v>
      </c>
      <c r="AA1800" s="47"/>
      <c r="AB1800" s="47"/>
      <c r="AC1800" s="47"/>
      <c r="AD1800" s="47" t="s">
        <v>1</v>
      </c>
      <c r="AE1800" s="47"/>
      <c r="AF1800" s="47">
        <f t="shared" si="378"/>
        <v>1485</v>
      </c>
      <c r="AG1800" s="47"/>
      <c r="AH1800" s="47" t="str">
        <f>IFERROR(_xlfn.XLOOKUP(Table6[[#This Row],[Suburb]],Table5[Travel Surcharge],Table5[$$]),"")</f>
        <v/>
      </c>
      <c r="AI1800" s="47"/>
      <c r="AJ1800" s="47"/>
    </row>
    <row r="1801" spans="1:36">
      <c r="A1801" s="157" t="s">
        <v>2941</v>
      </c>
      <c r="B1801" s="157">
        <v>19</v>
      </c>
      <c r="C1801" s="157" t="s">
        <v>538</v>
      </c>
      <c r="D1801" s="157" t="str">
        <f t="shared" si="374"/>
        <v>Grandview Estate19</v>
      </c>
      <c r="E1801" s="157" t="s">
        <v>8231</v>
      </c>
      <c r="F1801" s="157" t="s">
        <v>650</v>
      </c>
      <c r="G1801" s="157" t="s">
        <v>2943</v>
      </c>
      <c r="H1801" s="157" t="s">
        <v>2960</v>
      </c>
      <c r="I1801" s="158" t="s">
        <v>2945</v>
      </c>
      <c r="J1801" s="47">
        <f t="shared" si="375"/>
        <v>3740</v>
      </c>
      <c r="K1801" s="46" t="s">
        <v>7938</v>
      </c>
      <c r="L1801" s="47" t="s">
        <v>504</v>
      </c>
      <c r="M1801" s="47">
        <f t="shared" si="376"/>
        <v>1430.0000000000002</v>
      </c>
      <c r="N1801" s="47" t="s">
        <v>2946</v>
      </c>
      <c r="O1801" s="47" t="s">
        <v>2947</v>
      </c>
      <c r="P1801" s="47" t="s">
        <v>2948</v>
      </c>
      <c r="Q1801" s="47"/>
      <c r="R1801" s="47"/>
      <c r="S1801" s="47" t="s">
        <v>967</v>
      </c>
      <c r="T1801" s="47" t="s">
        <v>2949</v>
      </c>
      <c r="U1801" s="47"/>
      <c r="V1801" s="47"/>
      <c r="W1801" s="47"/>
      <c r="X1801" s="47"/>
      <c r="Y1801" s="47"/>
      <c r="Z1801" s="47">
        <f t="shared" si="377"/>
        <v>4620</v>
      </c>
      <c r="AA1801" s="47"/>
      <c r="AB1801" s="47"/>
      <c r="AC1801" s="47"/>
      <c r="AD1801" s="47" t="s">
        <v>1</v>
      </c>
      <c r="AE1801" s="47"/>
      <c r="AF1801" s="47">
        <f t="shared" si="378"/>
        <v>1485</v>
      </c>
      <c r="AG1801" s="47"/>
      <c r="AH1801" s="47" t="str">
        <f>IFERROR(_xlfn.XLOOKUP(Table6[[#This Row],[Suburb]],Table5[Travel Surcharge],Table5[$$]),"")</f>
        <v/>
      </c>
      <c r="AI1801" s="47"/>
      <c r="AJ1801" s="47"/>
    </row>
    <row r="1802" spans="1:36">
      <c r="A1802" s="374" t="s">
        <v>2941</v>
      </c>
      <c r="B1802" s="374">
        <v>20</v>
      </c>
      <c r="C1802" s="374" t="s">
        <v>538</v>
      </c>
      <c r="D1802" s="375" t="str">
        <f t="shared" si="374"/>
        <v>Grandview Estate20</v>
      </c>
      <c r="E1802" s="375" t="s">
        <v>2968</v>
      </c>
      <c r="F1802" s="375" t="s">
        <v>650</v>
      </c>
      <c r="G1802" s="375" t="s">
        <v>2943</v>
      </c>
      <c r="H1802" s="375" t="s">
        <v>2960</v>
      </c>
      <c r="I1802" s="63" t="s">
        <v>2945</v>
      </c>
      <c r="J1802" s="47">
        <f t="shared" si="375"/>
        <v>3740</v>
      </c>
      <c r="K1802" s="46" t="s">
        <v>7938</v>
      </c>
      <c r="L1802" s="47" t="s">
        <v>504</v>
      </c>
      <c r="M1802" s="47">
        <f t="shared" si="376"/>
        <v>1430.0000000000002</v>
      </c>
      <c r="N1802" s="47" t="s">
        <v>2946</v>
      </c>
      <c r="O1802" s="47" t="s">
        <v>2947</v>
      </c>
      <c r="P1802" s="47" t="s">
        <v>2948</v>
      </c>
      <c r="Q1802" s="47"/>
      <c r="R1802" s="47"/>
      <c r="S1802" s="47" t="s">
        <v>967</v>
      </c>
      <c r="T1802" s="47" t="s">
        <v>2949</v>
      </c>
      <c r="U1802" s="47"/>
      <c r="V1802" s="47"/>
      <c r="W1802" s="47"/>
      <c r="X1802" s="47"/>
      <c r="Y1802" s="47"/>
      <c r="Z1802" s="47">
        <f t="shared" si="377"/>
        <v>4620</v>
      </c>
      <c r="AA1802" s="47"/>
      <c r="AB1802" s="47"/>
      <c r="AC1802" s="47"/>
      <c r="AD1802" s="47" t="s">
        <v>1</v>
      </c>
      <c r="AE1802" s="47"/>
      <c r="AF1802" s="47">
        <f t="shared" si="378"/>
        <v>1485</v>
      </c>
      <c r="AG1802" s="47"/>
      <c r="AH1802" s="47" t="str">
        <f>IFERROR(_xlfn.XLOOKUP(Table6[[#This Row],[Suburb]],Table5[Travel Surcharge],Table5[$$]),"")</f>
        <v/>
      </c>
      <c r="AI1802" s="47"/>
      <c r="AJ1802" s="47"/>
    </row>
    <row r="1803" spans="1:36">
      <c r="A1803" s="374" t="s">
        <v>2941</v>
      </c>
      <c r="B1803" s="374">
        <v>21</v>
      </c>
      <c r="C1803" s="374" t="s">
        <v>538</v>
      </c>
      <c r="D1803" s="375" t="str">
        <f t="shared" si="374"/>
        <v>Grandview Estate21</v>
      </c>
      <c r="E1803" s="375" t="s">
        <v>8998</v>
      </c>
      <c r="F1803" s="375" t="s">
        <v>650</v>
      </c>
      <c r="G1803" s="375" t="s">
        <v>2943</v>
      </c>
      <c r="H1803" s="375" t="s">
        <v>2960</v>
      </c>
      <c r="I1803" s="63" t="s">
        <v>2945</v>
      </c>
      <c r="J1803" s="47">
        <f t="shared" si="375"/>
        <v>3740</v>
      </c>
      <c r="K1803" s="46" t="s">
        <v>7938</v>
      </c>
      <c r="L1803" s="47" t="s">
        <v>504</v>
      </c>
      <c r="M1803" s="47">
        <f t="shared" si="376"/>
        <v>1430.0000000000002</v>
      </c>
      <c r="N1803" s="47" t="s">
        <v>2946</v>
      </c>
      <c r="O1803" s="47" t="s">
        <v>2947</v>
      </c>
      <c r="P1803" s="47" t="s">
        <v>2948</v>
      </c>
      <c r="Q1803" s="47"/>
      <c r="R1803" s="47"/>
      <c r="S1803" s="47" t="s">
        <v>967</v>
      </c>
      <c r="T1803" s="47" t="s">
        <v>2949</v>
      </c>
      <c r="U1803" s="47"/>
      <c r="V1803" s="47"/>
      <c r="W1803" s="47"/>
      <c r="X1803" s="47"/>
      <c r="Y1803" s="47"/>
      <c r="Z1803" s="47">
        <f t="shared" si="377"/>
        <v>4620</v>
      </c>
      <c r="AA1803" s="47"/>
      <c r="AB1803" s="47"/>
      <c r="AC1803" s="47"/>
      <c r="AD1803" s="47" t="s">
        <v>1</v>
      </c>
      <c r="AE1803" s="47"/>
      <c r="AF1803" s="47">
        <f t="shared" si="378"/>
        <v>1485</v>
      </c>
      <c r="AG1803" s="47"/>
      <c r="AH1803" s="47" t="str">
        <f>IFERROR(_xlfn.XLOOKUP(Table6[[#This Row],[Suburb]],Table5[Travel Surcharge],Table5[$$]),"")</f>
        <v/>
      </c>
      <c r="AI1803" s="47"/>
      <c r="AJ1803" s="47"/>
    </row>
    <row r="1804" spans="1:36">
      <c r="A1804" s="374" t="s">
        <v>2941</v>
      </c>
      <c r="B1804" s="374">
        <v>22</v>
      </c>
      <c r="C1804" s="374" t="s">
        <v>538</v>
      </c>
      <c r="D1804" s="375" t="str">
        <f t="shared" si="374"/>
        <v>Grandview Estate22</v>
      </c>
      <c r="E1804" s="375"/>
      <c r="F1804" s="375" t="s">
        <v>650</v>
      </c>
      <c r="G1804" s="375" t="s">
        <v>2943</v>
      </c>
      <c r="H1804" s="375" t="s">
        <v>2960</v>
      </c>
      <c r="I1804" s="63" t="s">
        <v>2945</v>
      </c>
      <c r="J1804" s="47">
        <v>3740</v>
      </c>
      <c r="K1804" s="46" t="s">
        <v>7938</v>
      </c>
      <c r="L1804" s="47" t="s">
        <v>504</v>
      </c>
      <c r="M1804" s="47">
        <v>1430.0000000000002</v>
      </c>
      <c r="N1804" s="47" t="s">
        <v>2946</v>
      </c>
      <c r="O1804" s="47" t="s">
        <v>2947</v>
      </c>
      <c r="P1804" s="47" t="s">
        <v>2948</v>
      </c>
      <c r="Q1804" s="47"/>
      <c r="R1804" s="47"/>
      <c r="S1804" s="47" t="s">
        <v>967</v>
      </c>
      <c r="T1804" s="47" t="s">
        <v>2949</v>
      </c>
      <c r="U1804" s="47"/>
      <c r="V1804" s="47"/>
      <c r="W1804" s="47"/>
      <c r="X1804" s="47"/>
      <c r="Y1804" s="47"/>
      <c r="Z1804" s="47">
        <v>4620</v>
      </c>
      <c r="AA1804" s="47"/>
      <c r="AB1804" s="47"/>
      <c r="AC1804" s="47"/>
      <c r="AD1804" s="47" t="s">
        <v>1</v>
      </c>
      <c r="AE1804" s="47"/>
      <c r="AF1804" s="47">
        <v>1485</v>
      </c>
      <c r="AG1804" s="47"/>
      <c r="AH1804" s="47" t="s">
        <v>9976</v>
      </c>
      <c r="AI1804" s="47"/>
      <c r="AJ1804" s="47"/>
    </row>
    <row r="1805" spans="1:36">
      <c r="A1805" s="374" t="s">
        <v>2941</v>
      </c>
      <c r="B1805" s="374">
        <v>23</v>
      </c>
      <c r="C1805" s="374" t="s">
        <v>538</v>
      </c>
      <c r="D1805" s="375" t="str">
        <f t="shared" si="374"/>
        <v>Grandview Estate23</v>
      </c>
      <c r="E1805" s="375" t="s">
        <v>10902</v>
      </c>
      <c r="F1805" s="375" t="s">
        <v>650</v>
      </c>
      <c r="G1805" s="375" t="s">
        <v>2943</v>
      </c>
      <c r="H1805" s="375" t="s">
        <v>2960</v>
      </c>
      <c r="I1805" s="63" t="s">
        <v>2945</v>
      </c>
      <c r="J1805" s="47">
        <v>3740</v>
      </c>
      <c r="K1805" s="46" t="s">
        <v>7938</v>
      </c>
      <c r="L1805" s="47" t="s">
        <v>504</v>
      </c>
      <c r="M1805" s="47">
        <v>1430.0000000000002</v>
      </c>
      <c r="N1805" s="47" t="s">
        <v>2946</v>
      </c>
      <c r="O1805" s="47" t="s">
        <v>2947</v>
      </c>
      <c r="P1805" s="47" t="s">
        <v>2948</v>
      </c>
      <c r="Q1805" s="47"/>
      <c r="R1805" s="47"/>
      <c r="S1805" s="47" t="s">
        <v>967</v>
      </c>
      <c r="T1805" s="47" t="s">
        <v>2949</v>
      </c>
      <c r="U1805" s="47"/>
      <c r="V1805" s="47"/>
      <c r="W1805" s="47"/>
      <c r="X1805" s="47"/>
      <c r="Y1805" s="47"/>
      <c r="Z1805" s="47">
        <v>4620</v>
      </c>
      <c r="AA1805" s="47"/>
      <c r="AB1805" s="47"/>
      <c r="AC1805" s="47"/>
      <c r="AD1805" s="47" t="s">
        <v>1</v>
      </c>
      <c r="AE1805" s="47"/>
      <c r="AF1805" s="47">
        <v>1485</v>
      </c>
      <c r="AG1805" s="47"/>
      <c r="AH1805" s="47" t="s">
        <v>9976</v>
      </c>
      <c r="AI1805" s="47"/>
      <c r="AJ1805" s="47"/>
    </row>
    <row r="1806" spans="1:36">
      <c r="A1806" s="157" t="s">
        <v>2941</v>
      </c>
      <c r="B1806" s="157">
        <v>25</v>
      </c>
      <c r="C1806" s="157" t="s">
        <v>538</v>
      </c>
      <c r="D1806" s="157" t="str">
        <f t="shared" si="374"/>
        <v>Grandview Estate25</v>
      </c>
      <c r="E1806" s="157" t="s">
        <v>8383</v>
      </c>
      <c r="F1806" s="157" t="s">
        <v>650</v>
      </c>
      <c r="G1806" s="157" t="s">
        <v>2943</v>
      </c>
      <c r="H1806" s="157" t="s">
        <v>2960</v>
      </c>
      <c r="I1806" s="158" t="s">
        <v>2945</v>
      </c>
      <c r="J1806" s="47">
        <f t="shared" si="375"/>
        <v>3740</v>
      </c>
      <c r="K1806" s="46" t="s">
        <v>7938</v>
      </c>
      <c r="L1806" s="47" t="s">
        <v>504</v>
      </c>
      <c r="M1806" s="47">
        <f t="shared" si="376"/>
        <v>1430.0000000000002</v>
      </c>
      <c r="N1806" s="47" t="s">
        <v>2946</v>
      </c>
      <c r="O1806" s="47" t="s">
        <v>2947</v>
      </c>
      <c r="P1806" s="47" t="s">
        <v>2948</v>
      </c>
      <c r="Q1806" s="47"/>
      <c r="R1806" s="47"/>
      <c r="S1806" s="47" t="s">
        <v>967</v>
      </c>
      <c r="T1806" s="47" t="s">
        <v>2949</v>
      </c>
      <c r="U1806" s="47"/>
      <c r="V1806" s="47"/>
      <c r="W1806" s="47"/>
      <c r="X1806" s="47"/>
      <c r="Y1806" s="47"/>
      <c r="Z1806" s="47">
        <f t="shared" si="377"/>
        <v>4620</v>
      </c>
      <c r="AA1806" s="47"/>
      <c r="AB1806" s="47"/>
      <c r="AC1806" s="47"/>
      <c r="AD1806" s="47" t="s">
        <v>1</v>
      </c>
      <c r="AE1806" s="47"/>
      <c r="AF1806" s="47">
        <f t="shared" si="378"/>
        <v>1485</v>
      </c>
      <c r="AG1806" s="47"/>
      <c r="AH1806" s="47" t="str">
        <f>IFERROR(_xlfn.XLOOKUP(Table6[[#This Row],[Suburb]],Table5[Travel Surcharge],Table5[$$]),"")</f>
        <v/>
      </c>
      <c r="AI1806" s="47"/>
      <c r="AJ1806" s="47"/>
    </row>
    <row r="1807" spans="1:36">
      <c r="A1807" s="374" t="s">
        <v>2941</v>
      </c>
      <c r="B1807" s="374" t="s">
        <v>610</v>
      </c>
      <c r="C1807" s="374" t="s">
        <v>538</v>
      </c>
      <c r="D1807" s="375" t="str">
        <f t="shared" si="374"/>
        <v>Grandview Estate3C</v>
      </c>
      <c r="E1807" s="375" t="s">
        <v>2951</v>
      </c>
      <c r="F1807" s="375" t="s">
        <v>650</v>
      </c>
      <c r="G1807" s="375" t="s">
        <v>2943</v>
      </c>
      <c r="H1807" s="375" t="s">
        <v>2944</v>
      </c>
      <c r="I1807" s="63" t="s">
        <v>2945</v>
      </c>
      <c r="J1807" s="47">
        <f t="shared" si="375"/>
        <v>3740</v>
      </c>
      <c r="K1807" s="46" t="s">
        <v>7938</v>
      </c>
      <c r="L1807" s="47" t="s">
        <v>504</v>
      </c>
      <c r="M1807" s="47">
        <f t="shared" si="376"/>
        <v>1430.0000000000002</v>
      </c>
      <c r="N1807" s="47" t="s">
        <v>2946</v>
      </c>
      <c r="O1807" s="47" t="s">
        <v>2947</v>
      </c>
      <c r="P1807" s="47" t="s">
        <v>2948</v>
      </c>
      <c r="Q1807" s="47" t="s">
        <v>2952</v>
      </c>
      <c r="R1807" s="47"/>
      <c r="S1807" s="47" t="s">
        <v>967</v>
      </c>
      <c r="T1807" s="47" t="s">
        <v>2953</v>
      </c>
      <c r="U1807" s="47"/>
      <c r="V1807" s="47" t="str">
        <f>V$7</f>
        <v>$6/m2</v>
      </c>
      <c r="W1807" s="47"/>
      <c r="X1807" s="47"/>
      <c r="Y1807" s="47"/>
      <c r="Z1807" s="47">
        <f t="shared" si="377"/>
        <v>4620</v>
      </c>
      <c r="AA1807" s="47"/>
      <c r="AB1807" s="47"/>
      <c r="AC1807" s="47"/>
      <c r="AD1807" s="47"/>
      <c r="AE1807" s="47">
        <f>AE$7</f>
        <v>5000</v>
      </c>
      <c r="AF1807" s="47">
        <f t="shared" si="378"/>
        <v>1485</v>
      </c>
      <c r="AG1807" s="47"/>
      <c r="AH1807" s="47" t="str">
        <f>IFERROR(_xlfn.XLOOKUP(Table6[[#This Row],[Suburb]],Table5[Travel Surcharge],Table5[$$]),"")</f>
        <v/>
      </c>
      <c r="AI1807" s="47"/>
      <c r="AJ1807" s="47"/>
    </row>
    <row r="1808" spans="1:36">
      <c r="A1808" s="374" t="s">
        <v>2941</v>
      </c>
      <c r="B1808" s="374" t="s">
        <v>528</v>
      </c>
      <c r="C1808" s="374" t="s">
        <v>538</v>
      </c>
      <c r="D1808" s="375" t="str">
        <f t="shared" si="374"/>
        <v>Grandview Estate4A</v>
      </c>
      <c r="E1808" s="375" t="s">
        <v>2954</v>
      </c>
      <c r="F1808" s="375" t="s">
        <v>650</v>
      </c>
      <c r="G1808" s="375" t="s">
        <v>2943</v>
      </c>
      <c r="H1808" s="375" t="s">
        <v>2944</v>
      </c>
      <c r="I1808" s="63" t="s">
        <v>2945</v>
      </c>
      <c r="J1808" s="47">
        <f t="shared" si="375"/>
        <v>3740</v>
      </c>
      <c r="K1808" s="46" t="s">
        <v>7938</v>
      </c>
      <c r="L1808" s="47" t="s">
        <v>504</v>
      </c>
      <c r="M1808" s="47">
        <f t="shared" si="376"/>
        <v>1430.0000000000002</v>
      </c>
      <c r="N1808" s="47" t="s">
        <v>2946</v>
      </c>
      <c r="O1808" s="47" t="s">
        <v>2947</v>
      </c>
      <c r="P1808" s="47" t="s">
        <v>2948</v>
      </c>
      <c r="Q1808" s="47" t="s">
        <v>2952</v>
      </c>
      <c r="R1808" s="47"/>
      <c r="S1808" s="47" t="s">
        <v>967</v>
      </c>
      <c r="T1808" s="47" t="s">
        <v>2953</v>
      </c>
      <c r="U1808" s="47"/>
      <c r="V1808" s="47" t="str">
        <f>V$7</f>
        <v>$6/m2</v>
      </c>
      <c r="W1808" s="47"/>
      <c r="X1808" s="47"/>
      <c r="Y1808" s="47"/>
      <c r="Z1808" s="47">
        <f t="shared" si="377"/>
        <v>4620</v>
      </c>
      <c r="AA1808" s="47"/>
      <c r="AB1808" s="47"/>
      <c r="AC1808" s="47"/>
      <c r="AD1808" s="47"/>
      <c r="AE1808" s="47">
        <f>AE$7</f>
        <v>5000</v>
      </c>
      <c r="AF1808" s="47">
        <f t="shared" si="378"/>
        <v>1485</v>
      </c>
      <c r="AG1808" s="47"/>
      <c r="AH1808" s="47" t="str">
        <f>IFERROR(_xlfn.XLOOKUP(Table6[[#This Row],[Suburb]],Table5[Travel Surcharge],Table5[$$]),"")</f>
        <v/>
      </c>
      <c r="AI1808" s="47"/>
      <c r="AJ1808" s="47"/>
    </row>
    <row r="1809" spans="1:36">
      <c r="A1809" s="374" t="s">
        <v>2941</v>
      </c>
      <c r="B1809" s="374" t="s">
        <v>613</v>
      </c>
      <c r="C1809" s="374" t="s">
        <v>538</v>
      </c>
      <c r="D1809" s="375" t="str">
        <f t="shared" si="374"/>
        <v>Grandview Estate4B</v>
      </c>
      <c r="E1809" s="375" t="s">
        <v>2955</v>
      </c>
      <c r="F1809" s="375" t="s">
        <v>650</v>
      </c>
      <c r="G1809" s="375" t="s">
        <v>2943</v>
      </c>
      <c r="H1809" s="375" t="s">
        <v>2944</v>
      </c>
      <c r="I1809" s="63" t="s">
        <v>2945</v>
      </c>
      <c r="J1809" s="47">
        <f t="shared" si="375"/>
        <v>3740</v>
      </c>
      <c r="K1809" s="46" t="s">
        <v>7938</v>
      </c>
      <c r="L1809" s="47" t="s">
        <v>504</v>
      </c>
      <c r="M1809" s="47">
        <f t="shared" si="376"/>
        <v>1430.0000000000002</v>
      </c>
      <c r="N1809" s="47" t="s">
        <v>2946</v>
      </c>
      <c r="O1809" s="47" t="s">
        <v>2947</v>
      </c>
      <c r="P1809" s="47" t="s">
        <v>2948</v>
      </c>
      <c r="Q1809" s="47" t="s">
        <v>2952</v>
      </c>
      <c r="R1809" s="47"/>
      <c r="S1809" s="47" t="s">
        <v>967</v>
      </c>
      <c r="T1809" s="47" t="s">
        <v>2953</v>
      </c>
      <c r="U1809" s="47"/>
      <c r="V1809" s="47" t="str">
        <f>V$7</f>
        <v>$6/m2</v>
      </c>
      <c r="W1809" s="47"/>
      <c r="X1809" s="47"/>
      <c r="Y1809" s="47"/>
      <c r="Z1809" s="47">
        <f t="shared" si="377"/>
        <v>4620</v>
      </c>
      <c r="AA1809" s="47"/>
      <c r="AB1809" s="47"/>
      <c r="AC1809" s="47"/>
      <c r="AD1809" s="47"/>
      <c r="AE1809" s="47">
        <f>AE$7</f>
        <v>5000</v>
      </c>
      <c r="AF1809" s="47">
        <f t="shared" si="378"/>
        <v>1485</v>
      </c>
      <c r="AG1809" s="47"/>
      <c r="AH1809" s="47" t="str">
        <f>IFERROR(_xlfn.XLOOKUP(Table6[[#This Row],[Suburb]],Table5[Travel Surcharge],Table5[$$]),"")</f>
        <v/>
      </c>
      <c r="AI1809" s="47"/>
      <c r="AJ1809" s="47"/>
    </row>
    <row r="1810" spans="1:36">
      <c r="A1810" s="374" t="s">
        <v>2941</v>
      </c>
      <c r="B1810" s="374" t="s">
        <v>615</v>
      </c>
      <c r="C1810" s="374" t="s">
        <v>538</v>
      </c>
      <c r="D1810" s="375" t="str">
        <f t="shared" si="374"/>
        <v>Grandview Estate4C</v>
      </c>
      <c r="E1810" s="375" t="s">
        <v>2956</v>
      </c>
      <c r="F1810" s="375" t="s">
        <v>650</v>
      </c>
      <c r="G1810" s="375" t="s">
        <v>2943</v>
      </c>
      <c r="H1810" s="375" t="s">
        <v>2944</v>
      </c>
      <c r="I1810" s="63" t="s">
        <v>2945</v>
      </c>
      <c r="J1810" s="47">
        <f t="shared" si="375"/>
        <v>3740</v>
      </c>
      <c r="K1810" s="46" t="s">
        <v>7938</v>
      </c>
      <c r="L1810" s="47" t="s">
        <v>504</v>
      </c>
      <c r="M1810" s="47">
        <f t="shared" si="376"/>
        <v>1430.0000000000002</v>
      </c>
      <c r="N1810" s="47" t="s">
        <v>2946</v>
      </c>
      <c r="O1810" s="47" t="s">
        <v>2947</v>
      </c>
      <c r="P1810" s="47" t="s">
        <v>2948</v>
      </c>
      <c r="Q1810" s="47" t="s">
        <v>2952</v>
      </c>
      <c r="R1810" s="47"/>
      <c r="S1810" s="47" t="s">
        <v>967</v>
      </c>
      <c r="T1810" s="47" t="s">
        <v>2953</v>
      </c>
      <c r="U1810" s="47"/>
      <c r="V1810" s="47" t="str">
        <f>V$7</f>
        <v>$6/m2</v>
      </c>
      <c r="W1810" s="47"/>
      <c r="X1810" s="47"/>
      <c r="Y1810" s="47"/>
      <c r="Z1810" s="47">
        <f t="shared" si="377"/>
        <v>4620</v>
      </c>
      <c r="AA1810" s="47"/>
      <c r="AB1810" s="47"/>
      <c r="AC1810" s="47"/>
      <c r="AD1810" s="47"/>
      <c r="AE1810" s="47">
        <f>AE$7</f>
        <v>5000</v>
      </c>
      <c r="AF1810" s="47">
        <f t="shared" si="378"/>
        <v>1485</v>
      </c>
      <c r="AG1810" s="47"/>
      <c r="AH1810" s="47" t="str">
        <f>IFERROR(_xlfn.XLOOKUP(Table6[[#This Row],[Suburb]],Table5[Travel Surcharge],Table5[$$]),"")</f>
        <v/>
      </c>
      <c r="AI1810" s="47"/>
      <c r="AJ1810" s="47"/>
    </row>
    <row r="1811" spans="1:36">
      <c r="A1811" s="374" t="s">
        <v>2969</v>
      </c>
      <c r="B1811" s="374">
        <v>1</v>
      </c>
      <c r="C1811" s="374" t="s">
        <v>802</v>
      </c>
      <c r="D1811" s="375" t="str">
        <f t="shared" si="374"/>
        <v>Grandvue Estate1</v>
      </c>
      <c r="E1811" s="375" t="s">
        <v>2970</v>
      </c>
      <c r="F1811" s="375" t="s">
        <v>1428</v>
      </c>
      <c r="G1811" s="375" t="s">
        <v>2971</v>
      </c>
      <c r="H1811" s="375" t="s">
        <v>2972</v>
      </c>
      <c r="I1811" s="63" t="s">
        <v>2973</v>
      </c>
      <c r="J1811" s="47">
        <f t="shared" si="375"/>
        <v>3740</v>
      </c>
      <c r="K1811" s="46" t="s">
        <v>10735</v>
      </c>
      <c r="L1811" s="47"/>
      <c r="M1811" s="47" t="s">
        <v>2974</v>
      </c>
      <c r="N1811" s="47"/>
      <c r="O1811" s="47"/>
      <c r="P1811" s="47"/>
      <c r="Q1811" s="47"/>
      <c r="R1811" s="47"/>
      <c r="S1811" s="47"/>
      <c r="T1811" s="47">
        <f t="shared" ref="T1811:T1821" si="379">T$2</f>
        <v>780</v>
      </c>
      <c r="U1811" s="47"/>
      <c r="V1811" s="47"/>
      <c r="W1811" s="47"/>
      <c r="X1811" s="47"/>
      <c r="Y1811" s="47"/>
      <c r="Z1811" s="47">
        <f t="shared" si="377"/>
        <v>4620</v>
      </c>
      <c r="AA1811" s="47"/>
      <c r="AB1811" s="47"/>
      <c r="AC1811" s="47"/>
      <c r="AD1811" s="47"/>
      <c r="AE1811" s="47"/>
      <c r="AF1811" s="47"/>
      <c r="AG1811" s="47"/>
      <c r="AH1811" s="47" t="str">
        <f>IFERROR(_xlfn.XLOOKUP(Table6[[#This Row],[Suburb]],Table5[Travel Surcharge],Table5[$$]),"")</f>
        <v/>
      </c>
      <c r="AI1811" s="47"/>
      <c r="AJ1811" s="47"/>
    </row>
    <row r="1812" spans="1:36">
      <c r="A1812" s="374" t="s">
        <v>2969</v>
      </c>
      <c r="B1812" s="374">
        <v>2</v>
      </c>
      <c r="C1812" s="374" t="s">
        <v>802</v>
      </c>
      <c r="D1812" s="375" t="str">
        <f t="shared" si="374"/>
        <v>Grandvue Estate2</v>
      </c>
      <c r="E1812" s="375" t="s">
        <v>2975</v>
      </c>
      <c r="F1812" s="375" t="s">
        <v>1428</v>
      </c>
      <c r="G1812" s="375" t="s">
        <v>2971</v>
      </c>
      <c r="H1812" s="375" t="s">
        <v>2972</v>
      </c>
      <c r="I1812" s="63" t="s">
        <v>2973</v>
      </c>
      <c r="J1812" s="47">
        <f t="shared" si="375"/>
        <v>3740</v>
      </c>
      <c r="K1812" s="46" t="s">
        <v>10735</v>
      </c>
      <c r="L1812" s="47"/>
      <c r="M1812" s="47" t="s">
        <v>2974</v>
      </c>
      <c r="N1812" s="47"/>
      <c r="O1812" s="47"/>
      <c r="P1812" s="47"/>
      <c r="Q1812" s="47"/>
      <c r="R1812" s="47"/>
      <c r="S1812" s="47"/>
      <c r="T1812" s="47">
        <f t="shared" si="379"/>
        <v>780</v>
      </c>
      <c r="U1812" s="47"/>
      <c r="V1812" s="47"/>
      <c r="W1812" s="47"/>
      <c r="X1812" s="47"/>
      <c r="Y1812" s="47"/>
      <c r="Z1812" s="47">
        <f t="shared" si="377"/>
        <v>4620</v>
      </c>
      <c r="AA1812" s="47"/>
      <c r="AB1812" s="47"/>
      <c r="AC1812" s="47"/>
      <c r="AD1812" s="47"/>
      <c r="AE1812" s="47"/>
      <c r="AF1812" s="47"/>
      <c r="AG1812" s="47"/>
      <c r="AH1812" s="47" t="str">
        <f>IFERROR(_xlfn.XLOOKUP(Table6[[#This Row],[Suburb]],Table5[Travel Surcharge],Table5[$$]),"")</f>
        <v/>
      </c>
      <c r="AI1812" s="47"/>
      <c r="AJ1812" s="47"/>
    </row>
    <row r="1813" spans="1:36">
      <c r="A1813" s="374" t="s">
        <v>2969</v>
      </c>
      <c r="B1813" s="374">
        <v>3</v>
      </c>
      <c r="C1813" s="374" t="s">
        <v>802</v>
      </c>
      <c r="D1813" s="375" t="str">
        <f t="shared" si="374"/>
        <v>Grandvue Estate3</v>
      </c>
      <c r="E1813" s="375" t="s">
        <v>2976</v>
      </c>
      <c r="F1813" s="375" t="s">
        <v>1428</v>
      </c>
      <c r="G1813" s="375" t="s">
        <v>2971</v>
      </c>
      <c r="H1813" s="375" t="s">
        <v>2972</v>
      </c>
      <c r="I1813" s="63" t="s">
        <v>2973</v>
      </c>
      <c r="J1813" s="47">
        <f t="shared" si="375"/>
        <v>3740</v>
      </c>
      <c r="K1813" s="46" t="s">
        <v>10735</v>
      </c>
      <c r="L1813" s="47"/>
      <c r="M1813" s="47" t="s">
        <v>2974</v>
      </c>
      <c r="N1813" s="47"/>
      <c r="O1813" s="47"/>
      <c r="P1813" s="47"/>
      <c r="Q1813" s="47"/>
      <c r="R1813" s="47"/>
      <c r="S1813" s="47"/>
      <c r="T1813" s="47">
        <f t="shared" si="379"/>
        <v>780</v>
      </c>
      <c r="U1813" s="47"/>
      <c r="V1813" s="47"/>
      <c r="W1813" s="47"/>
      <c r="X1813" s="47"/>
      <c r="Y1813" s="47"/>
      <c r="Z1813" s="47">
        <f t="shared" si="377"/>
        <v>4620</v>
      </c>
      <c r="AA1813" s="47"/>
      <c r="AB1813" s="47"/>
      <c r="AC1813" s="47"/>
      <c r="AD1813" s="47"/>
      <c r="AE1813" s="47"/>
      <c r="AF1813" s="47"/>
      <c r="AG1813" s="47"/>
      <c r="AH1813" s="47" t="str">
        <f>IFERROR(_xlfn.XLOOKUP(Table6[[#This Row],[Suburb]],Table5[Travel Surcharge],Table5[$$]),"")</f>
        <v/>
      </c>
      <c r="AI1813" s="47"/>
      <c r="AJ1813" s="47"/>
    </row>
    <row r="1814" spans="1:36">
      <c r="A1814" s="374" t="s">
        <v>2969</v>
      </c>
      <c r="B1814" s="374">
        <v>6</v>
      </c>
      <c r="C1814" s="374" t="s">
        <v>802</v>
      </c>
      <c r="D1814" s="375" t="str">
        <f t="shared" si="374"/>
        <v>Grandvue Estate6</v>
      </c>
      <c r="E1814" s="375" t="s">
        <v>2977</v>
      </c>
      <c r="F1814" s="375" t="s">
        <v>1428</v>
      </c>
      <c r="G1814" s="375" t="s">
        <v>2971</v>
      </c>
      <c r="H1814" s="375" t="s">
        <v>2972</v>
      </c>
      <c r="I1814" s="63" t="s">
        <v>2973</v>
      </c>
      <c r="J1814" s="47">
        <f t="shared" si="375"/>
        <v>3740</v>
      </c>
      <c r="K1814" s="46" t="s">
        <v>10735</v>
      </c>
      <c r="L1814" s="47"/>
      <c r="M1814" s="47" t="s">
        <v>2974</v>
      </c>
      <c r="N1814" s="47"/>
      <c r="O1814" s="47"/>
      <c r="P1814" s="47"/>
      <c r="Q1814" s="47"/>
      <c r="R1814" s="47"/>
      <c r="S1814" s="47"/>
      <c r="T1814" s="47">
        <f t="shared" si="379"/>
        <v>780</v>
      </c>
      <c r="U1814" s="47"/>
      <c r="V1814" s="47"/>
      <c r="W1814" s="47"/>
      <c r="X1814" s="47"/>
      <c r="Y1814" s="47"/>
      <c r="Z1814" s="47">
        <f t="shared" si="377"/>
        <v>4620</v>
      </c>
      <c r="AA1814" s="47"/>
      <c r="AB1814" s="47"/>
      <c r="AC1814" s="47"/>
      <c r="AD1814" s="47"/>
      <c r="AE1814" s="47"/>
      <c r="AF1814" s="47"/>
      <c r="AG1814" s="47"/>
      <c r="AH1814" s="47" t="str">
        <f>IFERROR(_xlfn.XLOOKUP(Table6[[#This Row],[Suburb]],Table5[Travel Surcharge],Table5[$$]),"")</f>
        <v/>
      </c>
      <c r="AI1814" s="47"/>
      <c r="AJ1814" s="47"/>
    </row>
    <row r="1815" spans="1:36">
      <c r="A1815" s="374" t="s">
        <v>2969</v>
      </c>
      <c r="B1815" s="374">
        <v>8</v>
      </c>
      <c r="C1815" s="374" t="s">
        <v>802</v>
      </c>
      <c r="D1815" s="375" t="str">
        <f t="shared" si="374"/>
        <v>Grandvue Estate8</v>
      </c>
      <c r="E1815" s="375" t="s">
        <v>2978</v>
      </c>
      <c r="F1815" s="375" t="s">
        <v>1428</v>
      </c>
      <c r="G1815" s="375" t="s">
        <v>2971</v>
      </c>
      <c r="H1815" s="375" t="s">
        <v>2972</v>
      </c>
      <c r="I1815" s="63" t="s">
        <v>2973</v>
      </c>
      <c r="J1815" s="47">
        <f t="shared" si="375"/>
        <v>3740</v>
      </c>
      <c r="K1815" s="46" t="s">
        <v>10735</v>
      </c>
      <c r="L1815" s="47"/>
      <c r="M1815" s="47" t="s">
        <v>2974</v>
      </c>
      <c r="N1815" s="47"/>
      <c r="O1815" s="47"/>
      <c r="P1815" s="47"/>
      <c r="Q1815" s="47"/>
      <c r="R1815" s="47"/>
      <c r="S1815" s="47"/>
      <c r="T1815" s="47">
        <f t="shared" si="379"/>
        <v>780</v>
      </c>
      <c r="U1815" s="47"/>
      <c r="V1815" s="47"/>
      <c r="W1815" s="47"/>
      <c r="X1815" s="47"/>
      <c r="Y1815" s="47"/>
      <c r="Z1815" s="47">
        <f t="shared" si="377"/>
        <v>4620</v>
      </c>
      <c r="AA1815" s="47"/>
      <c r="AB1815" s="47"/>
      <c r="AC1815" s="47"/>
      <c r="AD1815" s="47"/>
      <c r="AE1815" s="47"/>
      <c r="AF1815" s="47"/>
      <c r="AG1815" s="47"/>
      <c r="AH1815" s="47" t="str">
        <f>IFERROR(_xlfn.XLOOKUP(Table6[[#This Row],[Suburb]],Table5[Travel Surcharge],Table5[$$]),"")</f>
        <v/>
      </c>
      <c r="AI1815" s="47"/>
      <c r="AJ1815" s="47"/>
    </row>
    <row r="1816" spans="1:36">
      <c r="A1816" s="374" t="s">
        <v>2969</v>
      </c>
      <c r="B1816" s="374">
        <v>9</v>
      </c>
      <c r="C1816" s="374" t="s">
        <v>802</v>
      </c>
      <c r="D1816" s="375" t="str">
        <f t="shared" si="374"/>
        <v>Grandvue Estate9</v>
      </c>
      <c r="E1816" s="375" t="s">
        <v>2979</v>
      </c>
      <c r="F1816" s="375" t="s">
        <v>1428</v>
      </c>
      <c r="G1816" s="375" t="s">
        <v>2971</v>
      </c>
      <c r="H1816" s="375" t="s">
        <v>2972</v>
      </c>
      <c r="I1816" s="63" t="s">
        <v>2973</v>
      </c>
      <c r="J1816" s="47">
        <f t="shared" si="375"/>
        <v>3740</v>
      </c>
      <c r="K1816" s="46" t="s">
        <v>10735</v>
      </c>
      <c r="L1816" s="47"/>
      <c r="M1816" s="47" t="s">
        <v>2974</v>
      </c>
      <c r="N1816" s="47"/>
      <c r="O1816" s="47"/>
      <c r="P1816" s="47"/>
      <c r="Q1816" s="47"/>
      <c r="R1816" s="47"/>
      <c r="S1816" s="47"/>
      <c r="T1816" s="47">
        <f t="shared" si="379"/>
        <v>780</v>
      </c>
      <c r="U1816" s="47"/>
      <c r="V1816" s="47"/>
      <c r="W1816" s="47"/>
      <c r="X1816" s="47"/>
      <c r="Y1816" s="47"/>
      <c r="Z1816" s="47">
        <f t="shared" si="377"/>
        <v>4620</v>
      </c>
      <c r="AA1816" s="47"/>
      <c r="AB1816" s="47"/>
      <c r="AC1816" s="47"/>
      <c r="AD1816" s="47"/>
      <c r="AE1816" s="47"/>
      <c r="AF1816" s="47"/>
      <c r="AG1816" s="47"/>
      <c r="AH1816" s="47" t="str">
        <f>IFERROR(_xlfn.XLOOKUP(Table6[[#This Row],[Suburb]],Table5[Travel Surcharge],Table5[$$]),"")</f>
        <v/>
      </c>
      <c r="AI1816" s="47"/>
      <c r="AJ1816" s="47"/>
    </row>
    <row r="1817" spans="1:36">
      <c r="A1817" s="157" t="s">
        <v>2969</v>
      </c>
      <c r="B1817" s="157">
        <v>11</v>
      </c>
      <c r="C1817" s="157" t="s">
        <v>8203</v>
      </c>
      <c r="D1817" s="157" t="str">
        <f t="shared" si="374"/>
        <v>Grandvue Estate11</v>
      </c>
      <c r="E1817" s="157" t="s">
        <v>8447</v>
      </c>
      <c r="F1817" s="157" t="s">
        <v>1428</v>
      </c>
      <c r="G1817" s="157" t="s">
        <v>2971</v>
      </c>
      <c r="H1817" s="157" t="s">
        <v>8448</v>
      </c>
      <c r="I1817" s="158" t="s">
        <v>2973</v>
      </c>
      <c r="J1817" s="47">
        <f t="shared" si="375"/>
        <v>3740</v>
      </c>
      <c r="K1817" s="46" t="s">
        <v>10735</v>
      </c>
      <c r="L1817" s="47"/>
      <c r="M1817" s="47" t="s">
        <v>8446</v>
      </c>
      <c r="N1817" s="47"/>
      <c r="O1817" s="47"/>
      <c r="P1817" s="47"/>
      <c r="Q1817" s="47"/>
      <c r="R1817" s="47"/>
      <c r="S1817" s="47"/>
      <c r="T1817" s="47">
        <f t="shared" si="379"/>
        <v>780</v>
      </c>
      <c r="U1817" s="47"/>
      <c r="V1817" s="47"/>
      <c r="W1817" s="47"/>
      <c r="X1817" s="47"/>
      <c r="Y1817" s="47"/>
      <c r="Z1817" s="47">
        <f t="shared" si="377"/>
        <v>4620</v>
      </c>
      <c r="AA1817" s="47"/>
      <c r="AB1817" s="47"/>
      <c r="AC1817" s="47"/>
      <c r="AD1817" s="47"/>
      <c r="AE1817" s="47"/>
      <c r="AF1817" s="47"/>
      <c r="AG1817" s="47"/>
      <c r="AH1817" s="47" t="str">
        <f>IFERROR(_xlfn.XLOOKUP(Table6[[#This Row],[Suburb]],Table5[Travel Surcharge],Table5[$$]),"")</f>
        <v/>
      </c>
      <c r="AI1817" s="47"/>
      <c r="AJ1817" s="47"/>
    </row>
    <row r="1818" spans="1:36">
      <c r="A1818" s="374" t="s">
        <v>2969</v>
      </c>
      <c r="B1818" s="374">
        <v>12</v>
      </c>
      <c r="C1818" s="374" t="s">
        <v>802</v>
      </c>
      <c r="D1818" s="375" t="str">
        <f t="shared" si="374"/>
        <v>Grandvue Estate12</v>
      </c>
      <c r="E1818" s="375" t="s">
        <v>2981</v>
      </c>
      <c r="F1818" s="375" t="s">
        <v>1428</v>
      </c>
      <c r="G1818" s="375" t="s">
        <v>2971</v>
      </c>
      <c r="H1818" s="375" t="s">
        <v>2972</v>
      </c>
      <c r="I1818" s="63" t="s">
        <v>2973</v>
      </c>
      <c r="J1818" s="47">
        <f t="shared" si="375"/>
        <v>3740</v>
      </c>
      <c r="K1818" s="46" t="s">
        <v>10735</v>
      </c>
      <c r="L1818" s="47"/>
      <c r="M1818" s="47" t="s">
        <v>2974</v>
      </c>
      <c r="N1818" s="47"/>
      <c r="O1818" s="47"/>
      <c r="P1818" s="47"/>
      <c r="Q1818" s="47"/>
      <c r="R1818" s="47"/>
      <c r="S1818" s="47"/>
      <c r="T1818" s="47">
        <f t="shared" si="379"/>
        <v>780</v>
      </c>
      <c r="U1818" s="47"/>
      <c r="V1818" s="47"/>
      <c r="W1818" s="47"/>
      <c r="X1818" s="47"/>
      <c r="Y1818" s="47"/>
      <c r="Z1818" s="47">
        <f t="shared" si="377"/>
        <v>4620</v>
      </c>
      <c r="AA1818" s="47"/>
      <c r="AB1818" s="47"/>
      <c r="AC1818" s="47"/>
      <c r="AD1818" s="47"/>
      <c r="AE1818" s="47"/>
      <c r="AF1818" s="47"/>
      <c r="AG1818" s="47"/>
      <c r="AH1818" s="47" t="str">
        <f>IFERROR(_xlfn.XLOOKUP(Table6[[#This Row],[Suburb]],Table5[Travel Surcharge],Table5[$$]),"")</f>
        <v/>
      </c>
      <c r="AI1818" s="47"/>
      <c r="AJ1818" s="47"/>
    </row>
    <row r="1819" spans="1:36">
      <c r="A1819" s="374" t="s">
        <v>2969</v>
      </c>
      <c r="B1819" s="374">
        <v>13</v>
      </c>
      <c r="C1819" s="374" t="s">
        <v>802</v>
      </c>
      <c r="D1819" s="375" t="str">
        <f t="shared" si="374"/>
        <v>Grandvue Estate13</v>
      </c>
      <c r="E1819" s="375" t="s">
        <v>2982</v>
      </c>
      <c r="F1819" s="375" t="s">
        <v>1428</v>
      </c>
      <c r="G1819" s="375" t="s">
        <v>2971</v>
      </c>
      <c r="H1819" s="375" t="s">
        <v>2972</v>
      </c>
      <c r="I1819" s="63" t="s">
        <v>2973</v>
      </c>
      <c r="J1819" s="47">
        <f t="shared" si="375"/>
        <v>3740</v>
      </c>
      <c r="K1819" s="46" t="s">
        <v>10735</v>
      </c>
      <c r="L1819" s="47"/>
      <c r="M1819" s="47" t="s">
        <v>2974</v>
      </c>
      <c r="N1819" s="47"/>
      <c r="O1819" s="47"/>
      <c r="P1819" s="47"/>
      <c r="Q1819" s="47"/>
      <c r="R1819" s="47"/>
      <c r="S1819" s="47"/>
      <c r="T1819" s="47">
        <f t="shared" si="379"/>
        <v>780</v>
      </c>
      <c r="U1819" s="47"/>
      <c r="V1819" s="47"/>
      <c r="W1819" s="47"/>
      <c r="X1819" s="47"/>
      <c r="Y1819" s="47"/>
      <c r="Z1819" s="47">
        <f t="shared" si="377"/>
        <v>4620</v>
      </c>
      <c r="AA1819" s="47"/>
      <c r="AB1819" s="47"/>
      <c r="AC1819" s="47"/>
      <c r="AD1819" s="47"/>
      <c r="AE1819" s="47"/>
      <c r="AF1819" s="47"/>
      <c r="AG1819" s="47"/>
      <c r="AH1819" s="47" t="str">
        <f>IFERROR(_xlfn.XLOOKUP(Table6[[#This Row],[Suburb]],Table5[Travel Surcharge],Table5[$$]),"")</f>
        <v/>
      </c>
      <c r="AI1819" s="47"/>
      <c r="AJ1819" s="47"/>
    </row>
    <row r="1820" spans="1:36">
      <c r="A1820" s="374" t="s">
        <v>2969</v>
      </c>
      <c r="B1820" s="374">
        <v>14</v>
      </c>
      <c r="C1820" s="374" t="s">
        <v>802</v>
      </c>
      <c r="D1820" s="375" t="str">
        <f t="shared" si="374"/>
        <v>Grandvue Estate14</v>
      </c>
      <c r="E1820" s="375" t="s">
        <v>2983</v>
      </c>
      <c r="F1820" s="375" t="s">
        <v>1428</v>
      </c>
      <c r="G1820" s="375" t="s">
        <v>2971</v>
      </c>
      <c r="H1820" s="375" t="s">
        <v>2972</v>
      </c>
      <c r="I1820" s="63" t="s">
        <v>2973</v>
      </c>
      <c r="J1820" s="47">
        <f t="shared" si="375"/>
        <v>3740</v>
      </c>
      <c r="K1820" s="46" t="s">
        <v>10735</v>
      </c>
      <c r="L1820" s="47"/>
      <c r="M1820" s="47"/>
      <c r="N1820" s="47"/>
      <c r="O1820" s="47"/>
      <c r="P1820" s="47"/>
      <c r="Q1820" s="47"/>
      <c r="R1820" s="47"/>
      <c r="S1820" s="47"/>
      <c r="T1820" s="47">
        <f t="shared" si="379"/>
        <v>780</v>
      </c>
      <c r="U1820" s="47"/>
      <c r="V1820" s="47"/>
      <c r="W1820" s="47"/>
      <c r="X1820" s="47"/>
      <c r="Y1820" s="47"/>
      <c r="Z1820" s="47">
        <f t="shared" si="377"/>
        <v>4620</v>
      </c>
      <c r="AA1820" s="47"/>
      <c r="AB1820" s="47"/>
      <c r="AC1820" s="47"/>
      <c r="AD1820" s="47"/>
      <c r="AE1820" s="47"/>
      <c r="AF1820" s="47"/>
      <c r="AG1820" s="47"/>
      <c r="AH1820" s="47" t="str">
        <f>IFERROR(_xlfn.XLOOKUP(Table6[[#This Row],[Suburb]],Table5[Travel Surcharge],Table5[$$]),"")</f>
        <v/>
      </c>
      <c r="AI1820" s="47"/>
      <c r="AJ1820" s="47"/>
    </row>
    <row r="1821" spans="1:36">
      <c r="A1821" s="374" t="s">
        <v>2969</v>
      </c>
      <c r="B1821" s="374" t="s">
        <v>1006</v>
      </c>
      <c r="C1821" s="374" t="s">
        <v>802</v>
      </c>
      <c r="D1821" s="375" t="str">
        <f t="shared" si="374"/>
        <v>Grandvue Estate9A</v>
      </c>
      <c r="E1821" s="375" t="s">
        <v>2980</v>
      </c>
      <c r="F1821" s="375" t="s">
        <v>1428</v>
      </c>
      <c r="G1821" s="375" t="s">
        <v>2971</v>
      </c>
      <c r="H1821" s="375" t="s">
        <v>2972</v>
      </c>
      <c r="I1821" s="63" t="s">
        <v>2973</v>
      </c>
      <c r="J1821" s="47">
        <f t="shared" si="375"/>
        <v>3740</v>
      </c>
      <c r="K1821" s="46" t="s">
        <v>10735</v>
      </c>
      <c r="L1821" s="47"/>
      <c r="M1821" s="47" t="s">
        <v>2974</v>
      </c>
      <c r="N1821" s="47"/>
      <c r="O1821" s="47"/>
      <c r="P1821" s="47"/>
      <c r="Q1821" s="47"/>
      <c r="R1821" s="47"/>
      <c r="S1821" s="47"/>
      <c r="T1821" s="47">
        <f t="shared" si="379"/>
        <v>780</v>
      </c>
      <c r="U1821" s="47"/>
      <c r="V1821" s="47"/>
      <c r="W1821" s="47"/>
      <c r="X1821" s="47"/>
      <c r="Y1821" s="47"/>
      <c r="Z1821" s="47">
        <f t="shared" si="377"/>
        <v>4620</v>
      </c>
      <c r="AA1821" s="47"/>
      <c r="AB1821" s="47"/>
      <c r="AC1821" s="47"/>
      <c r="AD1821" s="47"/>
      <c r="AE1821" s="47"/>
      <c r="AF1821" s="47"/>
      <c r="AG1821" s="47"/>
      <c r="AH1821" s="47" t="str">
        <f>IFERROR(_xlfn.XLOOKUP(Table6[[#This Row],[Suburb]],Table5[Travel Surcharge],Table5[$$]),"")</f>
        <v/>
      </c>
      <c r="AI1821" s="47"/>
      <c r="AJ1821" s="47"/>
    </row>
    <row r="1822" spans="1:36">
      <c r="A1822" s="374" t="s">
        <v>2984</v>
      </c>
      <c r="B1822" s="374" t="s">
        <v>501</v>
      </c>
      <c r="C1822" s="374" t="s">
        <v>688</v>
      </c>
      <c r="D1822" s="375" t="str">
        <f t="shared" si="374"/>
        <v>Grange Estate1A</v>
      </c>
      <c r="E1822" s="375" t="s">
        <v>2985</v>
      </c>
      <c r="F1822" s="375"/>
      <c r="G1822" s="375" t="s">
        <v>2986</v>
      </c>
      <c r="H1822" s="375" t="s">
        <v>2987</v>
      </c>
      <c r="I1822" s="63" t="s">
        <v>2988</v>
      </c>
      <c r="J1822" s="47">
        <f t="shared" si="375"/>
        <v>3740</v>
      </c>
      <c r="K1822" s="46" t="s">
        <v>10735</v>
      </c>
      <c r="L1822" s="47">
        <v>1210</v>
      </c>
      <c r="M1822" s="47" t="s">
        <v>2989</v>
      </c>
      <c r="N1822" s="47" t="s">
        <v>2990</v>
      </c>
      <c r="O1822" s="47"/>
      <c r="P1822" s="47"/>
      <c r="Q1822" s="47"/>
      <c r="R1822" s="47"/>
      <c r="S1822" s="47"/>
      <c r="T1822" s="47"/>
      <c r="U1822" s="47">
        <f t="shared" ref="U1822:U1828" si="380">U$2</f>
        <v>430</v>
      </c>
      <c r="V1822" s="47"/>
      <c r="W1822" s="47"/>
      <c r="X1822" s="47"/>
      <c r="Y1822" s="47"/>
      <c r="Z1822" s="47">
        <f t="shared" si="377"/>
        <v>4620</v>
      </c>
      <c r="AA1822" s="47"/>
      <c r="AB1822" s="47"/>
      <c r="AC1822" s="47"/>
      <c r="AD1822" s="47"/>
      <c r="AE1822" s="47"/>
      <c r="AF1822" s="47">
        <f t="shared" ref="AF1822:AF1828" si="381">AF$7</f>
        <v>1485</v>
      </c>
      <c r="AG1822" s="47"/>
      <c r="AH1822" s="47" t="str">
        <f>IFERROR(_xlfn.XLOOKUP(Table6[[#This Row],[Suburb]],Table5[Travel Surcharge],Table5[$$]),"")</f>
        <v/>
      </c>
      <c r="AI1822" s="47"/>
      <c r="AJ1822" s="47"/>
    </row>
    <row r="1823" spans="1:36">
      <c r="A1823" s="374" t="s">
        <v>2984</v>
      </c>
      <c r="B1823" s="374" t="s">
        <v>507</v>
      </c>
      <c r="C1823" s="374" t="s">
        <v>688</v>
      </c>
      <c r="D1823" s="375" t="str">
        <f t="shared" si="374"/>
        <v>Grange Estate1B</v>
      </c>
      <c r="E1823" s="375" t="s">
        <v>2991</v>
      </c>
      <c r="F1823" s="375"/>
      <c r="G1823" s="375" t="s">
        <v>2986</v>
      </c>
      <c r="H1823" s="375" t="s">
        <v>2987</v>
      </c>
      <c r="I1823" s="63" t="s">
        <v>2988</v>
      </c>
      <c r="J1823" s="47">
        <f t="shared" si="375"/>
        <v>3740</v>
      </c>
      <c r="K1823" s="46" t="s">
        <v>10735</v>
      </c>
      <c r="L1823" s="47">
        <v>1210</v>
      </c>
      <c r="M1823" s="47" t="s">
        <v>2989</v>
      </c>
      <c r="N1823" s="47" t="s">
        <v>2990</v>
      </c>
      <c r="O1823" s="47"/>
      <c r="P1823" s="47"/>
      <c r="Q1823" s="47"/>
      <c r="R1823" s="47"/>
      <c r="S1823" s="47"/>
      <c r="T1823" s="47"/>
      <c r="U1823" s="47">
        <f t="shared" si="380"/>
        <v>430</v>
      </c>
      <c r="V1823" s="47"/>
      <c r="W1823" s="47"/>
      <c r="X1823" s="47"/>
      <c r="Y1823" s="47"/>
      <c r="Z1823" s="47">
        <f t="shared" si="377"/>
        <v>4620</v>
      </c>
      <c r="AA1823" s="47"/>
      <c r="AB1823" s="47"/>
      <c r="AC1823" s="47"/>
      <c r="AD1823" s="47"/>
      <c r="AE1823" s="47"/>
      <c r="AF1823" s="47">
        <f t="shared" si="381"/>
        <v>1485</v>
      </c>
      <c r="AG1823" s="47"/>
      <c r="AH1823" s="47" t="str">
        <f>IFERROR(_xlfn.XLOOKUP(Table6[[#This Row],[Suburb]],Table5[Travel Surcharge],Table5[$$]),"")</f>
        <v/>
      </c>
      <c r="AI1823" s="47"/>
      <c r="AJ1823" s="47"/>
    </row>
    <row r="1824" spans="1:36">
      <c r="A1824" s="374" t="s">
        <v>2984</v>
      </c>
      <c r="B1824" s="374" t="s">
        <v>718</v>
      </c>
      <c r="C1824" s="374" t="s">
        <v>688</v>
      </c>
      <c r="D1824" s="375" t="str">
        <f t="shared" si="374"/>
        <v>Grange Estate2A</v>
      </c>
      <c r="E1824" s="375" t="s">
        <v>2992</v>
      </c>
      <c r="F1824" s="375"/>
      <c r="G1824" s="375" t="s">
        <v>2986</v>
      </c>
      <c r="H1824" s="375" t="s">
        <v>2987</v>
      </c>
      <c r="I1824" s="63" t="s">
        <v>2988</v>
      </c>
      <c r="J1824" s="47">
        <f t="shared" si="375"/>
        <v>3740</v>
      </c>
      <c r="K1824" s="46" t="s">
        <v>10735</v>
      </c>
      <c r="L1824" s="47">
        <v>1210</v>
      </c>
      <c r="M1824" s="47" t="s">
        <v>2989</v>
      </c>
      <c r="N1824" s="47" t="s">
        <v>2990</v>
      </c>
      <c r="O1824" s="47"/>
      <c r="P1824" s="47"/>
      <c r="Q1824" s="47"/>
      <c r="R1824" s="47"/>
      <c r="S1824" s="47"/>
      <c r="T1824" s="47"/>
      <c r="U1824" s="47">
        <f t="shared" si="380"/>
        <v>430</v>
      </c>
      <c r="V1824" s="47"/>
      <c r="W1824" s="47"/>
      <c r="X1824" s="47"/>
      <c r="Y1824" s="47"/>
      <c r="Z1824" s="47">
        <f t="shared" si="377"/>
        <v>4620</v>
      </c>
      <c r="AA1824" s="47"/>
      <c r="AB1824" s="47"/>
      <c r="AC1824" s="47"/>
      <c r="AD1824" s="47"/>
      <c r="AE1824" s="47"/>
      <c r="AF1824" s="47">
        <f t="shared" si="381"/>
        <v>1485</v>
      </c>
      <c r="AG1824" s="47"/>
      <c r="AH1824" s="47" t="str">
        <f>IFERROR(_xlfn.XLOOKUP(Table6[[#This Row],[Suburb]],Table5[Travel Surcharge],Table5[$$]),"")</f>
        <v/>
      </c>
      <c r="AI1824" s="47"/>
      <c r="AJ1824" s="47"/>
    </row>
    <row r="1825" spans="1:36">
      <c r="A1825" s="374" t="s">
        <v>2984</v>
      </c>
      <c r="B1825" s="374" t="s">
        <v>604</v>
      </c>
      <c r="C1825" s="374" t="s">
        <v>688</v>
      </c>
      <c r="D1825" s="375" t="str">
        <f t="shared" si="374"/>
        <v>Grange Estate2B</v>
      </c>
      <c r="E1825" s="375" t="s">
        <v>2993</v>
      </c>
      <c r="F1825" s="375"/>
      <c r="G1825" s="375" t="s">
        <v>2986</v>
      </c>
      <c r="H1825" s="375" t="s">
        <v>2987</v>
      </c>
      <c r="I1825" s="63" t="s">
        <v>2988</v>
      </c>
      <c r="J1825" s="47">
        <f t="shared" si="375"/>
        <v>3740</v>
      </c>
      <c r="K1825" s="46" t="s">
        <v>10735</v>
      </c>
      <c r="L1825" s="47">
        <v>1210</v>
      </c>
      <c r="M1825" s="47" t="s">
        <v>2989</v>
      </c>
      <c r="N1825" s="47" t="s">
        <v>2990</v>
      </c>
      <c r="O1825" s="47"/>
      <c r="P1825" s="47"/>
      <c r="Q1825" s="47"/>
      <c r="R1825" s="47"/>
      <c r="S1825" s="47"/>
      <c r="T1825" s="47"/>
      <c r="U1825" s="47">
        <f t="shared" si="380"/>
        <v>430</v>
      </c>
      <c r="V1825" s="47"/>
      <c r="W1825" s="47"/>
      <c r="X1825" s="47"/>
      <c r="Y1825" s="47"/>
      <c r="Z1825" s="47">
        <f t="shared" si="377"/>
        <v>4620</v>
      </c>
      <c r="AA1825" s="47"/>
      <c r="AB1825" s="47"/>
      <c r="AC1825" s="47"/>
      <c r="AD1825" s="47"/>
      <c r="AE1825" s="47"/>
      <c r="AF1825" s="47">
        <f t="shared" si="381"/>
        <v>1485</v>
      </c>
      <c r="AG1825" s="47"/>
      <c r="AH1825" s="47" t="str">
        <f>IFERROR(_xlfn.XLOOKUP(Table6[[#This Row],[Suburb]],Table5[Travel Surcharge],Table5[$$]),"")</f>
        <v/>
      </c>
      <c r="AI1825" s="47"/>
      <c r="AJ1825" s="47"/>
    </row>
    <row r="1826" spans="1:36">
      <c r="A1826" s="374" t="s">
        <v>2984</v>
      </c>
      <c r="B1826" s="374" t="s">
        <v>606</v>
      </c>
      <c r="C1826" s="374" t="s">
        <v>688</v>
      </c>
      <c r="D1826" s="375" t="str">
        <f t="shared" si="374"/>
        <v>Grange Estate3A</v>
      </c>
      <c r="E1826" s="375" t="s">
        <v>2994</v>
      </c>
      <c r="F1826" s="375"/>
      <c r="G1826" s="375" t="s">
        <v>2986</v>
      </c>
      <c r="H1826" s="375" t="s">
        <v>2987</v>
      </c>
      <c r="I1826" s="63" t="s">
        <v>2988</v>
      </c>
      <c r="J1826" s="47">
        <f t="shared" si="375"/>
        <v>3740</v>
      </c>
      <c r="K1826" s="46" t="s">
        <v>10735</v>
      </c>
      <c r="L1826" s="47">
        <v>1210</v>
      </c>
      <c r="M1826" s="47" t="s">
        <v>2989</v>
      </c>
      <c r="N1826" s="47" t="s">
        <v>2990</v>
      </c>
      <c r="O1826" s="47"/>
      <c r="P1826" s="47"/>
      <c r="Q1826" s="47"/>
      <c r="R1826" s="47"/>
      <c r="S1826" s="47"/>
      <c r="T1826" s="47"/>
      <c r="U1826" s="47">
        <f t="shared" si="380"/>
        <v>430</v>
      </c>
      <c r="V1826" s="47"/>
      <c r="W1826" s="47"/>
      <c r="X1826" s="47"/>
      <c r="Y1826" s="47"/>
      <c r="Z1826" s="47">
        <f t="shared" si="377"/>
        <v>4620</v>
      </c>
      <c r="AA1826" s="47"/>
      <c r="AB1826" s="47"/>
      <c r="AC1826" s="47"/>
      <c r="AD1826" s="47"/>
      <c r="AE1826" s="47"/>
      <c r="AF1826" s="47">
        <f t="shared" si="381"/>
        <v>1485</v>
      </c>
      <c r="AG1826" s="47"/>
      <c r="AH1826" s="47" t="str">
        <f>IFERROR(_xlfn.XLOOKUP(Table6[[#This Row],[Suburb]],Table5[Travel Surcharge],Table5[$$]),"")</f>
        <v/>
      </c>
      <c r="AI1826" s="47"/>
      <c r="AJ1826" s="47"/>
    </row>
    <row r="1827" spans="1:36">
      <c r="A1827" s="374" t="s">
        <v>2984</v>
      </c>
      <c r="B1827" s="374" t="s">
        <v>608</v>
      </c>
      <c r="C1827" s="374" t="s">
        <v>688</v>
      </c>
      <c r="D1827" s="375" t="str">
        <f t="shared" si="374"/>
        <v>Grange Estate3B</v>
      </c>
      <c r="E1827" s="375" t="s">
        <v>2995</v>
      </c>
      <c r="F1827" s="375"/>
      <c r="G1827" s="375" t="s">
        <v>2986</v>
      </c>
      <c r="H1827" s="375" t="s">
        <v>2987</v>
      </c>
      <c r="I1827" s="63" t="s">
        <v>2988</v>
      </c>
      <c r="J1827" s="47">
        <f t="shared" si="375"/>
        <v>3740</v>
      </c>
      <c r="K1827" s="46" t="s">
        <v>10735</v>
      </c>
      <c r="L1827" s="47">
        <v>1210</v>
      </c>
      <c r="M1827" s="47" t="s">
        <v>2989</v>
      </c>
      <c r="N1827" s="47" t="s">
        <v>2990</v>
      </c>
      <c r="O1827" s="47"/>
      <c r="P1827" s="47"/>
      <c r="Q1827" s="47"/>
      <c r="R1827" s="47"/>
      <c r="S1827" s="47"/>
      <c r="T1827" s="47"/>
      <c r="U1827" s="47">
        <f t="shared" si="380"/>
        <v>430</v>
      </c>
      <c r="V1827" s="47"/>
      <c r="W1827" s="47"/>
      <c r="X1827" s="47"/>
      <c r="Y1827" s="47"/>
      <c r="Z1827" s="47">
        <f t="shared" si="377"/>
        <v>4620</v>
      </c>
      <c r="AA1827" s="47"/>
      <c r="AB1827" s="47"/>
      <c r="AC1827" s="47"/>
      <c r="AD1827" s="47"/>
      <c r="AE1827" s="47"/>
      <c r="AF1827" s="47">
        <f t="shared" si="381"/>
        <v>1485</v>
      </c>
      <c r="AG1827" s="47"/>
      <c r="AH1827" s="47" t="str">
        <f>IFERROR(_xlfn.XLOOKUP(Table6[[#This Row],[Suburb]],Table5[Travel Surcharge],Table5[$$]),"")</f>
        <v/>
      </c>
      <c r="AI1827" s="47"/>
      <c r="AJ1827" s="47"/>
    </row>
    <row r="1828" spans="1:36">
      <c r="A1828" s="374" t="s">
        <v>2984</v>
      </c>
      <c r="B1828" s="374" t="s">
        <v>2996</v>
      </c>
      <c r="C1828" s="374" t="s">
        <v>688</v>
      </c>
      <c r="D1828" s="375" t="str">
        <f t="shared" si="374"/>
        <v>Grange EstateSaddlebred</v>
      </c>
      <c r="E1828" s="375" t="s">
        <v>2995</v>
      </c>
      <c r="F1828" s="375"/>
      <c r="G1828" s="375" t="s">
        <v>2986</v>
      </c>
      <c r="H1828" s="375" t="s">
        <v>2987</v>
      </c>
      <c r="I1828" s="63" t="s">
        <v>2988</v>
      </c>
      <c r="J1828" s="47">
        <f t="shared" si="375"/>
        <v>3740</v>
      </c>
      <c r="K1828" s="46" t="s">
        <v>10735</v>
      </c>
      <c r="L1828" s="47">
        <v>1210</v>
      </c>
      <c r="M1828" s="47" t="s">
        <v>2989</v>
      </c>
      <c r="N1828" s="47" t="s">
        <v>2990</v>
      </c>
      <c r="O1828" s="47"/>
      <c r="P1828" s="47"/>
      <c r="Q1828" s="47"/>
      <c r="R1828" s="47"/>
      <c r="S1828" s="47"/>
      <c r="T1828" s="47"/>
      <c r="U1828" s="47">
        <f t="shared" si="380"/>
        <v>430</v>
      </c>
      <c r="V1828" s="47"/>
      <c r="W1828" s="47"/>
      <c r="X1828" s="47"/>
      <c r="Y1828" s="47"/>
      <c r="Z1828" s="47">
        <f t="shared" si="377"/>
        <v>4620</v>
      </c>
      <c r="AA1828" s="47"/>
      <c r="AB1828" s="47"/>
      <c r="AC1828" s="47"/>
      <c r="AD1828" s="47"/>
      <c r="AE1828" s="47"/>
      <c r="AF1828" s="47">
        <f t="shared" si="381"/>
        <v>1485</v>
      </c>
      <c r="AG1828" s="47"/>
      <c r="AH1828" s="47" t="str">
        <f>IFERROR(_xlfn.XLOOKUP(Table6[[#This Row],[Suburb]],Table5[Travel Surcharge],Table5[$$]),"")</f>
        <v/>
      </c>
      <c r="AI1828" s="47"/>
      <c r="AJ1828" s="47"/>
    </row>
    <row r="1829" spans="1:36">
      <c r="A1829" s="374" t="s">
        <v>2997</v>
      </c>
      <c r="B1829" s="374">
        <v>1</v>
      </c>
      <c r="C1829" s="374" t="s">
        <v>802</v>
      </c>
      <c r="D1829" s="375" t="str">
        <f t="shared" ref="D1829:D1861" si="382">CONCATENATE(A1829,B1829)</f>
        <v>Grass Tree Valley Estate1</v>
      </c>
      <c r="E1829" s="375" t="s">
        <v>2998</v>
      </c>
      <c r="F1829" s="375"/>
      <c r="G1829" s="375"/>
      <c r="H1829" s="375"/>
      <c r="I1829" s="63"/>
      <c r="J1829" s="47">
        <f t="shared" si="375"/>
        <v>3740</v>
      </c>
      <c r="K1829" s="46" t="s">
        <v>7938</v>
      </c>
      <c r="L1829" s="47"/>
      <c r="M1829" s="47"/>
      <c r="N1829" s="47"/>
      <c r="O1829" s="47"/>
      <c r="P1829" s="47"/>
      <c r="Q1829" s="47"/>
      <c r="R1829" s="47"/>
      <c r="S1829" s="47" t="s">
        <v>463</v>
      </c>
      <c r="T1829" s="47"/>
      <c r="U1829" s="47"/>
      <c r="V1829" s="47"/>
      <c r="W1829" s="47"/>
      <c r="X1829" s="47"/>
      <c r="Y1829" s="47"/>
      <c r="Z1829" s="47">
        <f t="shared" ref="Z1829:Z1861" si="383">Z$7</f>
        <v>4620</v>
      </c>
      <c r="AA1829" s="47"/>
      <c r="AB1829" s="47"/>
      <c r="AC1829" s="47"/>
      <c r="AD1829" s="47"/>
      <c r="AE1829" s="47"/>
      <c r="AF1829" s="47"/>
      <c r="AG1829" s="47"/>
      <c r="AH1829" s="47" t="str">
        <f>IFERROR(_xlfn.XLOOKUP(Table6[[#This Row],[Suburb]],Table5[Travel Surcharge],Table5[$$]),"")</f>
        <v/>
      </c>
      <c r="AI1829" s="47"/>
      <c r="AJ1829" s="47"/>
    </row>
    <row r="1830" spans="1:36">
      <c r="A1830" s="374" t="s">
        <v>2999</v>
      </c>
      <c r="B1830" s="374">
        <v>1</v>
      </c>
      <c r="C1830" s="374" t="s">
        <v>3000</v>
      </c>
      <c r="D1830" s="375" t="str">
        <f t="shared" si="382"/>
        <v>Gravenall1</v>
      </c>
      <c r="E1830" s="375" t="s">
        <v>3001</v>
      </c>
      <c r="F1830" s="375"/>
      <c r="G1830" s="375"/>
      <c r="H1830" s="375"/>
      <c r="I1830" s="63"/>
      <c r="J1830" s="47">
        <f t="shared" si="375"/>
        <v>3740</v>
      </c>
      <c r="K1830" s="46" t="s">
        <v>10735</v>
      </c>
      <c r="L1830" s="47"/>
      <c r="M1830" s="47">
        <f>M$7</f>
        <v>1430.0000000000002</v>
      </c>
      <c r="N1830" s="47" t="s">
        <v>3002</v>
      </c>
      <c r="O1830" s="47"/>
      <c r="P1830" s="47"/>
      <c r="Q1830" s="47"/>
      <c r="R1830" s="47"/>
      <c r="S1830" s="47" t="s">
        <v>3003</v>
      </c>
      <c r="T1830" s="47"/>
      <c r="U1830" s="47"/>
      <c r="V1830" s="47"/>
      <c r="W1830" s="47"/>
      <c r="X1830" s="47"/>
      <c r="Y1830" s="47"/>
      <c r="Z1830" s="47">
        <f t="shared" si="383"/>
        <v>4620</v>
      </c>
      <c r="AA1830" s="47"/>
      <c r="AB1830" s="47"/>
      <c r="AC1830" s="47"/>
      <c r="AD1830" s="47"/>
      <c r="AE1830" s="47"/>
      <c r="AF1830" s="47">
        <f>AF$7</f>
        <v>1485</v>
      </c>
      <c r="AG1830" s="47"/>
      <c r="AH1830" s="47" t="str">
        <f>IFERROR(_xlfn.XLOOKUP(Table6[[#This Row],[Suburb]],Table5[Travel Surcharge],Table5[$$]),"")</f>
        <v/>
      </c>
      <c r="AI1830" s="47"/>
      <c r="AJ1830" s="47"/>
    </row>
    <row r="1831" spans="1:36">
      <c r="A1831" s="374" t="s">
        <v>3019</v>
      </c>
      <c r="B1831" s="374">
        <v>1</v>
      </c>
      <c r="C1831" s="374" t="s">
        <v>1024</v>
      </c>
      <c r="D1831" s="375" t="str">
        <f t="shared" si="382"/>
        <v>Green Valley1</v>
      </c>
      <c r="E1831" s="375" t="s">
        <v>3020</v>
      </c>
      <c r="F1831" s="375"/>
      <c r="G1831" s="375"/>
      <c r="H1831" s="375"/>
      <c r="I1831" s="63"/>
      <c r="J1831" s="47">
        <f t="shared" si="375"/>
        <v>3740</v>
      </c>
      <c r="K1831" s="46" t="s">
        <v>10735</v>
      </c>
      <c r="L1831" s="47"/>
      <c r="M1831" s="47"/>
      <c r="N1831" s="47"/>
      <c r="O1831" s="47"/>
      <c r="P1831" s="47"/>
      <c r="Q1831" s="47">
        <f>Q$2</f>
        <v>0</v>
      </c>
      <c r="R1831" s="47"/>
      <c r="S1831" s="47"/>
      <c r="T1831" s="47"/>
      <c r="U1831" s="47"/>
      <c r="V1831" s="47"/>
      <c r="W1831" s="47"/>
      <c r="X1831" s="47"/>
      <c r="Y1831" s="47"/>
      <c r="Z1831" s="47">
        <f t="shared" si="383"/>
        <v>4620</v>
      </c>
      <c r="AA1831" s="47"/>
      <c r="AB1831" s="47"/>
      <c r="AC1831" s="47"/>
      <c r="AD1831" s="47"/>
      <c r="AE1831" s="47"/>
      <c r="AF1831" s="47"/>
      <c r="AG1831" s="47"/>
      <c r="AH1831" s="47" t="str">
        <f>IFERROR(_xlfn.XLOOKUP(Table6[[#This Row],[Suburb]],Table5[Travel Surcharge],Table5[$$]),"")</f>
        <v/>
      </c>
      <c r="AI1831" s="47"/>
      <c r="AJ1831" s="47">
        <f>AJ$7</f>
        <v>4400</v>
      </c>
    </row>
    <row r="1832" spans="1:36">
      <c r="A1832" s="374" t="s">
        <v>3019</v>
      </c>
      <c r="B1832" s="374">
        <v>2</v>
      </c>
      <c r="C1832" s="374" t="s">
        <v>1024</v>
      </c>
      <c r="D1832" s="375" t="str">
        <f t="shared" si="382"/>
        <v>Green Valley2</v>
      </c>
      <c r="E1832" s="375" t="s">
        <v>3021</v>
      </c>
      <c r="F1832" s="375"/>
      <c r="G1832" s="375" t="s">
        <v>2536</v>
      </c>
      <c r="H1832" s="375" t="s">
        <v>2537</v>
      </c>
      <c r="I1832" s="63"/>
      <c r="J1832" s="47">
        <f t="shared" si="375"/>
        <v>3740</v>
      </c>
      <c r="K1832" s="46" t="s">
        <v>10735</v>
      </c>
      <c r="L1832" s="47"/>
      <c r="M1832" s="47"/>
      <c r="N1832" s="47"/>
      <c r="O1832" s="47"/>
      <c r="P1832" s="47"/>
      <c r="Q1832" s="47">
        <f>Q$2</f>
        <v>0</v>
      </c>
      <c r="R1832" s="47"/>
      <c r="S1832" s="47"/>
      <c r="T1832" s="47"/>
      <c r="U1832" s="47"/>
      <c r="V1832" s="47"/>
      <c r="W1832" s="47"/>
      <c r="X1832" s="47"/>
      <c r="Y1832" s="47"/>
      <c r="Z1832" s="47">
        <f t="shared" si="383"/>
        <v>4620</v>
      </c>
      <c r="AA1832" s="47"/>
      <c r="AB1832" s="47"/>
      <c r="AC1832" s="47"/>
      <c r="AD1832" s="47"/>
      <c r="AE1832" s="47"/>
      <c r="AF1832" s="47"/>
      <c r="AG1832" s="47"/>
      <c r="AH1832" s="47" t="str">
        <f>IFERROR(_xlfn.XLOOKUP(Table6[[#This Row],[Suburb]],Table5[Travel Surcharge],Table5[$$]),"")</f>
        <v/>
      </c>
      <c r="AI1832" s="47"/>
      <c r="AJ1832" s="47">
        <f>AJ$7</f>
        <v>4400</v>
      </c>
    </row>
    <row r="1833" spans="1:36">
      <c r="A1833" s="374" t="s">
        <v>3022</v>
      </c>
      <c r="B1833" s="374">
        <v>1</v>
      </c>
      <c r="C1833" s="374" t="s">
        <v>353</v>
      </c>
      <c r="D1833" s="375" t="str">
        <f t="shared" si="382"/>
        <v>Green Village 1</v>
      </c>
      <c r="E1833" s="375" t="s">
        <v>3023</v>
      </c>
      <c r="F1833" s="375"/>
      <c r="G1833" s="375"/>
      <c r="H1833" s="375"/>
      <c r="I1833" s="63"/>
      <c r="J1833" s="47">
        <f t="shared" si="375"/>
        <v>3740</v>
      </c>
      <c r="K1833" s="46" t="s">
        <v>10735</v>
      </c>
      <c r="L1833" s="47"/>
      <c r="M1833" s="47"/>
      <c r="N1833" s="47"/>
      <c r="O1833" s="47"/>
      <c r="P1833" s="47"/>
      <c r="Q1833" s="47">
        <f>Q$2</f>
        <v>0</v>
      </c>
      <c r="R1833" s="47"/>
      <c r="S1833" s="47"/>
      <c r="T1833" s="47"/>
      <c r="U1833" s="47"/>
      <c r="V1833" s="47"/>
      <c r="W1833" s="47"/>
      <c r="X1833" s="47"/>
      <c r="Y1833" s="47"/>
      <c r="Z1833" s="47">
        <f t="shared" si="383"/>
        <v>4620</v>
      </c>
      <c r="AA1833" s="47"/>
      <c r="AB1833" s="47"/>
      <c r="AC1833" s="47"/>
      <c r="AD1833" s="47"/>
      <c r="AE1833" s="47"/>
      <c r="AF1833" s="47"/>
      <c r="AG1833" s="47"/>
      <c r="AH1833" s="47" t="str">
        <f>IFERROR(_xlfn.XLOOKUP(Table6[[#This Row],[Suburb]],Table5[Travel Surcharge],Table5[$$]),"")</f>
        <v/>
      </c>
      <c r="AI1833" s="47"/>
      <c r="AJ1833" s="47"/>
    </row>
    <row r="1834" spans="1:36">
      <c r="A1834" s="374" t="s">
        <v>3004</v>
      </c>
      <c r="B1834" s="374">
        <v>1</v>
      </c>
      <c r="C1834" s="374" t="s">
        <v>1024</v>
      </c>
      <c r="D1834" s="375" t="str">
        <f t="shared" si="382"/>
        <v>Greenvale Central Estate1</v>
      </c>
      <c r="E1834" s="375" t="s">
        <v>3005</v>
      </c>
      <c r="F1834" s="375"/>
      <c r="G1834" s="375" t="s">
        <v>3006</v>
      </c>
      <c r="H1834" s="375" t="s">
        <v>1880</v>
      </c>
      <c r="I1834" s="63"/>
      <c r="J1834" s="47"/>
      <c r="K1834" s="46" t="s">
        <v>7938</v>
      </c>
      <c r="L1834" s="47"/>
      <c r="M1834" s="47"/>
      <c r="N1834" s="47"/>
      <c r="O1834" s="47"/>
      <c r="P1834" s="47"/>
      <c r="Q1834" s="47">
        <f>Q$2</f>
        <v>0</v>
      </c>
      <c r="R1834" s="47"/>
      <c r="S1834" s="47"/>
      <c r="T1834" s="47"/>
      <c r="U1834" s="47"/>
      <c r="V1834" s="47"/>
      <c r="W1834" s="47"/>
      <c r="X1834" s="47"/>
      <c r="Y1834" s="47"/>
      <c r="Z1834" s="47">
        <f t="shared" si="383"/>
        <v>4620</v>
      </c>
      <c r="AA1834" s="47"/>
      <c r="AB1834" s="47"/>
      <c r="AC1834" s="47"/>
      <c r="AD1834" s="47"/>
      <c r="AE1834" s="47"/>
      <c r="AF1834" s="47"/>
      <c r="AG1834" s="47"/>
      <c r="AH1834" s="47" t="str">
        <f>IFERROR(_xlfn.XLOOKUP(Table6[[#This Row],[Suburb]],Table5[Travel Surcharge],Table5[$$]),"")</f>
        <v/>
      </c>
      <c r="AI1834" s="47"/>
      <c r="AJ1834" s="47"/>
    </row>
    <row r="1835" spans="1:36">
      <c r="A1835" s="374" t="s">
        <v>3004</v>
      </c>
      <c r="B1835" s="374">
        <v>2</v>
      </c>
      <c r="C1835" s="374" t="s">
        <v>1024</v>
      </c>
      <c r="D1835" s="375" t="str">
        <f t="shared" si="382"/>
        <v>Greenvale Central Estate2</v>
      </c>
      <c r="E1835" s="375" t="s">
        <v>3007</v>
      </c>
      <c r="F1835" s="375"/>
      <c r="G1835" s="375" t="s">
        <v>3006</v>
      </c>
      <c r="H1835" s="375" t="s">
        <v>1880</v>
      </c>
      <c r="I1835" s="63"/>
      <c r="J1835" s="47"/>
      <c r="K1835" s="46" t="s">
        <v>7938</v>
      </c>
      <c r="L1835" s="47"/>
      <c r="M1835" s="47"/>
      <c r="N1835" s="47"/>
      <c r="O1835" s="47"/>
      <c r="P1835" s="47"/>
      <c r="Q1835" s="47">
        <f>Q$2</f>
        <v>0</v>
      </c>
      <c r="R1835" s="47"/>
      <c r="S1835" s="47"/>
      <c r="T1835" s="47"/>
      <c r="U1835" s="47"/>
      <c r="V1835" s="47"/>
      <c r="W1835" s="47"/>
      <c r="X1835" s="47"/>
      <c r="Y1835" s="47"/>
      <c r="Z1835" s="47">
        <f t="shared" si="383"/>
        <v>4620</v>
      </c>
      <c r="AA1835" s="47"/>
      <c r="AB1835" s="47"/>
      <c r="AC1835" s="47"/>
      <c r="AD1835" s="47"/>
      <c r="AE1835" s="47"/>
      <c r="AF1835" s="47"/>
      <c r="AG1835" s="47"/>
      <c r="AH1835" s="47" t="str">
        <f>IFERROR(_xlfn.XLOOKUP(Table6[[#This Row],[Suburb]],Table5[Travel Surcharge],Table5[$$]),"")</f>
        <v/>
      </c>
      <c r="AI1835" s="47"/>
      <c r="AJ1835" s="47"/>
    </row>
    <row r="1836" spans="1:36">
      <c r="A1836" s="374" t="s">
        <v>3008</v>
      </c>
      <c r="B1836" s="374">
        <v>14</v>
      </c>
      <c r="C1836" s="374" t="s">
        <v>1024</v>
      </c>
      <c r="D1836" s="375" t="str">
        <f t="shared" si="382"/>
        <v>Greenvale Gardens Estate14</v>
      </c>
      <c r="E1836" s="375" t="s">
        <v>3009</v>
      </c>
      <c r="F1836" s="375" t="s">
        <v>1428</v>
      </c>
      <c r="G1836" s="375"/>
      <c r="H1836" s="375"/>
      <c r="I1836" s="63"/>
      <c r="J1836" s="47">
        <f>J$7</f>
        <v>3740</v>
      </c>
      <c r="K1836" s="46" t="s">
        <v>7938</v>
      </c>
      <c r="L1836" s="47"/>
      <c r="M1836" s="47"/>
      <c r="N1836" s="47"/>
      <c r="O1836" s="47"/>
      <c r="P1836" s="47"/>
      <c r="Q1836" s="47"/>
      <c r="R1836" s="47"/>
      <c r="S1836" s="47"/>
      <c r="T1836" s="47">
        <f>T$2</f>
        <v>780</v>
      </c>
      <c r="U1836" s="47"/>
      <c r="V1836" s="47"/>
      <c r="W1836" s="47"/>
      <c r="X1836" s="47"/>
      <c r="Y1836" s="47"/>
      <c r="Z1836" s="47">
        <f t="shared" si="383"/>
        <v>4620</v>
      </c>
      <c r="AA1836" s="47"/>
      <c r="AB1836" s="47"/>
      <c r="AC1836" s="47"/>
      <c r="AD1836" s="47"/>
      <c r="AE1836" s="47"/>
      <c r="AF1836" s="47"/>
      <c r="AG1836" s="47"/>
      <c r="AH1836" s="47" t="str">
        <f>IFERROR(_xlfn.XLOOKUP(Table6[[#This Row],[Suburb]],Table5[Travel Surcharge],Table5[$$]),"")</f>
        <v/>
      </c>
      <c r="AI1836" s="47"/>
      <c r="AJ1836" s="47"/>
    </row>
    <row r="1837" spans="1:36">
      <c r="A1837" s="374" t="s">
        <v>3010</v>
      </c>
      <c r="B1837" s="374">
        <v>15</v>
      </c>
      <c r="C1837" s="374" t="s">
        <v>1024</v>
      </c>
      <c r="D1837" s="375" t="str">
        <f t="shared" si="382"/>
        <v>Greenvale Lakes Estate15</v>
      </c>
      <c r="E1837" s="375" t="s">
        <v>3011</v>
      </c>
      <c r="F1837" s="375"/>
      <c r="G1837" s="375"/>
      <c r="H1837" s="375"/>
      <c r="I1837" s="63"/>
      <c r="J1837" s="47">
        <f>J$7</f>
        <v>3740</v>
      </c>
      <c r="K1837" s="46" t="s">
        <v>10735</v>
      </c>
      <c r="L1837" s="47">
        <f>L$7</f>
        <v>1210</v>
      </c>
      <c r="M1837" s="47"/>
      <c r="N1837" s="47"/>
      <c r="O1837" s="47"/>
      <c r="P1837" s="47"/>
      <c r="Q1837" s="47"/>
      <c r="R1837" s="47"/>
      <c r="S1837" s="47" t="s">
        <v>967</v>
      </c>
      <c r="T1837" s="47"/>
      <c r="U1837" s="47"/>
      <c r="V1837" s="47" t="s">
        <v>3012</v>
      </c>
      <c r="W1837" s="47" t="s">
        <v>3013</v>
      </c>
      <c r="X1837" s="47" t="s">
        <v>3014</v>
      </c>
      <c r="Y1837" s="47"/>
      <c r="Z1837" s="47">
        <f t="shared" si="383"/>
        <v>4620</v>
      </c>
      <c r="AA1837" s="47"/>
      <c r="AB1837" s="47">
        <f>AB$7</f>
        <v>2800</v>
      </c>
      <c r="AC1837" s="47"/>
      <c r="AD1837" s="47"/>
      <c r="AE1837" s="47"/>
      <c r="AF1837" s="47">
        <f>AF$7</f>
        <v>1485</v>
      </c>
      <c r="AG1837" s="47"/>
      <c r="AH1837" s="47" t="str">
        <f>IFERROR(_xlfn.XLOOKUP(Table6[[#This Row],[Suburb]],Table5[Travel Surcharge],Table5[$$]),"")</f>
        <v/>
      </c>
      <c r="AI1837" s="47"/>
      <c r="AJ1837" s="47"/>
    </row>
    <row r="1838" spans="1:36">
      <c r="A1838" s="374" t="s">
        <v>3015</v>
      </c>
      <c r="B1838" s="374">
        <v>1</v>
      </c>
      <c r="C1838" s="374" t="s">
        <v>3016</v>
      </c>
      <c r="D1838" s="375" t="str">
        <f t="shared" si="382"/>
        <v>Greenview Estate1</v>
      </c>
      <c r="E1838" s="375" t="s">
        <v>3017</v>
      </c>
      <c r="F1838" s="375" t="s">
        <v>1772</v>
      </c>
      <c r="G1838" s="375" t="s">
        <v>1773</v>
      </c>
      <c r="H1838" s="375" t="s">
        <v>1774</v>
      </c>
      <c r="I1838" s="63" t="s">
        <v>1775</v>
      </c>
      <c r="J1838" s="47" t="s">
        <v>3018</v>
      </c>
      <c r="K1838" s="46" t="s">
        <v>10735</v>
      </c>
      <c r="L1838" s="47"/>
      <c r="M1838" s="47"/>
      <c r="N1838" s="47"/>
      <c r="O1838" s="47">
        <f>O$7</f>
        <v>4950</v>
      </c>
      <c r="P1838" s="47"/>
      <c r="Q1838" s="47"/>
      <c r="R1838" s="47"/>
      <c r="S1838" s="47"/>
      <c r="T1838" s="47"/>
      <c r="U1838" s="47"/>
      <c r="V1838" s="47"/>
      <c r="W1838" s="47"/>
      <c r="X1838" s="47"/>
      <c r="Y1838" s="47"/>
      <c r="Z1838" s="47">
        <f t="shared" si="383"/>
        <v>4620</v>
      </c>
      <c r="AA1838" s="47"/>
      <c r="AB1838" s="47"/>
      <c r="AC1838" s="47"/>
      <c r="AD1838" s="47"/>
      <c r="AE1838" s="47"/>
      <c r="AF1838" s="47"/>
      <c r="AG1838" s="47"/>
      <c r="AH1838" s="47">
        <f>IFERROR(_xlfn.XLOOKUP(Table6[[#This Row],[Suburb]],Table5[Travel Surcharge],Table5[$$]),"")</f>
        <v>8000</v>
      </c>
      <c r="AI1838" s="47"/>
      <c r="AJ1838" s="47">
        <f>AJ$7</f>
        <v>4400</v>
      </c>
    </row>
    <row r="1839" spans="1:36">
      <c r="A1839" s="374" t="s">
        <v>3024</v>
      </c>
      <c r="B1839" s="374">
        <v>1</v>
      </c>
      <c r="C1839" s="374" t="s">
        <v>3025</v>
      </c>
      <c r="D1839" s="375" t="str">
        <f t="shared" si="382"/>
        <v>Greenwich - Botanic1</v>
      </c>
      <c r="E1839" s="375" t="s">
        <v>3026</v>
      </c>
      <c r="F1839" s="375"/>
      <c r="G1839" s="375"/>
      <c r="H1839" s="375"/>
      <c r="I1839" s="63"/>
      <c r="J1839" s="47">
        <f>J$7</f>
        <v>3740</v>
      </c>
      <c r="K1839" s="46" t="s">
        <v>10735</v>
      </c>
      <c r="L1839" s="47">
        <f>L$7</f>
        <v>1210</v>
      </c>
      <c r="M1839" s="47" t="s">
        <v>3027</v>
      </c>
      <c r="N1839" s="47"/>
      <c r="O1839" s="47"/>
      <c r="P1839" s="47"/>
      <c r="Q1839" s="47">
        <f>Q$2</f>
        <v>0</v>
      </c>
      <c r="R1839" s="47"/>
      <c r="S1839" s="47"/>
      <c r="T1839" s="47"/>
      <c r="U1839" s="47"/>
      <c r="V1839" s="47"/>
      <c r="W1839" s="47"/>
      <c r="X1839" s="47"/>
      <c r="Y1839" s="47"/>
      <c r="Z1839" s="47">
        <f t="shared" si="383"/>
        <v>4620</v>
      </c>
      <c r="AA1839" s="47"/>
      <c r="AB1839" s="47"/>
      <c r="AC1839" s="47"/>
      <c r="AD1839" s="47"/>
      <c r="AE1839" s="47"/>
      <c r="AF1839" s="47"/>
      <c r="AG1839" s="47"/>
      <c r="AH1839" s="47" t="str">
        <f>IFERROR(_xlfn.XLOOKUP(Table6[[#This Row],[Suburb]],Table5[Travel Surcharge],Table5[$$]),"")</f>
        <v/>
      </c>
      <c r="AI1839" s="47"/>
      <c r="AJ1839" s="47"/>
    </row>
    <row r="1840" spans="1:36">
      <c r="A1840" s="374" t="s">
        <v>3024</v>
      </c>
      <c r="B1840" s="374">
        <v>2</v>
      </c>
      <c r="C1840" s="374" t="s">
        <v>3025</v>
      </c>
      <c r="D1840" s="375" t="str">
        <f t="shared" si="382"/>
        <v>Greenwich - Botanic2</v>
      </c>
      <c r="E1840" s="375" t="s">
        <v>7490</v>
      </c>
      <c r="F1840" s="375"/>
      <c r="G1840" s="375"/>
      <c r="H1840" s="375"/>
      <c r="I1840" s="63"/>
      <c r="J1840" s="47">
        <f>J$7</f>
        <v>3740</v>
      </c>
      <c r="K1840" s="46" t="s">
        <v>10735</v>
      </c>
      <c r="L1840" s="47">
        <f>L$7</f>
        <v>1210</v>
      </c>
      <c r="M1840" s="47" t="s">
        <v>3027</v>
      </c>
      <c r="N1840" s="47"/>
      <c r="O1840" s="47"/>
      <c r="P1840" s="47"/>
      <c r="Q1840" s="47">
        <f>Q$2</f>
        <v>0</v>
      </c>
      <c r="R1840" s="47"/>
      <c r="S1840" s="47"/>
      <c r="T1840" s="47"/>
      <c r="U1840" s="47"/>
      <c r="V1840" s="47"/>
      <c r="W1840" s="47"/>
      <c r="X1840" s="47"/>
      <c r="Y1840" s="47"/>
      <c r="Z1840" s="47">
        <f t="shared" si="383"/>
        <v>4620</v>
      </c>
      <c r="AA1840" s="47"/>
      <c r="AB1840" s="47"/>
      <c r="AC1840" s="47"/>
      <c r="AD1840" s="47"/>
      <c r="AE1840" s="47"/>
      <c r="AF1840" s="47"/>
      <c r="AG1840" s="47"/>
      <c r="AH1840" s="47" t="str">
        <f>IFERROR(_xlfn.XLOOKUP(Table6[[#This Row],[Suburb]],Table5[Travel Surcharge],Table5[$$]),"")</f>
        <v/>
      </c>
      <c r="AI1840" s="47"/>
      <c r="AJ1840" s="47"/>
    </row>
    <row r="1841" spans="1:36">
      <c r="A1841" s="157" t="s">
        <v>3028</v>
      </c>
      <c r="B1841" s="157">
        <v>1</v>
      </c>
      <c r="C1841" s="157" t="s">
        <v>385</v>
      </c>
      <c r="D1841" s="157" t="str">
        <f t="shared" si="382"/>
        <v>Greenwich - Cranbourne East1</v>
      </c>
      <c r="E1841" s="157" t="s">
        <v>3026</v>
      </c>
      <c r="F1841" s="157"/>
      <c r="G1841" s="157"/>
      <c r="H1841" s="157"/>
      <c r="I1841" s="158"/>
      <c r="J1841" s="47">
        <f>J$7</f>
        <v>3740</v>
      </c>
      <c r="K1841" s="46" t="s">
        <v>10735</v>
      </c>
      <c r="L1841" s="47"/>
      <c r="M1841" s="47"/>
      <c r="N1841" s="47"/>
      <c r="O1841" s="47"/>
      <c r="P1841" s="47"/>
      <c r="Q1841" s="47">
        <f>Q$2</f>
        <v>0</v>
      </c>
      <c r="R1841" s="47"/>
      <c r="S1841" s="47"/>
      <c r="T1841" s="47"/>
      <c r="U1841" s="47"/>
      <c r="V1841" s="47"/>
      <c r="W1841" s="47"/>
      <c r="X1841" s="47"/>
      <c r="Y1841" s="47"/>
      <c r="Z1841" s="47">
        <f t="shared" si="383"/>
        <v>4620</v>
      </c>
      <c r="AA1841" s="47"/>
      <c r="AB1841" s="47"/>
      <c r="AC1841" s="47"/>
      <c r="AD1841" s="47"/>
      <c r="AE1841" s="47"/>
      <c r="AF1841" s="47"/>
      <c r="AG1841" s="47"/>
      <c r="AH1841" s="47" t="str">
        <f>IFERROR(_xlfn.XLOOKUP(Table6[[#This Row],[Suburb]],Table5[Travel Surcharge],Table5[$$]),"")</f>
        <v/>
      </c>
      <c r="AI1841" s="47"/>
      <c r="AJ1841" s="47"/>
    </row>
    <row r="1842" spans="1:36">
      <c r="A1842" s="374" t="s">
        <v>3028</v>
      </c>
      <c r="B1842" s="374">
        <v>2</v>
      </c>
      <c r="C1842" s="374" t="s">
        <v>385</v>
      </c>
      <c r="D1842" s="375" t="str">
        <f t="shared" si="382"/>
        <v>Greenwich - Cranbourne East2</v>
      </c>
      <c r="E1842" s="375" t="s">
        <v>3029</v>
      </c>
      <c r="F1842" s="375"/>
      <c r="G1842" s="375"/>
      <c r="H1842" s="375"/>
      <c r="I1842" s="63"/>
      <c r="J1842" s="47">
        <f>J$7</f>
        <v>3740</v>
      </c>
      <c r="K1842" s="46" t="s">
        <v>10735</v>
      </c>
      <c r="L1842" s="47"/>
      <c r="M1842" s="47"/>
      <c r="N1842" s="47"/>
      <c r="O1842" s="47"/>
      <c r="P1842" s="47"/>
      <c r="Q1842" s="47">
        <f>Q$2</f>
        <v>0</v>
      </c>
      <c r="R1842" s="47"/>
      <c r="S1842" s="47"/>
      <c r="T1842" s="47"/>
      <c r="U1842" s="47"/>
      <c r="V1842" s="47"/>
      <c r="W1842" s="47"/>
      <c r="X1842" s="47"/>
      <c r="Y1842" s="47"/>
      <c r="Z1842" s="47">
        <f t="shared" si="383"/>
        <v>4620</v>
      </c>
      <c r="AA1842" s="47"/>
      <c r="AB1842" s="47"/>
      <c r="AC1842" s="47"/>
      <c r="AD1842" s="47"/>
      <c r="AE1842" s="47"/>
      <c r="AF1842" s="47"/>
      <c r="AG1842" s="47"/>
      <c r="AH1842" s="47" t="str">
        <f>IFERROR(_xlfn.XLOOKUP(Table6[[#This Row],[Suburb]],Table5[Travel Surcharge],Table5[$$]),"")</f>
        <v/>
      </c>
      <c r="AI1842" s="47"/>
      <c r="AJ1842" s="47"/>
    </row>
    <row r="1843" spans="1:36">
      <c r="A1843" s="374" t="s">
        <v>3028</v>
      </c>
      <c r="B1843" s="374">
        <v>3</v>
      </c>
      <c r="C1843" s="374" t="s">
        <v>385</v>
      </c>
      <c r="D1843" s="375" t="str">
        <f t="shared" si="382"/>
        <v>Greenwich - Cranbourne East3</v>
      </c>
      <c r="E1843" s="375" t="s">
        <v>3029</v>
      </c>
      <c r="F1843" s="375"/>
      <c r="G1843" s="375"/>
      <c r="H1843" s="375"/>
      <c r="I1843" s="63"/>
      <c r="J1843" s="47">
        <v>3740</v>
      </c>
      <c r="K1843" s="46" t="s">
        <v>10735</v>
      </c>
      <c r="L1843" s="47"/>
      <c r="M1843" s="47"/>
      <c r="N1843" s="47"/>
      <c r="O1843" s="47"/>
      <c r="P1843" s="47"/>
      <c r="Q1843" s="47">
        <v>0</v>
      </c>
      <c r="R1843" s="47"/>
      <c r="S1843" s="47"/>
      <c r="T1843" s="47"/>
      <c r="U1843" s="47"/>
      <c r="V1843" s="47"/>
      <c r="W1843" s="47"/>
      <c r="X1843" s="47"/>
      <c r="Y1843" s="47"/>
      <c r="Z1843" s="47">
        <f t="shared" si="383"/>
        <v>4620</v>
      </c>
      <c r="AA1843" s="47"/>
      <c r="AB1843" s="47"/>
      <c r="AC1843" s="47"/>
      <c r="AD1843" s="47"/>
      <c r="AE1843" s="47"/>
      <c r="AF1843" s="47"/>
      <c r="AG1843" s="47"/>
      <c r="AH1843" s="47" t="str">
        <f>IFERROR(_xlfn.XLOOKUP(Table6[[#This Row],[Suburb]],Table5[Travel Surcharge],Table5[$$]),"")</f>
        <v/>
      </c>
      <c r="AI1843" s="47"/>
      <c r="AJ1843" s="47"/>
    </row>
    <row r="1844" spans="1:36">
      <c r="A1844" s="157" t="s">
        <v>7986</v>
      </c>
      <c r="B1844" s="157">
        <v>1</v>
      </c>
      <c r="C1844" s="157" t="s">
        <v>7987</v>
      </c>
      <c r="D1844" s="157" t="str">
        <f t="shared" si="382"/>
        <v>Greenwood1</v>
      </c>
      <c r="E1844" s="157" t="s">
        <v>7988</v>
      </c>
      <c r="F1844" s="157" t="s">
        <v>7989</v>
      </c>
      <c r="G1844" s="157" t="s">
        <v>7990</v>
      </c>
      <c r="H1844" s="157" t="s">
        <v>6663</v>
      </c>
      <c r="I1844" s="158"/>
      <c r="J1844" s="47">
        <v>3740</v>
      </c>
      <c r="K1844" s="46" t="s">
        <v>10735</v>
      </c>
      <c r="L1844" s="47" t="s">
        <v>7992</v>
      </c>
      <c r="M1844" s="47" t="s">
        <v>7993</v>
      </c>
      <c r="N1844" s="47"/>
      <c r="O1844" s="47"/>
      <c r="P1844" s="47"/>
      <c r="Q1844" s="47"/>
      <c r="R1844" s="47">
        <f>$R$2</f>
        <v>540</v>
      </c>
      <c r="S1844" s="47"/>
      <c r="T1844" s="47"/>
      <c r="U1844" s="47"/>
      <c r="V1844" s="47"/>
      <c r="W1844" s="47"/>
      <c r="X1844" s="47"/>
      <c r="Y1844" s="47"/>
      <c r="Z1844" s="47">
        <f t="shared" si="383"/>
        <v>4620</v>
      </c>
      <c r="AA1844" s="47"/>
      <c r="AB1844" s="47"/>
      <c r="AC1844" s="47"/>
      <c r="AD1844" s="47"/>
      <c r="AE1844" s="47"/>
      <c r="AF1844" s="47">
        <f>$AF$7</f>
        <v>1485</v>
      </c>
      <c r="AG1844" s="47"/>
      <c r="AH1844" s="47" t="str">
        <f>IFERROR(_xlfn.XLOOKUP(Table6[[#This Row],[Suburb]],Table5[Travel Surcharge],Table5[$$]),"")</f>
        <v/>
      </c>
      <c r="AI1844" s="47"/>
      <c r="AJ1844" s="47"/>
    </row>
    <row r="1845" spans="1:36">
      <c r="A1845" s="374" t="s">
        <v>7986</v>
      </c>
      <c r="B1845" s="374">
        <v>3</v>
      </c>
      <c r="C1845" s="374" t="s">
        <v>7987</v>
      </c>
      <c r="D1845" s="375" t="str">
        <f t="shared" si="382"/>
        <v>Greenwood3</v>
      </c>
      <c r="E1845" s="375" t="s">
        <v>10733</v>
      </c>
      <c r="F1845" s="375" t="s">
        <v>7989</v>
      </c>
      <c r="G1845" s="375" t="s">
        <v>7990</v>
      </c>
      <c r="H1845" s="375" t="s">
        <v>6663</v>
      </c>
      <c r="I1845" s="63"/>
      <c r="J1845" s="47">
        <v>3740</v>
      </c>
      <c r="K1845" s="46" t="s">
        <v>10735</v>
      </c>
      <c r="L1845" s="47" t="s">
        <v>7992</v>
      </c>
      <c r="M1845" s="47" t="s">
        <v>7993</v>
      </c>
      <c r="N1845" s="47"/>
      <c r="O1845" s="47"/>
      <c r="P1845" s="47"/>
      <c r="Q1845" s="47"/>
      <c r="R1845" s="47">
        <v>540</v>
      </c>
      <c r="S1845" s="47"/>
      <c r="T1845" s="47"/>
      <c r="U1845" s="47"/>
      <c r="V1845" s="47"/>
      <c r="W1845" s="47"/>
      <c r="X1845" s="47"/>
      <c r="Y1845" s="47"/>
      <c r="Z1845" s="47">
        <v>4620</v>
      </c>
      <c r="AA1845" s="47"/>
      <c r="AB1845" s="47"/>
      <c r="AC1845" s="47"/>
      <c r="AD1845" s="47"/>
      <c r="AE1845" s="47"/>
      <c r="AF1845" s="47">
        <v>1485</v>
      </c>
      <c r="AG1845" s="47"/>
      <c r="AH1845" s="47" t="s">
        <v>9976</v>
      </c>
      <c r="AI1845" s="47"/>
      <c r="AJ1845" s="47"/>
    </row>
    <row r="1846" spans="1:36">
      <c r="A1846" s="157" t="s">
        <v>7986</v>
      </c>
      <c r="B1846" s="157">
        <v>8</v>
      </c>
      <c r="C1846" s="157" t="s">
        <v>7987</v>
      </c>
      <c r="D1846" s="157" t="str">
        <f t="shared" si="382"/>
        <v>Greenwood8</v>
      </c>
      <c r="E1846" s="157" t="s">
        <v>7991</v>
      </c>
      <c r="F1846" s="157" t="s">
        <v>7989</v>
      </c>
      <c r="G1846" s="157" t="s">
        <v>7990</v>
      </c>
      <c r="H1846" s="157" t="s">
        <v>6663</v>
      </c>
      <c r="I1846" s="158"/>
      <c r="J1846" s="47">
        <v>3740</v>
      </c>
      <c r="K1846" s="46" t="s">
        <v>10735</v>
      </c>
      <c r="L1846" s="47" t="s">
        <v>7992</v>
      </c>
      <c r="M1846" s="47" t="s">
        <v>7993</v>
      </c>
      <c r="N1846" s="47"/>
      <c r="O1846" s="47"/>
      <c r="P1846" s="47"/>
      <c r="Q1846" s="47"/>
      <c r="R1846" s="47">
        <f>$R$2</f>
        <v>540</v>
      </c>
      <c r="S1846" s="47"/>
      <c r="T1846" s="47"/>
      <c r="U1846" s="47"/>
      <c r="V1846" s="47"/>
      <c r="W1846" s="47"/>
      <c r="X1846" s="47"/>
      <c r="Y1846" s="47"/>
      <c r="Z1846" s="47">
        <f t="shared" si="383"/>
        <v>4620</v>
      </c>
      <c r="AA1846" s="47"/>
      <c r="AB1846" s="47"/>
      <c r="AC1846" s="47"/>
      <c r="AD1846" s="47"/>
      <c r="AE1846" s="47"/>
      <c r="AF1846" s="47">
        <f>$AF$7</f>
        <v>1485</v>
      </c>
      <c r="AG1846" s="47"/>
      <c r="AH1846" s="47" t="str">
        <f>IFERROR(_xlfn.XLOOKUP(Table6[[#This Row],[Suburb]],Table5[Travel Surcharge],Table5[$$]),"")</f>
        <v/>
      </c>
      <c r="AI1846" s="47"/>
      <c r="AJ1846" s="47"/>
    </row>
    <row r="1847" spans="1:36">
      <c r="A1847" s="374" t="s">
        <v>3030</v>
      </c>
      <c r="B1847" s="374">
        <v>2</v>
      </c>
      <c r="C1847" s="374" t="s">
        <v>385</v>
      </c>
      <c r="D1847" s="375" t="str">
        <f t="shared" si="382"/>
        <v>Grow Estate2</v>
      </c>
      <c r="E1847" s="375" t="s">
        <v>3031</v>
      </c>
      <c r="F1847" s="375" t="s">
        <v>2899</v>
      </c>
      <c r="G1847" s="375" t="s">
        <v>494</v>
      </c>
      <c r="H1847" s="375" t="s">
        <v>495</v>
      </c>
      <c r="I1847" s="63" t="s">
        <v>496</v>
      </c>
      <c r="J1847" s="47">
        <f t="shared" ref="J1847:J1885" si="384">J$7</f>
        <v>3740</v>
      </c>
      <c r="K1847" s="46" t="s">
        <v>10735</v>
      </c>
      <c r="L1847" s="47"/>
      <c r="M1847" s="47"/>
      <c r="N1847" s="47"/>
      <c r="O1847" s="47"/>
      <c r="P1847" s="47"/>
      <c r="Q1847" s="47"/>
      <c r="R1847" s="47"/>
      <c r="S1847" s="47" t="s">
        <v>463</v>
      </c>
      <c r="T1847" s="47"/>
      <c r="U1847" s="47"/>
      <c r="V1847" s="47"/>
      <c r="W1847" s="47"/>
      <c r="X1847" s="47"/>
      <c r="Y1847" s="47"/>
      <c r="Z1847" s="47">
        <f t="shared" si="383"/>
        <v>4620</v>
      </c>
      <c r="AA1847" s="47"/>
      <c r="AB1847" s="47"/>
      <c r="AC1847" s="47"/>
      <c r="AD1847" s="47"/>
      <c r="AE1847" s="47"/>
      <c r="AF1847" s="47"/>
      <c r="AG1847" s="47"/>
      <c r="AH1847" s="47" t="str">
        <f>IFERROR(_xlfn.XLOOKUP(Table6[[#This Row],[Suburb]],Table5[Travel Surcharge],Table5[$$]),"")</f>
        <v/>
      </c>
      <c r="AI1847" s="47">
        <f>AI$7</f>
        <v>1650.0000000000002</v>
      </c>
      <c r="AJ1847" s="47"/>
    </row>
    <row r="1848" spans="1:36">
      <c r="A1848" s="374" t="s">
        <v>3030</v>
      </c>
      <c r="B1848" s="374">
        <v>3</v>
      </c>
      <c r="C1848" s="374" t="s">
        <v>385</v>
      </c>
      <c r="D1848" s="375" t="str">
        <f t="shared" si="382"/>
        <v>Grow Estate3</v>
      </c>
      <c r="E1848" s="375" t="s">
        <v>3032</v>
      </c>
      <c r="F1848" s="375" t="s">
        <v>2899</v>
      </c>
      <c r="G1848" s="375" t="s">
        <v>494</v>
      </c>
      <c r="H1848" s="375" t="s">
        <v>495</v>
      </c>
      <c r="I1848" s="63" t="s">
        <v>496</v>
      </c>
      <c r="J1848" s="47">
        <f t="shared" si="384"/>
        <v>3740</v>
      </c>
      <c r="K1848" s="46" t="s">
        <v>10735</v>
      </c>
      <c r="L1848" s="47"/>
      <c r="M1848" s="47"/>
      <c r="N1848" s="47"/>
      <c r="O1848" s="47"/>
      <c r="P1848" s="47"/>
      <c r="Q1848" s="47"/>
      <c r="R1848" s="47"/>
      <c r="S1848" s="47" t="s">
        <v>463</v>
      </c>
      <c r="T1848" s="47"/>
      <c r="U1848" s="47"/>
      <c r="V1848" s="47"/>
      <c r="W1848" s="47"/>
      <c r="X1848" s="47"/>
      <c r="Y1848" s="47"/>
      <c r="Z1848" s="47">
        <f t="shared" si="383"/>
        <v>4620</v>
      </c>
      <c r="AA1848" s="47"/>
      <c r="AB1848" s="47"/>
      <c r="AC1848" s="47"/>
      <c r="AD1848" s="47"/>
      <c r="AE1848" s="47"/>
      <c r="AF1848" s="47"/>
      <c r="AG1848" s="47"/>
      <c r="AH1848" s="47" t="str">
        <f>IFERROR(_xlfn.XLOOKUP(Table6[[#This Row],[Suburb]],Table5[Travel Surcharge],Table5[$$]),"")</f>
        <v/>
      </c>
      <c r="AI1848" s="47">
        <f>AI$7</f>
        <v>1650.0000000000002</v>
      </c>
      <c r="AJ1848" s="47"/>
    </row>
    <row r="1849" spans="1:36">
      <c r="A1849" s="374" t="s">
        <v>3030</v>
      </c>
      <c r="B1849" s="374">
        <v>4</v>
      </c>
      <c r="C1849" s="374" t="s">
        <v>385</v>
      </c>
      <c r="D1849" s="375" t="str">
        <f t="shared" si="382"/>
        <v>Grow Estate4</v>
      </c>
      <c r="E1849" s="375" t="s">
        <v>3033</v>
      </c>
      <c r="F1849" s="375" t="s">
        <v>2899</v>
      </c>
      <c r="G1849" s="375" t="s">
        <v>494</v>
      </c>
      <c r="H1849" s="375" t="s">
        <v>495</v>
      </c>
      <c r="I1849" s="63" t="s">
        <v>496</v>
      </c>
      <c r="J1849" s="47">
        <f t="shared" si="384"/>
        <v>3740</v>
      </c>
      <c r="K1849" s="46" t="s">
        <v>10735</v>
      </c>
      <c r="L1849" s="47"/>
      <c r="M1849" s="47"/>
      <c r="N1849" s="47"/>
      <c r="O1849" s="47"/>
      <c r="P1849" s="47"/>
      <c r="Q1849" s="47"/>
      <c r="R1849" s="47"/>
      <c r="S1849" s="47" t="s">
        <v>463</v>
      </c>
      <c r="T1849" s="47"/>
      <c r="U1849" s="47"/>
      <c r="V1849" s="47"/>
      <c r="W1849" s="47"/>
      <c r="X1849" s="47"/>
      <c r="Y1849" s="47"/>
      <c r="Z1849" s="47">
        <f t="shared" si="383"/>
        <v>4620</v>
      </c>
      <c r="AA1849" s="47"/>
      <c r="AB1849" s="47"/>
      <c r="AC1849" s="47"/>
      <c r="AD1849" s="47"/>
      <c r="AE1849" s="47"/>
      <c r="AF1849" s="47"/>
      <c r="AG1849" s="47"/>
      <c r="AH1849" s="47" t="str">
        <f>IFERROR(_xlfn.XLOOKUP(Table6[[#This Row],[Suburb]],Table5[Travel Surcharge],Table5[$$]),"")</f>
        <v/>
      </c>
      <c r="AI1849" s="47">
        <f>AI$7</f>
        <v>1650.0000000000002</v>
      </c>
      <c r="AJ1849" s="47"/>
    </row>
    <row r="1850" spans="1:36">
      <c r="A1850" s="374" t="s">
        <v>3030</v>
      </c>
      <c r="B1850" s="374">
        <v>5</v>
      </c>
      <c r="C1850" s="374" t="s">
        <v>385</v>
      </c>
      <c r="D1850" s="375" t="str">
        <f t="shared" si="382"/>
        <v>Grow Estate5</v>
      </c>
      <c r="E1850" s="375" t="s">
        <v>3034</v>
      </c>
      <c r="F1850" s="375" t="s">
        <v>2899</v>
      </c>
      <c r="G1850" s="375" t="s">
        <v>494</v>
      </c>
      <c r="H1850" s="375" t="s">
        <v>495</v>
      </c>
      <c r="I1850" s="63" t="s">
        <v>496</v>
      </c>
      <c r="J1850" s="47">
        <f t="shared" si="384"/>
        <v>3740</v>
      </c>
      <c r="K1850" s="46" t="s">
        <v>10735</v>
      </c>
      <c r="L1850" s="47"/>
      <c r="M1850" s="47"/>
      <c r="N1850" s="47"/>
      <c r="O1850" s="47"/>
      <c r="P1850" s="47"/>
      <c r="Q1850" s="47"/>
      <c r="R1850" s="47"/>
      <c r="S1850" s="47" t="s">
        <v>463</v>
      </c>
      <c r="T1850" s="47"/>
      <c r="U1850" s="47"/>
      <c r="V1850" s="47"/>
      <c r="W1850" s="47"/>
      <c r="X1850" s="47"/>
      <c r="Y1850" s="47"/>
      <c r="Z1850" s="47">
        <f t="shared" si="383"/>
        <v>4620</v>
      </c>
      <c r="AA1850" s="47"/>
      <c r="AB1850" s="47"/>
      <c r="AC1850" s="47"/>
      <c r="AD1850" s="47"/>
      <c r="AE1850" s="47"/>
      <c r="AF1850" s="47"/>
      <c r="AG1850" s="47"/>
      <c r="AH1850" s="47" t="str">
        <f>IFERROR(_xlfn.XLOOKUP(Table6[[#This Row],[Suburb]],Table5[Travel Surcharge],Table5[$$]),"")</f>
        <v/>
      </c>
      <c r="AI1850" s="47">
        <f>AI$7</f>
        <v>1650.0000000000002</v>
      </c>
      <c r="AJ1850" s="47"/>
    </row>
    <row r="1851" spans="1:36">
      <c r="A1851" s="374" t="s">
        <v>3035</v>
      </c>
      <c r="B1851" s="374">
        <v>1</v>
      </c>
      <c r="C1851" s="374" t="s">
        <v>3036</v>
      </c>
      <c r="D1851" s="375" t="str">
        <f t="shared" si="382"/>
        <v>Gumtree Estate1</v>
      </c>
      <c r="E1851" s="375" t="s">
        <v>3037</v>
      </c>
      <c r="F1851" s="375"/>
      <c r="G1851" s="375"/>
      <c r="H1851" s="375"/>
      <c r="I1851" s="63"/>
      <c r="J1851" s="47">
        <f t="shared" si="384"/>
        <v>3740</v>
      </c>
      <c r="K1851" s="46" t="s">
        <v>10735</v>
      </c>
      <c r="L1851" s="47"/>
      <c r="M1851" s="47"/>
      <c r="N1851" s="47"/>
      <c r="O1851" s="47"/>
      <c r="P1851" s="47"/>
      <c r="Q1851" s="47"/>
      <c r="R1851" s="47"/>
      <c r="S1851" s="47" t="s">
        <v>3038</v>
      </c>
      <c r="T1851" s="47"/>
      <c r="U1851" s="47"/>
      <c r="V1851" s="47"/>
      <c r="W1851" s="47"/>
      <c r="X1851" s="47"/>
      <c r="Y1851" s="47"/>
      <c r="Z1851" s="47">
        <f t="shared" si="383"/>
        <v>4620</v>
      </c>
      <c r="AA1851" s="47"/>
      <c r="AB1851" s="47"/>
      <c r="AC1851" s="47"/>
      <c r="AD1851" s="47"/>
      <c r="AE1851" s="47"/>
      <c r="AF1851" s="47"/>
      <c r="AG1851" s="47"/>
      <c r="AH1851" s="47">
        <f>IFERROR(_xlfn.XLOOKUP(Table6[[#This Row],[Suburb]],Table5[Travel Surcharge],Table5[$$]),"")</f>
        <v>7000</v>
      </c>
      <c r="AI1851" s="47"/>
      <c r="AJ1851" s="47"/>
    </row>
    <row r="1852" spans="1:36">
      <c r="A1852" s="157" t="s">
        <v>8082</v>
      </c>
      <c r="B1852" s="157">
        <v>1</v>
      </c>
      <c r="C1852" s="157" t="s">
        <v>385</v>
      </c>
      <c r="D1852" s="157" t="str">
        <f t="shared" si="382"/>
        <v>Habitat Estate - Cranbourne East1</v>
      </c>
      <c r="E1852" s="157" t="s">
        <v>8084</v>
      </c>
      <c r="F1852" s="157"/>
      <c r="G1852" s="157"/>
      <c r="H1852" s="157"/>
      <c r="I1852" s="158"/>
      <c r="J1852" s="47">
        <f t="shared" si="384"/>
        <v>3740</v>
      </c>
      <c r="K1852" s="46" t="s">
        <v>10735</v>
      </c>
      <c r="L1852" s="47" t="s">
        <v>8085</v>
      </c>
      <c r="M1852" s="47"/>
      <c r="N1852" s="47"/>
      <c r="O1852" s="47"/>
      <c r="P1852" s="47"/>
      <c r="Q1852" s="47">
        <f t="shared" ref="Q1852:Q1873" si="385">Q$2</f>
        <v>0</v>
      </c>
      <c r="R1852" s="47"/>
      <c r="S1852" s="47"/>
      <c r="T1852" s="47"/>
      <c r="U1852" s="47"/>
      <c r="V1852" s="47"/>
      <c r="W1852" s="47"/>
      <c r="X1852" s="47"/>
      <c r="Y1852" s="47"/>
      <c r="Z1852" s="47">
        <f t="shared" si="383"/>
        <v>4620</v>
      </c>
      <c r="AA1852" s="47"/>
      <c r="AB1852" s="47"/>
      <c r="AC1852" s="47"/>
      <c r="AD1852" s="47"/>
      <c r="AE1852" s="47"/>
      <c r="AF1852" s="47"/>
      <c r="AG1852" s="47"/>
      <c r="AH1852" s="47" t="str">
        <f>IFERROR(_xlfn.XLOOKUP(Table6[[#This Row],[Suburb]],Table5[Travel Surcharge],Table5[$$]),"")</f>
        <v/>
      </c>
      <c r="AI1852" s="47"/>
      <c r="AJ1852" s="47"/>
    </row>
    <row r="1853" spans="1:36">
      <c r="A1853" s="374" t="s">
        <v>8083</v>
      </c>
      <c r="B1853" s="374">
        <v>2</v>
      </c>
      <c r="C1853" s="374" t="s">
        <v>502</v>
      </c>
      <c r="D1853" s="375" t="str">
        <f t="shared" si="382"/>
        <v>Habitat Estate - Tarneit2</v>
      </c>
      <c r="E1853" s="375" t="s">
        <v>3043</v>
      </c>
      <c r="F1853" s="375" t="s">
        <v>3044</v>
      </c>
      <c r="G1853" s="375" t="s">
        <v>3045</v>
      </c>
      <c r="H1853" s="375" t="s">
        <v>3046</v>
      </c>
      <c r="I1853" s="63" t="s">
        <v>1576</v>
      </c>
      <c r="J1853" s="47">
        <f t="shared" si="384"/>
        <v>3740</v>
      </c>
      <c r="K1853" s="46" t="s">
        <v>10735</v>
      </c>
      <c r="L1853" s="47"/>
      <c r="M1853" s="47"/>
      <c r="N1853" s="47"/>
      <c r="O1853" s="47"/>
      <c r="P1853" s="47"/>
      <c r="Q1853" s="47">
        <f t="shared" si="385"/>
        <v>0</v>
      </c>
      <c r="R1853" s="47"/>
      <c r="S1853" s="47"/>
      <c r="T1853" s="47" t="s">
        <v>641</v>
      </c>
      <c r="U1853" s="47"/>
      <c r="V1853" s="47"/>
      <c r="W1853" s="47"/>
      <c r="X1853" s="47"/>
      <c r="Y1853" s="47"/>
      <c r="Z1853" s="47">
        <f t="shared" si="383"/>
        <v>4620</v>
      </c>
      <c r="AA1853" s="47">
        <f t="shared" ref="AA1853:AA1869" si="386">AA$7</f>
        <v>1400</v>
      </c>
      <c r="AB1853" s="47"/>
      <c r="AC1853" s="47"/>
      <c r="AD1853" s="47"/>
      <c r="AE1853" s="47"/>
      <c r="AF1853" s="47"/>
      <c r="AG1853" s="47"/>
      <c r="AH1853" s="47" t="str">
        <f>IFERROR(_xlfn.XLOOKUP(Table6[[#This Row],[Suburb]],Table5[Travel Surcharge],Table5[$$]),"")</f>
        <v/>
      </c>
      <c r="AI1853" s="47"/>
      <c r="AJ1853" s="47"/>
    </row>
    <row r="1854" spans="1:36">
      <c r="A1854" s="374" t="s">
        <v>8083</v>
      </c>
      <c r="B1854" s="374">
        <v>4</v>
      </c>
      <c r="C1854" s="374" t="s">
        <v>502</v>
      </c>
      <c r="D1854" s="375" t="str">
        <f t="shared" si="382"/>
        <v>Habitat Estate - Tarneit4</v>
      </c>
      <c r="E1854" s="375" t="s">
        <v>3047</v>
      </c>
      <c r="F1854" s="375" t="s">
        <v>3044</v>
      </c>
      <c r="G1854" s="375" t="s">
        <v>3045</v>
      </c>
      <c r="H1854" s="375" t="s">
        <v>3046</v>
      </c>
      <c r="I1854" s="63" t="s">
        <v>1576</v>
      </c>
      <c r="J1854" s="47">
        <f t="shared" si="384"/>
        <v>3740</v>
      </c>
      <c r="K1854" s="46" t="s">
        <v>10735</v>
      </c>
      <c r="L1854" s="47"/>
      <c r="M1854" s="47"/>
      <c r="N1854" s="47"/>
      <c r="O1854" s="47"/>
      <c r="P1854" s="47"/>
      <c r="Q1854" s="47">
        <f t="shared" si="385"/>
        <v>0</v>
      </c>
      <c r="R1854" s="47"/>
      <c r="S1854" s="47"/>
      <c r="T1854" s="47" t="s">
        <v>641</v>
      </c>
      <c r="U1854" s="47"/>
      <c r="V1854" s="47"/>
      <c r="W1854" s="47"/>
      <c r="X1854" s="47"/>
      <c r="Y1854" s="47"/>
      <c r="Z1854" s="47">
        <f t="shared" si="383"/>
        <v>4620</v>
      </c>
      <c r="AA1854" s="47">
        <f t="shared" si="386"/>
        <v>1400</v>
      </c>
      <c r="AB1854" s="47"/>
      <c r="AC1854" s="47"/>
      <c r="AD1854" s="47"/>
      <c r="AE1854" s="47"/>
      <c r="AF1854" s="47"/>
      <c r="AG1854" s="47"/>
      <c r="AH1854" s="47" t="str">
        <f>IFERROR(_xlfn.XLOOKUP(Table6[[#This Row],[Suburb]],Table5[Travel Surcharge],Table5[$$]),"")</f>
        <v/>
      </c>
      <c r="AI1854" s="47"/>
      <c r="AJ1854" s="47"/>
    </row>
    <row r="1855" spans="1:36">
      <c r="A1855" s="374" t="s">
        <v>8083</v>
      </c>
      <c r="B1855" s="374">
        <v>5</v>
      </c>
      <c r="C1855" s="374" t="s">
        <v>502</v>
      </c>
      <c r="D1855" s="375" t="str">
        <f t="shared" si="382"/>
        <v>Habitat Estate - Tarneit5</v>
      </c>
      <c r="E1855" s="375" t="s">
        <v>3048</v>
      </c>
      <c r="F1855" s="375" t="s">
        <v>3044</v>
      </c>
      <c r="G1855" s="375" t="s">
        <v>3045</v>
      </c>
      <c r="H1855" s="375" t="s">
        <v>3046</v>
      </c>
      <c r="I1855" s="63" t="s">
        <v>1576</v>
      </c>
      <c r="J1855" s="47">
        <f t="shared" si="384"/>
        <v>3740</v>
      </c>
      <c r="K1855" s="46" t="s">
        <v>10735</v>
      </c>
      <c r="L1855" s="47"/>
      <c r="M1855" s="47"/>
      <c r="N1855" s="47"/>
      <c r="O1855" s="47"/>
      <c r="P1855" s="47"/>
      <c r="Q1855" s="47">
        <f t="shared" si="385"/>
        <v>0</v>
      </c>
      <c r="R1855" s="47"/>
      <c r="S1855" s="47"/>
      <c r="T1855" s="47" t="s">
        <v>641</v>
      </c>
      <c r="U1855" s="47"/>
      <c r="V1855" s="47"/>
      <c r="W1855" s="47"/>
      <c r="X1855" s="47"/>
      <c r="Y1855" s="47"/>
      <c r="Z1855" s="47">
        <f t="shared" si="383"/>
        <v>4620</v>
      </c>
      <c r="AA1855" s="47">
        <f t="shared" si="386"/>
        <v>1400</v>
      </c>
      <c r="AB1855" s="47"/>
      <c r="AC1855" s="47"/>
      <c r="AD1855" s="47"/>
      <c r="AE1855" s="47"/>
      <c r="AF1855" s="47"/>
      <c r="AG1855" s="47"/>
      <c r="AH1855" s="47" t="str">
        <f>IFERROR(_xlfn.XLOOKUP(Table6[[#This Row],[Suburb]],Table5[Travel Surcharge],Table5[$$]),"")</f>
        <v/>
      </c>
      <c r="AI1855" s="47"/>
      <c r="AJ1855" s="47"/>
    </row>
    <row r="1856" spans="1:36">
      <c r="A1856" s="374" t="s">
        <v>8083</v>
      </c>
      <c r="B1856" s="374">
        <v>6</v>
      </c>
      <c r="C1856" s="374" t="s">
        <v>502</v>
      </c>
      <c r="D1856" s="375" t="str">
        <f t="shared" si="382"/>
        <v>Habitat Estate - Tarneit6</v>
      </c>
      <c r="E1856" s="375" t="s">
        <v>3049</v>
      </c>
      <c r="F1856" s="375" t="s">
        <v>3044</v>
      </c>
      <c r="G1856" s="375" t="s">
        <v>3045</v>
      </c>
      <c r="H1856" s="375" t="s">
        <v>3046</v>
      </c>
      <c r="I1856" s="63" t="s">
        <v>1576</v>
      </c>
      <c r="J1856" s="47">
        <f t="shared" si="384"/>
        <v>3740</v>
      </c>
      <c r="K1856" s="46" t="s">
        <v>10735</v>
      </c>
      <c r="L1856" s="47"/>
      <c r="M1856" s="47"/>
      <c r="N1856" s="47"/>
      <c r="O1856" s="47"/>
      <c r="P1856" s="47"/>
      <c r="Q1856" s="47">
        <f t="shared" si="385"/>
        <v>0</v>
      </c>
      <c r="R1856" s="47"/>
      <c r="S1856" s="47"/>
      <c r="T1856" s="47" t="s">
        <v>641</v>
      </c>
      <c r="U1856" s="47"/>
      <c r="V1856" s="47"/>
      <c r="W1856" s="47"/>
      <c r="X1856" s="47"/>
      <c r="Y1856" s="47"/>
      <c r="Z1856" s="47">
        <f t="shared" si="383"/>
        <v>4620</v>
      </c>
      <c r="AA1856" s="47">
        <f t="shared" si="386"/>
        <v>1400</v>
      </c>
      <c r="AB1856" s="47"/>
      <c r="AC1856" s="47"/>
      <c r="AD1856" s="47"/>
      <c r="AE1856" s="47"/>
      <c r="AF1856" s="47"/>
      <c r="AG1856" s="47"/>
      <c r="AH1856" s="47" t="str">
        <f>IFERROR(_xlfn.XLOOKUP(Table6[[#This Row],[Suburb]],Table5[Travel Surcharge],Table5[$$]),"")</f>
        <v/>
      </c>
      <c r="AI1856" s="47"/>
      <c r="AJ1856" s="47"/>
    </row>
    <row r="1857" spans="1:36">
      <c r="A1857" s="374" t="s">
        <v>8083</v>
      </c>
      <c r="B1857" s="374">
        <v>7</v>
      </c>
      <c r="C1857" s="374" t="s">
        <v>502</v>
      </c>
      <c r="D1857" s="375" t="str">
        <f t="shared" si="382"/>
        <v>Habitat Estate - Tarneit7</v>
      </c>
      <c r="E1857" s="375" t="s">
        <v>3050</v>
      </c>
      <c r="F1857" s="375" t="s">
        <v>3044</v>
      </c>
      <c r="G1857" s="375" t="s">
        <v>3045</v>
      </c>
      <c r="H1857" s="375" t="s">
        <v>3046</v>
      </c>
      <c r="I1857" s="63" t="s">
        <v>1576</v>
      </c>
      <c r="J1857" s="47">
        <f t="shared" si="384"/>
        <v>3740</v>
      </c>
      <c r="K1857" s="46" t="s">
        <v>10735</v>
      </c>
      <c r="L1857" s="47"/>
      <c r="M1857" s="47"/>
      <c r="N1857" s="47"/>
      <c r="O1857" s="47"/>
      <c r="P1857" s="47"/>
      <c r="Q1857" s="47">
        <f t="shared" si="385"/>
        <v>0</v>
      </c>
      <c r="R1857" s="47"/>
      <c r="S1857" s="47"/>
      <c r="T1857" s="47" t="s">
        <v>641</v>
      </c>
      <c r="U1857" s="47"/>
      <c r="V1857" s="47"/>
      <c r="W1857" s="47"/>
      <c r="X1857" s="47"/>
      <c r="Y1857" s="47"/>
      <c r="Z1857" s="47">
        <f t="shared" si="383"/>
        <v>4620</v>
      </c>
      <c r="AA1857" s="47">
        <f t="shared" si="386"/>
        <v>1400</v>
      </c>
      <c r="AB1857" s="47"/>
      <c r="AC1857" s="47"/>
      <c r="AD1857" s="47"/>
      <c r="AE1857" s="47"/>
      <c r="AF1857" s="47"/>
      <c r="AG1857" s="47"/>
      <c r="AH1857" s="47" t="str">
        <f>IFERROR(_xlfn.XLOOKUP(Table6[[#This Row],[Suburb]],Table5[Travel Surcharge],Table5[$$]),"")</f>
        <v/>
      </c>
      <c r="AI1857" s="47"/>
      <c r="AJ1857" s="47"/>
    </row>
    <row r="1858" spans="1:36">
      <c r="A1858" s="374" t="s">
        <v>8083</v>
      </c>
      <c r="B1858" s="374">
        <v>8</v>
      </c>
      <c r="C1858" s="374" t="s">
        <v>502</v>
      </c>
      <c r="D1858" s="375" t="str">
        <f t="shared" si="382"/>
        <v>Habitat Estate - Tarneit8</v>
      </c>
      <c r="E1858" s="375" t="s">
        <v>3050</v>
      </c>
      <c r="F1858" s="375" t="s">
        <v>3044</v>
      </c>
      <c r="G1858" s="375" t="s">
        <v>3045</v>
      </c>
      <c r="H1858" s="375" t="s">
        <v>3046</v>
      </c>
      <c r="I1858" s="63" t="s">
        <v>1576</v>
      </c>
      <c r="J1858" s="47">
        <f t="shared" si="384"/>
        <v>3740</v>
      </c>
      <c r="K1858" s="46" t="s">
        <v>10735</v>
      </c>
      <c r="L1858" s="47"/>
      <c r="M1858" s="47"/>
      <c r="N1858" s="47"/>
      <c r="O1858" s="47"/>
      <c r="P1858" s="47"/>
      <c r="Q1858" s="47">
        <f t="shared" si="385"/>
        <v>0</v>
      </c>
      <c r="R1858" s="47"/>
      <c r="S1858" s="47"/>
      <c r="T1858" s="47" t="s">
        <v>641</v>
      </c>
      <c r="U1858" s="47"/>
      <c r="V1858" s="47"/>
      <c r="W1858" s="47"/>
      <c r="X1858" s="47"/>
      <c r="Y1858" s="47"/>
      <c r="Z1858" s="47">
        <f t="shared" si="383"/>
        <v>4620</v>
      </c>
      <c r="AA1858" s="47">
        <f t="shared" si="386"/>
        <v>1400</v>
      </c>
      <c r="AB1858" s="47"/>
      <c r="AC1858" s="47"/>
      <c r="AD1858" s="47"/>
      <c r="AE1858" s="47"/>
      <c r="AF1858" s="47"/>
      <c r="AG1858" s="47"/>
      <c r="AH1858" s="47" t="str">
        <f>IFERROR(_xlfn.XLOOKUP(Table6[[#This Row],[Suburb]],Table5[Travel Surcharge],Table5[$$]),"")</f>
        <v/>
      </c>
      <c r="AI1858" s="47"/>
      <c r="AJ1858" s="47"/>
    </row>
    <row r="1859" spans="1:36">
      <c r="A1859" s="374" t="s">
        <v>8083</v>
      </c>
      <c r="B1859" s="374">
        <v>9</v>
      </c>
      <c r="C1859" s="374" t="s">
        <v>502</v>
      </c>
      <c r="D1859" s="375" t="str">
        <f t="shared" si="382"/>
        <v>Habitat Estate - Tarneit9</v>
      </c>
      <c r="E1859" s="375" t="s">
        <v>3051</v>
      </c>
      <c r="F1859" s="375" t="s">
        <v>3044</v>
      </c>
      <c r="G1859" s="375" t="s">
        <v>3045</v>
      </c>
      <c r="H1859" s="375" t="s">
        <v>3046</v>
      </c>
      <c r="I1859" s="63" t="s">
        <v>1576</v>
      </c>
      <c r="J1859" s="47">
        <f t="shared" si="384"/>
        <v>3740</v>
      </c>
      <c r="K1859" s="46" t="s">
        <v>10735</v>
      </c>
      <c r="L1859" s="47"/>
      <c r="M1859" s="47"/>
      <c r="N1859" s="47"/>
      <c r="O1859" s="47"/>
      <c r="P1859" s="47"/>
      <c r="Q1859" s="47">
        <f t="shared" si="385"/>
        <v>0</v>
      </c>
      <c r="R1859" s="47"/>
      <c r="S1859" s="47"/>
      <c r="T1859" s="47" t="s">
        <v>641</v>
      </c>
      <c r="U1859" s="47"/>
      <c r="V1859" s="47"/>
      <c r="W1859" s="47"/>
      <c r="X1859" s="47"/>
      <c r="Y1859" s="47"/>
      <c r="Z1859" s="47">
        <f t="shared" si="383"/>
        <v>4620</v>
      </c>
      <c r="AA1859" s="47">
        <f t="shared" si="386"/>
        <v>1400</v>
      </c>
      <c r="AB1859" s="47"/>
      <c r="AC1859" s="47"/>
      <c r="AD1859" s="47"/>
      <c r="AE1859" s="47"/>
      <c r="AF1859" s="47"/>
      <c r="AG1859" s="47"/>
      <c r="AH1859" s="47" t="str">
        <f>IFERROR(_xlfn.XLOOKUP(Table6[[#This Row],[Suburb]],Table5[Travel Surcharge],Table5[$$]),"")</f>
        <v/>
      </c>
      <c r="AI1859" s="47"/>
      <c r="AJ1859" s="47"/>
    </row>
    <row r="1860" spans="1:36">
      <c r="A1860" s="374" t="s">
        <v>8083</v>
      </c>
      <c r="B1860" s="374">
        <v>10</v>
      </c>
      <c r="C1860" s="374" t="s">
        <v>502</v>
      </c>
      <c r="D1860" s="375" t="str">
        <f t="shared" si="382"/>
        <v>Habitat Estate - Tarneit10</v>
      </c>
      <c r="E1860" s="375" t="s">
        <v>3052</v>
      </c>
      <c r="F1860" s="375" t="s">
        <v>3044</v>
      </c>
      <c r="G1860" s="375" t="s">
        <v>3045</v>
      </c>
      <c r="H1860" s="375" t="s">
        <v>3046</v>
      </c>
      <c r="I1860" s="63" t="s">
        <v>1576</v>
      </c>
      <c r="J1860" s="47">
        <f t="shared" si="384"/>
        <v>3740</v>
      </c>
      <c r="K1860" s="46" t="s">
        <v>10735</v>
      </c>
      <c r="L1860" s="47"/>
      <c r="M1860" s="47"/>
      <c r="N1860" s="47"/>
      <c r="O1860" s="47"/>
      <c r="P1860" s="47"/>
      <c r="Q1860" s="47">
        <f t="shared" si="385"/>
        <v>0</v>
      </c>
      <c r="R1860" s="47"/>
      <c r="S1860" s="47"/>
      <c r="T1860" s="47" t="s">
        <v>641</v>
      </c>
      <c r="U1860" s="47"/>
      <c r="V1860" s="47"/>
      <c r="W1860" s="47"/>
      <c r="X1860" s="47"/>
      <c r="Y1860" s="47"/>
      <c r="Z1860" s="47">
        <f t="shared" si="383"/>
        <v>4620</v>
      </c>
      <c r="AA1860" s="47">
        <f t="shared" si="386"/>
        <v>1400</v>
      </c>
      <c r="AB1860" s="47"/>
      <c r="AC1860" s="47"/>
      <c r="AD1860" s="47"/>
      <c r="AE1860" s="47"/>
      <c r="AF1860" s="47"/>
      <c r="AG1860" s="47"/>
      <c r="AH1860" s="47" t="str">
        <f>IFERROR(_xlfn.XLOOKUP(Table6[[#This Row],[Suburb]],Table5[Travel Surcharge],Table5[$$]),"")</f>
        <v/>
      </c>
      <c r="AI1860" s="47"/>
      <c r="AJ1860" s="47"/>
    </row>
    <row r="1861" spans="1:36">
      <c r="A1861" s="374" t="s">
        <v>8083</v>
      </c>
      <c r="B1861" s="374">
        <v>11</v>
      </c>
      <c r="C1861" s="374" t="s">
        <v>502</v>
      </c>
      <c r="D1861" s="375" t="str">
        <f t="shared" si="382"/>
        <v>Habitat Estate - Tarneit11</v>
      </c>
      <c r="E1861" s="375" t="s">
        <v>3053</v>
      </c>
      <c r="F1861" s="375" t="s">
        <v>3044</v>
      </c>
      <c r="G1861" s="375" t="s">
        <v>3045</v>
      </c>
      <c r="H1861" s="375" t="s">
        <v>3046</v>
      </c>
      <c r="I1861" s="63" t="s">
        <v>1576</v>
      </c>
      <c r="J1861" s="47">
        <f t="shared" si="384"/>
        <v>3740</v>
      </c>
      <c r="K1861" s="46" t="s">
        <v>10735</v>
      </c>
      <c r="L1861" s="47"/>
      <c r="M1861" s="47"/>
      <c r="N1861" s="47"/>
      <c r="O1861" s="47"/>
      <c r="P1861" s="47"/>
      <c r="Q1861" s="47">
        <f t="shared" si="385"/>
        <v>0</v>
      </c>
      <c r="R1861" s="47"/>
      <c r="S1861" s="47"/>
      <c r="T1861" s="47" t="s">
        <v>641</v>
      </c>
      <c r="U1861" s="47"/>
      <c r="V1861" s="47"/>
      <c r="W1861" s="47"/>
      <c r="X1861" s="47"/>
      <c r="Y1861" s="47"/>
      <c r="Z1861" s="47">
        <f t="shared" si="383"/>
        <v>4620</v>
      </c>
      <c r="AA1861" s="47">
        <f t="shared" si="386"/>
        <v>1400</v>
      </c>
      <c r="AB1861" s="47"/>
      <c r="AC1861" s="47"/>
      <c r="AD1861" s="47"/>
      <c r="AE1861" s="47"/>
      <c r="AF1861" s="47"/>
      <c r="AG1861" s="47"/>
      <c r="AH1861" s="47" t="str">
        <f>IFERROR(_xlfn.XLOOKUP(Table6[[#This Row],[Suburb]],Table5[Travel Surcharge],Table5[$$]),"")</f>
        <v/>
      </c>
      <c r="AI1861" s="47"/>
      <c r="AJ1861" s="47"/>
    </row>
    <row r="1862" spans="1:36">
      <c r="A1862" s="374" t="s">
        <v>8083</v>
      </c>
      <c r="B1862" s="374">
        <v>12</v>
      </c>
      <c r="C1862" s="374" t="s">
        <v>502</v>
      </c>
      <c r="D1862" s="375" t="str">
        <f t="shared" ref="D1862:D1897" si="387">CONCATENATE(A1862,B1862)</f>
        <v>Habitat Estate - Tarneit12</v>
      </c>
      <c r="E1862" s="375" t="s">
        <v>3054</v>
      </c>
      <c r="F1862" s="375" t="s">
        <v>3044</v>
      </c>
      <c r="G1862" s="375" t="s">
        <v>3045</v>
      </c>
      <c r="H1862" s="375" t="s">
        <v>3046</v>
      </c>
      <c r="I1862" s="63" t="s">
        <v>1576</v>
      </c>
      <c r="J1862" s="47">
        <f t="shared" si="384"/>
        <v>3740</v>
      </c>
      <c r="K1862" s="46" t="s">
        <v>10735</v>
      </c>
      <c r="L1862" s="47"/>
      <c r="M1862" s="47"/>
      <c r="N1862" s="47"/>
      <c r="O1862" s="47"/>
      <c r="P1862" s="47"/>
      <c r="Q1862" s="47">
        <f t="shared" si="385"/>
        <v>0</v>
      </c>
      <c r="R1862" s="47"/>
      <c r="S1862" s="47"/>
      <c r="T1862" s="47" t="s">
        <v>641</v>
      </c>
      <c r="U1862" s="47"/>
      <c r="V1862" s="47"/>
      <c r="W1862" s="47"/>
      <c r="X1862" s="47"/>
      <c r="Y1862" s="47"/>
      <c r="Z1862" s="47">
        <f t="shared" ref="Z1862:Z1897" si="388">Z$7</f>
        <v>4620</v>
      </c>
      <c r="AA1862" s="47">
        <f t="shared" si="386"/>
        <v>1400</v>
      </c>
      <c r="AB1862" s="47"/>
      <c r="AC1862" s="47"/>
      <c r="AD1862" s="47"/>
      <c r="AE1862" s="47"/>
      <c r="AF1862" s="47"/>
      <c r="AG1862" s="47"/>
      <c r="AH1862" s="47" t="str">
        <f>IFERROR(_xlfn.XLOOKUP(Table6[[#This Row],[Suburb]],Table5[Travel Surcharge],Table5[$$]),"")</f>
        <v/>
      </c>
      <c r="AI1862" s="47"/>
      <c r="AJ1862" s="47"/>
    </row>
    <row r="1863" spans="1:36">
      <c r="A1863" s="374" t="s">
        <v>8083</v>
      </c>
      <c r="B1863" s="374">
        <v>13</v>
      </c>
      <c r="C1863" s="374" t="s">
        <v>502</v>
      </c>
      <c r="D1863" s="375" t="str">
        <f t="shared" si="387"/>
        <v>Habitat Estate - Tarneit13</v>
      </c>
      <c r="E1863" s="375" t="s">
        <v>3055</v>
      </c>
      <c r="F1863" s="375" t="s">
        <v>3044</v>
      </c>
      <c r="G1863" s="375" t="s">
        <v>3045</v>
      </c>
      <c r="H1863" s="375" t="s">
        <v>3046</v>
      </c>
      <c r="I1863" s="63" t="s">
        <v>1576</v>
      </c>
      <c r="J1863" s="47">
        <f t="shared" si="384"/>
        <v>3740</v>
      </c>
      <c r="K1863" s="46" t="s">
        <v>10735</v>
      </c>
      <c r="L1863" s="47"/>
      <c r="M1863" s="47"/>
      <c r="N1863" s="47"/>
      <c r="O1863" s="47"/>
      <c r="P1863" s="47"/>
      <c r="Q1863" s="47">
        <f t="shared" si="385"/>
        <v>0</v>
      </c>
      <c r="R1863" s="47"/>
      <c r="S1863" s="47"/>
      <c r="T1863" s="47" t="s">
        <v>641</v>
      </c>
      <c r="U1863" s="47"/>
      <c r="V1863" s="47"/>
      <c r="W1863" s="47"/>
      <c r="X1863" s="47"/>
      <c r="Y1863" s="47"/>
      <c r="Z1863" s="47">
        <f t="shared" si="388"/>
        <v>4620</v>
      </c>
      <c r="AA1863" s="47">
        <f t="shared" si="386"/>
        <v>1400</v>
      </c>
      <c r="AB1863" s="47"/>
      <c r="AC1863" s="47"/>
      <c r="AD1863" s="47"/>
      <c r="AE1863" s="47"/>
      <c r="AF1863" s="47"/>
      <c r="AG1863" s="47"/>
      <c r="AH1863" s="47" t="str">
        <f>IFERROR(_xlfn.XLOOKUP(Table6[[#This Row],[Suburb]],Table5[Travel Surcharge],Table5[$$]),"")</f>
        <v/>
      </c>
      <c r="AI1863" s="47"/>
      <c r="AJ1863" s="47"/>
    </row>
    <row r="1864" spans="1:36">
      <c r="A1864" s="374" t="s">
        <v>8083</v>
      </c>
      <c r="B1864" s="374">
        <v>14</v>
      </c>
      <c r="C1864" s="374" t="s">
        <v>502</v>
      </c>
      <c r="D1864" s="375" t="str">
        <f t="shared" si="387"/>
        <v>Habitat Estate - Tarneit14</v>
      </c>
      <c r="E1864" s="375" t="s">
        <v>3056</v>
      </c>
      <c r="F1864" s="375" t="s">
        <v>3044</v>
      </c>
      <c r="G1864" s="375" t="s">
        <v>3045</v>
      </c>
      <c r="H1864" s="375" t="s">
        <v>3046</v>
      </c>
      <c r="I1864" s="63" t="s">
        <v>1576</v>
      </c>
      <c r="J1864" s="47">
        <f t="shared" si="384"/>
        <v>3740</v>
      </c>
      <c r="K1864" s="46" t="s">
        <v>10735</v>
      </c>
      <c r="L1864" s="47"/>
      <c r="M1864" s="47"/>
      <c r="N1864" s="47"/>
      <c r="O1864" s="47"/>
      <c r="P1864" s="47"/>
      <c r="Q1864" s="47">
        <f t="shared" si="385"/>
        <v>0</v>
      </c>
      <c r="R1864" s="47"/>
      <c r="S1864" s="47"/>
      <c r="T1864" s="47" t="s">
        <v>641</v>
      </c>
      <c r="U1864" s="47"/>
      <c r="V1864" s="47"/>
      <c r="W1864" s="47"/>
      <c r="X1864" s="47"/>
      <c r="Y1864" s="47"/>
      <c r="Z1864" s="47">
        <f t="shared" si="388"/>
        <v>4620</v>
      </c>
      <c r="AA1864" s="47">
        <f t="shared" si="386"/>
        <v>1400</v>
      </c>
      <c r="AB1864" s="47"/>
      <c r="AC1864" s="47"/>
      <c r="AD1864" s="47"/>
      <c r="AE1864" s="47"/>
      <c r="AF1864" s="47"/>
      <c r="AG1864" s="47"/>
      <c r="AH1864" s="47" t="str">
        <f>IFERROR(_xlfn.XLOOKUP(Table6[[#This Row],[Suburb]],Table5[Travel Surcharge],Table5[$$]),"")</f>
        <v/>
      </c>
      <c r="AI1864" s="47"/>
      <c r="AJ1864" s="47"/>
    </row>
    <row r="1865" spans="1:36">
      <c r="A1865" s="374" t="s">
        <v>8083</v>
      </c>
      <c r="B1865" s="374">
        <v>16</v>
      </c>
      <c r="C1865" s="374" t="s">
        <v>502</v>
      </c>
      <c r="D1865" s="375" t="str">
        <f t="shared" si="387"/>
        <v>Habitat Estate - Tarneit16</v>
      </c>
      <c r="E1865" s="375" t="s">
        <v>3057</v>
      </c>
      <c r="F1865" s="375" t="s">
        <v>3044</v>
      </c>
      <c r="G1865" s="375" t="s">
        <v>3045</v>
      </c>
      <c r="H1865" s="375" t="s">
        <v>3046</v>
      </c>
      <c r="I1865" s="63" t="s">
        <v>1576</v>
      </c>
      <c r="J1865" s="47">
        <f t="shared" si="384"/>
        <v>3740</v>
      </c>
      <c r="K1865" s="46" t="s">
        <v>10735</v>
      </c>
      <c r="L1865" s="47"/>
      <c r="M1865" s="47"/>
      <c r="N1865" s="47"/>
      <c r="O1865" s="47"/>
      <c r="P1865" s="47"/>
      <c r="Q1865" s="47">
        <f t="shared" si="385"/>
        <v>0</v>
      </c>
      <c r="R1865" s="47"/>
      <c r="S1865" s="47"/>
      <c r="T1865" s="47" t="s">
        <v>641</v>
      </c>
      <c r="U1865" s="47"/>
      <c r="V1865" s="47"/>
      <c r="W1865" s="47"/>
      <c r="X1865" s="47"/>
      <c r="Y1865" s="47"/>
      <c r="Z1865" s="47">
        <f t="shared" si="388"/>
        <v>4620</v>
      </c>
      <c r="AA1865" s="47">
        <f t="shared" si="386"/>
        <v>1400</v>
      </c>
      <c r="AB1865" s="47"/>
      <c r="AC1865" s="47"/>
      <c r="AD1865" s="47"/>
      <c r="AE1865" s="47"/>
      <c r="AF1865" s="47"/>
      <c r="AG1865" s="47"/>
      <c r="AH1865" s="47" t="str">
        <f>IFERROR(_xlfn.XLOOKUP(Table6[[#This Row],[Suburb]],Table5[Travel Surcharge],Table5[$$]),"")</f>
        <v/>
      </c>
      <c r="AI1865" s="47"/>
      <c r="AJ1865" s="47"/>
    </row>
    <row r="1866" spans="1:36">
      <c r="A1866" s="374" t="s">
        <v>8083</v>
      </c>
      <c r="B1866" s="374">
        <v>17</v>
      </c>
      <c r="C1866" s="374" t="s">
        <v>502</v>
      </c>
      <c r="D1866" s="375" t="str">
        <f t="shared" si="387"/>
        <v>Habitat Estate - Tarneit17</v>
      </c>
      <c r="E1866" s="375" t="s">
        <v>3058</v>
      </c>
      <c r="F1866" s="375" t="s">
        <v>3044</v>
      </c>
      <c r="G1866" s="375" t="s">
        <v>3045</v>
      </c>
      <c r="H1866" s="375" t="s">
        <v>3046</v>
      </c>
      <c r="I1866" s="63" t="s">
        <v>1576</v>
      </c>
      <c r="J1866" s="47">
        <f t="shared" si="384"/>
        <v>3740</v>
      </c>
      <c r="K1866" s="46" t="s">
        <v>10735</v>
      </c>
      <c r="L1866" s="47"/>
      <c r="M1866" s="47"/>
      <c r="N1866" s="47"/>
      <c r="O1866" s="47"/>
      <c r="P1866" s="47"/>
      <c r="Q1866" s="47">
        <f t="shared" si="385"/>
        <v>0</v>
      </c>
      <c r="R1866" s="47"/>
      <c r="S1866" s="47"/>
      <c r="T1866" s="47" t="s">
        <v>641</v>
      </c>
      <c r="U1866" s="47"/>
      <c r="V1866" s="47"/>
      <c r="W1866" s="47"/>
      <c r="X1866" s="47"/>
      <c r="Y1866" s="47"/>
      <c r="Z1866" s="47">
        <f t="shared" si="388"/>
        <v>4620</v>
      </c>
      <c r="AA1866" s="47">
        <f t="shared" si="386"/>
        <v>1400</v>
      </c>
      <c r="AB1866" s="47"/>
      <c r="AC1866" s="47"/>
      <c r="AD1866" s="47"/>
      <c r="AE1866" s="47"/>
      <c r="AF1866" s="47"/>
      <c r="AG1866" s="47"/>
      <c r="AH1866" s="47" t="str">
        <f>IFERROR(_xlfn.XLOOKUP(Table6[[#This Row],[Suburb]],Table5[Travel Surcharge],Table5[$$]),"")</f>
        <v/>
      </c>
      <c r="AI1866" s="47"/>
      <c r="AJ1866" s="47"/>
    </row>
    <row r="1867" spans="1:36">
      <c r="A1867" s="374" t="s">
        <v>8083</v>
      </c>
      <c r="B1867" s="374">
        <v>18</v>
      </c>
      <c r="C1867" s="374" t="s">
        <v>502</v>
      </c>
      <c r="D1867" s="375" t="str">
        <f t="shared" si="387"/>
        <v>Habitat Estate - Tarneit18</v>
      </c>
      <c r="E1867" s="375" t="s">
        <v>3059</v>
      </c>
      <c r="F1867" s="375" t="s">
        <v>3044</v>
      </c>
      <c r="G1867" s="375" t="s">
        <v>3045</v>
      </c>
      <c r="H1867" s="375" t="s">
        <v>3046</v>
      </c>
      <c r="I1867" s="63" t="s">
        <v>1576</v>
      </c>
      <c r="J1867" s="47">
        <f t="shared" si="384"/>
        <v>3740</v>
      </c>
      <c r="K1867" s="46" t="s">
        <v>10735</v>
      </c>
      <c r="L1867" s="47"/>
      <c r="M1867" s="47"/>
      <c r="N1867" s="47"/>
      <c r="O1867" s="47"/>
      <c r="P1867" s="47"/>
      <c r="Q1867" s="47">
        <f t="shared" si="385"/>
        <v>0</v>
      </c>
      <c r="R1867" s="47"/>
      <c r="S1867" s="47"/>
      <c r="T1867" s="47" t="s">
        <v>641</v>
      </c>
      <c r="U1867" s="47"/>
      <c r="V1867" s="47"/>
      <c r="W1867" s="47"/>
      <c r="X1867" s="47"/>
      <c r="Y1867" s="47"/>
      <c r="Z1867" s="47">
        <f t="shared" si="388"/>
        <v>4620</v>
      </c>
      <c r="AA1867" s="47">
        <f t="shared" si="386"/>
        <v>1400</v>
      </c>
      <c r="AB1867" s="47"/>
      <c r="AC1867" s="47"/>
      <c r="AD1867" s="47"/>
      <c r="AE1867" s="47"/>
      <c r="AF1867" s="47"/>
      <c r="AG1867" s="47"/>
      <c r="AH1867" s="47" t="str">
        <f>IFERROR(_xlfn.XLOOKUP(Table6[[#This Row],[Suburb]],Table5[Travel Surcharge],Table5[$$]),"")</f>
        <v/>
      </c>
      <c r="AI1867" s="47"/>
      <c r="AJ1867" s="47"/>
    </row>
    <row r="1868" spans="1:36">
      <c r="A1868" s="374" t="s">
        <v>8083</v>
      </c>
      <c r="B1868" s="374">
        <v>19</v>
      </c>
      <c r="C1868" s="374" t="s">
        <v>502</v>
      </c>
      <c r="D1868" s="375" t="str">
        <f t="shared" si="387"/>
        <v>Habitat Estate - Tarneit19</v>
      </c>
      <c r="E1868" s="375" t="s">
        <v>3060</v>
      </c>
      <c r="F1868" s="375" t="s">
        <v>3044</v>
      </c>
      <c r="G1868" s="375" t="s">
        <v>3045</v>
      </c>
      <c r="H1868" s="375" t="s">
        <v>3046</v>
      </c>
      <c r="I1868" s="63" t="s">
        <v>1576</v>
      </c>
      <c r="J1868" s="47">
        <f t="shared" si="384"/>
        <v>3740</v>
      </c>
      <c r="K1868" s="46" t="s">
        <v>10735</v>
      </c>
      <c r="L1868" s="47"/>
      <c r="M1868" s="47"/>
      <c r="N1868" s="47"/>
      <c r="O1868" s="47"/>
      <c r="P1868" s="47"/>
      <c r="Q1868" s="47">
        <f t="shared" si="385"/>
        <v>0</v>
      </c>
      <c r="R1868" s="47"/>
      <c r="S1868" s="47"/>
      <c r="T1868" s="47" t="s">
        <v>641</v>
      </c>
      <c r="U1868" s="47"/>
      <c r="V1868" s="47"/>
      <c r="W1868" s="47"/>
      <c r="X1868" s="47"/>
      <c r="Y1868" s="47"/>
      <c r="Z1868" s="47">
        <f t="shared" si="388"/>
        <v>4620</v>
      </c>
      <c r="AA1868" s="47">
        <f t="shared" si="386"/>
        <v>1400</v>
      </c>
      <c r="AB1868" s="47"/>
      <c r="AC1868" s="47"/>
      <c r="AD1868" s="47"/>
      <c r="AE1868" s="47"/>
      <c r="AF1868" s="47"/>
      <c r="AG1868" s="47"/>
      <c r="AH1868" s="47" t="str">
        <f>IFERROR(_xlfn.XLOOKUP(Table6[[#This Row],[Suburb]],Table5[Travel Surcharge],Table5[$$]),"")</f>
        <v/>
      </c>
      <c r="AI1868" s="47"/>
      <c r="AJ1868" s="47"/>
    </row>
    <row r="1869" spans="1:36">
      <c r="A1869" s="374" t="s">
        <v>8083</v>
      </c>
      <c r="B1869" s="374">
        <v>20</v>
      </c>
      <c r="C1869" s="374" t="s">
        <v>502</v>
      </c>
      <c r="D1869" s="375" t="str">
        <f t="shared" si="387"/>
        <v>Habitat Estate - Tarneit20</v>
      </c>
      <c r="E1869" s="375" t="s">
        <v>3061</v>
      </c>
      <c r="F1869" s="375" t="s">
        <v>3044</v>
      </c>
      <c r="G1869" s="375" t="s">
        <v>3045</v>
      </c>
      <c r="H1869" s="375" t="s">
        <v>3046</v>
      </c>
      <c r="I1869" s="63" t="s">
        <v>1576</v>
      </c>
      <c r="J1869" s="47">
        <f t="shared" si="384"/>
        <v>3740</v>
      </c>
      <c r="K1869" s="46" t="s">
        <v>10735</v>
      </c>
      <c r="L1869" s="47"/>
      <c r="M1869" s="47"/>
      <c r="N1869" s="47"/>
      <c r="O1869" s="47"/>
      <c r="P1869" s="47"/>
      <c r="Q1869" s="47">
        <f t="shared" si="385"/>
        <v>0</v>
      </c>
      <c r="R1869" s="47"/>
      <c r="S1869" s="47"/>
      <c r="T1869" s="47" t="s">
        <v>641</v>
      </c>
      <c r="U1869" s="47"/>
      <c r="V1869" s="47"/>
      <c r="W1869" s="47"/>
      <c r="X1869" s="47"/>
      <c r="Y1869" s="47"/>
      <c r="Z1869" s="47">
        <f t="shared" si="388"/>
        <v>4620</v>
      </c>
      <c r="AA1869" s="47">
        <f t="shared" si="386"/>
        <v>1400</v>
      </c>
      <c r="AB1869" s="47"/>
      <c r="AC1869" s="47"/>
      <c r="AD1869" s="47"/>
      <c r="AE1869" s="47"/>
      <c r="AF1869" s="47"/>
      <c r="AG1869" s="47"/>
      <c r="AH1869" s="47" t="str">
        <f>IFERROR(_xlfn.XLOOKUP(Table6[[#This Row],[Suburb]],Table5[Travel Surcharge],Table5[$$]),"")</f>
        <v/>
      </c>
      <c r="AI1869" s="47"/>
      <c r="AJ1869" s="47"/>
    </row>
    <row r="1870" spans="1:36">
      <c r="A1870" s="374" t="s">
        <v>10748</v>
      </c>
      <c r="B1870" s="374">
        <v>1</v>
      </c>
      <c r="C1870" s="374" t="s">
        <v>289</v>
      </c>
      <c r="D1870" s="375" t="str">
        <f>CONCATENATE(A1870,B1870)</f>
        <v>Hamilton Heights1</v>
      </c>
      <c r="E1870" s="375" t="s">
        <v>10749</v>
      </c>
      <c r="F1870" s="375" t="s">
        <v>10750</v>
      </c>
      <c r="G1870" s="375"/>
      <c r="H1870" s="375"/>
      <c r="I1870" s="63" t="s">
        <v>10751</v>
      </c>
      <c r="J1870" s="47"/>
      <c r="K1870" s="46" t="s">
        <v>10735</v>
      </c>
      <c r="L1870" s="47" t="s">
        <v>10752</v>
      </c>
      <c r="M1870" s="47"/>
      <c r="N1870" s="47"/>
      <c r="O1870" s="47"/>
      <c r="P1870" s="47"/>
      <c r="Q1870" s="47">
        <v>0</v>
      </c>
      <c r="R1870" s="47"/>
      <c r="S1870" s="47"/>
      <c r="T1870" s="47"/>
      <c r="U1870" s="47"/>
      <c r="V1870" s="47"/>
      <c r="W1870" s="47">
        <v>5990</v>
      </c>
      <c r="X1870" s="47"/>
      <c r="Y1870" s="47"/>
      <c r="Z1870" s="47"/>
      <c r="AA1870" s="47"/>
      <c r="AB1870" s="47"/>
      <c r="AC1870" s="47"/>
      <c r="AD1870" s="47"/>
      <c r="AE1870" s="47"/>
      <c r="AF1870" s="47"/>
      <c r="AG1870" s="47"/>
      <c r="AH1870" s="47">
        <v>7000</v>
      </c>
      <c r="AI1870" s="47"/>
      <c r="AJ1870" s="47"/>
    </row>
    <row r="1871" spans="1:36">
      <c r="A1871" s="374" t="s">
        <v>3062</v>
      </c>
      <c r="B1871" s="374">
        <v>3</v>
      </c>
      <c r="C1871" s="374" t="s">
        <v>420</v>
      </c>
      <c r="D1871" s="375" t="str">
        <f t="shared" si="387"/>
        <v>Hamilton Rise Estate3</v>
      </c>
      <c r="E1871" s="375" t="s">
        <v>421</v>
      </c>
      <c r="F1871" s="375" t="s">
        <v>3063</v>
      </c>
      <c r="G1871" s="375" t="s">
        <v>423</v>
      </c>
      <c r="H1871" s="375" t="s">
        <v>2350</v>
      </c>
      <c r="I1871" s="63" t="s">
        <v>3064</v>
      </c>
      <c r="J1871" s="47">
        <f t="shared" si="384"/>
        <v>3740</v>
      </c>
      <c r="K1871" s="46" t="s">
        <v>10735</v>
      </c>
      <c r="L1871" s="47"/>
      <c r="M1871" s="47"/>
      <c r="N1871" s="47" t="s">
        <v>3065</v>
      </c>
      <c r="O1871" s="47"/>
      <c r="P1871" s="47"/>
      <c r="Q1871" s="47">
        <f t="shared" si="385"/>
        <v>0</v>
      </c>
      <c r="R1871" s="47"/>
      <c r="S1871" s="47"/>
      <c r="T1871" s="47"/>
      <c r="U1871" s="47"/>
      <c r="V1871" s="47"/>
      <c r="W1871" s="47"/>
      <c r="X1871" s="47"/>
      <c r="Y1871" s="47"/>
      <c r="Z1871" s="47">
        <f t="shared" si="388"/>
        <v>4620</v>
      </c>
      <c r="AA1871" s="47"/>
      <c r="AB1871" s="47"/>
      <c r="AC1871" s="47"/>
      <c r="AD1871" s="47"/>
      <c r="AE1871" s="47"/>
      <c r="AF1871" s="47"/>
      <c r="AG1871" s="47"/>
      <c r="AH1871" s="47" t="str">
        <f>IFERROR(_xlfn.XLOOKUP(Table6[[#This Row],[Suburb]],Table5[Travel Surcharge],Table5[$$]),"")</f>
        <v/>
      </c>
      <c r="AI1871" s="47"/>
      <c r="AJ1871" s="47"/>
    </row>
    <row r="1872" spans="1:36">
      <c r="A1872" s="374" t="s">
        <v>3062</v>
      </c>
      <c r="B1872" s="374">
        <v>4</v>
      </c>
      <c r="C1872" s="374" t="s">
        <v>420</v>
      </c>
      <c r="D1872" s="375" t="str">
        <f t="shared" si="387"/>
        <v>Hamilton Rise Estate4</v>
      </c>
      <c r="E1872" s="375" t="s">
        <v>3066</v>
      </c>
      <c r="F1872" s="375" t="s">
        <v>3063</v>
      </c>
      <c r="G1872" s="375" t="s">
        <v>423</v>
      </c>
      <c r="H1872" s="375" t="s">
        <v>2350</v>
      </c>
      <c r="I1872" s="63" t="s">
        <v>3064</v>
      </c>
      <c r="J1872" s="47">
        <f t="shared" si="384"/>
        <v>3740</v>
      </c>
      <c r="K1872" s="46" t="s">
        <v>10735</v>
      </c>
      <c r="L1872" s="47"/>
      <c r="M1872" s="47"/>
      <c r="N1872" s="47" t="s">
        <v>3065</v>
      </c>
      <c r="O1872" s="47"/>
      <c r="P1872" s="47"/>
      <c r="Q1872" s="47">
        <f t="shared" si="385"/>
        <v>0</v>
      </c>
      <c r="R1872" s="47"/>
      <c r="S1872" s="47"/>
      <c r="T1872" s="47"/>
      <c r="U1872" s="47"/>
      <c r="V1872" s="47"/>
      <c r="W1872" s="47"/>
      <c r="X1872" s="47"/>
      <c r="Y1872" s="47"/>
      <c r="Z1872" s="47">
        <f t="shared" si="388"/>
        <v>4620</v>
      </c>
      <c r="AA1872" s="47"/>
      <c r="AB1872" s="47"/>
      <c r="AC1872" s="47"/>
      <c r="AD1872" s="47"/>
      <c r="AE1872" s="47"/>
      <c r="AF1872" s="47"/>
      <c r="AG1872" s="47"/>
      <c r="AH1872" s="47" t="str">
        <f>IFERROR(_xlfn.XLOOKUP(Table6[[#This Row],[Suburb]],Table5[Travel Surcharge],Table5[$$]),"")</f>
        <v/>
      </c>
      <c r="AI1872" s="47"/>
      <c r="AJ1872" s="47"/>
    </row>
    <row r="1873" spans="1:36">
      <c r="A1873" s="374" t="s">
        <v>3062</v>
      </c>
      <c r="B1873" s="374">
        <v>5</v>
      </c>
      <c r="C1873" s="374" t="s">
        <v>420</v>
      </c>
      <c r="D1873" s="375" t="str">
        <f t="shared" si="387"/>
        <v>Hamilton Rise Estate5</v>
      </c>
      <c r="E1873" s="375" t="s">
        <v>3067</v>
      </c>
      <c r="F1873" s="375" t="s">
        <v>3063</v>
      </c>
      <c r="G1873" s="375" t="s">
        <v>423</v>
      </c>
      <c r="H1873" s="375" t="s">
        <v>2350</v>
      </c>
      <c r="I1873" s="63" t="s">
        <v>3064</v>
      </c>
      <c r="J1873" s="47">
        <f t="shared" si="384"/>
        <v>3740</v>
      </c>
      <c r="K1873" s="46" t="s">
        <v>10735</v>
      </c>
      <c r="L1873" s="47"/>
      <c r="M1873" s="47"/>
      <c r="N1873" s="47" t="s">
        <v>3065</v>
      </c>
      <c r="O1873" s="47"/>
      <c r="P1873" s="47"/>
      <c r="Q1873" s="47">
        <f t="shared" si="385"/>
        <v>0</v>
      </c>
      <c r="R1873" s="47"/>
      <c r="S1873" s="47"/>
      <c r="T1873" s="47"/>
      <c r="U1873" s="47"/>
      <c r="V1873" s="47"/>
      <c r="W1873" s="47"/>
      <c r="X1873" s="47"/>
      <c r="Y1873" s="47"/>
      <c r="Z1873" s="47">
        <f t="shared" si="388"/>
        <v>4620</v>
      </c>
      <c r="AA1873" s="47"/>
      <c r="AB1873" s="47"/>
      <c r="AC1873" s="47"/>
      <c r="AD1873" s="47"/>
      <c r="AE1873" s="47"/>
      <c r="AF1873" s="47"/>
      <c r="AG1873" s="47"/>
      <c r="AH1873" s="47" t="str">
        <f>IFERROR(_xlfn.XLOOKUP(Table6[[#This Row],[Suburb]],Table5[Travel Surcharge],Table5[$$]),"")</f>
        <v/>
      </c>
      <c r="AI1873" s="47"/>
      <c r="AJ1873" s="47"/>
    </row>
    <row r="1874" spans="1:36">
      <c r="A1874" s="374" t="s">
        <v>3068</v>
      </c>
      <c r="B1874" s="374">
        <v>1</v>
      </c>
      <c r="C1874" s="374" t="s">
        <v>567</v>
      </c>
      <c r="D1874" s="375" t="str">
        <f t="shared" si="387"/>
        <v>Hamlet Estate1</v>
      </c>
      <c r="E1874" s="375" t="s">
        <v>3069</v>
      </c>
      <c r="F1874" s="375"/>
      <c r="G1874" s="375" t="s">
        <v>1675</v>
      </c>
      <c r="H1874" s="375" t="s">
        <v>1676</v>
      </c>
      <c r="I1874" s="63" t="s">
        <v>1677</v>
      </c>
      <c r="J1874" s="47">
        <f t="shared" si="384"/>
        <v>3740</v>
      </c>
      <c r="K1874" s="46" t="s">
        <v>10735</v>
      </c>
      <c r="L1874" s="47"/>
      <c r="M1874" s="47">
        <f>M$7</f>
        <v>1430.0000000000002</v>
      </c>
      <c r="N1874" s="47"/>
      <c r="O1874" s="47" t="s">
        <v>3070</v>
      </c>
      <c r="P1874" s="47" t="s">
        <v>3071</v>
      </c>
      <c r="Q1874" s="47"/>
      <c r="R1874" s="47"/>
      <c r="S1874" s="47"/>
      <c r="T1874" s="47" t="s">
        <v>3072</v>
      </c>
      <c r="U1874" s="47">
        <f>U$2</f>
        <v>430</v>
      </c>
      <c r="V1874" s="47"/>
      <c r="W1874" s="47"/>
      <c r="X1874" s="47"/>
      <c r="Y1874" s="47"/>
      <c r="Z1874" s="47">
        <f t="shared" si="388"/>
        <v>4620</v>
      </c>
      <c r="AA1874" s="47"/>
      <c r="AB1874" s="47"/>
      <c r="AC1874" s="47"/>
      <c r="AD1874" s="47"/>
      <c r="AE1874" s="47"/>
      <c r="AF1874" s="47">
        <f>AF$7</f>
        <v>1485</v>
      </c>
      <c r="AG1874" s="47"/>
      <c r="AH1874" s="47" t="str">
        <f>IFERROR(_xlfn.XLOOKUP(Table6[[#This Row],[Suburb]],Table5[Travel Surcharge],Table5[$$]),"")</f>
        <v/>
      </c>
      <c r="AI1874" s="47"/>
      <c r="AJ1874" s="47"/>
    </row>
    <row r="1875" spans="1:36">
      <c r="A1875" s="374" t="s">
        <v>3068</v>
      </c>
      <c r="B1875" s="374">
        <v>2</v>
      </c>
      <c r="C1875" s="374" t="s">
        <v>567</v>
      </c>
      <c r="D1875" s="375" t="str">
        <f t="shared" si="387"/>
        <v>Hamlet Estate2</v>
      </c>
      <c r="E1875" s="375" t="s">
        <v>3073</v>
      </c>
      <c r="F1875" s="375"/>
      <c r="G1875" s="375" t="s">
        <v>1675</v>
      </c>
      <c r="H1875" s="375" t="s">
        <v>1676</v>
      </c>
      <c r="I1875" s="63" t="s">
        <v>1677</v>
      </c>
      <c r="J1875" s="47">
        <f t="shared" si="384"/>
        <v>3740</v>
      </c>
      <c r="K1875" s="46" t="s">
        <v>10735</v>
      </c>
      <c r="L1875" s="47"/>
      <c r="M1875" s="47">
        <f>M$7</f>
        <v>1430.0000000000002</v>
      </c>
      <c r="N1875" s="47"/>
      <c r="O1875" s="47" t="s">
        <v>3070</v>
      </c>
      <c r="P1875" s="47" t="s">
        <v>3071</v>
      </c>
      <c r="Q1875" s="47"/>
      <c r="R1875" s="47"/>
      <c r="S1875" s="47"/>
      <c r="T1875" s="47" t="s">
        <v>3072</v>
      </c>
      <c r="U1875" s="47">
        <f>U$2</f>
        <v>430</v>
      </c>
      <c r="V1875" s="47"/>
      <c r="W1875" s="47"/>
      <c r="X1875" s="47"/>
      <c r="Y1875" s="47"/>
      <c r="Z1875" s="47">
        <f t="shared" si="388"/>
        <v>4620</v>
      </c>
      <c r="AA1875" s="47"/>
      <c r="AB1875" s="47"/>
      <c r="AC1875" s="47"/>
      <c r="AD1875" s="47"/>
      <c r="AE1875" s="47"/>
      <c r="AF1875" s="47">
        <f>AF$7</f>
        <v>1485</v>
      </c>
      <c r="AG1875" s="47"/>
      <c r="AH1875" s="47" t="str">
        <f>IFERROR(_xlfn.XLOOKUP(Table6[[#This Row],[Suburb]],Table5[Travel Surcharge],Table5[$$]),"")</f>
        <v/>
      </c>
      <c r="AI1875" s="47"/>
      <c r="AJ1875" s="47"/>
    </row>
    <row r="1876" spans="1:36">
      <c r="A1876" s="374" t="s">
        <v>3074</v>
      </c>
      <c r="B1876" s="374">
        <v>5</v>
      </c>
      <c r="C1876" s="374" t="s">
        <v>3075</v>
      </c>
      <c r="D1876" s="375" t="str">
        <f t="shared" si="387"/>
        <v>Harcrest Estate5</v>
      </c>
      <c r="E1876" s="375" t="s">
        <v>3076</v>
      </c>
      <c r="F1876" s="375" t="s">
        <v>3077</v>
      </c>
      <c r="G1876" s="375" t="s">
        <v>3078</v>
      </c>
      <c r="H1876" s="375" t="s">
        <v>3079</v>
      </c>
      <c r="I1876" s="63" t="s">
        <v>3080</v>
      </c>
      <c r="J1876" s="47">
        <f t="shared" si="384"/>
        <v>3740</v>
      </c>
      <c r="K1876" s="46" t="s">
        <v>10735</v>
      </c>
      <c r="L1876" s="47"/>
      <c r="M1876" s="47">
        <f>M$7</f>
        <v>1430.0000000000002</v>
      </c>
      <c r="N1876" s="47" t="s">
        <v>3081</v>
      </c>
      <c r="O1876" s="47"/>
      <c r="P1876" s="47"/>
      <c r="Q1876" s="47"/>
      <c r="R1876" s="47">
        <f>R$2</f>
        <v>540</v>
      </c>
      <c r="S1876" s="47"/>
      <c r="T1876" s="47"/>
      <c r="U1876" s="47"/>
      <c r="V1876" s="47"/>
      <c r="W1876" s="47"/>
      <c r="X1876" s="47">
        <f>X$7</f>
        <v>3000</v>
      </c>
      <c r="Y1876" s="47"/>
      <c r="Z1876" s="47">
        <f t="shared" si="388"/>
        <v>4620</v>
      </c>
      <c r="AA1876" s="47"/>
      <c r="AB1876" s="47"/>
      <c r="AC1876" s="47"/>
      <c r="AD1876" s="47"/>
      <c r="AE1876" s="47"/>
      <c r="AF1876" s="47"/>
      <c r="AG1876" s="47"/>
      <c r="AH1876" s="47" t="str">
        <f>IFERROR(_xlfn.XLOOKUP(Table6[[#This Row],[Suburb]],Table5[Travel Surcharge],Table5[$$]),"")</f>
        <v/>
      </c>
      <c r="AI1876" s="47"/>
      <c r="AJ1876" s="47"/>
    </row>
    <row r="1877" spans="1:36">
      <c r="A1877" s="374" t="s">
        <v>3074</v>
      </c>
      <c r="B1877" s="374">
        <v>6</v>
      </c>
      <c r="C1877" s="374" t="s">
        <v>3075</v>
      </c>
      <c r="D1877" s="375" t="str">
        <f t="shared" si="387"/>
        <v>Harcrest Estate6</v>
      </c>
      <c r="E1877" s="375" t="s">
        <v>3082</v>
      </c>
      <c r="F1877" s="375" t="s">
        <v>3077</v>
      </c>
      <c r="G1877" s="375" t="s">
        <v>3078</v>
      </c>
      <c r="H1877" s="375" t="s">
        <v>3079</v>
      </c>
      <c r="I1877" s="63" t="s">
        <v>3080</v>
      </c>
      <c r="J1877" s="47">
        <f t="shared" si="384"/>
        <v>3740</v>
      </c>
      <c r="K1877" s="46" t="s">
        <v>10735</v>
      </c>
      <c r="L1877" s="47"/>
      <c r="M1877" s="47">
        <f>M$7</f>
        <v>1430.0000000000002</v>
      </c>
      <c r="N1877" s="47" t="s">
        <v>3083</v>
      </c>
      <c r="O1877" s="47"/>
      <c r="P1877" s="47"/>
      <c r="Q1877" s="47"/>
      <c r="R1877" s="47">
        <f>R$2</f>
        <v>540</v>
      </c>
      <c r="S1877" s="47"/>
      <c r="T1877" s="47"/>
      <c r="U1877" s="47"/>
      <c r="V1877" s="47"/>
      <c r="W1877" s="47"/>
      <c r="X1877" s="47">
        <f>X$7</f>
        <v>3000</v>
      </c>
      <c r="Y1877" s="47"/>
      <c r="Z1877" s="47">
        <f t="shared" si="388"/>
        <v>4620</v>
      </c>
      <c r="AA1877" s="47"/>
      <c r="AB1877" s="47"/>
      <c r="AC1877" s="47"/>
      <c r="AD1877" s="47"/>
      <c r="AE1877" s="47"/>
      <c r="AF1877" s="47"/>
      <c r="AG1877" s="47"/>
      <c r="AH1877" s="47" t="str">
        <f>IFERROR(_xlfn.XLOOKUP(Table6[[#This Row],[Suburb]],Table5[Travel Surcharge],Table5[$$]),"")</f>
        <v/>
      </c>
      <c r="AI1877" s="47"/>
      <c r="AJ1877" s="47"/>
    </row>
    <row r="1878" spans="1:36">
      <c r="A1878" s="374" t="s">
        <v>3074</v>
      </c>
      <c r="B1878" s="374">
        <v>9</v>
      </c>
      <c r="C1878" s="374" t="s">
        <v>3075</v>
      </c>
      <c r="D1878" s="375" t="str">
        <f t="shared" si="387"/>
        <v>Harcrest Estate9</v>
      </c>
      <c r="E1878" s="375"/>
      <c r="F1878" s="375" t="s">
        <v>3077</v>
      </c>
      <c r="G1878" s="375" t="s">
        <v>3078</v>
      </c>
      <c r="H1878" s="375" t="s">
        <v>3079</v>
      </c>
      <c r="I1878" s="63" t="s">
        <v>3080</v>
      </c>
      <c r="J1878" s="47">
        <f t="shared" si="384"/>
        <v>3740</v>
      </c>
      <c r="K1878" s="46" t="s">
        <v>10735</v>
      </c>
      <c r="L1878" s="47"/>
      <c r="M1878" s="47">
        <f>M$7</f>
        <v>1430.0000000000002</v>
      </c>
      <c r="N1878" s="47" t="s">
        <v>3084</v>
      </c>
      <c r="O1878" s="47"/>
      <c r="P1878" s="47"/>
      <c r="Q1878" s="47"/>
      <c r="R1878" s="47">
        <f>R$2</f>
        <v>540</v>
      </c>
      <c r="S1878" s="47"/>
      <c r="T1878" s="47"/>
      <c r="U1878" s="47"/>
      <c r="V1878" s="47"/>
      <c r="W1878" s="47"/>
      <c r="X1878" s="47">
        <f>X$7</f>
        <v>3000</v>
      </c>
      <c r="Y1878" s="47"/>
      <c r="Z1878" s="47">
        <f t="shared" si="388"/>
        <v>4620</v>
      </c>
      <c r="AA1878" s="47"/>
      <c r="AB1878" s="47"/>
      <c r="AC1878" s="47"/>
      <c r="AD1878" s="47"/>
      <c r="AE1878" s="47"/>
      <c r="AF1878" s="47"/>
      <c r="AG1878" s="47"/>
      <c r="AH1878" s="47" t="str">
        <f>IFERROR(_xlfn.XLOOKUP(Table6[[#This Row],[Suburb]],Table5[Travel Surcharge],Table5[$$]),"")</f>
        <v/>
      </c>
      <c r="AI1878" s="47"/>
      <c r="AJ1878" s="47"/>
    </row>
    <row r="1879" spans="1:36">
      <c r="A1879" s="374" t="s">
        <v>9746</v>
      </c>
      <c r="B1879" s="374">
        <v>1</v>
      </c>
      <c r="C1879" s="374" t="s">
        <v>529</v>
      </c>
      <c r="D1879" s="375" t="str">
        <f t="shared" si="387"/>
        <v>Harli1</v>
      </c>
      <c r="E1879" s="375" t="s">
        <v>9747</v>
      </c>
      <c r="F1879" s="375"/>
      <c r="G1879" s="375"/>
      <c r="H1879" s="375"/>
      <c r="I1879" s="63"/>
      <c r="J1879" s="47">
        <f t="shared" si="384"/>
        <v>3740</v>
      </c>
      <c r="K1879" s="46" t="s">
        <v>10735</v>
      </c>
      <c r="L1879" s="47">
        <f>L$7</f>
        <v>1210</v>
      </c>
      <c r="M1879" s="47" t="s">
        <v>474</v>
      </c>
      <c r="N1879" s="47" t="s">
        <v>7920</v>
      </c>
      <c r="O1879" s="47" t="s">
        <v>7922</v>
      </c>
      <c r="P1879" s="47" t="s">
        <v>7921</v>
      </c>
      <c r="Q1879" s="47" t="s">
        <v>7923</v>
      </c>
      <c r="R1879" s="47" t="s">
        <v>9883</v>
      </c>
      <c r="S1879" s="47">
        <f>S$2</f>
        <v>590</v>
      </c>
      <c r="T1879" s="47" t="s">
        <v>10131</v>
      </c>
      <c r="U1879" s="47">
        <f t="shared" ref="U1879:U1885" si="389">U$2</f>
        <v>430</v>
      </c>
      <c r="V1879" s="47" t="s">
        <v>10156</v>
      </c>
      <c r="W1879" s="47"/>
      <c r="X1879" s="47">
        <v>3000</v>
      </c>
      <c r="Y1879" s="47" t="s">
        <v>9884</v>
      </c>
      <c r="Z1879" s="47">
        <f t="shared" si="388"/>
        <v>4620</v>
      </c>
      <c r="AA1879" s="47" t="s">
        <v>9885</v>
      </c>
      <c r="AB1879" s="47" t="s">
        <v>9886</v>
      </c>
      <c r="AC1879" s="47">
        <f>AC$7</f>
        <v>5200</v>
      </c>
      <c r="AD1879" s="47" t="s">
        <v>1</v>
      </c>
      <c r="AE1879" s="47" t="s">
        <v>9887</v>
      </c>
      <c r="AF1879" s="47">
        <f t="shared" ref="AF1879:AF1891" si="390">AF$7</f>
        <v>1485</v>
      </c>
      <c r="AG1879" s="47" t="s">
        <v>9888</v>
      </c>
      <c r="AH1879" s="47" t="str">
        <f>IFERROR(_xlfn.XLOOKUP(Table6[[#This Row],[Suburb]],Table5[Travel Surcharge],Table5[$$]),"")</f>
        <v/>
      </c>
      <c r="AI1879" s="47" t="s">
        <v>9889</v>
      </c>
      <c r="AJ1879" s="47"/>
    </row>
    <row r="1880" spans="1:36">
      <c r="A1880" s="374" t="s">
        <v>9746</v>
      </c>
      <c r="B1880" s="374">
        <v>3</v>
      </c>
      <c r="C1880" s="374" t="s">
        <v>529</v>
      </c>
      <c r="D1880" s="375" t="str">
        <f t="shared" ref="D1880:D1881" si="391">CONCATENATE(A1880,B1880)</f>
        <v>Harli3</v>
      </c>
      <c r="E1880" s="375" t="s">
        <v>9890</v>
      </c>
      <c r="F1880" s="375"/>
      <c r="G1880" s="375"/>
      <c r="H1880" s="375"/>
      <c r="I1880" s="63"/>
      <c r="J1880" s="47">
        <f t="shared" si="384"/>
        <v>3740</v>
      </c>
      <c r="K1880" s="46" t="s">
        <v>10735</v>
      </c>
      <c r="L1880" s="47">
        <f>L$7</f>
        <v>1210</v>
      </c>
      <c r="M1880" s="47" t="s">
        <v>474</v>
      </c>
      <c r="N1880" s="47" t="s">
        <v>7920</v>
      </c>
      <c r="O1880" s="47" t="s">
        <v>7922</v>
      </c>
      <c r="P1880" s="47" t="s">
        <v>7921</v>
      </c>
      <c r="Q1880" s="47" t="s">
        <v>7923</v>
      </c>
      <c r="R1880" s="47" t="s">
        <v>9883</v>
      </c>
      <c r="S1880" s="47">
        <f>S$2</f>
        <v>590</v>
      </c>
      <c r="T1880" s="47" t="s">
        <v>10131</v>
      </c>
      <c r="U1880" s="47">
        <f t="shared" si="389"/>
        <v>430</v>
      </c>
      <c r="V1880" s="47" t="s">
        <v>10156</v>
      </c>
      <c r="W1880" s="47"/>
      <c r="X1880" s="47">
        <v>3000</v>
      </c>
      <c r="Y1880" s="47" t="s">
        <v>9884</v>
      </c>
      <c r="Z1880" s="47">
        <f t="shared" si="388"/>
        <v>4620</v>
      </c>
      <c r="AA1880" s="47" t="s">
        <v>9885</v>
      </c>
      <c r="AB1880" s="47" t="s">
        <v>9886</v>
      </c>
      <c r="AC1880" s="47">
        <f>AC$7</f>
        <v>5200</v>
      </c>
      <c r="AD1880" s="47" t="s">
        <v>1</v>
      </c>
      <c r="AE1880" s="47" t="s">
        <v>9887</v>
      </c>
      <c r="AF1880" s="47">
        <f t="shared" si="390"/>
        <v>1485</v>
      </c>
      <c r="AG1880" s="47" t="s">
        <v>9888</v>
      </c>
      <c r="AH1880" s="47" t="str">
        <f>IFERROR(_xlfn.XLOOKUP(Table6[[#This Row],[Suburb]],Table5[Travel Surcharge],Table5[$$]),"")</f>
        <v/>
      </c>
      <c r="AI1880" s="47" t="s">
        <v>9889</v>
      </c>
      <c r="AJ1880" s="47"/>
    </row>
    <row r="1881" spans="1:36">
      <c r="A1881" s="374" t="s">
        <v>9746</v>
      </c>
      <c r="B1881" s="374">
        <v>4</v>
      </c>
      <c r="C1881" s="374" t="s">
        <v>529</v>
      </c>
      <c r="D1881" s="375" t="str">
        <f t="shared" si="391"/>
        <v>Harli4</v>
      </c>
      <c r="E1881" s="375" t="s">
        <v>10282</v>
      </c>
      <c r="F1881" s="375"/>
      <c r="G1881" s="375"/>
      <c r="H1881" s="375"/>
      <c r="I1881" s="63"/>
      <c r="J1881" s="47">
        <v>3740</v>
      </c>
      <c r="K1881" s="46" t="s">
        <v>10735</v>
      </c>
      <c r="L1881" s="47">
        <v>1210</v>
      </c>
      <c r="M1881" s="47" t="s">
        <v>474</v>
      </c>
      <c r="N1881" s="47" t="s">
        <v>7920</v>
      </c>
      <c r="O1881" s="47" t="s">
        <v>7922</v>
      </c>
      <c r="P1881" s="47" t="s">
        <v>7921</v>
      </c>
      <c r="Q1881" s="47" t="s">
        <v>7923</v>
      </c>
      <c r="R1881" s="47" t="s">
        <v>9883</v>
      </c>
      <c r="S1881" s="47">
        <v>590</v>
      </c>
      <c r="T1881" s="47" t="s">
        <v>10131</v>
      </c>
      <c r="U1881" s="47">
        <v>540</v>
      </c>
      <c r="V1881" s="47" t="s">
        <v>10156</v>
      </c>
      <c r="W1881" s="47"/>
      <c r="X1881" s="47">
        <v>3000</v>
      </c>
      <c r="Y1881" s="47" t="s">
        <v>9884</v>
      </c>
      <c r="Z1881" s="47">
        <v>4620</v>
      </c>
      <c r="AA1881" s="47" t="s">
        <v>9885</v>
      </c>
      <c r="AB1881" s="47" t="s">
        <v>9886</v>
      </c>
      <c r="AC1881" s="47">
        <v>5200</v>
      </c>
      <c r="AD1881" s="47" t="s">
        <v>1</v>
      </c>
      <c r="AE1881" s="47" t="s">
        <v>9887</v>
      </c>
      <c r="AF1881" s="47">
        <v>1485</v>
      </c>
      <c r="AG1881" s="47" t="s">
        <v>9888</v>
      </c>
      <c r="AH1881" s="47" t="s">
        <v>9976</v>
      </c>
      <c r="AI1881" s="47" t="s">
        <v>9889</v>
      </c>
      <c r="AJ1881" s="47"/>
    </row>
    <row r="1882" spans="1:36">
      <c r="A1882" s="374" t="s">
        <v>3085</v>
      </c>
      <c r="B1882" s="374">
        <v>1</v>
      </c>
      <c r="C1882" s="374" t="s">
        <v>502</v>
      </c>
      <c r="D1882" s="375" t="str">
        <f t="shared" si="387"/>
        <v>Harlow1</v>
      </c>
      <c r="E1882" s="375" t="s">
        <v>3086</v>
      </c>
      <c r="F1882" s="375" t="s">
        <v>3087</v>
      </c>
      <c r="G1882" s="375"/>
      <c r="H1882" s="375"/>
      <c r="I1882" s="63"/>
      <c r="J1882" s="47">
        <f t="shared" si="384"/>
        <v>3740</v>
      </c>
      <c r="K1882" s="46" t="s">
        <v>10735</v>
      </c>
      <c r="L1882" s="47"/>
      <c r="M1882" s="47" t="s">
        <v>3088</v>
      </c>
      <c r="N1882" s="47" t="s">
        <v>3089</v>
      </c>
      <c r="O1882" s="47" t="s">
        <v>3090</v>
      </c>
      <c r="P1882" s="47"/>
      <c r="Q1882" s="47"/>
      <c r="R1882" s="47"/>
      <c r="S1882" s="47"/>
      <c r="T1882" s="47"/>
      <c r="U1882" s="47">
        <f t="shared" si="389"/>
        <v>430</v>
      </c>
      <c r="V1882" s="47"/>
      <c r="W1882" s="47"/>
      <c r="X1882" s="47"/>
      <c r="Y1882" s="47"/>
      <c r="Z1882" s="47">
        <f t="shared" si="388"/>
        <v>4620</v>
      </c>
      <c r="AA1882" s="47" t="s">
        <v>3091</v>
      </c>
      <c r="AB1882" s="47"/>
      <c r="AC1882" s="47"/>
      <c r="AD1882" s="47"/>
      <c r="AE1882" s="47"/>
      <c r="AF1882" s="47">
        <f t="shared" si="390"/>
        <v>1485</v>
      </c>
      <c r="AG1882" s="47"/>
      <c r="AH1882" s="47" t="str">
        <f>IFERROR(_xlfn.XLOOKUP(Table6[[#This Row],[Suburb]],Table5[Travel Surcharge],Table5[$$]),"")</f>
        <v/>
      </c>
      <c r="AI1882" s="47"/>
      <c r="AJ1882" s="47"/>
    </row>
    <row r="1883" spans="1:36">
      <c r="A1883" s="374" t="s">
        <v>3085</v>
      </c>
      <c r="B1883" s="374">
        <v>2</v>
      </c>
      <c r="C1883" s="374" t="s">
        <v>502</v>
      </c>
      <c r="D1883" s="375" t="str">
        <f t="shared" si="387"/>
        <v>Harlow2</v>
      </c>
      <c r="E1883" s="375" t="s">
        <v>3092</v>
      </c>
      <c r="F1883" s="375" t="s">
        <v>3087</v>
      </c>
      <c r="G1883" s="375"/>
      <c r="H1883" s="375"/>
      <c r="I1883" s="63"/>
      <c r="J1883" s="47">
        <f t="shared" si="384"/>
        <v>3740</v>
      </c>
      <c r="K1883" s="46" t="s">
        <v>10735</v>
      </c>
      <c r="L1883" s="47"/>
      <c r="M1883" s="47" t="s">
        <v>3088</v>
      </c>
      <c r="N1883" s="47" t="s">
        <v>3089</v>
      </c>
      <c r="O1883" s="47" t="s">
        <v>3090</v>
      </c>
      <c r="P1883" s="47"/>
      <c r="Q1883" s="47"/>
      <c r="R1883" s="47"/>
      <c r="S1883" s="47"/>
      <c r="T1883" s="47"/>
      <c r="U1883" s="47">
        <f t="shared" si="389"/>
        <v>430</v>
      </c>
      <c r="V1883" s="47"/>
      <c r="W1883" s="47"/>
      <c r="X1883" s="47"/>
      <c r="Y1883" s="47"/>
      <c r="Z1883" s="47">
        <f t="shared" si="388"/>
        <v>4620</v>
      </c>
      <c r="AA1883" s="47" t="s">
        <v>3091</v>
      </c>
      <c r="AB1883" s="47"/>
      <c r="AC1883" s="47"/>
      <c r="AD1883" s="47"/>
      <c r="AE1883" s="47"/>
      <c r="AF1883" s="47">
        <f t="shared" si="390"/>
        <v>1485</v>
      </c>
      <c r="AG1883" s="47"/>
      <c r="AH1883" s="47" t="str">
        <f>IFERROR(_xlfn.XLOOKUP(Table6[[#This Row],[Suburb]],Table5[Travel Surcharge],Table5[$$]),"")</f>
        <v/>
      </c>
      <c r="AI1883" s="47"/>
      <c r="AJ1883" s="47"/>
    </row>
    <row r="1884" spans="1:36">
      <c r="A1884" s="374" t="s">
        <v>3085</v>
      </c>
      <c r="B1884" s="374">
        <v>3</v>
      </c>
      <c r="C1884" s="374" t="s">
        <v>502</v>
      </c>
      <c r="D1884" s="375" t="str">
        <f t="shared" si="387"/>
        <v>Harlow3</v>
      </c>
      <c r="E1884" s="375" t="s">
        <v>3093</v>
      </c>
      <c r="F1884" s="375" t="s">
        <v>3087</v>
      </c>
      <c r="G1884" s="375"/>
      <c r="H1884" s="375"/>
      <c r="I1884" s="63"/>
      <c r="J1884" s="47">
        <f t="shared" si="384"/>
        <v>3740</v>
      </c>
      <c r="K1884" s="46" t="s">
        <v>10735</v>
      </c>
      <c r="L1884" s="47"/>
      <c r="M1884" s="47" t="s">
        <v>3088</v>
      </c>
      <c r="N1884" s="47" t="s">
        <v>3089</v>
      </c>
      <c r="O1884" s="47" t="s">
        <v>3090</v>
      </c>
      <c r="P1884" s="47"/>
      <c r="Q1884" s="47"/>
      <c r="R1884" s="47"/>
      <c r="S1884" s="47"/>
      <c r="T1884" s="47"/>
      <c r="U1884" s="47">
        <f t="shared" si="389"/>
        <v>430</v>
      </c>
      <c r="V1884" s="47"/>
      <c r="W1884" s="47"/>
      <c r="X1884" s="47"/>
      <c r="Y1884" s="47"/>
      <c r="Z1884" s="47">
        <f t="shared" si="388"/>
        <v>4620</v>
      </c>
      <c r="AA1884" s="47" t="s">
        <v>3091</v>
      </c>
      <c r="AB1884" s="47"/>
      <c r="AC1884" s="47"/>
      <c r="AD1884" s="47"/>
      <c r="AE1884" s="47"/>
      <c r="AF1884" s="47">
        <f t="shared" si="390"/>
        <v>1485</v>
      </c>
      <c r="AG1884" s="47"/>
      <c r="AH1884" s="47" t="str">
        <f>IFERROR(_xlfn.XLOOKUP(Table6[[#This Row],[Suburb]],Table5[Travel Surcharge],Table5[$$]),"")</f>
        <v/>
      </c>
      <c r="AI1884" s="47"/>
      <c r="AJ1884" s="47"/>
    </row>
    <row r="1885" spans="1:36">
      <c r="A1885" s="374" t="s">
        <v>3085</v>
      </c>
      <c r="B1885" s="374">
        <v>4</v>
      </c>
      <c r="C1885" s="374" t="s">
        <v>502</v>
      </c>
      <c r="D1885" s="375" t="str">
        <f t="shared" si="387"/>
        <v>Harlow4</v>
      </c>
      <c r="E1885" s="375" t="s">
        <v>7378</v>
      </c>
      <c r="F1885" s="375" t="s">
        <v>3087</v>
      </c>
      <c r="G1885" s="375"/>
      <c r="H1885" s="375"/>
      <c r="I1885" s="63"/>
      <c r="J1885" s="47">
        <f t="shared" si="384"/>
        <v>3740</v>
      </c>
      <c r="K1885" s="46" t="s">
        <v>10735</v>
      </c>
      <c r="L1885" s="47">
        <f>L$7</f>
        <v>1210</v>
      </c>
      <c r="M1885" s="47" t="s">
        <v>3088</v>
      </c>
      <c r="N1885" s="47" t="s">
        <v>3089</v>
      </c>
      <c r="O1885" s="47" t="s">
        <v>3090</v>
      </c>
      <c r="P1885" s="47"/>
      <c r="Q1885" s="47"/>
      <c r="R1885" s="47"/>
      <c r="S1885" s="47"/>
      <c r="T1885" s="47"/>
      <c r="U1885" s="47">
        <f t="shared" si="389"/>
        <v>430</v>
      </c>
      <c r="V1885" s="47"/>
      <c r="W1885" s="47"/>
      <c r="X1885" s="47"/>
      <c r="Y1885" s="47"/>
      <c r="Z1885" s="47">
        <f t="shared" si="388"/>
        <v>4620</v>
      </c>
      <c r="AA1885" s="47" t="s">
        <v>3091</v>
      </c>
      <c r="AB1885" s="47"/>
      <c r="AC1885" s="47"/>
      <c r="AD1885" s="47"/>
      <c r="AE1885" s="47"/>
      <c r="AF1885" s="47">
        <f t="shared" si="390"/>
        <v>1485</v>
      </c>
      <c r="AG1885" s="47"/>
      <c r="AH1885" s="47" t="str">
        <f>IFERROR(_xlfn.XLOOKUP(Table6[[#This Row],[Suburb]],Table5[Travel Surcharge],Table5[$$]),"")</f>
        <v/>
      </c>
      <c r="AI1885" s="47"/>
      <c r="AJ1885" s="47"/>
    </row>
    <row r="1886" spans="1:36">
      <c r="A1886" s="374" t="s">
        <v>3085</v>
      </c>
      <c r="B1886" s="374">
        <v>6</v>
      </c>
      <c r="C1886" s="374" t="s">
        <v>502</v>
      </c>
      <c r="D1886" s="375" t="str">
        <f t="shared" si="387"/>
        <v>Harlow6</v>
      </c>
      <c r="E1886" s="375" t="s">
        <v>9948</v>
      </c>
      <c r="F1886" s="375" t="s">
        <v>3087</v>
      </c>
      <c r="G1886" s="375"/>
      <c r="H1886" s="375"/>
      <c r="I1886" s="63"/>
      <c r="J1886" s="47">
        <v>3740</v>
      </c>
      <c r="K1886" s="46" t="s">
        <v>10735</v>
      </c>
      <c r="L1886" s="47">
        <v>1210</v>
      </c>
      <c r="M1886" s="47" t="s">
        <v>3088</v>
      </c>
      <c r="N1886" s="47" t="s">
        <v>3089</v>
      </c>
      <c r="O1886" s="47" t="s">
        <v>3090</v>
      </c>
      <c r="P1886" s="47"/>
      <c r="Q1886" s="47"/>
      <c r="R1886" s="47"/>
      <c r="S1886" s="47"/>
      <c r="T1886" s="47"/>
      <c r="U1886" s="47">
        <v>540</v>
      </c>
      <c r="V1886" s="47"/>
      <c r="W1886" s="47"/>
      <c r="X1886" s="47"/>
      <c r="Y1886" s="47"/>
      <c r="Z1886" s="47">
        <v>4620</v>
      </c>
      <c r="AA1886" s="47" t="s">
        <v>3091</v>
      </c>
      <c r="AB1886" s="47"/>
      <c r="AC1886" s="47"/>
      <c r="AD1886" s="47"/>
      <c r="AE1886" s="47"/>
      <c r="AF1886" s="47">
        <v>1485</v>
      </c>
      <c r="AG1886" s="47"/>
      <c r="AH1886" s="47" t="str">
        <f>IFERROR(_xlfn.XLOOKUP(Table6[[#This Row],[Suburb]],Table5[Travel Surcharge],Table5[$$]),"")</f>
        <v/>
      </c>
      <c r="AI1886" s="47"/>
      <c r="AJ1886" s="47"/>
    </row>
    <row r="1887" spans="1:36">
      <c r="A1887" s="374" t="s">
        <v>3094</v>
      </c>
      <c r="B1887" s="374">
        <v>1</v>
      </c>
      <c r="C1887" s="374" t="s">
        <v>404</v>
      </c>
      <c r="D1887" s="375" t="str">
        <f t="shared" si="387"/>
        <v>Harmony1</v>
      </c>
      <c r="E1887" s="375" t="s">
        <v>3095</v>
      </c>
      <c r="F1887" s="375"/>
      <c r="G1887" s="375" t="s">
        <v>423</v>
      </c>
      <c r="H1887" s="375" t="s">
        <v>2350</v>
      </c>
      <c r="I1887" s="63" t="s">
        <v>424</v>
      </c>
      <c r="J1887" s="47"/>
      <c r="K1887" s="46" t="s">
        <v>10735</v>
      </c>
      <c r="L1887" s="47"/>
      <c r="M1887" s="47">
        <f>M$7</f>
        <v>1430.0000000000002</v>
      </c>
      <c r="N1887" s="47" t="s">
        <v>3096</v>
      </c>
      <c r="O1887" s="47">
        <f>O$7</f>
        <v>4950</v>
      </c>
      <c r="P1887" s="47"/>
      <c r="Q1887" s="47"/>
      <c r="R1887" s="47"/>
      <c r="S1887" s="47" t="s">
        <v>3097</v>
      </c>
      <c r="T1887" s="47"/>
      <c r="U1887" s="47"/>
      <c r="V1887" s="47"/>
      <c r="W1887" s="47"/>
      <c r="X1887" s="47"/>
      <c r="Y1887" s="47"/>
      <c r="Z1887" s="47">
        <f t="shared" si="388"/>
        <v>4620</v>
      </c>
      <c r="AA1887" s="47"/>
      <c r="AB1887" s="47"/>
      <c r="AC1887" s="47"/>
      <c r="AD1887" s="47"/>
      <c r="AE1887" s="47"/>
      <c r="AF1887" s="47">
        <f t="shared" si="390"/>
        <v>1485</v>
      </c>
      <c r="AG1887" s="47"/>
      <c r="AH1887" s="47" t="str">
        <f>IFERROR(_xlfn.XLOOKUP(Table6[[#This Row],[Suburb]],Table5[Travel Surcharge],Table5[$$]),"")</f>
        <v/>
      </c>
      <c r="AI1887" s="47"/>
      <c r="AJ1887" s="47"/>
    </row>
    <row r="1888" spans="1:36">
      <c r="A1888" s="374" t="s">
        <v>3094</v>
      </c>
      <c r="B1888" s="374">
        <v>2</v>
      </c>
      <c r="C1888" s="374" t="s">
        <v>404</v>
      </c>
      <c r="D1888" s="375" t="str">
        <f t="shared" si="387"/>
        <v>Harmony2</v>
      </c>
      <c r="E1888" s="375" t="s">
        <v>3098</v>
      </c>
      <c r="F1888" s="375"/>
      <c r="G1888" s="375" t="s">
        <v>423</v>
      </c>
      <c r="H1888" s="375" t="s">
        <v>2350</v>
      </c>
      <c r="I1888" s="63" t="s">
        <v>424</v>
      </c>
      <c r="J1888" s="47"/>
      <c r="K1888" s="46" t="s">
        <v>10735</v>
      </c>
      <c r="L1888" s="47"/>
      <c r="M1888" s="47">
        <f>M$7</f>
        <v>1430.0000000000002</v>
      </c>
      <c r="N1888" s="47" t="s">
        <v>3096</v>
      </c>
      <c r="O1888" s="47">
        <f>O$7</f>
        <v>4950</v>
      </c>
      <c r="P1888" s="47"/>
      <c r="Q1888" s="47"/>
      <c r="R1888" s="47"/>
      <c r="S1888" s="47" t="s">
        <v>3097</v>
      </c>
      <c r="T1888" s="47"/>
      <c r="U1888" s="47"/>
      <c r="V1888" s="47"/>
      <c r="W1888" s="47"/>
      <c r="X1888" s="47"/>
      <c r="Y1888" s="47"/>
      <c r="Z1888" s="47">
        <f t="shared" si="388"/>
        <v>4620</v>
      </c>
      <c r="AA1888" s="47"/>
      <c r="AB1888" s="47"/>
      <c r="AC1888" s="47"/>
      <c r="AD1888" s="47"/>
      <c r="AE1888" s="47"/>
      <c r="AF1888" s="47">
        <f t="shared" si="390"/>
        <v>1485</v>
      </c>
      <c r="AG1888" s="47"/>
      <c r="AH1888" s="47" t="str">
        <f>IFERROR(_xlfn.XLOOKUP(Table6[[#This Row],[Suburb]],Table5[Travel Surcharge],Table5[$$]),"")</f>
        <v/>
      </c>
      <c r="AI1888" s="47"/>
      <c r="AJ1888" s="47"/>
    </row>
    <row r="1889" spans="1:36">
      <c r="A1889" s="374" t="s">
        <v>3094</v>
      </c>
      <c r="B1889" s="374">
        <v>3</v>
      </c>
      <c r="C1889" s="374" t="s">
        <v>404</v>
      </c>
      <c r="D1889" s="375" t="str">
        <f t="shared" si="387"/>
        <v>Harmony3</v>
      </c>
      <c r="E1889" s="375" t="s">
        <v>8298</v>
      </c>
      <c r="F1889" s="375"/>
      <c r="G1889" s="375" t="s">
        <v>423</v>
      </c>
      <c r="H1889" s="375" t="s">
        <v>2350</v>
      </c>
      <c r="I1889" s="63" t="s">
        <v>424</v>
      </c>
      <c r="J1889" s="47"/>
      <c r="K1889" s="46" t="s">
        <v>10735</v>
      </c>
      <c r="L1889" s="47"/>
      <c r="M1889" s="47">
        <f>M$7</f>
        <v>1430.0000000000002</v>
      </c>
      <c r="N1889" s="47" t="s">
        <v>3096</v>
      </c>
      <c r="O1889" s="47">
        <f>O$7</f>
        <v>4950</v>
      </c>
      <c r="P1889" s="47"/>
      <c r="Q1889" s="47"/>
      <c r="R1889" s="47"/>
      <c r="S1889" s="47" t="s">
        <v>3097</v>
      </c>
      <c r="T1889" s="47"/>
      <c r="U1889" s="47"/>
      <c r="V1889" s="47"/>
      <c r="W1889" s="47"/>
      <c r="X1889" s="47"/>
      <c r="Y1889" s="47"/>
      <c r="Z1889" s="47">
        <f t="shared" si="388"/>
        <v>4620</v>
      </c>
      <c r="AA1889" s="47"/>
      <c r="AB1889" s="47"/>
      <c r="AC1889" s="47"/>
      <c r="AD1889" s="47"/>
      <c r="AE1889" s="47"/>
      <c r="AF1889" s="47">
        <f t="shared" si="390"/>
        <v>1485</v>
      </c>
      <c r="AG1889" s="47"/>
      <c r="AH1889" s="47" t="str">
        <f>IFERROR(_xlfn.XLOOKUP(Table6[[#This Row],[Suburb]],Table5[Travel Surcharge],Table5[$$]),"")</f>
        <v/>
      </c>
      <c r="AI1889" s="47"/>
      <c r="AJ1889" s="47"/>
    </row>
    <row r="1890" spans="1:36">
      <c r="A1890" s="374" t="s">
        <v>3094</v>
      </c>
      <c r="B1890" s="374">
        <v>4</v>
      </c>
      <c r="C1890" s="374" t="s">
        <v>404</v>
      </c>
      <c r="D1890" s="375" t="str">
        <f t="shared" si="387"/>
        <v>Harmony4</v>
      </c>
      <c r="E1890" s="375" t="s">
        <v>8156</v>
      </c>
      <c r="F1890" s="375"/>
      <c r="G1890" s="375" t="s">
        <v>423</v>
      </c>
      <c r="H1890" s="375" t="s">
        <v>2350</v>
      </c>
      <c r="I1890" s="63" t="s">
        <v>424</v>
      </c>
      <c r="J1890" s="47"/>
      <c r="K1890" s="46" t="s">
        <v>10735</v>
      </c>
      <c r="L1890" s="47"/>
      <c r="M1890" s="47">
        <f>M$7</f>
        <v>1430.0000000000002</v>
      </c>
      <c r="N1890" s="47" t="s">
        <v>3096</v>
      </c>
      <c r="O1890" s="47">
        <f>O$7</f>
        <v>4950</v>
      </c>
      <c r="P1890" s="47"/>
      <c r="Q1890" s="47"/>
      <c r="R1890" s="47"/>
      <c r="S1890" s="47" t="s">
        <v>3097</v>
      </c>
      <c r="T1890" s="47"/>
      <c r="U1890" s="47"/>
      <c r="V1890" s="47"/>
      <c r="W1890" s="47"/>
      <c r="X1890" s="47"/>
      <c r="Y1890" s="47"/>
      <c r="Z1890" s="47">
        <f t="shared" si="388"/>
        <v>4620</v>
      </c>
      <c r="AA1890" s="47"/>
      <c r="AB1890" s="47"/>
      <c r="AC1890" s="47"/>
      <c r="AD1890" s="47"/>
      <c r="AE1890" s="47"/>
      <c r="AF1890" s="47">
        <f t="shared" si="390"/>
        <v>1485</v>
      </c>
      <c r="AG1890" s="47"/>
      <c r="AH1890" s="47" t="str">
        <f>IFERROR(_xlfn.XLOOKUP(Table6[[#This Row],[Suburb]],Table5[Travel Surcharge],Table5[$$]),"")</f>
        <v/>
      </c>
      <c r="AI1890" s="47"/>
      <c r="AJ1890" s="47"/>
    </row>
    <row r="1891" spans="1:36">
      <c r="A1891" s="157" t="s">
        <v>3094</v>
      </c>
      <c r="B1891" s="157">
        <v>6</v>
      </c>
      <c r="C1891" s="157" t="s">
        <v>404</v>
      </c>
      <c r="D1891" s="157" t="str">
        <f t="shared" si="387"/>
        <v>Harmony6</v>
      </c>
      <c r="E1891" s="157" t="s">
        <v>8046</v>
      </c>
      <c r="F1891" s="157"/>
      <c r="G1891" s="157" t="s">
        <v>423</v>
      </c>
      <c r="H1891" s="157" t="s">
        <v>2350</v>
      </c>
      <c r="I1891" s="158" t="s">
        <v>424</v>
      </c>
      <c r="J1891" s="47"/>
      <c r="K1891" s="46" t="s">
        <v>10735</v>
      </c>
      <c r="L1891" s="47"/>
      <c r="M1891" s="47">
        <f>M$7</f>
        <v>1430.0000000000002</v>
      </c>
      <c r="N1891" s="47" t="s">
        <v>3096</v>
      </c>
      <c r="O1891" s="47">
        <f>O$7</f>
        <v>4950</v>
      </c>
      <c r="P1891" s="47"/>
      <c r="Q1891" s="47"/>
      <c r="R1891" s="47"/>
      <c r="S1891" s="47" t="s">
        <v>3097</v>
      </c>
      <c r="T1891" s="47"/>
      <c r="U1891" s="47"/>
      <c r="V1891" s="47"/>
      <c r="W1891" s="47"/>
      <c r="X1891" s="47"/>
      <c r="Y1891" s="47"/>
      <c r="Z1891" s="47">
        <f t="shared" si="388"/>
        <v>4620</v>
      </c>
      <c r="AA1891" s="47"/>
      <c r="AB1891" s="47"/>
      <c r="AC1891" s="47"/>
      <c r="AD1891" s="47"/>
      <c r="AE1891" s="47"/>
      <c r="AF1891" s="47">
        <f t="shared" si="390"/>
        <v>1485</v>
      </c>
      <c r="AG1891" s="47"/>
      <c r="AH1891" s="47" t="str">
        <f>IFERROR(_xlfn.XLOOKUP(Table6[[#This Row],[Suburb]],Table5[Travel Surcharge],Table5[$$]),"")</f>
        <v/>
      </c>
      <c r="AI1891" s="47"/>
      <c r="AJ1891" s="47"/>
    </row>
    <row r="1892" spans="1:36">
      <c r="A1892" s="374" t="s">
        <v>3099</v>
      </c>
      <c r="B1892" s="374">
        <v>1</v>
      </c>
      <c r="C1892" s="374" t="s">
        <v>688</v>
      </c>
      <c r="D1892" s="375" t="str">
        <f t="shared" si="387"/>
        <v>Harpley Estate1</v>
      </c>
      <c r="E1892" s="375" t="s">
        <v>3100</v>
      </c>
      <c r="F1892" s="375" t="s">
        <v>1095</v>
      </c>
      <c r="G1892" s="375" t="s">
        <v>3101</v>
      </c>
      <c r="H1892" s="375" t="s">
        <v>3102</v>
      </c>
      <c r="I1892" s="63" t="s">
        <v>3103</v>
      </c>
      <c r="J1892" s="47">
        <f t="shared" ref="J1892:J1932" si="392">J$7</f>
        <v>3740</v>
      </c>
      <c r="K1892" s="46" t="s">
        <v>7938</v>
      </c>
      <c r="L1892" s="47">
        <f t="shared" ref="L1892:L1924" si="393">L$7</f>
        <v>1210</v>
      </c>
      <c r="M1892" s="47" t="s">
        <v>10867</v>
      </c>
      <c r="N1892" s="47" t="s">
        <v>3104</v>
      </c>
      <c r="O1892" s="47"/>
      <c r="P1892" s="47"/>
      <c r="Q1892" s="47"/>
      <c r="R1892" s="47"/>
      <c r="S1892" s="47"/>
      <c r="T1892" s="47"/>
      <c r="U1892" s="47">
        <f t="shared" ref="U1892:U1932" si="394">U$2</f>
        <v>430</v>
      </c>
      <c r="V1892" s="47"/>
      <c r="W1892" s="47"/>
      <c r="X1892" s="47"/>
      <c r="Y1892" s="47"/>
      <c r="Z1892" s="47">
        <f t="shared" si="388"/>
        <v>4620</v>
      </c>
      <c r="AA1892" s="47"/>
      <c r="AB1892" s="47"/>
      <c r="AC1892" s="47"/>
      <c r="AD1892" s="47"/>
      <c r="AE1892" s="47"/>
      <c r="AF1892" s="47"/>
      <c r="AG1892" s="47"/>
      <c r="AH1892" s="47" t="str">
        <f>IFERROR(_xlfn.XLOOKUP(Table6[[#This Row],[Suburb]],Table5[Travel Surcharge],Table5[$$]),"")</f>
        <v/>
      </c>
      <c r="AI1892" s="47"/>
      <c r="AJ1892" s="47"/>
    </row>
    <row r="1893" spans="1:36">
      <c r="A1893" s="374" t="s">
        <v>3099</v>
      </c>
      <c r="B1893" s="374">
        <v>7</v>
      </c>
      <c r="C1893" s="374" t="s">
        <v>688</v>
      </c>
      <c r="D1893" s="375" t="str">
        <f t="shared" si="387"/>
        <v>Harpley Estate7</v>
      </c>
      <c r="E1893" s="375" t="s">
        <v>3105</v>
      </c>
      <c r="F1893" s="375" t="s">
        <v>1095</v>
      </c>
      <c r="G1893" s="375" t="s">
        <v>3101</v>
      </c>
      <c r="H1893" s="375" t="s">
        <v>3102</v>
      </c>
      <c r="I1893" s="63" t="s">
        <v>3103</v>
      </c>
      <c r="J1893" s="47">
        <f t="shared" si="392"/>
        <v>3740</v>
      </c>
      <c r="K1893" s="46" t="s">
        <v>7938</v>
      </c>
      <c r="L1893" s="47">
        <f t="shared" si="393"/>
        <v>1210</v>
      </c>
      <c r="M1893" s="47" t="s">
        <v>10867</v>
      </c>
      <c r="N1893" s="47" t="s">
        <v>3104</v>
      </c>
      <c r="O1893" s="47"/>
      <c r="P1893" s="47"/>
      <c r="Q1893" s="47"/>
      <c r="R1893" s="47"/>
      <c r="S1893" s="47"/>
      <c r="T1893" s="47"/>
      <c r="U1893" s="47">
        <f t="shared" si="394"/>
        <v>430</v>
      </c>
      <c r="V1893" s="47"/>
      <c r="W1893" s="47"/>
      <c r="X1893" s="47"/>
      <c r="Y1893" s="47"/>
      <c r="Z1893" s="47">
        <f t="shared" si="388"/>
        <v>4620</v>
      </c>
      <c r="AA1893" s="47"/>
      <c r="AB1893" s="47"/>
      <c r="AC1893" s="47"/>
      <c r="AD1893" s="47"/>
      <c r="AE1893" s="47"/>
      <c r="AF1893" s="47"/>
      <c r="AG1893" s="47"/>
      <c r="AH1893" s="47" t="str">
        <f>IFERROR(_xlfn.XLOOKUP(Table6[[#This Row],[Suburb]],Table5[Travel Surcharge],Table5[$$]),"")</f>
        <v/>
      </c>
      <c r="AI1893" s="47"/>
      <c r="AJ1893" s="47"/>
    </row>
    <row r="1894" spans="1:36">
      <c r="A1894" s="374" t="s">
        <v>3099</v>
      </c>
      <c r="B1894" s="374">
        <v>10</v>
      </c>
      <c r="C1894" s="374" t="s">
        <v>688</v>
      </c>
      <c r="D1894" s="375" t="str">
        <f t="shared" si="387"/>
        <v>Harpley Estate10</v>
      </c>
      <c r="E1894" s="375" t="s">
        <v>3106</v>
      </c>
      <c r="F1894" s="375" t="s">
        <v>1095</v>
      </c>
      <c r="G1894" s="375" t="s">
        <v>3101</v>
      </c>
      <c r="H1894" s="375" t="s">
        <v>3102</v>
      </c>
      <c r="I1894" s="63" t="s">
        <v>3103</v>
      </c>
      <c r="J1894" s="47">
        <f t="shared" si="392"/>
        <v>3740</v>
      </c>
      <c r="K1894" s="46" t="s">
        <v>7938</v>
      </c>
      <c r="L1894" s="47">
        <f t="shared" si="393"/>
        <v>1210</v>
      </c>
      <c r="M1894" s="47" t="s">
        <v>10867</v>
      </c>
      <c r="N1894" s="47" t="s">
        <v>3107</v>
      </c>
      <c r="O1894" s="47"/>
      <c r="P1894" s="47"/>
      <c r="Q1894" s="47"/>
      <c r="R1894" s="47"/>
      <c r="S1894" s="47"/>
      <c r="T1894" s="47"/>
      <c r="U1894" s="47">
        <f t="shared" si="394"/>
        <v>430</v>
      </c>
      <c r="V1894" s="47"/>
      <c r="W1894" s="47"/>
      <c r="X1894" s="47">
        <f t="shared" ref="X1894:X1932" si="395">X$7</f>
        <v>3000</v>
      </c>
      <c r="Y1894" s="47"/>
      <c r="Z1894" s="47">
        <f t="shared" si="388"/>
        <v>4620</v>
      </c>
      <c r="AA1894" s="47"/>
      <c r="AB1894" s="47"/>
      <c r="AC1894" s="47"/>
      <c r="AD1894" s="47"/>
      <c r="AE1894" s="47"/>
      <c r="AF1894" s="47"/>
      <c r="AG1894" s="47"/>
      <c r="AH1894" s="47" t="str">
        <f>IFERROR(_xlfn.XLOOKUP(Table6[[#This Row],[Suburb]],Table5[Travel Surcharge],Table5[$$]),"")</f>
        <v/>
      </c>
      <c r="AI1894" s="47"/>
      <c r="AJ1894" s="47"/>
    </row>
    <row r="1895" spans="1:36">
      <c r="A1895" s="374" t="s">
        <v>3099</v>
      </c>
      <c r="B1895" s="374">
        <v>11</v>
      </c>
      <c r="C1895" s="374" t="s">
        <v>688</v>
      </c>
      <c r="D1895" s="375" t="str">
        <f t="shared" si="387"/>
        <v>Harpley Estate11</v>
      </c>
      <c r="E1895" s="375" t="s">
        <v>3108</v>
      </c>
      <c r="F1895" s="375" t="s">
        <v>1095</v>
      </c>
      <c r="G1895" s="375" t="s">
        <v>3101</v>
      </c>
      <c r="H1895" s="375" t="s">
        <v>3102</v>
      </c>
      <c r="I1895" s="63" t="s">
        <v>3103</v>
      </c>
      <c r="J1895" s="47">
        <f t="shared" si="392"/>
        <v>3740</v>
      </c>
      <c r="K1895" s="46" t="s">
        <v>7938</v>
      </c>
      <c r="L1895" s="47">
        <f t="shared" si="393"/>
        <v>1210</v>
      </c>
      <c r="M1895" s="47" t="s">
        <v>10867</v>
      </c>
      <c r="N1895" s="47"/>
      <c r="O1895" s="47"/>
      <c r="P1895" s="47"/>
      <c r="Q1895" s="47"/>
      <c r="R1895" s="47"/>
      <c r="S1895" s="47"/>
      <c r="T1895" s="47"/>
      <c r="U1895" s="47">
        <f t="shared" si="394"/>
        <v>430</v>
      </c>
      <c r="V1895" s="47"/>
      <c r="W1895" s="47"/>
      <c r="X1895" s="47">
        <f t="shared" si="395"/>
        <v>3000</v>
      </c>
      <c r="Y1895" s="47"/>
      <c r="Z1895" s="47">
        <f t="shared" si="388"/>
        <v>4620</v>
      </c>
      <c r="AA1895" s="47"/>
      <c r="AB1895" s="47"/>
      <c r="AC1895" s="47"/>
      <c r="AD1895" s="47"/>
      <c r="AE1895" s="47"/>
      <c r="AF1895" s="47"/>
      <c r="AG1895" s="47"/>
      <c r="AH1895" s="47" t="str">
        <f>IFERROR(_xlfn.XLOOKUP(Table6[[#This Row],[Suburb]],Table5[Travel Surcharge],Table5[$$]),"")</f>
        <v/>
      </c>
      <c r="AI1895" s="47"/>
      <c r="AJ1895" s="47"/>
    </row>
    <row r="1896" spans="1:36">
      <c r="A1896" s="374" t="s">
        <v>3099</v>
      </c>
      <c r="B1896" s="374">
        <v>14</v>
      </c>
      <c r="C1896" s="374" t="s">
        <v>688</v>
      </c>
      <c r="D1896" s="375" t="str">
        <f t="shared" si="387"/>
        <v>Harpley Estate14</v>
      </c>
      <c r="E1896" s="375" t="s">
        <v>3109</v>
      </c>
      <c r="F1896" s="375" t="s">
        <v>1095</v>
      </c>
      <c r="G1896" s="375" t="s">
        <v>3101</v>
      </c>
      <c r="H1896" s="375" t="s">
        <v>3102</v>
      </c>
      <c r="I1896" s="63" t="s">
        <v>3103</v>
      </c>
      <c r="J1896" s="47">
        <f t="shared" si="392"/>
        <v>3740</v>
      </c>
      <c r="K1896" s="46" t="s">
        <v>7938</v>
      </c>
      <c r="L1896" s="47">
        <f t="shared" si="393"/>
        <v>1210</v>
      </c>
      <c r="M1896" s="47" t="s">
        <v>10867</v>
      </c>
      <c r="N1896" s="47"/>
      <c r="O1896" s="47"/>
      <c r="P1896" s="47"/>
      <c r="Q1896" s="47"/>
      <c r="R1896" s="47"/>
      <c r="S1896" s="47"/>
      <c r="T1896" s="47"/>
      <c r="U1896" s="47">
        <f t="shared" si="394"/>
        <v>430</v>
      </c>
      <c r="V1896" s="47"/>
      <c r="W1896" s="47"/>
      <c r="X1896" s="47">
        <f t="shared" si="395"/>
        <v>3000</v>
      </c>
      <c r="Y1896" s="47"/>
      <c r="Z1896" s="47">
        <f t="shared" si="388"/>
        <v>4620</v>
      </c>
      <c r="AA1896" s="47"/>
      <c r="AB1896" s="47"/>
      <c r="AC1896" s="47"/>
      <c r="AD1896" s="47"/>
      <c r="AE1896" s="47"/>
      <c r="AF1896" s="47"/>
      <c r="AG1896" s="47"/>
      <c r="AH1896" s="47" t="str">
        <f>IFERROR(_xlfn.XLOOKUP(Table6[[#This Row],[Suburb]],Table5[Travel Surcharge],Table5[$$]),"")</f>
        <v/>
      </c>
      <c r="AI1896" s="47"/>
      <c r="AJ1896" s="47"/>
    </row>
    <row r="1897" spans="1:36">
      <c r="A1897" s="374" t="s">
        <v>3099</v>
      </c>
      <c r="B1897" s="374">
        <v>16</v>
      </c>
      <c r="C1897" s="374" t="s">
        <v>688</v>
      </c>
      <c r="D1897" s="375" t="str">
        <f t="shared" si="387"/>
        <v>Harpley Estate16</v>
      </c>
      <c r="E1897" s="375" t="s">
        <v>3110</v>
      </c>
      <c r="F1897" s="375" t="s">
        <v>1095</v>
      </c>
      <c r="G1897" s="375" t="s">
        <v>3101</v>
      </c>
      <c r="H1897" s="375" t="s">
        <v>3102</v>
      </c>
      <c r="I1897" s="63" t="s">
        <v>3103</v>
      </c>
      <c r="J1897" s="47">
        <f t="shared" si="392"/>
        <v>3740</v>
      </c>
      <c r="K1897" s="46" t="s">
        <v>7938</v>
      </c>
      <c r="L1897" s="47">
        <f t="shared" si="393"/>
        <v>1210</v>
      </c>
      <c r="M1897" s="47" t="s">
        <v>10867</v>
      </c>
      <c r="N1897" s="47"/>
      <c r="O1897" s="47"/>
      <c r="P1897" s="47"/>
      <c r="Q1897" s="47"/>
      <c r="R1897" s="47"/>
      <c r="S1897" s="47"/>
      <c r="T1897" s="47"/>
      <c r="U1897" s="47">
        <f t="shared" si="394"/>
        <v>430</v>
      </c>
      <c r="V1897" s="47"/>
      <c r="W1897" s="47"/>
      <c r="X1897" s="47">
        <f t="shared" si="395"/>
        <v>3000</v>
      </c>
      <c r="Y1897" s="47"/>
      <c r="Z1897" s="47">
        <f t="shared" si="388"/>
        <v>4620</v>
      </c>
      <c r="AA1897" s="47"/>
      <c r="AB1897" s="47"/>
      <c r="AC1897" s="47"/>
      <c r="AD1897" s="47"/>
      <c r="AE1897" s="47"/>
      <c r="AF1897" s="47"/>
      <c r="AG1897" s="47"/>
      <c r="AH1897" s="47" t="str">
        <f>IFERROR(_xlfn.XLOOKUP(Table6[[#This Row],[Suburb]],Table5[Travel Surcharge],Table5[$$]),"")</f>
        <v/>
      </c>
      <c r="AI1897" s="47"/>
      <c r="AJ1897" s="47"/>
    </row>
    <row r="1898" spans="1:36">
      <c r="A1898" s="374" t="s">
        <v>3099</v>
      </c>
      <c r="B1898" s="374">
        <v>17</v>
      </c>
      <c r="C1898" s="374" t="s">
        <v>688</v>
      </c>
      <c r="D1898" s="375" t="str">
        <f t="shared" ref="D1898:D1930" si="396">CONCATENATE(A1898,B1898)</f>
        <v>Harpley Estate17</v>
      </c>
      <c r="E1898" s="375" t="s">
        <v>3111</v>
      </c>
      <c r="F1898" s="375" t="s">
        <v>1095</v>
      </c>
      <c r="G1898" s="375" t="s">
        <v>3101</v>
      </c>
      <c r="H1898" s="375" t="s">
        <v>3102</v>
      </c>
      <c r="I1898" s="63" t="s">
        <v>3103</v>
      </c>
      <c r="J1898" s="47">
        <f t="shared" si="392"/>
        <v>3740</v>
      </c>
      <c r="K1898" s="46" t="s">
        <v>7938</v>
      </c>
      <c r="L1898" s="47">
        <f t="shared" si="393"/>
        <v>1210</v>
      </c>
      <c r="M1898" s="47" t="s">
        <v>10867</v>
      </c>
      <c r="N1898" s="47"/>
      <c r="O1898" s="47"/>
      <c r="P1898" s="47"/>
      <c r="Q1898" s="47"/>
      <c r="R1898" s="47"/>
      <c r="S1898" s="47"/>
      <c r="T1898" s="47"/>
      <c r="U1898" s="47">
        <f t="shared" si="394"/>
        <v>430</v>
      </c>
      <c r="V1898" s="47"/>
      <c r="W1898" s="47"/>
      <c r="X1898" s="47">
        <f t="shared" si="395"/>
        <v>3000</v>
      </c>
      <c r="Y1898" s="47"/>
      <c r="Z1898" s="47">
        <f t="shared" ref="Z1898:Z1930" si="397">Z$7</f>
        <v>4620</v>
      </c>
      <c r="AA1898" s="47"/>
      <c r="AB1898" s="47"/>
      <c r="AC1898" s="47"/>
      <c r="AD1898" s="47"/>
      <c r="AE1898" s="47"/>
      <c r="AF1898" s="47"/>
      <c r="AG1898" s="47"/>
      <c r="AH1898" s="47" t="str">
        <f>IFERROR(_xlfn.XLOOKUP(Table6[[#This Row],[Suburb]],Table5[Travel Surcharge],Table5[$$]),"")</f>
        <v/>
      </c>
      <c r="AI1898" s="47"/>
      <c r="AJ1898" s="47"/>
    </row>
    <row r="1899" spans="1:36">
      <c r="A1899" s="374" t="s">
        <v>3099</v>
      </c>
      <c r="B1899" s="374">
        <v>18</v>
      </c>
      <c r="C1899" s="374" t="s">
        <v>688</v>
      </c>
      <c r="D1899" s="375" t="str">
        <f t="shared" si="396"/>
        <v>Harpley Estate18</v>
      </c>
      <c r="E1899" s="375" t="s">
        <v>3112</v>
      </c>
      <c r="F1899" s="375" t="s">
        <v>1095</v>
      </c>
      <c r="G1899" s="375" t="s">
        <v>3101</v>
      </c>
      <c r="H1899" s="375" t="s">
        <v>3102</v>
      </c>
      <c r="I1899" s="63" t="s">
        <v>3103</v>
      </c>
      <c r="J1899" s="47">
        <f t="shared" si="392"/>
        <v>3740</v>
      </c>
      <c r="K1899" s="46" t="s">
        <v>7938</v>
      </c>
      <c r="L1899" s="47">
        <f t="shared" si="393"/>
        <v>1210</v>
      </c>
      <c r="M1899" s="47" t="s">
        <v>10867</v>
      </c>
      <c r="N1899" s="47"/>
      <c r="O1899" s="47"/>
      <c r="P1899" s="47"/>
      <c r="Q1899" s="47"/>
      <c r="R1899" s="47"/>
      <c r="S1899" s="47"/>
      <c r="T1899" s="47"/>
      <c r="U1899" s="47">
        <f t="shared" si="394"/>
        <v>430</v>
      </c>
      <c r="V1899" s="47"/>
      <c r="W1899" s="47"/>
      <c r="X1899" s="47">
        <f t="shared" si="395"/>
        <v>3000</v>
      </c>
      <c r="Y1899" s="47"/>
      <c r="Z1899" s="47">
        <f t="shared" si="397"/>
        <v>4620</v>
      </c>
      <c r="AA1899" s="47"/>
      <c r="AB1899" s="47"/>
      <c r="AC1899" s="47"/>
      <c r="AD1899" s="47"/>
      <c r="AE1899" s="47"/>
      <c r="AF1899" s="47"/>
      <c r="AG1899" s="47"/>
      <c r="AH1899" s="47" t="str">
        <f>IFERROR(_xlfn.XLOOKUP(Table6[[#This Row],[Suburb]],Table5[Travel Surcharge],Table5[$$]),"")</f>
        <v/>
      </c>
      <c r="AI1899" s="47"/>
      <c r="AJ1899" s="47"/>
    </row>
    <row r="1900" spans="1:36">
      <c r="A1900" s="374" t="s">
        <v>3099</v>
      </c>
      <c r="B1900" s="374">
        <v>22</v>
      </c>
      <c r="C1900" s="374" t="s">
        <v>688</v>
      </c>
      <c r="D1900" s="375" t="str">
        <f t="shared" si="396"/>
        <v>Harpley Estate22</v>
      </c>
      <c r="E1900" s="375" t="s">
        <v>3113</v>
      </c>
      <c r="F1900" s="375" t="s">
        <v>1095</v>
      </c>
      <c r="G1900" s="375" t="s">
        <v>3101</v>
      </c>
      <c r="H1900" s="375" t="s">
        <v>3102</v>
      </c>
      <c r="I1900" s="63" t="s">
        <v>3103</v>
      </c>
      <c r="J1900" s="47">
        <f t="shared" si="392"/>
        <v>3740</v>
      </c>
      <c r="K1900" s="46" t="s">
        <v>7938</v>
      </c>
      <c r="L1900" s="47">
        <f t="shared" si="393"/>
        <v>1210</v>
      </c>
      <c r="M1900" s="47" t="s">
        <v>10867</v>
      </c>
      <c r="N1900" s="47"/>
      <c r="O1900" s="47"/>
      <c r="P1900" s="47"/>
      <c r="Q1900" s="47"/>
      <c r="R1900" s="47"/>
      <c r="S1900" s="47"/>
      <c r="T1900" s="47"/>
      <c r="U1900" s="47">
        <f t="shared" si="394"/>
        <v>430</v>
      </c>
      <c r="V1900" s="47"/>
      <c r="W1900" s="47"/>
      <c r="X1900" s="47">
        <f t="shared" si="395"/>
        <v>3000</v>
      </c>
      <c r="Y1900" s="47"/>
      <c r="Z1900" s="47">
        <f t="shared" si="397"/>
        <v>4620</v>
      </c>
      <c r="AA1900" s="47"/>
      <c r="AB1900" s="47"/>
      <c r="AC1900" s="47"/>
      <c r="AD1900" s="47"/>
      <c r="AE1900" s="47"/>
      <c r="AF1900" s="47"/>
      <c r="AG1900" s="47"/>
      <c r="AH1900" s="47" t="str">
        <f>IFERROR(_xlfn.XLOOKUP(Table6[[#This Row],[Suburb]],Table5[Travel Surcharge],Table5[$$]),"")</f>
        <v/>
      </c>
      <c r="AI1900" s="47"/>
      <c r="AJ1900" s="47"/>
    </row>
    <row r="1901" spans="1:36">
      <c r="A1901" s="374" t="s">
        <v>3099</v>
      </c>
      <c r="B1901" s="374">
        <v>24</v>
      </c>
      <c r="C1901" s="374" t="s">
        <v>688</v>
      </c>
      <c r="D1901" s="375" t="str">
        <f t="shared" si="396"/>
        <v>Harpley Estate24</v>
      </c>
      <c r="E1901" s="375" t="s">
        <v>3114</v>
      </c>
      <c r="F1901" s="375" t="s">
        <v>1095</v>
      </c>
      <c r="G1901" s="375" t="s">
        <v>3101</v>
      </c>
      <c r="H1901" s="375" t="s">
        <v>3102</v>
      </c>
      <c r="I1901" s="63" t="s">
        <v>3103</v>
      </c>
      <c r="J1901" s="47">
        <f t="shared" si="392"/>
        <v>3740</v>
      </c>
      <c r="K1901" s="46" t="s">
        <v>7938</v>
      </c>
      <c r="L1901" s="47">
        <f t="shared" si="393"/>
        <v>1210</v>
      </c>
      <c r="M1901" s="47" t="s">
        <v>10867</v>
      </c>
      <c r="N1901" s="47"/>
      <c r="O1901" s="47"/>
      <c r="P1901" s="47"/>
      <c r="Q1901" s="47"/>
      <c r="R1901" s="47"/>
      <c r="S1901" s="47"/>
      <c r="T1901" s="47"/>
      <c r="U1901" s="47">
        <f t="shared" si="394"/>
        <v>430</v>
      </c>
      <c r="V1901" s="47"/>
      <c r="W1901" s="47"/>
      <c r="X1901" s="47">
        <f t="shared" si="395"/>
        <v>3000</v>
      </c>
      <c r="Y1901" s="47"/>
      <c r="Z1901" s="47">
        <f t="shared" si="397"/>
        <v>4620</v>
      </c>
      <c r="AA1901" s="47"/>
      <c r="AB1901" s="47"/>
      <c r="AC1901" s="47"/>
      <c r="AD1901" s="47"/>
      <c r="AE1901" s="47"/>
      <c r="AF1901" s="47"/>
      <c r="AG1901" s="47"/>
      <c r="AH1901" s="47" t="str">
        <f>IFERROR(_xlfn.XLOOKUP(Table6[[#This Row],[Suburb]],Table5[Travel Surcharge],Table5[$$]),"")</f>
        <v/>
      </c>
      <c r="AI1901" s="47"/>
      <c r="AJ1901" s="47"/>
    </row>
    <row r="1902" spans="1:36">
      <c r="A1902" s="374" t="s">
        <v>3099</v>
      </c>
      <c r="B1902" s="374">
        <v>26</v>
      </c>
      <c r="C1902" s="374" t="s">
        <v>688</v>
      </c>
      <c r="D1902" s="375" t="str">
        <f t="shared" si="396"/>
        <v>Harpley Estate26</v>
      </c>
      <c r="E1902" s="375" t="s">
        <v>3115</v>
      </c>
      <c r="F1902" s="375" t="s">
        <v>1095</v>
      </c>
      <c r="G1902" s="375" t="s">
        <v>3101</v>
      </c>
      <c r="H1902" s="375" t="s">
        <v>3102</v>
      </c>
      <c r="I1902" s="63" t="s">
        <v>3103</v>
      </c>
      <c r="J1902" s="47">
        <f t="shared" si="392"/>
        <v>3740</v>
      </c>
      <c r="K1902" s="46" t="s">
        <v>7938</v>
      </c>
      <c r="L1902" s="47">
        <f t="shared" si="393"/>
        <v>1210</v>
      </c>
      <c r="M1902" s="47" t="s">
        <v>10867</v>
      </c>
      <c r="N1902" s="47"/>
      <c r="O1902" s="47"/>
      <c r="P1902" s="47"/>
      <c r="Q1902" s="47" t="s">
        <v>3116</v>
      </c>
      <c r="R1902" s="47"/>
      <c r="S1902" s="47"/>
      <c r="T1902" s="47"/>
      <c r="U1902" s="47">
        <f t="shared" si="394"/>
        <v>430</v>
      </c>
      <c r="V1902" s="47"/>
      <c r="W1902" s="47"/>
      <c r="X1902" s="47">
        <f t="shared" si="395"/>
        <v>3000</v>
      </c>
      <c r="Y1902" s="47"/>
      <c r="Z1902" s="47">
        <f t="shared" si="397"/>
        <v>4620</v>
      </c>
      <c r="AA1902" s="47"/>
      <c r="AB1902" s="47"/>
      <c r="AC1902" s="47"/>
      <c r="AD1902" s="47"/>
      <c r="AE1902" s="47"/>
      <c r="AF1902" s="47"/>
      <c r="AG1902" s="47"/>
      <c r="AH1902" s="47" t="str">
        <f>IFERROR(_xlfn.XLOOKUP(Table6[[#This Row],[Suburb]],Table5[Travel Surcharge],Table5[$$]),"")</f>
        <v/>
      </c>
      <c r="AI1902" s="47"/>
      <c r="AJ1902" s="47"/>
    </row>
    <row r="1903" spans="1:36">
      <c r="A1903" s="374" t="s">
        <v>3099</v>
      </c>
      <c r="B1903" s="374">
        <v>29</v>
      </c>
      <c r="C1903" s="374" t="s">
        <v>688</v>
      </c>
      <c r="D1903" s="375" t="str">
        <f t="shared" si="396"/>
        <v>Harpley Estate29</v>
      </c>
      <c r="E1903" s="375" t="s">
        <v>3117</v>
      </c>
      <c r="F1903" s="375" t="s">
        <v>1095</v>
      </c>
      <c r="G1903" s="375" t="s">
        <v>3101</v>
      </c>
      <c r="H1903" s="375" t="s">
        <v>3102</v>
      </c>
      <c r="I1903" s="63" t="s">
        <v>3103</v>
      </c>
      <c r="J1903" s="47">
        <f t="shared" si="392"/>
        <v>3740</v>
      </c>
      <c r="K1903" s="46" t="s">
        <v>7938</v>
      </c>
      <c r="L1903" s="47">
        <f t="shared" si="393"/>
        <v>1210</v>
      </c>
      <c r="M1903" s="47" t="s">
        <v>10867</v>
      </c>
      <c r="N1903" s="47"/>
      <c r="O1903" s="47"/>
      <c r="P1903" s="47"/>
      <c r="Q1903" s="47" t="s">
        <v>3116</v>
      </c>
      <c r="R1903" s="47"/>
      <c r="S1903" s="47"/>
      <c r="T1903" s="47"/>
      <c r="U1903" s="47">
        <f t="shared" si="394"/>
        <v>430</v>
      </c>
      <c r="V1903" s="47"/>
      <c r="W1903" s="47"/>
      <c r="X1903" s="47">
        <f t="shared" si="395"/>
        <v>3000</v>
      </c>
      <c r="Y1903" s="47"/>
      <c r="Z1903" s="47">
        <f t="shared" si="397"/>
        <v>4620</v>
      </c>
      <c r="AA1903" s="47"/>
      <c r="AB1903" s="47"/>
      <c r="AC1903" s="47"/>
      <c r="AD1903" s="47"/>
      <c r="AE1903" s="47"/>
      <c r="AF1903" s="47"/>
      <c r="AG1903" s="47"/>
      <c r="AH1903" s="47" t="str">
        <f>IFERROR(_xlfn.XLOOKUP(Table6[[#This Row],[Suburb]],Table5[Travel Surcharge],Table5[$$]),"")</f>
        <v/>
      </c>
      <c r="AI1903" s="47"/>
      <c r="AJ1903" s="47"/>
    </row>
    <row r="1904" spans="1:36">
      <c r="A1904" s="374" t="s">
        <v>3099</v>
      </c>
      <c r="B1904" s="374">
        <v>31</v>
      </c>
      <c r="C1904" s="374" t="s">
        <v>688</v>
      </c>
      <c r="D1904" s="375" t="str">
        <f t="shared" si="396"/>
        <v>Harpley Estate31</v>
      </c>
      <c r="E1904" s="375" t="s">
        <v>3118</v>
      </c>
      <c r="F1904" s="375" t="s">
        <v>1095</v>
      </c>
      <c r="G1904" s="375" t="s">
        <v>3101</v>
      </c>
      <c r="H1904" s="375" t="s">
        <v>3102</v>
      </c>
      <c r="I1904" s="63" t="s">
        <v>3103</v>
      </c>
      <c r="J1904" s="47">
        <f t="shared" si="392"/>
        <v>3740</v>
      </c>
      <c r="K1904" s="46" t="s">
        <v>7938</v>
      </c>
      <c r="L1904" s="47">
        <f t="shared" si="393"/>
        <v>1210</v>
      </c>
      <c r="M1904" s="47" t="s">
        <v>10867</v>
      </c>
      <c r="N1904" s="47"/>
      <c r="O1904" s="47"/>
      <c r="P1904" s="47"/>
      <c r="Q1904" s="47" t="s">
        <v>3116</v>
      </c>
      <c r="R1904" s="47"/>
      <c r="S1904" s="47"/>
      <c r="T1904" s="47"/>
      <c r="U1904" s="47">
        <f t="shared" si="394"/>
        <v>430</v>
      </c>
      <c r="V1904" s="47"/>
      <c r="W1904" s="47"/>
      <c r="X1904" s="47">
        <f t="shared" si="395"/>
        <v>3000</v>
      </c>
      <c r="Y1904" s="47"/>
      <c r="Z1904" s="47">
        <f t="shared" si="397"/>
        <v>4620</v>
      </c>
      <c r="AA1904" s="47"/>
      <c r="AB1904" s="47"/>
      <c r="AC1904" s="47"/>
      <c r="AD1904" s="47"/>
      <c r="AE1904" s="47"/>
      <c r="AF1904" s="47"/>
      <c r="AG1904" s="47"/>
      <c r="AH1904" s="47" t="str">
        <f>IFERROR(_xlfn.XLOOKUP(Table6[[#This Row],[Suburb]],Table5[Travel Surcharge],Table5[$$]),"")</f>
        <v/>
      </c>
      <c r="AI1904" s="47"/>
      <c r="AJ1904" s="47"/>
    </row>
    <row r="1905" spans="1:36">
      <c r="A1905" s="374" t="s">
        <v>3099</v>
      </c>
      <c r="B1905" s="374">
        <v>32</v>
      </c>
      <c r="C1905" s="374" t="s">
        <v>688</v>
      </c>
      <c r="D1905" s="375" t="str">
        <f t="shared" si="396"/>
        <v>Harpley Estate32</v>
      </c>
      <c r="E1905" s="375" t="s">
        <v>3119</v>
      </c>
      <c r="F1905" s="375" t="s">
        <v>1095</v>
      </c>
      <c r="G1905" s="375" t="s">
        <v>3101</v>
      </c>
      <c r="H1905" s="375" t="s">
        <v>3102</v>
      </c>
      <c r="I1905" s="63" t="s">
        <v>3103</v>
      </c>
      <c r="J1905" s="47">
        <f t="shared" si="392"/>
        <v>3740</v>
      </c>
      <c r="K1905" s="46" t="s">
        <v>7938</v>
      </c>
      <c r="L1905" s="47">
        <f t="shared" si="393"/>
        <v>1210</v>
      </c>
      <c r="M1905" s="47" t="s">
        <v>10867</v>
      </c>
      <c r="N1905" s="47"/>
      <c r="O1905" s="47"/>
      <c r="P1905" s="47"/>
      <c r="Q1905" s="47" t="s">
        <v>3116</v>
      </c>
      <c r="R1905" s="47"/>
      <c r="S1905" s="47"/>
      <c r="T1905" s="47"/>
      <c r="U1905" s="47">
        <f t="shared" si="394"/>
        <v>430</v>
      </c>
      <c r="V1905" s="47"/>
      <c r="W1905" s="47"/>
      <c r="X1905" s="47">
        <f t="shared" si="395"/>
        <v>3000</v>
      </c>
      <c r="Y1905" s="47"/>
      <c r="Z1905" s="47">
        <f t="shared" si="397"/>
        <v>4620</v>
      </c>
      <c r="AA1905" s="47"/>
      <c r="AB1905" s="47"/>
      <c r="AC1905" s="47"/>
      <c r="AD1905" s="47"/>
      <c r="AE1905" s="47"/>
      <c r="AF1905" s="47"/>
      <c r="AG1905" s="47"/>
      <c r="AH1905" s="47" t="str">
        <f>IFERROR(_xlfn.XLOOKUP(Table6[[#This Row],[Suburb]],Table5[Travel Surcharge],Table5[$$]),"")</f>
        <v/>
      </c>
      <c r="AI1905" s="47"/>
      <c r="AJ1905" s="47"/>
    </row>
    <row r="1906" spans="1:36">
      <c r="A1906" s="374" t="s">
        <v>3099</v>
      </c>
      <c r="B1906" s="374">
        <v>33</v>
      </c>
      <c r="C1906" s="374" t="s">
        <v>688</v>
      </c>
      <c r="D1906" s="375" t="str">
        <f t="shared" si="396"/>
        <v>Harpley Estate33</v>
      </c>
      <c r="E1906" s="375" t="s">
        <v>3120</v>
      </c>
      <c r="F1906" s="375" t="s">
        <v>1095</v>
      </c>
      <c r="G1906" s="375" t="s">
        <v>3101</v>
      </c>
      <c r="H1906" s="375" t="s">
        <v>3102</v>
      </c>
      <c r="I1906" s="63" t="s">
        <v>3103</v>
      </c>
      <c r="J1906" s="47">
        <f t="shared" si="392"/>
        <v>3740</v>
      </c>
      <c r="K1906" s="46" t="s">
        <v>7938</v>
      </c>
      <c r="L1906" s="47">
        <f t="shared" si="393"/>
        <v>1210</v>
      </c>
      <c r="M1906" s="47" t="s">
        <v>10867</v>
      </c>
      <c r="N1906" s="47"/>
      <c r="O1906" s="47"/>
      <c r="P1906" s="47"/>
      <c r="Q1906" s="47" t="s">
        <v>3116</v>
      </c>
      <c r="R1906" s="47"/>
      <c r="S1906" s="47"/>
      <c r="T1906" s="47"/>
      <c r="U1906" s="47">
        <f t="shared" si="394"/>
        <v>430</v>
      </c>
      <c r="V1906" s="47"/>
      <c r="W1906" s="47"/>
      <c r="X1906" s="47">
        <f t="shared" si="395"/>
        <v>3000</v>
      </c>
      <c r="Y1906" s="47"/>
      <c r="Z1906" s="47">
        <f t="shared" si="397"/>
        <v>4620</v>
      </c>
      <c r="AA1906" s="47"/>
      <c r="AB1906" s="47"/>
      <c r="AC1906" s="47"/>
      <c r="AD1906" s="47"/>
      <c r="AE1906" s="47"/>
      <c r="AF1906" s="47"/>
      <c r="AG1906" s="47"/>
      <c r="AH1906" s="47" t="str">
        <f>IFERROR(_xlfn.XLOOKUP(Table6[[#This Row],[Suburb]],Table5[Travel Surcharge],Table5[$$]),"")</f>
        <v/>
      </c>
      <c r="AI1906" s="47"/>
      <c r="AJ1906" s="47"/>
    </row>
    <row r="1907" spans="1:36">
      <c r="A1907" s="374" t="s">
        <v>3099</v>
      </c>
      <c r="B1907" s="374">
        <v>42</v>
      </c>
      <c r="C1907" s="374" t="s">
        <v>688</v>
      </c>
      <c r="D1907" s="375" t="str">
        <f t="shared" si="396"/>
        <v>Harpley Estate42</v>
      </c>
      <c r="E1907" s="375" t="s">
        <v>10342</v>
      </c>
      <c r="F1907" s="375" t="s">
        <v>1095</v>
      </c>
      <c r="G1907" s="375" t="s">
        <v>3101</v>
      </c>
      <c r="H1907" s="375" t="s">
        <v>3102</v>
      </c>
      <c r="I1907" s="63" t="s">
        <v>3103</v>
      </c>
      <c r="J1907" s="47">
        <v>3740</v>
      </c>
      <c r="K1907" s="46" t="s">
        <v>7938</v>
      </c>
      <c r="L1907" s="47">
        <v>1210</v>
      </c>
      <c r="M1907" s="47" t="s">
        <v>10343</v>
      </c>
      <c r="N1907" s="47" t="s">
        <v>10867</v>
      </c>
      <c r="O1907" s="47"/>
      <c r="P1907" s="47"/>
      <c r="Q1907" s="47" t="s">
        <v>3116</v>
      </c>
      <c r="R1907" s="47"/>
      <c r="S1907" s="47"/>
      <c r="T1907" s="47"/>
      <c r="U1907" s="47">
        <v>540</v>
      </c>
      <c r="V1907" s="47"/>
      <c r="W1907" s="47"/>
      <c r="X1907" s="47">
        <v>3000</v>
      </c>
      <c r="Y1907" s="47"/>
      <c r="Z1907" s="47">
        <v>4620</v>
      </c>
      <c r="AA1907" s="47"/>
      <c r="AB1907" s="47"/>
      <c r="AC1907" s="47"/>
      <c r="AD1907" s="47"/>
      <c r="AE1907" s="47"/>
      <c r="AF1907" s="47"/>
      <c r="AG1907" s="47"/>
      <c r="AH1907" s="47" t="s">
        <v>9976</v>
      </c>
      <c r="AI1907" s="47"/>
      <c r="AJ1907" s="47"/>
    </row>
    <row r="1908" spans="1:36">
      <c r="A1908" s="374" t="s">
        <v>3099</v>
      </c>
      <c r="B1908" s="374">
        <v>51</v>
      </c>
      <c r="C1908" s="374" t="s">
        <v>688</v>
      </c>
      <c r="D1908" s="375" t="str">
        <f t="shared" si="396"/>
        <v>Harpley Estate51</v>
      </c>
      <c r="E1908" s="375" t="s">
        <v>3121</v>
      </c>
      <c r="F1908" s="375" t="s">
        <v>1095</v>
      </c>
      <c r="G1908" s="375" t="s">
        <v>3101</v>
      </c>
      <c r="H1908" s="375" t="s">
        <v>3102</v>
      </c>
      <c r="I1908" s="63" t="s">
        <v>3103</v>
      </c>
      <c r="J1908" s="47">
        <f t="shared" si="392"/>
        <v>3740</v>
      </c>
      <c r="K1908" s="46" t="s">
        <v>7938</v>
      </c>
      <c r="L1908" s="47">
        <f t="shared" si="393"/>
        <v>1210</v>
      </c>
      <c r="M1908" s="47" t="s">
        <v>10867</v>
      </c>
      <c r="N1908" s="47"/>
      <c r="O1908" s="47"/>
      <c r="P1908" s="47"/>
      <c r="Q1908" s="47" t="s">
        <v>3116</v>
      </c>
      <c r="R1908" s="47"/>
      <c r="S1908" s="47"/>
      <c r="T1908" s="47"/>
      <c r="U1908" s="47">
        <f t="shared" si="394"/>
        <v>430</v>
      </c>
      <c r="V1908" s="47"/>
      <c r="W1908" s="47"/>
      <c r="X1908" s="47">
        <f t="shared" si="395"/>
        <v>3000</v>
      </c>
      <c r="Y1908" s="47"/>
      <c r="Z1908" s="47">
        <f t="shared" si="397"/>
        <v>4620</v>
      </c>
      <c r="AA1908" s="47"/>
      <c r="AB1908" s="47"/>
      <c r="AC1908" s="47"/>
      <c r="AD1908" s="47"/>
      <c r="AE1908" s="47"/>
      <c r="AF1908" s="47"/>
      <c r="AG1908" s="47"/>
      <c r="AH1908" s="47" t="str">
        <f>IFERROR(_xlfn.XLOOKUP(Table6[[#This Row],[Suburb]],Table5[Travel Surcharge],Table5[$$]),"")</f>
        <v/>
      </c>
      <c r="AI1908" s="47"/>
      <c r="AJ1908" s="47"/>
    </row>
    <row r="1909" spans="1:36">
      <c r="A1909" s="374" t="s">
        <v>3099</v>
      </c>
      <c r="B1909" s="374">
        <v>52</v>
      </c>
      <c r="C1909" s="374" t="s">
        <v>688</v>
      </c>
      <c r="D1909" s="375" t="str">
        <f t="shared" si="396"/>
        <v>Harpley Estate52</v>
      </c>
      <c r="E1909" s="375" t="s">
        <v>3122</v>
      </c>
      <c r="F1909" s="375" t="s">
        <v>1095</v>
      </c>
      <c r="G1909" s="375" t="s">
        <v>3101</v>
      </c>
      <c r="H1909" s="375" t="s">
        <v>3102</v>
      </c>
      <c r="I1909" s="63" t="s">
        <v>3103</v>
      </c>
      <c r="J1909" s="47">
        <f t="shared" si="392"/>
        <v>3740</v>
      </c>
      <c r="K1909" s="46" t="s">
        <v>7938</v>
      </c>
      <c r="L1909" s="47">
        <f t="shared" si="393"/>
        <v>1210</v>
      </c>
      <c r="M1909" s="47" t="s">
        <v>10867</v>
      </c>
      <c r="N1909" s="47"/>
      <c r="O1909" s="47"/>
      <c r="P1909" s="47"/>
      <c r="Q1909" s="47" t="s">
        <v>3116</v>
      </c>
      <c r="R1909" s="47"/>
      <c r="S1909" s="47"/>
      <c r="T1909" s="47"/>
      <c r="U1909" s="47">
        <f t="shared" si="394"/>
        <v>430</v>
      </c>
      <c r="V1909" s="47"/>
      <c r="W1909" s="47"/>
      <c r="X1909" s="47">
        <f t="shared" si="395"/>
        <v>3000</v>
      </c>
      <c r="Y1909" s="47"/>
      <c r="Z1909" s="47">
        <f t="shared" si="397"/>
        <v>4620</v>
      </c>
      <c r="AA1909" s="47"/>
      <c r="AB1909" s="47"/>
      <c r="AC1909" s="47"/>
      <c r="AD1909" s="47"/>
      <c r="AE1909" s="47"/>
      <c r="AF1909" s="47"/>
      <c r="AG1909" s="47"/>
      <c r="AH1909" s="47" t="str">
        <f>IFERROR(_xlfn.XLOOKUP(Table6[[#This Row],[Suburb]],Table5[Travel Surcharge],Table5[$$]),"")</f>
        <v/>
      </c>
      <c r="AI1909" s="47"/>
      <c r="AJ1909" s="47"/>
    </row>
    <row r="1910" spans="1:36">
      <c r="A1910" s="374" t="s">
        <v>3099</v>
      </c>
      <c r="B1910" s="374">
        <v>53</v>
      </c>
      <c r="C1910" s="374" t="s">
        <v>688</v>
      </c>
      <c r="D1910" s="375" t="str">
        <f t="shared" si="396"/>
        <v>Harpley Estate53</v>
      </c>
      <c r="E1910" s="375" t="s">
        <v>3123</v>
      </c>
      <c r="F1910" s="375" t="s">
        <v>1095</v>
      </c>
      <c r="G1910" s="375" t="s">
        <v>3101</v>
      </c>
      <c r="H1910" s="375" t="s">
        <v>3102</v>
      </c>
      <c r="I1910" s="63" t="s">
        <v>3103</v>
      </c>
      <c r="J1910" s="47">
        <f t="shared" si="392"/>
        <v>3740</v>
      </c>
      <c r="K1910" s="46" t="s">
        <v>7938</v>
      </c>
      <c r="L1910" s="47">
        <f t="shared" si="393"/>
        <v>1210</v>
      </c>
      <c r="M1910" s="47" t="s">
        <v>10867</v>
      </c>
      <c r="N1910" s="47"/>
      <c r="O1910" s="47"/>
      <c r="P1910" s="47"/>
      <c r="Q1910" s="47" t="s">
        <v>3116</v>
      </c>
      <c r="R1910" s="47"/>
      <c r="S1910" s="47"/>
      <c r="T1910" s="47"/>
      <c r="U1910" s="47">
        <f t="shared" si="394"/>
        <v>430</v>
      </c>
      <c r="V1910" s="47"/>
      <c r="W1910" s="47"/>
      <c r="X1910" s="47">
        <f t="shared" si="395"/>
        <v>3000</v>
      </c>
      <c r="Y1910" s="47"/>
      <c r="Z1910" s="47">
        <f t="shared" si="397"/>
        <v>4620</v>
      </c>
      <c r="AA1910" s="47"/>
      <c r="AB1910" s="47"/>
      <c r="AC1910" s="47"/>
      <c r="AD1910" s="47"/>
      <c r="AE1910" s="47"/>
      <c r="AF1910" s="47"/>
      <c r="AG1910" s="47"/>
      <c r="AH1910" s="47" t="str">
        <f>IFERROR(_xlfn.XLOOKUP(Table6[[#This Row],[Suburb]],Table5[Travel Surcharge],Table5[$$]),"")</f>
        <v/>
      </c>
      <c r="AI1910" s="47"/>
      <c r="AJ1910" s="47"/>
    </row>
    <row r="1911" spans="1:36">
      <c r="A1911" s="374" t="s">
        <v>3099</v>
      </c>
      <c r="B1911" s="374">
        <v>54</v>
      </c>
      <c r="C1911" s="374" t="s">
        <v>688</v>
      </c>
      <c r="D1911" s="375" t="str">
        <f t="shared" si="396"/>
        <v>Harpley Estate54</v>
      </c>
      <c r="E1911" s="375" t="s">
        <v>3124</v>
      </c>
      <c r="F1911" s="375" t="s">
        <v>1095</v>
      </c>
      <c r="G1911" s="375" t="s">
        <v>3101</v>
      </c>
      <c r="H1911" s="375" t="s">
        <v>3102</v>
      </c>
      <c r="I1911" s="63" t="s">
        <v>3103</v>
      </c>
      <c r="J1911" s="47">
        <f t="shared" si="392"/>
        <v>3740</v>
      </c>
      <c r="K1911" s="46" t="s">
        <v>7938</v>
      </c>
      <c r="L1911" s="47">
        <f t="shared" si="393"/>
        <v>1210</v>
      </c>
      <c r="M1911" s="47" t="s">
        <v>10867</v>
      </c>
      <c r="N1911" s="47"/>
      <c r="O1911" s="47"/>
      <c r="P1911" s="47"/>
      <c r="Q1911" s="47" t="s">
        <v>3116</v>
      </c>
      <c r="R1911" s="47"/>
      <c r="S1911" s="47"/>
      <c r="T1911" s="47"/>
      <c r="U1911" s="47">
        <f t="shared" si="394"/>
        <v>430</v>
      </c>
      <c r="V1911" s="47"/>
      <c r="W1911" s="47"/>
      <c r="X1911" s="47">
        <f t="shared" si="395"/>
        <v>3000</v>
      </c>
      <c r="Y1911" s="47"/>
      <c r="Z1911" s="47">
        <f t="shared" si="397"/>
        <v>4620</v>
      </c>
      <c r="AA1911" s="47"/>
      <c r="AB1911" s="47"/>
      <c r="AC1911" s="47"/>
      <c r="AD1911" s="47"/>
      <c r="AE1911" s="47"/>
      <c r="AF1911" s="47"/>
      <c r="AG1911" s="47"/>
      <c r="AH1911" s="47" t="str">
        <f>IFERROR(_xlfn.XLOOKUP(Table6[[#This Row],[Suburb]],Table5[Travel Surcharge],Table5[$$]),"")</f>
        <v/>
      </c>
      <c r="AI1911" s="47"/>
      <c r="AJ1911" s="47"/>
    </row>
    <row r="1912" spans="1:36">
      <c r="A1912" s="374" t="s">
        <v>3099</v>
      </c>
      <c r="B1912" s="374">
        <v>62</v>
      </c>
      <c r="C1912" s="374" t="s">
        <v>688</v>
      </c>
      <c r="D1912" s="375" t="str">
        <f t="shared" si="396"/>
        <v>Harpley Estate62</v>
      </c>
      <c r="E1912" s="375" t="s">
        <v>3125</v>
      </c>
      <c r="F1912" s="375" t="s">
        <v>1095</v>
      </c>
      <c r="G1912" s="375" t="s">
        <v>3101</v>
      </c>
      <c r="H1912" s="375" t="s">
        <v>3102</v>
      </c>
      <c r="I1912" s="63" t="s">
        <v>3103</v>
      </c>
      <c r="J1912" s="47">
        <f t="shared" si="392"/>
        <v>3740</v>
      </c>
      <c r="K1912" s="46" t="s">
        <v>7938</v>
      </c>
      <c r="L1912" s="47">
        <f t="shared" si="393"/>
        <v>1210</v>
      </c>
      <c r="M1912" s="47" t="s">
        <v>10867</v>
      </c>
      <c r="N1912" s="47"/>
      <c r="O1912" s="47"/>
      <c r="P1912" s="47"/>
      <c r="Q1912" s="47" t="s">
        <v>3116</v>
      </c>
      <c r="R1912" s="47"/>
      <c r="S1912" s="47"/>
      <c r="T1912" s="47"/>
      <c r="U1912" s="47">
        <f t="shared" si="394"/>
        <v>430</v>
      </c>
      <c r="V1912" s="47"/>
      <c r="W1912" s="47"/>
      <c r="X1912" s="47">
        <f t="shared" si="395"/>
        <v>3000</v>
      </c>
      <c r="Y1912" s="47"/>
      <c r="Z1912" s="47">
        <f t="shared" si="397"/>
        <v>4620</v>
      </c>
      <c r="AA1912" s="47"/>
      <c r="AB1912" s="47"/>
      <c r="AC1912" s="47"/>
      <c r="AD1912" s="47"/>
      <c r="AE1912" s="47"/>
      <c r="AF1912" s="47"/>
      <c r="AG1912" s="47"/>
      <c r="AH1912" s="47" t="str">
        <f>IFERROR(_xlfn.XLOOKUP(Table6[[#This Row],[Suburb]],Table5[Travel Surcharge],Table5[$$]),"")</f>
        <v/>
      </c>
      <c r="AI1912" s="47"/>
      <c r="AJ1912" s="47"/>
    </row>
    <row r="1913" spans="1:36">
      <c r="A1913" s="374" t="s">
        <v>3099</v>
      </c>
      <c r="B1913" s="374">
        <v>63</v>
      </c>
      <c r="C1913" s="374" t="s">
        <v>688</v>
      </c>
      <c r="D1913" s="375" t="str">
        <f t="shared" si="396"/>
        <v>Harpley Estate63</v>
      </c>
      <c r="E1913" s="375" t="s">
        <v>3126</v>
      </c>
      <c r="F1913" s="375" t="s">
        <v>1095</v>
      </c>
      <c r="G1913" s="375" t="s">
        <v>3101</v>
      </c>
      <c r="H1913" s="375" t="s">
        <v>3102</v>
      </c>
      <c r="I1913" s="63" t="s">
        <v>3103</v>
      </c>
      <c r="J1913" s="47">
        <f t="shared" si="392"/>
        <v>3740</v>
      </c>
      <c r="K1913" s="46" t="s">
        <v>7938</v>
      </c>
      <c r="L1913" s="47">
        <f t="shared" si="393"/>
        <v>1210</v>
      </c>
      <c r="M1913" s="47" t="s">
        <v>10867</v>
      </c>
      <c r="N1913" s="47"/>
      <c r="O1913" s="47"/>
      <c r="P1913" s="47"/>
      <c r="Q1913" s="47" t="s">
        <v>3116</v>
      </c>
      <c r="R1913" s="47"/>
      <c r="S1913" s="47"/>
      <c r="T1913" s="47"/>
      <c r="U1913" s="47">
        <f t="shared" si="394"/>
        <v>430</v>
      </c>
      <c r="V1913" s="47"/>
      <c r="W1913" s="47"/>
      <c r="X1913" s="47">
        <f t="shared" si="395"/>
        <v>3000</v>
      </c>
      <c r="Y1913" s="47"/>
      <c r="Z1913" s="47">
        <f t="shared" si="397"/>
        <v>4620</v>
      </c>
      <c r="AA1913" s="47"/>
      <c r="AB1913" s="47"/>
      <c r="AC1913" s="47"/>
      <c r="AD1913" s="47"/>
      <c r="AE1913" s="47"/>
      <c r="AF1913" s="47"/>
      <c r="AG1913" s="47"/>
      <c r="AH1913" s="47" t="str">
        <f>IFERROR(_xlfn.XLOOKUP(Table6[[#This Row],[Suburb]],Table5[Travel Surcharge],Table5[$$]),"")</f>
        <v/>
      </c>
      <c r="AI1913" s="47"/>
      <c r="AJ1913" s="47"/>
    </row>
    <row r="1914" spans="1:36">
      <c r="A1914" s="374" t="s">
        <v>3099</v>
      </c>
      <c r="B1914" s="374">
        <v>64</v>
      </c>
      <c r="C1914" s="374" t="s">
        <v>688</v>
      </c>
      <c r="D1914" s="375" t="str">
        <f t="shared" si="396"/>
        <v>Harpley Estate64</v>
      </c>
      <c r="E1914" s="375" t="s">
        <v>3127</v>
      </c>
      <c r="F1914" s="375" t="s">
        <v>1095</v>
      </c>
      <c r="G1914" s="375" t="s">
        <v>3101</v>
      </c>
      <c r="H1914" s="375" t="s">
        <v>3102</v>
      </c>
      <c r="I1914" s="63" t="s">
        <v>3103</v>
      </c>
      <c r="J1914" s="47">
        <f t="shared" si="392"/>
        <v>3740</v>
      </c>
      <c r="K1914" s="46" t="s">
        <v>7938</v>
      </c>
      <c r="L1914" s="47">
        <f t="shared" si="393"/>
        <v>1210</v>
      </c>
      <c r="M1914" s="47" t="s">
        <v>10867</v>
      </c>
      <c r="N1914" s="47"/>
      <c r="O1914" s="47"/>
      <c r="P1914" s="47"/>
      <c r="Q1914" s="47" t="s">
        <v>3116</v>
      </c>
      <c r="R1914" s="47"/>
      <c r="S1914" s="47"/>
      <c r="T1914" s="47"/>
      <c r="U1914" s="47">
        <f t="shared" si="394"/>
        <v>430</v>
      </c>
      <c r="V1914" s="47"/>
      <c r="W1914" s="47"/>
      <c r="X1914" s="47">
        <f t="shared" si="395"/>
        <v>3000</v>
      </c>
      <c r="Y1914" s="47"/>
      <c r="Z1914" s="47">
        <f t="shared" si="397"/>
        <v>4620</v>
      </c>
      <c r="AA1914" s="47"/>
      <c r="AB1914" s="47"/>
      <c r="AC1914" s="47"/>
      <c r="AD1914" s="47"/>
      <c r="AE1914" s="47"/>
      <c r="AF1914" s="47"/>
      <c r="AG1914" s="47"/>
      <c r="AH1914" s="47" t="str">
        <f>IFERROR(_xlfn.XLOOKUP(Table6[[#This Row],[Suburb]],Table5[Travel Surcharge],Table5[$$]),"")</f>
        <v/>
      </c>
      <c r="AI1914" s="47"/>
      <c r="AJ1914" s="47"/>
    </row>
    <row r="1915" spans="1:36">
      <c r="A1915" s="374" t="s">
        <v>3099</v>
      </c>
      <c r="B1915" s="374">
        <v>65</v>
      </c>
      <c r="C1915" s="374" t="s">
        <v>688</v>
      </c>
      <c r="D1915" s="375" t="str">
        <f t="shared" si="396"/>
        <v>Harpley Estate65</v>
      </c>
      <c r="E1915" s="375" t="s">
        <v>3128</v>
      </c>
      <c r="F1915" s="375" t="s">
        <v>1095</v>
      </c>
      <c r="G1915" s="375" t="s">
        <v>3101</v>
      </c>
      <c r="H1915" s="375" t="s">
        <v>3102</v>
      </c>
      <c r="I1915" s="63" t="s">
        <v>3103</v>
      </c>
      <c r="J1915" s="47">
        <f t="shared" si="392"/>
        <v>3740</v>
      </c>
      <c r="K1915" s="46" t="s">
        <v>7938</v>
      </c>
      <c r="L1915" s="47">
        <f t="shared" si="393"/>
        <v>1210</v>
      </c>
      <c r="M1915" s="47" t="s">
        <v>10867</v>
      </c>
      <c r="N1915" s="47"/>
      <c r="O1915" s="47"/>
      <c r="P1915" s="47"/>
      <c r="Q1915" s="47" t="s">
        <v>3116</v>
      </c>
      <c r="R1915" s="47"/>
      <c r="S1915" s="47"/>
      <c r="T1915" s="47"/>
      <c r="U1915" s="47">
        <f t="shared" si="394"/>
        <v>430</v>
      </c>
      <c r="V1915" s="47"/>
      <c r="W1915" s="47"/>
      <c r="X1915" s="47">
        <f t="shared" si="395"/>
        <v>3000</v>
      </c>
      <c r="Y1915" s="47"/>
      <c r="Z1915" s="47">
        <f t="shared" si="397"/>
        <v>4620</v>
      </c>
      <c r="AA1915" s="47"/>
      <c r="AB1915" s="47"/>
      <c r="AC1915" s="47"/>
      <c r="AD1915" s="47"/>
      <c r="AE1915" s="47"/>
      <c r="AF1915" s="47"/>
      <c r="AG1915" s="47"/>
      <c r="AH1915" s="47" t="str">
        <f>IFERROR(_xlfn.XLOOKUP(Table6[[#This Row],[Suburb]],Table5[Travel Surcharge],Table5[$$]),"")</f>
        <v/>
      </c>
      <c r="AI1915" s="47"/>
      <c r="AJ1915" s="47"/>
    </row>
    <row r="1916" spans="1:36">
      <c r="A1916" s="374" t="s">
        <v>3099</v>
      </c>
      <c r="B1916" s="374">
        <v>66</v>
      </c>
      <c r="C1916" s="374" t="s">
        <v>688</v>
      </c>
      <c r="D1916" s="375" t="str">
        <f t="shared" si="396"/>
        <v>Harpley Estate66</v>
      </c>
      <c r="E1916" s="375" t="s">
        <v>3129</v>
      </c>
      <c r="F1916" s="375" t="s">
        <v>1095</v>
      </c>
      <c r="G1916" s="375" t="s">
        <v>3101</v>
      </c>
      <c r="H1916" s="375" t="s">
        <v>3102</v>
      </c>
      <c r="I1916" s="63" t="s">
        <v>3103</v>
      </c>
      <c r="J1916" s="47">
        <f t="shared" si="392"/>
        <v>3740</v>
      </c>
      <c r="K1916" s="46" t="s">
        <v>7938</v>
      </c>
      <c r="L1916" s="47">
        <f t="shared" si="393"/>
        <v>1210</v>
      </c>
      <c r="M1916" s="47" t="s">
        <v>10867</v>
      </c>
      <c r="N1916" s="47"/>
      <c r="O1916" s="47"/>
      <c r="P1916" s="47"/>
      <c r="Q1916" s="47" t="s">
        <v>3116</v>
      </c>
      <c r="R1916" s="47"/>
      <c r="S1916" s="47"/>
      <c r="T1916" s="47"/>
      <c r="U1916" s="47">
        <f t="shared" si="394"/>
        <v>430</v>
      </c>
      <c r="V1916" s="47"/>
      <c r="W1916" s="47"/>
      <c r="X1916" s="47">
        <f t="shared" si="395"/>
        <v>3000</v>
      </c>
      <c r="Y1916" s="47"/>
      <c r="Z1916" s="47">
        <f t="shared" si="397"/>
        <v>4620</v>
      </c>
      <c r="AA1916" s="47"/>
      <c r="AB1916" s="47"/>
      <c r="AC1916" s="47"/>
      <c r="AD1916" s="47"/>
      <c r="AE1916" s="47"/>
      <c r="AF1916" s="47"/>
      <c r="AG1916" s="47"/>
      <c r="AH1916" s="47" t="str">
        <f>IFERROR(_xlfn.XLOOKUP(Table6[[#This Row],[Suburb]],Table5[Travel Surcharge],Table5[$$]),"")</f>
        <v/>
      </c>
      <c r="AI1916" s="47"/>
      <c r="AJ1916" s="47"/>
    </row>
    <row r="1917" spans="1:36">
      <c r="A1917" s="374" t="s">
        <v>3099</v>
      </c>
      <c r="B1917" s="374">
        <v>67</v>
      </c>
      <c r="C1917" s="374" t="s">
        <v>688</v>
      </c>
      <c r="D1917" s="375" t="str">
        <f t="shared" si="396"/>
        <v>Harpley Estate67</v>
      </c>
      <c r="E1917" s="375" t="s">
        <v>3130</v>
      </c>
      <c r="F1917" s="375" t="s">
        <v>1095</v>
      </c>
      <c r="G1917" s="375" t="s">
        <v>3101</v>
      </c>
      <c r="H1917" s="375" t="s">
        <v>3102</v>
      </c>
      <c r="I1917" s="63" t="s">
        <v>3103</v>
      </c>
      <c r="J1917" s="47">
        <f t="shared" si="392"/>
        <v>3740</v>
      </c>
      <c r="K1917" s="46" t="s">
        <v>7938</v>
      </c>
      <c r="L1917" s="47">
        <f t="shared" si="393"/>
        <v>1210</v>
      </c>
      <c r="M1917" s="47" t="s">
        <v>10867</v>
      </c>
      <c r="N1917" s="47"/>
      <c r="O1917" s="47"/>
      <c r="P1917" s="47"/>
      <c r="Q1917" s="47" t="s">
        <v>3116</v>
      </c>
      <c r="R1917" s="47"/>
      <c r="S1917" s="47"/>
      <c r="T1917" s="47"/>
      <c r="U1917" s="47">
        <f t="shared" si="394"/>
        <v>430</v>
      </c>
      <c r="V1917" s="47"/>
      <c r="W1917" s="47"/>
      <c r="X1917" s="47">
        <f t="shared" si="395"/>
        <v>3000</v>
      </c>
      <c r="Y1917" s="47"/>
      <c r="Z1917" s="47">
        <f t="shared" si="397"/>
        <v>4620</v>
      </c>
      <c r="AA1917" s="47"/>
      <c r="AB1917" s="47"/>
      <c r="AC1917" s="47"/>
      <c r="AD1917" s="47"/>
      <c r="AE1917" s="47"/>
      <c r="AF1917" s="47"/>
      <c r="AG1917" s="47"/>
      <c r="AH1917" s="47" t="str">
        <f>IFERROR(_xlfn.XLOOKUP(Table6[[#This Row],[Suburb]],Table5[Travel Surcharge],Table5[$$]),"")</f>
        <v/>
      </c>
      <c r="AI1917" s="47"/>
      <c r="AJ1917" s="47"/>
    </row>
    <row r="1918" spans="1:36">
      <c r="A1918" s="374" t="s">
        <v>3099</v>
      </c>
      <c r="B1918" s="374">
        <v>68</v>
      </c>
      <c r="C1918" s="374" t="s">
        <v>688</v>
      </c>
      <c r="D1918" s="375" t="str">
        <f t="shared" si="396"/>
        <v>Harpley Estate68</v>
      </c>
      <c r="E1918" s="375" t="s">
        <v>3131</v>
      </c>
      <c r="F1918" s="375" t="s">
        <v>1095</v>
      </c>
      <c r="G1918" s="375" t="s">
        <v>3101</v>
      </c>
      <c r="H1918" s="375" t="s">
        <v>3102</v>
      </c>
      <c r="I1918" s="63" t="s">
        <v>3103</v>
      </c>
      <c r="J1918" s="47">
        <f t="shared" si="392"/>
        <v>3740</v>
      </c>
      <c r="K1918" s="46" t="s">
        <v>7938</v>
      </c>
      <c r="L1918" s="47">
        <f t="shared" si="393"/>
        <v>1210</v>
      </c>
      <c r="M1918" s="47" t="s">
        <v>10867</v>
      </c>
      <c r="N1918" s="47"/>
      <c r="O1918" s="47"/>
      <c r="P1918" s="47"/>
      <c r="Q1918" s="47" t="s">
        <v>3116</v>
      </c>
      <c r="R1918" s="47"/>
      <c r="S1918" s="47"/>
      <c r="T1918" s="47"/>
      <c r="U1918" s="47">
        <f t="shared" si="394"/>
        <v>430</v>
      </c>
      <c r="V1918" s="47"/>
      <c r="W1918" s="47"/>
      <c r="X1918" s="47">
        <f t="shared" si="395"/>
        <v>3000</v>
      </c>
      <c r="Y1918" s="47"/>
      <c r="Z1918" s="47">
        <f t="shared" si="397"/>
        <v>4620</v>
      </c>
      <c r="AA1918" s="47"/>
      <c r="AB1918" s="47"/>
      <c r="AC1918" s="47"/>
      <c r="AD1918" s="47"/>
      <c r="AE1918" s="47"/>
      <c r="AF1918" s="47"/>
      <c r="AG1918" s="47"/>
      <c r="AH1918" s="47" t="str">
        <f>IFERROR(_xlfn.XLOOKUP(Table6[[#This Row],[Suburb]],Table5[Travel Surcharge],Table5[$$]),"")</f>
        <v/>
      </c>
      <c r="AI1918" s="47"/>
      <c r="AJ1918" s="47"/>
    </row>
    <row r="1919" spans="1:36">
      <c r="A1919" s="374" t="s">
        <v>3099</v>
      </c>
      <c r="B1919" s="374">
        <v>69</v>
      </c>
      <c r="C1919" s="374" t="s">
        <v>688</v>
      </c>
      <c r="D1919" s="375" t="str">
        <f t="shared" si="396"/>
        <v>Harpley Estate69</v>
      </c>
      <c r="E1919" s="375" t="s">
        <v>3132</v>
      </c>
      <c r="F1919" s="375" t="s">
        <v>1095</v>
      </c>
      <c r="G1919" s="375" t="s">
        <v>3101</v>
      </c>
      <c r="H1919" s="375" t="s">
        <v>3102</v>
      </c>
      <c r="I1919" s="63" t="s">
        <v>3103</v>
      </c>
      <c r="J1919" s="47">
        <f t="shared" si="392"/>
        <v>3740</v>
      </c>
      <c r="K1919" s="46" t="s">
        <v>7938</v>
      </c>
      <c r="L1919" s="47">
        <f t="shared" si="393"/>
        <v>1210</v>
      </c>
      <c r="M1919" s="47" t="s">
        <v>3133</v>
      </c>
      <c r="N1919" s="47"/>
      <c r="O1919" s="47" t="s">
        <v>10867</v>
      </c>
      <c r="P1919" s="47"/>
      <c r="Q1919" s="47" t="s">
        <v>3116</v>
      </c>
      <c r="R1919" s="47"/>
      <c r="S1919" s="47"/>
      <c r="T1919" s="47"/>
      <c r="U1919" s="47">
        <f t="shared" si="394"/>
        <v>430</v>
      </c>
      <c r="V1919" s="47"/>
      <c r="W1919" s="47"/>
      <c r="X1919" s="47">
        <f t="shared" si="395"/>
        <v>3000</v>
      </c>
      <c r="Y1919" s="47"/>
      <c r="Z1919" s="47">
        <f t="shared" si="397"/>
        <v>4620</v>
      </c>
      <c r="AA1919" s="47"/>
      <c r="AB1919" s="47"/>
      <c r="AC1919" s="47"/>
      <c r="AD1919" s="47"/>
      <c r="AE1919" s="47" t="s">
        <v>3134</v>
      </c>
      <c r="AF1919" s="47"/>
      <c r="AG1919" s="47"/>
      <c r="AH1919" s="47" t="str">
        <f>IFERROR(_xlfn.XLOOKUP(Table6[[#This Row],[Suburb]],Table5[Travel Surcharge],Table5[$$]),"")</f>
        <v/>
      </c>
      <c r="AI1919" s="47"/>
      <c r="AJ1919" s="47"/>
    </row>
    <row r="1920" spans="1:36">
      <c r="A1920" s="374" t="s">
        <v>3099</v>
      </c>
      <c r="B1920" s="374">
        <v>70</v>
      </c>
      <c r="C1920" s="374" t="s">
        <v>688</v>
      </c>
      <c r="D1920" s="375" t="str">
        <f t="shared" si="396"/>
        <v>Harpley Estate70</v>
      </c>
      <c r="E1920" s="375" t="s">
        <v>3135</v>
      </c>
      <c r="F1920" s="375" t="s">
        <v>1095</v>
      </c>
      <c r="G1920" s="375" t="s">
        <v>3101</v>
      </c>
      <c r="H1920" s="375" t="s">
        <v>3102</v>
      </c>
      <c r="I1920" s="63" t="s">
        <v>3103</v>
      </c>
      <c r="J1920" s="47">
        <f t="shared" si="392"/>
        <v>3740</v>
      </c>
      <c r="K1920" s="46" t="s">
        <v>7938</v>
      </c>
      <c r="L1920" s="47">
        <f t="shared" si="393"/>
        <v>1210</v>
      </c>
      <c r="M1920" s="47" t="s">
        <v>3133</v>
      </c>
      <c r="N1920" s="47"/>
      <c r="O1920" s="47" t="s">
        <v>10867</v>
      </c>
      <c r="P1920" s="47"/>
      <c r="Q1920" s="47" t="s">
        <v>3116</v>
      </c>
      <c r="R1920" s="47"/>
      <c r="S1920" s="47"/>
      <c r="T1920" s="47"/>
      <c r="U1920" s="47">
        <f t="shared" si="394"/>
        <v>430</v>
      </c>
      <c r="V1920" s="47"/>
      <c r="W1920" s="47"/>
      <c r="X1920" s="47">
        <f t="shared" si="395"/>
        <v>3000</v>
      </c>
      <c r="Y1920" s="47"/>
      <c r="Z1920" s="47">
        <f t="shared" si="397"/>
        <v>4620</v>
      </c>
      <c r="AA1920" s="47"/>
      <c r="AB1920" s="47"/>
      <c r="AC1920" s="47"/>
      <c r="AD1920" s="47"/>
      <c r="AE1920" s="47" t="s">
        <v>3134</v>
      </c>
      <c r="AF1920" s="47"/>
      <c r="AG1920" s="47"/>
      <c r="AH1920" s="47" t="str">
        <f>IFERROR(_xlfn.XLOOKUP(Table6[[#This Row],[Suburb]],Table5[Travel Surcharge],Table5[$$]),"")</f>
        <v/>
      </c>
      <c r="AI1920" s="47"/>
      <c r="AJ1920" s="47"/>
    </row>
    <row r="1921" spans="1:36">
      <c r="A1921" s="374" t="s">
        <v>3099</v>
      </c>
      <c r="B1921" s="374">
        <v>71</v>
      </c>
      <c r="C1921" s="374" t="s">
        <v>688</v>
      </c>
      <c r="D1921" s="375" t="str">
        <f t="shared" si="396"/>
        <v>Harpley Estate71</v>
      </c>
      <c r="E1921" s="375" t="s">
        <v>3136</v>
      </c>
      <c r="F1921" s="375" t="s">
        <v>1095</v>
      </c>
      <c r="G1921" s="375" t="s">
        <v>3101</v>
      </c>
      <c r="H1921" s="375" t="s">
        <v>3102</v>
      </c>
      <c r="I1921" s="63" t="s">
        <v>3103</v>
      </c>
      <c r="J1921" s="47">
        <f t="shared" si="392"/>
        <v>3740</v>
      </c>
      <c r="K1921" s="46" t="s">
        <v>7938</v>
      </c>
      <c r="L1921" s="47">
        <f t="shared" si="393"/>
        <v>1210</v>
      </c>
      <c r="M1921" s="47" t="s">
        <v>3133</v>
      </c>
      <c r="N1921" s="47"/>
      <c r="O1921" s="47" t="s">
        <v>10867</v>
      </c>
      <c r="P1921" s="47"/>
      <c r="Q1921" s="47" t="s">
        <v>3116</v>
      </c>
      <c r="R1921" s="47"/>
      <c r="S1921" s="47"/>
      <c r="T1921" s="47"/>
      <c r="U1921" s="47">
        <f t="shared" si="394"/>
        <v>430</v>
      </c>
      <c r="V1921" s="47"/>
      <c r="W1921" s="47"/>
      <c r="X1921" s="47">
        <f t="shared" si="395"/>
        <v>3000</v>
      </c>
      <c r="Y1921" s="47"/>
      <c r="Z1921" s="47">
        <f t="shared" si="397"/>
        <v>4620</v>
      </c>
      <c r="AA1921" s="47"/>
      <c r="AB1921" s="47"/>
      <c r="AC1921" s="47"/>
      <c r="AD1921" s="47"/>
      <c r="AE1921" s="47"/>
      <c r="AF1921" s="47"/>
      <c r="AG1921" s="47"/>
      <c r="AH1921" s="47" t="str">
        <f>IFERROR(_xlfn.XLOOKUP(Table6[[#This Row],[Suburb]],Table5[Travel Surcharge],Table5[$$]),"")</f>
        <v/>
      </c>
      <c r="AI1921" s="47"/>
      <c r="AJ1921" s="47"/>
    </row>
    <row r="1922" spans="1:36">
      <c r="A1922" s="374" t="s">
        <v>3099</v>
      </c>
      <c r="B1922" s="374">
        <v>72</v>
      </c>
      <c r="C1922" s="374" t="s">
        <v>688</v>
      </c>
      <c r="D1922" s="375" t="str">
        <f t="shared" si="396"/>
        <v>Harpley Estate72</v>
      </c>
      <c r="E1922" s="375" t="s">
        <v>3137</v>
      </c>
      <c r="F1922" s="375" t="s">
        <v>1095</v>
      </c>
      <c r="G1922" s="375" t="s">
        <v>3101</v>
      </c>
      <c r="H1922" s="375" t="s">
        <v>3102</v>
      </c>
      <c r="I1922" s="63" t="s">
        <v>3103</v>
      </c>
      <c r="J1922" s="47">
        <f t="shared" si="392"/>
        <v>3740</v>
      </c>
      <c r="K1922" s="46" t="s">
        <v>7938</v>
      </c>
      <c r="L1922" s="47">
        <f t="shared" si="393"/>
        <v>1210</v>
      </c>
      <c r="M1922" s="47" t="s">
        <v>3133</v>
      </c>
      <c r="N1922" s="47"/>
      <c r="O1922" s="47" t="s">
        <v>10867</v>
      </c>
      <c r="P1922" s="47"/>
      <c r="Q1922" s="47" t="s">
        <v>3116</v>
      </c>
      <c r="R1922" s="47"/>
      <c r="S1922" s="47"/>
      <c r="T1922" s="47"/>
      <c r="U1922" s="47">
        <f t="shared" si="394"/>
        <v>430</v>
      </c>
      <c r="V1922" s="47"/>
      <c r="W1922" s="47"/>
      <c r="X1922" s="47">
        <f t="shared" si="395"/>
        <v>3000</v>
      </c>
      <c r="Y1922" s="47"/>
      <c r="Z1922" s="47">
        <f t="shared" si="397"/>
        <v>4620</v>
      </c>
      <c r="AA1922" s="47"/>
      <c r="AB1922" s="47"/>
      <c r="AC1922" s="47"/>
      <c r="AD1922" s="47"/>
      <c r="AE1922" s="47"/>
      <c r="AF1922" s="47"/>
      <c r="AG1922" s="47"/>
      <c r="AH1922" s="47" t="str">
        <f>IFERROR(_xlfn.XLOOKUP(Table6[[#This Row],[Suburb]],Table5[Travel Surcharge],Table5[$$]),"")</f>
        <v/>
      </c>
      <c r="AI1922" s="47"/>
      <c r="AJ1922" s="47"/>
    </row>
    <row r="1923" spans="1:36">
      <c r="A1923" s="374" t="s">
        <v>3099</v>
      </c>
      <c r="B1923" s="374">
        <v>73</v>
      </c>
      <c r="C1923" s="374" t="s">
        <v>688</v>
      </c>
      <c r="D1923" s="375" t="str">
        <f t="shared" si="396"/>
        <v>Harpley Estate73</v>
      </c>
      <c r="E1923" s="375" t="s">
        <v>3138</v>
      </c>
      <c r="F1923" s="375" t="s">
        <v>1095</v>
      </c>
      <c r="G1923" s="375" t="s">
        <v>3101</v>
      </c>
      <c r="H1923" s="375" t="s">
        <v>3102</v>
      </c>
      <c r="I1923" s="63" t="s">
        <v>3103</v>
      </c>
      <c r="J1923" s="47">
        <f t="shared" si="392"/>
        <v>3740</v>
      </c>
      <c r="K1923" s="46" t="s">
        <v>7938</v>
      </c>
      <c r="L1923" s="47">
        <f t="shared" si="393"/>
        <v>1210</v>
      </c>
      <c r="M1923" s="47" t="s">
        <v>3133</v>
      </c>
      <c r="N1923" s="47"/>
      <c r="O1923" s="47" t="s">
        <v>10867</v>
      </c>
      <c r="P1923" s="47"/>
      <c r="Q1923" s="47" t="s">
        <v>3116</v>
      </c>
      <c r="R1923" s="47"/>
      <c r="S1923" s="47"/>
      <c r="T1923" s="47"/>
      <c r="U1923" s="47">
        <f t="shared" si="394"/>
        <v>430</v>
      </c>
      <c r="V1923" s="47"/>
      <c r="W1923" s="47"/>
      <c r="X1923" s="47">
        <f t="shared" si="395"/>
        <v>3000</v>
      </c>
      <c r="Y1923" s="47"/>
      <c r="Z1923" s="47">
        <f t="shared" si="397"/>
        <v>4620</v>
      </c>
      <c r="AA1923" s="47"/>
      <c r="AB1923" s="47"/>
      <c r="AC1923" s="47"/>
      <c r="AD1923" s="47"/>
      <c r="AE1923" s="47"/>
      <c r="AF1923" s="47"/>
      <c r="AG1923" s="47"/>
      <c r="AH1923" s="47" t="str">
        <f>IFERROR(_xlfn.XLOOKUP(Table6[[#This Row],[Suburb]],Table5[Travel Surcharge],Table5[$$]),"")</f>
        <v/>
      </c>
      <c r="AI1923" s="47"/>
      <c r="AJ1923" s="47"/>
    </row>
    <row r="1924" spans="1:36">
      <c r="A1924" s="374" t="s">
        <v>3099</v>
      </c>
      <c r="B1924" s="374">
        <v>74</v>
      </c>
      <c r="C1924" s="374" t="s">
        <v>688</v>
      </c>
      <c r="D1924" s="375" t="str">
        <f t="shared" si="396"/>
        <v>Harpley Estate74</v>
      </c>
      <c r="E1924" s="375" t="s">
        <v>3139</v>
      </c>
      <c r="F1924" s="375" t="s">
        <v>1095</v>
      </c>
      <c r="G1924" s="375" t="s">
        <v>3101</v>
      </c>
      <c r="H1924" s="375" t="s">
        <v>3102</v>
      </c>
      <c r="I1924" s="63" t="s">
        <v>3103</v>
      </c>
      <c r="J1924" s="47">
        <f t="shared" si="392"/>
        <v>3740</v>
      </c>
      <c r="K1924" s="46" t="s">
        <v>7938</v>
      </c>
      <c r="L1924" s="47">
        <f t="shared" si="393"/>
        <v>1210</v>
      </c>
      <c r="M1924" s="47" t="s">
        <v>3133</v>
      </c>
      <c r="N1924" s="47"/>
      <c r="O1924" s="47" t="s">
        <v>10867</v>
      </c>
      <c r="P1924" s="47"/>
      <c r="Q1924" s="47" t="s">
        <v>3116</v>
      </c>
      <c r="R1924" s="47"/>
      <c r="S1924" s="47"/>
      <c r="T1924" s="47"/>
      <c r="U1924" s="47">
        <f t="shared" si="394"/>
        <v>430</v>
      </c>
      <c r="V1924" s="47"/>
      <c r="W1924" s="47"/>
      <c r="X1924" s="47">
        <f t="shared" si="395"/>
        <v>3000</v>
      </c>
      <c r="Y1924" s="47"/>
      <c r="Z1924" s="47">
        <f t="shared" si="397"/>
        <v>4620</v>
      </c>
      <c r="AA1924" s="47"/>
      <c r="AB1924" s="47"/>
      <c r="AC1924" s="47"/>
      <c r="AD1924" s="47"/>
      <c r="AE1924" s="47"/>
      <c r="AF1924" s="47"/>
      <c r="AG1924" s="47"/>
      <c r="AH1924" s="47" t="str">
        <f>IFERROR(_xlfn.XLOOKUP(Table6[[#This Row],[Suburb]],Table5[Travel Surcharge],Table5[$$]),"")</f>
        <v/>
      </c>
      <c r="AI1924" s="47"/>
      <c r="AJ1924" s="47"/>
    </row>
    <row r="1925" spans="1:36">
      <c r="A1925" s="374" t="s">
        <v>3099</v>
      </c>
      <c r="B1925" s="374">
        <v>75</v>
      </c>
      <c r="C1925" s="374" t="s">
        <v>688</v>
      </c>
      <c r="D1925" s="375" t="str">
        <f t="shared" si="396"/>
        <v>Harpley Estate75</v>
      </c>
      <c r="E1925" s="375" t="s">
        <v>3140</v>
      </c>
      <c r="F1925" s="375" t="s">
        <v>1095</v>
      </c>
      <c r="G1925" s="375" t="s">
        <v>3101</v>
      </c>
      <c r="H1925" s="375" t="s">
        <v>3102</v>
      </c>
      <c r="I1925" s="63" t="s">
        <v>3103</v>
      </c>
      <c r="J1925" s="47">
        <f t="shared" si="392"/>
        <v>3740</v>
      </c>
      <c r="K1925" s="46" t="s">
        <v>7938</v>
      </c>
      <c r="L1925" s="47">
        <f t="shared" ref="L1925:L1945" si="398">L$7</f>
        <v>1210</v>
      </c>
      <c r="M1925" s="47" t="s">
        <v>3133</v>
      </c>
      <c r="N1925" s="47"/>
      <c r="O1925" s="47" t="s">
        <v>10867</v>
      </c>
      <c r="P1925" s="47"/>
      <c r="Q1925" s="47" t="s">
        <v>3116</v>
      </c>
      <c r="R1925" s="47"/>
      <c r="S1925" s="47"/>
      <c r="T1925" s="47"/>
      <c r="U1925" s="47">
        <f t="shared" si="394"/>
        <v>430</v>
      </c>
      <c r="V1925" s="47"/>
      <c r="W1925" s="47"/>
      <c r="X1925" s="47">
        <f t="shared" si="395"/>
        <v>3000</v>
      </c>
      <c r="Y1925" s="47"/>
      <c r="Z1925" s="47">
        <f t="shared" si="397"/>
        <v>4620</v>
      </c>
      <c r="AA1925" s="47"/>
      <c r="AB1925" s="47"/>
      <c r="AC1925" s="47"/>
      <c r="AD1925" s="47"/>
      <c r="AE1925" s="47"/>
      <c r="AF1925" s="47"/>
      <c r="AG1925" s="47"/>
      <c r="AH1925" s="47" t="str">
        <f>IFERROR(_xlfn.XLOOKUP(Table6[[#This Row],[Suburb]],Table5[Travel Surcharge],Table5[$$]),"")</f>
        <v/>
      </c>
      <c r="AI1925" s="47"/>
      <c r="AJ1925" s="47"/>
    </row>
    <row r="1926" spans="1:36">
      <c r="A1926" s="374" t="s">
        <v>3099</v>
      </c>
      <c r="B1926" s="374">
        <v>76</v>
      </c>
      <c r="C1926" s="374" t="s">
        <v>688</v>
      </c>
      <c r="D1926" s="375" t="str">
        <f t="shared" si="396"/>
        <v>Harpley Estate76</v>
      </c>
      <c r="E1926" s="375" t="s">
        <v>3141</v>
      </c>
      <c r="F1926" s="375" t="s">
        <v>1095</v>
      </c>
      <c r="G1926" s="375" t="s">
        <v>3101</v>
      </c>
      <c r="H1926" s="375" t="s">
        <v>3102</v>
      </c>
      <c r="I1926" s="63" t="s">
        <v>3103</v>
      </c>
      <c r="J1926" s="47">
        <f t="shared" si="392"/>
        <v>3740</v>
      </c>
      <c r="K1926" s="46" t="s">
        <v>7938</v>
      </c>
      <c r="L1926" s="47">
        <f t="shared" si="398"/>
        <v>1210</v>
      </c>
      <c r="M1926" s="47"/>
      <c r="N1926" s="47"/>
      <c r="O1926" s="47" t="s">
        <v>10867</v>
      </c>
      <c r="P1926" s="47"/>
      <c r="Q1926" s="47" t="s">
        <v>3116</v>
      </c>
      <c r="R1926" s="47"/>
      <c r="S1926" s="47"/>
      <c r="T1926" s="47"/>
      <c r="U1926" s="47">
        <f t="shared" si="394"/>
        <v>430</v>
      </c>
      <c r="V1926" s="47"/>
      <c r="W1926" s="47"/>
      <c r="X1926" s="47">
        <f t="shared" si="395"/>
        <v>3000</v>
      </c>
      <c r="Y1926" s="47"/>
      <c r="Z1926" s="47">
        <f t="shared" si="397"/>
        <v>4620</v>
      </c>
      <c r="AA1926" s="47"/>
      <c r="AB1926" s="47"/>
      <c r="AC1926" s="47"/>
      <c r="AD1926" s="47"/>
      <c r="AE1926" s="47"/>
      <c r="AF1926" s="47"/>
      <c r="AG1926" s="47"/>
      <c r="AH1926" s="47" t="str">
        <f>IFERROR(_xlfn.XLOOKUP(Table6[[#This Row],[Suburb]],Table5[Travel Surcharge],Table5[$$]),"")</f>
        <v/>
      </c>
      <c r="AI1926" s="47"/>
      <c r="AJ1926" s="47"/>
    </row>
    <row r="1927" spans="1:36">
      <c r="A1927" s="374" t="s">
        <v>3099</v>
      </c>
      <c r="B1927" s="374">
        <v>77</v>
      </c>
      <c r="C1927" s="374" t="s">
        <v>688</v>
      </c>
      <c r="D1927" s="375" t="str">
        <f t="shared" si="396"/>
        <v>Harpley Estate77</v>
      </c>
      <c r="E1927" s="375" t="s">
        <v>3142</v>
      </c>
      <c r="F1927" s="375" t="s">
        <v>1095</v>
      </c>
      <c r="G1927" s="375" t="s">
        <v>3101</v>
      </c>
      <c r="H1927" s="375" t="s">
        <v>3102</v>
      </c>
      <c r="I1927" s="63" t="s">
        <v>3103</v>
      </c>
      <c r="J1927" s="47">
        <f t="shared" si="392"/>
        <v>3740</v>
      </c>
      <c r="K1927" s="46" t="s">
        <v>7938</v>
      </c>
      <c r="L1927" s="47">
        <f t="shared" si="398"/>
        <v>1210</v>
      </c>
      <c r="M1927" s="47"/>
      <c r="N1927" s="47"/>
      <c r="O1927" s="47" t="s">
        <v>10867</v>
      </c>
      <c r="P1927" s="47"/>
      <c r="Q1927" s="47" t="s">
        <v>3116</v>
      </c>
      <c r="R1927" s="47"/>
      <c r="S1927" s="47"/>
      <c r="T1927" s="47"/>
      <c r="U1927" s="47">
        <f t="shared" si="394"/>
        <v>430</v>
      </c>
      <c r="V1927" s="47"/>
      <c r="W1927" s="47"/>
      <c r="X1927" s="47">
        <f t="shared" si="395"/>
        <v>3000</v>
      </c>
      <c r="Y1927" s="47"/>
      <c r="Z1927" s="47">
        <f t="shared" si="397"/>
        <v>4620</v>
      </c>
      <c r="AA1927" s="47"/>
      <c r="AB1927" s="47"/>
      <c r="AC1927" s="47"/>
      <c r="AD1927" s="47"/>
      <c r="AE1927" s="47" t="s">
        <v>3134</v>
      </c>
      <c r="AF1927" s="47"/>
      <c r="AG1927" s="47"/>
      <c r="AH1927" s="47" t="str">
        <f>IFERROR(_xlfn.XLOOKUP(Table6[[#This Row],[Suburb]],Table5[Travel Surcharge],Table5[$$]),"")</f>
        <v/>
      </c>
      <c r="AI1927" s="47"/>
      <c r="AJ1927" s="47"/>
    </row>
    <row r="1928" spans="1:36">
      <c r="A1928" s="374" t="s">
        <v>3099</v>
      </c>
      <c r="B1928" s="374">
        <v>81</v>
      </c>
      <c r="C1928" s="374" t="s">
        <v>688</v>
      </c>
      <c r="D1928" s="375" t="str">
        <f t="shared" si="396"/>
        <v>Harpley Estate81</v>
      </c>
      <c r="E1928" s="375" t="s">
        <v>3143</v>
      </c>
      <c r="F1928" s="375" t="s">
        <v>1095</v>
      </c>
      <c r="G1928" s="375" t="s">
        <v>3101</v>
      </c>
      <c r="H1928" s="375" t="s">
        <v>3102</v>
      </c>
      <c r="I1928" s="63" t="s">
        <v>3103</v>
      </c>
      <c r="J1928" s="47">
        <f t="shared" si="392"/>
        <v>3740</v>
      </c>
      <c r="K1928" s="46" t="s">
        <v>7938</v>
      </c>
      <c r="L1928" s="47">
        <f t="shared" si="398"/>
        <v>1210</v>
      </c>
      <c r="M1928" s="47"/>
      <c r="N1928" s="47"/>
      <c r="O1928" s="47" t="s">
        <v>10867</v>
      </c>
      <c r="P1928" s="47"/>
      <c r="Q1928" s="47" t="s">
        <v>3116</v>
      </c>
      <c r="R1928" s="47"/>
      <c r="S1928" s="47"/>
      <c r="T1928" s="47"/>
      <c r="U1928" s="47">
        <f t="shared" si="394"/>
        <v>430</v>
      </c>
      <c r="V1928" s="47"/>
      <c r="W1928" s="47"/>
      <c r="X1928" s="47">
        <f t="shared" si="395"/>
        <v>3000</v>
      </c>
      <c r="Y1928" s="47"/>
      <c r="Z1928" s="47">
        <f t="shared" si="397"/>
        <v>4620</v>
      </c>
      <c r="AA1928" s="47"/>
      <c r="AB1928" s="47"/>
      <c r="AC1928" s="47"/>
      <c r="AD1928" s="47"/>
      <c r="AE1928" s="47"/>
      <c r="AF1928" s="47"/>
      <c r="AG1928" s="47"/>
      <c r="AH1928" s="47" t="str">
        <f>IFERROR(_xlfn.XLOOKUP(Table6[[#This Row],[Suburb]],Table5[Travel Surcharge],Table5[$$]),"")</f>
        <v/>
      </c>
      <c r="AI1928" s="47"/>
      <c r="AJ1928" s="47"/>
    </row>
    <row r="1929" spans="1:36">
      <c r="A1929" s="374" t="s">
        <v>3099</v>
      </c>
      <c r="B1929" s="374">
        <v>82</v>
      </c>
      <c r="C1929" s="374" t="s">
        <v>688</v>
      </c>
      <c r="D1929" s="375" t="str">
        <f t="shared" si="396"/>
        <v>Harpley Estate82</v>
      </c>
      <c r="E1929" s="375" t="s">
        <v>3144</v>
      </c>
      <c r="F1929" s="375" t="s">
        <v>1095</v>
      </c>
      <c r="G1929" s="375" t="s">
        <v>3101</v>
      </c>
      <c r="H1929" s="375" t="s">
        <v>3102</v>
      </c>
      <c r="I1929" s="63" t="s">
        <v>3103</v>
      </c>
      <c r="J1929" s="47">
        <f t="shared" si="392"/>
        <v>3740</v>
      </c>
      <c r="K1929" s="46" t="s">
        <v>7938</v>
      </c>
      <c r="L1929" s="47">
        <f t="shared" si="398"/>
        <v>1210</v>
      </c>
      <c r="M1929" s="47"/>
      <c r="N1929" s="47"/>
      <c r="O1929" s="47" t="s">
        <v>10867</v>
      </c>
      <c r="P1929" s="47"/>
      <c r="Q1929" s="47" t="s">
        <v>3116</v>
      </c>
      <c r="R1929" s="47"/>
      <c r="S1929" s="47"/>
      <c r="T1929" s="47"/>
      <c r="U1929" s="47">
        <f t="shared" si="394"/>
        <v>430</v>
      </c>
      <c r="V1929" s="47"/>
      <c r="W1929" s="47"/>
      <c r="X1929" s="47">
        <f t="shared" si="395"/>
        <v>3000</v>
      </c>
      <c r="Y1929" s="47"/>
      <c r="Z1929" s="47">
        <f t="shared" si="397"/>
        <v>4620</v>
      </c>
      <c r="AA1929" s="47"/>
      <c r="AB1929" s="47"/>
      <c r="AC1929" s="47"/>
      <c r="AD1929" s="47"/>
      <c r="AE1929" s="47"/>
      <c r="AF1929" s="47"/>
      <c r="AG1929" s="47"/>
      <c r="AH1929" s="47" t="str">
        <f>IFERROR(_xlfn.XLOOKUP(Table6[[#This Row],[Suburb]],Table5[Travel Surcharge],Table5[$$]),"")</f>
        <v/>
      </c>
      <c r="AI1929" s="47"/>
      <c r="AJ1929" s="47"/>
    </row>
    <row r="1930" spans="1:36">
      <c r="A1930" s="374" t="s">
        <v>3099</v>
      </c>
      <c r="B1930" s="374">
        <v>83</v>
      </c>
      <c r="C1930" s="374" t="s">
        <v>688</v>
      </c>
      <c r="D1930" s="375" t="str">
        <f t="shared" si="396"/>
        <v>Harpley Estate83</v>
      </c>
      <c r="E1930" s="375" t="s">
        <v>7655</v>
      </c>
      <c r="F1930" s="375" t="s">
        <v>1095</v>
      </c>
      <c r="G1930" s="375" t="s">
        <v>3101</v>
      </c>
      <c r="H1930" s="375" t="s">
        <v>3102</v>
      </c>
      <c r="I1930" s="63" t="s">
        <v>3103</v>
      </c>
      <c r="J1930" s="47">
        <f t="shared" si="392"/>
        <v>3740</v>
      </c>
      <c r="K1930" s="46" t="s">
        <v>7938</v>
      </c>
      <c r="L1930" s="47">
        <f t="shared" si="398"/>
        <v>1210</v>
      </c>
      <c r="M1930" s="47"/>
      <c r="N1930" s="47"/>
      <c r="O1930" s="47" t="s">
        <v>10867</v>
      </c>
      <c r="P1930" s="47"/>
      <c r="Q1930" s="47" t="s">
        <v>3116</v>
      </c>
      <c r="R1930" s="47"/>
      <c r="S1930" s="47"/>
      <c r="T1930" s="47"/>
      <c r="U1930" s="47">
        <f t="shared" si="394"/>
        <v>430</v>
      </c>
      <c r="V1930" s="47"/>
      <c r="W1930" s="47"/>
      <c r="X1930" s="47">
        <f t="shared" si="395"/>
        <v>3000</v>
      </c>
      <c r="Y1930" s="47"/>
      <c r="Z1930" s="47">
        <f t="shared" si="397"/>
        <v>4620</v>
      </c>
      <c r="AA1930" s="47"/>
      <c r="AB1930" s="47"/>
      <c r="AC1930" s="47"/>
      <c r="AD1930" s="47"/>
      <c r="AE1930" s="47"/>
      <c r="AF1930" s="47"/>
      <c r="AG1930" s="47"/>
      <c r="AH1930" s="47" t="str">
        <f>IFERROR(_xlfn.XLOOKUP(Table6[[#This Row],[Suburb]],Table5[Travel Surcharge],Table5[$$]),"")</f>
        <v/>
      </c>
      <c r="AI1930" s="47"/>
      <c r="AJ1930" s="47"/>
    </row>
    <row r="1931" spans="1:36">
      <c r="A1931" s="374" t="s">
        <v>3099</v>
      </c>
      <c r="B1931" s="374">
        <v>84</v>
      </c>
      <c r="C1931" s="374" t="s">
        <v>688</v>
      </c>
      <c r="D1931" s="375" t="str">
        <f t="shared" ref="D1931:D1945" si="399">CONCATENATE(A1931,B1931)</f>
        <v>Harpley Estate84</v>
      </c>
      <c r="E1931" s="375" t="s">
        <v>9547</v>
      </c>
      <c r="F1931" s="375" t="s">
        <v>1095</v>
      </c>
      <c r="G1931" s="375" t="s">
        <v>3101</v>
      </c>
      <c r="H1931" s="375" t="s">
        <v>3102</v>
      </c>
      <c r="I1931" s="63" t="s">
        <v>3103</v>
      </c>
      <c r="J1931" s="47">
        <f t="shared" si="392"/>
        <v>3740</v>
      </c>
      <c r="K1931" s="46" t="s">
        <v>7938</v>
      </c>
      <c r="L1931" s="47">
        <f t="shared" si="398"/>
        <v>1210</v>
      </c>
      <c r="M1931" s="47" t="s">
        <v>9891</v>
      </c>
      <c r="N1931" s="47" t="s">
        <v>10867</v>
      </c>
      <c r="O1931" s="47"/>
      <c r="P1931" s="47"/>
      <c r="Q1931" s="47" t="s">
        <v>3116</v>
      </c>
      <c r="R1931" s="47"/>
      <c r="S1931" s="47"/>
      <c r="T1931" s="47"/>
      <c r="U1931" s="47">
        <f t="shared" si="394"/>
        <v>430</v>
      </c>
      <c r="V1931" s="47"/>
      <c r="W1931" s="47"/>
      <c r="X1931" s="47">
        <f t="shared" si="395"/>
        <v>3000</v>
      </c>
      <c r="Y1931" s="47"/>
      <c r="Z1931" s="47">
        <f t="shared" ref="Z1931:Z1945" si="400">Z$7</f>
        <v>4620</v>
      </c>
      <c r="AA1931" s="47"/>
      <c r="AB1931" s="47"/>
      <c r="AC1931" s="47"/>
      <c r="AD1931" s="47"/>
      <c r="AE1931" s="47"/>
      <c r="AF1931" s="47"/>
      <c r="AG1931" s="47"/>
      <c r="AH1931" s="47" t="str">
        <f>IFERROR(_xlfn.XLOOKUP(Table6[[#This Row],[Suburb]],Table5[Travel Surcharge],Table5[$$]),"")</f>
        <v/>
      </c>
      <c r="AI1931" s="47"/>
      <c r="AJ1931" s="47"/>
    </row>
    <row r="1932" spans="1:36">
      <c r="A1932" s="374" t="s">
        <v>3099</v>
      </c>
      <c r="B1932" s="276" t="s">
        <v>3145</v>
      </c>
      <c r="C1932" s="374" t="s">
        <v>688</v>
      </c>
      <c r="D1932" s="375" t="str">
        <f t="shared" si="399"/>
        <v>Harpley Estate61A</v>
      </c>
      <c r="E1932" s="375" t="s">
        <v>3146</v>
      </c>
      <c r="F1932" s="375" t="s">
        <v>1095</v>
      </c>
      <c r="G1932" s="375" t="s">
        <v>3101</v>
      </c>
      <c r="H1932" s="375" t="s">
        <v>3102</v>
      </c>
      <c r="I1932" s="63" t="s">
        <v>3103</v>
      </c>
      <c r="J1932" s="47">
        <f t="shared" si="392"/>
        <v>3740</v>
      </c>
      <c r="K1932" s="46" t="s">
        <v>7938</v>
      </c>
      <c r="L1932" s="47">
        <f t="shared" si="398"/>
        <v>1210</v>
      </c>
      <c r="M1932" s="47"/>
      <c r="N1932" s="47" t="s">
        <v>10867</v>
      </c>
      <c r="O1932" s="47"/>
      <c r="P1932" s="47"/>
      <c r="Q1932" s="47" t="s">
        <v>3116</v>
      </c>
      <c r="R1932" s="47"/>
      <c r="S1932" s="47"/>
      <c r="T1932" s="47"/>
      <c r="U1932" s="47">
        <f t="shared" si="394"/>
        <v>430</v>
      </c>
      <c r="V1932" s="47"/>
      <c r="W1932" s="47"/>
      <c r="X1932" s="47">
        <f t="shared" si="395"/>
        <v>3000</v>
      </c>
      <c r="Y1932" s="47"/>
      <c r="Z1932" s="47">
        <f t="shared" si="400"/>
        <v>4620</v>
      </c>
      <c r="AA1932" s="47"/>
      <c r="AB1932" s="47"/>
      <c r="AC1932" s="47"/>
      <c r="AD1932" s="47"/>
      <c r="AE1932" s="47"/>
      <c r="AF1932" s="47"/>
      <c r="AG1932" s="47"/>
      <c r="AH1932" s="47" t="str">
        <f>IFERROR(_xlfn.XLOOKUP(Table6[[#This Row],[Suburb]],Table5[Travel Surcharge],Table5[$$]),"")</f>
        <v/>
      </c>
      <c r="AI1932" s="47"/>
      <c r="AJ1932" s="47"/>
    </row>
    <row r="1933" spans="1:36">
      <c r="A1933" s="374" t="s">
        <v>3099</v>
      </c>
      <c r="B1933" s="374">
        <v>102</v>
      </c>
      <c r="C1933" s="374" t="s">
        <v>688</v>
      </c>
      <c r="D1933" s="375" t="str">
        <f t="shared" ref="D1933" si="401">CONCATENATE(A1933,B1933)</f>
        <v>Harpley Estate102</v>
      </c>
      <c r="E1933" s="375" t="s">
        <v>10977</v>
      </c>
      <c r="F1933" s="375" t="s">
        <v>1095</v>
      </c>
      <c r="G1933" s="375" t="s">
        <v>3101</v>
      </c>
      <c r="H1933" s="375" t="s">
        <v>3102</v>
      </c>
      <c r="I1933" s="63" t="s">
        <v>3103</v>
      </c>
      <c r="J1933" s="47">
        <v>3740</v>
      </c>
      <c r="K1933" s="46" t="s">
        <v>7938</v>
      </c>
      <c r="L1933" s="47">
        <v>1210</v>
      </c>
      <c r="M1933" s="47"/>
      <c r="N1933" s="47" t="s">
        <v>10867</v>
      </c>
      <c r="O1933" s="47"/>
      <c r="P1933" s="47"/>
      <c r="Q1933" s="47" t="s">
        <v>3116</v>
      </c>
      <c r="R1933" s="47"/>
      <c r="S1933" s="47"/>
      <c r="T1933" s="47"/>
      <c r="U1933" s="47">
        <v>430</v>
      </c>
      <c r="V1933" s="47"/>
      <c r="W1933" s="47"/>
      <c r="X1933" s="47">
        <v>3000</v>
      </c>
      <c r="Y1933" s="47"/>
      <c r="Z1933" s="47">
        <v>4620</v>
      </c>
      <c r="AA1933" s="47"/>
      <c r="AB1933" s="47"/>
      <c r="AC1933" s="47"/>
      <c r="AD1933" s="47"/>
      <c r="AE1933" s="47"/>
      <c r="AF1933" s="47"/>
      <c r="AG1933" s="47"/>
      <c r="AH1933" s="47" t="s">
        <v>9976</v>
      </c>
      <c r="AI1933" s="47"/>
      <c r="AJ1933" s="47"/>
    </row>
    <row r="1934" spans="1:36">
      <c r="A1934" s="374" t="s">
        <v>3099</v>
      </c>
      <c r="B1934" s="374">
        <v>103</v>
      </c>
      <c r="C1934" s="374" t="s">
        <v>688</v>
      </c>
      <c r="D1934" s="375" t="str">
        <f t="shared" si="399"/>
        <v>Harpley Estate103</v>
      </c>
      <c r="E1934" s="375" t="s">
        <v>10845</v>
      </c>
      <c r="F1934" s="375" t="s">
        <v>1095</v>
      </c>
      <c r="G1934" s="375" t="s">
        <v>3101</v>
      </c>
      <c r="H1934" s="375" t="s">
        <v>3102</v>
      </c>
      <c r="I1934" s="63" t="s">
        <v>3103</v>
      </c>
      <c r="J1934" s="47">
        <v>3740</v>
      </c>
      <c r="K1934" s="46" t="s">
        <v>7938</v>
      </c>
      <c r="L1934" s="47">
        <v>1210</v>
      </c>
      <c r="M1934" s="47"/>
      <c r="N1934" s="47" t="s">
        <v>10867</v>
      </c>
      <c r="O1934" s="47"/>
      <c r="P1934" s="47"/>
      <c r="Q1934" s="47" t="s">
        <v>3116</v>
      </c>
      <c r="R1934" s="47"/>
      <c r="S1934" s="47"/>
      <c r="T1934" s="47"/>
      <c r="U1934" s="47">
        <v>430</v>
      </c>
      <c r="V1934" s="47"/>
      <c r="W1934" s="47"/>
      <c r="X1934" s="47">
        <v>3000</v>
      </c>
      <c r="Y1934" s="47"/>
      <c r="Z1934" s="47">
        <v>4620</v>
      </c>
      <c r="AA1934" s="47"/>
      <c r="AB1934" s="47"/>
      <c r="AC1934" s="47"/>
      <c r="AD1934" s="47"/>
      <c r="AE1934" s="47"/>
      <c r="AF1934" s="47"/>
      <c r="AG1934" s="47"/>
      <c r="AH1934" s="47" t="s">
        <v>9976</v>
      </c>
      <c r="AI1934" s="47"/>
      <c r="AJ1934" s="47"/>
    </row>
    <row r="1935" spans="1:36">
      <c r="A1935" s="374" t="s">
        <v>3147</v>
      </c>
      <c r="B1935" s="374">
        <v>1</v>
      </c>
      <c r="C1935" s="374" t="s">
        <v>281</v>
      </c>
      <c r="D1935" s="375" t="str">
        <f t="shared" si="399"/>
        <v>Harriot 1</v>
      </c>
      <c r="E1935" s="375" t="s">
        <v>3148</v>
      </c>
      <c r="F1935" s="375"/>
      <c r="G1935" s="375"/>
      <c r="H1935" s="375"/>
      <c r="I1935" s="63"/>
      <c r="J1935" s="47" t="s">
        <v>3149</v>
      </c>
      <c r="K1935" s="46" t="s">
        <v>10735</v>
      </c>
      <c r="L1935" s="47">
        <f t="shared" si="398"/>
        <v>1210</v>
      </c>
      <c r="M1935" s="47" t="s">
        <v>3150</v>
      </c>
      <c r="N1935" s="47" t="s">
        <v>3151</v>
      </c>
      <c r="O1935" s="47" t="s">
        <v>3152</v>
      </c>
      <c r="P1935" s="47"/>
      <c r="Q1935" s="47"/>
      <c r="R1935" s="47"/>
      <c r="S1935" s="47" t="s">
        <v>3153</v>
      </c>
      <c r="T1935" s="47" t="s">
        <v>986</v>
      </c>
      <c r="U1935" s="47"/>
      <c r="V1935" s="47"/>
      <c r="W1935" s="47"/>
      <c r="X1935" s="47"/>
      <c r="Y1935" s="47"/>
      <c r="Z1935" s="47">
        <f t="shared" si="400"/>
        <v>4620</v>
      </c>
      <c r="AA1935" s="47"/>
      <c r="AB1935" s="47"/>
      <c r="AC1935" s="47"/>
      <c r="AD1935" s="47"/>
      <c r="AE1935" s="47">
        <f t="shared" ref="AE1935:AF1945" si="402">AE$7</f>
        <v>5000</v>
      </c>
      <c r="AF1935" s="47">
        <f t="shared" si="402"/>
        <v>1485</v>
      </c>
      <c r="AG1935" s="47"/>
      <c r="AH1935" s="47">
        <f>IFERROR(_xlfn.XLOOKUP(Table6[[#This Row],[Suburb]],Table5[Travel Surcharge],Table5[$$]),"")</f>
        <v>1500</v>
      </c>
      <c r="AI1935" s="47">
        <f t="shared" ref="AI1935:AI1947" si="403">AI$7</f>
        <v>1650.0000000000002</v>
      </c>
      <c r="AJ1935" s="47"/>
    </row>
    <row r="1936" spans="1:36">
      <c r="A1936" s="374" t="s">
        <v>3147</v>
      </c>
      <c r="B1936" s="374">
        <v>2</v>
      </c>
      <c r="C1936" s="374" t="s">
        <v>281</v>
      </c>
      <c r="D1936" s="375" t="str">
        <f t="shared" si="399"/>
        <v>Harriot 2</v>
      </c>
      <c r="E1936" s="375" t="s">
        <v>3154</v>
      </c>
      <c r="F1936" s="375"/>
      <c r="G1936" s="375"/>
      <c r="H1936" s="375"/>
      <c r="I1936" s="63"/>
      <c r="J1936" s="47" t="s">
        <v>3149</v>
      </c>
      <c r="K1936" s="46" t="s">
        <v>10735</v>
      </c>
      <c r="L1936" s="47">
        <f t="shared" si="398"/>
        <v>1210</v>
      </c>
      <c r="M1936" s="47" t="s">
        <v>3150</v>
      </c>
      <c r="N1936" s="47" t="s">
        <v>3151</v>
      </c>
      <c r="O1936" s="47" t="s">
        <v>3152</v>
      </c>
      <c r="P1936" s="47"/>
      <c r="Q1936" s="47"/>
      <c r="R1936" s="47"/>
      <c r="S1936" s="47" t="s">
        <v>3153</v>
      </c>
      <c r="T1936" s="47" t="s">
        <v>986</v>
      </c>
      <c r="U1936" s="47"/>
      <c r="V1936" s="47"/>
      <c r="W1936" s="47"/>
      <c r="X1936" s="47"/>
      <c r="Y1936" s="47"/>
      <c r="Z1936" s="47">
        <f t="shared" si="400"/>
        <v>4620</v>
      </c>
      <c r="AA1936" s="47"/>
      <c r="AB1936" s="47"/>
      <c r="AC1936" s="47"/>
      <c r="AD1936" s="47"/>
      <c r="AE1936" s="47">
        <f t="shared" si="402"/>
        <v>5000</v>
      </c>
      <c r="AF1936" s="47">
        <f t="shared" si="402"/>
        <v>1485</v>
      </c>
      <c r="AG1936" s="47"/>
      <c r="AH1936" s="47">
        <f>IFERROR(_xlfn.XLOOKUP(Table6[[#This Row],[Suburb]],Table5[Travel Surcharge],Table5[$$]),"")</f>
        <v>1500</v>
      </c>
      <c r="AI1936" s="47">
        <f t="shared" si="403"/>
        <v>1650.0000000000002</v>
      </c>
      <c r="AJ1936" s="47"/>
    </row>
    <row r="1937" spans="1:36">
      <c r="A1937" s="374" t="s">
        <v>3147</v>
      </c>
      <c r="B1937" s="374">
        <v>3</v>
      </c>
      <c r="C1937" s="374" t="s">
        <v>281</v>
      </c>
      <c r="D1937" s="375" t="str">
        <f t="shared" si="399"/>
        <v>Harriot 3</v>
      </c>
      <c r="E1937" s="375" t="s">
        <v>3155</v>
      </c>
      <c r="F1937" s="375"/>
      <c r="G1937" s="375"/>
      <c r="H1937" s="375"/>
      <c r="I1937" s="63"/>
      <c r="J1937" s="47" t="s">
        <v>3149</v>
      </c>
      <c r="K1937" s="46" t="s">
        <v>10735</v>
      </c>
      <c r="L1937" s="47">
        <f t="shared" si="398"/>
        <v>1210</v>
      </c>
      <c r="M1937" s="47" t="s">
        <v>3150</v>
      </c>
      <c r="N1937" s="47" t="s">
        <v>3151</v>
      </c>
      <c r="O1937" s="47" t="s">
        <v>3152</v>
      </c>
      <c r="P1937" s="47"/>
      <c r="Q1937" s="47"/>
      <c r="R1937" s="47"/>
      <c r="S1937" s="47" t="s">
        <v>3153</v>
      </c>
      <c r="T1937" s="47" t="s">
        <v>986</v>
      </c>
      <c r="U1937" s="47"/>
      <c r="V1937" s="47"/>
      <c r="W1937" s="47"/>
      <c r="X1937" s="47"/>
      <c r="Y1937" s="47"/>
      <c r="Z1937" s="47">
        <f t="shared" si="400"/>
        <v>4620</v>
      </c>
      <c r="AA1937" s="47"/>
      <c r="AB1937" s="47"/>
      <c r="AC1937" s="47"/>
      <c r="AD1937" s="47"/>
      <c r="AE1937" s="47">
        <f t="shared" si="402"/>
        <v>5000</v>
      </c>
      <c r="AF1937" s="47">
        <f t="shared" si="402"/>
        <v>1485</v>
      </c>
      <c r="AG1937" s="47"/>
      <c r="AH1937" s="47">
        <f>IFERROR(_xlfn.XLOOKUP(Table6[[#This Row],[Suburb]],Table5[Travel Surcharge],Table5[$$]),"")</f>
        <v>1500</v>
      </c>
      <c r="AI1937" s="47">
        <f t="shared" si="403"/>
        <v>1650.0000000000002</v>
      </c>
      <c r="AJ1937" s="47"/>
    </row>
    <row r="1938" spans="1:36">
      <c r="A1938" s="374" t="s">
        <v>3147</v>
      </c>
      <c r="B1938" s="374">
        <v>4</v>
      </c>
      <c r="C1938" s="374" t="s">
        <v>281</v>
      </c>
      <c r="D1938" s="375" t="str">
        <f t="shared" si="399"/>
        <v>Harriot 4</v>
      </c>
      <c r="E1938" s="375" t="s">
        <v>3156</v>
      </c>
      <c r="F1938" s="375"/>
      <c r="G1938" s="375"/>
      <c r="H1938" s="375"/>
      <c r="I1938" s="63"/>
      <c r="J1938" s="47" t="s">
        <v>3149</v>
      </c>
      <c r="K1938" s="46" t="s">
        <v>10735</v>
      </c>
      <c r="L1938" s="47">
        <f t="shared" si="398"/>
        <v>1210</v>
      </c>
      <c r="M1938" s="47" t="s">
        <v>3150</v>
      </c>
      <c r="N1938" s="47" t="s">
        <v>3151</v>
      </c>
      <c r="O1938" s="47" t="s">
        <v>3152</v>
      </c>
      <c r="P1938" s="47"/>
      <c r="Q1938" s="47"/>
      <c r="R1938" s="47"/>
      <c r="S1938" s="47" t="s">
        <v>3153</v>
      </c>
      <c r="T1938" s="47" t="s">
        <v>986</v>
      </c>
      <c r="U1938" s="47"/>
      <c r="V1938" s="47"/>
      <c r="W1938" s="47"/>
      <c r="X1938" s="47"/>
      <c r="Y1938" s="47"/>
      <c r="Z1938" s="47">
        <f t="shared" si="400"/>
        <v>4620</v>
      </c>
      <c r="AA1938" s="47"/>
      <c r="AB1938" s="47"/>
      <c r="AC1938" s="47"/>
      <c r="AD1938" s="47"/>
      <c r="AE1938" s="47">
        <f t="shared" si="402"/>
        <v>5000</v>
      </c>
      <c r="AF1938" s="47">
        <f t="shared" si="402"/>
        <v>1485</v>
      </c>
      <c r="AG1938" s="47"/>
      <c r="AH1938" s="47">
        <f>IFERROR(_xlfn.XLOOKUP(Table6[[#This Row],[Suburb]],Table5[Travel Surcharge],Table5[$$]),"")</f>
        <v>1500</v>
      </c>
      <c r="AI1938" s="47">
        <f t="shared" si="403"/>
        <v>1650.0000000000002</v>
      </c>
      <c r="AJ1938" s="47"/>
    </row>
    <row r="1939" spans="1:36">
      <c r="A1939" s="157" t="s">
        <v>3147</v>
      </c>
      <c r="B1939" s="157">
        <v>5</v>
      </c>
      <c r="C1939" s="157" t="s">
        <v>8126</v>
      </c>
      <c r="D1939" s="157" t="str">
        <f t="shared" si="399"/>
        <v>Harriot 5</v>
      </c>
      <c r="E1939" s="157" t="s">
        <v>8129</v>
      </c>
      <c r="F1939" s="157"/>
      <c r="G1939" s="157"/>
      <c r="H1939" s="157"/>
      <c r="I1939" s="158"/>
      <c r="J1939" s="47" t="s">
        <v>8127</v>
      </c>
      <c r="K1939" s="46" t="s">
        <v>10735</v>
      </c>
      <c r="L1939" s="47">
        <f t="shared" si="398"/>
        <v>1210</v>
      </c>
      <c r="M1939" s="47" t="s">
        <v>3150</v>
      </c>
      <c r="N1939" s="47" t="s">
        <v>8128</v>
      </c>
      <c r="O1939" s="47" t="s">
        <v>3152</v>
      </c>
      <c r="P1939" s="47"/>
      <c r="Q1939" s="47"/>
      <c r="R1939" s="47"/>
      <c r="S1939" s="47" t="s">
        <v>3153</v>
      </c>
      <c r="T1939" s="47" t="s">
        <v>986</v>
      </c>
      <c r="U1939" s="47"/>
      <c r="V1939" s="47"/>
      <c r="W1939" s="47"/>
      <c r="X1939" s="47"/>
      <c r="Y1939" s="47"/>
      <c r="Z1939" s="47">
        <f t="shared" si="400"/>
        <v>4620</v>
      </c>
      <c r="AA1939" s="47"/>
      <c r="AB1939" s="47"/>
      <c r="AC1939" s="47"/>
      <c r="AD1939" s="47"/>
      <c r="AE1939" s="47">
        <f t="shared" si="402"/>
        <v>5000</v>
      </c>
      <c r="AF1939" s="47">
        <f t="shared" si="402"/>
        <v>1485</v>
      </c>
      <c r="AG1939" s="47"/>
      <c r="AH1939" s="47" t="str">
        <f>IFERROR(_xlfn.XLOOKUP(Table6[[#This Row],[Suburb]],Table5[Travel Surcharge],Table5[$$]),"")</f>
        <v/>
      </c>
      <c r="AI1939" s="47">
        <f t="shared" si="403"/>
        <v>1650.0000000000002</v>
      </c>
      <c r="AJ1939" s="47"/>
    </row>
    <row r="1940" spans="1:36">
      <c r="A1940" s="374" t="s">
        <v>3147</v>
      </c>
      <c r="B1940" s="374">
        <v>6</v>
      </c>
      <c r="C1940" s="374" t="s">
        <v>281</v>
      </c>
      <c r="D1940" s="375" t="str">
        <f t="shared" si="399"/>
        <v>Harriot 6</v>
      </c>
      <c r="E1940" s="375" t="s">
        <v>3159</v>
      </c>
      <c r="F1940" s="375"/>
      <c r="G1940" s="375"/>
      <c r="H1940" s="375"/>
      <c r="I1940" s="63"/>
      <c r="J1940" s="47" t="s">
        <v>3149</v>
      </c>
      <c r="K1940" s="46" t="s">
        <v>10735</v>
      </c>
      <c r="L1940" s="47">
        <f t="shared" si="398"/>
        <v>1210</v>
      </c>
      <c r="M1940" s="47" t="s">
        <v>3150</v>
      </c>
      <c r="N1940" s="47" t="s">
        <v>3151</v>
      </c>
      <c r="O1940" s="47" t="s">
        <v>3152</v>
      </c>
      <c r="P1940" s="47"/>
      <c r="Q1940" s="47"/>
      <c r="R1940" s="47"/>
      <c r="S1940" s="47" t="s">
        <v>3153</v>
      </c>
      <c r="T1940" s="47" t="s">
        <v>986</v>
      </c>
      <c r="U1940" s="47"/>
      <c r="V1940" s="47"/>
      <c r="W1940" s="47"/>
      <c r="X1940" s="47"/>
      <c r="Y1940" s="47"/>
      <c r="Z1940" s="47">
        <f t="shared" si="400"/>
        <v>4620</v>
      </c>
      <c r="AA1940" s="47"/>
      <c r="AB1940" s="47"/>
      <c r="AC1940" s="47"/>
      <c r="AD1940" s="47"/>
      <c r="AE1940" s="47">
        <f t="shared" si="402"/>
        <v>5000</v>
      </c>
      <c r="AF1940" s="47">
        <f t="shared" si="402"/>
        <v>1485</v>
      </c>
      <c r="AG1940" s="47"/>
      <c r="AH1940" s="47">
        <f>IFERROR(_xlfn.XLOOKUP(Table6[[#This Row],[Suburb]],Table5[Travel Surcharge],Table5[$$]),"")</f>
        <v>1500</v>
      </c>
      <c r="AI1940" s="47">
        <f t="shared" si="403"/>
        <v>1650.0000000000002</v>
      </c>
      <c r="AJ1940" s="47"/>
    </row>
    <row r="1941" spans="1:36">
      <c r="A1941" s="374" t="s">
        <v>3147</v>
      </c>
      <c r="B1941" s="374">
        <v>7</v>
      </c>
      <c r="C1941" s="374" t="s">
        <v>281</v>
      </c>
      <c r="D1941" s="375" t="str">
        <f t="shared" si="399"/>
        <v>Harriot 7</v>
      </c>
      <c r="E1941" s="375" t="s">
        <v>3160</v>
      </c>
      <c r="F1941" s="375"/>
      <c r="G1941" s="375"/>
      <c r="H1941" s="375"/>
      <c r="I1941" s="63"/>
      <c r="J1941" s="47" t="s">
        <v>3149</v>
      </c>
      <c r="K1941" s="46" t="s">
        <v>10735</v>
      </c>
      <c r="L1941" s="47">
        <f t="shared" si="398"/>
        <v>1210</v>
      </c>
      <c r="M1941" s="47" t="s">
        <v>3150</v>
      </c>
      <c r="N1941" s="47" t="s">
        <v>3151</v>
      </c>
      <c r="O1941" s="47" t="s">
        <v>3152</v>
      </c>
      <c r="P1941" s="47"/>
      <c r="Q1941" s="47"/>
      <c r="R1941" s="47"/>
      <c r="S1941" s="47" t="s">
        <v>3153</v>
      </c>
      <c r="T1941" s="47" t="s">
        <v>986</v>
      </c>
      <c r="U1941" s="47"/>
      <c r="V1941" s="47"/>
      <c r="W1941" s="47"/>
      <c r="X1941" s="47"/>
      <c r="Y1941" s="47"/>
      <c r="Z1941" s="47">
        <f t="shared" si="400"/>
        <v>4620</v>
      </c>
      <c r="AA1941" s="47"/>
      <c r="AB1941" s="47"/>
      <c r="AC1941" s="47"/>
      <c r="AD1941" s="47"/>
      <c r="AE1941" s="47">
        <f t="shared" si="402"/>
        <v>5000</v>
      </c>
      <c r="AF1941" s="47">
        <f t="shared" si="402"/>
        <v>1485</v>
      </c>
      <c r="AG1941" s="47"/>
      <c r="AH1941" s="47">
        <f>IFERROR(_xlfn.XLOOKUP(Table6[[#This Row],[Suburb]],Table5[Travel Surcharge],Table5[$$]),"")</f>
        <v>1500</v>
      </c>
      <c r="AI1941" s="47">
        <f t="shared" si="403"/>
        <v>1650.0000000000002</v>
      </c>
      <c r="AJ1941" s="47"/>
    </row>
    <row r="1942" spans="1:36">
      <c r="A1942" s="374" t="s">
        <v>3147</v>
      </c>
      <c r="B1942" s="374">
        <v>8</v>
      </c>
      <c r="C1942" s="374" t="s">
        <v>281</v>
      </c>
      <c r="D1942" s="375" t="str">
        <f t="shared" si="399"/>
        <v>Harriot 8</v>
      </c>
      <c r="E1942" s="375" t="s">
        <v>3161</v>
      </c>
      <c r="F1942" s="375"/>
      <c r="G1942" s="375"/>
      <c r="H1942" s="375"/>
      <c r="I1942" s="63"/>
      <c r="J1942" s="47" t="s">
        <v>3149</v>
      </c>
      <c r="K1942" s="46" t="s">
        <v>10735</v>
      </c>
      <c r="L1942" s="47">
        <f t="shared" si="398"/>
        <v>1210</v>
      </c>
      <c r="M1942" s="47" t="s">
        <v>3150</v>
      </c>
      <c r="N1942" s="47" t="s">
        <v>3151</v>
      </c>
      <c r="O1942" s="47" t="s">
        <v>3152</v>
      </c>
      <c r="P1942" s="47"/>
      <c r="Q1942" s="47"/>
      <c r="R1942" s="47"/>
      <c r="S1942" s="47" t="s">
        <v>3153</v>
      </c>
      <c r="T1942" s="47" t="s">
        <v>986</v>
      </c>
      <c r="U1942" s="47"/>
      <c r="V1942" s="47"/>
      <c r="W1942" s="47"/>
      <c r="X1942" s="47"/>
      <c r="Y1942" s="47"/>
      <c r="Z1942" s="47">
        <f t="shared" si="400"/>
        <v>4620</v>
      </c>
      <c r="AA1942" s="47"/>
      <c r="AB1942" s="47"/>
      <c r="AC1942" s="47"/>
      <c r="AD1942" s="47"/>
      <c r="AE1942" s="47">
        <f t="shared" si="402"/>
        <v>5000</v>
      </c>
      <c r="AF1942" s="47">
        <f t="shared" si="402"/>
        <v>1485</v>
      </c>
      <c r="AG1942" s="47"/>
      <c r="AH1942" s="47">
        <f>IFERROR(_xlfn.XLOOKUP(Table6[[#This Row],[Suburb]],Table5[Travel Surcharge],Table5[$$]),"")</f>
        <v>1500</v>
      </c>
      <c r="AI1942" s="47">
        <f t="shared" si="403"/>
        <v>1650.0000000000002</v>
      </c>
      <c r="AJ1942" s="47"/>
    </row>
    <row r="1943" spans="1:36">
      <c r="A1943" s="374" t="s">
        <v>3147</v>
      </c>
      <c r="B1943" s="374">
        <v>11</v>
      </c>
      <c r="C1943" s="374" t="s">
        <v>281</v>
      </c>
      <c r="D1943" s="375" t="str">
        <f t="shared" si="399"/>
        <v>Harriot 11</v>
      </c>
      <c r="E1943" s="375" t="s">
        <v>3163</v>
      </c>
      <c r="F1943" s="375"/>
      <c r="G1943" s="375"/>
      <c r="H1943" s="375"/>
      <c r="I1943" s="63"/>
      <c r="J1943" s="47" t="s">
        <v>3149</v>
      </c>
      <c r="K1943" s="46" t="s">
        <v>10735</v>
      </c>
      <c r="L1943" s="47">
        <f t="shared" si="398"/>
        <v>1210</v>
      </c>
      <c r="M1943" s="47" t="s">
        <v>3150</v>
      </c>
      <c r="N1943" s="47" t="s">
        <v>3151</v>
      </c>
      <c r="O1943" s="47" t="s">
        <v>3152</v>
      </c>
      <c r="P1943" s="47"/>
      <c r="Q1943" s="47"/>
      <c r="R1943" s="47"/>
      <c r="S1943" s="47" t="s">
        <v>3153</v>
      </c>
      <c r="T1943" s="47" t="s">
        <v>986</v>
      </c>
      <c r="U1943" s="47"/>
      <c r="V1943" s="47"/>
      <c r="W1943" s="47"/>
      <c r="X1943" s="47"/>
      <c r="Y1943" s="47"/>
      <c r="Z1943" s="47">
        <f t="shared" si="400"/>
        <v>4620</v>
      </c>
      <c r="AA1943" s="47"/>
      <c r="AB1943" s="47"/>
      <c r="AC1943" s="47"/>
      <c r="AD1943" s="47"/>
      <c r="AE1943" s="47">
        <f t="shared" si="402"/>
        <v>5000</v>
      </c>
      <c r="AF1943" s="47">
        <f t="shared" si="402"/>
        <v>1485</v>
      </c>
      <c r="AG1943" s="47"/>
      <c r="AH1943" s="47">
        <f>IFERROR(_xlfn.XLOOKUP(Table6[[#This Row],[Suburb]],Table5[Travel Surcharge],Table5[$$]),"")</f>
        <v>1500</v>
      </c>
      <c r="AI1943" s="47">
        <f t="shared" si="403"/>
        <v>1650.0000000000002</v>
      </c>
      <c r="AJ1943" s="47"/>
    </row>
    <row r="1944" spans="1:36">
      <c r="A1944" s="374" t="s">
        <v>3147</v>
      </c>
      <c r="B1944" s="374">
        <v>12</v>
      </c>
      <c r="C1944" s="374" t="s">
        <v>281</v>
      </c>
      <c r="D1944" s="375" t="str">
        <f t="shared" si="399"/>
        <v>Harriot 12</v>
      </c>
      <c r="E1944" s="375" t="s">
        <v>3164</v>
      </c>
      <c r="F1944" s="375"/>
      <c r="G1944" s="375"/>
      <c r="H1944" s="375"/>
      <c r="I1944" s="63"/>
      <c r="J1944" s="47" t="s">
        <v>3149</v>
      </c>
      <c r="K1944" s="46" t="s">
        <v>10735</v>
      </c>
      <c r="L1944" s="47">
        <f t="shared" si="398"/>
        <v>1210</v>
      </c>
      <c r="M1944" s="47" t="s">
        <v>3150</v>
      </c>
      <c r="N1944" s="47" t="s">
        <v>3151</v>
      </c>
      <c r="O1944" s="47" t="s">
        <v>3152</v>
      </c>
      <c r="P1944" s="47"/>
      <c r="Q1944" s="47"/>
      <c r="R1944" s="47"/>
      <c r="S1944" s="47" t="s">
        <v>3153</v>
      </c>
      <c r="T1944" s="47" t="s">
        <v>986</v>
      </c>
      <c r="U1944" s="47"/>
      <c r="V1944" s="47"/>
      <c r="W1944" s="47"/>
      <c r="X1944" s="47"/>
      <c r="Y1944" s="47"/>
      <c r="Z1944" s="47">
        <f t="shared" si="400"/>
        <v>4620</v>
      </c>
      <c r="AA1944" s="47"/>
      <c r="AB1944" s="47"/>
      <c r="AC1944" s="47"/>
      <c r="AD1944" s="47"/>
      <c r="AE1944" s="47">
        <f t="shared" si="402"/>
        <v>5000</v>
      </c>
      <c r="AF1944" s="47">
        <f t="shared" si="402"/>
        <v>1485</v>
      </c>
      <c r="AG1944" s="47"/>
      <c r="AH1944" s="47">
        <f>IFERROR(_xlfn.XLOOKUP(Table6[[#This Row],[Suburb]],Table5[Travel Surcharge],Table5[$$]),"")</f>
        <v>1500</v>
      </c>
      <c r="AI1944" s="47">
        <f t="shared" si="403"/>
        <v>1650.0000000000002</v>
      </c>
      <c r="AJ1944" s="47"/>
    </row>
    <row r="1945" spans="1:36">
      <c r="A1945" s="374" t="s">
        <v>3147</v>
      </c>
      <c r="B1945" s="374" t="s">
        <v>528</v>
      </c>
      <c r="C1945" s="374" t="s">
        <v>281</v>
      </c>
      <c r="D1945" s="375" t="str">
        <f t="shared" si="399"/>
        <v>Harriot 4A</v>
      </c>
      <c r="E1945" s="375" t="s">
        <v>3156</v>
      </c>
      <c r="F1945" s="375"/>
      <c r="G1945" s="375"/>
      <c r="H1945" s="375"/>
      <c r="I1945" s="63"/>
      <c r="J1945" s="47" t="s">
        <v>3149</v>
      </c>
      <c r="K1945" s="46" t="s">
        <v>10735</v>
      </c>
      <c r="L1945" s="47">
        <f t="shared" si="398"/>
        <v>1210</v>
      </c>
      <c r="M1945" s="47" t="s">
        <v>3150</v>
      </c>
      <c r="N1945" s="47" t="s">
        <v>3151</v>
      </c>
      <c r="O1945" s="47" t="s">
        <v>3152</v>
      </c>
      <c r="P1945" s="47"/>
      <c r="Q1945" s="47"/>
      <c r="R1945" s="47"/>
      <c r="S1945" s="47" t="s">
        <v>3153</v>
      </c>
      <c r="T1945" s="47" t="s">
        <v>986</v>
      </c>
      <c r="U1945" s="47"/>
      <c r="V1945" s="47"/>
      <c r="W1945" s="47"/>
      <c r="X1945" s="47"/>
      <c r="Y1945" s="47"/>
      <c r="Z1945" s="47">
        <f t="shared" si="400"/>
        <v>4620</v>
      </c>
      <c r="AA1945" s="47"/>
      <c r="AB1945" s="47"/>
      <c r="AC1945" s="47"/>
      <c r="AD1945" s="47"/>
      <c r="AE1945" s="47">
        <f t="shared" si="402"/>
        <v>5000</v>
      </c>
      <c r="AF1945" s="47">
        <f t="shared" si="402"/>
        <v>1485</v>
      </c>
      <c r="AG1945" s="47"/>
      <c r="AH1945" s="47">
        <f>IFERROR(_xlfn.XLOOKUP(Table6[[#This Row],[Suburb]],Table5[Travel Surcharge],Table5[$$]),"")</f>
        <v>1500</v>
      </c>
      <c r="AI1945" s="47">
        <f t="shared" si="403"/>
        <v>1650.0000000000002</v>
      </c>
      <c r="AJ1945" s="47"/>
    </row>
    <row r="1946" spans="1:36">
      <c r="A1946" s="374" t="s">
        <v>3147</v>
      </c>
      <c r="B1946" s="374" t="s">
        <v>613</v>
      </c>
      <c r="C1946" s="374" t="s">
        <v>281</v>
      </c>
      <c r="D1946" s="375" t="s">
        <v>3157</v>
      </c>
      <c r="E1946" s="375" t="s">
        <v>3158</v>
      </c>
      <c r="F1946" s="375"/>
      <c r="G1946" s="375"/>
      <c r="H1946" s="375"/>
      <c r="I1946" s="63"/>
      <c r="J1946" s="47" t="s">
        <v>3149</v>
      </c>
      <c r="K1946" s="46" t="s">
        <v>10735</v>
      </c>
      <c r="L1946" s="47">
        <v>1210</v>
      </c>
      <c r="M1946" s="47" t="s">
        <v>3150</v>
      </c>
      <c r="N1946" s="47" t="s">
        <v>3151</v>
      </c>
      <c r="O1946" s="47" t="s">
        <v>3152</v>
      </c>
      <c r="P1946" s="47"/>
      <c r="Q1946" s="47"/>
      <c r="R1946" s="47"/>
      <c r="S1946" s="47" t="s">
        <v>3153</v>
      </c>
      <c r="T1946" s="47" t="s">
        <v>986</v>
      </c>
      <c r="U1946" s="47"/>
      <c r="V1946" s="47"/>
      <c r="W1946" s="47"/>
      <c r="X1946" s="47"/>
      <c r="Y1946" s="47"/>
      <c r="Z1946" s="47">
        <v>4620</v>
      </c>
      <c r="AA1946" s="47"/>
      <c r="AB1946" s="47"/>
      <c r="AC1946" s="47"/>
      <c r="AD1946" s="47"/>
      <c r="AE1946" s="47">
        <v>8000</v>
      </c>
      <c r="AF1946" s="47">
        <v>1650.0000000000002</v>
      </c>
      <c r="AG1946" s="47"/>
      <c r="AH1946" s="47">
        <f>IFERROR(_xlfn.XLOOKUP(Table6[[#This Row],[Suburb]],Table5[Travel Surcharge],Table5[$$]),"")</f>
        <v>1500</v>
      </c>
      <c r="AI1946" s="47">
        <f t="shared" si="403"/>
        <v>1650.0000000000002</v>
      </c>
      <c r="AJ1946" s="47"/>
    </row>
    <row r="1947" spans="1:36">
      <c r="A1947" s="374" t="s">
        <v>3147</v>
      </c>
      <c r="B1947" s="374" t="s">
        <v>750</v>
      </c>
      <c r="C1947" s="374" t="s">
        <v>281</v>
      </c>
      <c r="D1947" s="375" t="str">
        <f t="shared" ref="D1947:D1984" si="404">CONCATENATE(A1947,B1947)</f>
        <v>Harriot 8B</v>
      </c>
      <c r="E1947" s="375" t="s">
        <v>3162</v>
      </c>
      <c r="F1947" s="375"/>
      <c r="G1947" s="375"/>
      <c r="H1947" s="375"/>
      <c r="I1947" s="63"/>
      <c r="J1947" s="47" t="s">
        <v>3149</v>
      </c>
      <c r="K1947" s="46" t="s">
        <v>10735</v>
      </c>
      <c r="L1947" s="47">
        <f t="shared" ref="L1947:L1964" si="405">L$7</f>
        <v>1210</v>
      </c>
      <c r="M1947" s="47" t="s">
        <v>3150</v>
      </c>
      <c r="N1947" s="47" t="s">
        <v>3151</v>
      </c>
      <c r="O1947" s="47" t="s">
        <v>3152</v>
      </c>
      <c r="P1947" s="47"/>
      <c r="Q1947" s="47"/>
      <c r="R1947" s="47"/>
      <c r="S1947" s="47" t="s">
        <v>3153</v>
      </c>
      <c r="T1947" s="47" t="s">
        <v>986</v>
      </c>
      <c r="U1947" s="47"/>
      <c r="V1947" s="47"/>
      <c r="W1947" s="47"/>
      <c r="X1947" s="47"/>
      <c r="Y1947" s="47"/>
      <c r="Z1947" s="47">
        <f t="shared" ref="Z1947:Z1984" si="406">Z$7</f>
        <v>4620</v>
      </c>
      <c r="AA1947" s="47"/>
      <c r="AB1947" s="47"/>
      <c r="AC1947" s="47"/>
      <c r="AD1947" s="47"/>
      <c r="AE1947" s="47">
        <f>AE$7</f>
        <v>5000</v>
      </c>
      <c r="AF1947" s="47">
        <f>AF$7</f>
        <v>1485</v>
      </c>
      <c r="AG1947" s="47"/>
      <c r="AH1947" s="47">
        <f>IFERROR(_xlfn.XLOOKUP(Table6[[#This Row],[Suburb]],Table5[Travel Surcharge],Table5[$$]),"")</f>
        <v>1500</v>
      </c>
      <c r="AI1947" s="47">
        <f t="shared" si="403"/>
        <v>1650.0000000000002</v>
      </c>
      <c r="AJ1947" s="47"/>
    </row>
    <row r="1948" spans="1:36">
      <c r="A1948" s="374" t="s">
        <v>3165</v>
      </c>
      <c r="B1948" s="374">
        <v>1</v>
      </c>
      <c r="C1948" s="374" t="s">
        <v>1042</v>
      </c>
      <c r="D1948" s="375" t="str">
        <f t="shared" si="404"/>
        <v>Hartleigh Estate1</v>
      </c>
      <c r="E1948" s="375" t="s">
        <v>3166</v>
      </c>
      <c r="F1948" s="375" t="s">
        <v>1155</v>
      </c>
      <c r="G1948" s="375" t="s">
        <v>3167</v>
      </c>
      <c r="H1948" s="375" t="s">
        <v>3168</v>
      </c>
      <c r="I1948" s="63" t="s">
        <v>3169</v>
      </c>
      <c r="J1948" s="47">
        <f t="shared" ref="J1948:J1982" si="407">J$7</f>
        <v>3740</v>
      </c>
      <c r="K1948" s="46" t="s">
        <v>10735</v>
      </c>
      <c r="L1948" s="47">
        <f t="shared" si="405"/>
        <v>1210</v>
      </c>
      <c r="M1948" s="47"/>
      <c r="N1948" s="47"/>
      <c r="O1948" s="47"/>
      <c r="P1948" s="47"/>
      <c r="Q1948" s="47">
        <f t="shared" ref="Q1948:Q1965" si="408">Q$2</f>
        <v>0</v>
      </c>
      <c r="R1948" s="47"/>
      <c r="S1948" s="47"/>
      <c r="T1948" s="47" t="s">
        <v>641</v>
      </c>
      <c r="U1948" s="47"/>
      <c r="V1948" s="47"/>
      <c r="W1948" s="47"/>
      <c r="X1948" s="47"/>
      <c r="Y1948" s="47"/>
      <c r="Z1948" s="47">
        <f t="shared" si="406"/>
        <v>4620</v>
      </c>
      <c r="AA1948" s="47">
        <f t="shared" ref="AA1948:AA1964" si="409">AA$7</f>
        <v>1400</v>
      </c>
      <c r="AB1948" s="47"/>
      <c r="AC1948" s="47"/>
      <c r="AD1948" s="47"/>
      <c r="AE1948" s="47"/>
      <c r="AF1948" s="47"/>
      <c r="AG1948" s="47"/>
      <c r="AH1948" s="47" t="str">
        <f>IFERROR(_xlfn.XLOOKUP(Table6[[#This Row],[Suburb]],Table5[Travel Surcharge],Table5[$$]),"")</f>
        <v/>
      </c>
      <c r="AI1948" s="47"/>
      <c r="AJ1948" s="47"/>
    </row>
    <row r="1949" spans="1:36">
      <c r="A1949" s="374" t="s">
        <v>3165</v>
      </c>
      <c r="B1949" s="374">
        <v>2</v>
      </c>
      <c r="C1949" s="374" t="s">
        <v>1042</v>
      </c>
      <c r="D1949" s="375" t="str">
        <f t="shared" si="404"/>
        <v>Hartleigh Estate2</v>
      </c>
      <c r="E1949" s="375" t="s">
        <v>3170</v>
      </c>
      <c r="F1949" s="375" t="s">
        <v>1155</v>
      </c>
      <c r="G1949" s="375" t="s">
        <v>3167</v>
      </c>
      <c r="H1949" s="375" t="s">
        <v>3168</v>
      </c>
      <c r="I1949" s="63" t="s">
        <v>3169</v>
      </c>
      <c r="J1949" s="47">
        <f t="shared" si="407"/>
        <v>3740</v>
      </c>
      <c r="K1949" s="46" t="s">
        <v>10735</v>
      </c>
      <c r="L1949" s="47">
        <f t="shared" si="405"/>
        <v>1210</v>
      </c>
      <c r="M1949" s="47"/>
      <c r="N1949" s="47"/>
      <c r="O1949" s="47"/>
      <c r="P1949" s="47"/>
      <c r="Q1949" s="47">
        <f t="shared" si="408"/>
        <v>0</v>
      </c>
      <c r="R1949" s="47"/>
      <c r="S1949" s="47"/>
      <c r="T1949" s="47" t="s">
        <v>641</v>
      </c>
      <c r="U1949" s="47"/>
      <c r="V1949" s="47"/>
      <c r="W1949" s="47"/>
      <c r="X1949" s="47"/>
      <c r="Y1949" s="47"/>
      <c r="Z1949" s="47">
        <f t="shared" si="406"/>
        <v>4620</v>
      </c>
      <c r="AA1949" s="47">
        <f t="shared" si="409"/>
        <v>1400</v>
      </c>
      <c r="AB1949" s="47"/>
      <c r="AC1949" s="47"/>
      <c r="AD1949" s="47"/>
      <c r="AE1949" s="47"/>
      <c r="AF1949" s="47"/>
      <c r="AG1949" s="47"/>
      <c r="AH1949" s="47" t="str">
        <f>IFERROR(_xlfn.XLOOKUP(Table6[[#This Row],[Suburb]],Table5[Travel Surcharge],Table5[$$]),"")</f>
        <v/>
      </c>
      <c r="AI1949" s="47"/>
      <c r="AJ1949" s="47"/>
    </row>
    <row r="1950" spans="1:36">
      <c r="A1950" s="374" t="s">
        <v>3165</v>
      </c>
      <c r="B1950" s="374">
        <v>3</v>
      </c>
      <c r="C1950" s="374" t="s">
        <v>1042</v>
      </c>
      <c r="D1950" s="375" t="str">
        <f t="shared" si="404"/>
        <v>Hartleigh Estate3</v>
      </c>
      <c r="E1950" s="375" t="s">
        <v>3171</v>
      </c>
      <c r="F1950" s="375" t="s">
        <v>1155</v>
      </c>
      <c r="G1950" s="375" t="s">
        <v>3167</v>
      </c>
      <c r="H1950" s="375" t="s">
        <v>3168</v>
      </c>
      <c r="I1950" s="63" t="s">
        <v>3169</v>
      </c>
      <c r="J1950" s="47">
        <f t="shared" si="407"/>
        <v>3740</v>
      </c>
      <c r="K1950" s="46" t="s">
        <v>10735</v>
      </c>
      <c r="L1950" s="47">
        <f t="shared" si="405"/>
        <v>1210</v>
      </c>
      <c r="M1950" s="47"/>
      <c r="N1950" s="47"/>
      <c r="O1950" s="47"/>
      <c r="P1950" s="47"/>
      <c r="Q1950" s="47">
        <f t="shared" si="408"/>
        <v>0</v>
      </c>
      <c r="R1950" s="47"/>
      <c r="S1950" s="47"/>
      <c r="T1950" s="47" t="s">
        <v>641</v>
      </c>
      <c r="U1950" s="47"/>
      <c r="V1950" s="47"/>
      <c r="W1950" s="47"/>
      <c r="X1950" s="47"/>
      <c r="Y1950" s="47"/>
      <c r="Z1950" s="47">
        <f t="shared" si="406"/>
        <v>4620</v>
      </c>
      <c r="AA1950" s="47">
        <f t="shared" si="409"/>
        <v>1400</v>
      </c>
      <c r="AB1950" s="47"/>
      <c r="AC1950" s="47"/>
      <c r="AD1950" s="47"/>
      <c r="AE1950" s="47"/>
      <c r="AF1950" s="47"/>
      <c r="AG1950" s="47"/>
      <c r="AH1950" s="47" t="str">
        <f>IFERROR(_xlfn.XLOOKUP(Table6[[#This Row],[Suburb]],Table5[Travel Surcharge],Table5[$$]),"")</f>
        <v/>
      </c>
      <c r="AI1950" s="47"/>
      <c r="AJ1950" s="47"/>
    </row>
    <row r="1951" spans="1:36">
      <c r="A1951" s="374" t="s">
        <v>3165</v>
      </c>
      <c r="B1951" s="374">
        <v>4</v>
      </c>
      <c r="C1951" s="374" t="s">
        <v>1042</v>
      </c>
      <c r="D1951" s="375" t="str">
        <f t="shared" si="404"/>
        <v>Hartleigh Estate4</v>
      </c>
      <c r="E1951" s="375" t="s">
        <v>3172</v>
      </c>
      <c r="F1951" s="375" t="s">
        <v>1155</v>
      </c>
      <c r="G1951" s="375" t="s">
        <v>3167</v>
      </c>
      <c r="H1951" s="375" t="s">
        <v>3168</v>
      </c>
      <c r="I1951" s="63" t="s">
        <v>3169</v>
      </c>
      <c r="J1951" s="47">
        <f t="shared" si="407"/>
        <v>3740</v>
      </c>
      <c r="K1951" s="46" t="s">
        <v>10735</v>
      </c>
      <c r="L1951" s="47">
        <f t="shared" si="405"/>
        <v>1210</v>
      </c>
      <c r="M1951" s="47"/>
      <c r="N1951" s="47"/>
      <c r="O1951" s="47"/>
      <c r="P1951" s="47"/>
      <c r="Q1951" s="47">
        <f t="shared" si="408"/>
        <v>0</v>
      </c>
      <c r="R1951" s="47"/>
      <c r="S1951" s="47"/>
      <c r="T1951" s="47" t="s">
        <v>641</v>
      </c>
      <c r="U1951" s="47"/>
      <c r="V1951" s="47"/>
      <c r="W1951" s="47"/>
      <c r="X1951" s="47"/>
      <c r="Y1951" s="47"/>
      <c r="Z1951" s="47">
        <f t="shared" si="406"/>
        <v>4620</v>
      </c>
      <c r="AA1951" s="47">
        <f t="shared" si="409"/>
        <v>1400</v>
      </c>
      <c r="AB1951" s="47"/>
      <c r="AC1951" s="47"/>
      <c r="AD1951" s="47"/>
      <c r="AE1951" s="47"/>
      <c r="AF1951" s="47"/>
      <c r="AG1951" s="47"/>
      <c r="AH1951" s="47" t="str">
        <f>IFERROR(_xlfn.XLOOKUP(Table6[[#This Row],[Suburb]],Table5[Travel Surcharge],Table5[$$]),"")</f>
        <v/>
      </c>
      <c r="AI1951" s="47"/>
      <c r="AJ1951" s="47"/>
    </row>
    <row r="1952" spans="1:36">
      <c r="A1952" s="374" t="s">
        <v>3165</v>
      </c>
      <c r="B1952" s="374">
        <v>5</v>
      </c>
      <c r="C1952" s="374" t="s">
        <v>1042</v>
      </c>
      <c r="D1952" s="375" t="str">
        <f t="shared" si="404"/>
        <v>Hartleigh Estate5</v>
      </c>
      <c r="E1952" s="375" t="s">
        <v>3173</v>
      </c>
      <c r="F1952" s="375" t="s">
        <v>1155</v>
      </c>
      <c r="G1952" s="375" t="s">
        <v>3167</v>
      </c>
      <c r="H1952" s="375" t="s">
        <v>3168</v>
      </c>
      <c r="I1952" s="63" t="s">
        <v>3169</v>
      </c>
      <c r="J1952" s="47">
        <f t="shared" si="407"/>
        <v>3740</v>
      </c>
      <c r="K1952" s="46" t="s">
        <v>10735</v>
      </c>
      <c r="L1952" s="47">
        <f t="shared" si="405"/>
        <v>1210</v>
      </c>
      <c r="M1952" s="47"/>
      <c r="N1952" s="47"/>
      <c r="O1952" s="47"/>
      <c r="P1952" s="47"/>
      <c r="Q1952" s="47">
        <f t="shared" si="408"/>
        <v>0</v>
      </c>
      <c r="R1952" s="47"/>
      <c r="S1952" s="47"/>
      <c r="T1952" s="47" t="s">
        <v>641</v>
      </c>
      <c r="U1952" s="47"/>
      <c r="V1952" s="47"/>
      <c r="W1952" s="47"/>
      <c r="X1952" s="47"/>
      <c r="Y1952" s="47"/>
      <c r="Z1952" s="47">
        <f t="shared" si="406"/>
        <v>4620</v>
      </c>
      <c r="AA1952" s="47">
        <f t="shared" si="409"/>
        <v>1400</v>
      </c>
      <c r="AB1952" s="47"/>
      <c r="AC1952" s="47"/>
      <c r="AD1952" s="47"/>
      <c r="AE1952" s="47"/>
      <c r="AF1952" s="47"/>
      <c r="AG1952" s="47"/>
      <c r="AH1952" s="47" t="str">
        <f>IFERROR(_xlfn.XLOOKUP(Table6[[#This Row],[Suburb]],Table5[Travel Surcharge],Table5[$$]),"")</f>
        <v/>
      </c>
      <c r="AI1952" s="47"/>
      <c r="AJ1952" s="47"/>
    </row>
    <row r="1953" spans="1:43">
      <c r="A1953" s="374" t="s">
        <v>3165</v>
      </c>
      <c r="B1953" s="374">
        <v>6</v>
      </c>
      <c r="C1953" s="374" t="s">
        <v>1042</v>
      </c>
      <c r="D1953" s="375" t="str">
        <f t="shared" si="404"/>
        <v>Hartleigh Estate6</v>
      </c>
      <c r="E1953" s="375" t="s">
        <v>2134</v>
      </c>
      <c r="F1953" s="375" t="s">
        <v>1155</v>
      </c>
      <c r="G1953" s="375" t="s">
        <v>3167</v>
      </c>
      <c r="H1953" s="375" t="s">
        <v>3168</v>
      </c>
      <c r="I1953" s="63" t="s">
        <v>3169</v>
      </c>
      <c r="J1953" s="47">
        <f t="shared" si="407"/>
        <v>3740</v>
      </c>
      <c r="K1953" s="46" t="s">
        <v>10735</v>
      </c>
      <c r="L1953" s="47">
        <f t="shared" si="405"/>
        <v>1210</v>
      </c>
      <c r="M1953" s="47"/>
      <c r="N1953" s="47"/>
      <c r="O1953" s="47"/>
      <c r="P1953" s="47"/>
      <c r="Q1953" s="47">
        <f t="shared" si="408"/>
        <v>0</v>
      </c>
      <c r="R1953" s="47"/>
      <c r="S1953" s="47"/>
      <c r="T1953" s="47" t="s">
        <v>641</v>
      </c>
      <c r="U1953" s="47"/>
      <c r="V1953" s="47"/>
      <c r="W1953" s="47"/>
      <c r="X1953" s="47"/>
      <c r="Y1953" s="47"/>
      <c r="Z1953" s="47">
        <f t="shared" si="406"/>
        <v>4620</v>
      </c>
      <c r="AA1953" s="47">
        <f t="shared" si="409"/>
        <v>1400</v>
      </c>
      <c r="AB1953" s="47"/>
      <c r="AC1953" s="47"/>
      <c r="AD1953" s="47"/>
      <c r="AE1953" s="47"/>
      <c r="AF1953" s="47"/>
      <c r="AG1953" s="47"/>
      <c r="AH1953" s="47" t="str">
        <f>IFERROR(_xlfn.XLOOKUP(Table6[[#This Row],[Suburb]],Table5[Travel Surcharge],Table5[$$]),"")</f>
        <v/>
      </c>
      <c r="AI1953" s="47"/>
      <c r="AJ1953" s="47"/>
    </row>
    <row r="1954" spans="1:43">
      <c r="A1954" s="374" t="s">
        <v>3165</v>
      </c>
      <c r="B1954" s="374">
        <v>7</v>
      </c>
      <c r="C1954" s="374" t="s">
        <v>1042</v>
      </c>
      <c r="D1954" s="375" t="str">
        <f t="shared" si="404"/>
        <v>Hartleigh Estate7</v>
      </c>
      <c r="E1954" s="375" t="s">
        <v>3174</v>
      </c>
      <c r="F1954" s="375" t="s">
        <v>1155</v>
      </c>
      <c r="G1954" s="375" t="s">
        <v>3167</v>
      </c>
      <c r="H1954" s="375" t="s">
        <v>3168</v>
      </c>
      <c r="I1954" s="63" t="s">
        <v>3169</v>
      </c>
      <c r="J1954" s="47">
        <f t="shared" si="407"/>
        <v>3740</v>
      </c>
      <c r="K1954" s="46" t="s">
        <v>10735</v>
      </c>
      <c r="L1954" s="47">
        <f t="shared" si="405"/>
        <v>1210</v>
      </c>
      <c r="M1954" s="47"/>
      <c r="N1954" s="47"/>
      <c r="O1954" s="47"/>
      <c r="P1954" s="47"/>
      <c r="Q1954" s="47">
        <f t="shared" si="408"/>
        <v>0</v>
      </c>
      <c r="R1954" s="47"/>
      <c r="S1954" s="47"/>
      <c r="T1954" s="47" t="s">
        <v>641</v>
      </c>
      <c r="U1954" s="47"/>
      <c r="V1954" s="47"/>
      <c r="W1954" s="47"/>
      <c r="X1954" s="47"/>
      <c r="Y1954" s="47"/>
      <c r="Z1954" s="47">
        <f t="shared" si="406"/>
        <v>4620</v>
      </c>
      <c r="AA1954" s="47">
        <f t="shared" si="409"/>
        <v>1400</v>
      </c>
      <c r="AB1954" s="47"/>
      <c r="AC1954" s="47"/>
      <c r="AD1954" s="47"/>
      <c r="AE1954" s="47"/>
      <c r="AF1954" s="47"/>
      <c r="AG1954" s="47"/>
      <c r="AH1954" s="47" t="str">
        <f>IFERROR(_xlfn.XLOOKUP(Table6[[#This Row],[Suburb]],Table5[Travel Surcharge],Table5[$$]),"")</f>
        <v/>
      </c>
      <c r="AI1954" s="47"/>
      <c r="AJ1954" s="47"/>
    </row>
    <row r="1955" spans="1:43">
      <c r="A1955" s="374" t="s">
        <v>3165</v>
      </c>
      <c r="B1955" s="374">
        <v>8</v>
      </c>
      <c r="C1955" s="374" t="s">
        <v>1042</v>
      </c>
      <c r="D1955" s="375" t="str">
        <f t="shared" si="404"/>
        <v>Hartleigh Estate8</v>
      </c>
      <c r="E1955" s="375" t="s">
        <v>3175</v>
      </c>
      <c r="F1955" s="375" t="s">
        <v>1155</v>
      </c>
      <c r="G1955" s="375" t="s">
        <v>3167</v>
      </c>
      <c r="H1955" s="375" t="s">
        <v>3168</v>
      </c>
      <c r="I1955" s="63" t="s">
        <v>3169</v>
      </c>
      <c r="J1955" s="47">
        <f t="shared" si="407"/>
        <v>3740</v>
      </c>
      <c r="K1955" s="46" t="s">
        <v>10735</v>
      </c>
      <c r="L1955" s="47">
        <f t="shared" si="405"/>
        <v>1210</v>
      </c>
      <c r="M1955" s="47"/>
      <c r="N1955" s="47"/>
      <c r="O1955" s="47"/>
      <c r="P1955" s="47"/>
      <c r="Q1955" s="47">
        <f t="shared" si="408"/>
        <v>0</v>
      </c>
      <c r="R1955" s="47"/>
      <c r="S1955" s="47"/>
      <c r="T1955" s="47" t="s">
        <v>641</v>
      </c>
      <c r="U1955" s="47"/>
      <c r="V1955" s="47"/>
      <c r="W1955" s="47"/>
      <c r="X1955" s="47"/>
      <c r="Y1955" s="47"/>
      <c r="Z1955" s="47">
        <f t="shared" si="406"/>
        <v>4620</v>
      </c>
      <c r="AA1955" s="47">
        <f t="shared" si="409"/>
        <v>1400</v>
      </c>
      <c r="AB1955" s="47"/>
      <c r="AC1955" s="47"/>
      <c r="AD1955" s="47"/>
      <c r="AE1955" s="47"/>
      <c r="AF1955" s="47"/>
      <c r="AG1955" s="47"/>
      <c r="AH1955" s="47" t="str">
        <f>IFERROR(_xlfn.XLOOKUP(Table6[[#This Row],[Suburb]],Table5[Travel Surcharge],Table5[$$]),"")</f>
        <v/>
      </c>
      <c r="AI1955" s="47"/>
      <c r="AJ1955" s="47"/>
    </row>
    <row r="1956" spans="1:43">
      <c r="A1956" s="374" t="s">
        <v>3165</v>
      </c>
      <c r="B1956" s="374">
        <v>9</v>
      </c>
      <c r="C1956" s="374" t="s">
        <v>1042</v>
      </c>
      <c r="D1956" s="375" t="str">
        <f t="shared" si="404"/>
        <v>Hartleigh Estate9</v>
      </c>
      <c r="E1956" s="375" t="s">
        <v>3176</v>
      </c>
      <c r="F1956" s="375" t="s">
        <v>1155</v>
      </c>
      <c r="G1956" s="375" t="s">
        <v>3167</v>
      </c>
      <c r="H1956" s="375" t="s">
        <v>3168</v>
      </c>
      <c r="I1956" s="63" t="s">
        <v>3169</v>
      </c>
      <c r="J1956" s="47">
        <f t="shared" si="407"/>
        <v>3740</v>
      </c>
      <c r="K1956" s="46" t="s">
        <v>10735</v>
      </c>
      <c r="L1956" s="47">
        <f t="shared" si="405"/>
        <v>1210</v>
      </c>
      <c r="M1956" s="47"/>
      <c r="N1956" s="47"/>
      <c r="O1956" s="47"/>
      <c r="P1956" s="47"/>
      <c r="Q1956" s="47">
        <f t="shared" si="408"/>
        <v>0</v>
      </c>
      <c r="R1956" s="47"/>
      <c r="S1956" s="47"/>
      <c r="T1956" s="47" t="s">
        <v>641</v>
      </c>
      <c r="U1956" s="47"/>
      <c r="V1956" s="47"/>
      <c r="W1956" s="47"/>
      <c r="X1956" s="47"/>
      <c r="Y1956" s="47"/>
      <c r="Z1956" s="47">
        <f t="shared" si="406"/>
        <v>4620</v>
      </c>
      <c r="AA1956" s="47">
        <f t="shared" si="409"/>
        <v>1400</v>
      </c>
      <c r="AB1956" s="47"/>
      <c r="AC1956" s="47"/>
      <c r="AD1956" s="47"/>
      <c r="AE1956" s="47"/>
      <c r="AF1956" s="47"/>
      <c r="AG1956" s="47"/>
      <c r="AH1956" s="47" t="str">
        <f>IFERROR(_xlfn.XLOOKUP(Table6[[#This Row],[Suburb]],Table5[Travel Surcharge],Table5[$$]),"")</f>
        <v/>
      </c>
      <c r="AI1956" s="47"/>
      <c r="AJ1956" s="47"/>
    </row>
    <row r="1957" spans="1:43">
      <c r="A1957" s="374" t="s">
        <v>3165</v>
      </c>
      <c r="B1957" s="374">
        <v>11</v>
      </c>
      <c r="C1957" s="374" t="s">
        <v>1042</v>
      </c>
      <c r="D1957" s="375" t="str">
        <f t="shared" si="404"/>
        <v>Hartleigh Estate11</v>
      </c>
      <c r="E1957" s="375" t="s">
        <v>3177</v>
      </c>
      <c r="F1957" s="375" t="s">
        <v>1155</v>
      </c>
      <c r="G1957" s="375" t="s">
        <v>3167</v>
      </c>
      <c r="H1957" s="375" t="s">
        <v>3168</v>
      </c>
      <c r="I1957" s="63" t="s">
        <v>3169</v>
      </c>
      <c r="J1957" s="47">
        <f t="shared" si="407"/>
        <v>3740</v>
      </c>
      <c r="K1957" s="46" t="s">
        <v>10735</v>
      </c>
      <c r="L1957" s="47">
        <f t="shared" si="405"/>
        <v>1210</v>
      </c>
      <c r="M1957" s="47"/>
      <c r="N1957" s="47"/>
      <c r="O1957" s="47"/>
      <c r="P1957" s="47"/>
      <c r="Q1957" s="47">
        <f t="shared" si="408"/>
        <v>0</v>
      </c>
      <c r="R1957" s="47"/>
      <c r="S1957" s="47"/>
      <c r="T1957" s="47" t="s">
        <v>641</v>
      </c>
      <c r="U1957" s="47"/>
      <c r="V1957" s="47"/>
      <c r="W1957" s="47"/>
      <c r="X1957" s="47"/>
      <c r="Y1957" s="47"/>
      <c r="Z1957" s="47">
        <f t="shared" si="406"/>
        <v>4620</v>
      </c>
      <c r="AA1957" s="47">
        <f t="shared" si="409"/>
        <v>1400</v>
      </c>
      <c r="AB1957" s="47"/>
      <c r="AC1957" s="47"/>
      <c r="AD1957" s="47"/>
      <c r="AE1957" s="47"/>
      <c r="AF1957" s="47"/>
      <c r="AG1957" s="47"/>
      <c r="AH1957" s="47" t="str">
        <f>IFERROR(_xlfn.XLOOKUP(Table6[[#This Row],[Suburb]],Table5[Travel Surcharge],Table5[$$]),"")</f>
        <v/>
      </c>
      <c r="AI1957" s="47"/>
      <c r="AJ1957" s="47"/>
    </row>
    <row r="1958" spans="1:43">
      <c r="A1958" s="374" t="s">
        <v>3165</v>
      </c>
      <c r="B1958" s="374">
        <v>12</v>
      </c>
      <c r="C1958" s="374" t="s">
        <v>1042</v>
      </c>
      <c r="D1958" s="375" t="str">
        <f t="shared" si="404"/>
        <v>Hartleigh Estate12</v>
      </c>
      <c r="E1958" s="375" t="s">
        <v>3178</v>
      </c>
      <c r="F1958" s="375" t="s">
        <v>1155</v>
      </c>
      <c r="G1958" s="375" t="s">
        <v>3167</v>
      </c>
      <c r="H1958" s="375" t="s">
        <v>3168</v>
      </c>
      <c r="I1958" s="63" t="s">
        <v>3169</v>
      </c>
      <c r="J1958" s="47">
        <f t="shared" si="407"/>
        <v>3740</v>
      </c>
      <c r="K1958" s="46" t="s">
        <v>10735</v>
      </c>
      <c r="L1958" s="47">
        <f t="shared" si="405"/>
        <v>1210</v>
      </c>
      <c r="M1958" s="47"/>
      <c r="N1958" s="47"/>
      <c r="O1958" s="47"/>
      <c r="P1958" s="47"/>
      <c r="Q1958" s="47">
        <f t="shared" si="408"/>
        <v>0</v>
      </c>
      <c r="R1958" s="47"/>
      <c r="S1958" s="47"/>
      <c r="T1958" s="47" t="s">
        <v>641</v>
      </c>
      <c r="U1958" s="47"/>
      <c r="V1958" s="47"/>
      <c r="W1958" s="47"/>
      <c r="X1958" s="47"/>
      <c r="Y1958" s="47"/>
      <c r="Z1958" s="47">
        <f t="shared" si="406"/>
        <v>4620</v>
      </c>
      <c r="AA1958" s="47">
        <f t="shared" si="409"/>
        <v>1400</v>
      </c>
      <c r="AB1958" s="47"/>
      <c r="AC1958" s="47"/>
      <c r="AD1958" s="47"/>
      <c r="AE1958" s="47"/>
      <c r="AF1958" s="47"/>
      <c r="AG1958" s="47"/>
      <c r="AH1958" s="47" t="str">
        <f>IFERROR(_xlfn.XLOOKUP(Table6[[#This Row],[Suburb]],Table5[Travel Surcharge],Table5[$$]),"")</f>
        <v/>
      </c>
      <c r="AI1958" s="47"/>
      <c r="AJ1958" s="47"/>
    </row>
    <row r="1959" spans="1:43">
      <c r="A1959" s="374" t="s">
        <v>3165</v>
      </c>
      <c r="B1959" s="374">
        <v>13</v>
      </c>
      <c r="C1959" s="374" t="s">
        <v>1042</v>
      </c>
      <c r="D1959" s="375" t="str">
        <f t="shared" si="404"/>
        <v>Hartleigh Estate13</v>
      </c>
      <c r="E1959" s="375" t="s">
        <v>3179</v>
      </c>
      <c r="F1959" s="375" t="s">
        <v>1155</v>
      </c>
      <c r="G1959" s="375" t="s">
        <v>3167</v>
      </c>
      <c r="H1959" s="375" t="s">
        <v>3168</v>
      </c>
      <c r="I1959" s="63" t="s">
        <v>3169</v>
      </c>
      <c r="J1959" s="47">
        <f t="shared" si="407"/>
        <v>3740</v>
      </c>
      <c r="K1959" s="46" t="s">
        <v>10735</v>
      </c>
      <c r="L1959" s="47">
        <f t="shared" si="405"/>
        <v>1210</v>
      </c>
      <c r="M1959" s="47"/>
      <c r="N1959" s="47"/>
      <c r="O1959" s="47"/>
      <c r="P1959" s="47"/>
      <c r="Q1959" s="47">
        <f t="shared" si="408"/>
        <v>0</v>
      </c>
      <c r="R1959" s="47"/>
      <c r="S1959" s="47"/>
      <c r="T1959" s="47" t="s">
        <v>641</v>
      </c>
      <c r="U1959" s="47"/>
      <c r="V1959" s="47"/>
      <c r="W1959" s="47"/>
      <c r="X1959" s="47"/>
      <c r="Y1959" s="47"/>
      <c r="Z1959" s="47">
        <f t="shared" si="406"/>
        <v>4620</v>
      </c>
      <c r="AA1959" s="47">
        <f t="shared" si="409"/>
        <v>1400</v>
      </c>
      <c r="AB1959" s="47"/>
      <c r="AC1959" s="47"/>
      <c r="AD1959" s="47"/>
      <c r="AE1959" s="47"/>
      <c r="AF1959" s="47"/>
      <c r="AG1959" s="47"/>
      <c r="AH1959" s="47" t="str">
        <f>IFERROR(_xlfn.XLOOKUP(Table6[[#This Row],[Suburb]],Table5[Travel Surcharge],Table5[$$]),"")</f>
        <v/>
      </c>
      <c r="AI1959" s="47"/>
      <c r="AJ1959" s="47"/>
    </row>
    <row r="1960" spans="1:43" s="379" customFormat="1">
      <c r="A1960" s="374" t="s">
        <v>3165</v>
      </c>
      <c r="B1960" s="374">
        <v>14</v>
      </c>
      <c r="C1960" s="374" t="s">
        <v>1042</v>
      </c>
      <c r="D1960" s="375" t="str">
        <f t="shared" si="404"/>
        <v>Hartleigh Estate14</v>
      </c>
      <c r="E1960" s="375" t="s">
        <v>3180</v>
      </c>
      <c r="F1960" s="375" t="s">
        <v>1155</v>
      </c>
      <c r="G1960" s="375" t="s">
        <v>3167</v>
      </c>
      <c r="H1960" s="375" t="s">
        <v>3168</v>
      </c>
      <c r="I1960" s="63" t="s">
        <v>3169</v>
      </c>
      <c r="J1960" s="47">
        <f t="shared" si="407"/>
        <v>3740</v>
      </c>
      <c r="K1960" s="46" t="s">
        <v>10735</v>
      </c>
      <c r="L1960" s="47">
        <f t="shared" si="405"/>
        <v>1210</v>
      </c>
      <c r="M1960" s="47"/>
      <c r="N1960" s="47"/>
      <c r="O1960" s="47"/>
      <c r="P1960" s="47"/>
      <c r="Q1960" s="47">
        <f t="shared" si="408"/>
        <v>0</v>
      </c>
      <c r="R1960" s="47"/>
      <c r="S1960" s="47"/>
      <c r="T1960" s="47" t="s">
        <v>641</v>
      </c>
      <c r="U1960" s="47"/>
      <c r="V1960" s="47"/>
      <c r="W1960" s="47"/>
      <c r="X1960" s="47"/>
      <c r="Y1960" s="47"/>
      <c r="Z1960" s="47">
        <f t="shared" si="406"/>
        <v>4620</v>
      </c>
      <c r="AA1960" s="47">
        <f t="shared" si="409"/>
        <v>1400</v>
      </c>
      <c r="AB1960" s="47"/>
      <c r="AC1960" s="47"/>
      <c r="AD1960" s="47"/>
      <c r="AE1960" s="47"/>
      <c r="AF1960" s="47"/>
      <c r="AG1960" s="47"/>
      <c r="AH1960" s="47" t="str">
        <f>IFERROR(_xlfn.XLOOKUP(Table6[[#This Row],[Suburb]],Table5[Travel Surcharge],Table5[$$]),"")</f>
        <v/>
      </c>
      <c r="AI1960" s="47"/>
      <c r="AJ1960" s="47"/>
      <c r="AM1960" s="170"/>
      <c r="AO1960"/>
      <c r="AP1960"/>
      <c r="AQ1960"/>
    </row>
    <row r="1961" spans="1:43">
      <c r="A1961" s="374" t="s">
        <v>3165</v>
      </c>
      <c r="B1961" s="374">
        <v>15</v>
      </c>
      <c r="C1961" s="374" t="s">
        <v>1042</v>
      </c>
      <c r="D1961" s="375" t="str">
        <f t="shared" si="404"/>
        <v>Hartleigh Estate15</v>
      </c>
      <c r="E1961" s="375" t="s">
        <v>3181</v>
      </c>
      <c r="F1961" s="375" t="s">
        <v>1155</v>
      </c>
      <c r="G1961" s="375" t="s">
        <v>3167</v>
      </c>
      <c r="H1961" s="375" t="s">
        <v>3168</v>
      </c>
      <c r="I1961" s="63" t="s">
        <v>3169</v>
      </c>
      <c r="J1961" s="47">
        <f t="shared" si="407"/>
        <v>3740</v>
      </c>
      <c r="K1961" s="46" t="s">
        <v>10735</v>
      </c>
      <c r="L1961" s="47">
        <f t="shared" si="405"/>
        <v>1210</v>
      </c>
      <c r="M1961" s="47"/>
      <c r="N1961" s="47"/>
      <c r="O1961" s="47"/>
      <c r="P1961" s="47"/>
      <c r="Q1961" s="47">
        <f t="shared" si="408"/>
        <v>0</v>
      </c>
      <c r="R1961" s="47"/>
      <c r="S1961" s="47"/>
      <c r="T1961" s="47" t="s">
        <v>641</v>
      </c>
      <c r="U1961" s="47"/>
      <c r="V1961" s="47"/>
      <c r="W1961" s="47"/>
      <c r="X1961" s="47"/>
      <c r="Y1961" s="47"/>
      <c r="Z1961" s="47">
        <f t="shared" si="406"/>
        <v>4620</v>
      </c>
      <c r="AA1961" s="47">
        <f t="shared" si="409"/>
        <v>1400</v>
      </c>
      <c r="AB1961" s="47"/>
      <c r="AC1961" s="47"/>
      <c r="AD1961" s="47"/>
      <c r="AE1961" s="47"/>
      <c r="AF1961" s="47"/>
      <c r="AG1961" s="47"/>
      <c r="AH1961" s="47" t="str">
        <f>IFERROR(_xlfn.XLOOKUP(Table6[[#This Row],[Suburb]],Table5[Travel Surcharge],Table5[$$]),"")</f>
        <v/>
      </c>
      <c r="AI1961" s="47"/>
      <c r="AJ1961" s="47"/>
      <c r="AO1961" s="379"/>
      <c r="AP1961" s="379"/>
      <c r="AQ1961" s="379"/>
    </row>
    <row r="1962" spans="1:43">
      <c r="A1962" s="374" t="s">
        <v>3165</v>
      </c>
      <c r="B1962" s="374">
        <v>16</v>
      </c>
      <c r="C1962" s="374" t="s">
        <v>1042</v>
      </c>
      <c r="D1962" s="375" t="str">
        <f t="shared" si="404"/>
        <v>Hartleigh Estate16</v>
      </c>
      <c r="E1962" s="375" t="s">
        <v>3182</v>
      </c>
      <c r="F1962" s="375" t="s">
        <v>1155</v>
      </c>
      <c r="G1962" s="375" t="s">
        <v>3167</v>
      </c>
      <c r="H1962" s="375" t="s">
        <v>3168</v>
      </c>
      <c r="I1962" s="63" t="s">
        <v>3169</v>
      </c>
      <c r="J1962" s="47">
        <f t="shared" si="407"/>
        <v>3740</v>
      </c>
      <c r="K1962" s="46" t="s">
        <v>10735</v>
      </c>
      <c r="L1962" s="47">
        <f t="shared" si="405"/>
        <v>1210</v>
      </c>
      <c r="M1962" s="47"/>
      <c r="N1962" s="47"/>
      <c r="O1962" s="47"/>
      <c r="P1962" s="47"/>
      <c r="Q1962" s="47">
        <f t="shared" si="408"/>
        <v>0</v>
      </c>
      <c r="R1962" s="47"/>
      <c r="S1962" s="47"/>
      <c r="T1962" s="47" t="s">
        <v>641</v>
      </c>
      <c r="U1962" s="47"/>
      <c r="V1962" s="47"/>
      <c r="W1962" s="47"/>
      <c r="X1962" s="47"/>
      <c r="Y1962" s="47"/>
      <c r="Z1962" s="47">
        <f t="shared" si="406"/>
        <v>4620</v>
      </c>
      <c r="AA1962" s="47">
        <f t="shared" si="409"/>
        <v>1400</v>
      </c>
      <c r="AB1962" s="47"/>
      <c r="AC1962" s="47"/>
      <c r="AD1962" s="47"/>
      <c r="AE1962" s="47"/>
      <c r="AF1962" s="47"/>
      <c r="AG1962" s="47"/>
      <c r="AH1962" s="47" t="str">
        <f>IFERROR(_xlfn.XLOOKUP(Table6[[#This Row],[Suburb]],Table5[Travel Surcharge],Table5[$$]),"")</f>
        <v/>
      </c>
      <c r="AI1962" s="47"/>
      <c r="AJ1962" s="47"/>
    </row>
    <row r="1963" spans="1:43">
      <c r="A1963" s="374" t="s">
        <v>3165</v>
      </c>
      <c r="B1963" s="374">
        <v>17</v>
      </c>
      <c r="C1963" s="374" t="s">
        <v>1042</v>
      </c>
      <c r="D1963" s="375" t="str">
        <f t="shared" si="404"/>
        <v>Hartleigh Estate17</v>
      </c>
      <c r="E1963" s="375" t="s">
        <v>3183</v>
      </c>
      <c r="F1963" s="375" t="s">
        <v>1155</v>
      </c>
      <c r="G1963" s="375" t="s">
        <v>3167</v>
      </c>
      <c r="H1963" s="375" t="s">
        <v>3168</v>
      </c>
      <c r="I1963" s="63" t="s">
        <v>3169</v>
      </c>
      <c r="J1963" s="47">
        <f t="shared" si="407"/>
        <v>3740</v>
      </c>
      <c r="K1963" s="46" t="s">
        <v>10735</v>
      </c>
      <c r="L1963" s="47">
        <f t="shared" si="405"/>
        <v>1210</v>
      </c>
      <c r="M1963" s="47"/>
      <c r="N1963" s="47"/>
      <c r="O1963" s="47"/>
      <c r="P1963" s="47"/>
      <c r="Q1963" s="47">
        <f t="shared" si="408"/>
        <v>0</v>
      </c>
      <c r="R1963" s="47"/>
      <c r="S1963" s="47"/>
      <c r="T1963" s="47" t="s">
        <v>641</v>
      </c>
      <c r="U1963" s="47"/>
      <c r="V1963" s="47"/>
      <c r="W1963" s="47"/>
      <c r="X1963" s="47"/>
      <c r="Y1963" s="47"/>
      <c r="Z1963" s="47">
        <f t="shared" si="406"/>
        <v>4620</v>
      </c>
      <c r="AA1963" s="47">
        <f t="shared" si="409"/>
        <v>1400</v>
      </c>
      <c r="AB1963" s="47"/>
      <c r="AC1963" s="47"/>
      <c r="AD1963" s="47"/>
      <c r="AE1963" s="47"/>
      <c r="AF1963" s="47"/>
      <c r="AG1963" s="47"/>
      <c r="AH1963" s="47" t="str">
        <f>IFERROR(_xlfn.XLOOKUP(Table6[[#This Row],[Suburb]],Table5[Travel Surcharge],Table5[$$]),"")</f>
        <v/>
      </c>
      <c r="AI1963" s="47"/>
      <c r="AJ1963" s="47"/>
    </row>
    <row r="1964" spans="1:43">
      <c r="A1964" s="374" t="s">
        <v>3165</v>
      </c>
      <c r="B1964" s="374">
        <v>18</v>
      </c>
      <c r="C1964" s="374" t="s">
        <v>1042</v>
      </c>
      <c r="D1964" s="375" t="str">
        <f t="shared" si="404"/>
        <v>Hartleigh Estate18</v>
      </c>
      <c r="E1964" s="375" t="s">
        <v>3184</v>
      </c>
      <c r="F1964" s="375" t="s">
        <v>1155</v>
      </c>
      <c r="G1964" s="375" t="s">
        <v>3167</v>
      </c>
      <c r="H1964" s="375" t="s">
        <v>3168</v>
      </c>
      <c r="I1964" s="63" t="s">
        <v>3169</v>
      </c>
      <c r="J1964" s="47">
        <f t="shared" si="407"/>
        <v>3740</v>
      </c>
      <c r="K1964" s="46" t="s">
        <v>10735</v>
      </c>
      <c r="L1964" s="47">
        <f t="shared" si="405"/>
        <v>1210</v>
      </c>
      <c r="M1964" s="47"/>
      <c r="N1964" s="47"/>
      <c r="O1964" s="47"/>
      <c r="P1964" s="47"/>
      <c r="Q1964" s="47">
        <f t="shared" si="408"/>
        <v>0</v>
      </c>
      <c r="R1964" s="47"/>
      <c r="S1964" s="47"/>
      <c r="T1964" s="47" t="s">
        <v>641</v>
      </c>
      <c r="U1964" s="47"/>
      <c r="V1964" s="47"/>
      <c r="W1964" s="47"/>
      <c r="X1964" s="47"/>
      <c r="Y1964" s="47"/>
      <c r="Z1964" s="47">
        <f t="shared" si="406"/>
        <v>4620</v>
      </c>
      <c r="AA1964" s="47">
        <f t="shared" si="409"/>
        <v>1400</v>
      </c>
      <c r="AB1964" s="47"/>
      <c r="AC1964" s="47"/>
      <c r="AD1964" s="47"/>
      <c r="AE1964" s="47"/>
      <c r="AF1964" s="47"/>
      <c r="AG1964" s="47"/>
      <c r="AH1964" s="47" t="str">
        <f>IFERROR(_xlfn.XLOOKUP(Table6[[#This Row],[Suburb]],Table5[Travel Surcharge],Table5[$$]),"")</f>
        <v/>
      </c>
      <c r="AI1964" s="47"/>
      <c r="AJ1964" s="47"/>
    </row>
    <row r="1965" spans="1:43">
      <c r="A1965" s="374" t="s">
        <v>3185</v>
      </c>
      <c r="B1965" s="374">
        <v>1</v>
      </c>
      <c r="C1965" s="374" t="s">
        <v>1538</v>
      </c>
      <c r="D1965" s="375" t="str">
        <f t="shared" si="404"/>
        <v>Harvest Home Estate1</v>
      </c>
      <c r="E1965" s="375" t="s">
        <v>3186</v>
      </c>
      <c r="F1965" s="375" t="s">
        <v>3187</v>
      </c>
      <c r="G1965" s="375" t="s">
        <v>3188</v>
      </c>
      <c r="H1965" s="375" t="s">
        <v>3189</v>
      </c>
      <c r="I1965" s="63" t="s">
        <v>3190</v>
      </c>
      <c r="J1965" s="47">
        <f t="shared" si="407"/>
        <v>3740</v>
      </c>
      <c r="K1965" s="46" t="s">
        <v>7938</v>
      </c>
      <c r="L1965" s="47" t="s">
        <v>3191</v>
      </c>
      <c r="M1965" s="47"/>
      <c r="N1965" s="47"/>
      <c r="O1965" s="47"/>
      <c r="P1965" s="47"/>
      <c r="Q1965" s="47">
        <f t="shared" si="408"/>
        <v>0</v>
      </c>
      <c r="R1965" s="47"/>
      <c r="S1965" s="47"/>
      <c r="T1965" s="47" t="s">
        <v>641</v>
      </c>
      <c r="U1965" s="47"/>
      <c r="V1965" s="47"/>
      <c r="W1965" s="47"/>
      <c r="X1965" s="47"/>
      <c r="Y1965" s="47"/>
      <c r="Z1965" s="47">
        <f t="shared" si="406"/>
        <v>4620</v>
      </c>
      <c r="AA1965" s="47"/>
      <c r="AB1965" s="47"/>
      <c r="AC1965" s="47"/>
      <c r="AD1965" s="47"/>
      <c r="AE1965" s="47"/>
      <c r="AF1965" s="47"/>
      <c r="AG1965" s="47"/>
      <c r="AH1965" s="47" t="str">
        <f>IFERROR(_xlfn.XLOOKUP(Table6[[#This Row],[Suburb]],Table5[Travel Surcharge],Table5[$$]),"")</f>
        <v/>
      </c>
      <c r="AI1965" s="47"/>
      <c r="AJ1965" s="47"/>
    </row>
    <row r="1966" spans="1:43">
      <c r="A1966" s="374" t="s">
        <v>3192</v>
      </c>
      <c r="B1966" s="374">
        <v>4</v>
      </c>
      <c r="C1966" s="374" t="s">
        <v>502</v>
      </c>
      <c r="D1966" s="375" t="str">
        <f t="shared" si="404"/>
        <v>Haven - Tarneit Estate4</v>
      </c>
      <c r="E1966" s="375" t="s">
        <v>3193</v>
      </c>
      <c r="F1966" s="375" t="s">
        <v>444</v>
      </c>
      <c r="G1966" s="375" t="s">
        <v>3194</v>
      </c>
      <c r="H1966" s="375" t="s">
        <v>3195</v>
      </c>
      <c r="I1966" s="63" t="s">
        <v>3196</v>
      </c>
      <c r="J1966" s="47">
        <f t="shared" si="407"/>
        <v>3740</v>
      </c>
      <c r="K1966" s="46" t="s">
        <v>10735</v>
      </c>
      <c r="L1966" s="47"/>
      <c r="M1966" s="47"/>
      <c r="N1966" s="47"/>
      <c r="O1966" s="47"/>
      <c r="P1966" s="47"/>
      <c r="Q1966" s="47"/>
      <c r="R1966" s="47"/>
      <c r="S1966" s="47" t="s">
        <v>463</v>
      </c>
      <c r="T1966" s="47"/>
      <c r="U1966" s="47"/>
      <c r="V1966" s="47"/>
      <c r="W1966" s="47"/>
      <c r="X1966" s="47"/>
      <c r="Y1966" s="47"/>
      <c r="Z1966" s="47">
        <f t="shared" si="406"/>
        <v>4620</v>
      </c>
      <c r="AA1966" s="47"/>
      <c r="AB1966" s="47"/>
      <c r="AC1966" s="47"/>
      <c r="AD1966" s="47"/>
      <c r="AE1966" s="47"/>
      <c r="AF1966" s="47"/>
      <c r="AG1966" s="47"/>
      <c r="AH1966" s="47" t="str">
        <f>IFERROR(_xlfn.XLOOKUP(Table6[[#This Row],[Suburb]],Table5[Travel Surcharge],Table5[$$]),"")</f>
        <v/>
      </c>
      <c r="AI1966" s="47"/>
      <c r="AJ1966" s="47"/>
    </row>
    <row r="1967" spans="1:43">
      <c r="A1967" s="374" t="s">
        <v>3192</v>
      </c>
      <c r="B1967" s="374">
        <v>5</v>
      </c>
      <c r="C1967" s="374" t="s">
        <v>502</v>
      </c>
      <c r="D1967" s="375" t="str">
        <f t="shared" si="404"/>
        <v>Haven - Tarneit Estate5</v>
      </c>
      <c r="E1967" s="375" t="s">
        <v>3193</v>
      </c>
      <c r="F1967" s="375" t="s">
        <v>444</v>
      </c>
      <c r="G1967" s="375" t="s">
        <v>3194</v>
      </c>
      <c r="H1967" s="375" t="s">
        <v>3195</v>
      </c>
      <c r="I1967" s="63" t="s">
        <v>3196</v>
      </c>
      <c r="J1967" s="47">
        <f t="shared" si="407"/>
        <v>3740</v>
      </c>
      <c r="K1967" s="46" t="s">
        <v>10735</v>
      </c>
      <c r="L1967" s="47"/>
      <c r="M1967" s="47"/>
      <c r="N1967" s="47"/>
      <c r="O1967" s="47"/>
      <c r="P1967" s="47"/>
      <c r="Q1967" s="47"/>
      <c r="R1967" s="47"/>
      <c r="S1967" s="47" t="s">
        <v>463</v>
      </c>
      <c r="T1967" s="47"/>
      <c r="U1967" s="47"/>
      <c r="V1967" s="47"/>
      <c r="W1967" s="47"/>
      <c r="X1967" s="47"/>
      <c r="Y1967" s="47"/>
      <c r="Z1967" s="47">
        <f t="shared" si="406"/>
        <v>4620</v>
      </c>
      <c r="AA1967" s="47"/>
      <c r="AB1967" s="47"/>
      <c r="AC1967" s="47"/>
      <c r="AD1967" s="47"/>
      <c r="AE1967" s="47"/>
      <c r="AF1967" s="47"/>
      <c r="AG1967" s="47"/>
      <c r="AH1967" s="47" t="str">
        <f>IFERROR(_xlfn.XLOOKUP(Table6[[#This Row],[Suburb]],Table5[Travel Surcharge],Table5[$$]),"")</f>
        <v/>
      </c>
      <c r="AI1967" s="47"/>
      <c r="AJ1967" s="47"/>
    </row>
    <row r="1968" spans="1:43">
      <c r="A1968" s="374" t="s">
        <v>3192</v>
      </c>
      <c r="B1968" s="374">
        <v>6</v>
      </c>
      <c r="C1968" s="374" t="s">
        <v>502</v>
      </c>
      <c r="D1968" s="375" t="str">
        <f t="shared" si="404"/>
        <v>Haven - Tarneit Estate6</v>
      </c>
      <c r="E1968" s="375" t="s">
        <v>3197</v>
      </c>
      <c r="F1968" s="375" t="s">
        <v>444</v>
      </c>
      <c r="G1968" s="375" t="s">
        <v>3194</v>
      </c>
      <c r="H1968" s="375" t="s">
        <v>3195</v>
      </c>
      <c r="I1968" s="63" t="s">
        <v>3196</v>
      </c>
      <c r="J1968" s="47">
        <f t="shared" si="407"/>
        <v>3740</v>
      </c>
      <c r="K1968" s="46" t="s">
        <v>10735</v>
      </c>
      <c r="L1968" s="47"/>
      <c r="M1968" s="47"/>
      <c r="N1968" s="47"/>
      <c r="O1968" s="47"/>
      <c r="P1968" s="47"/>
      <c r="Q1968" s="47"/>
      <c r="R1968" s="47"/>
      <c r="S1968" s="47" t="s">
        <v>463</v>
      </c>
      <c r="T1968" s="47"/>
      <c r="U1968" s="47"/>
      <c r="V1968" s="47"/>
      <c r="W1968" s="47"/>
      <c r="X1968" s="47"/>
      <c r="Y1968" s="47"/>
      <c r="Z1968" s="47">
        <f t="shared" si="406"/>
        <v>4620</v>
      </c>
      <c r="AA1968" s="47"/>
      <c r="AB1968" s="47"/>
      <c r="AC1968" s="47"/>
      <c r="AD1968" s="47"/>
      <c r="AE1968" s="47"/>
      <c r="AF1968" s="47"/>
      <c r="AG1968" s="47"/>
      <c r="AH1968" s="47" t="str">
        <f>IFERROR(_xlfn.XLOOKUP(Table6[[#This Row],[Suburb]],Table5[Travel Surcharge],Table5[$$]),"")</f>
        <v/>
      </c>
      <c r="AI1968" s="47"/>
      <c r="AJ1968" s="47"/>
    </row>
    <row r="1969" spans="1:36">
      <c r="A1969" s="374" t="s">
        <v>3192</v>
      </c>
      <c r="B1969" s="374">
        <v>7</v>
      </c>
      <c r="C1969" s="374" t="s">
        <v>502</v>
      </c>
      <c r="D1969" s="375" t="str">
        <f t="shared" si="404"/>
        <v>Haven - Tarneit Estate7</v>
      </c>
      <c r="E1969" s="375" t="s">
        <v>3198</v>
      </c>
      <c r="F1969" s="375" t="s">
        <v>444</v>
      </c>
      <c r="G1969" s="375" t="s">
        <v>3194</v>
      </c>
      <c r="H1969" s="375" t="s">
        <v>3195</v>
      </c>
      <c r="I1969" s="63" t="s">
        <v>3196</v>
      </c>
      <c r="J1969" s="47">
        <f t="shared" si="407"/>
        <v>3740</v>
      </c>
      <c r="K1969" s="46" t="s">
        <v>10735</v>
      </c>
      <c r="L1969" s="47"/>
      <c r="M1969" s="47"/>
      <c r="N1969" s="47"/>
      <c r="O1969" s="47"/>
      <c r="P1969" s="47"/>
      <c r="Q1969" s="47"/>
      <c r="R1969" s="47"/>
      <c r="S1969" s="47" t="s">
        <v>463</v>
      </c>
      <c r="T1969" s="47"/>
      <c r="U1969" s="47"/>
      <c r="V1969" s="47"/>
      <c r="W1969" s="47"/>
      <c r="X1969" s="47"/>
      <c r="Y1969" s="47"/>
      <c r="Z1969" s="47">
        <f t="shared" si="406"/>
        <v>4620</v>
      </c>
      <c r="AA1969" s="47"/>
      <c r="AB1969" s="47"/>
      <c r="AC1969" s="47"/>
      <c r="AD1969" s="47"/>
      <c r="AE1969" s="47"/>
      <c r="AF1969" s="47"/>
      <c r="AG1969" s="47"/>
      <c r="AH1969" s="47" t="str">
        <f>IFERROR(_xlfn.XLOOKUP(Table6[[#This Row],[Suburb]],Table5[Travel Surcharge],Table5[$$]),"")</f>
        <v/>
      </c>
      <c r="AI1969" s="47"/>
      <c r="AJ1969" s="47"/>
    </row>
    <row r="1970" spans="1:36">
      <c r="A1970" s="374" t="s">
        <v>3199</v>
      </c>
      <c r="B1970" s="374">
        <v>1</v>
      </c>
      <c r="C1970" s="374" t="s">
        <v>455</v>
      </c>
      <c r="D1970" s="375" t="str">
        <f t="shared" si="404"/>
        <v>Haven - Wollert Estate1</v>
      </c>
      <c r="E1970" s="375" t="s">
        <v>3200</v>
      </c>
      <c r="F1970" s="375" t="s">
        <v>3201</v>
      </c>
      <c r="G1970" s="375" t="s">
        <v>3202</v>
      </c>
      <c r="H1970" s="375" t="s">
        <v>3203</v>
      </c>
      <c r="I1970" s="63" t="s">
        <v>3204</v>
      </c>
      <c r="J1970" s="47">
        <f t="shared" si="407"/>
        <v>3740</v>
      </c>
      <c r="K1970" s="46" t="s">
        <v>10735</v>
      </c>
      <c r="L1970" s="47"/>
      <c r="M1970" s="47"/>
      <c r="N1970" s="47"/>
      <c r="O1970" s="47"/>
      <c r="P1970" s="47"/>
      <c r="Q1970" s="47"/>
      <c r="R1970" s="47"/>
      <c r="S1970" s="47" t="s">
        <v>463</v>
      </c>
      <c r="T1970" s="47"/>
      <c r="U1970" s="47"/>
      <c r="V1970" s="47"/>
      <c r="W1970" s="47"/>
      <c r="X1970" s="47"/>
      <c r="Y1970" s="47"/>
      <c r="Z1970" s="47">
        <f t="shared" si="406"/>
        <v>4620</v>
      </c>
      <c r="AA1970" s="47"/>
      <c r="AB1970" s="47"/>
      <c r="AC1970" s="47"/>
      <c r="AD1970" s="47"/>
      <c r="AE1970" s="47"/>
      <c r="AF1970" s="47"/>
      <c r="AG1970" s="47" t="s">
        <v>464</v>
      </c>
      <c r="AH1970" s="47" t="str">
        <f>IFERROR(_xlfn.XLOOKUP(Table6[[#This Row],[Suburb]],Table5[Travel Surcharge],Table5[$$]),"")</f>
        <v/>
      </c>
      <c r="AI1970" s="47"/>
      <c r="AJ1970" s="47"/>
    </row>
    <row r="1971" spans="1:36">
      <c r="A1971" s="374" t="s">
        <v>3199</v>
      </c>
      <c r="B1971" s="374">
        <v>2</v>
      </c>
      <c r="C1971" s="374" t="s">
        <v>455</v>
      </c>
      <c r="D1971" s="375" t="str">
        <f t="shared" si="404"/>
        <v>Haven - Wollert Estate2</v>
      </c>
      <c r="E1971" s="375" t="s">
        <v>3205</v>
      </c>
      <c r="F1971" s="375" t="s">
        <v>3201</v>
      </c>
      <c r="G1971" s="375" t="s">
        <v>3202</v>
      </c>
      <c r="H1971" s="375" t="s">
        <v>3203</v>
      </c>
      <c r="I1971" s="63" t="s">
        <v>3204</v>
      </c>
      <c r="J1971" s="47">
        <f t="shared" si="407"/>
        <v>3740</v>
      </c>
      <c r="K1971" s="46" t="s">
        <v>10735</v>
      </c>
      <c r="L1971" s="47"/>
      <c r="M1971" s="47"/>
      <c r="N1971" s="47"/>
      <c r="O1971" s="47"/>
      <c r="P1971" s="47"/>
      <c r="Q1971" s="47"/>
      <c r="R1971" s="47"/>
      <c r="S1971" s="47" t="s">
        <v>463</v>
      </c>
      <c r="T1971" s="47"/>
      <c r="U1971" s="47"/>
      <c r="V1971" s="47"/>
      <c r="W1971" s="47"/>
      <c r="X1971" s="47"/>
      <c r="Y1971" s="47"/>
      <c r="Z1971" s="47">
        <f t="shared" si="406"/>
        <v>4620</v>
      </c>
      <c r="AA1971" s="47"/>
      <c r="AB1971" s="47"/>
      <c r="AC1971" s="47"/>
      <c r="AD1971" s="47"/>
      <c r="AE1971" s="47"/>
      <c r="AF1971" s="47"/>
      <c r="AG1971" s="47" t="s">
        <v>464</v>
      </c>
      <c r="AH1971" s="47" t="str">
        <f>IFERROR(_xlfn.XLOOKUP(Table6[[#This Row],[Suburb]],Table5[Travel Surcharge],Table5[$$]),"")</f>
        <v/>
      </c>
      <c r="AI1971" s="47"/>
      <c r="AJ1971" s="47"/>
    </row>
    <row r="1972" spans="1:36">
      <c r="A1972" s="374" t="s">
        <v>3199</v>
      </c>
      <c r="B1972" s="374">
        <v>3</v>
      </c>
      <c r="C1972" s="374" t="s">
        <v>455</v>
      </c>
      <c r="D1972" s="375" t="str">
        <f t="shared" si="404"/>
        <v>Haven - Wollert Estate3</v>
      </c>
      <c r="E1972" s="375" t="s">
        <v>3206</v>
      </c>
      <c r="F1972" s="375" t="s">
        <v>3201</v>
      </c>
      <c r="G1972" s="375" t="s">
        <v>3202</v>
      </c>
      <c r="H1972" s="375" t="s">
        <v>3203</v>
      </c>
      <c r="I1972" s="63" t="s">
        <v>3204</v>
      </c>
      <c r="J1972" s="47">
        <f t="shared" si="407"/>
        <v>3740</v>
      </c>
      <c r="K1972" s="46" t="s">
        <v>10735</v>
      </c>
      <c r="L1972" s="47"/>
      <c r="M1972" s="47"/>
      <c r="N1972" s="47"/>
      <c r="O1972" s="47"/>
      <c r="P1972" s="47"/>
      <c r="Q1972" s="47"/>
      <c r="R1972" s="47"/>
      <c r="S1972" s="47" t="s">
        <v>463</v>
      </c>
      <c r="T1972" s="47"/>
      <c r="U1972" s="47"/>
      <c r="V1972" s="47"/>
      <c r="W1972" s="47"/>
      <c r="X1972" s="47"/>
      <c r="Y1972" s="47"/>
      <c r="Z1972" s="47">
        <f t="shared" si="406"/>
        <v>4620</v>
      </c>
      <c r="AA1972" s="47"/>
      <c r="AB1972" s="47"/>
      <c r="AC1972" s="47"/>
      <c r="AD1972" s="47"/>
      <c r="AE1972" s="47"/>
      <c r="AF1972" s="47"/>
      <c r="AG1972" s="47" t="s">
        <v>464</v>
      </c>
      <c r="AH1972" s="47" t="str">
        <f>IFERROR(_xlfn.XLOOKUP(Table6[[#This Row],[Suburb]],Table5[Travel Surcharge],Table5[$$]),"")</f>
        <v/>
      </c>
      <c r="AI1972" s="47"/>
      <c r="AJ1972" s="47"/>
    </row>
    <row r="1973" spans="1:36">
      <c r="A1973" s="374" t="s">
        <v>3199</v>
      </c>
      <c r="B1973" s="374">
        <v>4</v>
      </c>
      <c r="C1973" s="374" t="s">
        <v>455</v>
      </c>
      <c r="D1973" s="375" t="str">
        <f t="shared" si="404"/>
        <v>Haven - Wollert Estate4</v>
      </c>
      <c r="E1973" s="375" t="s">
        <v>3207</v>
      </c>
      <c r="F1973" s="375" t="s">
        <v>3201</v>
      </c>
      <c r="G1973" s="375" t="s">
        <v>3202</v>
      </c>
      <c r="H1973" s="375" t="s">
        <v>3203</v>
      </c>
      <c r="I1973" s="63" t="s">
        <v>3204</v>
      </c>
      <c r="J1973" s="47">
        <f t="shared" si="407"/>
        <v>3740</v>
      </c>
      <c r="K1973" s="46" t="s">
        <v>10735</v>
      </c>
      <c r="L1973" s="47"/>
      <c r="M1973" s="47"/>
      <c r="N1973" s="47"/>
      <c r="O1973" s="47"/>
      <c r="P1973" s="47"/>
      <c r="Q1973" s="47"/>
      <c r="R1973" s="47"/>
      <c r="S1973" s="47" t="s">
        <v>463</v>
      </c>
      <c r="T1973" s="47"/>
      <c r="U1973" s="47"/>
      <c r="V1973" s="47"/>
      <c r="W1973" s="47"/>
      <c r="X1973" s="47"/>
      <c r="Y1973" s="47"/>
      <c r="Z1973" s="47">
        <f t="shared" si="406"/>
        <v>4620</v>
      </c>
      <c r="AA1973" s="47"/>
      <c r="AB1973" s="47"/>
      <c r="AC1973" s="47"/>
      <c r="AD1973" s="47"/>
      <c r="AE1973" s="47"/>
      <c r="AF1973" s="47"/>
      <c r="AG1973" s="47" t="s">
        <v>464</v>
      </c>
      <c r="AH1973" s="47" t="str">
        <f>IFERROR(_xlfn.XLOOKUP(Table6[[#This Row],[Suburb]],Table5[Travel Surcharge],Table5[$$]),"")</f>
        <v/>
      </c>
      <c r="AI1973" s="47"/>
      <c r="AJ1973" s="47"/>
    </row>
    <row r="1974" spans="1:36">
      <c r="A1974" s="374" t="s">
        <v>3199</v>
      </c>
      <c r="B1974" s="374">
        <v>5</v>
      </c>
      <c r="C1974" s="374" t="s">
        <v>455</v>
      </c>
      <c r="D1974" s="375" t="str">
        <f t="shared" si="404"/>
        <v>Haven - Wollert Estate5</v>
      </c>
      <c r="E1974" s="375" t="s">
        <v>3208</v>
      </c>
      <c r="F1974" s="375" t="s">
        <v>3201</v>
      </c>
      <c r="G1974" s="375" t="s">
        <v>3202</v>
      </c>
      <c r="H1974" s="375" t="s">
        <v>3203</v>
      </c>
      <c r="I1974" s="63" t="s">
        <v>3204</v>
      </c>
      <c r="J1974" s="47">
        <f t="shared" si="407"/>
        <v>3740</v>
      </c>
      <c r="K1974" s="46" t="s">
        <v>10735</v>
      </c>
      <c r="L1974" s="47"/>
      <c r="M1974" s="47"/>
      <c r="N1974" s="47"/>
      <c r="O1974" s="47"/>
      <c r="P1974" s="47"/>
      <c r="Q1974" s="47"/>
      <c r="R1974" s="47"/>
      <c r="S1974" s="47" t="s">
        <v>463</v>
      </c>
      <c r="T1974" s="47"/>
      <c r="U1974" s="47"/>
      <c r="V1974" s="47"/>
      <c r="W1974" s="47"/>
      <c r="X1974" s="47"/>
      <c r="Y1974" s="47"/>
      <c r="Z1974" s="47">
        <f t="shared" si="406"/>
        <v>4620</v>
      </c>
      <c r="AA1974" s="47"/>
      <c r="AB1974" s="47"/>
      <c r="AC1974" s="47"/>
      <c r="AD1974" s="47"/>
      <c r="AE1974" s="47"/>
      <c r="AF1974" s="47"/>
      <c r="AG1974" s="47" t="s">
        <v>464</v>
      </c>
      <c r="AH1974" s="47" t="str">
        <f>IFERROR(_xlfn.XLOOKUP(Table6[[#This Row],[Suburb]],Table5[Travel Surcharge],Table5[$$]),"")</f>
        <v/>
      </c>
      <c r="AI1974" s="47"/>
      <c r="AJ1974" s="47"/>
    </row>
    <row r="1975" spans="1:36">
      <c r="A1975" s="374" t="s">
        <v>3209</v>
      </c>
      <c r="B1975" s="374">
        <v>1</v>
      </c>
      <c r="C1975" s="374" t="s">
        <v>281</v>
      </c>
      <c r="D1975" s="375" t="str">
        <f t="shared" si="404"/>
        <v>Haymont Estate1</v>
      </c>
      <c r="E1975" s="375" t="s">
        <v>3210</v>
      </c>
      <c r="F1975" s="375"/>
      <c r="G1975" s="375" t="s">
        <v>3211</v>
      </c>
      <c r="H1975" s="375" t="s">
        <v>3212</v>
      </c>
      <c r="I1975" s="63" t="s">
        <v>3213</v>
      </c>
      <c r="J1975" s="47">
        <f t="shared" si="407"/>
        <v>3740</v>
      </c>
      <c r="K1975" s="46" t="s">
        <v>10735</v>
      </c>
      <c r="L1975" s="47">
        <f t="shared" ref="L1975:L1980" si="410">L$7</f>
        <v>1210</v>
      </c>
      <c r="M1975" s="47" t="s">
        <v>3214</v>
      </c>
      <c r="N1975" s="47" t="s">
        <v>3215</v>
      </c>
      <c r="O1975" s="47" t="s">
        <v>3216</v>
      </c>
      <c r="P1975" s="47"/>
      <c r="Q1975" s="47"/>
      <c r="R1975" s="47"/>
      <c r="S1975" s="47"/>
      <c r="T1975" s="47"/>
      <c r="U1975" s="47">
        <f t="shared" ref="U1975:U1980" si="411">U$2</f>
        <v>430</v>
      </c>
      <c r="V1975" s="47"/>
      <c r="W1975" s="47"/>
      <c r="X1975" s="47"/>
      <c r="Y1975" s="47"/>
      <c r="Z1975" s="47">
        <f t="shared" si="406"/>
        <v>4620</v>
      </c>
      <c r="AA1975" s="47"/>
      <c r="AB1975" s="47"/>
      <c r="AC1975" s="47"/>
      <c r="AD1975" s="47"/>
      <c r="AE1975" s="47"/>
      <c r="AF1975" s="47">
        <f t="shared" ref="AF1975:AF1980" si="412">AF$7</f>
        <v>1485</v>
      </c>
      <c r="AG1975" s="47"/>
      <c r="AH1975" s="47">
        <f>IFERROR(_xlfn.XLOOKUP(Table6[[#This Row],[Suburb]],Table5[Travel Surcharge],Table5[$$]),"")</f>
        <v>1500</v>
      </c>
      <c r="AI1975" s="47"/>
      <c r="AJ1975" s="47"/>
    </row>
    <row r="1976" spans="1:36">
      <c r="A1976" s="374" t="s">
        <v>3209</v>
      </c>
      <c r="B1976" s="374">
        <v>2</v>
      </c>
      <c r="C1976" s="374" t="s">
        <v>281</v>
      </c>
      <c r="D1976" s="375" t="str">
        <f t="shared" si="404"/>
        <v>Haymont Estate2</v>
      </c>
      <c r="E1976" s="375" t="s">
        <v>3217</v>
      </c>
      <c r="F1976" s="375"/>
      <c r="G1976" s="375" t="s">
        <v>3211</v>
      </c>
      <c r="H1976" s="375" t="s">
        <v>3212</v>
      </c>
      <c r="I1976" s="63" t="s">
        <v>3213</v>
      </c>
      <c r="J1976" s="47">
        <f t="shared" si="407"/>
        <v>3740</v>
      </c>
      <c r="K1976" s="46" t="s">
        <v>10735</v>
      </c>
      <c r="L1976" s="47">
        <f t="shared" si="410"/>
        <v>1210</v>
      </c>
      <c r="M1976" s="47" t="s">
        <v>3214</v>
      </c>
      <c r="N1976" s="47" t="s">
        <v>3215</v>
      </c>
      <c r="O1976" s="47" t="s">
        <v>3216</v>
      </c>
      <c r="P1976" s="47"/>
      <c r="Q1976" s="47"/>
      <c r="R1976" s="47"/>
      <c r="S1976" s="47"/>
      <c r="T1976" s="47"/>
      <c r="U1976" s="47">
        <f t="shared" si="411"/>
        <v>430</v>
      </c>
      <c r="V1976" s="47"/>
      <c r="W1976" s="47"/>
      <c r="X1976" s="47"/>
      <c r="Y1976" s="47"/>
      <c r="Z1976" s="47">
        <f t="shared" si="406"/>
        <v>4620</v>
      </c>
      <c r="AA1976" s="47"/>
      <c r="AB1976" s="47"/>
      <c r="AC1976" s="47"/>
      <c r="AD1976" s="47"/>
      <c r="AE1976" s="47"/>
      <c r="AF1976" s="47">
        <f t="shared" si="412"/>
        <v>1485</v>
      </c>
      <c r="AG1976" s="47"/>
      <c r="AH1976" s="47">
        <f>IFERROR(_xlfn.XLOOKUP(Table6[[#This Row],[Suburb]],Table5[Travel Surcharge],Table5[$$]),"")</f>
        <v>1500</v>
      </c>
      <c r="AI1976" s="47"/>
      <c r="AJ1976" s="47"/>
    </row>
    <row r="1977" spans="1:36">
      <c r="A1977" s="374" t="s">
        <v>3209</v>
      </c>
      <c r="B1977" s="374">
        <v>3</v>
      </c>
      <c r="C1977" s="374" t="s">
        <v>281</v>
      </c>
      <c r="D1977" s="375" t="str">
        <f t="shared" si="404"/>
        <v>Haymont Estate3</v>
      </c>
      <c r="E1977" s="375" t="s">
        <v>3218</v>
      </c>
      <c r="F1977" s="375"/>
      <c r="G1977" s="375" t="s">
        <v>3211</v>
      </c>
      <c r="H1977" s="375" t="s">
        <v>3212</v>
      </c>
      <c r="I1977" s="63" t="s">
        <v>3213</v>
      </c>
      <c r="J1977" s="47">
        <f t="shared" si="407"/>
        <v>3740</v>
      </c>
      <c r="K1977" s="46" t="s">
        <v>10735</v>
      </c>
      <c r="L1977" s="47">
        <f t="shared" si="410"/>
        <v>1210</v>
      </c>
      <c r="M1977" s="47" t="s">
        <v>3214</v>
      </c>
      <c r="N1977" s="47" t="s">
        <v>3215</v>
      </c>
      <c r="O1977" s="47" t="s">
        <v>3216</v>
      </c>
      <c r="P1977" s="47" t="s">
        <v>3219</v>
      </c>
      <c r="Q1977" s="47"/>
      <c r="R1977" s="47"/>
      <c r="S1977" s="47"/>
      <c r="T1977" s="47"/>
      <c r="U1977" s="47">
        <f t="shared" si="411"/>
        <v>430</v>
      </c>
      <c r="V1977" s="47"/>
      <c r="W1977" s="47"/>
      <c r="X1977" s="47"/>
      <c r="Y1977" s="47"/>
      <c r="Z1977" s="47">
        <f t="shared" si="406"/>
        <v>4620</v>
      </c>
      <c r="AA1977" s="47"/>
      <c r="AB1977" s="47"/>
      <c r="AC1977" s="47"/>
      <c r="AD1977" s="47"/>
      <c r="AE1977" s="47"/>
      <c r="AF1977" s="47">
        <f t="shared" si="412"/>
        <v>1485</v>
      </c>
      <c r="AG1977" s="47"/>
      <c r="AH1977" s="47">
        <f>IFERROR(_xlfn.XLOOKUP(Table6[[#This Row],[Suburb]],Table5[Travel Surcharge],Table5[$$]),"")</f>
        <v>1500</v>
      </c>
      <c r="AI1977" s="47"/>
      <c r="AJ1977" s="47"/>
    </row>
    <row r="1978" spans="1:36">
      <c r="A1978" s="374" t="s">
        <v>3209</v>
      </c>
      <c r="B1978" s="374">
        <v>4</v>
      </c>
      <c r="C1978" s="374" t="s">
        <v>281</v>
      </c>
      <c r="D1978" s="375" t="str">
        <f t="shared" ref="D1978" si="413">CONCATENATE(A1978,B1978)</f>
        <v>Haymont Estate4</v>
      </c>
      <c r="E1978" s="375" t="s">
        <v>10900</v>
      </c>
      <c r="F1978" s="375"/>
      <c r="G1978" s="375" t="s">
        <v>3211</v>
      </c>
      <c r="H1978" s="375" t="s">
        <v>3212</v>
      </c>
      <c r="I1978" s="63" t="s">
        <v>3213</v>
      </c>
      <c r="J1978" s="47">
        <f t="shared" si="407"/>
        <v>3740</v>
      </c>
      <c r="K1978" s="46" t="s">
        <v>10735</v>
      </c>
      <c r="L1978" s="47">
        <f t="shared" si="410"/>
        <v>1210</v>
      </c>
      <c r="M1978" s="47" t="s">
        <v>3214</v>
      </c>
      <c r="N1978" s="47" t="s">
        <v>3215</v>
      </c>
      <c r="O1978" s="47" t="s">
        <v>3216</v>
      </c>
      <c r="P1978" s="47" t="s">
        <v>3219</v>
      </c>
      <c r="Q1978" s="47"/>
      <c r="R1978" s="47"/>
      <c r="S1978" s="47"/>
      <c r="T1978" s="47"/>
      <c r="U1978" s="47">
        <f t="shared" si="411"/>
        <v>430</v>
      </c>
      <c r="V1978" s="47"/>
      <c r="W1978" s="47"/>
      <c r="X1978" s="47"/>
      <c r="Y1978" s="47"/>
      <c r="Z1978" s="47">
        <f t="shared" si="406"/>
        <v>4620</v>
      </c>
      <c r="AA1978" s="47"/>
      <c r="AB1978" s="47"/>
      <c r="AC1978" s="47"/>
      <c r="AD1978" s="47"/>
      <c r="AE1978" s="47"/>
      <c r="AF1978" s="47">
        <f t="shared" si="412"/>
        <v>1485</v>
      </c>
      <c r="AG1978" s="47"/>
      <c r="AH1978" s="47">
        <f>IFERROR(_xlfn.XLOOKUP(Table6[[#This Row],[Suburb]],Table5[Travel Surcharge],Table5[$$]),"")</f>
        <v>1500</v>
      </c>
      <c r="AI1978" s="47"/>
      <c r="AJ1978" s="47"/>
    </row>
    <row r="1979" spans="1:36">
      <c r="A1979" s="157" t="s">
        <v>3209</v>
      </c>
      <c r="B1979" s="157">
        <v>5</v>
      </c>
      <c r="C1979" s="157" t="s">
        <v>281</v>
      </c>
      <c r="D1979" s="157" t="str">
        <f t="shared" si="404"/>
        <v>Haymont Estate5</v>
      </c>
      <c r="E1979" s="157" t="s">
        <v>8022</v>
      </c>
      <c r="F1979" s="157"/>
      <c r="G1979" s="157" t="s">
        <v>3211</v>
      </c>
      <c r="H1979" s="157" t="s">
        <v>3212</v>
      </c>
      <c r="I1979" s="158" t="s">
        <v>3213</v>
      </c>
      <c r="J1979" s="47">
        <f t="shared" si="407"/>
        <v>3740</v>
      </c>
      <c r="K1979" s="46" t="s">
        <v>10735</v>
      </c>
      <c r="L1979" s="47">
        <f t="shared" si="410"/>
        <v>1210</v>
      </c>
      <c r="M1979" s="47" t="s">
        <v>3214</v>
      </c>
      <c r="N1979" s="47" t="s">
        <v>3215</v>
      </c>
      <c r="O1979" s="47" t="s">
        <v>3216</v>
      </c>
      <c r="P1979" s="47" t="s">
        <v>3219</v>
      </c>
      <c r="Q1979" s="47"/>
      <c r="R1979" s="47"/>
      <c r="S1979" s="47"/>
      <c r="T1979" s="47"/>
      <c r="U1979" s="47">
        <f t="shared" si="411"/>
        <v>430</v>
      </c>
      <c r="V1979" s="47"/>
      <c r="W1979" s="47"/>
      <c r="X1979" s="47"/>
      <c r="Y1979" s="47"/>
      <c r="Z1979" s="47">
        <f t="shared" si="406"/>
        <v>4620</v>
      </c>
      <c r="AA1979" s="47"/>
      <c r="AB1979" s="47"/>
      <c r="AC1979" s="47"/>
      <c r="AD1979" s="47"/>
      <c r="AE1979" s="47"/>
      <c r="AF1979" s="47">
        <f t="shared" si="412"/>
        <v>1485</v>
      </c>
      <c r="AG1979" s="47"/>
      <c r="AH1979" s="47">
        <f>IFERROR(_xlfn.XLOOKUP(Table6[[#This Row],[Suburb]],Table5[Travel Surcharge],Table5[$$]),"")</f>
        <v>1500</v>
      </c>
      <c r="AI1979" s="47"/>
      <c r="AJ1979" s="47"/>
    </row>
    <row r="1980" spans="1:36">
      <c r="A1980" s="157" t="s">
        <v>3209</v>
      </c>
      <c r="B1980" s="157">
        <v>6</v>
      </c>
      <c r="C1980" s="157" t="s">
        <v>281</v>
      </c>
      <c r="D1980" s="157" t="str">
        <f t="shared" si="404"/>
        <v>Haymont Estate6</v>
      </c>
      <c r="E1980" s="157" t="s">
        <v>9529</v>
      </c>
      <c r="F1980" s="157"/>
      <c r="G1980" s="157" t="s">
        <v>3211</v>
      </c>
      <c r="H1980" s="157" t="s">
        <v>3212</v>
      </c>
      <c r="I1980" s="158" t="s">
        <v>3213</v>
      </c>
      <c r="J1980" s="47">
        <f t="shared" si="407"/>
        <v>3740</v>
      </c>
      <c r="K1980" s="46" t="s">
        <v>10735</v>
      </c>
      <c r="L1980" s="47">
        <f t="shared" si="410"/>
        <v>1210</v>
      </c>
      <c r="M1980" s="47" t="s">
        <v>3214</v>
      </c>
      <c r="N1980" s="47" t="s">
        <v>3215</v>
      </c>
      <c r="O1980" s="47" t="s">
        <v>3216</v>
      </c>
      <c r="P1980" s="47" t="s">
        <v>3219</v>
      </c>
      <c r="Q1980" s="47"/>
      <c r="R1980" s="47"/>
      <c r="S1980" s="47"/>
      <c r="T1980" s="47"/>
      <c r="U1980" s="47">
        <f t="shared" si="411"/>
        <v>430</v>
      </c>
      <c r="V1980" s="47"/>
      <c r="W1980" s="47"/>
      <c r="X1980" s="47"/>
      <c r="Y1980" s="47"/>
      <c r="Z1980" s="47">
        <f t="shared" si="406"/>
        <v>4620</v>
      </c>
      <c r="AA1980" s="47"/>
      <c r="AB1980" s="47"/>
      <c r="AC1980" s="47"/>
      <c r="AD1980" s="47"/>
      <c r="AE1980" s="47"/>
      <c r="AF1980" s="47">
        <f t="shared" si="412"/>
        <v>1485</v>
      </c>
      <c r="AG1980" s="47"/>
      <c r="AH1980" s="47">
        <f>IFERROR(_xlfn.XLOOKUP(Table6[[#This Row],[Suburb]],Table5[Travel Surcharge],Table5[$$]),"")</f>
        <v>1500</v>
      </c>
      <c r="AI1980" s="47"/>
      <c r="AJ1980" s="47"/>
    </row>
    <row r="1981" spans="1:36">
      <c r="A1981" s="374" t="s">
        <v>3209</v>
      </c>
      <c r="B1981" s="374">
        <v>7</v>
      </c>
      <c r="C1981" s="374" t="s">
        <v>281</v>
      </c>
      <c r="D1981" s="157" t="str">
        <f t="shared" si="404"/>
        <v>Haymont Estate7</v>
      </c>
      <c r="E1981" s="375" t="s">
        <v>10302</v>
      </c>
      <c r="F1981" s="375"/>
      <c r="G1981" s="375" t="s">
        <v>3211</v>
      </c>
      <c r="H1981" s="375" t="s">
        <v>3212</v>
      </c>
      <c r="I1981" s="63" t="s">
        <v>3213</v>
      </c>
      <c r="J1981" s="47">
        <v>3740</v>
      </c>
      <c r="K1981" s="46" t="s">
        <v>10735</v>
      </c>
      <c r="L1981" s="47">
        <v>1210</v>
      </c>
      <c r="M1981" s="47" t="s">
        <v>3214</v>
      </c>
      <c r="N1981" s="47" t="s">
        <v>3215</v>
      </c>
      <c r="O1981" s="47" t="s">
        <v>3216</v>
      </c>
      <c r="P1981" s="47" t="s">
        <v>3219</v>
      </c>
      <c r="Q1981" s="47"/>
      <c r="R1981" s="47"/>
      <c r="S1981" s="47"/>
      <c r="T1981" s="47"/>
      <c r="U1981" s="47">
        <v>540</v>
      </c>
      <c r="V1981" s="47"/>
      <c r="W1981" s="47"/>
      <c r="X1981" s="47"/>
      <c r="Y1981" s="47"/>
      <c r="Z1981" s="47">
        <v>4620</v>
      </c>
      <c r="AA1981" s="47"/>
      <c r="AB1981" s="47"/>
      <c r="AC1981" s="47"/>
      <c r="AD1981" s="47"/>
      <c r="AE1981" s="47"/>
      <c r="AF1981" s="47">
        <v>1485</v>
      </c>
      <c r="AG1981" s="47"/>
      <c r="AH1981" s="47">
        <v>1500</v>
      </c>
      <c r="AI1981" s="47"/>
      <c r="AJ1981" s="47"/>
    </row>
    <row r="1982" spans="1:36">
      <c r="A1982" s="374" t="s">
        <v>3220</v>
      </c>
      <c r="B1982" s="374">
        <v>1</v>
      </c>
      <c r="C1982" s="374" t="s">
        <v>1538</v>
      </c>
      <c r="D1982" s="375" t="str">
        <f t="shared" si="404"/>
        <v>Hayston Views Estate1</v>
      </c>
      <c r="E1982" s="375" t="s">
        <v>3221</v>
      </c>
      <c r="F1982" s="375" t="s">
        <v>920</v>
      </c>
      <c r="G1982" s="375" t="s">
        <v>3222</v>
      </c>
      <c r="H1982" s="375" t="s">
        <v>922</v>
      </c>
      <c r="I1982" s="63" t="s">
        <v>923</v>
      </c>
      <c r="J1982" s="47">
        <f t="shared" si="407"/>
        <v>3740</v>
      </c>
      <c r="K1982" s="46" t="s">
        <v>10735</v>
      </c>
      <c r="L1982" s="47"/>
      <c r="M1982" s="47"/>
      <c r="N1982" s="47"/>
      <c r="O1982" s="47"/>
      <c r="P1982" s="47"/>
      <c r="Q1982" s="47">
        <f>Q$2</f>
        <v>0</v>
      </c>
      <c r="R1982" s="47"/>
      <c r="S1982" s="47"/>
      <c r="T1982" s="47"/>
      <c r="U1982" s="47"/>
      <c r="V1982" s="47"/>
      <c r="W1982" s="47"/>
      <c r="X1982" s="47"/>
      <c r="Y1982" s="47"/>
      <c r="Z1982" s="47">
        <f t="shared" si="406"/>
        <v>4620</v>
      </c>
      <c r="AA1982" s="47"/>
      <c r="AB1982" s="47"/>
      <c r="AC1982" s="47"/>
      <c r="AD1982" s="47"/>
      <c r="AE1982" s="47"/>
      <c r="AF1982" s="47"/>
      <c r="AG1982" s="47"/>
      <c r="AH1982" s="47" t="str">
        <f>IFERROR(_xlfn.XLOOKUP(Table6[[#This Row],[Suburb]],Table5[Travel Surcharge],Table5[$$]),"")</f>
        <v/>
      </c>
      <c r="AI1982" s="47"/>
      <c r="AJ1982" s="47"/>
    </row>
    <row r="1983" spans="1:36">
      <c r="A1983" s="374" t="s">
        <v>3223</v>
      </c>
      <c r="B1983" s="374">
        <v>2</v>
      </c>
      <c r="C1983" s="374" t="s">
        <v>394</v>
      </c>
      <c r="D1983" s="375" t="str">
        <f t="shared" si="404"/>
        <v>Hazelcroft Estate2</v>
      </c>
      <c r="E1983" s="375" t="s">
        <v>3224</v>
      </c>
      <c r="F1983" s="375" t="s">
        <v>3225</v>
      </c>
      <c r="G1983" s="375" t="s">
        <v>3226</v>
      </c>
      <c r="H1983" s="375" t="s">
        <v>3227</v>
      </c>
      <c r="I1983" s="63" t="s">
        <v>3228</v>
      </c>
      <c r="J1983" s="47"/>
      <c r="K1983" s="46" t="s">
        <v>10735</v>
      </c>
      <c r="L1983" s="47"/>
      <c r="M1983" s="47"/>
      <c r="N1983" s="47"/>
      <c r="O1983" s="47"/>
      <c r="P1983" s="47"/>
      <c r="Q1983" s="47">
        <f>Q$2</f>
        <v>0</v>
      </c>
      <c r="R1983" s="47"/>
      <c r="S1983" s="47"/>
      <c r="T1983" s="47"/>
      <c r="U1983" s="47"/>
      <c r="V1983" s="47"/>
      <c r="W1983" s="47"/>
      <c r="X1983" s="47"/>
      <c r="Y1983" s="47"/>
      <c r="Z1983" s="47">
        <f t="shared" si="406"/>
        <v>4620</v>
      </c>
      <c r="AA1983" s="47"/>
      <c r="AB1983" s="47"/>
      <c r="AC1983" s="47"/>
      <c r="AD1983" s="47"/>
      <c r="AE1983" s="47"/>
      <c r="AF1983" s="47"/>
      <c r="AG1983" s="47"/>
      <c r="AH1983" s="47" t="str">
        <f>IFERROR(_xlfn.XLOOKUP(Table6[[#This Row],[Suburb]],Table5[Travel Surcharge],Table5[$$]),"")</f>
        <v/>
      </c>
      <c r="AI1983" s="47"/>
      <c r="AJ1983" s="47"/>
    </row>
    <row r="1984" spans="1:36">
      <c r="A1984" s="374" t="s">
        <v>3223</v>
      </c>
      <c r="B1984" s="374">
        <v>5</v>
      </c>
      <c r="C1984" s="374" t="s">
        <v>394</v>
      </c>
      <c r="D1984" s="375" t="str">
        <f t="shared" si="404"/>
        <v>Hazelcroft Estate5</v>
      </c>
      <c r="E1984" s="375" t="s">
        <v>3229</v>
      </c>
      <c r="F1984" s="375" t="s">
        <v>3225</v>
      </c>
      <c r="G1984" s="375" t="s">
        <v>3226</v>
      </c>
      <c r="H1984" s="375" t="s">
        <v>3227</v>
      </c>
      <c r="I1984" s="63" t="s">
        <v>3228</v>
      </c>
      <c r="J1984" s="47"/>
      <c r="K1984" s="46" t="s">
        <v>10735</v>
      </c>
      <c r="L1984" s="47"/>
      <c r="M1984" s="47"/>
      <c r="N1984" s="47"/>
      <c r="O1984" s="47"/>
      <c r="P1984" s="47"/>
      <c r="Q1984" s="47">
        <f>Q$2</f>
        <v>0</v>
      </c>
      <c r="R1984" s="47"/>
      <c r="S1984" s="47"/>
      <c r="T1984" s="47"/>
      <c r="U1984" s="47"/>
      <c r="V1984" s="47"/>
      <c r="W1984" s="47"/>
      <c r="X1984" s="47"/>
      <c r="Y1984" s="47"/>
      <c r="Z1984" s="47">
        <f t="shared" si="406"/>
        <v>4620</v>
      </c>
      <c r="AA1984" s="47"/>
      <c r="AB1984" s="47"/>
      <c r="AC1984" s="47"/>
      <c r="AD1984" s="47"/>
      <c r="AE1984" s="47"/>
      <c r="AF1984" s="47"/>
      <c r="AG1984" s="47"/>
      <c r="AH1984" s="47" t="str">
        <f>IFERROR(_xlfn.XLOOKUP(Table6[[#This Row],[Suburb]],Table5[Travel Surcharge],Table5[$$]),"")</f>
        <v/>
      </c>
      <c r="AI1984" s="47"/>
      <c r="AJ1984" s="47"/>
    </row>
    <row r="1985" spans="1:36">
      <c r="A1985" s="157" t="s">
        <v>7434</v>
      </c>
      <c r="B1985" s="157">
        <v>1</v>
      </c>
      <c r="C1985" s="157" t="s">
        <v>1264</v>
      </c>
      <c r="D1985" s="375" t="str">
        <f>CONCATENATE(A1985,B1985)</f>
        <v>Heartford Estate1</v>
      </c>
      <c r="E1985" s="375" t="s">
        <v>7435</v>
      </c>
      <c r="F1985" s="375"/>
      <c r="G1985" s="375"/>
      <c r="H1985" s="375"/>
      <c r="I1985" s="375"/>
      <c r="J1985" s="47">
        <f>J$7</f>
        <v>3740</v>
      </c>
      <c r="K1985" s="46" t="s">
        <v>7938</v>
      </c>
      <c r="L1985" s="47" t="s">
        <v>7437</v>
      </c>
      <c r="M1985" s="47"/>
      <c r="N1985" s="47" t="s">
        <v>7436</v>
      </c>
      <c r="O1985" s="47" t="s">
        <v>7438</v>
      </c>
      <c r="P1985" s="47"/>
      <c r="Q1985" s="47">
        <f>Q$2</f>
        <v>0</v>
      </c>
      <c r="R1985" s="47" t="s">
        <v>10898</v>
      </c>
      <c r="S1985" s="47" t="s">
        <v>10988</v>
      </c>
      <c r="T1985" s="47" t="s">
        <v>10380</v>
      </c>
      <c r="U1985" s="47" t="s">
        <v>6230</v>
      </c>
      <c r="V1985" s="47"/>
      <c r="W1985" s="47"/>
      <c r="X1985" s="47"/>
      <c r="Y1985" s="47"/>
      <c r="Z1985" s="47">
        <f>Z$7</f>
        <v>4620</v>
      </c>
      <c r="AA1985" s="47">
        <f>AA$7</f>
        <v>1400</v>
      </c>
      <c r="AB1985" s="47"/>
      <c r="AC1985" s="47"/>
      <c r="AD1985" s="47"/>
      <c r="AE1985" s="47"/>
      <c r="AF1985" s="47">
        <f>AF$7</f>
        <v>1485</v>
      </c>
      <c r="AG1985" s="47"/>
      <c r="AH1985" s="47" t="str">
        <f>IFERROR(_xlfn.XLOOKUP(Table6[[#This Row],[Suburb]],Table5[Travel Surcharge],Table5[$$]),"")</f>
        <v/>
      </c>
      <c r="AI1985" s="47"/>
      <c r="AJ1985" s="47"/>
    </row>
    <row r="1986" spans="1:36">
      <c r="A1986" s="157" t="s">
        <v>7434</v>
      </c>
      <c r="B1986" s="157">
        <v>2</v>
      </c>
      <c r="C1986" s="157" t="s">
        <v>1264</v>
      </c>
      <c r="D1986" s="375" t="str">
        <f t="shared" ref="D1986:D1989" si="414">CONCATENATE(A1986,B1986)</f>
        <v>Heartford Estate2</v>
      </c>
      <c r="E1986" s="375" t="s">
        <v>9823</v>
      </c>
      <c r="F1986" s="375"/>
      <c r="G1986" s="375"/>
      <c r="H1986" s="375"/>
      <c r="I1986" s="375"/>
      <c r="J1986" s="47">
        <f>J$7</f>
        <v>3740</v>
      </c>
      <c r="K1986" s="46" t="s">
        <v>7938</v>
      </c>
      <c r="L1986" s="47" t="s">
        <v>7437</v>
      </c>
      <c r="M1986" s="47"/>
      <c r="N1986" s="47" t="s">
        <v>7436</v>
      </c>
      <c r="O1986" s="47" t="s">
        <v>7438</v>
      </c>
      <c r="P1986" s="47"/>
      <c r="Q1986" s="47">
        <f>Q$2</f>
        <v>0</v>
      </c>
      <c r="R1986" s="47" t="s">
        <v>11017</v>
      </c>
      <c r="S1986" s="47" t="s">
        <v>11018</v>
      </c>
      <c r="T1986" s="47" t="s">
        <v>10380</v>
      </c>
      <c r="U1986" s="47" t="s">
        <v>6230</v>
      </c>
      <c r="V1986" s="47"/>
      <c r="W1986" s="47"/>
      <c r="X1986" s="47"/>
      <c r="Y1986" s="47"/>
      <c r="Z1986" s="47">
        <f>Z$7</f>
        <v>4620</v>
      </c>
      <c r="AA1986" s="47">
        <f>AA$7</f>
        <v>1400</v>
      </c>
      <c r="AB1986" s="47"/>
      <c r="AC1986" s="47"/>
      <c r="AD1986" s="47"/>
      <c r="AE1986" s="47"/>
      <c r="AF1986" s="47">
        <f>AF$7</f>
        <v>1485</v>
      </c>
      <c r="AG1986" s="47"/>
      <c r="AH1986" s="47" t="str">
        <f>IFERROR(_xlfn.XLOOKUP(Table6[[#This Row],[Suburb]],Table5[Travel Surcharge],Table5[$$]),"")</f>
        <v/>
      </c>
      <c r="AI1986" s="47"/>
      <c r="AJ1986" s="47"/>
    </row>
    <row r="1987" spans="1:36">
      <c r="A1987" s="157" t="s">
        <v>7434</v>
      </c>
      <c r="B1987" s="157">
        <v>3</v>
      </c>
      <c r="C1987" s="157" t="s">
        <v>1264</v>
      </c>
      <c r="D1987" s="375" t="str">
        <f t="shared" si="414"/>
        <v>Heartford Estate3</v>
      </c>
      <c r="E1987" s="375" t="s">
        <v>8255</v>
      </c>
      <c r="F1987" s="375"/>
      <c r="G1987" s="375"/>
      <c r="H1987" s="375"/>
      <c r="I1987" s="375"/>
      <c r="J1987" s="47">
        <v>3740</v>
      </c>
      <c r="K1987" s="46" t="s">
        <v>7938</v>
      </c>
      <c r="L1987" s="47" t="s">
        <v>7437</v>
      </c>
      <c r="M1987" s="47"/>
      <c r="N1987" s="47" t="s">
        <v>7436</v>
      </c>
      <c r="O1987" s="47" t="s">
        <v>7438</v>
      </c>
      <c r="P1987" s="47"/>
      <c r="Q1987" s="47">
        <v>0</v>
      </c>
      <c r="R1987" s="47" t="s">
        <v>11019</v>
      </c>
      <c r="S1987" s="47" t="s">
        <v>11020</v>
      </c>
      <c r="T1987" s="47" t="s">
        <v>10380</v>
      </c>
      <c r="U1987" s="47" t="s">
        <v>6230</v>
      </c>
      <c r="V1987" s="47"/>
      <c r="W1987" s="47"/>
      <c r="X1987" s="47"/>
      <c r="Y1987" s="47"/>
      <c r="Z1987" s="47">
        <v>4620</v>
      </c>
      <c r="AA1987" s="47">
        <v>1400</v>
      </c>
      <c r="AB1987" s="47"/>
      <c r="AC1987" s="47"/>
      <c r="AD1987" s="47"/>
      <c r="AE1987" s="47"/>
      <c r="AF1987" s="47">
        <v>1650.0000000000002</v>
      </c>
      <c r="AG1987" s="47"/>
      <c r="AH1987" s="47" t="str">
        <f>IFERROR(_xlfn.XLOOKUP(Table6[[#This Row],[Suburb]],Table5[Travel Surcharge],Table5[$$]),"")</f>
        <v/>
      </c>
      <c r="AI1987" s="47"/>
      <c r="AJ1987" s="47"/>
    </row>
    <row r="1988" spans="1:36">
      <c r="A1988" s="374" t="s">
        <v>7434</v>
      </c>
      <c r="B1988" s="374">
        <v>4</v>
      </c>
      <c r="C1988" s="374" t="s">
        <v>1264</v>
      </c>
      <c r="D1988" s="375" t="str">
        <f t="shared" si="414"/>
        <v>Heartford Estate4</v>
      </c>
      <c r="E1988" s="375" t="s">
        <v>9536</v>
      </c>
      <c r="F1988" s="375"/>
      <c r="G1988" s="375"/>
      <c r="H1988" s="375"/>
      <c r="I1988" s="375"/>
      <c r="J1988" s="47">
        <v>3740</v>
      </c>
      <c r="K1988" s="46" t="s">
        <v>7938</v>
      </c>
      <c r="L1988" s="47" t="s">
        <v>7437</v>
      </c>
      <c r="M1988" s="47"/>
      <c r="N1988" s="47" t="s">
        <v>7436</v>
      </c>
      <c r="O1988" s="47">
        <v>4950</v>
      </c>
      <c r="P1988" s="47" t="s">
        <v>7438</v>
      </c>
      <c r="Q1988" s="47">
        <v>0</v>
      </c>
      <c r="R1988" s="47" t="s">
        <v>11021</v>
      </c>
      <c r="S1988" s="47" t="s">
        <v>11022</v>
      </c>
      <c r="T1988" s="47" t="s">
        <v>10380</v>
      </c>
      <c r="U1988" s="47" t="s">
        <v>6230</v>
      </c>
      <c r="V1988" s="47"/>
      <c r="W1988" s="47"/>
      <c r="X1988" s="47"/>
      <c r="Y1988" s="47"/>
      <c r="Z1988" s="47">
        <v>4620</v>
      </c>
      <c r="AA1988" s="47">
        <v>1400</v>
      </c>
      <c r="AB1988" s="47"/>
      <c r="AC1988" s="47"/>
      <c r="AD1988" s="47"/>
      <c r="AE1988" s="47"/>
      <c r="AF1988" s="47">
        <v>1650.0000000000002</v>
      </c>
      <c r="AG1988" s="47"/>
      <c r="AH1988" s="47" t="s">
        <v>9976</v>
      </c>
      <c r="AI1988" s="47"/>
      <c r="AJ1988" s="47"/>
    </row>
    <row r="1989" spans="1:36">
      <c r="A1989" s="374" t="s">
        <v>7434</v>
      </c>
      <c r="B1989" s="374">
        <v>5</v>
      </c>
      <c r="C1989" s="374" t="s">
        <v>1264</v>
      </c>
      <c r="D1989" s="375" t="str">
        <f t="shared" si="414"/>
        <v>Heartford Estate5</v>
      </c>
      <c r="E1989" s="375" t="s">
        <v>10356</v>
      </c>
      <c r="F1989" s="375"/>
      <c r="G1989" s="375"/>
      <c r="H1989" s="375"/>
      <c r="I1989" s="63"/>
      <c r="J1989" s="47">
        <v>3740</v>
      </c>
      <c r="K1989" s="46" t="s">
        <v>7938</v>
      </c>
      <c r="L1989" s="47" t="s">
        <v>7437</v>
      </c>
      <c r="M1989" s="47"/>
      <c r="N1989" s="47" t="s">
        <v>7436</v>
      </c>
      <c r="O1989" s="47">
        <v>4950</v>
      </c>
      <c r="P1989" s="47" t="s">
        <v>7438</v>
      </c>
      <c r="Q1989" s="47">
        <v>0</v>
      </c>
      <c r="R1989" s="47" t="s">
        <v>11023</v>
      </c>
      <c r="S1989" s="47" t="s">
        <v>11024</v>
      </c>
      <c r="T1989" s="47" t="s">
        <v>10380</v>
      </c>
      <c r="U1989" s="47" t="s">
        <v>6230</v>
      </c>
      <c r="V1989" s="47"/>
      <c r="W1989" s="47"/>
      <c r="X1989" s="47"/>
      <c r="Y1989" s="47"/>
      <c r="Z1989" s="47">
        <v>4620</v>
      </c>
      <c r="AA1989" s="47">
        <v>1400</v>
      </c>
      <c r="AB1989" s="47"/>
      <c r="AC1989" s="47"/>
      <c r="AD1989" s="47"/>
      <c r="AE1989" s="47"/>
      <c r="AF1989" s="47">
        <v>1650.0000000000002</v>
      </c>
      <c r="AG1989" s="47"/>
      <c r="AH1989" s="47" t="s">
        <v>9976</v>
      </c>
      <c r="AI1989" s="47"/>
      <c r="AJ1989" s="47"/>
    </row>
    <row r="1990" spans="1:36">
      <c r="A1990" s="374" t="s">
        <v>10366</v>
      </c>
      <c r="B1990" s="374">
        <v>1</v>
      </c>
      <c r="C1990" s="374" t="s">
        <v>1264</v>
      </c>
      <c r="D1990" s="375" t="str">
        <f>CONCATENATE(A1990,B1990)</f>
        <v>Heartford Estate East Village1</v>
      </c>
      <c r="E1990" s="375" t="s">
        <v>10365</v>
      </c>
      <c r="F1990" s="375"/>
      <c r="G1990" s="375"/>
      <c r="H1990" s="375"/>
      <c r="I1990" s="63"/>
      <c r="J1990" s="47">
        <v>3740</v>
      </c>
      <c r="K1990" s="46" t="s">
        <v>7938</v>
      </c>
      <c r="L1990" s="47">
        <v>1210</v>
      </c>
      <c r="M1990" s="47" t="s">
        <v>10367</v>
      </c>
      <c r="N1990" s="47" t="s">
        <v>5178</v>
      </c>
      <c r="O1990" s="47" t="s">
        <v>5179</v>
      </c>
      <c r="P1990" s="47" t="s">
        <v>10334</v>
      </c>
      <c r="Q1990" s="47" t="s">
        <v>10368</v>
      </c>
      <c r="R1990" s="47"/>
      <c r="S1990" s="47"/>
      <c r="T1990" s="47"/>
      <c r="U1990" s="47">
        <v>540</v>
      </c>
      <c r="V1990" s="47"/>
      <c r="W1990" s="47"/>
      <c r="X1990" s="47"/>
      <c r="Y1990" s="47"/>
      <c r="Z1990" s="47">
        <f>Z$7</f>
        <v>4620</v>
      </c>
      <c r="AA1990" s="47"/>
      <c r="AB1990" s="47"/>
      <c r="AC1990" s="47"/>
      <c r="AD1990" s="47"/>
      <c r="AE1990" s="47"/>
      <c r="AF1990" s="47">
        <v>1485</v>
      </c>
      <c r="AG1990" s="47"/>
      <c r="AH1990" s="47"/>
      <c r="AI1990" s="47"/>
      <c r="AJ1990" s="47"/>
    </row>
    <row r="1991" spans="1:36">
      <c r="A1991" s="374" t="s">
        <v>7632</v>
      </c>
      <c r="B1991" s="374">
        <v>1</v>
      </c>
      <c r="C1991" s="374" t="s">
        <v>300</v>
      </c>
      <c r="D1991" s="375" t="str">
        <f t="shared" ref="D1991:D2038" si="415">CONCATENATE(A1991,B1991)</f>
        <v>Heartland1</v>
      </c>
      <c r="E1991" s="375" t="s">
        <v>7633</v>
      </c>
      <c r="F1991" s="375"/>
      <c r="G1991" s="375"/>
      <c r="H1991" s="375"/>
      <c r="I1991" s="63"/>
      <c r="J1991" s="47">
        <f>J$7</f>
        <v>3740</v>
      </c>
      <c r="K1991" s="46" t="s">
        <v>10735</v>
      </c>
      <c r="L1991" s="47">
        <f>L$7</f>
        <v>1210</v>
      </c>
      <c r="M1991" s="47"/>
      <c r="N1991" s="47"/>
      <c r="O1991" s="47" t="s">
        <v>7638</v>
      </c>
      <c r="P1991" s="47"/>
      <c r="Q1991" s="47">
        <f>Q$2</f>
        <v>0</v>
      </c>
      <c r="R1991" s="47" t="s">
        <v>6230</v>
      </c>
      <c r="S1991" s="47"/>
      <c r="T1991" s="47"/>
      <c r="U1991" s="47"/>
      <c r="V1991" s="47" t="s">
        <v>7635</v>
      </c>
      <c r="W1991" s="47"/>
      <c r="X1991" s="47" t="s">
        <v>7636</v>
      </c>
      <c r="Y1991" s="47"/>
      <c r="Z1991" s="47">
        <f t="shared" ref="Z1991:Z2038" si="416">Z$7</f>
        <v>4620</v>
      </c>
      <c r="AA1991" s="47"/>
      <c r="AB1991" s="47"/>
      <c r="AC1991" s="47"/>
      <c r="AD1991" s="47"/>
      <c r="AE1991" s="47"/>
      <c r="AF1991" s="47">
        <f>AF$7</f>
        <v>1485</v>
      </c>
      <c r="AG1991" s="47"/>
      <c r="AH1991" s="47">
        <f>IFERROR(_xlfn.XLOOKUP(Table6[[#This Row],[Suburb]],Table5[Travel Surcharge],Table5[$$]),"")</f>
        <v>12000</v>
      </c>
      <c r="AI1991" s="47"/>
      <c r="AJ1991" s="47"/>
    </row>
    <row r="1992" spans="1:36">
      <c r="A1992" s="374" t="s">
        <v>7632</v>
      </c>
      <c r="B1992" s="374">
        <v>2</v>
      </c>
      <c r="C1992" s="374" t="s">
        <v>300</v>
      </c>
      <c r="D1992" s="375" t="str">
        <f t="shared" si="415"/>
        <v>Heartland2</v>
      </c>
      <c r="E1992" s="375" t="s">
        <v>7634</v>
      </c>
      <c r="F1992" s="375"/>
      <c r="G1992" s="375"/>
      <c r="H1992" s="375"/>
      <c r="I1992" s="63"/>
      <c r="J1992" s="47">
        <f>J$7</f>
        <v>3740</v>
      </c>
      <c r="K1992" s="46" t="s">
        <v>10735</v>
      </c>
      <c r="L1992" s="47">
        <f>L$7</f>
        <v>1210</v>
      </c>
      <c r="M1992" s="47"/>
      <c r="N1992" s="47"/>
      <c r="O1992" s="47" t="s">
        <v>7637</v>
      </c>
      <c r="P1992" s="47"/>
      <c r="Q1992" s="47">
        <f>Q$2</f>
        <v>0</v>
      </c>
      <c r="R1992" s="47" t="s">
        <v>6230</v>
      </c>
      <c r="S1992" s="47"/>
      <c r="T1992" s="47"/>
      <c r="U1992" s="47"/>
      <c r="V1992" s="47" t="s">
        <v>7635</v>
      </c>
      <c r="W1992" s="47"/>
      <c r="X1992" s="47" t="s">
        <v>7636</v>
      </c>
      <c r="Y1992" s="47"/>
      <c r="Z1992" s="47">
        <f t="shared" si="416"/>
        <v>4620</v>
      </c>
      <c r="AA1992" s="47"/>
      <c r="AB1992" s="47"/>
      <c r="AC1992" s="47"/>
      <c r="AD1992" s="47"/>
      <c r="AE1992" s="47"/>
      <c r="AF1992" s="47">
        <f>AF$7</f>
        <v>1485</v>
      </c>
      <c r="AG1992" s="47"/>
      <c r="AH1992" s="47">
        <f>IFERROR(_xlfn.XLOOKUP(Table6[[#This Row],[Suburb]],Table5[Travel Surcharge],Table5[$$]),"")</f>
        <v>12000</v>
      </c>
      <c r="AI1992" s="47"/>
      <c r="AJ1992" s="47"/>
    </row>
    <row r="1993" spans="1:36">
      <c r="A1993" s="157" t="s">
        <v>7632</v>
      </c>
      <c r="B1993" s="157">
        <v>3</v>
      </c>
      <c r="C1993" s="157" t="s">
        <v>300</v>
      </c>
      <c r="D1993" s="157" t="str">
        <f t="shared" si="415"/>
        <v>Heartland3</v>
      </c>
      <c r="E1993" s="157" t="s">
        <v>8598</v>
      </c>
      <c r="F1993" s="157"/>
      <c r="G1993" s="157"/>
      <c r="H1993" s="157"/>
      <c r="I1993" s="158"/>
      <c r="J1993" s="47">
        <f>J$7</f>
        <v>3740</v>
      </c>
      <c r="K1993" s="46" t="s">
        <v>10735</v>
      </c>
      <c r="L1993" s="47">
        <f>L$7</f>
        <v>1210</v>
      </c>
      <c r="M1993" s="47"/>
      <c r="N1993" s="47"/>
      <c r="O1993" s="47" t="s">
        <v>8597</v>
      </c>
      <c r="P1993" s="47"/>
      <c r="Q1993" s="47">
        <f>Q$2</f>
        <v>0</v>
      </c>
      <c r="R1993" s="47" t="s">
        <v>6230</v>
      </c>
      <c r="S1993" s="47"/>
      <c r="T1993" s="47"/>
      <c r="U1993" s="47"/>
      <c r="V1993" s="47" t="s">
        <v>7635</v>
      </c>
      <c r="W1993" s="47"/>
      <c r="X1993" s="47" t="s">
        <v>7636</v>
      </c>
      <c r="Y1993" s="47"/>
      <c r="Z1993" s="47">
        <f t="shared" si="416"/>
        <v>4620</v>
      </c>
      <c r="AA1993" s="47"/>
      <c r="AB1993" s="47"/>
      <c r="AC1993" s="47"/>
      <c r="AD1993" s="47"/>
      <c r="AE1993" s="47"/>
      <c r="AF1993" s="47">
        <f>AF$7</f>
        <v>1485</v>
      </c>
      <c r="AG1993" s="47"/>
      <c r="AH1993" s="47">
        <f>IFERROR(_xlfn.XLOOKUP(Table6[[#This Row],[Suburb]],Table5[Travel Surcharge],Table5[$$]),"")</f>
        <v>12000</v>
      </c>
      <c r="AI1993" s="47"/>
      <c r="AJ1993" s="47"/>
    </row>
    <row r="1994" spans="1:36">
      <c r="A1994" s="374" t="s">
        <v>3230</v>
      </c>
      <c r="B1994" s="374">
        <v>13</v>
      </c>
      <c r="C1994" s="374" t="s">
        <v>502</v>
      </c>
      <c r="D1994" s="375" t="str">
        <f t="shared" si="415"/>
        <v>Heartlands Estate13</v>
      </c>
      <c r="E1994" s="375" t="s">
        <v>3231</v>
      </c>
      <c r="F1994" s="375" t="s">
        <v>3201</v>
      </c>
      <c r="G1994" s="375" t="s">
        <v>3232</v>
      </c>
      <c r="H1994" s="375" t="s">
        <v>3233</v>
      </c>
      <c r="I1994" s="63" t="s">
        <v>3234</v>
      </c>
      <c r="J1994" s="47"/>
      <c r="K1994" s="46" t="s">
        <v>10735</v>
      </c>
      <c r="L1994" s="47"/>
      <c r="M1994" s="47"/>
      <c r="N1994" s="47"/>
      <c r="O1994" s="47"/>
      <c r="P1994" s="47"/>
      <c r="Q1994" s="47"/>
      <c r="R1994" s="47"/>
      <c r="S1994" s="47" t="s">
        <v>463</v>
      </c>
      <c r="T1994" s="47"/>
      <c r="U1994" s="47"/>
      <c r="V1994" s="47"/>
      <c r="W1994" s="47"/>
      <c r="X1994" s="47"/>
      <c r="Y1994" s="47"/>
      <c r="Z1994" s="47">
        <f t="shared" si="416"/>
        <v>4620</v>
      </c>
      <c r="AA1994" s="47"/>
      <c r="AB1994" s="47"/>
      <c r="AC1994" s="47"/>
      <c r="AD1994" s="47"/>
      <c r="AE1994" s="47"/>
      <c r="AF1994" s="47"/>
      <c r="AG1994" s="47"/>
      <c r="AH1994" s="47" t="str">
        <f>IFERROR(_xlfn.XLOOKUP(Table6[[#This Row],[Suburb]],Table5[Travel Surcharge],Table5[$$]),"")</f>
        <v/>
      </c>
      <c r="AI1994" s="47"/>
      <c r="AJ1994" s="47"/>
    </row>
    <row r="1995" spans="1:36">
      <c r="A1995" s="374" t="s">
        <v>3230</v>
      </c>
      <c r="B1995" s="374">
        <v>16</v>
      </c>
      <c r="C1995" s="374" t="s">
        <v>502</v>
      </c>
      <c r="D1995" s="375" t="str">
        <f t="shared" si="415"/>
        <v>Heartlands Estate16</v>
      </c>
      <c r="E1995" s="375" t="s">
        <v>3235</v>
      </c>
      <c r="F1995" s="375" t="s">
        <v>3201</v>
      </c>
      <c r="G1995" s="375" t="s">
        <v>3232</v>
      </c>
      <c r="H1995" s="375" t="s">
        <v>3233</v>
      </c>
      <c r="I1995" s="63" t="s">
        <v>3234</v>
      </c>
      <c r="J1995" s="47"/>
      <c r="K1995" s="46" t="s">
        <v>10735</v>
      </c>
      <c r="L1995" s="47"/>
      <c r="M1995" s="47"/>
      <c r="N1995" s="47"/>
      <c r="O1995" s="47"/>
      <c r="P1995" s="47"/>
      <c r="Q1995" s="47"/>
      <c r="R1995" s="47"/>
      <c r="S1995" s="47" t="s">
        <v>463</v>
      </c>
      <c r="T1995" s="47"/>
      <c r="U1995" s="47"/>
      <c r="V1995" s="47"/>
      <c r="W1995" s="47"/>
      <c r="X1995" s="47"/>
      <c r="Y1995" s="47"/>
      <c r="Z1995" s="47">
        <f t="shared" si="416"/>
        <v>4620</v>
      </c>
      <c r="AA1995" s="47"/>
      <c r="AB1995" s="47"/>
      <c r="AC1995" s="47"/>
      <c r="AD1995" s="47"/>
      <c r="AE1995" s="47"/>
      <c r="AF1995" s="47"/>
      <c r="AG1995" s="47"/>
      <c r="AH1995" s="47" t="str">
        <f>IFERROR(_xlfn.XLOOKUP(Table6[[#This Row],[Suburb]],Table5[Travel Surcharge],Table5[$$]),"")</f>
        <v/>
      </c>
      <c r="AI1995" s="47"/>
      <c r="AJ1995" s="47"/>
    </row>
    <row r="1996" spans="1:36">
      <c r="A1996" s="374" t="s">
        <v>3230</v>
      </c>
      <c r="B1996" s="374">
        <v>17</v>
      </c>
      <c r="C1996" s="374" t="s">
        <v>502</v>
      </c>
      <c r="D1996" s="375" t="str">
        <f t="shared" si="415"/>
        <v>Heartlands Estate17</v>
      </c>
      <c r="E1996" s="375" t="s">
        <v>3236</v>
      </c>
      <c r="F1996" s="375" t="s">
        <v>3201</v>
      </c>
      <c r="G1996" s="375" t="s">
        <v>3232</v>
      </c>
      <c r="H1996" s="375" t="s">
        <v>3233</v>
      </c>
      <c r="I1996" s="63" t="s">
        <v>3234</v>
      </c>
      <c r="J1996" s="47"/>
      <c r="K1996" s="46" t="s">
        <v>10735</v>
      </c>
      <c r="L1996" s="47"/>
      <c r="M1996" s="47"/>
      <c r="N1996" s="47"/>
      <c r="O1996" s="47"/>
      <c r="P1996" s="47"/>
      <c r="Q1996" s="47"/>
      <c r="R1996" s="47"/>
      <c r="S1996" s="47" t="s">
        <v>463</v>
      </c>
      <c r="T1996" s="47"/>
      <c r="U1996" s="47"/>
      <c r="V1996" s="47"/>
      <c r="W1996" s="47"/>
      <c r="X1996" s="47"/>
      <c r="Y1996" s="47"/>
      <c r="Z1996" s="47">
        <f t="shared" si="416"/>
        <v>4620</v>
      </c>
      <c r="AA1996" s="47"/>
      <c r="AB1996" s="47"/>
      <c r="AC1996" s="47"/>
      <c r="AD1996" s="47"/>
      <c r="AE1996" s="47"/>
      <c r="AF1996" s="47"/>
      <c r="AG1996" s="47"/>
      <c r="AH1996" s="47" t="str">
        <f>IFERROR(_xlfn.XLOOKUP(Table6[[#This Row],[Suburb]],Table5[Travel Surcharge],Table5[$$]),"")</f>
        <v/>
      </c>
      <c r="AI1996" s="47"/>
      <c r="AJ1996" s="47"/>
    </row>
    <row r="1997" spans="1:36">
      <c r="A1997" s="374" t="s">
        <v>3230</v>
      </c>
      <c r="B1997" s="374">
        <v>19</v>
      </c>
      <c r="C1997" s="374" t="s">
        <v>502</v>
      </c>
      <c r="D1997" s="375" t="str">
        <f t="shared" si="415"/>
        <v>Heartlands Estate19</v>
      </c>
      <c r="E1997" s="375" t="s">
        <v>3237</v>
      </c>
      <c r="F1997" s="375" t="s">
        <v>3201</v>
      </c>
      <c r="G1997" s="375" t="s">
        <v>3232</v>
      </c>
      <c r="H1997" s="375" t="s">
        <v>3233</v>
      </c>
      <c r="I1997" s="63" t="s">
        <v>3234</v>
      </c>
      <c r="J1997" s="47"/>
      <c r="K1997" s="46" t="s">
        <v>10735</v>
      </c>
      <c r="L1997" s="47"/>
      <c r="M1997" s="47"/>
      <c r="N1997" s="47"/>
      <c r="O1997" s="47"/>
      <c r="P1997" s="47"/>
      <c r="Q1997" s="47"/>
      <c r="R1997" s="47"/>
      <c r="S1997" s="47" t="s">
        <v>463</v>
      </c>
      <c r="T1997" s="47"/>
      <c r="U1997" s="47"/>
      <c r="V1997" s="47"/>
      <c r="W1997" s="47"/>
      <c r="X1997" s="47"/>
      <c r="Y1997" s="47"/>
      <c r="Z1997" s="47">
        <f t="shared" si="416"/>
        <v>4620</v>
      </c>
      <c r="AA1997" s="47"/>
      <c r="AB1997" s="47"/>
      <c r="AC1997" s="47"/>
      <c r="AD1997" s="47"/>
      <c r="AE1997" s="47"/>
      <c r="AF1997" s="47"/>
      <c r="AG1997" s="47"/>
      <c r="AH1997" s="47" t="str">
        <f>IFERROR(_xlfn.XLOOKUP(Table6[[#This Row],[Suburb]],Table5[Travel Surcharge],Table5[$$]),"")</f>
        <v/>
      </c>
      <c r="AI1997" s="47"/>
      <c r="AJ1997" s="47"/>
    </row>
    <row r="1998" spans="1:36">
      <c r="A1998" s="374" t="s">
        <v>3230</v>
      </c>
      <c r="B1998" s="374">
        <v>25</v>
      </c>
      <c r="C1998" s="374" t="s">
        <v>502</v>
      </c>
      <c r="D1998" s="375" t="str">
        <f t="shared" si="415"/>
        <v>Heartlands Estate25</v>
      </c>
      <c r="E1998" s="375" t="s">
        <v>3238</v>
      </c>
      <c r="F1998" s="375" t="s">
        <v>3201</v>
      </c>
      <c r="G1998" s="375" t="s">
        <v>3232</v>
      </c>
      <c r="H1998" s="375" t="s">
        <v>3233</v>
      </c>
      <c r="I1998" s="63" t="s">
        <v>3234</v>
      </c>
      <c r="J1998" s="47"/>
      <c r="K1998" s="46" t="s">
        <v>10735</v>
      </c>
      <c r="L1998" s="47"/>
      <c r="M1998" s="47"/>
      <c r="N1998" s="47"/>
      <c r="O1998" s="47"/>
      <c r="P1998" s="47"/>
      <c r="Q1998" s="47"/>
      <c r="R1998" s="47"/>
      <c r="S1998" s="47" t="s">
        <v>463</v>
      </c>
      <c r="T1998" s="47"/>
      <c r="U1998" s="47"/>
      <c r="V1998" s="47"/>
      <c r="W1998" s="47"/>
      <c r="X1998" s="47"/>
      <c r="Y1998" s="47"/>
      <c r="Z1998" s="47">
        <f t="shared" si="416"/>
        <v>4620</v>
      </c>
      <c r="AA1998" s="47"/>
      <c r="AB1998" s="47"/>
      <c r="AC1998" s="47"/>
      <c r="AD1998" s="47"/>
      <c r="AE1998" s="47"/>
      <c r="AF1998" s="47"/>
      <c r="AG1998" s="47"/>
      <c r="AH1998" s="47" t="str">
        <f>IFERROR(_xlfn.XLOOKUP(Table6[[#This Row],[Suburb]],Table5[Travel Surcharge],Table5[$$]),"")</f>
        <v/>
      </c>
      <c r="AI1998" s="47"/>
      <c r="AJ1998" s="47"/>
    </row>
    <row r="1999" spans="1:36">
      <c r="A1999" s="374" t="s">
        <v>3230</v>
      </c>
      <c r="B1999" s="374">
        <v>27</v>
      </c>
      <c r="C1999" s="374" t="s">
        <v>502</v>
      </c>
      <c r="D1999" s="375" t="str">
        <f t="shared" si="415"/>
        <v>Heartlands Estate27</v>
      </c>
      <c r="E1999" s="375" t="s">
        <v>3239</v>
      </c>
      <c r="F1999" s="375" t="s">
        <v>3201</v>
      </c>
      <c r="G1999" s="375" t="s">
        <v>3232</v>
      </c>
      <c r="H1999" s="375" t="s">
        <v>3233</v>
      </c>
      <c r="I1999" s="63" t="s">
        <v>3234</v>
      </c>
      <c r="J1999" s="47"/>
      <c r="K1999" s="46" t="s">
        <v>10735</v>
      </c>
      <c r="L1999" s="47"/>
      <c r="M1999" s="47"/>
      <c r="N1999" s="47"/>
      <c r="O1999" s="47"/>
      <c r="P1999" s="47"/>
      <c r="Q1999" s="47"/>
      <c r="R1999" s="47"/>
      <c r="S1999" s="47" t="s">
        <v>463</v>
      </c>
      <c r="T1999" s="47"/>
      <c r="U1999" s="47"/>
      <c r="V1999" s="47"/>
      <c r="W1999" s="47"/>
      <c r="X1999" s="47"/>
      <c r="Y1999" s="47"/>
      <c r="Z1999" s="47">
        <f t="shared" si="416"/>
        <v>4620</v>
      </c>
      <c r="AA1999" s="47"/>
      <c r="AB1999" s="47"/>
      <c r="AC1999" s="47"/>
      <c r="AD1999" s="47"/>
      <c r="AE1999" s="47"/>
      <c r="AF1999" s="47"/>
      <c r="AG1999" s="47"/>
      <c r="AH1999" s="47" t="str">
        <f>IFERROR(_xlfn.XLOOKUP(Table6[[#This Row],[Suburb]],Table5[Travel Surcharge],Table5[$$]),"")</f>
        <v/>
      </c>
      <c r="AI1999" s="47"/>
      <c r="AJ1999" s="47"/>
    </row>
    <row r="2000" spans="1:36">
      <c r="A2000" s="374" t="s">
        <v>3230</v>
      </c>
      <c r="B2000" s="374">
        <v>28</v>
      </c>
      <c r="C2000" s="374" t="s">
        <v>502</v>
      </c>
      <c r="D2000" s="375" t="str">
        <f t="shared" si="415"/>
        <v>Heartlands Estate28</v>
      </c>
      <c r="E2000" s="375" t="s">
        <v>3240</v>
      </c>
      <c r="F2000" s="375" t="s">
        <v>3201</v>
      </c>
      <c r="G2000" s="375" t="s">
        <v>3232</v>
      </c>
      <c r="H2000" s="375" t="s">
        <v>3233</v>
      </c>
      <c r="I2000" s="63" t="s">
        <v>3234</v>
      </c>
      <c r="J2000" s="47"/>
      <c r="K2000" s="46" t="s">
        <v>10735</v>
      </c>
      <c r="L2000" s="47"/>
      <c r="M2000" s="47"/>
      <c r="N2000" s="47"/>
      <c r="O2000" s="47"/>
      <c r="P2000" s="47"/>
      <c r="Q2000" s="47"/>
      <c r="R2000" s="47"/>
      <c r="S2000" s="47" t="s">
        <v>463</v>
      </c>
      <c r="T2000" s="47"/>
      <c r="U2000" s="47"/>
      <c r="V2000" s="47"/>
      <c r="W2000" s="47"/>
      <c r="X2000" s="47"/>
      <c r="Y2000" s="47"/>
      <c r="Z2000" s="47">
        <f t="shared" si="416"/>
        <v>4620</v>
      </c>
      <c r="AA2000" s="47"/>
      <c r="AB2000" s="47"/>
      <c r="AC2000" s="47"/>
      <c r="AD2000" s="47"/>
      <c r="AE2000" s="47"/>
      <c r="AF2000" s="47"/>
      <c r="AG2000" s="47"/>
      <c r="AH2000" s="47" t="str">
        <f>IFERROR(_xlfn.XLOOKUP(Table6[[#This Row],[Suburb]],Table5[Travel Surcharge],Table5[$$]),"")</f>
        <v/>
      </c>
      <c r="AI2000" s="47"/>
      <c r="AJ2000" s="47"/>
    </row>
    <row r="2001" spans="1:36">
      <c r="A2001" s="374" t="s">
        <v>3230</v>
      </c>
      <c r="B2001" s="374">
        <v>29</v>
      </c>
      <c r="C2001" s="374" t="s">
        <v>502</v>
      </c>
      <c r="D2001" s="375" t="str">
        <f t="shared" si="415"/>
        <v>Heartlands Estate29</v>
      </c>
      <c r="E2001" s="375" t="s">
        <v>3241</v>
      </c>
      <c r="F2001" s="375" t="s">
        <v>3201</v>
      </c>
      <c r="G2001" s="375" t="s">
        <v>3232</v>
      </c>
      <c r="H2001" s="375" t="s">
        <v>3233</v>
      </c>
      <c r="I2001" s="63" t="s">
        <v>3234</v>
      </c>
      <c r="J2001" s="47"/>
      <c r="K2001" s="46" t="s">
        <v>10735</v>
      </c>
      <c r="L2001" s="47"/>
      <c r="M2001" s="47"/>
      <c r="N2001" s="47"/>
      <c r="O2001" s="47"/>
      <c r="P2001" s="47"/>
      <c r="Q2001" s="47"/>
      <c r="R2001" s="47"/>
      <c r="S2001" s="47" t="s">
        <v>463</v>
      </c>
      <c r="T2001" s="47"/>
      <c r="U2001" s="47"/>
      <c r="V2001" s="47"/>
      <c r="W2001" s="47"/>
      <c r="X2001" s="47"/>
      <c r="Y2001" s="47"/>
      <c r="Z2001" s="47">
        <f t="shared" si="416"/>
        <v>4620</v>
      </c>
      <c r="AA2001" s="47"/>
      <c r="AB2001" s="47"/>
      <c r="AC2001" s="47"/>
      <c r="AD2001" s="47"/>
      <c r="AE2001" s="47"/>
      <c r="AF2001" s="47"/>
      <c r="AG2001" s="47"/>
      <c r="AH2001" s="47" t="str">
        <f>IFERROR(_xlfn.XLOOKUP(Table6[[#This Row],[Suburb]],Table5[Travel Surcharge],Table5[$$]),"")</f>
        <v/>
      </c>
      <c r="AI2001" s="47"/>
      <c r="AJ2001" s="47"/>
    </row>
    <row r="2002" spans="1:36">
      <c r="A2002" s="374" t="s">
        <v>3230</v>
      </c>
      <c r="B2002" s="374" t="s">
        <v>3242</v>
      </c>
      <c r="C2002" s="374" t="s">
        <v>502</v>
      </c>
      <c r="D2002" s="375" t="str">
        <f t="shared" si="415"/>
        <v>Heartlands Estate17B</v>
      </c>
      <c r="E2002" s="375" t="s">
        <v>3243</v>
      </c>
      <c r="F2002" s="375" t="s">
        <v>3201</v>
      </c>
      <c r="G2002" s="375" t="s">
        <v>3232</v>
      </c>
      <c r="H2002" s="375" t="s">
        <v>3233</v>
      </c>
      <c r="I2002" s="63" t="s">
        <v>3234</v>
      </c>
      <c r="J2002" s="47"/>
      <c r="K2002" s="46" t="s">
        <v>10735</v>
      </c>
      <c r="L2002" s="47"/>
      <c r="M2002" s="47"/>
      <c r="N2002" s="47"/>
      <c r="O2002" s="47"/>
      <c r="P2002" s="47"/>
      <c r="Q2002" s="47"/>
      <c r="R2002" s="47"/>
      <c r="S2002" s="47" t="s">
        <v>463</v>
      </c>
      <c r="T2002" s="47"/>
      <c r="U2002" s="47"/>
      <c r="V2002" s="47"/>
      <c r="W2002" s="47"/>
      <c r="X2002" s="47"/>
      <c r="Y2002" s="47"/>
      <c r="Z2002" s="47">
        <f t="shared" si="416"/>
        <v>4620</v>
      </c>
      <c r="AA2002" s="47"/>
      <c r="AB2002" s="47"/>
      <c r="AC2002" s="47"/>
      <c r="AD2002" s="47"/>
      <c r="AE2002" s="47"/>
      <c r="AF2002" s="47"/>
      <c r="AG2002" s="47"/>
      <c r="AH2002" s="47" t="str">
        <f>IFERROR(_xlfn.XLOOKUP(Table6[[#This Row],[Suburb]],Table5[Travel Surcharge],Table5[$$]),"")</f>
        <v/>
      </c>
      <c r="AI2002" s="47"/>
      <c r="AJ2002" s="47"/>
    </row>
    <row r="2003" spans="1:36">
      <c r="A2003" s="374" t="s">
        <v>3230</v>
      </c>
      <c r="B2003" s="374" t="s">
        <v>3244</v>
      </c>
      <c r="C2003" s="374" t="s">
        <v>502</v>
      </c>
      <c r="D2003" s="375" t="str">
        <f t="shared" si="415"/>
        <v>Heartlands Estate19b</v>
      </c>
      <c r="E2003" s="375" t="s">
        <v>3245</v>
      </c>
      <c r="F2003" s="375" t="s">
        <v>3201</v>
      </c>
      <c r="G2003" s="375" t="s">
        <v>3232</v>
      </c>
      <c r="H2003" s="375" t="s">
        <v>3233</v>
      </c>
      <c r="I2003" s="63" t="s">
        <v>3234</v>
      </c>
      <c r="J2003" s="47"/>
      <c r="K2003" s="46" t="s">
        <v>10735</v>
      </c>
      <c r="L2003" s="47"/>
      <c r="M2003" s="47"/>
      <c r="N2003" s="47"/>
      <c r="O2003" s="47"/>
      <c r="P2003" s="47"/>
      <c r="Q2003" s="47"/>
      <c r="R2003" s="47"/>
      <c r="S2003" s="47" t="s">
        <v>463</v>
      </c>
      <c r="T2003" s="47"/>
      <c r="U2003" s="47"/>
      <c r="V2003" s="47"/>
      <c r="W2003" s="47"/>
      <c r="X2003" s="47"/>
      <c r="Y2003" s="47"/>
      <c r="Z2003" s="47">
        <f t="shared" si="416"/>
        <v>4620</v>
      </c>
      <c r="AA2003" s="47"/>
      <c r="AB2003" s="47"/>
      <c r="AC2003" s="47"/>
      <c r="AD2003" s="47"/>
      <c r="AE2003" s="47"/>
      <c r="AF2003" s="47"/>
      <c r="AG2003" s="47"/>
      <c r="AH2003" s="47" t="str">
        <f>IFERROR(_xlfn.XLOOKUP(Table6[[#This Row],[Suburb]],Table5[Travel Surcharge],Table5[$$]),"")</f>
        <v/>
      </c>
      <c r="AI2003" s="47"/>
      <c r="AJ2003" s="47"/>
    </row>
    <row r="2004" spans="1:36">
      <c r="A2004" s="374" t="s">
        <v>3250</v>
      </c>
      <c r="B2004" s="374">
        <v>1</v>
      </c>
      <c r="C2004" s="374" t="s">
        <v>550</v>
      </c>
      <c r="D2004" s="375" t="str">
        <f t="shared" si="415"/>
        <v>Heathfield Estate - Fraser Rise1</v>
      </c>
      <c r="E2004" s="375" t="s">
        <v>3251</v>
      </c>
      <c r="F2004" s="375"/>
      <c r="G2004" s="375" t="s">
        <v>3252</v>
      </c>
      <c r="H2004" s="375" t="s">
        <v>3253</v>
      </c>
      <c r="I2004" s="63" t="s">
        <v>3254</v>
      </c>
      <c r="J2004" s="47">
        <f t="shared" ref="J2004:J2011" si="417">J$7</f>
        <v>3740</v>
      </c>
      <c r="K2004" s="46" t="s">
        <v>10735</v>
      </c>
      <c r="L2004" s="47" t="s">
        <v>504</v>
      </c>
      <c r="M2004" s="47">
        <f>M$7</f>
        <v>1430.0000000000002</v>
      </c>
      <c r="N2004" s="47" t="s">
        <v>3255</v>
      </c>
      <c r="O2004" s="47" t="s">
        <v>3256</v>
      </c>
      <c r="P2004" s="47" t="s">
        <v>3257</v>
      </c>
      <c r="Q2004" s="47"/>
      <c r="R2004" s="47"/>
      <c r="S2004" s="47"/>
      <c r="T2004" s="47"/>
      <c r="U2004" s="47">
        <f>U$2</f>
        <v>430</v>
      </c>
      <c r="V2004" s="47"/>
      <c r="W2004" s="47" t="s">
        <v>3258</v>
      </c>
      <c r="X2004" s="47"/>
      <c r="Y2004" s="47"/>
      <c r="Z2004" s="47">
        <f t="shared" si="416"/>
        <v>4620</v>
      </c>
      <c r="AA2004" s="47">
        <f t="shared" ref="AA2004:AB2007" si="418">AA$7</f>
        <v>1400</v>
      </c>
      <c r="AB2004" s="47">
        <f t="shared" si="418"/>
        <v>2800</v>
      </c>
      <c r="AC2004" s="47"/>
      <c r="AD2004" s="47"/>
      <c r="AE2004" s="47"/>
      <c r="AF2004" s="47">
        <f>AF$7</f>
        <v>1485</v>
      </c>
      <c r="AG2004" s="47"/>
      <c r="AH2004" s="47" t="str">
        <f>IFERROR(_xlfn.XLOOKUP(Table6[[#This Row],[Suburb]],Table5[Travel Surcharge],Table5[$$]),"")</f>
        <v/>
      </c>
      <c r="AI2004" s="47"/>
      <c r="AJ2004" s="47"/>
    </row>
    <row r="2005" spans="1:36">
      <c r="A2005" s="157" t="s">
        <v>3250</v>
      </c>
      <c r="B2005" s="157" t="s">
        <v>507</v>
      </c>
      <c r="C2005" s="157" t="s">
        <v>550</v>
      </c>
      <c r="D2005" s="157" t="str">
        <f t="shared" si="415"/>
        <v>Heathfield Estate - Fraser Rise1B</v>
      </c>
      <c r="E2005" s="157" t="s">
        <v>7441</v>
      </c>
      <c r="F2005" s="157"/>
      <c r="G2005" s="157" t="s">
        <v>3252</v>
      </c>
      <c r="H2005" s="157" t="s">
        <v>3253</v>
      </c>
      <c r="I2005" s="158" t="s">
        <v>3254</v>
      </c>
      <c r="J2005" s="47">
        <f t="shared" si="417"/>
        <v>3740</v>
      </c>
      <c r="K2005" s="46" t="s">
        <v>10735</v>
      </c>
      <c r="L2005" s="47" t="s">
        <v>504</v>
      </c>
      <c r="M2005" s="47">
        <f>M$7</f>
        <v>1430.0000000000002</v>
      </c>
      <c r="N2005" s="47" t="s">
        <v>3255</v>
      </c>
      <c r="O2005" s="47" t="s">
        <v>3256</v>
      </c>
      <c r="P2005" s="47" t="s">
        <v>3257</v>
      </c>
      <c r="Q2005" s="47"/>
      <c r="R2005" s="47"/>
      <c r="S2005" s="47"/>
      <c r="T2005" s="47"/>
      <c r="U2005" s="47">
        <f>U$2</f>
        <v>430</v>
      </c>
      <c r="V2005" s="47"/>
      <c r="W2005" s="47" t="s">
        <v>3258</v>
      </c>
      <c r="X2005" s="47"/>
      <c r="Y2005" s="47"/>
      <c r="Z2005" s="47">
        <f t="shared" si="416"/>
        <v>4620</v>
      </c>
      <c r="AA2005" s="47">
        <f t="shared" si="418"/>
        <v>1400</v>
      </c>
      <c r="AB2005" s="47">
        <f t="shared" si="418"/>
        <v>2800</v>
      </c>
      <c r="AC2005" s="47"/>
      <c r="AD2005" s="47"/>
      <c r="AE2005" s="47"/>
      <c r="AF2005" s="47">
        <f>AF$7</f>
        <v>1485</v>
      </c>
      <c r="AG2005" s="47"/>
      <c r="AH2005" s="47" t="str">
        <f>IFERROR(_xlfn.XLOOKUP(Table6[[#This Row],[Suburb]],Table5[Travel Surcharge],Table5[$$]),"")</f>
        <v/>
      </c>
      <c r="AI2005" s="47"/>
      <c r="AJ2005" s="47"/>
    </row>
    <row r="2006" spans="1:36">
      <c r="A2006" s="374" t="s">
        <v>3250</v>
      </c>
      <c r="B2006" s="374">
        <v>2</v>
      </c>
      <c r="C2006" s="374" t="s">
        <v>550</v>
      </c>
      <c r="D2006" s="375" t="str">
        <f t="shared" si="415"/>
        <v>Heathfield Estate - Fraser Rise2</v>
      </c>
      <c r="E2006" s="375" t="s">
        <v>3259</v>
      </c>
      <c r="F2006" s="375"/>
      <c r="G2006" s="375" t="s">
        <v>3252</v>
      </c>
      <c r="H2006" s="375" t="s">
        <v>3253</v>
      </c>
      <c r="I2006" s="63" t="s">
        <v>3254</v>
      </c>
      <c r="J2006" s="47">
        <f t="shared" si="417"/>
        <v>3740</v>
      </c>
      <c r="K2006" s="46" t="s">
        <v>10735</v>
      </c>
      <c r="L2006" s="47" t="s">
        <v>504</v>
      </c>
      <c r="M2006" s="47">
        <f>M$7</f>
        <v>1430.0000000000002</v>
      </c>
      <c r="N2006" s="47" t="s">
        <v>3255</v>
      </c>
      <c r="O2006" s="47" t="s">
        <v>3256</v>
      </c>
      <c r="P2006" s="47" t="s">
        <v>3257</v>
      </c>
      <c r="Q2006" s="47"/>
      <c r="R2006" s="47"/>
      <c r="S2006" s="47"/>
      <c r="T2006" s="47"/>
      <c r="U2006" s="47">
        <f>U$2</f>
        <v>430</v>
      </c>
      <c r="V2006" s="47"/>
      <c r="W2006" s="47" t="s">
        <v>3258</v>
      </c>
      <c r="X2006" s="47"/>
      <c r="Y2006" s="47"/>
      <c r="Z2006" s="47">
        <f t="shared" si="416"/>
        <v>4620</v>
      </c>
      <c r="AA2006" s="47">
        <f t="shared" si="418"/>
        <v>1400</v>
      </c>
      <c r="AB2006" s="47">
        <f t="shared" si="418"/>
        <v>2800</v>
      </c>
      <c r="AC2006" s="47"/>
      <c r="AD2006" s="47"/>
      <c r="AE2006" s="47"/>
      <c r="AF2006" s="47">
        <f>AF$7</f>
        <v>1485</v>
      </c>
      <c r="AG2006" s="47"/>
      <c r="AH2006" s="47" t="str">
        <f>IFERROR(_xlfn.XLOOKUP(Table6[[#This Row],[Suburb]],Table5[Travel Surcharge],Table5[$$]),"")</f>
        <v/>
      </c>
      <c r="AI2006" s="47"/>
      <c r="AJ2006" s="47"/>
    </row>
    <row r="2007" spans="1:36">
      <c r="A2007" s="374" t="s">
        <v>3250</v>
      </c>
      <c r="B2007" s="374">
        <v>3</v>
      </c>
      <c r="C2007" s="374" t="s">
        <v>550</v>
      </c>
      <c r="D2007" s="375" t="str">
        <f t="shared" si="415"/>
        <v>Heathfield Estate - Fraser Rise3</v>
      </c>
      <c r="E2007" s="375" t="s">
        <v>3260</v>
      </c>
      <c r="F2007" s="375"/>
      <c r="G2007" s="375" t="s">
        <v>3252</v>
      </c>
      <c r="H2007" s="375" t="s">
        <v>3253</v>
      </c>
      <c r="I2007" s="63" t="s">
        <v>3254</v>
      </c>
      <c r="J2007" s="47">
        <f t="shared" si="417"/>
        <v>3740</v>
      </c>
      <c r="K2007" s="46" t="s">
        <v>10735</v>
      </c>
      <c r="L2007" s="47" t="s">
        <v>504</v>
      </c>
      <c r="M2007" s="47">
        <f>M$7</f>
        <v>1430.0000000000002</v>
      </c>
      <c r="N2007" s="47" t="s">
        <v>3255</v>
      </c>
      <c r="O2007" s="47" t="s">
        <v>3256</v>
      </c>
      <c r="P2007" s="47" t="s">
        <v>3257</v>
      </c>
      <c r="Q2007" s="47"/>
      <c r="R2007" s="47"/>
      <c r="S2007" s="47"/>
      <c r="T2007" s="47"/>
      <c r="U2007" s="47">
        <f>U$2</f>
        <v>430</v>
      </c>
      <c r="V2007" s="47"/>
      <c r="W2007" s="47" t="s">
        <v>3258</v>
      </c>
      <c r="X2007" s="47"/>
      <c r="Y2007" s="47"/>
      <c r="Z2007" s="47">
        <f t="shared" si="416"/>
        <v>4620</v>
      </c>
      <c r="AA2007" s="47">
        <f t="shared" si="418"/>
        <v>1400</v>
      </c>
      <c r="AB2007" s="47">
        <f t="shared" si="418"/>
        <v>2800</v>
      </c>
      <c r="AC2007" s="47"/>
      <c r="AD2007" s="47"/>
      <c r="AE2007" s="47"/>
      <c r="AF2007" s="47">
        <f>AF$7</f>
        <v>1485</v>
      </c>
      <c r="AG2007" s="47"/>
      <c r="AH2007" s="47" t="str">
        <f>IFERROR(_xlfn.XLOOKUP(Table6[[#This Row],[Suburb]],Table5[Travel Surcharge],Table5[$$]),"")</f>
        <v/>
      </c>
      <c r="AI2007" s="47"/>
      <c r="AJ2007" s="47"/>
    </row>
    <row r="2008" spans="1:36">
      <c r="A2008" s="374" t="s">
        <v>3246</v>
      </c>
      <c r="B2008" s="374">
        <v>1</v>
      </c>
      <c r="C2008" s="374" t="s">
        <v>802</v>
      </c>
      <c r="D2008" s="375" t="str">
        <f t="shared" si="415"/>
        <v>Heathfield Estate - Officer1</v>
      </c>
      <c r="E2008" s="375" t="s">
        <v>3247</v>
      </c>
      <c r="F2008" s="375" t="s">
        <v>3248</v>
      </c>
      <c r="G2008" s="375" t="s">
        <v>2746</v>
      </c>
      <c r="H2008" s="375" t="s">
        <v>2747</v>
      </c>
      <c r="I2008" s="63" t="s">
        <v>2748</v>
      </c>
      <c r="J2008" s="47">
        <f t="shared" si="417"/>
        <v>3740</v>
      </c>
      <c r="K2008" s="46" t="s">
        <v>10735</v>
      </c>
      <c r="L2008" s="47"/>
      <c r="M2008" s="47"/>
      <c r="N2008" s="47"/>
      <c r="O2008" s="47"/>
      <c r="P2008" s="47"/>
      <c r="Q2008" s="47"/>
      <c r="R2008" s="47">
        <f>R$2</f>
        <v>540</v>
      </c>
      <c r="S2008" s="47"/>
      <c r="T2008" s="47"/>
      <c r="U2008" s="47"/>
      <c r="V2008" s="47"/>
      <c r="W2008" s="47"/>
      <c r="X2008" s="47">
        <f>X$7</f>
        <v>3000</v>
      </c>
      <c r="Y2008" s="47"/>
      <c r="Z2008" s="47">
        <f t="shared" si="416"/>
        <v>4620</v>
      </c>
      <c r="AA2008" s="47">
        <f>AA$7</f>
        <v>1400</v>
      </c>
      <c r="AB2008" s="47"/>
      <c r="AC2008" s="47"/>
      <c r="AD2008" s="47"/>
      <c r="AE2008" s="47"/>
      <c r="AF2008" s="47"/>
      <c r="AG2008" s="47"/>
      <c r="AH2008" s="47" t="str">
        <f>IFERROR(_xlfn.XLOOKUP(Table6[[#This Row],[Suburb]],Table5[Travel Surcharge],Table5[$$]),"")</f>
        <v/>
      </c>
      <c r="AI2008" s="47"/>
      <c r="AJ2008" s="47"/>
    </row>
    <row r="2009" spans="1:36">
      <c r="A2009" s="374" t="s">
        <v>3246</v>
      </c>
      <c r="B2009" s="374">
        <v>4</v>
      </c>
      <c r="C2009" s="374" t="s">
        <v>802</v>
      </c>
      <c r="D2009" s="375" t="str">
        <f t="shared" si="415"/>
        <v>Heathfield Estate - Officer4</v>
      </c>
      <c r="E2009" s="375" t="s">
        <v>3249</v>
      </c>
      <c r="F2009" s="375" t="s">
        <v>3248</v>
      </c>
      <c r="G2009" s="375" t="s">
        <v>2746</v>
      </c>
      <c r="H2009" s="375" t="s">
        <v>2747</v>
      </c>
      <c r="I2009" s="63" t="s">
        <v>2748</v>
      </c>
      <c r="J2009" s="47">
        <f t="shared" si="417"/>
        <v>3740</v>
      </c>
      <c r="K2009" s="46" t="s">
        <v>10735</v>
      </c>
      <c r="L2009" s="47"/>
      <c r="M2009" s="47"/>
      <c r="N2009" s="47"/>
      <c r="O2009" s="47"/>
      <c r="P2009" s="47"/>
      <c r="Q2009" s="47"/>
      <c r="R2009" s="47">
        <f>R$2</f>
        <v>540</v>
      </c>
      <c r="S2009" s="47"/>
      <c r="T2009" s="47"/>
      <c r="U2009" s="47"/>
      <c r="V2009" s="47"/>
      <c r="W2009" s="47"/>
      <c r="X2009" s="47">
        <f>X$7</f>
        <v>3000</v>
      </c>
      <c r="Y2009" s="47"/>
      <c r="Z2009" s="47">
        <f t="shared" si="416"/>
        <v>4620</v>
      </c>
      <c r="AA2009" s="47">
        <f>AA$7</f>
        <v>1400</v>
      </c>
      <c r="AB2009" s="47"/>
      <c r="AC2009" s="47"/>
      <c r="AD2009" s="47"/>
      <c r="AE2009" s="47"/>
      <c r="AF2009" s="47"/>
      <c r="AG2009" s="47"/>
      <c r="AH2009" s="47" t="str">
        <f>IFERROR(_xlfn.XLOOKUP(Table6[[#This Row],[Suburb]],Table5[Travel Surcharge],Table5[$$]),"")</f>
        <v/>
      </c>
      <c r="AI2009" s="47"/>
      <c r="AJ2009" s="47"/>
    </row>
    <row r="2010" spans="1:36">
      <c r="A2010" s="374" t="s">
        <v>3261</v>
      </c>
      <c r="B2010" s="374">
        <v>1</v>
      </c>
      <c r="C2010" s="374" t="s">
        <v>3262</v>
      </c>
      <c r="D2010" s="375" t="str">
        <f t="shared" si="415"/>
        <v>Heathmont1</v>
      </c>
      <c r="E2010" s="375" t="s">
        <v>3263</v>
      </c>
      <c r="F2010" s="375"/>
      <c r="G2010" s="375"/>
      <c r="H2010" s="375"/>
      <c r="I2010" s="63"/>
      <c r="J2010" s="47">
        <f t="shared" si="417"/>
        <v>3740</v>
      </c>
      <c r="K2010" s="46" t="s">
        <v>7938</v>
      </c>
      <c r="L2010" s="47"/>
      <c r="M2010" s="47"/>
      <c r="N2010" s="47"/>
      <c r="O2010" s="47"/>
      <c r="P2010" s="47"/>
      <c r="Q2010" s="47">
        <f>Q$2</f>
        <v>0</v>
      </c>
      <c r="R2010" s="47"/>
      <c r="S2010" s="47"/>
      <c r="T2010" s="47"/>
      <c r="U2010" s="47"/>
      <c r="V2010" s="47"/>
      <c r="W2010" s="47"/>
      <c r="X2010" s="47"/>
      <c r="Y2010" s="47"/>
      <c r="Z2010" s="47">
        <f t="shared" si="416"/>
        <v>4620</v>
      </c>
      <c r="AA2010" s="47"/>
      <c r="AB2010" s="47"/>
      <c r="AC2010" s="47"/>
      <c r="AD2010" s="47"/>
      <c r="AE2010" s="47"/>
      <c r="AF2010" s="47"/>
      <c r="AG2010" s="47"/>
      <c r="AH2010" s="47" t="str">
        <f>IFERROR(_xlfn.XLOOKUP(Table6[[#This Row],[Suburb]],Table5[Travel Surcharge],Table5[$$]),"")</f>
        <v/>
      </c>
      <c r="AI2010" s="47"/>
      <c r="AJ2010" s="47"/>
    </row>
    <row r="2011" spans="1:36">
      <c r="A2011" s="157" t="s">
        <v>7641</v>
      </c>
      <c r="B2011" s="157">
        <v>1</v>
      </c>
      <c r="C2011" s="157" t="s">
        <v>3430</v>
      </c>
      <c r="D2011" s="157" t="str">
        <f t="shared" si="415"/>
        <v>Heming On Pound1</v>
      </c>
      <c r="E2011" s="157" t="s">
        <v>7642</v>
      </c>
      <c r="F2011" s="157" t="s">
        <v>7643</v>
      </c>
      <c r="G2011" s="157"/>
      <c r="H2011" s="157" t="s">
        <v>3468</v>
      </c>
      <c r="I2011" s="158" t="s">
        <v>3469</v>
      </c>
      <c r="J2011" s="47">
        <f t="shared" si="417"/>
        <v>3740</v>
      </c>
      <c r="K2011" s="46" t="s">
        <v>10735</v>
      </c>
      <c r="L2011" s="47"/>
      <c r="M2011" s="47"/>
      <c r="N2011" s="47"/>
      <c r="O2011" s="47"/>
      <c r="P2011" s="47"/>
      <c r="Q2011" s="47">
        <f>Q$2</f>
        <v>0</v>
      </c>
      <c r="R2011" s="47"/>
      <c r="S2011" s="47"/>
      <c r="T2011" s="47"/>
      <c r="U2011" s="47"/>
      <c r="V2011" s="47"/>
      <c r="W2011" s="47"/>
      <c r="X2011" s="47"/>
      <c r="Y2011" s="47"/>
      <c r="Z2011" s="47">
        <f t="shared" si="416"/>
        <v>4620</v>
      </c>
      <c r="AA2011" s="47"/>
      <c r="AB2011" s="47"/>
      <c r="AC2011" s="47"/>
      <c r="AD2011" s="47"/>
      <c r="AE2011" s="47"/>
      <c r="AF2011" s="47"/>
      <c r="AG2011" s="47"/>
      <c r="AH2011" s="47" t="str">
        <f>IFERROR(_xlfn.XLOOKUP(Table6[[#This Row],[Suburb]],Table5[Travel Surcharge],Table5[$$]),"")</f>
        <v/>
      </c>
      <c r="AI2011" s="47"/>
      <c r="AJ2011" s="47"/>
    </row>
    <row r="2012" spans="1:36">
      <c r="A2012" s="374" t="s">
        <v>9196</v>
      </c>
      <c r="B2012" s="374">
        <v>1</v>
      </c>
      <c r="C2012" s="374" t="s">
        <v>9197</v>
      </c>
      <c r="D2012" s="375" t="str">
        <f t="shared" si="415"/>
        <v>Heritage1</v>
      </c>
      <c r="E2012" s="375" t="s">
        <v>9198</v>
      </c>
      <c r="F2012" s="375" t="s">
        <v>9199</v>
      </c>
      <c r="G2012" s="375"/>
      <c r="H2012" s="375" t="s">
        <v>9200</v>
      </c>
      <c r="I2012" s="63"/>
      <c r="J2012" s="47"/>
      <c r="K2012" s="46" t="s">
        <v>10735</v>
      </c>
      <c r="L2012" s="47"/>
      <c r="M2012" s="47"/>
      <c r="N2012" s="47"/>
      <c r="O2012" s="47">
        <f>O$7</f>
        <v>4950</v>
      </c>
      <c r="P2012" s="47"/>
      <c r="Q2012" s="47"/>
      <c r="R2012" s="47"/>
      <c r="S2012" s="47">
        <f>S$2</f>
        <v>590</v>
      </c>
      <c r="T2012" s="47"/>
      <c r="U2012" s="47"/>
      <c r="V2012" s="47"/>
      <c r="W2012" s="47"/>
      <c r="X2012" s="47"/>
      <c r="Y2012" s="47"/>
      <c r="Z2012" s="47">
        <f t="shared" si="416"/>
        <v>4620</v>
      </c>
      <c r="AA2012" s="47"/>
      <c r="AB2012" s="47"/>
      <c r="AC2012" s="47"/>
      <c r="AD2012" s="47"/>
      <c r="AE2012" s="47"/>
      <c r="AF2012" s="47"/>
      <c r="AG2012" s="47"/>
      <c r="AH2012" s="47">
        <v>7000</v>
      </c>
      <c r="AI2012" s="47"/>
      <c r="AJ2012" s="47"/>
    </row>
    <row r="2013" spans="1:36">
      <c r="A2013" s="374" t="s">
        <v>9196</v>
      </c>
      <c r="B2013" s="374">
        <v>2</v>
      </c>
      <c r="C2013" s="374" t="s">
        <v>9197</v>
      </c>
      <c r="D2013" s="375" t="str">
        <f t="shared" si="415"/>
        <v>Heritage2</v>
      </c>
      <c r="E2013" s="375" t="s">
        <v>9201</v>
      </c>
      <c r="F2013" s="375" t="s">
        <v>9199</v>
      </c>
      <c r="G2013" s="375"/>
      <c r="H2013" s="375" t="s">
        <v>9200</v>
      </c>
      <c r="I2013" s="63"/>
      <c r="J2013" s="47"/>
      <c r="K2013" s="46" t="s">
        <v>10735</v>
      </c>
      <c r="L2013" s="47"/>
      <c r="M2013" s="47"/>
      <c r="N2013" s="47"/>
      <c r="O2013" s="47">
        <f>O$7</f>
        <v>4950</v>
      </c>
      <c r="P2013" s="47"/>
      <c r="Q2013" s="47"/>
      <c r="R2013" s="47"/>
      <c r="S2013" s="47">
        <f>S$2</f>
        <v>590</v>
      </c>
      <c r="T2013" s="47"/>
      <c r="U2013" s="47"/>
      <c r="V2013" s="47"/>
      <c r="W2013" s="47"/>
      <c r="X2013" s="47"/>
      <c r="Y2013" s="47"/>
      <c r="Z2013" s="47">
        <f t="shared" si="416"/>
        <v>4620</v>
      </c>
      <c r="AA2013" s="47"/>
      <c r="AB2013" s="47"/>
      <c r="AC2013" s="47"/>
      <c r="AD2013" s="47"/>
      <c r="AE2013" s="47"/>
      <c r="AF2013" s="47"/>
      <c r="AG2013" s="47"/>
      <c r="AH2013" s="47">
        <v>7000</v>
      </c>
      <c r="AI2013" s="47"/>
      <c r="AJ2013" s="47"/>
    </row>
    <row r="2014" spans="1:36">
      <c r="A2014" s="374" t="s">
        <v>9196</v>
      </c>
      <c r="B2014" s="374">
        <v>3</v>
      </c>
      <c r="C2014" s="374" t="s">
        <v>9197</v>
      </c>
      <c r="D2014" s="375" t="str">
        <f t="shared" si="415"/>
        <v>Heritage3</v>
      </c>
      <c r="E2014" s="375" t="s">
        <v>9492</v>
      </c>
      <c r="F2014" s="375" t="s">
        <v>9199</v>
      </c>
      <c r="G2014" s="375"/>
      <c r="H2014" s="375" t="s">
        <v>9200</v>
      </c>
      <c r="I2014" s="63"/>
      <c r="J2014" s="47"/>
      <c r="K2014" s="46" t="s">
        <v>10735</v>
      </c>
      <c r="L2014" s="47"/>
      <c r="M2014" s="47"/>
      <c r="N2014" s="47"/>
      <c r="O2014" s="47">
        <f>O$7</f>
        <v>4950</v>
      </c>
      <c r="P2014" s="47"/>
      <c r="Q2014" s="47"/>
      <c r="R2014" s="47"/>
      <c r="S2014" s="47">
        <f>S$2</f>
        <v>590</v>
      </c>
      <c r="T2014" s="47"/>
      <c r="U2014" s="47"/>
      <c r="V2014" s="47"/>
      <c r="W2014" s="47"/>
      <c r="X2014" s="47"/>
      <c r="Y2014" s="47"/>
      <c r="Z2014" s="47">
        <f t="shared" si="416"/>
        <v>4620</v>
      </c>
      <c r="AA2014" s="47"/>
      <c r="AB2014" s="47"/>
      <c r="AC2014" s="47"/>
      <c r="AD2014" s="47"/>
      <c r="AE2014" s="47"/>
      <c r="AF2014" s="47"/>
      <c r="AG2014" s="47"/>
      <c r="AH2014" s="47">
        <v>7000</v>
      </c>
      <c r="AI2014" s="47"/>
      <c r="AJ2014" s="47"/>
    </row>
    <row r="2015" spans="1:36">
      <c r="A2015" s="374" t="s">
        <v>3264</v>
      </c>
      <c r="B2015" s="374">
        <v>1</v>
      </c>
      <c r="C2015" s="374" t="s">
        <v>1886</v>
      </c>
      <c r="D2015" s="375" t="str">
        <f t="shared" si="415"/>
        <v>Heritage Mews Estate1</v>
      </c>
      <c r="E2015" s="375" t="s">
        <v>3265</v>
      </c>
      <c r="F2015" s="375" t="s">
        <v>3266</v>
      </c>
      <c r="G2015" s="375" t="s">
        <v>2128</v>
      </c>
      <c r="H2015" s="375" t="s">
        <v>2129</v>
      </c>
      <c r="I2015" s="63" t="s">
        <v>3267</v>
      </c>
      <c r="J2015" s="47"/>
      <c r="K2015" s="46" t="s">
        <v>10735</v>
      </c>
      <c r="L2015" s="47"/>
      <c r="M2015" s="47"/>
      <c r="N2015" s="47"/>
      <c r="O2015" s="47"/>
      <c r="P2015" s="47"/>
      <c r="Q2015" s="47">
        <f t="shared" ref="Q2015:Q2020" si="419">Q$2</f>
        <v>0</v>
      </c>
      <c r="R2015" s="47"/>
      <c r="S2015" s="47"/>
      <c r="T2015" s="47"/>
      <c r="U2015" s="47"/>
      <c r="V2015" s="47"/>
      <c r="W2015" s="47"/>
      <c r="X2015" s="47"/>
      <c r="Y2015" s="47"/>
      <c r="Z2015" s="47">
        <f t="shared" si="416"/>
        <v>4620</v>
      </c>
      <c r="AA2015" s="47"/>
      <c r="AB2015" s="47"/>
      <c r="AC2015" s="47"/>
      <c r="AD2015" s="47"/>
      <c r="AE2015" s="47"/>
      <c r="AF2015" s="47"/>
      <c r="AG2015" s="47"/>
      <c r="AH2015" s="47" t="str">
        <f>IFERROR(_xlfn.XLOOKUP(Table6[[#This Row],[Suburb]],Table5[Travel Surcharge],Table5[$$]),"")</f>
        <v/>
      </c>
      <c r="AI2015" s="47"/>
      <c r="AJ2015" s="47"/>
    </row>
    <row r="2016" spans="1:36">
      <c r="A2016" s="374" t="s">
        <v>3264</v>
      </c>
      <c r="B2016" s="374">
        <v>3</v>
      </c>
      <c r="C2016" s="374" t="s">
        <v>1886</v>
      </c>
      <c r="D2016" s="375" t="str">
        <f t="shared" si="415"/>
        <v>Heritage Mews Estate3</v>
      </c>
      <c r="E2016" s="375" t="s">
        <v>3268</v>
      </c>
      <c r="F2016" s="375" t="s">
        <v>3266</v>
      </c>
      <c r="G2016" s="375" t="s">
        <v>2128</v>
      </c>
      <c r="H2016" s="375" t="s">
        <v>2129</v>
      </c>
      <c r="I2016" s="63" t="s">
        <v>3267</v>
      </c>
      <c r="J2016" s="47"/>
      <c r="K2016" s="46" t="s">
        <v>10735</v>
      </c>
      <c r="L2016" s="47"/>
      <c r="M2016" s="47"/>
      <c r="N2016" s="47"/>
      <c r="O2016" s="47"/>
      <c r="P2016" s="47"/>
      <c r="Q2016" s="47">
        <f t="shared" si="419"/>
        <v>0</v>
      </c>
      <c r="R2016" s="47"/>
      <c r="S2016" s="47"/>
      <c r="T2016" s="47"/>
      <c r="U2016" s="47"/>
      <c r="V2016" s="47"/>
      <c r="W2016" s="47"/>
      <c r="X2016" s="47"/>
      <c r="Y2016" s="47"/>
      <c r="Z2016" s="47">
        <f t="shared" si="416"/>
        <v>4620</v>
      </c>
      <c r="AA2016" s="47"/>
      <c r="AB2016" s="47"/>
      <c r="AC2016" s="47"/>
      <c r="AD2016" s="47"/>
      <c r="AE2016" s="47"/>
      <c r="AF2016" s="47"/>
      <c r="AG2016" s="47"/>
      <c r="AH2016" s="47" t="str">
        <f>IFERROR(_xlfn.XLOOKUP(Table6[[#This Row],[Suburb]],Table5[Travel Surcharge],Table5[$$]),"")</f>
        <v/>
      </c>
      <c r="AI2016" s="47"/>
      <c r="AJ2016" s="47"/>
    </row>
    <row r="2017" spans="1:36">
      <c r="A2017" s="374" t="s">
        <v>3264</v>
      </c>
      <c r="B2017" s="374">
        <v>4</v>
      </c>
      <c r="C2017" s="374" t="s">
        <v>1886</v>
      </c>
      <c r="D2017" s="375" t="str">
        <f t="shared" si="415"/>
        <v>Heritage Mews Estate4</v>
      </c>
      <c r="E2017" s="375" t="s">
        <v>3269</v>
      </c>
      <c r="F2017" s="375" t="s">
        <v>3266</v>
      </c>
      <c r="G2017" s="375" t="s">
        <v>2128</v>
      </c>
      <c r="H2017" s="375" t="s">
        <v>2129</v>
      </c>
      <c r="I2017" s="63" t="s">
        <v>3267</v>
      </c>
      <c r="J2017" s="47"/>
      <c r="K2017" s="46" t="s">
        <v>10735</v>
      </c>
      <c r="L2017" s="47"/>
      <c r="M2017" s="47"/>
      <c r="N2017" s="47"/>
      <c r="O2017" s="47"/>
      <c r="P2017" s="47"/>
      <c r="Q2017" s="47">
        <f t="shared" si="419"/>
        <v>0</v>
      </c>
      <c r="R2017" s="47"/>
      <c r="S2017" s="47"/>
      <c r="T2017" s="47"/>
      <c r="U2017" s="47"/>
      <c r="V2017" s="47"/>
      <c r="W2017" s="47"/>
      <c r="X2017" s="47"/>
      <c r="Y2017" s="47"/>
      <c r="Z2017" s="47">
        <f t="shared" si="416"/>
        <v>4620</v>
      </c>
      <c r="AA2017" s="47"/>
      <c r="AB2017" s="47"/>
      <c r="AC2017" s="47"/>
      <c r="AD2017" s="47"/>
      <c r="AE2017" s="47"/>
      <c r="AF2017" s="47"/>
      <c r="AG2017" s="47"/>
      <c r="AH2017" s="47" t="str">
        <f>IFERROR(_xlfn.XLOOKUP(Table6[[#This Row],[Suburb]],Table5[Travel Surcharge],Table5[$$]),"")</f>
        <v/>
      </c>
      <c r="AI2017" s="47"/>
      <c r="AJ2017" s="47"/>
    </row>
    <row r="2018" spans="1:36">
      <c r="A2018" s="374" t="s">
        <v>8763</v>
      </c>
      <c r="B2018" s="374">
        <v>7</v>
      </c>
      <c r="C2018" s="374" t="s">
        <v>300</v>
      </c>
      <c r="D2018" s="375" t="str">
        <f t="shared" si="415"/>
        <v>Heritage Place 7</v>
      </c>
      <c r="E2018" s="375" t="s">
        <v>8764</v>
      </c>
      <c r="F2018" s="375" t="s">
        <v>8765</v>
      </c>
      <c r="G2018" s="375" t="s">
        <v>8766</v>
      </c>
      <c r="H2018" s="375" t="s">
        <v>8767</v>
      </c>
      <c r="I2018" s="63" t="s">
        <v>8768</v>
      </c>
      <c r="J2018" s="47"/>
      <c r="K2018" s="46" t="s">
        <v>10735</v>
      </c>
      <c r="L2018" s="47">
        <f>L$7</f>
        <v>1210</v>
      </c>
      <c r="M2018" s="47" t="s">
        <v>2646</v>
      </c>
      <c r="N2018" s="47" t="s">
        <v>8773</v>
      </c>
      <c r="O2018" s="47">
        <f>O$7</f>
        <v>4950</v>
      </c>
      <c r="P2018" s="47" t="s">
        <v>8769</v>
      </c>
      <c r="Q2018" s="47">
        <f t="shared" si="419"/>
        <v>0</v>
      </c>
      <c r="R2018" s="47"/>
      <c r="S2018" s="47"/>
      <c r="T2018" s="47"/>
      <c r="U2018" s="47"/>
      <c r="V2018" s="47" t="s">
        <v>8770</v>
      </c>
      <c r="W2018" s="47" t="s">
        <v>8772</v>
      </c>
      <c r="X2018" s="47" t="s">
        <v>8771</v>
      </c>
      <c r="Y2018" s="47" t="s">
        <v>8774</v>
      </c>
      <c r="Z2018" s="47">
        <f t="shared" si="416"/>
        <v>4620</v>
      </c>
      <c r="AA2018" s="47"/>
      <c r="AB2018" s="47"/>
      <c r="AC2018" s="47"/>
      <c r="AD2018" s="47" t="s">
        <v>1</v>
      </c>
      <c r="AE2018" s="47"/>
      <c r="AF2018" s="47">
        <f>AF$7</f>
        <v>1485</v>
      </c>
      <c r="AG2018" s="47"/>
      <c r="AH2018" s="47">
        <f>IFERROR(_xlfn.XLOOKUP(Table6[[#This Row],[Suburb]],Table5[Travel Surcharge],Table5[$$]),"")</f>
        <v>12000</v>
      </c>
      <c r="AI2018" s="47"/>
      <c r="AJ2018" s="47">
        <f>AJ$7</f>
        <v>4400</v>
      </c>
    </row>
    <row r="2019" spans="1:36">
      <c r="A2019" s="374" t="s">
        <v>8763</v>
      </c>
      <c r="B2019" s="374">
        <v>2</v>
      </c>
      <c r="C2019" s="374" t="s">
        <v>300</v>
      </c>
      <c r="D2019" s="375" t="str">
        <f t="shared" si="415"/>
        <v>Heritage Place 2</v>
      </c>
      <c r="E2019" s="375" t="s">
        <v>9193</v>
      </c>
      <c r="F2019" s="375" t="s">
        <v>8765</v>
      </c>
      <c r="G2019" s="375" t="s">
        <v>8766</v>
      </c>
      <c r="H2019" s="375" t="s">
        <v>8767</v>
      </c>
      <c r="I2019" s="63" t="s">
        <v>8768</v>
      </c>
      <c r="J2019" s="47"/>
      <c r="K2019" s="46" t="s">
        <v>10735</v>
      </c>
      <c r="L2019" s="47">
        <f>L$7</f>
        <v>1210</v>
      </c>
      <c r="M2019" s="47" t="s">
        <v>2646</v>
      </c>
      <c r="N2019" s="47" t="s">
        <v>8773</v>
      </c>
      <c r="O2019" s="47">
        <f>O$7</f>
        <v>4950</v>
      </c>
      <c r="P2019" s="47" t="s">
        <v>8769</v>
      </c>
      <c r="Q2019" s="47">
        <f t="shared" si="419"/>
        <v>0</v>
      </c>
      <c r="R2019" s="47"/>
      <c r="S2019" s="47"/>
      <c r="T2019" s="47"/>
      <c r="U2019" s="47"/>
      <c r="V2019" s="47" t="s">
        <v>8770</v>
      </c>
      <c r="W2019" s="47" t="s">
        <v>8772</v>
      </c>
      <c r="X2019" s="47" t="s">
        <v>8771</v>
      </c>
      <c r="Y2019" s="47" t="s">
        <v>8774</v>
      </c>
      <c r="Z2019" s="47">
        <f t="shared" si="416"/>
        <v>4620</v>
      </c>
      <c r="AA2019" s="47"/>
      <c r="AB2019" s="47"/>
      <c r="AC2019" s="47"/>
      <c r="AD2019" s="47" t="s">
        <v>1</v>
      </c>
      <c r="AE2019" s="47"/>
      <c r="AF2019" s="47">
        <f>AF$7</f>
        <v>1485</v>
      </c>
      <c r="AG2019" s="47"/>
      <c r="AH2019" s="47">
        <f>IFERROR(_xlfn.XLOOKUP(Table6[[#This Row],[Suburb]],Table5[Travel Surcharge],Table5[$$]),"")</f>
        <v>12000</v>
      </c>
      <c r="AI2019" s="47"/>
      <c r="AJ2019" s="47">
        <f>AJ$7</f>
        <v>4400</v>
      </c>
    </row>
    <row r="2020" spans="1:36">
      <c r="A2020" s="374" t="s">
        <v>8763</v>
      </c>
      <c r="B2020" s="374">
        <v>8</v>
      </c>
      <c r="C2020" s="374" t="s">
        <v>300</v>
      </c>
      <c r="D2020" s="375" t="str">
        <f t="shared" si="415"/>
        <v>Heritage Place 8</v>
      </c>
      <c r="E2020" s="375" t="s">
        <v>8764</v>
      </c>
      <c r="F2020" s="375" t="s">
        <v>8765</v>
      </c>
      <c r="G2020" s="375" t="s">
        <v>8766</v>
      </c>
      <c r="H2020" s="375" t="s">
        <v>8767</v>
      </c>
      <c r="I2020" s="63" t="s">
        <v>8768</v>
      </c>
      <c r="J2020" s="47"/>
      <c r="K2020" s="46" t="s">
        <v>10735</v>
      </c>
      <c r="L2020" s="47">
        <f>L$7</f>
        <v>1210</v>
      </c>
      <c r="M2020" s="47" t="s">
        <v>2646</v>
      </c>
      <c r="N2020" s="47" t="s">
        <v>8773</v>
      </c>
      <c r="O2020" s="47">
        <f>O$7</f>
        <v>4950</v>
      </c>
      <c r="P2020" s="47" t="s">
        <v>8769</v>
      </c>
      <c r="Q2020" s="47">
        <f t="shared" si="419"/>
        <v>0</v>
      </c>
      <c r="R2020" s="47"/>
      <c r="S2020" s="47"/>
      <c r="T2020" s="47"/>
      <c r="U2020" s="47"/>
      <c r="V2020" s="47" t="s">
        <v>8770</v>
      </c>
      <c r="W2020" s="47" t="s">
        <v>8772</v>
      </c>
      <c r="X2020" s="47" t="s">
        <v>8771</v>
      </c>
      <c r="Y2020" s="47" t="s">
        <v>8774</v>
      </c>
      <c r="Z2020" s="47">
        <f t="shared" si="416"/>
        <v>4620</v>
      </c>
      <c r="AA2020" s="47"/>
      <c r="AB2020" s="47"/>
      <c r="AC2020" s="47"/>
      <c r="AD2020" s="47" t="s">
        <v>1</v>
      </c>
      <c r="AE2020" s="47"/>
      <c r="AF2020" s="47">
        <f>AF$7</f>
        <v>1485</v>
      </c>
      <c r="AG2020" s="47"/>
      <c r="AH2020" s="47">
        <f>IFERROR(_xlfn.XLOOKUP(Table6[[#This Row],[Suburb]],Table5[Travel Surcharge],Table5[$$]),"")</f>
        <v>12000</v>
      </c>
      <c r="AI2020" s="47"/>
      <c r="AJ2020" s="47">
        <f>AJ$7</f>
        <v>4400</v>
      </c>
    </row>
    <row r="2021" spans="1:36">
      <c r="A2021" s="374" t="s">
        <v>3270</v>
      </c>
      <c r="B2021" s="374">
        <v>4</v>
      </c>
      <c r="C2021" s="374" t="s">
        <v>802</v>
      </c>
      <c r="D2021" s="375" t="str">
        <f t="shared" si="415"/>
        <v>Heritage Rise4</v>
      </c>
      <c r="E2021" s="375" t="s">
        <v>3271</v>
      </c>
      <c r="F2021" s="375"/>
      <c r="G2021" s="375" t="s">
        <v>3272</v>
      </c>
      <c r="H2021" s="375" t="s">
        <v>3273</v>
      </c>
      <c r="I2021" s="63" t="s">
        <v>3274</v>
      </c>
      <c r="J2021" s="47">
        <f>J$7</f>
        <v>3740</v>
      </c>
      <c r="K2021" s="46" t="s">
        <v>10735</v>
      </c>
      <c r="L2021" s="47"/>
      <c r="M2021" s="47"/>
      <c r="N2021" s="47" t="s">
        <v>3275</v>
      </c>
      <c r="O2021" s="47" t="s">
        <v>3276</v>
      </c>
      <c r="P2021" s="47" t="s">
        <v>3277</v>
      </c>
      <c r="Q2021" s="47"/>
      <c r="R2021" s="47">
        <f>R$2</f>
        <v>540</v>
      </c>
      <c r="S2021" s="47"/>
      <c r="T2021" s="47" t="s">
        <v>3278</v>
      </c>
      <c r="U2021" s="47"/>
      <c r="V2021" s="47"/>
      <c r="W2021" s="47"/>
      <c r="X2021" s="47"/>
      <c r="Y2021" s="47"/>
      <c r="Z2021" s="47">
        <f t="shared" si="416"/>
        <v>4620</v>
      </c>
      <c r="AA2021" s="47"/>
      <c r="AB2021" s="47"/>
      <c r="AC2021" s="47"/>
      <c r="AD2021" s="47"/>
      <c r="AE2021" s="47"/>
      <c r="AF2021" s="47"/>
      <c r="AG2021" s="47"/>
      <c r="AH2021" s="47" t="str">
        <f>IFERROR(_xlfn.XLOOKUP(Table6[[#This Row],[Suburb]],Table5[Travel Surcharge],Table5[$$]),"")</f>
        <v/>
      </c>
      <c r="AI2021" s="47"/>
      <c r="AJ2021" s="47"/>
    </row>
    <row r="2022" spans="1:36">
      <c r="A2022" s="374" t="s">
        <v>3270</v>
      </c>
      <c r="B2022" s="374">
        <v>5</v>
      </c>
      <c r="C2022" s="374" t="s">
        <v>802</v>
      </c>
      <c r="D2022" s="375" t="str">
        <f t="shared" si="415"/>
        <v>Heritage Rise5</v>
      </c>
      <c r="E2022" s="375">
        <v>8230750</v>
      </c>
      <c r="F2022" s="375"/>
      <c r="G2022" s="375" t="s">
        <v>3272</v>
      </c>
      <c r="H2022" s="375" t="s">
        <v>3273</v>
      </c>
      <c r="I2022" s="63" t="s">
        <v>3274</v>
      </c>
      <c r="J2022" s="47">
        <f>J$7</f>
        <v>3740</v>
      </c>
      <c r="K2022" s="46" t="s">
        <v>10735</v>
      </c>
      <c r="L2022" s="47"/>
      <c r="M2022" s="47"/>
      <c r="N2022" s="47" t="s">
        <v>3275</v>
      </c>
      <c r="O2022" s="47" t="s">
        <v>3276</v>
      </c>
      <c r="P2022" s="47" t="s">
        <v>3277</v>
      </c>
      <c r="Q2022" s="47"/>
      <c r="R2022" s="47">
        <f>R$2</f>
        <v>540</v>
      </c>
      <c r="S2022" s="47"/>
      <c r="T2022" s="47" t="s">
        <v>3278</v>
      </c>
      <c r="U2022" s="47"/>
      <c r="V2022" s="47"/>
      <c r="W2022" s="47"/>
      <c r="X2022" s="47"/>
      <c r="Y2022" s="47"/>
      <c r="Z2022" s="47">
        <f t="shared" si="416"/>
        <v>4620</v>
      </c>
      <c r="AA2022" s="47"/>
      <c r="AB2022" s="47"/>
      <c r="AC2022" s="47"/>
      <c r="AD2022" s="47"/>
      <c r="AE2022" s="47"/>
      <c r="AF2022" s="47"/>
      <c r="AG2022" s="47"/>
      <c r="AH2022" s="47" t="str">
        <f>IFERROR(_xlfn.XLOOKUP(Table6[[#This Row],[Suburb]],Table5[Travel Surcharge],Table5[$$]),"")</f>
        <v/>
      </c>
      <c r="AI2022" s="47"/>
      <c r="AJ2022" s="47"/>
    </row>
    <row r="2023" spans="1:36">
      <c r="A2023" s="374" t="s">
        <v>3270</v>
      </c>
      <c r="B2023" s="374">
        <v>6</v>
      </c>
      <c r="C2023" s="374" t="s">
        <v>802</v>
      </c>
      <c r="D2023" s="375" t="str">
        <f t="shared" si="415"/>
        <v>Heritage Rise6</v>
      </c>
      <c r="E2023" s="375" t="s">
        <v>3279</v>
      </c>
      <c r="F2023" s="375"/>
      <c r="G2023" s="375" t="s">
        <v>3272</v>
      </c>
      <c r="H2023" s="375" t="s">
        <v>3273</v>
      </c>
      <c r="I2023" s="63" t="s">
        <v>3274</v>
      </c>
      <c r="J2023" s="47">
        <f>J$7</f>
        <v>3740</v>
      </c>
      <c r="K2023" s="46" t="s">
        <v>10735</v>
      </c>
      <c r="L2023" s="47"/>
      <c r="M2023" s="47"/>
      <c r="N2023" s="47" t="s">
        <v>3275</v>
      </c>
      <c r="O2023" s="47" t="s">
        <v>3276</v>
      </c>
      <c r="P2023" s="47" t="s">
        <v>3277</v>
      </c>
      <c r="Q2023" s="47"/>
      <c r="R2023" s="47">
        <f>R$2</f>
        <v>540</v>
      </c>
      <c r="S2023" s="47"/>
      <c r="T2023" s="47" t="s">
        <v>3278</v>
      </c>
      <c r="U2023" s="47"/>
      <c r="V2023" s="47"/>
      <c r="W2023" s="47"/>
      <c r="X2023" s="47"/>
      <c r="Y2023" s="47"/>
      <c r="Z2023" s="47">
        <f t="shared" si="416"/>
        <v>4620</v>
      </c>
      <c r="AA2023" s="47"/>
      <c r="AB2023" s="47"/>
      <c r="AC2023" s="47"/>
      <c r="AD2023" s="47"/>
      <c r="AE2023" s="47"/>
      <c r="AF2023" s="47"/>
      <c r="AG2023" s="47"/>
      <c r="AH2023" s="47" t="str">
        <f>IFERROR(_xlfn.XLOOKUP(Table6[[#This Row],[Suburb]],Table5[Travel Surcharge],Table5[$$]),"")</f>
        <v/>
      </c>
      <c r="AI2023" s="47"/>
      <c r="AJ2023" s="47"/>
    </row>
    <row r="2024" spans="1:36">
      <c r="A2024" s="374" t="s">
        <v>3280</v>
      </c>
      <c r="B2024" s="374">
        <v>1</v>
      </c>
      <c r="C2024" s="374" t="s">
        <v>1024</v>
      </c>
      <c r="D2024" s="375" t="str">
        <f t="shared" si="415"/>
        <v>Heritage Views Estate1</v>
      </c>
      <c r="E2024" s="375" t="s">
        <v>3281</v>
      </c>
      <c r="F2024" s="375" t="s">
        <v>493</v>
      </c>
      <c r="G2024" s="375" t="s">
        <v>494</v>
      </c>
      <c r="H2024" s="375" t="s">
        <v>495</v>
      </c>
      <c r="I2024" s="63" t="s">
        <v>496</v>
      </c>
      <c r="J2024" s="47">
        <f>J$7</f>
        <v>3740</v>
      </c>
      <c r="K2024" s="46" t="s">
        <v>10735</v>
      </c>
      <c r="L2024" s="47"/>
      <c r="M2024" s="47"/>
      <c r="N2024" s="47"/>
      <c r="O2024" s="47"/>
      <c r="P2024" s="47"/>
      <c r="Q2024" s="47">
        <f t="shared" ref="Q2024:Q2032" si="420">Q$2</f>
        <v>0</v>
      </c>
      <c r="R2024" s="47"/>
      <c r="S2024" s="47"/>
      <c r="T2024" s="47"/>
      <c r="U2024" s="47"/>
      <c r="V2024" s="47"/>
      <c r="W2024" s="47"/>
      <c r="X2024" s="47"/>
      <c r="Y2024" s="47"/>
      <c r="Z2024" s="47">
        <f t="shared" si="416"/>
        <v>4620</v>
      </c>
      <c r="AA2024" s="47"/>
      <c r="AB2024" s="47"/>
      <c r="AC2024" s="47"/>
      <c r="AD2024" s="47"/>
      <c r="AE2024" s="47"/>
      <c r="AF2024" s="47"/>
      <c r="AG2024" s="47"/>
      <c r="AH2024" s="47" t="str">
        <f>IFERROR(_xlfn.XLOOKUP(Table6[[#This Row],[Suburb]],Table5[Travel Surcharge],Table5[$$]),"")</f>
        <v/>
      </c>
      <c r="AI2024" s="47"/>
      <c r="AJ2024" s="47"/>
    </row>
    <row r="2025" spans="1:36">
      <c r="A2025" s="374" t="s">
        <v>3280</v>
      </c>
      <c r="B2025" s="374">
        <v>2</v>
      </c>
      <c r="C2025" s="374" t="s">
        <v>1024</v>
      </c>
      <c r="D2025" s="375" t="str">
        <f t="shared" si="415"/>
        <v>Heritage Views Estate2</v>
      </c>
      <c r="E2025" s="375" t="s">
        <v>3007</v>
      </c>
      <c r="F2025" s="375" t="s">
        <v>493</v>
      </c>
      <c r="G2025" s="375" t="s">
        <v>494</v>
      </c>
      <c r="H2025" s="375" t="s">
        <v>495</v>
      </c>
      <c r="I2025" s="63" t="s">
        <v>496</v>
      </c>
      <c r="J2025" s="47">
        <f>J$7</f>
        <v>3740</v>
      </c>
      <c r="K2025" s="46" t="s">
        <v>10735</v>
      </c>
      <c r="L2025" s="47"/>
      <c r="M2025" s="47"/>
      <c r="N2025" s="47"/>
      <c r="O2025" s="47"/>
      <c r="P2025" s="47"/>
      <c r="Q2025" s="47">
        <f t="shared" si="420"/>
        <v>0</v>
      </c>
      <c r="R2025" s="47"/>
      <c r="S2025" s="47"/>
      <c r="T2025" s="47"/>
      <c r="U2025" s="47"/>
      <c r="V2025" s="47"/>
      <c r="W2025" s="47"/>
      <c r="X2025" s="47"/>
      <c r="Y2025" s="47"/>
      <c r="Z2025" s="47">
        <f t="shared" si="416"/>
        <v>4620</v>
      </c>
      <c r="AA2025" s="47"/>
      <c r="AB2025" s="47"/>
      <c r="AC2025" s="47"/>
      <c r="AD2025" s="47"/>
      <c r="AE2025" s="47"/>
      <c r="AF2025" s="47"/>
      <c r="AG2025" s="47"/>
      <c r="AH2025" s="47" t="str">
        <f>IFERROR(_xlfn.XLOOKUP(Table6[[#This Row],[Suburb]],Table5[Travel Surcharge],Table5[$$]),"")</f>
        <v/>
      </c>
      <c r="AI2025" s="47"/>
      <c r="AJ2025" s="47"/>
    </row>
    <row r="2026" spans="1:36">
      <c r="A2026" s="374" t="s">
        <v>3282</v>
      </c>
      <c r="B2026" s="374">
        <v>3</v>
      </c>
      <c r="C2026" s="374" t="s">
        <v>2433</v>
      </c>
      <c r="D2026" s="375" t="str">
        <f t="shared" si="415"/>
        <v>Hidden Valley Estate3</v>
      </c>
      <c r="E2026" s="375" t="s">
        <v>3283</v>
      </c>
      <c r="F2026" s="375" t="s">
        <v>3284</v>
      </c>
      <c r="G2026" s="375" t="s">
        <v>3285</v>
      </c>
      <c r="H2026" s="375" t="s">
        <v>3286</v>
      </c>
      <c r="I2026" s="63" t="s">
        <v>3287</v>
      </c>
      <c r="J2026" s="47"/>
      <c r="K2026" s="46" t="s">
        <v>10735</v>
      </c>
      <c r="L2026" s="47" t="s">
        <v>544</v>
      </c>
      <c r="M2026" s="47"/>
      <c r="N2026" s="47"/>
      <c r="O2026" s="47"/>
      <c r="P2026" s="47"/>
      <c r="Q2026" s="47">
        <f t="shared" si="420"/>
        <v>0</v>
      </c>
      <c r="R2026" s="47"/>
      <c r="S2026" s="47"/>
      <c r="T2026" s="47"/>
      <c r="U2026" s="47"/>
      <c r="V2026" s="47"/>
      <c r="W2026" s="47"/>
      <c r="X2026" s="47" t="s">
        <v>3288</v>
      </c>
      <c r="Y2026" s="47" t="s">
        <v>3289</v>
      </c>
      <c r="Z2026" s="47">
        <f t="shared" si="416"/>
        <v>4620</v>
      </c>
      <c r="AA2026" s="47"/>
      <c r="AB2026" s="47"/>
      <c r="AC2026" s="47"/>
      <c r="AD2026" s="47"/>
      <c r="AE2026" s="47"/>
      <c r="AF2026" s="47"/>
      <c r="AG2026" s="47"/>
      <c r="AH2026" s="47" t="str">
        <f>IFERROR(_xlfn.XLOOKUP(Table6[[#This Row],[Suburb]],Table5[Travel Surcharge],Table5[$$]),"")</f>
        <v/>
      </c>
      <c r="AI2026" s="47"/>
      <c r="AJ2026" s="47"/>
    </row>
    <row r="2027" spans="1:36">
      <c r="A2027" s="374" t="s">
        <v>3282</v>
      </c>
      <c r="B2027" s="276" t="s">
        <v>3290</v>
      </c>
      <c r="C2027" s="374" t="s">
        <v>2433</v>
      </c>
      <c r="D2027" s="375" t="str">
        <f t="shared" si="415"/>
        <v>Hidden Valley Estate3D</v>
      </c>
      <c r="E2027" s="375" t="s">
        <v>3291</v>
      </c>
      <c r="F2027" s="375" t="s">
        <v>3284</v>
      </c>
      <c r="G2027" s="375" t="s">
        <v>3285</v>
      </c>
      <c r="H2027" s="375" t="s">
        <v>3286</v>
      </c>
      <c r="I2027" s="63" t="s">
        <v>3287</v>
      </c>
      <c r="J2027" s="47"/>
      <c r="K2027" s="46" t="s">
        <v>10735</v>
      </c>
      <c r="L2027" s="47" t="s">
        <v>544</v>
      </c>
      <c r="M2027" s="47"/>
      <c r="N2027" s="47"/>
      <c r="O2027" s="47"/>
      <c r="P2027" s="47"/>
      <c r="Q2027" s="47">
        <f t="shared" si="420"/>
        <v>0</v>
      </c>
      <c r="R2027" s="47"/>
      <c r="S2027" s="47"/>
      <c r="T2027" s="47"/>
      <c r="U2027" s="47"/>
      <c r="V2027" s="47"/>
      <c r="W2027" s="47"/>
      <c r="X2027" s="47" t="s">
        <v>3288</v>
      </c>
      <c r="Y2027" s="47" t="s">
        <v>3289</v>
      </c>
      <c r="Z2027" s="47">
        <f t="shared" si="416"/>
        <v>4620</v>
      </c>
      <c r="AA2027" s="47"/>
      <c r="AB2027" s="47"/>
      <c r="AC2027" s="47"/>
      <c r="AD2027" s="47"/>
      <c r="AE2027" s="47"/>
      <c r="AF2027" s="47"/>
      <c r="AG2027" s="47"/>
      <c r="AH2027" s="47" t="str">
        <f>IFERROR(_xlfn.XLOOKUP(Table6[[#This Row],[Suburb]],Table5[Travel Surcharge],Table5[$$]),"")</f>
        <v/>
      </c>
      <c r="AI2027" s="47"/>
      <c r="AJ2027" s="47"/>
    </row>
    <row r="2028" spans="1:36">
      <c r="A2028" s="374" t="s">
        <v>10210</v>
      </c>
      <c r="B2028" s="374">
        <v>1</v>
      </c>
      <c r="C2028" s="374" t="s">
        <v>289</v>
      </c>
      <c r="D2028" s="375" t="str">
        <f>CONCATENATE(A2028,B2028)</f>
        <v>Highfields1</v>
      </c>
      <c r="E2028" s="375" t="s">
        <v>10211</v>
      </c>
      <c r="F2028" s="375" t="s">
        <v>2664</v>
      </c>
      <c r="G2028" s="375" t="s">
        <v>10090</v>
      </c>
      <c r="H2028" s="375" t="s">
        <v>3818</v>
      </c>
      <c r="I2028" s="63" t="s">
        <v>4433</v>
      </c>
      <c r="J2028" s="47"/>
      <c r="K2028" s="46" t="s">
        <v>10735</v>
      </c>
      <c r="L2028" s="47"/>
      <c r="M2028" s="47" t="s">
        <v>10212</v>
      </c>
      <c r="N2028" s="47"/>
      <c r="O2028" s="47" t="s">
        <v>1846</v>
      </c>
      <c r="P2028" s="47" t="s">
        <v>10213</v>
      </c>
      <c r="Q2028" s="47" t="s">
        <v>10214</v>
      </c>
      <c r="R2028" s="47">
        <v>540</v>
      </c>
      <c r="S2028" s="47"/>
      <c r="T2028" s="47"/>
      <c r="U2028" s="47"/>
      <c r="V2028" s="47"/>
      <c r="W2028" s="47"/>
      <c r="X2028" s="47"/>
      <c r="Y2028" s="47"/>
      <c r="Z2028" s="47">
        <f>Z$7</f>
        <v>4620</v>
      </c>
      <c r="AA2028" s="47"/>
      <c r="AB2028" s="47"/>
      <c r="AC2028" s="47"/>
      <c r="AD2028" s="47"/>
      <c r="AE2028" s="47"/>
      <c r="AF2028" s="47"/>
      <c r="AG2028" s="47"/>
      <c r="AH2028" s="47">
        <v>7000</v>
      </c>
      <c r="AI2028" s="47"/>
      <c r="AJ2028" s="47"/>
    </row>
    <row r="2029" spans="1:36">
      <c r="A2029" s="374" t="s">
        <v>3292</v>
      </c>
      <c r="B2029" s="374">
        <v>1</v>
      </c>
      <c r="C2029" s="374" t="s">
        <v>2371</v>
      </c>
      <c r="D2029" s="375" t="str">
        <f t="shared" si="415"/>
        <v>Highgate1</v>
      </c>
      <c r="E2029" s="375" t="s">
        <v>3293</v>
      </c>
      <c r="F2029" s="375" t="s">
        <v>2314</v>
      </c>
      <c r="G2029" s="375" t="s">
        <v>3294</v>
      </c>
      <c r="H2029" s="375" t="s">
        <v>3295</v>
      </c>
      <c r="I2029" s="63"/>
      <c r="J2029" s="47"/>
      <c r="K2029" s="46" t="s">
        <v>10735</v>
      </c>
      <c r="L2029" s="47"/>
      <c r="M2029" s="47">
        <f>M$7</f>
        <v>1430.0000000000002</v>
      </c>
      <c r="N2029" s="47"/>
      <c r="O2029" s="47">
        <f>O$7</f>
        <v>4950</v>
      </c>
      <c r="P2029" s="47"/>
      <c r="Q2029" s="47">
        <f t="shared" si="420"/>
        <v>0</v>
      </c>
      <c r="R2029" s="47"/>
      <c r="S2029" s="47"/>
      <c r="T2029" s="47"/>
      <c r="U2029" s="47"/>
      <c r="V2029" s="47" t="s">
        <v>3296</v>
      </c>
      <c r="W2029" s="47"/>
      <c r="X2029" s="47"/>
      <c r="Y2029" s="47"/>
      <c r="Z2029" s="47">
        <f t="shared" si="416"/>
        <v>4620</v>
      </c>
      <c r="AA2029" s="47"/>
      <c r="AB2029" s="47"/>
      <c r="AC2029" s="47"/>
      <c r="AD2029" s="47"/>
      <c r="AE2029" s="47"/>
      <c r="AF2029" s="47"/>
      <c r="AG2029" s="47"/>
      <c r="AH2029" s="47">
        <f>IFERROR(_xlfn.XLOOKUP(Table6[[#This Row],[Suburb]],Table5[Travel Surcharge],Table5[$$]),"")</f>
        <v>4000</v>
      </c>
      <c r="AI2029" s="47"/>
      <c r="AJ2029" s="47"/>
    </row>
    <row r="2030" spans="1:36">
      <c r="A2030" s="374" t="s">
        <v>3292</v>
      </c>
      <c r="B2030" s="374">
        <v>2</v>
      </c>
      <c r="C2030" s="374" t="s">
        <v>2371</v>
      </c>
      <c r="D2030" s="375" t="str">
        <f t="shared" si="415"/>
        <v>Highgate2</v>
      </c>
      <c r="E2030" s="375" t="s">
        <v>3297</v>
      </c>
      <c r="F2030" s="375" t="s">
        <v>2314</v>
      </c>
      <c r="G2030" s="375" t="s">
        <v>3294</v>
      </c>
      <c r="H2030" s="375" t="s">
        <v>3295</v>
      </c>
      <c r="I2030" s="63"/>
      <c r="J2030" s="47"/>
      <c r="K2030" s="46" t="s">
        <v>10735</v>
      </c>
      <c r="L2030" s="47"/>
      <c r="M2030" s="47">
        <f>M$7</f>
        <v>1430.0000000000002</v>
      </c>
      <c r="N2030" s="47"/>
      <c r="O2030" s="47">
        <f>O$7</f>
        <v>4950</v>
      </c>
      <c r="P2030" s="47"/>
      <c r="Q2030" s="47">
        <f t="shared" si="420"/>
        <v>0</v>
      </c>
      <c r="R2030" s="47"/>
      <c r="S2030" s="47"/>
      <c r="T2030" s="47"/>
      <c r="U2030" s="47"/>
      <c r="V2030" s="47" t="s">
        <v>3296</v>
      </c>
      <c r="W2030" s="47"/>
      <c r="X2030" s="47"/>
      <c r="Y2030" s="47"/>
      <c r="Z2030" s="47">
        <f t="shared" si="416"/>
        <v>4620</v>
      </c>
      <c r="AA2030" s="47"/>
      <c r="AB2030" s="47"/>
      <c r="AC2030" s="47"/>
      <c r="AD2030" s="47"/>
      <c r="AE2030" s="47"/>
      <c r="AF2030" s="47"/>
      <c r="AG2030" s="47"/>
      <c r="AH2030" s="47">
        <f>IFERROR(_xlfn.XLOOKUP(Table6[[#This Row],[Suburb]],Table5[Travel Surcharge],Table5[$$]),"")</f>
        <v>4000</v>
      </c>
      <c r="AI2030" s="47"/>
      <c r="AJ2030" s="47"/>
    </row>
    <row r="2031" spans="1:36">
      <c r="A2031" s="374" t="s">
        <v>3298</v>
      </c>
      <c r="B2031" s="374">
        <v>4</v>
      </c>
      <c r="C2031" s="374" t="s">
        <v>538</v>
      </c>
      <c r="D2031" s="375" t="str">
        <f t="shared" si="415"/>
        <v>Highgrange Estate4</v>
      </c>
      <c r="E2031" s="375" t="s">
        <v>3299</v>
      </c>
      <c r="F2031" s="375" t="s">
        <v>2072</v>
      </c>
      <c r="G2031" s="375" t="s">
        <v>2730</v>
      </c>
      <c r="H2031" s="375" t="s">
        <v>3300</v>
      </c>
      <c r="I2031" s="63" t="s">
        <v>3301</v>
      </c>
      <c r="J2031" s="47"/>
      <c r="K2031" s="46" t="s">
        <v>10735</v>
      </c>
      <c r="L2031" s="47"/>
      <c r="M2031" s="47"/>
      <c r="N2031" s="47"/>
      <c r="O2031" s="47"/>
      <c r="P2031" s="47"/>
      <c r="Q2031" s="47">
        <f t="shared" si="420"/>
        <v>0</v>
      </c>
      <c r="R2031" s="47"/>
      <c r="S2031" s="47"/>
      <c r="T2031" s="47"/>
      <c r="U2031" s="47"/>
      <c r="V2031" s="47"/>
      <c r="W2031" s="47"/>
      <c r="X2031" s="47"/>
      <c r="Y2031" s="47"/>
      <c r="Z2031" s="47">
        <f t="shared" si="416"/>
        <v>4620</v>
      </c>
      <c r="AA2031" s="47"/>
      <c r="AB2031" s="47"/>
      <c r="AC2031" s="47"/>
      <c r="AD2031" s="47"/>
      <c r="AE2031" s="47"/>
      <c r="AF2031" s="47"/>
      <c r="AG2031" s="47"/>
      <c r="AH2031" s="47" t="str">
        <f>IFERROR(_xlfn.XLOOKUP(Table6[[#This Row],[Suburb]],Table5[Travel Surcharge],Table5[$$]),"")</f>
        <v/>
      </c>
      <c r="AI2031" s="47"/>
      <c r="AJ2031" s="47"/>
    </row>
    <row r="2032" spans="1:36">
      <c r="A2032" s="374" t="s">
        <v>3298</v>
      </c>
      <c r="B2032" s="374">
        <v>5</v>
      </c>
      <c r="C2032" s="374" t="s">
        <v>538</v>
      </c>
      <c r="D2032" s="375" t="str">
        <f t="shared" si="415"/>
        <v>Highgrange Estate5</v>
      </c>
      <c r="E2032" s="375" t="s">
        <v>3302</v>
      </c>
      <c r="F2032" s="375" t="s">
        <v>2072</v>
      </c>
      <c r="G2032" s="375" t="s">
        <v>2730</v>
      </c>
      <c r="H2032" s="375" t="s">
        <v>3300</v>
      </c>
      <c r="I2032" s="63" t="s">
        <v>3301</v>
      </c>
      <c r="J2032" s="47"/>
      <c r="K2032" s="46" t="s">
        <v>10735</v>
      </c>
      <c r="L2032" s="47"/>
      <c r="M2032" s="47"/>
      <c r="N2032" s="47"/>
      <c r="O2032" s="47"/>
      <c r="P2032" s="47"/>
      <c r="Q2032" s="47">
        <f t="shared" si="420"/>
        <v>0</v>
      </c>
      <c r="R2032" s="47"/>
      <c r="S2032" s="47"/>
      <c r="T2032" s="47"/>
      <c r="U2032" s="47"/>
      <c r="V2032" s="47"/>
      <c r="W2032" s="47"/>
      <c r="X2032" s="47"/>
      <c r="Y2032" s="47"/>
      <c r="Z2032" s="47">
        <f t="shared" si="416"/>
        <v>4620</v>
      </c>
      <c r="AA2032" s="47"/>
      <c r="AB2032" s="47"/>
      <c r="AC2032" s="47"/>
      <c r="AD2032" s="47"/>
      <c r="AE2032" s="47"/>
      <c r="AF2032" s="47"/>
      <c r="AG2032" s="47"/>
      <c r="AH2032" s="47" t="str">
        <f>IFERROR(_xlfn.XLOOKUP(Table6[[#This Row],[Suburb]],Table5[Travel Surcharge],Table5[$$]),"")</f>
        <v/>
      </c>
      <c r="AI2032" s="47"/>
      <c r="AJ2032" s="47"/>
    </row>
    <row r="2033" spans="1:36">
      <c r="A2033" s="374" t="s">
        <v>3303</v>
      </c>
      <c r="B2033" s="374">
        <v>9</v>
      </c>
      <c r="C2033" s="374" t="s">
        <v>428</v>
      </c>
      <c r="D2033" s="375" t="str">
        <f t="shared" si="415"/>
        <v>Highgrove Estate9</v>
      </c>
      <c r="E2033" s="375" t="s">
        <v>3304</v>
      </c>
      <c r="F2033" s="375" t="s">
        <v>1781</v>
      </c>
      <c r="G2033" s="375" t="s">
        <v>3305</v>
      </c>
      <c r="H2033" s="375" t="s">
        <v>3306</v>
      </c>
      <c r="I2033" s="63" t="s">
        <v>1783</v>
      </c>
      <c r="J2033" s="47"/>
      <c r="K2033" s="46" t="s">
        <v>10735</v>
      </c>
      <c r="L2033" s="47"/>
      <c r="M2033" s="47"/>
      <c r="N2033" s="47"/>
      <c r="O2033" s="47"/>
      <c r="P2033" s="47"/>
      <c r="Q2033" s="47"/>
      <c r="R2033" s="47"/>
      <c r="S2033" s="47"/>
      <c r="T2033" s="47"/>
      <c r="U2033" s="47">
        <f>U$2</f>
        <v>430</v>
      </c>
      <c r="V2033" s="47"/>
      <c r="W2033" s="47"/>
      <c r="X2033" s="47"/>
      <c r="Y2033" s="47"/>
      <c r="Z2033" s="47">
        <f t="shared" si="416"/>
        <v>4620</v>
      </c>
      <c r="AA2033" s="47"/>
      <c r="AB2033" s="47"/>
      <c r="AC2033" s="47"/>
      <c r="AD2033" s="47"/>
      <c r="AE2033" s="47"/>
      <c r="AF2033" s="47"/>
      <c r="AG2033" s="47"/>
      <c r="AH2033" s="47" t="str">
        <f>IFERROR(_xlfn.XLOOKUP(Table6[[#This Row],[Suburb]],Table5[Travel Surcharge],Table5[$$]),"")</f>
        <v/>
      </c>
      <c r="AI2033" s="47"/>
      <c r="AJ2033" s="47"/>
    </row>
    <row r="2034" spans="1:36">
      <c r="A2034" s="374" t="s">
        <v>3303</v>
      </c>
      <c r="B2034" s="374">
        <v>10</v>
      </c>
      <c r="C2034" s="374" t="s">
        <v>428</v>
      </c>
      <c r="D2034" s="375" t="str">
        <f t="shared" si="415"/>
        <v>Highgrove Estate10</v>
      </c>
      <c r="E2034" s="375" t="s">
        <v>3307</v>
      </c>
      <c r="F2034" s="375" t="s">
        <v>1781</v>
      </c>
      <c r="G2034" s="375" t="s">
        <v>3305</v>
      </c>
      <c r="H2034" s="375" t="s">
        <v>3306</v>
      </c>
      <c r="I2034" s="63" t="s">
        <v>1783</v>
      </c>
      <c r="J2034" s="47"/>
      <c r="K2034" s="46" t="s">
        <v>10735</v>
      </c>
      <c r="L2034" s="47"/>
      <c r="M2034" s="47"/>
      <c r="N2034" s="47"/>
      <c r="O2034" s="47"/>
      <c r="P2034" s="47"/>
      <c r="Q2034" s="47"/>
      <c r="R2034" s="47"/>
      <c r="S2034" s="47"/>
      <c r="T2034" s="47"/>
      <c r="U2034" s="47">
        <f>U$2</f>
        <v>430</v>
      </c>
      <c r="V2034" s="47"/>
      <c r="W2034" s="47"/>
      <c r="X2034" s="47"/>
      <c r="Y2034" s="47"/>
      <c r="Z2034" s="47">
        <f t="shared" si="416"/>
        <v>4620</v>
      </c>
      <c r="AA2034" s="47"/>
      <c r="AB2034" s="47"/>
      <c r="AC2034" s="47"/>
      <c r="AD2034" s="47"/>
      <c r="AE2034" s="47"/>
      <c r="AF2034" s="47"/>
      <c r="AG2034" s="47"/>
      <c r="AH2034" s="47" t="str">
        <f>IFERROR(_xlfn.XLOOKUP(Table6[[#This Row],[Suburb]],Table5[Travel Surcharge],Table5[$$]),"")</f>
        <v/>
      </c>
      <c r="AI2034" s="47"/>
      <c r="AJ2034" s="47"/>
    </row>
    <row r="2035" spans="1:36">
      <c r="A2035" s="374" t="s">
        <v>3303</v>
      </c>
      <c r="B2035" s="374">
        <v>12</v>
      </c>
      <c r="C2035" s="374" t="s">
        <v>428</v>
      </c>
      <c r="D2035" s="375" t="str">
        <f t="shared" si="415"/>
        <v>Highgrove Estate12</v>
      </c>
      <c r="E2035" s="375" t="s">
        <v>3308</v>
      </c>
      <c r="F2035" s="375" t="s">
        <v>1781</v>
      </c>
      <c r="G2035" s="375" t="s">
        <v>3305</v>
      </c>
      <c r="H2035" s="375" t="s">
        <v>3306</v>
      </c>
      <c r="I2035" s="63" t="s">
        <v>1783</v>
      </c>
      <c r="J2035" s="47"/>
      <c r="K2035" s="46" t="s">
        <v>10735</v>
      </c>
      <c r="L2035" s="47"/>
      <c r="M2035" s="47"/>
      <c r="N2035" s="47"/>
      <c r="O2035" s="47"/>
      <c r="P2035" s="47"/>
      <c r="Q2035" s="47"/>
      <c r="R2035" s="47"/>
      <c r="S2035" s="47"/>
      <c r="T2035" s="47"/>
      <c r="U2035" s="47">
        <f>U$2</f>
        <v>430</v>
      </c>
      <c r="V2035" s="47"/>
      <c r="W2035" s="47"/>
      <c r="X2035" s="47"/>
      <c r="Y2035" s="47"/>
      <c r="Z2035" s="47">
        <f t="shared" si="416"/>
        <v>4620</v>
      </c>
      <c r="AA2035" s="47"/>
      <c r="AB2035" s="47"/>
      <c r="AC2035" s="47"/>
      <c r="AD2035" s="47"/>
      <c r="AE2035" s="47"/>
      <c r="AF2035" s="47"/>
      <c r="AG2035" s="47"/>
      <c r="AH2035" s="47" t="str">
        <f>IFERROR(_xlfn.XLOOKUP(Table6[[#This Row],[Suburb]],Table5[Travel Surcharge],Table5[$$]),"")</f>
        <v/>
      </c>
      <c r="AI2035" s="47"/>
      <c r="AJ2035" s="47"/>
    </row>
    <row r="2036" spans="1:36">
      <c r="A2036" s="374" t="s">
        <v>3303</v>
      </c>
      <c r="B2036" s="374">
        <v>14</v>
      </c>
      <c r="C2036" s="374" t="s">
        <v>428</v>
      </c>
      <c r="D2036" s="375" t="str">
        <f t="shared" si="415"/>
        <v>Highgrove Estate14</v>
      </c>
      <c r="E2036" s="375" t="s">
        <v>3309</v>
      </c>
      <c r="F2036" s="375" t="s">
        <v>1781</v>
      </c>
      <c r="G2036" s="375" t="s">
        <v>3305</v>
      </c>
      <c r="H2036" s="375" t="s">
        <v>3306</v>
      </c>
      <c r="I2036" s="63" t="s">
        <v>1783</v>
      </c>
      <c r="J2036" s="47"/>
      <c r="K2036" s="46" t="s">
        <v>10735</v>
      </c>
      <c r="L2036" s="47"/>
      <c r="M2036" s="47"/>
      <c r="N2036" s="47"/>
      <c r="O2036" s="47"/>
      <c r="P2036" s="47"/>
      <c r="Q2036" s="47"/>
      <c r="R2036" s="47"/>
      <c r="S2036" s="47"/>
      <c r="T2036" s="47"/>
      <c r="U2036" s="47">
        <f>U$2</f>
        <v>430</v>
      </c>
      <c r="V2036" s="47"/>
      <c r="W2036" s="47"/>
      <c r="X2036" s="47"/>
      <c r="Y2036" s="47"/>
      <c r="Z2036" s="47">
        <f t="shared" si="416"/>
        <v>4620</v>
      </c>
      <c r="AA2036" s="47"/>
      <c r="AB2036" s="47"/>
      <c r="AC2036" s="47"/>
      <c r="AD2036" s="47"/>
      <c r="AE2036" s="47"/>
      <c r="AF2036" s="47"/>
      <c r="AG2036" s="47"/>
      <c r="AH2036" s="47" t="str">
        <f>IFERROR(_xlfn.XLOOKUP(Table6[[#This Row],[Suburb]],Table5[Travel Surcharge],Table5[$$]),"")</f>
        <v/>
      </c>
      <c r="AI2036" s="47"/>
      <c r="AJ2036" s="47"/>
    </row>
    <row r="2037" spans="1:36">
      <c r="A2037" s="374" t="s">
        <v>3303</v>
      </c>
      <c r="B2037" s="374">
        <v>20</v>
      </c>
      <c r="C2037" s="374" t="s">
        <v>428</v>
      </c>
      <c r="D2037" s="375" t="str">
        <f t="shared" si="415"/>
        <v>Highgrove Estate20</v>
      </c>
      <c r="E2037" s="375" t="s">
        <v>3310</v>
      </c>
      <c r="F2037" s="375" t="s">
        <v>1781</v>
      </c>
      <c r="G2037" s="375" t="s">
        <v>3305</v>
      </c>
      <c r="H2037" s="375" t="s">
        <v>3306</v>
      </c>
      <c r="I2037" s="63" t="s">
        <v>1783</v>
      </c>
      <c r="J2037" s="47"/>
      <c r="K2037" s="46" t="s">
        <v>10735</v>
      </c>
      <c r="L2037" s="47"/>
      <c r="M2037" s="47"/>
      <c r="N2037" s="47"/>
      <c r="O2037" s="47"/>
      <c r="P2037" s="47"/>
      <c r="Q2037" s="47"/>
      <c r="R2037" s="47"/>
      <c r="S2037" s="47"/>
      <c r="T2037" s="47"/>
      <c r="U2037" s="47">
        <f>U$2</f>
        <v>430</v>
      </c>
      <c r="V2037" s="47"/>
      <c r="W2037" s="47"/>
      <c r="X2037" s="47"/>
      <c r="Y2037" s="47"/>
      <c r="Z2037" s="47">
        <f t="shared" si="416"/>
        <v>4620</v>
      </c>
      <c r="AA2037" s="47"/>
      <c r="AB2037" s="47"/>
      <c r="AC2037" s="47"/>
      <c r="AD2037" s="47"/>
      <c r="AE2037" s="47"/>
      <c r="AF2037" s="47"/>
      <c r="AG2037" s="47"/>
      <c r="AH2037" s="47" t="str">
        <f>IFERROR(_xlfn.XLOOKUP(Table6[[#This Row],[Suburb]],Table5[Travel Surcharge],Table5[$$]),"")</f>
        <v/>
      </c>
      <c r="AI2037" s="47"/>
      <c r="AJ2037" s="47"/>
    </row>
    <row r="2038" spans="1:36">
      <c r="A2038" s="374" t="s">
        <v>3311</v>
      </c>
      <c r="B2038" s="374">
        <v>170</v>
      </c>
      <c r="C2038" s="374" t="s">
        <v>1075</v>
      </c>
      <c r="D2038" s="375" t="str">
        <f t="shared" si="415"/>
        <v>Highlands Estate170</v>
      </c>
      <c r="E2038" s="375" t="s">
        <v>3312</v>
      </c>
      <c r="F2038" s="375" t="s">
        <v>650</v>
      </c>
      <c r="G2038" s="375" t="s">
        <v>3313</v>
      </c>
      <c r="H2038" s="375" t="s">
        <v>3314</v>
      </c>
      <c r="I2038" s="63" t="s">
        <v>3315</v>
      </c>
      <c r="J2038" s="47">
        <f>J$7</f>
        <v>3740</v>
      </c>
      <c r="K2038" s="46" t="s">
        <v>10735</v>
      </c>
      <c r="L2038" s="47"/>
      <c r="M2038" s="47">
        <f>M$7</f>
        <v>1430.0000000000002</v>
      </c>
      <c r="N2038" s="47"/>
      <c r="O2038" s="47" t="s">
        <v>3316</v>
      </c>
      <c r="P2038" s="47"/>
      <c r="Q2038" s="47"/>
      <c r="R2038" s="47"/>
      <c r="S2038" s="47" t="s">
        <v>463</v>
      </c>
      <c r="T2038" s="47"/>
      <c r="U2038" s="47"/>
      <c r="V2038" s="47"/>
      <c r="W2038" s="47" t="s">
        <v>3317</v>
      </c>
      <c r="X2038" s="47"/>
      <c r="Y2038" s="47"/>
      <c r="Z2038" s="47">
        <f t="shared" si="416"/>
        <v>4620</v>
      </c>
      <c r="AA2038" s="47"/>
      <c r="AB2038" s="47" t="s">
        <v>3318</v>
      </c>
      <c r="AC2038" s="47"/>
      <c r="AD2038" s="47"/>
      <c r="AE2038" s="47">
        <f>AE$7</f>
        <v>5000</v>
      </c>
      <c r="AF2038" s="47"/>
      <c r="AG2038" s="47"/>
      <c r="AH2038" s="47" t="str">
        <f>IFERROR(_xlfn.XLOOKUP(Table6[[#This Row],[Suburb]],Table5[Travel Surcharge],Table5[$$]),"")</f>
        <v/>
      </c>
      <c r="AI2038" s="47"/>
      <c r="AJ2038" s="47"/>
    </row>
    <row r="2039" spans="1:36">
      <c r="A2039" s="374" t="s">
        <v>3311</v>
      </c>
      <c r="B2039" s="374">
        <v>177</v>
      </c>
      <c r="C2039" s="374" t="s">
        <v>1075</v>
      </c>
      <c r="D2039" s="375" t="str">
        <f t="shared" ref="D2039:D2070" si="421">CONCATENATE(A2039,B2039)</f>
        <v>Highlands Estate177</v>
      </c>
      <c r="E2039" s="375" t="s">
        <v>3319</v>
      </c>
      <c r="F2039" s="375" t="s">
        <v>650</v>
      </c>
      <c r="G2039" s="375" t="s">
        <v>3313</v>
      </c>
      <c r="H2039" s="375" t="s">
        <v>3314</v>
      </c>
      <c r="I2039" s="63" t="s">
        <v>3315</v>
      </c>
      <c r="J2039" s="47">
        <f t="shared" ref="J2039:J2070" si="422">J$7</f>
        <v>3740</v>
      </c>
      <c r="K2039" s="46" t="s">
        <v>10735</v>
      </c>
      <c r="L2039" s="47"/>
      <c r="M2039" s="47">
        <f t="shared" ref="M2039:M2070" si="423">M$7</f>
        <v>1430.0000000000002</v>
      </c>
      <c r="N2039" s="47"/>
      <c r="O2039" s="47" t="s">
        <v>3316</v>
      </c>
      <c r="P2039" s="47"/>
      <c r="Q2039" s="47"/>
      <c r="R2039" s="47"/>
      <c r="S2039" s="47" t="s">
        <v>463</v>
      </c>
      <c r="T2039" s="47"/>
      <c r="U2039" s="47"/>
      <c r="V2039" s="47"/>
      <c r="W2039" s="47" t="s">
        <v>3317</v>
      </c>
      <c r="X2039" s="47"/>
      <c r="Y2039" s="47"/>
      <c r="Z2039" s="47">
        <f t="shared" ref="Z2039:Z2070" si="424">Z$7</f>
        <v>4620</v>
      </c>
      <c r="AA2039" s="47"/>
      <c r="AB2039" s="47" t="s">
        <v>3318</v>
      </c>
      <c r="AC2039" s="47"/>
      <c r="AD2039" s="47"/>
      <c r="AE2039" s="47">
        <f t="shared" ref="AE2039:AE2070" si="425">AE$7</f>
        <v>5000</v>
      </c>
      <c r="AF2039" s="47"/>
      <c r="AG2039" s="47"/>
      <c r="AH2039" s="47" t="str">
        <f>IFERROR(_xlfn.XLOOKUP(Table6[[#This Row],[Suburb]],Table5[Travel Surcharge],Table5[$$]),"")</f>
        <v/>
      </c>
      <c r="AI2039" s="47"/>
      <c r="AJ2039" s="47"/>
    </row>
    <row r="2040" spans="1:36">
      <c r="A2040" s="374" t="s">
        <v>3311</v>
      </c>
      <c r="B2040" s="374">
        <v>204</v>
      </c>
      <c r="C2040" s="374" t="s">
        <v>1075</v>
      </c>
      <c r="D2040" s="375" t="str">
        <f t="shared" si="421"/>
        <v>Highlands Estate204</v>
      </c>
      <c r="E2040" s="375" t="s">
        <v>3320</v>
      </c>
      <c r="F2040" s="375" t="s">
        <v>650</v>
      </c>
      <c r="G2040" s="375" t="s">
        <v>3313</v>
      </c>
      <c r="H2040" s="375" t="s">
        <v>3314</v>
      </c>
      <c r="I2040" s="63" t="s">
        <v>3315</v>
      </c>
      <c r="J2040" s="47">
        <f t="shared" si="422"/>
        <v>3740</v>
      </c>
      <c r="K2040" s="46" t="s">
        <v>10735</v>
      </c>
      <c r="L2040" s="47"/>
      <c r="M2040" s="47">
        <f t="shared" si="423"/>
        <v>1430.0000000000002</v>
      </c>
      <c r="N2040" s="47"/>
      <c r="O2040" s="47" t="s">
        <v>3316</v>
      </c>
      <c r="P2040" s="47"/>
      <c r="Q2040" s="47"/>
      <c r="R2040" s="47"/>
      <c r="S2040" s="47" t="s">
        <v>463</v>
      </c>
      <c r="T2040" s="47"/>
      <c r="U2040" s="47"/>
      <c r="V2040" s="47"/>
      <c r="W2040" s="47" t="s">
        <v>3317</v>
      </c>
      <c r="X2040" s="47"/>
      <c r="Y2040" s="47"/>
      <c r="Z2040" s="47">
        <f t="shared" si="424"/>
        <v>4620</v>
      </c>
      <c r="AA2040" s="47"/>
      <c r="AB2040" s="47"/>
      <c r="AC2040" s="47"/>
      <c r="AD2040" s="47"/>
      <c r="AE2040" s="47">
        <f t="shared" si="425"/>
        <v>5000</v>
      </c>
      <c r="AF2040" s="47"/>
      <c r="AG2040" s="47"/>
      <c r="AH2040" s="47" t="str">
        <f>IFERROR(_xlfn.XLOOKUP(Table6[[#This Row],[Suburb]],Table5[Travel Surcharge],Table5[$$]),"")</f>
        <v/>
      </c>
      <c r="AI2040" s="47"/>
      <c r="AJ2040" s="47"/>
    </row>
    <row r="2041" spans="1:36">
      <c r="A2041" s="374" t="s">
        <v>3311</v>
      </c>
      <c r="B2041" s="374">
        <v>211</v>
      </c>
      <c r="C2041" s="374" t="s">
        <v>1075</v>
      </c>
      <c r="D2041" s="375" t="str">
        <f t="shared" si="421"/>
        <v>Highlands Estate211</v>
      </c>
      <c r="E2041" s="375" t="s">
        <v>3321</v>
      </c>
      <c r="F2041" s="375" t="s">
        <v>650</v>
      </c>
      <c r="G2041" s="375" t="s">
        <v>3313</v>
      </c>
      <c r="H2041" s="375" t="s">
        <v>3314</v>
      </c>
      <c r="I2041" s="63" t="s">
        <v>3315</v>
      </c>
      <c r="J2041" s="47">
        <f t="shared" si="422"/>
        <v>3740</v>
      </c>
      <c r="K2041" s="46" t="s">
        <v>10735</v>
      </c>
      <c r="L2041" s="47"/>
      <c r="M2041" s="47">
        <f t="shared" si="423"/>
        <v>1430.0000000000002</v>
      </c>
      <c r="N2041" s="47"/>
      <c r="O2041" s="47" t="s">
        <v>3316</v>
      </c>
      <c r="P2041" s="47"/>
      <c r="Q2041" s="47"/>
      <c r="R2041" s="47"/>
      <c r="S2041" s="47" t="s">
        <v>463</v>
      </c>
      <c r="T2041" s="47"/>
      <c r="U2041" s="47"/>
      <c r="V2041" s="47"/>
      <c r="W2041" s="47" t="s">
        <v>3317</v>
      </c>
      <c r="X2041" s="47"/>
      <c r="Y2041" s="47"/>
      <c r="Z2041" s="47">
        <f t="shared" si="424"/>
        <v>4620</v>
      </c>
      <c r="AA2041" s="47"/>
      <c r="AB2041" s="47"/>
      <c r="AC2041" s="47"/>
      <c r="AD2041" s="47"/>
      <c r="AE2041" s="47">
        <f t="shared" si="425"/>
        <v>5000</v>
      </c>
      <c r="AF2041" s="47"/>
      <c r="AG2041" s="47"/>
      <c r="AH2041" s="47" t="str">
        <f>IFERROR(_xlfn.XLOOKUP(Table6[[#This Row],[Suburb]],Table5[Travel Surcharge],Table5[$$]),"")</f>
        <v/>
      </c>
      <c r="AI2041" s="47"/>
      <c r="AJ2041" s="47"/>
    </row>
    <row r="2042" spans="1:36">
      <c r="A2042" s="374" t="s">
        <v>3311</v>
      </c>
      <c r="B2042" s="374">
        <v>216</v>
      </c>
      <c r="C2042" s="374" t="s">
        <v>1075</v>
      </c>
      <c r="D2042" s="375" t="str">
        <f t="shared" si="421"/>
        <v>Highlands Estate216</v>
      </c>
      <c r="E2042" s="375" t="s">
        <v>3322</v>
      </c>
      <c r="F2042" s="375" t="s">
        <v>650</v>
      </c>
      <c r="G2042" s="375" t="s">
        <v>3313</v>
      </c>
      <c r="H2042" s="375" t="s">
        <v>3314</v>
      </c>
      <c r="I2042" s="63" t="s">
        <v>3315</v>
      </c>
      <c r="J2042" s="47">
        <f t="shared" si="422"/>
        <v>3740</v>
      </c>
      <c r="K2042" s="46" t="s">
        <v>10735</v>
      </c>
      <c r="L2042" s="47"/>
      <c r="M2042" s="47">
        <f t="shared" si="423"/>
        <v>1430.0000000000002</v>
      </c>
      <c r="N2042" s="47"/>
      <c r="O2042" s="47" t="s">
        <v>3316</v>
      </c>
      <c r="P2042" s="47"/>
      <c r="Q2042" s="47"/>
      <c r="R2042" s="47"/>
      <c r="S2042" s="47" t="s">
        <v>463</v>
      </c>
      <c r="T2042" s="47"/>
      <c r="U2042" s="47"/>
      <c r="V2042" s="47"/>
      <c r="W2042" s="47" t="s">
        <v>3317</v>
      </c>
      <c r="X2042" s="47"/>
      <c r="Y2042" s="47"/>
      <c r="Z2042" s="47">
        <f t="shared" si="424"/>
        <v>4620</v>
      </c>
      <c r="AA2042" s="47"/>
      <c r="AB2042" s="47"/>
      <c r="AC2042" s="47"/>
      <c r="AD2042" s="47"/>
      <c r="AE2042" s="47">
        <f t="shared" si="425"/>
        <v>5000</v>
      </c>
      <c r="AF2042" s="47"/>
      <c r="AG2042" s="47"/>
      <c r="AH2042" s="47" t="str">
        <f>IFERROR(_xlfn.XLOOKUP(Table6[[#This Row],[Suburb]],Table5[Travel Surcharge],Table5[$$]),"")</f>
        <v/>
      </c>
      <c r="AI2042" s="47"/>
      <c r="AJ2042" s="47"/>
    </row>
    <row r="2043" spans="1:36">
      <c r="A2043" s="374" t="s">
        <v>3311</v>
      </c>
      <c r="B2043" s="374">
        <v>218</v>
      </c>
      <c r="C2043" s="374" t="s">
        <v>1075</v>
      </c>
      <c r="D2043" s="375" t="str">
        <f t="shared" si="421"/>
        <v>Highlands Estate218</v>
      </c>
      <c r="E2043" s="375" t="s">
        <v>3323</v>
      </c>
      <c r="F2043" s="375" t="s">
        <v>650</v>
      </c>
      <c r="G2043" s="375" t="s">
        <v>3313</v>
      </c>
      <c r="H2043" s="375" t="s">
        <v>3314</v>
      </c>
      <c r="I2043" s="63" t="s">
        <v>3315</v>
      </c>
      <c r="J2043" s="47">
        <f t="shared" si="422"/>
        <v>3740</v>
      </c>
      <c r="K2043" s="46" t="s">
        <v>10735</v>
      </c>
      <c r="L2043" s="47"/>
      <c r="M2043" s="47">
        <f t="shared" si="423"/>
        <v>1430.0000000000002</v>
      </c>
      <c r="N2043" s="47"/>
      <c r="O2043" s="47" t="s">
        <v>3316</v>
      </c>
      <c r="P2043" s="47"/>
      <c r="Q2043" s="47"/>
      <c r="R2043" s="47"/>
      <c r="S2043" s="47" t="s">
        <v>463</v>
      </c>
      <c r="T2043" s="47"/>
      <c r="U2043" s="47"/>
      <c r="V2043" s="47"/>
      <c r="W2043" s="47" t="s">
        <v>3317</v>
      </c>
      <c r="X2043" s="47"/>
      <c r="Y2043" s="47"/>
      <c r="Z2043" s="47">
        <f t="shared" si="424"/>
        <v>4620</v>
      </c>
      <c r="AA2043" s="47"/>
      <c r="AB2043" s="47"/>
      <c r="AC2043" s="47"/>
      <c r="AD2043" s="47"/>
      <c r="AE2043" s="47">
        <f t="shared" si="425"/>
        <v>5000</v>
      </c>
      <c r="AF2043" s="47"/>
      <c r="AG2043" s="47"/>
      <c r="AH2043" s="47" t="str">
        <f>IFERROR(_xlfn.XLOOKUP(Table6[[#This Row],[Suburb]],Table5[Travel Surcharge],Table5[$$]),"")</f>
        <v/>
      </c>
      <c r="AI2043" s="47"/>
      <c r="AJ2043" s="47"/>
    </row>
    <row r="2044" spans="1:36">
      <c r="A2044" s="374" t="s">
        <v>3311</v>
      </c>
      <c r="B2044" s="374">
        <v>221</v>
      </c>
      <c r="C2044" s="374" t="s">
        <v>1075</v>
      </c>
      <c r="D2044" s="375" t="str">
        <f t="shared" si="421"/>
        <v>Highlands Estate221</v>
      </c>
      <c r="E2044" s="375" t="s">
        <v>3324</v>
      </c>
      <c r="F2044" s="375" t="s">
        <v>650</v>
      </c>
      <c r="G2044" s="375" t="s">
        <v>3313</v>
      </c>
      <c r="H2044" s="375" t="s">
        <v>3314</v>
      </c>
      <c r="I2044" s="63" t="s">
        <v>3315</v>
      </c>
      <c r="J2044" s="47">
        <f t="shared" si="422"/>
        <v>3740</v>
      </c>
      <c r="K2044" s="46" t="s">
        <v>10735</v>
      </c>
      <c r="L2044" s="47"/>
      <c r="M2044" s="47">
        <f t="shared" si="423"/>
        <v>1430.0000000000002</v>
      </c>
      <c r="N2044" s="47"/>
      <c r="O2044" s="47" t="s">
        <v>3316</v>
      </c>
      <c r="P2044" s="47"/>
      <c r="Q2044" s="47"/>
      <c r="R2044" s="47"/>
      <c r="S2044" s="47" t="s">
        <v>463</v>
      </c>
      <c r="T2044" s="47"/>
      <c r="U2044" s="47"/>
      <c r="V2044" s="47"/>
      <c r="W2044" s="47" t="s">
        <v>3317</v>
      </c>
      <c r="X2044" s="47"/>
      <c r="Y2044" s="47"/>
      <c r="Z2044" s="47">
        <f t="shared" si="424"/>
        <v>4620</v>
      </c>
      <c r="AA2044" s="47"/>
      <c r="AB2044" s="47"/>
      <c r="AC2044" s="47"/>
      <c r="AD2044" s="47"/>
      <c r="AE2044" s="47">
        <f t="shared" si="425"/>
        <v>5000</v>
      </c>
      <c r="AF2044" s="47"/>
      <c r="AG2044" s="47"/>
      <c r="AH2044" s="47" t="str">
        <f>IFERROR(_xlfn.XLOOKUP(Table6[[#This Row],[Suburb]],Table5[Travel Surcharge],Table5[$$]),"")</f>
        <v/>
      </c>
      <c r="AI2044" s="47"/>
      <c r="AJ2044" s="47"/>
    </row>
    <row r="2045" spans="1:36">
      <c r="A2045" s="374" t="s">
        <v>3311</v>
      </c>
      <c r="B2045" s="374">
        <v>223</v>
      </c>
      <c r="C2045" s="374" t="s">
        <v>1075</v>
      </c>
      <c r="D2045" s="375" t="str">
        <f t="shared" si="421"/>
        <v>Highlands Estate223</v>
      </c>
      <c r="E2045" s="375" t="s">
        <v>3325</v>
      </c>
      <c r="F2045" s="375" t="s">
        <v>650</v>
      </c>
      <c r="G2045" s="375" t="s">
        <v>3313</v>
      </c>
      <c r="H2045" s="375" t="s">
        <v>3314</v>
      </c>
      <c r="I2045" s="63" t="s">
        <v>3315</v>
      </c>
      <c r="J2045" s="47">
        <f t="shared" si="422"/>
        <v>3740</v>
      </c>
      <c r="K2045" s="46" t="s">
        <v>10735</v>
      </c>
      <c r="L2045" s="47"/>
      <c r="M2045" s="47">
        <f t="shared" si="423"/>
        <v>1430.0000000000002</v>
      </c>
      <c r="N2045" s="47"/>
      <c r="O2045" s="47" t="s">
        <v>3316</v>
      </c>
      <c r="P2045" s="47"/>
      <c r="Q2045" s="47"/>
      <c r="R2045" s="47"/>
      <c r="S2045" s="47" t="s">
        <v>463</v>
      </c>
      <c r="T2045" s="47"/>
      <c r="U2045" s="47"/>
      <c r="V2045" s="47"/>
      <c r="W2045" s="47" t="s">
        <v>3317</v>
      </c>
      <c r="X2045" s="47"/>
      <c r="Y2045" s="47"/>
      <c r="Z2045" s="47">
        <f t="shared" si="424"/>
        <v>4620</v>
      </c>
      <c r="AA2045" s="47"/>
      <c r="AB2045" s="47"/>
      <c r="AC2045" s="47"/>
      <c r="AD2045" s="47"/>
      <c r="AE2045" s="47">
        <f t="shared" si="425"/>
        <v>5000</v>
      </c>
      <c r="AF2045" s="47"/>
      <c r="AG2045" s="47"/>
      <c r="AH2045" s="47" t="str">
        <f>IFERROR(_xlfn.XLOOKUP(Table6[[#This Row],[Suburb]],Table5[Travel Surcharge],Table5[$$]),"")</f>
        <v/>
      </c>
      <c r="AI2045" s="47"/>
      <c r="AJ2045" s="47"/>
    </row>
    <row r="2046" spans="1:36">
      <c r="A2046" s="374" t="s">
        <v>3311</v>
      </c>
      <c r="B2046" s="374">
        <v>224</v>
      </c>
      <c r="C2046" s="374" t="s">
        <v>1075</v>
      </c>
      <c r="D2046" s="375" t="str">
        <f t="shared" si="421"/>
        <v>Highlands Estate224</v>
      </c>
      <c r="E2046" s="375" t="s">
        <v>3326</v>
      </c>
      <c r="F2046" s="375" t="s">
        <v>650</v>
      </c>
      <c r="G2046" s="375" t="s">
        <v>3313</v>
      </c>
      <c r="H2046" s="375" t="s">
        <v>3314</v>
      </c>
      <c r="I2046" s="63" t="s">
        <v>3315</v>
      </c>
      <c r="J2046" s="47">
        <f t="shared" si="422"/>
        <v>3740</v>
      </c>
      <c r="K2046" s="46" t="s">
        <v>10735</v>
      </c>
      <c r="L2046" s="47"/>
      <c r="M2046" s="47">
        <f t="shared" si="423"/>
        <v>1430.0000000000002</v>
      </c>
      <c r="N2046" s="47"/>
      <c r="O2046" s="47" t="s">
        <v>3316</v>
      </c>
      <c r="P2046" s="47"/>
      <c r="Q2046" s="47"/>
      <c r="R2046" s="47"/>
      <c r="S2046" s="47" t="s">
        <v>463</v>
      </c>
      <c r="T2046" s="47"/>
      <c r="U2046" s="47"/>
      <c r="V2046" s="47"/>
      <c r="W2046" s="47" t="s">
        <v>3317</v>
      </c>
      <c r="X2046" s="47"/>
      <c r="Y2046" s="47"/>
      <c r="Z2046" s="47">
        <f t="shared" si="424"/>
        <v>4620</v>
      </c>
      <c r="AA2046" s="47"/>
      <c r="AB2046" s="47"/>
      <c r="AC2046" s="47"/>
      <c r="AD2046" s="47"/>
      <c r="AE2046" s="47">
        <f t="shared" si="425"/>
        <v>5000</v>
      </c>
      <c r="AF2046" s="47"/>
      <c r="AG2046" s="47"/>
      <c r="AH2046" s="47" t="str">
        <f>IFERROR(_xlfn.XLOOKUP(Table6[[#This Row],[Suburb]],Table5[Travel Surcharge],Table5[$$]),"")</f>
        <v/>
      </c>
      <c r="AI2046" s="47"/>
      <c r="AJ2046" s="47"/>
    </row>
    <row r="2047" spans="1:36">
      <c r="A2047" s="374" t="s">
        <v>3311</v>
      </c>
      <c r="B2047" s="374">
        <v>225</v>
      </c>
      <c r="C2047" s="374" t="s">
        <v>1075</v>
      </c>
      <c r="D2047" s="375" t="str">
        <f t="shared" si="421"/>
        <v>Highlands Estate225</v>
      </c>
      <c r="E2047" s="375" t="s">
        <v>3327</v>
      </c>
      <c r="F2047" s="375" t="s">
        <v>650</v>
      </c>
      <c r="G2047" s="375" t="s">
        <v>3313</v>
      </c>
      <c r="H2047" s="375" t="s">
        <v>3314</v>
      </c>
      <c r="I2047" s="63" t="s">
        <v>3315</v>
      </c>
      <c r="J2047" s="47">
        <f t="shared" si="422"/>
        <v>3740</v>
      </c>
      <c r="K2047" s="46" t="s">
        <v>10735</v>
      </c>
      <c r="L2047" s="47"/>
      <c r="M2047" s="47">
        <f t="shared" si="423"/>
        <v>1430.0000000000002</v>
      </c>
      <c r="N2047" s="47"/>
      <c r="O2047" s="47" t="s">
        <v>3316</v>
      </c>
      <c r="P2047" s="47"/>
      <c r="Q2047" s="47"/>
      <c r="R2047" s="47"/>
      <c r="S2047" s="47" t="s">
        <v>463</v>
      </c>
      <c r="T2047" s="47"/>
      <c r="U2047" s="47"/>
      <c r="V2047" s="47"/>
      <c r="W2047" s="47" t="s">
        <v>3317</v>
      </c>
      <c r="X2047" s="47"/>
      <c r="Y2047" s="47"/>
      <c r="Z2047" s="47">
        <f t="shared" si="424"/>
        <v>4620</v>
      </c>
      <c r="AA2047" s="47"/>
      <c r="AB2047" s="47"/>
      <c r="AC2047" s="47"/>
      <c r="AD2047" s="47"/>
      <c r="AE2047" s="47">
        <f t="shared" si="425"/>
        <v>5000</v>
      </c>
      <c r="AF2047" s="47"/>
      <c r="AG2047" s="47"/>
      <c r="AH2047" s="47" t="str">
        <f>IFERROR(_xlfn.XLOOKUP(Table6[[#This Row],[Suburb]],Table5[Travel Surcharge],Table5[$$]),"")</f>
        <v/>
      </c>
      <c r="AI2047" s="47"/>
      <c r="AJ2047" s="47"/>
    </row>
    <row r="2048" spans="1:36">
      <c r="A2048" s="374" t="s">
        <v>3311</v>
      </c>
      <c r="B2048" s="374">
        <v>228</v>
      </c>
      <c r="C2048" s="374" t="s">
        <v>1075</v>
      </c>
      <c r="D2048" s="375" t="str">
        <f t="shared" si="421"/>
        <v>Highlands Estate228</v>
      </c>
      <c r="E2048" s="375" t="s">
        <v>3328</v>
      </c>
      <c r="F2048" s="375" t="s">
        <v>650</v>
      </c>
      <c r="G2048" s="375" t="s">
        <v>3313</v>
      </c>
      <c r="H2048" s="375" t="s">
        <v>3314</v>
      </c>
      <c r="I2048" s="63" t="s">
        <v>3315</v>
      </c>
      <c r="J2048" s="47">
        <f t="shared" si="422"/>
        <v>3740</v>
      </c>
      <c r="K2048" s="46" t="s">
        <v>10735</v>
      </c>
      <c r="L2048" s="47"/>
      <c r="M2048" s="47">
        <f t="shared" si="423"/>
        <v>1430.0000000000002</v>
      </c>
      <c r="N2048" s="47"/>
      <c r="O2048" s="47" t="s">
        <v>3316</v>
      </c>
      <c r="P2048" s="47"/>
      <c r="Q2048" s="47"/>
      <c r="R2048" s="47"/>
      <c r="S2048" s="47" t="s">
        <v>463</v>
      </c>
      <c r="T2048" s="47"/>
      <c r="U2048" s="47"/>
      <c r="V2048" s="47"/>
      <c r="W2048" s="47" t="s">
        <v>3317</v>
      </c>
      <c r="X2048" s="47"/>
      <c r="Y2048" s="47"/>
      <c r="Z2048" s="47">
        <f t="shared" si="424"/>
        <v>4620</v>
      </c>
      <c r="AA2048" s="47"/>
      <c r="AB2048" s="47"/>
      <c r="AC2048" s="47"/>
      <c r="AD2048" s="47"/>
      <c r="AE2048" s="47">
        <f t="shared" si="425"/>
        <v>5000</v>
      </c>
      <c r="AF2048" s="47"/>
      <c r="AG2048" s="47"/>
      <c r="AH2048" s="47" t="str">
        <f>IFERROR(_xlfn.XLOOKUP(Table6[[#This Row],[Suburb]],Table5[Travel Surcharge],Table5[$$]),"")</f>
        <v/>
      </c>
      <c r="AI2048" s="47"/>
      <c r="AJ2048" s="47"/>
    </row>
    <row r="2049" spans="1:36">
      <c r="A2049" s="374" t="s">
        <v>3311</v>
      </c>
      <c r="B2049" s="374">
        <v>243</v>
      </c>
      <c r="C2049" s="374" t="s">
        <v>1075</v>
      </c>
      <c r="D2049" s="375" t="str">
        <f t="shared" si="421"/>
        <v>Highlands Estate243</v>
      </c>
      <c r="E2049" s="375" t="s">
        <v>3329</v>
      </c>
      <c r="F2049" s="375" t="s">
        <v>650</v>
      </c>
      <c r="G2049" s="375" t="s">
        <v>3313</v>
      </c>
      <c r="H2049" s="375" t="s">
        <v>3314</v>
      </c>
      <c r="I2049" s="63" t="s">
        <v>3315</v>
      </c>
      <c r="J2049" s="47">
        <f t="shared" si="422"/>
        <v>3740</v>
      </c>
      <c r="K2049" s="46" t="s">
        <v>10735</v>
      </c>
      <c r="L2049" s="47"/>
      <c r="M2049" s="47">
        <f t="shared" si="423"/>
        <v>1430.0000000000002</v>
      </c>
      <c r="N2049" s="47"/>
      <c r="O2049" s="47" t="s">
        <v>3316</v>
      </c>
      <c r="P2049" s="47"/>
      <c r="Q2049" s="47"/>
      <c r="R2049" s="47"/>
      <c r="S2049" s="47" t="s">
        <v>463</v>
      </c>
      <c r="T2049" s="47"/>
      <c r="U2049" s="47"/>
      <c r="V2049" s="47"/>
      <c r="W2049" s="47" t="s">
        <v>3317</v>
      </c>
      <c r="X2049" s="47"/>
      <c r="Y2049" s="47"/>
      <c r="Z2049" s="47">
        <f t="shared" si="424"/>
        <v>4620</v>
      </c>
      <c r="AA2049" s="47"/>
      <c r="AB2049" s="47"/>
      <c r="AC2049" s="47"/>
      <c r="AD2049" s="47"/>
      <c r="AE2049" s="47">
        <f t="shared" si="425"/>
        <v>5000</v>
      </c>
      <c r="AF2049" s="47"/>
      <c r="AG2049" s="47"/>
      <c r="AH2049" s="47" t="str">
        <f>IFERROR(_xlfn.XLOOKUP(Table6[[#This Row],[Suburb]],Table5[Travel Surcharge],Table5[$$]),"")</f>
        <v/>
      </c>
      <c r="AI2049" s="47"/>
      <c r="AJ2049" s="47"/>
    </row>
    <row r="2050" spans="1:36">
      <c r="A2050" s="374" t="s">
        <v>3311</v>
      </c>
      <c r="B2050" s="374">
        <v>244</v>
      </c>
      <c r="C2050" s="374" t="s">
        <v>1075</v>
      </c>
      <c r="D2050" s="375" t="str">
        <f t="shared" si="421"/>
        <v>Highlands Estate244</v>
      </c>
      <c r="E2050" s="375" t="s">
        <v>3330</v>
      </c>
      <c r="F2050" s="375" t="s">
        <v>650</v>
      </c>
      <c r="G2050" s="375" t="s">
        <v>3313</v>
      </c>
      <c r="H2050" s="375" t="s">
        <v>3314</v>
      </c>
      <c r="I2050" s="63" t="s">
        <v>3315</v>
      </c>
      <c r="J2050" s="47">
        <f t="shared" si="422"/>
        <v>3740</v>
      </c>
      <c r="K2050" s="46" t="s">
        <v>10735</v>
      </c>
      <c r="L2050" s="47"/>
      <c r="M2050" s="47">
        <f t="shared" si="423"/>
        <v>1430.0000000000002</v>
      </c>
      <c r="N2050" s="47"/>
      <c r="O2050" s="47" t="s">
        <v>3316</v>
      </c>
      <c r="P2050" s="47"/>
      <c r="Q2050" s="47"/>
      <c r="R2050" s="47"/>
      <c r="S2050" s="47" t="s">
        <v>463</v>
      </c>
      <c r="T2050" s="47"/>
      <c r="U2050" s="47"/>
      <c r="V2050" s="47"/>
      <c r="W2050" s="47" t="s">
        <v>3317</v>
      </c>
      <c r="X2050" s="47"/>
      <c r="Y2050" s="47"/>
      <c r="Z2050" s="47">
        <f t="shared" si="424"/>
        <v>4620</v>
      </c>
      <c r="AA2050" s="47"/>
      <c r="AB2050" s="47"/>
      <c r="AC2050" s="47"/>
      <c r="AD2050" s="47"/>
      <c r="AE2050" s="47">
        <f t="shared" si="425"/>
        <v>5000</v>
      </c>
      <c r="AF2050" s="47"/>
      <c r="AG2050" s="47"/>
      <c r="AH2050" s="47" t="str">
        <f>IFERROR(_xlfn.XLOOKUP(Table6[[#This Row],[Suburb]],Table5[Travel Surcharge],Table5[$$]),"")</f>
        <v/>
      </c>
      <c r="AI2050" s="47"/>
      <c r="AJ2050" s="47"/>
    </row>
    <row r="2051" spans="1:36">
      <c r="A2051" s="374" t="s">
        <v>3311</v>
      </c>
      <c r="B2051" s="374">
        <v>246</v>
      </c>
      <c r="C2051" s="374" t="s">
        <v>1075</v>
      </c>
      <c r="D2051" s="375" t="str">
        <f t="shared" si="421"/>
        <v>Highlands Estate246</v>
      </c>
      <c r="E2051" s="375" t="s">
        <v>3331</v>
      </c>
      <c r="F2051" s="375" t="s">
        <v>650</v>
      </c>
      <c r="G2051" s="375" t="s">
        <v>3313</v>
      </c>
      <c r="H2051" s="375" t="s">
        <v>3314</v>
      </c>
      <c r="I2051" s="63" t="s">
        <v>3315</v>
      </c>
      <c r="J2051" s="47">
        <f t="shared" si="422"/>
        <v>3740</v>
      </c>
      <c r="K2051" s="46" t="s">
        <v>10735</v>
      </c>
      <c r="L2051" s="47"/>
      <c r="M2051" s="47">
        <f t="shared" si="423"/>
        <v>1430.0000000000002</v>
      </c>
      <c r="N2051" s="47" t="s">
        <v>3332</v>
      </c>
      <c r="O2051" s="47" t="s">
        <v>3316</v>
      </c>
      <c r="P2051" s="47"/>
      <c r="Q2051" s="47"/>
      <c r="R2051" s="47"/>
      <c r="S2051" s="47" t="s">
        <v>463</v>
      </c>
      <c r="T2051" s="47"/>
      <c r="U2051" s="47"/>
      <c r="V2051" s="47"/>
      <c r="W2051" s="47" t="s">
        <v>3317</v>
      </c>
      <c r="X2051" s="47"/>
      <c r="Y2051" s="47"/>
      <c r="Z2051" s="47">
        <f t="shared" si="424"/>
        <v>4620</v>
      </c>
      <c r="AA2051" s="47"/>
      <c r="AB2051" s="47"/>
      <c r="AC2051" s="47"/>
      <c r="AD2051" s="47"/>
      <c r="AE2051" s="47">
        <f t="shared" si="425"/>
        <v>5000</v>
      </c>
      <c r="AF2051" s="47"/>
      <c r="AG2051" s="47"/>
      <c r="AH2051" s="47" t="str">
        <f>IFERROR(_xlfn.XLOOKUP(Table6[[#This Row],[Suburb]],Table5[Travel Surcharge],Table5[$$]),"")</f>
        <v/>
      </c>
      <c r="AI2051" s="47"/>
      <c r="AJ2051" s="47"/>
    </row>
    <row r="2052" spans="1:36">
      <c r="A2052" s="374" t="s">
        <v>3311</v>
      </c>
      <c r="B2052" s="374">
        <v>253</v>
      </c>
      <c r="C2052" s="374" t="s">
        <v>1075</v>
      </c>
      <c r="D2052" s="375" t="str">
        <f t="shared" si="421"/>
        <v>Highlands Estate253</v>
      </c>
      <c r="E2052" s="375" t="s">
        <v>3333</v>
      </c>
      <c r="F2052" s="375" t="s">
        <v>650</v>
      </c>
      <c r="G2052" s="375" t="s">
        <v>3313</v>
      </c>
      <c r="H2052" s="375" t="s">
        <v>3314</v>
      </c>
      <c r="I2052" s="63" t="s">
        <v>3315</v>
      </c>
      <c r="J2052" s="47">
        <f t="shared" si="422"/>
        <v>3740</v>
      </c>
      <c r="K2052" s="46" t="s">
        <v>10735</v>
      </c>
      <c r="L2052" s="47"/>
      <c r="M2052" s="47">
        <f t="shared" si="423"/>
        <v>1430.0000000000002</v>
      </c>
      <c r="N2052" s="47" t="s">
        <v>3332</v>
      </c>
      <c r="O2052" s="47" t="s">
        <v>3316</v>
      </c>
      <c r="P2052" s="47"/>
      <c r="Q2052" s="47"/>
      <c r="R2052" s="47"/>
      <c r="S2052" s="47" t="s">
        <v>463</v>
      </c>
      <c r="T2052" s="47"/>
      <c r="U2052" s="47"/>
      <c r="V2052" s="47"/>
      <c r="W2052" s="47" t="s">
        <v>3317</v>
      </c>
      <c r="X2052" s="47"/>
      <c r="Y2052" s="47"/>
      <c r="Z2052" s="47">
        <f t="shared" si="424"/>
        <v>4620</v>
      </c>
      <c r="AA2052" s="47"/>
      <c r="AB2052" s="47"/>
      <c r="AC2052" s="47"/>
      <c r="AD2052" s="47"/>
      <c r="AE2052" s="47">
        <f t="shared" si="425"/>
        <v>5000</v>
      </c>
      <c r="AF2052" s="47"/>
      <c r="AG2052" s="47"/>
      <c r="AH2052" s="47" t="str">
        <f>IFERROR(_xlfn.XLOOKUP(Table6[[#This Row],[Suburb]],Table5[Travel Surcharge],Table5[$$]),"")</f>
        <v/>
      </c>
      <c r="AI2052" s="47"/>
      <c r="AJ2052" s="47"/>
    </row>
    <row r="2053" spans="1:36">
      <c r="A2053" s="374" t="s">
        <v>3311</v>
      </c>
      <c r="B2053" s="374">
        <v>254</v>
      </c>
      <c r="C2053" s="374" t="s">
        <v>1075</v>
      </c>
      <c r="D2053" s="375" t="str">
        <f t="shared" si="421"/>
        <v>Highlands Estate254</v>
      </c>
      <c r="E2053" s="375" t="s">
        <v>3334</v>
      </c>
      <c r="F2053" s="375" t="s">
        <v>650</v>
      </c>
      <c r="G2053" s="375" t="s">
        <v>3313</v>
      </c>
      <c r="H2053" s="375" t="s">
        <v>3314</v>
      </c>
      <c r="I2053" s="63" t="s">
        <v>3315</v>
      </c>
      <c r="J2053" s="47">
        <f t="shared" si="422"/>
        <v>3740</v>
      </c>
      <c r="K2053" s="46" t="s">
        <v>10735</v>
      </c>
      <c r="L2053" s="47"/>
      <c r="M2053" s="47">
        <f t="shared" si="423"/>
        <v>1430.0000000000002</v>
      </c>
      <c r="N2053" s="47" t="s">
        <v>3332</v>
      </c>
      <c r="O2053" s="47" t="s">
        <v>3316</v>
      </c>
      <c r="P2053" s="47"/>
      <c r="Q2053" s="47"/>
      <c r="R2053" s="47"/>
      <c r="S2053" s="47" t="s">
        <v>463</v>
      </c>
      <c r="T2053" s="47"/>
      <c r="U2053" s="47"/>
      <c r="V2053" s="47"/>
      <c r="W2053" s="47" t="s">
        <v>3317</v>
      </c>
      <c r="X2053" s="47"/>
      <c r="Y2053" s="47"/>
      <c r="Z2053" s="47">
        <f t="shared" si="424"/>
        <v>4620</v>
      </c>
      <c r="AA2053" s="47"/>
      <c r="AB2053" s="47"/>
      <c r="AC2053" s="47"/>
      <c r="AD2053" s="47"/>
      <c r="AE2053" s="47">
        <f t="shared" si="425"/>
        <v>5000</v>
      </c>
      <c r="AF2053" s="47"/>
      <c r="AG2053" s="47"/>
      <c r="AH2053" s="47" t="str">
        <f>IFERROR(_xlfn.XLOOKUP(Table6[[#This Row],[Suburb]],Table5[Travel Surcharge],Table5[$$]),"")</f>
        <v/>
      </c>
      <c r="AI2053" s="47"/>
      <c r="AJ2053" s="47"/>
    </row>
    <row r="2054" spans="1:36">
      <c r="A2054" s="374" t="s">
        <v>3311</v>
      </c>
      <c r="B2054" s="374">
        <v>255</v>
      </c>
      <c r="C2054" s="374" t="s">
        <v>1075</v>
      </c>
      <c r="D2054" s="375" t="str">
        <f t="shared" si="421"/>
        <v>Highlands Estate255</v>
      </c>
      <c r="E2054" s="375" t="s">
        <v>3335</v>
      </c>
      <c r="F2054" s="375" t="s">
        <v>650</v>
      </c>
      <c r="G2054" s="375" t="s">
        <v>3313</v>
      </c>
      <c r="H2054" s="375" t="s">
        <v>3314</v>
      </c>
      <c r="I2054" s="63" t="s">
        <v>3315</v>
      </c>
      <c r="J2054" s="47">
        <f t="shared" si="422"/>
        <v>3740</v>
      </c>
      <c r="K2054" s="46" t="s">
        <v>10735</v>
      </c>
      <c r="L2054" s="47"/>
      <c r="M2054" s="47">
        <f t="shared" si="423"/>
        <v>1430.0000000000002</v>
      </c>
      <c r="N2054" s="47" t="s">
        <v>3332</v>
      </c>
      <c r="O2054" s="47" t="s">
        <v>3316</v>
      </c>
      <c r="P2054" s="47"/>
      <c r="Q2054" s="47"/>
      <c r="R2054" s="47"/>
      <c r="S2054" s="47" t="s">
        <v>463</v>
      </c>
      <c r="T2054" s="47"/>
      <c r="U2054" s="47"/>
      <c r="V2054" s="47"/>
      <c r="W2054" s="47" t="s">
        <v>3317</v>
      </c>
      <c r="X2054" s="47"/>
      <c r="Y2054" s="47"/>
      <c r="Z2054" s="47">
        <f t="shared" si="424"/>
        <v>4620</v>
      </c>
      <c r="AA2054" s="47"/>
      <c r="AB2054" s="47"/>
      <c r="AC2054" s="47"/>
      <c r="AD2054" s="47"/>
      <c r="AE2054" s="47">
        <f t="shared" si="425"/>
        <v>5000</v>
      </c>
      <c r="AF2054" s="47"/>
      <c r="AG2054" s="47"/>
      <c r="AH2054" s="47" t="str">
        <f>IFERROR(_xlfn.XLOOKUP(Table6[[#This Row],[Suburb]],Table5[Travel Surcharge],Table5[$$]),"")</f>
        <v/>
      </c>
      <c r="AI2054" s="47"/>
      <c r="AJ2054" s="47"/>
    </row>
    <row r="2055" spans="1:36">
      <c r="A2055" s="374" t="s">
        <v>3311</v>
      </c>
      <c r="B2055" s="374">
        <v>257</v>
      </c>
      <c r="C2055" s="374" t="s">
        <v>1075</v>
      </c>
      <c r="D2055" s="375" t="str">
        <f t="shared" si="421"/>
        <v>Highlands Estate257</v>
      </c>
      <c r="E2055" s="375" t="s">
        <v>3336</v>
      </c>
      <c r="F2055" s="375" t="s">
        <v>650</v>
      </c>
      <c r="G2055" s="375" t="s">
        <v>3313</v>
      </c>
      <c r="H2055" s="375" t="s">
        <v>3314</v>
      </c>
      <c r="I2055" s="63" t="s">
        <v>3315</v>
      </c>
      <c r="J2055" s="47">
        <f t="shared" si="422"/>
        <v>3740</v>
      </c>
      <c r="K2055" s="46" t="s">
        <v>10735</v>
      </c>
      <c r="L2055" s="47"/>
      <c r="M2055" s="47">
        <f t="shared" si="423"/>
        <v>1430.0000000000002</v>
      </c>
      <c r="N2055" s="47" t="s">
        <v>3332</v>
      </c>
      <c r="O2055" s="47" t="s">
        <v>3316</v>
      </c>
      <c r="P2055" s="47"/>
      <c r="Q2055" s="47"/>
      <c r="R2055" s="47"/>
      <c r="S2055" s="47" t="s">
        <v>463</v>
      </c>
      <c r="T2055" s="47"/>
      <c r="U2055" s="47"/>
      <c r="V2055" s="47"/>
      <c r="W2055" s="47" t="s">
        <v>3317</v>
      </c>
      <c r="X2055" s="47"/>
      <c r="Y2055" s="47"/>
      <c r="Z2055" s="47">
        <f t="shared" si="424"/>
        <v>4620</v>
      </c>
      <c r="AA2055" s="47"/>
      <c r="AB2055" s="47"/>
      <c r="AC2055" s="47"/>
      <c r="AD2055" s="47"/>
      <c r="AE2055" s="47">
        <f t="shared" si="425"/>
        <v>5000</v>
      </c>
      <c r="AF2055" s="47"/>
      <c r="AG2055" s="47"/>
      <c r="AH2055" s="47" t="str">
        <f>IFERROR(_xlfn.XLOOKUP(Table6[[#This Row],[Suburb]],Table5[Travel Surcharge],Table5[$$]),"")</f>
        <v/>
      </c>
      <c r="AI2055" s="47"/>
      <c r="AJ2055" s="47"/>
    </row>
    <row r="2056" spans="1:36">
      <c r="A2056" s="374" t="s">
        <v>3311</v>
      </c>
      <c r="B2056" s="374">
        <v>261</v>
      </c>
      <c r="C2056" s="374" t="s">
        <v>1075</v>
      </c>
      <c r="D2056" s="375" t="str">
        <f t="shared" si="421"/>
        <v>Highlands Estate261</v>
      </c>
      <c r="E2056" s="375" t="s">
        <v>3337</v>
      </c>
      <c r="F2056" s="375" t="s">
        <v>650</v>
      </c>
      <c r="G2056" s="375" t="s">
        <v>3313</v>
      </c>
      <c r="H2056" s="375" t="s">
        <v>3314</v>
      </c>
      <c r="I2056" s="63" t="s">
        <v>3315</v>
      </c>
      <c r="J2056" s="47">
        <f t="shared" si="422"/>
        <v>3740</v>
      </c>
      <c r="K2056" s="46" t="s">
        <v>10735</v>
      </c>
      <c r="L2056" s="47"/>
      <c r="M2056" s="47">
        <f t="shared" si="423"/>
        <v>1430.0000000000002</v>
      </c>
      <c r="N2056" s="47" t="s">
        <v>3332</v>
      </c>
      <c r="O2056" s="47" t="s">
        <v>3316</v>
      </c>
      <c r="P2056" s="47"/>
      <c r="Q2056" s="47"/>
      <c r="R2056" s="47"/>
      <c r="S2056" s="47" t="s">
        <v>463</v>
      </c>
      <c r="T2056" s="47"/>
      <c r="U2056" s="47"/>
      <c r="V2056" s="47"/>
      <c r="W2056" s="47" t="s">
        <v>3317</v>
      </c>
      <c r="X2056" s="47"/>
      <c r="Y2056" s="47"/>
      <c r="Z2056" s="47">
        <f t="shared" si="424"/>
        <v>4620</v>
      </c>
      <c r="AA2056" s="47"/>
      <c r="AB2056" s="47"/>
      <c r="AC2056" s="47"/>
      <c r="AD2056" s="47"/>
      <c r="AE2056" s="47">
        <f t="shared" si="425"/>
        <v>5000</v>
      </c>
      <c r="AF2056" s="47"/>
      <c r="AG2056" s="47"/>
      <c r="AH2056" s="47" t="str">
        <f>IFERROR(_xlfn.XLOOKUP(Table6[[#This Row],[Suburb]],Table5[Travel Surcharge],Table5[$$]),"")</f>
        <v/>
      </c>
      <c r="AI2056" s="47"/>
      <c r="AJ2056" s="47"/>
    </row>
    <row r="2057" spans="1:36">
      <c r="A2057" s="374" t="s">
        <v>3311</v>
      </c>
      <c r="B2057" s="374">
        <v>262</v>
      </c>
      <c r="C2057" s="374" t="s">
        <v>1075</v>
      </c>
      <c r="D2057" s="375" t="str">
        <f t="shared" si="421"/>
        <v>Highlands Estate262</v>
      </c>
      <c r="E2057" s="375" t="s">
        <v>3338</v>
      </c>
      <c r="F2057" s="375" t="s">
        <v>650</v>
      </c>
      <c r="G2057" s="375" t="s">
        <v>3313</v>
      </c>
      <c r="H2057" s="375" t="s">
        <v>3314</v>
      </c>
      <c r="I2057" s="63" t="s">
        <v>3315</v>
      </c>
      <c r="J2057" s="47">
        <f t="shared" si="422"/>
        <v>3740</v>
      </c>
      <c r="K2057" s="46" t="s">
        <v>10735</v>
      </c>
      <c r="L2057" s="47"/>
      <c r="M2057" s="47">
        <f t="shared" si="423"/>
        <v>1430.0000000000002</v>
      </c>
      <c r="N2057" s="47" t="s">
        <v>3332</v>
      </c>
      <c r="O2057" s="47" t="s">
        <v>3316</v>
      </c>
      <c r="P2057" s="47"/>
      <c r="Q2057" s="47"/>
      <c r="R2057" s="47"/>
      <c r="S2057" s="47" t="s">
        <v>463</v>
      </c>
      <c r="T2057" s="47"/>
      <c r="U2057" s="47"/>
      <c r="V2057" s="47"/>
      <c r="W2057" s="47" t="s">
        <v>3317</v>
      </c>
      <c r="X2057" s="47"/>
      <c r="Y2057" s="47"/>
      <c r="Z2057" s="47">
        <f t="shared" si="424"/>
        <v>4620</v>
      </c>
      <c r="AA2057" s="47"/>
      <c r="AB2057" s="47"/>
      <c r="AC2057" s="47"/>
      <c r="AD2057" s="47"/>
      <c r="AE2057" s="47">
        <f t="shared" si="425"/>
        <v>5000</v>
      </c>
      <c r="AF2057" s="47"/>
      <c r="AG2057" s="47"/>
      <c r="AH2057" s="47" t="str">
        <f>IFERROR(_xlfn.XLOOKUP(Table6[[#This Row],[Suburb]],Table5[Travel Surcharge],Table5[$$]),"")</f>
        <v/>
      </c>
      <c r="AI2057" s="47"/>
      <c r="AJ2057" s="47"/>
    </row>
    <row r="2058" spans="1:36">
      <c r="A2058" s="374" t="s">
        <v>3311</v>
      </c>
      <c r="B2058" s="374">
        <v>280</v>
      </c>
      <c r="C2058" s="374" t="s">
        <v>1075</v>
      </c>
      <c r="D2058" s="375" t="str">
        <f t="shared" si="421"/>
        <v>Highlands Estate280</v>
      </c>
      <c r="E2058" s="375" t="s">
        <v>3339</v>
      </c>
      <c r="F2058" s="375" t="s">
        <v>650</v>
      </c>
      <c r="G2058" s="375" t="s">
        <v>3313</v>
      </c>
      <c r="H2058" s="375" t="s">
        <v>3314</v>
      </c>
      <c r="I2058" s="63" t="s">
        <v>3315</v>
      </c>
      <c r="J2058" s="47">
        <f t="shared" si="422"/>
        <v>3740</v>
      </c>
      <c r="K2058" s="46" t="s">
        <v>10735</v>
      </c>
      <c r="L2058" s="47"/>
      <c r="M2058" s="47">
        <f t="shared" si="423"/>
        <v>1430.0000000000002</v>
      </c>
      <c r="N2058" s="47" t="s">
        <v>3332</v>
      </c>
      <c r="O2058" s="47" t="s">
        <v>3316</v>
      </c>
      <c r="P2058" s="47"/>
      <c r="Q2058" s="47"/>
      <c r="R2058" s="47"/>
      <c r="S2058" s="47" t="s">
        <v>463</v>
      </c>
      <c r="T2058" s="47"/>
      <c r="U2058" s="47"/>
      <c r="V2058" s="47"/>
      <c r="W2058" s="47" t="s">
        <v>3317</v>
      </c>
      <c r="X2058" s="47"/>
      <c r="Y2058" s="47"/>
      <c r="Z2058" s="47">
        <f t="shared" si="424"/>
        <v>4620</v>
      </c>
      <c r="AA2058" s="47"/>
      <c r="AB2058" s="47"/>
      <c r="AC2058" s="47"/>
      <c r="AD2058" s="47"/>
      <c r="AE2058" s="47">
        <f t="shared" si="425"/>
        <v>5000</v>
      </c>
      <c r="AF2058" s="47"/>
      <c r="AG2058" s="47"/>
      <c r="AH2058" s="47" t="str">
        <f>IFERROR(_xlfn.XLOOKUP(Table6[[#This Row],[Suburb]],Table5[Travel Surcharge],Table5[$$]),"")</f>
        <v/>
      </c>
      <c r="AI2058" s="47"/>
      <c r="AJ2058" s="47"/>
    </row>
    <row r="2059" spans="1:36">
      <c r="A2059" s="374" t="s">
        <v>3311</v>
      </c>
      <c r="B2059" s="374">
        <v>284</v>
      </c>
      <c r="C2059" s="374" t="s">
        <v>1075</v>
      </c>
      <c r="D2059" s="375" t="str">
        <f t="shared" si="421"/>
        <v>Highlands Estate284</v>
      </c>
      <c r="E2059" s="375" t="s">
        <v>3340</v>
      </c>
      <c r="F2059" s="375" t="s">
        <v>650</v>
      </c>
      <c r="G2059" s="375" t="s">
        <v>3313</v>
      </c>
      <c r="H2059" s="375" t="s">
        <v>3314</v>
      </c>
      <c r="I2059" s="63" t="s">
        <v>3315</v>
      </c>
      <c r="J2059" s="47">
        <f t="shared" si="422"/>
        <v>3740</v>
      </c>
      <c r="K2059" s="46" t="s">
        <v>10735</v>
      </c>
      <c r="L2059" s="47"/>
      <c r="M2059" s="47">
        <f t="shared" si="423"/>
        <v>1430.0000000000002</v>
      </c>
      <c r="N2059" s="47" t="s">
        <v>3332</v>
      </c>
      <c r="O2059" s="47" t="s">
        <v>3316</v>
      </c>
      <c r="P2059" s="47"/>
      <c r="Q2059" s="47"/>
      <c r="R2059" s="47"/>
      <c r="S2059" s="47" t="s">
        <v>463</v>
      </c>
      <c r="T2059" s="47"/>
      <c r="U2059" s="47"/>
      <c r="V2059" s="47"/>
      <c r="W2059" s="47" t="s">
        <v>3317</v>
      </c>
      <c r="X2059" s="47"/>
      <c r="Y2059" s="47"/>
      <c r="Z2059" s="47">
        <f t="shared" si="424"/>
        <v>4620</v>
      </c>
      <c r="AA2059" s="47"/>
      <c r="AB2059" s="47"/>
      <c r="AC2059" s="47"/>
      <c r="AD2059" s="47"/>
      <c r="AE2059" s="47">
        <f t="shared" si="425"/>
        <v>5000</v>
      </c>
      <c r="AF2059" s="47"/>
      <c r="AG2059" s="47"/>
      <c r="AH2059" s="47" t="str">
        <f>IFERROR(_xlfn.XLOOKUP(Table6[[#This Row],[Suburb]],Table5[Travel Surcharge],Table5[$$]),"")</f>
        <v/>
      </c>
      <c r="AI2059" s="47"/>
      <c r="AJ2059" s="47"/>
    </row>
    <row r="2060" spans="1:36">
      <c r="A2060" s="374" t="s">
        <v>3311</v>
      </c>
      <c r="B2060" s="374">
        <v>286</v>
      </c>
      <c r="C2060" s="374" t="s">
        <v>1075</v>
      </c>
      <c r="D2060" s="375" t="str">
        <f t="shared" si="421"/>
        <v>Highlands Estate286</v>
      </c>
      <c r="E2060" s="375" t="s">
        <v>3341</v>
      </c>
      <c r="F2060" s="375" t="s">
        <v>650</v>
      </c>
      <c r="G2060" s="375" t="s">
        <v>3313</v>
      </c>
      <c r="H2060" s="375" t="s">
        <v>3314</v>
      </c>
      <c r="I2060" s="63" t="s">
        <v>3315</v>
      </c>
      <c r="J2060" s="47">
        <f t="shared" si="422"/>
        <v>3740</v>
      </c>
      <c r="K2060" s="46" t="s">
        <v>10735</v>
      </c>
      <c r="L2060" s="47"/>
      <c r="M2060" s="47">
        <f t="shared" si="423"/>
        <v>1430.0000000000002</v>
      </c>
      <c r="N2060" s="47" t="s">
        <v>3332</v>
      </c>
      <c r="O2060" s="47" t="s">
        <v>3316</v>
      </c>
      <c r="P2060" s="47"/>
      <c r="Q2060" s="47"/>
      <c r="R2060" s="47"/>
      <c r="S2060" s="47" t="s">
        <v>463</v>
      </c>
      <c r="T2060" s="47"/>
      <c r="U2060" s="47"/>
      <c r="V2060" s="47"/>
      <c r="W2060" s="47" t="s">
        <v>3317</v>
      </c>
      <c r="X2060" s="47"/>
      <c r="Y2060" s="47"/>
      <c r="Z2060" s="47">
        <f t="shared" si="424"/>
        <v>4620</v>
      </c>
      <c r="AA2060" s="47"/>
      <c r="AB2060" s="47"/>
      <c r="AC2060" s="47"/>
      <c r="AD2060" s="47"/>
      <c r="AE2060" s="47">
        <f t="shared" si="425"/>
        <v>5000</v>
      </c>
      <c r="AF2060" s="47"/>
      <c r="AG2060" s="47"/>
      <c r="AH2060" s="47" t="str">
        <f>IFERROR(_xlfn.XLOOKUP(Table6[[#This Row],[Suburb]],Table5[Travel Surcharge],Table5[$$]),"")</f>
        <v/>
      </c>
      <c r="AI2060" s="47"/>
      <c r="AJ2060" s="47"/>
    </row>
    <row r="2061" spans="1:36">
      <c r="A2061" s="374" t="s">
        <v>3311</v>
      </c>
      <c r="B2061" s="374">
        <v>290</v>
      </c>
      <c r="C2061" s="374" t="s">
        <v>1075</v>
      </c>
      <c r="D2061" s="375" t="str">
        <f t="shared" si="421"/>
        <v>Highlands Estate290</v>
      </c>
      <c r="E2061" s="375" t="s">
        <v>3342</v>
      </c>
      <c r="F2061" s="375" t="s">
        <v>650</v>
      </c>
      <c r="G2061" s="375" t="s">
        <v>3313</v>
      </c>
      <c r="H2061" s="375" t="s">
        <v>3314</v>
      </c>
      <c r="I2061" s="63" t="s">
        <v>3315</v>
      </c>
      <c r="J2061" s="47">
        <f t="shared" si="422"/>
        <v>3740</v>
      </c>
      <c r="K2061" s="46" t="s">
        <v>10735</v>
      </c>
      <c r="L2061" s="47"/>
      <c r="M2061" s="47">
        <f t="shared" si="423"/>
        <v>1430.0000000000002</v>
      </c>
      <c r="N2061" s="47" t="s">
        <v>3332</v>
      </c>
      <c r="O2061" s="47" t="s">
        <v>3316</v>
      </c>
      <c r="P2061" s="47"/>
      <c r="Q2061" s="47"/>
      <c r="R2061" s="47"/>
      <c r="S2061" s="47" t="s">
        <v>463</v>
      </c>
      <c r="T2061" s="47"/>
      <c r="U2061" s="47"/>
      <c r="V2061" s="47"/>
      <c r="W2061" s="47" t="s">
        <v>3317</v>
      </c>
      <c r="X2061" s="47"/>
      <c r="Y2061" s="47"/>
      <c r="Z2061" s="47">
        <f t="shared" si="424"/>
        <v>4620</v>
      </c>
      <c r="AA2061" s="47"/>
      <c r="AB2061" s="47"/>
      <c r="AC2061" s="47"/>
      <c r="AD2061" s="47"/>
      <c r="AE2061" s="47">
        <f t="shared" si="425"/>
        <v>5000</v>
      </c>
      <c r="AF2061" s="47"/>
      <c r="AG2061" s="47"/>
      <c r="AH2061" s="47" t="str">
        <f>IFERROR(_xlfn.XLOOKUP(Table6[[#This Row],[Suburb]],Table5[Travel Surcharge],Table5[$$]),"")</f>
        <v/>
      </c>
      <c r="AI2061" s="47"/>
      <c r="AJ2061" s="47"/>
    </row>
    <row r="2062" spans="1:36">
      <c r="A2062" s="374" t="s">
        <v>3311</v>
      </c>
      <c r="B2062" s="374">
        <v>302</v>
      </c>
      <c r="C2062" s="374" t="s">
        <v>1075</v>
      </c>
      <c r="D2062" s="375" t="str">
        <f t="shared" si="421"/>
        <v>Highlands Estate302</v>
      </c>
      <c r="E2062" s="375" t="s">
        <v>3343</v>
      </c>
      <c r="F2062" s="375" t="s">
        <v>650</v>
      </c>
      <c r="G2062" s="375" t="s">
        <v>3313</v>
      </c>
      <c r="H2062" s="375" t="s">
        <v>3314</v>
      </c>
      <c r="I2062" s="63" t="s">
        <v>3315</v>
      </c>
      <c r="J2062" s="47">
        <f t="shared" si="422"/>
        <v>3740</v>
      </c>
      <c r="K2062" s="46" t="s">
        <v>10735</v>
      </c>
      <c r="L2062" s="47"/>
      <c r="M2062" s="47">
        <f t="shared" si="423"/>
        <v>1430.0000000000002</v>
      </c>
      <c r="N2062" s="47" t="s">
        <v>3332</v>
      </c>
      <c r="O2062" s="47" t="s">
        <v>3316</v>
      </c>
      <c r="P2062" s="47"/>
      <c r="Q2062" s="47"/>
      <c r="R2062" s="47"/>
      <c r="S2062" s="47" t="s">
        <v>463</v>
      </c>
      <c r="T2062" s="47"/>
      <c r="U2062" s="47"/>
      <c r="V2062" s="47"/>
      <c r="W2062" s="47" t="s">
        <v>3317</v>
      </c>
      <c r="X2062" s="47"/>
      <c r="Y2062" s="47"/>
      <c r="Z2062" s="47">
        <f t="shared" si="424"/>
        <v>4620</v>
      </c>
      <c r="AA2062" s="47"/>
      <c r="AB2062" s="47"/>
      <c r="AC2062" s="47"/>
      <c r="AD2062" s="47"/>
      <c r="AE2062" s="47">
        <f t="shared" si="425"/>
        <v>5000</v>
      </c>
      <c r="AF2062" s="47"/>
      <c r="AG2062" s="47"/>
      <c r="AH2062" s="47" t="str">
        <f>IFERROR(_xlfn.XLOOKUP(Table6[[#This Row],[Suburb]],Table5[Travel Surcharge],Table5[$$]),"")</f>
        <v/>
      </c>
      <c r="AI2062" s="47"/>
      <c r="AJ2062" s="47"/>
    </row>
    <row r="2063" spans="1:36">
      <c r="A2063" s="374" t="s">
        <v>3311</v>
      </c>
      <c r="B2063" s="374">
        <v>303</v>
      </c>
      <c r="C2063" s="374" t="s">
        <v>1075</v>
      </c>
      <c r="D2063" s="375" t="str">
        <f t="shared" si="421"/>
        <v>Highlands Estate303</v>
      </c>
      <c r="E2063" s="375" t="s">
        <v>3344</v>
      </c>
      <c r="F2063" s="375" t="s">
        <v>650</v>
      </c>
      <c r="G2063" s="375" t="s">
        <v>3313</v>
      </c>
      <c r="H2063" s="375" t="s">
        <v>3314</v>
      </c>
      <c r="I2063" s="63" t="s">
        <v>3315</v>
      </c>
      <c r="J2063" s="47">
        <f t="shared" si="422"/>
        <v>3740</v>
      </c>
      <c r="K2063" s="46" t="s">
        <v>10735</v>
      </c>
      <c r="L2063" s="47"/>
      <c r="M2063" s="47">
        <f t="shared" si="423"/>
        <v>1430.0000000000002</v>
      </c>
      <c r="N2063" s="47" t="s">
        <v>3332</v>
      </c>
      <c r="O2063" s="47" t="s">
        <v>3316</v>
      </c>
      <c r="P2063" s="47"/>
      <c r="Q2063" s="47"/>
      <c r="R2063" s="47"/>
      <c r="S2063" s="47" t="s">
        <v>463</v>
      </c>
      <c r="T2063" s="47"/>
      <c r="U2063" s="47"/>
      <c r="V2063" s="47"/>
      <c r="W2063" s="47" t="s">
        <v>3317</v>
      </c>
      <c r="X2063" s="47"/>
      <c r="Y2063" s="47"/>
      <c r="Z2063" s="47">
        <f t="shared" si="424"/>
        <v>4620</v>
      </c>
      <c r="AA2063" s="47"/>
      <c r="AB2063" s="47"/>
      <c r="AC2063" s="47"/>
      <c r="AD2063" s="47"/>
      <c r="AE2063" s="47">
        <f t="shared" si="425"/>
        <v>5000</v>
      </c>
      <c r="AF2063" s="47"/>
      <c r="AG2063" s="47"/>
      <c r="AH2063" s="47" t="str">
        <f>IFERROR(_xlfn.XLOOKUP(Table6[[#This Row],[Suburb]],Table5[Travel Surcharge],Table5[$$]),"")</f>
        <v/>
      </c>
      <c r="AI2063" s="47"/>
      <c r="AJ2063" s="47"/>
    </row>
    <row r="2064" spans="1:36">
      <c r="A2064" s="374" t="s">
        <v>3311</v>
      </c>
      <c r="B2064" s="374">
        <v>304</v>
      </c>
      <c r="C2064" s="374" t="s">
        <v>1075</v>
      </c>
      <c r="D2064" s="375" t="str">
        <f t="shared" si="421"/>
        <v>Highlands Estate304</v>
      </c>
      <c r="E2064" s="375" t="s">
        <v>3345</v>
      </c>
      <c r="F2064" s="375" t="s">
        <v>650</v>
      </c>
      <c r="G2064" s="375" t="s">
        <v>3313</v>
      </c>
      <c r="H2064" s="375" t="s">
        <v>3314</v>
      </c>
      <c r="I2064" s="63" t="s">
        <v>3315</v>
      </c>
      <c r="J2064" s="47">
        <f t="shared" si="422"/>
        <v>3740</v>
      </c>
      <c r="K2064" s="46" t="s">
        <v>10735</v>
      </c>
      <c r="L2064" s="47"/>
      <c r="M2064" s="47">
        <f t="shared" si="423"/>
        <v>1430.0000000000002</v>
      </c>
      <c r="N2064" s="47" t="s">
        <v>3332</v>
      </c>
      <c r="O2064" s="47" t="s">
        <v>3316</v>
      </c>
      <c r="P2064" s="47"/>
      <c r="Q2064" s="47"/>
      <c r="R2064" s="47"/>
      <c r="S2064" s="47" t="s">
        <v>463</v>
      </c>
      <c r="T2064" s="47"/>
      <c r="U2064" s="47"/>
      <c r="V2064" s="47"/>
      <c r="W2064" s="47" t="s">
        <v>3317</v>
      </c>
      <c r="X2064" s="47"/>
      <c r="Y2064" s="47"/>
      <c r="Z2064" s="47">
        <f t="shared" si="424"/>
        <v>4620</v>
      </c>
      <c r="AA2064" s="47"/>
      <c r="AB2064" s="47"/>
      <c r="AC2064" s="47"/>
      <c r="AD2064" s="47"/>
      <c r="AE2064" s="47">
        <f t="shared" si="425"/>
        <v>5000</v>
      </c>
      <c r="AF2064" s="47"/>
      <c r="AG2064" s="47"/>
      <c r="AH2064" s="47" t="str">
        <f>IFERROR(_xlfn.XLOOKUP(Table6[[#This Row],[Suburb]],Table5[Travel Surcharge],Table5[$$]),"")</f>
        <v/>
      </c>
      <c r="AI2064" s="47"/>
      <c r="AJ2064" s="47"/>
    </row>
    <row r="2065" spans="1:36">
      <c r="A2065" s="374" t="s">
        <v>3311</v>
      </c>
      <c r="B2065" s="374">
        <v>309</v>
      </c>
      <c r="C2065" s="374" t="s">
        <v>1075</v>
      </c>
      <c r="D2065" s="375" t="str">
        <f t="shared" si="421"/>
        <v>Highlands Estate309</v>
      </c>
      <c r="E2065" s="375" t="s">
        <v>3346</v>
      </c>
      <c r="F2065" s="375" t="s">
        <v>650</v>
      </c>
      <c r="G2065" s="375" t="s">
        <v>3313</v>
      </c>
      <c r="H2065" s="375" t="s">
        <v>3314</v>
      </c>
      <c r="I2065" s="63" t="s">
        <v>3315</v>
      </c>
      <c r="J2065" s="47">
        <f t="shared" si="422"/>
        <v>3740</v>
      </c>
      <c r="K2065" s="46" t="s">
        <v>10735</v>
      </c>
      <c r="L2065" s="47"/>
      <c r="M2065" s="47">
        <f t="shared" si="423"/>
        <v>1430.0000000000002</v>
      </c>
      <c r="N2065" s="47" t="s">
        <v>3332</v>
      </c>
      <c r="O2065" s="47" t="s">
        <v>3316</v>
      </c>
      <c r="P2065" s="47"/>
      <c r="Q2065" s="47"/>
      <c r="R2065" s="47"/>
      <c r="S2065" s="47" t="s">
        <v>463</v>
      </c>
      <c r="T2065" s="47"/>
      <c r="U2065" s="47"/>
      <c r="V2065" s="47"/>
      <c r="W2065" s="47" t="s">
        <v>3317</v>
      </c>
      <c r="X2065" s="47"/>
      <c r="Y2065" s="47"/>
      <c r="Z2065" s="47">
        <f t="shared" si="424"/>
        <v>4620</v>
      </c>
      <c r="AA2065" s="47"/>
      <c r="AB2065" s="47"/>
      <c r="AC2065" s="47"/>
      <c r="AD2065" s="47"/>
      <c r="AE2065" s="47">
        <f t="shared" si="425"/>
        <v>5000</v>
      </c>
      <c r="AF2065" s="47"/>
      <c r="AG2065" s="47"/>
      <c r="AH2065" s="47" t="str">
        <f>IFERROR(_xlfn.XLOOKUP(Table6[[#This Row],[Suburb]],Table5[Travel Surcharge],Table5[$$]),"")</f>
        <v/>
      </c>
      <c r="AI2065" s="47"/>
      <c r="AJ2065" s="47"/>
    </row>
    <row r="2066" spans="1:36">
      <c r="A2066" s="374" t="s">
        <v>3311</v>
      </c>
      <c r="B2066" s="374">
        <v>310</v>
      </c>
      <c r="C2066" s="374" t="s">
        <v>1075</v>
      </c>
      <c r="D2066" s="375" t="str">
        <f t="shared" si="421"/>
        <v>Highlands Estate310</v>
      </c>
      <c r="E2066" s="375" t="s">
        <v>3347</v>
      </c>
      <c r="F2066" s="375" t="s">
        <v>650</v>
      </c>
      <c r="G2066" s="375" t="s">
        <v>3313</v>
      </c>
      <c r="H2066" s="375" t="s">
        <v>3314</v>
      </c>
      <c r="I2066" s="63" t="s">
        <v>3315</v>
      </c>
      <c r="J2066" s="47">
        <f t="shared" si="422"/>
        <v>3740</v>
      </c>
      <c r="K2066" s="46" t="s">
        <v>10735</v>
      </c>
      <c r="L2066" s="47"/>
      <c r="M2066" s="47">
        <f t="shared" si="423"/>
        <v>1430.0000000000002</v>
      </c>
      <c r="N2066" s="47" t="s">
        <v>3332</v>
      </c>
      <c r="O2066" s="47" t="s">
        <v>3316</v>
      </c>
      <c r="P2066" s="47"/>
      <c r="Q2066" s="47"/>
      <c r="R2066" s="47"/>
      <c r="S2066" s="47" t="s">
        <v>463</v>
      </c>
      <c r="T2066" s="47"/>
      <c r="U2066" s="47"/>
      <c r="V2066" s="47"/>
      <c r="W2066" s="47" t="s">
        <v>3317</v>
      </c>
      <c r="X2066" s="47"/>
      <c r="Y2066" s="47"/>
      <c r="Z2066" s="47">
        <f t="shared" si="424"/>
        <v>4620</v>
      </c>
      <c r="AA2066" s="47"/>
      <c r="AB2066" s="47"/>
      <c r="AC2066" s="47"/>
      <c r="AD2066" s="47"/>
      <c r="AE2066" s="47">
        <f t="shared" si="425"/>
        <v>5000</v>
      </c>
      <c r="AF2066" s="47"/>
      <c r="AG2066" s="47"/>
      <c r="AH2066" s="47" t="str">
        <f>IFERROR(_xlfn.XLOOKUP(Table6[[#This Row],[Suburb]],Table5[Travel Surcharge],Table5[$$]),"")</f>
        <v/>
      </c>
      <c r="AI2066" s="47"/>
      <c r="AJ2066" s="47"/>
    </row>
    <row r="2067" spans="1:36">
      <c r="A2067" s="374" t="s">
        <v>3311</v>
      </c>
      <c r="B2067" s="374">
        <v>312</v>
      </c>
      <c r="C2067" s="374" t="s">
        <v>1075</v>
      </c>
      <c r="D2067" s="375" t="str">
        <f t="shared" si="421"/>
        <v>Highlands Estate312</v>
      </c>
      <c r="E2067" s="375" t="s">
        <v>3348</v>
      </c>
      <c r="F2067" s="375" t="s">
        <v>650</v>
      </c>
      <c r="G2067" s="375" t="s">
        <v>3313</v>
      </c>
      <c r="H2067" s="375" t="s">
        <v>3314</v>
      </c>
      <c r="I2067" s="63" t="s">
        <v>3315</v>
      </c>
      <c r="J2067" s="47">
        <f t="shared" si="422"/>
        <v>3740</v>
      </c>
      <c r="K2067" s="46" t="s">
        <v>10735</v>
      </c>
      <c r="L2067" s="47"/>
      <c r="M2067" s="47">
        <f t="shared" si="423"/>
        <v>1430.0000000000002</v>
      </c>
      <c r="N2067" s="47" t="s">
        <v>3332</v>
      </c>
      <c r="O2067" s="47" t="s">
        <v>3316</v>
      </c>
      <c r="P2067" s="47"/>
      <c r="Q2067" s="47"/>
      <c r="R2067" s="47"/>
      <c r="S2067" s="47" t="s">
        <v>463</v>
      </c>
      <c r="T2067" s="47"/>
      <c r="U2067" s="47"/>
      <c r="V2067" s="47"/>
      <c r="W2067" s="47" t="s">
        <v>3317</v>
      </c>
      <c r="X2067" s="47"/>
      <c r="Y2067" s="47"/>
      <c r="Z2067" s="47">
        <f t="shared" si="424"/>
        <v>4620</v>
      </c>
      <c r="AA2067" s="47"/>
      <c r="AB2067" s="47"/>
      <c r="AC2067" s="47"/>
      <c r="AD2067" s="47"/>
      <c r="AE2067" s="47">
        <f t="shared" si="425"/>
        <v>5000</v>
      </c>
      <c r="AF2067" s="47"/>
      <c r="AG2067" s="47"/>
      <c r="AH2067" s="47" t="str">
        <f>IFERROR(_xlfn.XLOOKUP(Table6[[#This Row],[Suburb]],Table5[Travel Surcharge],Table5[$$]),"")</f>
        <v/>
      </c>
      <c r="AI2067" s="47"/>
      <c r="AJ2067" s="47"/>
    </row>
    <row r="2068" spans="1:36">
      <c r="A2068" s="374" t="s">
        <v>3311</v>
      </c>
      <c r="B2068" s="374">
        <v>314</v>
      </c>
      <c r="C2068" s="374" t="s">
        <v>1075</v>
      </c>
      <c r="D2068" s="375" t="str">
        <f t="shared" si="421"/>
        <v>Highlands Estate314</v>
      </c>
      <c r="E2068" s="375" t="s">
        <v>3349</v>
      </c>
      <c r="F2068" s="375" t="s">
        <v>650</v>
      </c>
      <c r="G2068" s="375" t="s">
        <v>3313</v>
      </c>
      <c r="H2068" s="375" t="s">
        <v>3314</v>
      </c>
      <c r="I2068" s="63" t="s">
        <v>3315</v>
      </c>
      <c r="J2068" s="47">
        <f t="shared" si="422"/>
        <v>3740</v>
      </c>
      <c r="K2068" s="46" t="s">
        <v>10735</v>
      </c>
      <c r="L2068" s="47"/>
      <c r="M2068" s="47">
        <f t="shared" si="423"/>
        <v>1430.0000000000002</v>
      </c>
      <c r="N2068" s="47" t="s">
        <v>3332</v>
      </c>
      <c r="O2068" s="47" t="s">
        <v>3316</v>
      </c>
      <c r="P2068" s="47"/>
      <c r="Q2068" s="47"/>
      <c r="R2068" s="47"/>
      <c r="S2068" s="47" t="s">
        <v>463</v>
      </c>
      <c r="T2068" s="47"/>
      <c r="U2068" s="47"/>
      <c r="V2068" s="47"/>
      <c r="W2068" s="47" t="s">
        <v>3317</v>
      </c>
      <c r="X2068" s="47"/>
      <c r="Y2068" s="47"/>
      <c r="Z2068" s="47">
        <f t="shared" si="424"/>
        <v>4620</v>
      </c>
      <c r="AA2068" s="47"/>
      <c r="AB2068" s="47"/>
      <c r="AC2068" s="47"/>
      <c r="AD2068" s="47"/>
      <c r="AE2068" s="47">
        <f t="shared" si="425"/>
        <v>5000</v>
      </c>
      <c r="AF2068" s="47"/>
      <c r="AG2068" s="47"/>
      <c r="AH2068" s="47" t="str">
        <f>IFERROR(_xlfn.XLOOKUP(Table6[[#This Row],[Suburb]],Table5[Travel Surcharge],Table5[$$]),"")</f>
        <v/>
      </c>
      <c r="AI2068" s="47"/>
      <c r="AJ2068" s="47"/>
    </row>
    <row r="2069" spans="1:36">
      <c r="A2069" s="374" t="s">
        <v>3311</v>
      </c>
      <c r="B2069" s="374">
        <v>315</v>
      </c>
      <c r="C2069" s="374" t="s">
        <v>1075</v>
      </c>
      <c r="D2069" s="375" t="str">
        <f t="shared" si="421"/>
        <v>Highlands Estate315</v>
      </c>
      <c r="E2069" s="375" t="s">
        <v>3350</v>
      </c>
      <c r="F2069" s="375" t="s">
        <v>650</v>
      </c>
      <c r="G2069" s="375" t="s">
        <v>3313</v>
      </c>
      <c r="H2069" s="375" t="s">
        <v>3314</v>
      </c>
      <c r="I2069" s="63" t="s">
        <v>3315</v>
      </c>
      <c r="J2069" s="47">
        <f t="shared" si="422"/>
        <v>3740</v>
      </c>
      <c r="K2069" s="46" t="s">
        <v>10735</v>
      </c>
      <c r="L2069" s="47"/>
      <c r="M2069" s="47">
        <f t="shared" si="423"/>
        <v>1430.0000000000002</v>
      </c>
      <c r="N2069" s="47" t="s">
        <v>3332</v>
      </c>
      <c r="O2069" s="47" t="s">
        <v>3316</v>
      </c>
      <c r="P2069" s="47"/>
      <c r="Q2069" s="47"/>
      <c r="R2069" s="47"/>
      <c r="S2069" s="47" t="s">
        <v>463</v>
      </c>
      <c r="T2069" s="47"/>
      <c r="U2069" s="47"/>
      <c r="V2069" s="47"/>
      <c r="W2069" s="47" t="s">
        <v>3317</v>
      </c>
      <c r="X2069" s="47"/>
      <c r="Y2069" s="47"/>
      <c r="Z2069" s="47">
        <f t="shared" si="424"/>
        <v>4620</v>
      </c>
      <c r="AA2069" s="47"/>
      <c r="AB2069" s="47"/>
      <c r="AC2069" s="47"/>
      <c r="AD2069" s="47"/>
      <c r="AE2069" s="47">
        <f t="shared" si="425"/>
        <v>5000</v>
      </c>
      <c r="AF2069" s="47"/>
      <c r="AG2069" s="47"/>
      <c r="AH2069" s="47" t="str">
        <f>IFERROR(_xlfn.XLOOKUP(Table6[[#This Row],[Suburb]],Table5[Travel Surcharge],Table5[$$]),"")</f>
        <v/>
      </c>
      <c r="AI2069" s="47"/>
      <c r="AJ2069" s="47"/>
    </row>
    <row r="2070" spans="1:36">
      <c r="A2070" s="374" t="s">
        <v>3311</v>
      </c>
      <c r="B2070" s="374">
        <v>317</v>
      </c>
      <c r="C2070" s="374" t="s">
        <v>1075</v>
      </c>
      <c r="D2070" s="375" t="str">
        <f t="shared" si="421"/>
        <v>Highlands Estate317</v>
      </c>
      <c r="E2070" s="375" t="s">
        <v>3351</v>
      </c>
      <c r="F2070" s="375" t="s">
        <v>650</v>
      </c>
      <c r="G2070" s="375" t="s">
        <v>3313</v>
      </c>
      <c r="H2070" s="375" t="s">
        <v>3314</v>
      </c>
      <c r="I2070" s="63" t="s">
        <v>3315</v>
      </c>
      <c r="J2070" s="47">
        <f t="shared" si="422"/>
        <v>3740</v>
      </c>
      <c r="K2070" s="46" t="s">
        <v>10735</v>
      </c>
      <c r="L2070" s="47"/>
      <c r="M2070" s="47">
        <f t="shared" si="423"/>
        <v>1430.0000000000002</v>
      </c>
      <c r="N2070" s="47" t="s">
        <v>3332</v>
      </c>
      <c r="O2070" s="47" t="s">
        <v>3316</v>
      </c>
      <c r="P2070" s="47"/>
      <c r="Q2070" s="47"/>
      <c r="R2070" s="47"/>
      <c r="S2070" s="47" t="s">
        <v>463</v>
      </c>
      <c r="T2070" s="47"/>
      <c r="U2070" s="47"/>
      <c r="V2070" s="47"/>
      <c r="W2070" s="47" t="s">
        <v>3317</v>
      </c>
      <c r="X2070" s="47"/>
      <c r="Y2070" s="47"/>
      <c r="Z2070" s="47">
        <f t="shared" si="424"/>
        <v>4620</v>
      </c>
      <c r="AA2070" s="47"/>
      <c r="AB2070" s="47"/>
      <c r="AC2070" s="47"/>
      <c r="AD2070" s="47"/>
      <c r="AE2070" s="47">
        <f t="shared" si="425"/>
        <v>5000</v>
      </c>
      <c r="AF2070" s="47"/>
      <c r="AG2070" s="47"/>
      <c r="AH2070" s="47" t="str">
        <f>IFERROR(_xlfn.XLOOKUP(Table6[[#This Row],[Suburb]],Table5[Travel Surcharge],Table5[$$]),"")</f>
        <v/>
      </c>
      <c r="AI2070" s="47"/>
      <c r="AJ2070" s="47"/>
    </row>
    <row r="2071" spans="1:36">
      <c r="A2071" s="374" t="s">
        <v>3311</v>
      </c>
      <c r="B2071" s="374">
        <v>319</v>
      </c>
      <c r="C2071" s="374" t="s">
        <v>1075</v>
      </c>
      <c r="D2071" s="375" t="str">
        <f t="shared" ref="D2071:D2108" si="426">CONCATENATE(A2071,B2071)</f>
        <v>Highlands Estate319</v>
      </c>
      <c r="E2071" s="375" t="s">
        <v>3352</v>
      </c>
      <c r="F2071" s="375" t="s">
        <v>650</v>
      </c>
      <c r="G2071" s="375" t="s">
        <v>3313</v>
      </c>
      <c r="H2071" s="375" t="s">
        <v>3314</v>
      </c>
      <c r="I2071" s="63" t="s">
        <v>3315</v>
      </c>
      <c r="J2071" s="47">
        <f t="shared" ref="J2071:J2103" si="427">J$7</f>
        <v>3740</v>
      </c>
      <c r="K2071" s="46" t="s">
        <v>10735</v>
      </c>
      <c r="L2071" s="47"/>
      <c r="M2071" s="47">
        <f t="shared" ref="M2071:M2103" si="428">M$7</f>
        <v>1430.0000000000002</v>
      </c>
      <c r="N2071" s="47" t="s">
        <v>3332</v>
      </c>
      <c r="O2071" s="47" t="s">
        <v>3316</v>
      </c>
      <c r="P2071" s="47"/>
      <c r="Q2071" s="47"/>
      <c r="R2071" s="47"/>
      <c r="S2071" s="47" t="s">
        <v>463</v>
      </c>
      <c r="T2071" s="47"/>
      <c r="U2071" s="47"/>
      <c r="V2071" s="47"/>
      <c r="W2071" s="47" t="s">
        <v>3317</v>
      </c>
      <c r="X2071" s="47"/>
      <c r="Y2071" s="47"/>
      <c r="Z2071" s="47">
        <f t="shared" ref="Z2071:Z2108" si="429">Z$7</f>
        <v>4620</v>
      </c>
      <c r="AA2071" s="47"/>
      <c r="AB2071" s="47"/>
      <c r="AC2071" s="47"/>
      <c r="AD2071" s="47"/>
      <c r="AE2071" s="47">
        <f t="shared" ref="AE2071:AE2093" si="430">AE$7</f>
        <v>5000</v>
      </c>
      <c r="AF2071" s="47"/>
      <c r="AG2071" s="47"/>
      <c r="AH2071" s="47" t="str">
        <f>IFERROR(_xlfn.XLOOKUP(Table6[[#This Row],[Suburb]],Table5[Travel Surcharge],Table5[$$]),"")</f>
        <v/>
      </c>
      <c r="AI2071" s="47"/>
      <c r="AJ2071" s="47"/>
    </row>
    <row r="2072" spans="1:36">
      <c r="A2072" s="374" t="s">
        <v>3311</v>
      </c>
      <c r="B2072" s="374">
        <v>320</v>
      </c>
      <c r="C2072" s="374" t="s">
        <v>1075</v>
      </c>
      <c r="D2072" s="375" t="str">
        <f t="shared" si="426"/>
        <v>Highlands Estate320</v>
      </c>
      <c r="E2072" s="375" t="s">
        <v>3353</v>
      </c>
      <c r="F2072" s="375" t="s">
        <v>650</v>
      </c>
      <c r="G2072" s="375" t="s">
        <v>3313</v>
      </c>
      <c r="H2072" s="375" t="s">
        <v>3314</v>
      </c>
      <c r="I2072" s="63" t="s">
        <v>3315</v>
      </c>
      <c r="J2072" s="47">
        <f t="shared" si="427"/>
        <v>3740</v>
      </c>
      <c r="K2072" s="46" t="s">
        <v>10735</v>
      </c>
      <c r="L2072" s="47"/>
      <c r="M2072" s="47">
        <f t="shared" si="428"/>
        <v>1430.0000000000002</v>
      </c>
      <c r="N2072" s="47" t="s">
        <v>3332</v>
      </c>
      <c r="O2072" s="47" t="s">
        <v>3316</v>
      </c>
      <c r="P2072" s="47"/>
      <c r="Q2072" s="47"/>
      <c r="R2072" s="47"/>
      <c r="S2072" s="47" t="s">
        <v>463</v>
      </c>
      <c r="T2072" s="47"/>
      <c r="U2072" s="47"/>
      <c r="V2072" s="47"/>
      <c r="W2072" s="47" t="s">
        <v>3317</v>
      </c>
      <c r="X2072" s="47"/>
      <c r="Y2072" s="47"/>
      <c r="Z2072" s="47">
        <f t="shared" si="429"/>
        <v>4620</v>
      </c>
      <c r="AA2072" s="47"/>
      <c r="AB2072" s="47"/>
      <c r="AC2072" s="47"/>
      <c r="AD2072" s="47"/>
      <c r="AE2072" s="47">
        <f t="shared" si="430"/>
        <v>5000</v>
      </c>
      <c r="AF2072" s="47"/>
      <c r="AG2072" s="47"/>
      <c r="AH2072" s="47" t="str">
        <f>IFERROR(_xlfn.XLOOKUP(Table6[[#This Row],[Suburb]],Table5[Travel Surcharge],Table5[$$]),"")</f>
        <v/>
      </c>
      <c r="AI2072" s="47"/>
      <c r="AJ2072" s="47"/>
    </row>
    <row r="2073" spans="1:36">
      <c r="A2073" s="374" t="s">
        <v>3311</v>
      </c>
      <c r="B2073" s="374">
        <v>331</v>
      </c>
      <c r="C2073" s="374" t="s">
        <v>1075</v>
      </c>
      <c r="D2073" s="375" t="str">
        <f t="shared" si="426"/>
        <v>Highlands Estate331</v>
      </c>
      <c r="E2073" s="375" t="s">
        <v>3354</v>
      </c>
      <c r="F2073" s="375" t="s">
        <v>650</v>
      </c>
      <c r="G2073" s="375" t="s">
        <v>3313</v>
      </c>
      <c r="H2073" s="375" t="s">
        <v>3314</v>
      </c>
      <c r="I2073" s="63" t="s">
        <v>3315</v>
      </c>
      <c r="J2073" s="47">
        <f t="shared" si="427"/>
        <v>3740</v>
      </c>
      <c r="K2073" s="46" t="s">
        <v>10735</v>
      </c>
      <c r="L2073" s="47"/>
      <c r="M2073" s="47">
        <f t="shared" si="428"/>
        <v>1430.0000000000002</v>
      </c>
      <c r="N2073" s="47" t="s">
        <v>3332</v>
      </c>
      <c r="O2073" s="47" t="s">
        <v>3316</v>
      </c>
      <c r="P2073" s="47"/>
      <c r="Q2073" s="47"/>
      <c r="R2073" s="47"/>
      <c r="S2073" s="47" t="s">
        <v>463</v>
      </c>
      <c r="T2073" s="47"/>
      <c r="U2073" s="47"/>
      <c r="V2073" s="47"/>
      <c r="W2073" s="47" t="s">
        <v>3317</v>
      </c>
      <c r="X2073" s="47"/>
      <c r="Y2073" s="47"/>
      <c r="Z2073" s="47">
        <f t="shared" si="429"/>
        <v>4620</v>
      </c>
      <c r="AA2073" s="47"/>
      <c r="AB2073" s="47"/>
      <c r="AC2073" s="47"/>
      <c r="AD2073" s="47"/>
      <c r="AE2073" s="47">
        <f t="shared" si="430"/>
        <v>5000</v>
      </c>
      <c r="AF2073" s="47"/>
      <c r="AG2073" s="47"/>
      <c r="AH2073" s="47" t="str">
        <f>IFERROR(_xlfn.XLOOKUP(Table6[[#This Row],[Suburb]],Table5[Travel Surcharge],Table5[$$]),"")</f>
        <v/>
      </c>
      <c r="AI2073" s="47"/>
      <c r="AJ2073" s="47"/>
    </row>
    <row r="2074" spans="1:36">
      <c r="A2074" s="374" t="s">
        <v>3311</v>
      </c>
      <c r="B2074" s="374">
        <v>332</v>
      </c>
      <c r="C2074" s="374" t="s">
        <v>1075</v>
      </c>
      <c r="D2074" s="375" t="str">
        <f t="shared" si="426"/>
        <v>Highlands Estate332</v>
      </c>
      <c r="E2074" s="375" t="s">
        <v>3355</v>
      </c>
      <c r="F2074" s="375" t="s">
        <v>650</v>
      </c>
      <c r="G2074" s="375" t="s">
        <v>3313</v>
      </c>
      <c r="H2074" s="375" t="s">
        <v>3314</v>
      </c>
      <c r="I2074" s="63" t="s">
        <v>3315</v>
      </c>
      <c r="J2074" s="47">
        <f t="shared" si="427"/>
        <v>3740</v>
      </c>
      <c r="K2074" s="46" t="s">
        <v>10735</v>
      </c>
      <c r="L2074" s="47"/>
      <c r="M2074" s="47">
        <f t="shared" si="428"/>
        <v>1430.0000000000002</v>
      </c>
      <c r="N2074" s="47" t="s">
        <v>3332</v>
      </c>
      <c r="O2074" s="47" t="s">
        <v>3316</v>
      </c>
      <c r="P2074" s="47"/>
      <c r="Q2074" s="47"/>
      <c r="R2074" s="47"/>
      <c r="S2074" s="47" t="s">
        <v>463</v>
      </c>
      <c r="T2074" s="47"/>
      <c r="U2074" s="47"/>
      <c r="V2074" s="47"/>
      <c r="W2074" s="47" t="s">
        <v>3317</v>
      </c>
      <c r="X2074" s="47"/>
      <c r="Y2074" s="47"/>
      <c r="Z2074" s="47">
        <f t="shared" si="429"/>
        <v>4620</v>
      </c>
      <c r="AA2074" s="47"/>
      <c r="AB2074" s="47"/>
      <c r="AC2074" s="47"/>
      <c r="AD2074" s="47"/>
      <c r="AE2074" s="47">
        <f t="shared" si="430"/>
        <v>5000</v>
      </c>
      <c r="AF2074" s="47"/>
      <c r="AG2074" s="47"/>
      <c r="AH2074" s="47" t="str">
        <f>IFERROR(_xlfn.XLOOKUP(Table6[[#This Row],[Suburb]],Table5[Travel Surcharge],Table5[$$]),"")</f>
        <v/>
      </c>
      <c r="AI2074" s="47"/>
      <c r="AJ2074" s="47"/>
    </row>
    <row r="2075" spans="1:36">
      <c r="A2075" s="374" t="s">
        <v>3311</v>
      </c>
      <c r="B2075" s="374">
        <v>333</v>
      </c>
      <c r="C2075" s="374" t="s">
        <v>1075</v>
      </c>
      <c r="D2075" s="375" t="str">
        <f t="shared" si="426"/>
        <v>Highlands Estate333</v>
      </c>
      <c r="E2075" s="375" t="s">
        <v>3356</v>
      </c>
      <c r="F2075" s="375" t="s">
        <v>650</v>
      </c>
      <c r="G2075" s="375" t="s">
        <v>3313</v>
      </c>
      <c r="H2075" s="375" t="s">
        <v>3314</v>
      </c>
      <c r="I2075" s="63" t="s">
        <v>3315</v>
      </c>
      <c r="J2075" s="47">
        <f t="shared" si="427"/>
        <v>3740</v>
      </c>
      <c r="K2075" s="46" t="s">
        <v>10735</v>
      </c>
      <c r="L2075" s="47"/>
      <c r="M2075" s="47">
        <f t="shared" si="428"/>
        <v>1430.0000000000002</v>
      </c>
      <c r="N2075" s="47" t="s">
        <v>3332</v>
      </c>
      <c r="O2075" s="47" t="s">
        <v>3316</v>
      </c>
      <c r="P2075" s="47"/>
      <c r="Q2075" s="47"/>
      <c r="R2075" s="47"/>
      <c r="S2075" s="47" t="s">
        <v>463</v>
      </c>
      <c r="T2075" s="47"/>
      <c r="U2075" s="47"/>
      <c r="V2075" s="47"/>
      <c r="W2075" s="47" t="s">
        <v>3317</v>
      </c>
      <c r="X2075" s="47"/>
      <c r="Y2075" s="47"/>
      <c r="Z2075" s="47">
        <f t="shared" si="429"/>
        <v>4620</v>
      </c>
      <c r="AA2075" s="47"/>
      <c r="AB2075" s="47"/>
      <c r="AC2075" s="47"/>
      <c r="AD2075" s="47"/>
      <c r="AE2075" s="47">
        <f t="shared" si="430"/>
        <v>5000</v>
      </c>
      <c r="AF2075" s="47"/>
      <c r="AG2075" s="47"/>
      <c r="AH2075" s="47" t="str">
        <f>IFERROR(_xlfn.XLOOKUP(Table6[[#This Row],[Suburb]],Table5[Travel Surcharge],Table5[$$]),"")</f>
        <v/>
      </c>
      <c r="AI2075" s="47"/>
      <c r="AJ2075" s="47"/>
    </row>
    <row r="2076" spans="1:36">
      <c r="A2076" s="374" t="s">
        <v>3311</v>
      </c>
      <c r="B2076" s="374">
        <v>334</v>
      </c>
      <c r="C2076" s="374" t="s">
        <v>1075</v>
      </c>
      <c r="D2076" s="375" t="str">
        <f t="shared" si="426"/>
        <v>Highlands Estate334</v>
      </c>
      <c r="E2076" s="375" t="s">
        <v>3357</v>
      </c>
      <c r="F2076" s="375" t="s">
        <v>650</v>
      </c>
      <c r="G2076" s="375" t="s">
        <v>3313</v>
      </c>
      <c r="H2076" s="375" t="s">
        <v>3314</v>
      </c>
      <c r="I2076" s="63" t="s">
        <v>3315</v>
      </c>
      <c r="J2076" s="47">
        <f t="shared" si="427"/>
        <v>3740</v>
      </c>
      <c r="K2076" s="46" t="s">
        <v>10735</v>
      </c>
      <c r="L2076" s="47"/>
      <c r="M2076" s="47">
        <f t="shared" si="428"/>
        <v>1430.0000000000002</v>
      </c>
      <c r="N2076" s="47" t="s">
        <v>3332</v>
      </c>
      <c r="O2076" s="47" t="s">
        <v>3316</v>
      </c>
      <c r="P2076" s="47"/>
      <c r="Q2076" s="47"/>
      <c r="R2076" s="47"/>
      <c r="S2076" s="47" t="s">
        <v>463</v>
      </c>
      <c r="T2076" s="47"/>
      <c r="U2076" s="47"/>
      <c r="V2076" s="47"/>
      <c r="W2076" s="47" t="s">
        <v>3317</v>
      </c>
      <c r="X2076" s="47"/>
      <c r="Y2076" s="47"/>
      <c r="Z2076" s="47">
        <f t="shared" si="429"/>
        <v>4620</v>
      </c>
      <c r="AA2076" s="47"/>
      <c r="AB2076" s="47"/>
      <c r="AC2076" s="47"/>
      <c r="AD2076" s="47"/>
      <c r="AE2076" s="47">
        <f t="shared" si="430"/>
        <v>5000</v>
      </c>
      <c r="AF2076" s="47"/>
      <c r="AG2076" s="47"/>
      <c r="AH2076" s="47" t="str">
        <f>IFERROR(_xlfn.XLOOKUP(Table6[[#This Row],[Suburb]],Table5[Travel Surcharge],Table5[$$]),"")</f>
        <v/>
      </c>
      <c r="AI2076" s="47"/>
      <c r="AJ2076" s="47"/>
    </row>
    <row r="2077" spans="1:36">
      <c r="A2077" s="374" t="s">
        <v>3311</v>
      </c>
      <c r="B2077" s="374">
        <v>337</v>
      </c>
      <c r="C2077" s="374" t="s">
        <v>1075</v>
      </c>
      <c r="D2077" s="375" t="str">
        <f t="shared" si="426"/>
        <v>Highlands Estate337</v>
      </c>
      <c r="E2077" s="375" t="s">
        <v>3358</v>
      </c>
      <c r="F2077" s="375" t="s">
        <v>650</v>
      </c>
      <c r="G2077" s="375" t="s">
        <v>3313</v>
      </c>
      <c r="H2077" s="375" t="s">
        <v>3314</v>
      </c>
      <c r="I2077" s="63" t="s">
        <v>3315</v>
      </c>
      <c r="J2077" s="47">
        <f t="shared" si="427"/>
        <v>3740</v>
      </c>
      <c r="K2077" s="46" t="s">
        <v>10735</v>
      </c>
      <c r="L2077" s="47"/>
      <c r="M2077" s="47">
        <f t="shared" si="428"/>
        <v>1430.0000000000002</v>
      </c>
      <c r="N2077" s="47" t="s">
        <v>3332</v>
      </c>
      <c r="O2077" s="47" t="s">
        <v>3316</v>
      </c>
      <c r="P2077" s="47"/>
      <c r="Q2077" s="47"/>
      <c r="R2077" s="47"/>
      <c r="S2077" s="47" t="s">
        <v>463</v>
      </c>
      <c r="T2077" s="47"/>
      <c r="U2077" s="47"/>
      <c r="V2077" s="47"/>
      <c r="W2077" s="47" t="s">
        <v>3317</v>
      </c>
      <c r="X2077" s="47"/>
      <c r="Y2077" s="47"/>
      <c r="Z2077" s="47">
        <f t="shared" si="429"/>
        <v>4620</v>
      </c>
      <c r="AA2077" s="47"/>
      <c r="AB2077" s="47"/>
      <c r="AC2077" s="47"/>
      <c r="AD2077" s="47"/>
      <c r="AE2077" s="47">
        <f t="shared" si="430"/>
        <v>5000</v>
      </c>
      <c r="AF2077" s="47"/>
      <c r="AG2077" s="47"/>
      <c r="AH2077" s="47" t="str">
        <f>IFERROR(_xlfn.XLOOKUP(Table6[[#This Row],[Suburb]],Table5[Travel Surcharge],Table5[$$]),"")</f>
        <v/>
      </c>
      <c r="AI2077" s="47"/>
      <c r="AJ2077" s="47"/>
    </row>
    <row r="2078" spans="1:36">
      <c r="A2078" s="374" t="s">
        <v>3311</v>
      </c>
      <c r="B2078" s="374">
        <v>341</v>
      </c>
      <c r="C2078" s="374" t="s">
        <v>1075</v>
      </c>
      <c r="D2078" s="375" t="str">
        <f t="shared" si="426"/>
        <v>Highlands Estate341</v>
      </c>
      <c r="E2078" s="375" t="s">
        <v>3359</v>
      </c>
      <c r="F2078" s="375" t="s">
        <v>650</v>
      </c>
      <c r="G2078" s="375" t="s">
        <v>3313</v>
      </c>
      <c r="H2078" s="375" t="s">
        <v>3314</v>
      </c>
      <c r="I2078" s="63" t="s">
        <v>3315</v>
      </c>
      <c r="J2078" s="47">
        <f t="shared" si="427"/>
        <v>3740</v>
      </c>
      <c r="K2078" s="46" t="s">
        <v>10735</v>
      </c>
      <c r="L2078" s="47"/>
      <c r="M2078" s="47">
        <f t="shared" si="428"/>
        <v>1430.0000000000002</v>
      </c>
      <c r="N2078" s="47" t="s">
        <v>3332</v>
      </c>
      <c r="O2078" s="47" t="s">
        <v>3316</v>
      </c>
      <c r="P2078" s="47"/>
      <c r="Q2078" s="47"/>
      <c r="R2078" s="47"/>
      <c r="S2078" s="47" t="s">
        <v>463</v>
      </c>
      <c r="T2078" s="47"/>
      <c r="U2078" s="47"/>
      <c r="V2078" s="47"/>
      <c r="W2078" s="47" t="s">
        <v>3317</v>
      </c>
      <c r="X2078" s="47"/>
      <c r="Y2078" s="47"/>
      <c r="Z2078" s="47">
        <f t="shared" si="429"/>
        <v>4620</v>
      </c>
      <c r="AA2078" s="47"/>
      <c r="AB2078" s="47"/>
      <c r="AC2078" s="47"/>
      <c r="AD2078" s="47"/>
      <c r="AE2078" s="47">
        <f t="shared" si="430"/>
        <v>5000</v>
      </c>
      <c r="AF2078" s="47"/>
      <c r="AG2078" s="47"/>
      <c r="AH2078" s="47" t="str">
        <f>IFERROR(_xlfn.XLOOKUP(Table6[[#This Row],[Suburb]],Table5[Travel Surcharge],Table5[$$]),"")</f>
        <v/>
      </c>
      <c r="AI2078" s="47"/>
      <c r="AJ2078" s="47"/>
    </row>
    <row r="2079" spans="1:36">
      <c r="A2079" s="374" t="s">
        <v>3311</v>
      </c>
      <c r="B2079" s="374">
        <v>342</v>
      </c>
      <c r="C2079" s="374" t="s">
        <v>1075</v>
      </c>
      <c r="D2079" s="375" t="str">
        <f t="shared" si="426"/>
        <v>Highlands Estate342</v>
      </c>
      <c r="E2079" s="375" t="s">
        <v>3360</v>
      </c>
      <c r="F2079" s="375" t="s">
        <v>650</v>
      </c>
      <c r="G2079" s="375" t="s">
        <v>3313</v>
      </c>
      <c r="H2079" s="375" t="s">
        <v>3314</v>
      </c>
      <c r="I2079" s="63" t="s">
        <v>3315</v>
      </c>
      <c r="J2079" s="47">
        <f t="shared" si="427"/>
        <v>3740</v>
      </c>
      <c r="K2079" s="46" t="s">
        <v>10735</v>
      </c>
      <c r="L2079" s="47"/>
      <c r="M2079" s="47">
        <f t="shared" si="428"/>
        <v>1430.0000000000002</v>
      </c>
      <c r="N2079" s="47" t="s">
        <v>3332</v>
      </c>
      <c r="O2079" s="47" t="s">
        <v>3316</v>
      </c>
      <c r="P2079" s="47"/>
      <c r="Q2079" s="47"/>
      <c r="R2079" s="47"/>
      <c r="S2079" s="47" t="s">
        <v>463</v>
      </c>
      <c r="T2079" s="47"/>
      <c r="U2079" s="47"/>
      <c r="V2079" s="47"/>
      <c r="W2079" s="47" t="s">
        <v>3317</v>
      </c>
      <c r="X2079" s="47"/>
      <c r="Y2079" s="47"/>
      <c r="Z2079" s="47">
        <f t="shared" si="429"/>
        <v>4620</v>
      </c>
      <c r="AA2079" s="47"/>
      <c r="AB2079" s="47"/>
      <c r="AC2079" s="47"/>
      <c r="AD2079" s="47"/>
      <c r="AE2079" s="47">
        <f t="shared" si="430"/>
        <v>5000</v>
      </c>
      <c r="AF2079" s="47"/>
      <c r="AG2079" s="47"/>
      <c r="AH2079" s="47" t="str">
        <f>IFERROR(_xlfn.XLOOKUP(Table6[[#This Row],[Suburb]],Table5[Travel Surcharge],Table5[$$]),"")</f>
        <v/>
      </c>
      <c r="AI2079" s="47"/>
      <c r="AJ2079" s="47"/>
    </row>
    <row r="2080" spans="1:36">
      <c r="A2080" s="374" t="s">
        <v>3311</v>
      </c>
      <c r="B2080" s="374">
        <v>343</v>
      </c>
      <c r="C2080" s="374" t="s">
        <v>1075</v>
      </c>
      <c r="D2080" s="375" t="str">
        <f t="shared" si="426"/>
        <v>Highlands Estate343</v>
      </c>
      <c r="E2080" s="375" t="s">
        <v>3361</v>
      </c>
      <c r="F2080" s="375" t="s">
        <v>650</v>
      </c>
      <c r="G2080" s="375" t="s">
        <v>3313</v>
      </c>
      <c r="H2080" s="375" t="s">
        <v>3314</v>
      </c>
      <c r="I2080" s="63" t="s">
        <v>3315</v>
      </c>
      <c r="J2080" s="47">
        <f t="shared" si="427"/>
        <v>3740</v>
      </c>
      <c r="K2080" s="46" t="s">
        <v>10735</v>
      </c>
      <c r="L2080" s="47"/>
      <c r="M2080" s="47">
        <f t="shared" si="428"/>
        <v>1430.0000000000002</v>
      </c>
      <c r="N2080" s="47" t="s">
        <v>3332</v>
      </c>
      <c r="O2080" s="47" t="s">
        <v>3316</v>
      </c>
      <c r="P2080" s="47"/>
      <c r="Q2080" s="47"/>
      <c r="R2080" s="47"/>
      <c r="S2080" s="47" t="s">
        <v>463</v>
      </c>
      <c r="T2080" s="47"/>
      <c r="U2080" s="47"/>
      <c r="V2080" s="47"/>
      <c r="W2080" s="47" t="s">
        <v>3317</v>
      </c>
      <c r="X2080" s="47"/>
      <c r="Y2080" s="47"/>
      <c r="Z2080" s="47">
        <f t="shared" si="429"/>
        <v>4620</v>
      </c>
      <c r="AA2080" s="47"/>
      <c r="AB2080" s="47"/>
      <c r="AC2080" s="47"/>
      <c r="AD2080" s="47"/>
      <c r="AE2080" s="47">
        <f t="shared" si="430"/>
        <v>5000</v>
      </c>
      <c r="AF2080" s="47"/>
      <c r="AG2080" s="47"/>
      <c r="AH2080" s="47" t="str">
        <f>IFERROR(_xlfn.XLOOKUP(Table6[[#This Row],[Suburb]],Table5[Travel Surcharge],Table5[$$]),"")</f>
        <v/>
      </c>
      <c r="AI2080" s="47"/>
      <c r="AJ2080" s="47"/>
    </row>
    <row r="2081" spans="1:36">
      <c r="A2081" s="374" t="s">
        <v>3311</v>
      </c>
      <c r="B2081" s="374">
        <v>344</v>
      </c>
      <c r="C2081" s="374" t="s">
        <v>1075</v>
      </c>
      <c r="D2081" s="375" t="str">
        <f t="shared" si="426"/>
        <v>Highlands Estate344</v>
      </c>
      <c r="E2081" s="375" t="s">
        <v>3362</v>
      </c>
      <c r="F2081" s="375" t="s">
        <v>650</v>
      </c>
      <c r="G2081" s="375" t="s">
        <v>3313</v>
      </c>
      <c r="H2081" s="375" t="s">
        <v>3314</v>
      </c>
      <c r="I2081" s="63" t="s">
        <v>3315</v>
      </c>
      <c r="J2081" s="47">
        <f t="shared" si="427"/>
        <v>3740</v>
      </c>
      <c r="K2081" s="46" t="s">
        <v>10735</v>
      </c>
      <c r="L2081" s="47"/>
      <c r="M2081" s="47">
        <f t="shared" si="428"/>
        <v>1430.0000000000002</v>
      </c>
      <c r="N2081" s="47" t="s">
        <v>3332</v>
      </c>
      <c r="O2081" s="47" t="s">
        <v>3316</v>
      </c>
      <c r="P2081" s="47"/>
      <c r="Q2081" s="47"/>
      <c r="R2081" s="47"/>
      <c r="S2081" s="47" t="s">
        <v>463</v>
      </c>
      <c r="T2081" s="47"/>
      <c r="U2081" s="47"/>
      <c r="V2081" s="47"/>
      <c r="W2081" s="47" t="s">
        <v>3317</v>
      </c>
      <c r="X2081" s="47"/>
      <c r="Y2081" s="47"/>
      <c r="Z2081" s="47">
        <f t="shared" si="429"/>
        <v>4620</v>
      </c>
      <c r="AA2081" s="47"/>
      <c r="AB2081" s="47"/>
      <c r="AC2081" s="47"/>
      <c r="AD2081" s="47"/>
      <c r="AE2081" s="47">
        <f t="shared" si="430"/>
        <v>5000</v>
      </c>
      <c r="AF2081" s="47"/>
      <c r="AG2081" s="47"/>
      <c r="AH2081" s="47" t="str">
        <f>IFERROR(_xlfn.XLOOKUP(Table6[[#This Row],[Suburb]],Table5[Travel Surcharge],Table5[$$]),"")</f>
        <v/>
      </c>
      <c r="AI2081" s="47"/>
      <c r="AJ2081" s="47"/>
    </row>
    <row r="2082" spans="1:36">
      <c r="A2082" s="374" t="s">
        <v>3311</v>
      </c>
      <c r="B2082" s="374">
        <v>345</v>
      </c>
      <c r="C2082" s="374" t="s">
        <v>1075</v>
      </c>
      <c r="D2082" s="375" t="str">
        <f t="shared" si="426"/>
        <v>Highlands Estate345</v>
      </c>
      <c r="E2082" s="375" t="s">
        <v>3363</v>
      </c>
      <c r="F2082" s="375" t="s">
        <v>650</v>
      </c>
      <c r="G2082" s="375" t="s">
        <v>3313</v>
      </c>
      <c r="H2082" s="375" t="s">
        <v>3314</v>
      </c>
      <c r="I2082" s="63" t="s">
        <v>3315</v>
      </c>
      <c r="J2082" s="47">
        <f t="shared" si="427"/>
        <v>3740</v>
      </c>
      <c r="K2082" s="46" t="s">
        <v>10735</v>
      </c>
      <c r="L2082" s="47"/>
      <c r="M2082" s="47">
        <f t="shared" si="428"/>
        <v>1430.0000000000002</v>
      </c>
      <c r="N2082" s="47" t="s">
        <v>3332</v>
      </c>
      <c r="O2082" s="47" t="s">
        <v>3316</v>
      </c>
      <c r="P2082" s="47"/>
      <c r="Q2082" s="47"/>
      <c r="R2082" s="47"/>
      <c r="S2082" s="47" t="s">
        <v>463</v>
      </c>
      <c r="T2082" s="47"/>
      <c r="U2082" s="47"/>
      <c r="V2082" s="47"/>
      <c r="W2082" s="47" t="s">
        <v>3317</v>
      </c>
      <c r="X2082" s="47"/>
      <c r="Y2082" s="47"/>
      <c r="Z2082" s="47">
        <f t="shared" si="429"/>
        <v>4620</v>
      </c>
      <c r="AA2082" s="47"/>
      <c r="AB2082" s="47"/>
      <c r="AC2082" s="47"/>
      <c r="AD2082" s="47"/>
      <c r="AE2082" s="47">
        <f t="shared" si="430"/>
        <v>5000</v>
      </c>
      <c r="AF2082" s="47"/>
      <c r="AG2082" s="47"/>
      <c r="AH2082" s="47" t="str">
        <f>IFERROR(_xlfn.XLOOKUP(Table6[[#This Row],[Suburb]],Table5[Travel Surcharge],Table5[$$]),"")</f>
        <v/>
      </c>
      <c r="AI2082" s="47"/>
      <c r="AJ2082" s="47"/>
    </row>
    <row r="2083" spans="1:36">
      <c r="A2083" s="374" t="s">
        <v>3311</v>
      </c>
      <c r="B2083" s="374">
        <v>346</v>
      </c>
      <c r="C2083" s="374" t="s">
        <v>1075</v>
      </c>
      <c r="D2083" s="375" t="str">
        <f t="shared" si="426"/>
        <v>Highlands Estate346</v>
      </c>
      <c r="E2083" s="375" t="s">
        <v>3364</v>
      </c>
      <c r="F2083" s="375" t="s">
        <v>650</v>
      </c>
      <c r="G2083" s="375" t="s">
        <v>3313</v>
      </c>
      <c r="H2083" s="375" t="s">
        <v>3314</v>
      </c>
      <c r="I2083" s="63" t="s">
        <v>3315</v>
      </c>
      <c r="J2083" s="47">
        <f t="shared" si="427"/>
        <v>3740</v>
      </c>
      <c r="K2083" s="46" t="s">
        <v>10735</v>
      </c>
      <c r="L2083" s="47"/>
      <c r="M2083" s="47">
        <f t="shared" si="428"/>
        <v>1430.0000000000002</v>
      </c>
      <c r="N2083" s="47" t="s">
        <v>3332</v>
      </c>
      <c r="O2083" s="47" t="s">
        <v>3316</v>
      </c>
      <c r="P2083" s="47"/>
      <c r="Q2083" s="47"/>
      <c r="R2083" s="47"/>
      <c r="S2083" s="47" t="s">
        <v>463</v>
      </c>
      <c r="T2083" s="47"/>
      <c r="U2083" s="47"/>
      <c r="V2083" s="47"/>
      <c r="W2083" s="47" t="s">
        <v>3317</v>
      </c>
      <c r="X2083" s="47"/>
      <c r="Y2083" s="47"/>
      <c r="Z2083" s="47">
        <f t="shared" si="429"/>
        <v>4620</v>
      </c>
      <c r="AA2083" s="47"/>
      <c r="AB2083" s="47"/>
      <c r="AC2083" s="47"/>
      <c r="AD2083" s="47"/>
      <c r="AE2083" s="47">
        <f t="shared" si="430"/>
        <v>5000</v>
      </c>
      <c r="AF2083" s="47"/>
      <c r="AG2083" s="47"/>
      <c r="AH2083" s="47" t="str">
        <f>IFERROR(_xlfn.XLOOKUP(Table6[[#This Row],[Suburb]],Table5[Travel Surcharge],Table5[$$]),"")</f>
        <v/>
      </c>
      <c r="AI2083" s="47"/>
      <c r="AJ2083" s="47"/>
    </row>
    <row r="2084" spans="1:36">
      <c r="A2084" s="374" t="s">
        <v>3311</v>
      </c>
      <c r="B2084" s="374">
        <v>347</v>
      </c>
      <c r="C2084" s="374" t="s">
        <v>1075</v>
      </c>
      <c r="D2084" s="375" t="str">
        <f t="shared" si="426"/>
        <v>Highlands Estate347</v>
      </c>
      <c r="E2084" s="375" t="s">
        <v>3365</v>
      </c>
      <c r="F2084" s="375" t="s">
        <v>650</v>
      </c>
      <c r="G2084" s="375" t="s">
        <v>3313</v>
      </c>
      <c r="H2084" s="375" t="s">
        <v>3314</v>
      </c>
      <c r="I2084" s="63" t="s">
        <v>3315</v>
      </c>
      <c r="J2084" s="47">
        <f t="shared" si="427"/>
        <v>3740</v>
      </c>
      <c r="K2084" s="46" t="s">
        <v>10735</v>
      </c>
      <c r="L2084" s="47"/>
      <c r="M2084" s="47">
        <f t="shared" si="428"/>
        <v>1430.0000000000002</v>
      </c>
      <c r="N2084" s="47" t="s">
        <v>3332</v>
      </c>
      <c r="O2084" s="47" t="s">
        <v>3316</v>
      </c>
      <c r="P2084" s="47"/>
      <c r="Q2084" s="47"/>
      <c r="R2084" s="47"/>
      <c r="S2084" s="47" t="s">
        <v>463</v>
      </c>
      <c r="T2084" s="47"/>
      <c r="U2084" s="47"/>
      <c r="V2084" s="47"/>
      <c r="W2084" s="47" t="s">
        <v>3317</v>
      </c>
      <c r="X2084" s="47"/>
      <c r="Y2084" s="47"/>
      <c r="Z2084" s="47">
        <f t="shared" si="429"/>
        <v>4620</v>
      </c>
      <c r="AA2084" s="47"/>
      <c r="AB2084" s="47"/>
      <c r="AC2084" s="47"/>
      <c r="AD2084" s="47"/>
      <c r="AE2084" s="47">
        <f t="shared" si="430"/>
        <v>5000</v>
      </c>
      <c r="AF2084" s="47"/>
      <c r="AG2084" s="47"/>
      <c r="AH2084" s="47" t="str">
        <f>IFERROR(_xlfn.XLOOKUP(Table6[[#This Row],[Suburb]],Table5[Travel Surcharge],Table5[$$]),"")</f>
        <v/>
      </c>
      <c r="AI2084" s="47"/>
      <c r="AJ2084" s="47"/>
    </row>
    <row r="2085" spans="1:36">
      <c r="A2085" s="374" t="s">
        <v>3311</v>
      </c>
      <c r="B2085" s="374">
        <v>351</v>
      </c>
      <c r="C2085" s="374" t="s">
        <v>1075</v>
      </c>
      <c r="D2085" s="375" t="str">
        <f t="shared" si="426"/>
        <v>Highlands Estate351</v>
      </c>
      <c r="E2085" s="375" t="s">
        <v>3366</v>
      </c>
      <c r="F2085" s="375" t="s">
        <v>650</v>
      </c>
      <c r="G2085" s="375" t="s">
        <v>3313</v>
      </c>
      <c r="H2085" s="375" t="s">
        <v>3314</v>
      </c>
      <c r="I2085" s="63" t="s">
        <v>3315</v>
      </c>
      <c r="J2085" s="47">
        <f t="shared" si="427"/>
        <v>3740</v>
      </c>
      <c r="K2085" s="46" t="s">
        <v>10735</v>
      </c>
      <c r="L2085" s="47"/>
      <c r="M2085" s="47">
        <f t="shared" si="428"/>
        <v>1430.0000000000002</v>
      </c>
      <c r="N2085" s="47" t="s">
        <v>3332</v>
      </c>
      <c r="O2085" s="47" t="s">
        <v>3316</v>
      </c>
      <c r="P2085" s="47"/>
      <c r="Q2085" s="47"/>
      <c r="R2085" s="47"/>
      <c r="S2085" s="47" t="s">
        <v>463</v>
      </c>
      <c r="T2085" s="47"/>
      <c r="U2085" s="47"/>
      <c r="V2085" s="47"/>
      <c r="W2085" s="47" t="s">
        <v>3317</v>
      </c>
      <c r="X2085" s="47"/>
      <c r="Y2085" s="47"/>
      <c r="Z2085" s="47">
        <f t="shared" si="429"/>
        <v>4620</v>
      </c>
      <c r="AA2085" s="47"/>
      <c r="AB2085" s="47"/>
      <c r="AC2085" s="47"/>
      <c r="AD2085" s="47"/>
      <c r="AE2085" s="47">
        <f t="shared" si="430"/>
        <v>5000</v>
      </c>
      <c r="AF2085" s="47"/>
      <c r="AG2085" s="47"/>
      <c r="AH2085" s="47" t="str">
        <f>IFERROR(_xlfn.XLOOKUP(Table6[[#This Row],[Suburb]],Table5[Travel Surcharge],Table5[$$]),"")</f>
        <v/>
      </c>
      <c r="AI2085" s="47"/>
      <c r="AJ2085" s="47"/>
    </row>
    <row r="2086" spans="1:36">
      <c r="A2086" s="374" t="s">
        <v>3311</v>
      </c>
      <c r="B2086" s="374">
        <v>353</v>
      </c>
      <c r="C2086" s="374" t="s">
        <v>1075</v>
      </c>
      <c r="D2086" s="375" t="str">
        <f t="shared" si="426"/>
        <v>Highlands Estate353</v>
      </c>
      <c r="E2086" s="375" t="s">
        <v>3367</v>
      </c>
      <c r="F2086" s="375" t="s">
        <v>650</v>
      </c>
      <c r="G2086" s="375" t="s">
        <v>3313</v>
      </c>
      <c r="H2086" s="375" t="s">
        <v>3314</v>
      </c>
      <c r="I2086" s="63" t="s">
        <v>3315</v>
      </c>
      <c r="J2086" s="47">
        <f t="shared" si="427"/>
        <v>3740</v>
      </c>
      <c r="K2086" s="46" t="s">
        <v>10735</v>
      </c>
      <c r="L2086" s="47"/>
      <c r="M2086" s="47">
        <f t="shared" si="428"/>
        <v>1430.0000000000002</v>
      </c>
      <c r="N2086" s="47" t="s">
        <v>3332</v>
      </c>
      <c r="O2086" s="47" t="s">
        <v>3316</v>
      </c>
      <c r="P2086" s="47"/>
      <c r="Q2086" s="47"/>
      <c r="R2086" s="47"/>
      <c r="S2086" s="47" t="s">
        <v>463</v>
      </c>
      <c r="T2086" s="47"/>
      <c r="U2086" s="47"/>
      <c r="V2086" s="47"/>
      <c r="W2086" s="47" t="s">
        <v>3317</v>
      </c>
      <c r="X2086" s="47"/>
      <c r="Y2086" s="47"/>
      <c r="Z2086" s="47">
        <f t="shared" si="429"/>
        <v>4620</v>
      </c>
      <c r="AA2086" s="47"/>
      <c r="AB2086" s="47"/>
      <c r="AC2086" s="47"/>
      <c r="AD2086" s="47"/>
      <c r="AE2086" s="47">
        <f t="shared" si="430"/>
        <v>5000</v>
      </c>
      <c r="AF2086" s="47"/>
      <c r="AG2086" s="47"/>
      <c r="AH2086" s="47" t="str">
        <f>IFERROR(_xlfn.XLOOKUP(Table6[[#This Row],[Suburb]],Table5[Travel Surcharge],Table5[$$]),"")</f>
        <v/>
      </c>
      <c r="AI2086" s="47"/>
      <c r="AJ2086" s="47"/>
    </row>
    <row r="2087" spans="1:36">
      <c r="A2087" s="374" t="s">
        <v>3311</v>
      </c>
      <c r="B2087" s="374">
        <v>362</v>
      </c>
      <c r="C2087" s="374" t="s">
        <v>1075</v>
      </c>
      <c r="D2087" s="375" t="str">
        <f t="shared" si="426"/>
        <v>Highlands Estate362</v>
      </c>
      <c r="E2087" s="375" t="s">
        <v>3368</v>
      </c>
      <c r="F2087" s="375" t="s">
        <v>650</v>
      </c>
      <c r="G2087" s="375" t="s">
        <v>3313</v>
      </c>
      <c r="H2087" s="375" t="s">
        <v>3314</v>
      </c>
      <c r="I2087" s="63" t="s">
        <v>3315</v>
      </c>
      <c r="J2087" s="47">
        <f t="shared" si="427"/>
        <v>3740</v>
      </c>
      <c r="K2087" s="46" t="s">
        <v>10735</v>
      </c>
      <c r="L2087" s="47"/>
      <c r="M2087" s="47">
        <f t="shared" si="428"/>
        <v>1430.0000000000002</v>
      </c>
      <c r="N2087" s="47" t="s">
        <v>3332</v>
      </c>
      <c r="O2087" s="47" t="s">
        <v>3316</v>
      </c>
      <c r="P2087" s="47"/>
      <c r="Q2087" s="47"/>
      <c r="R2087" s="47"/>
      <c r="S2087" s="47" t="s">
        <v>463</v>
      </c>
      <c r="T2087" s="47"/>
      <c r="U2087" s="47"/>
      <c r="V2087" s="47"/>
      <c r="W2087" s="47" t="s">
        <v>3317</v>
      </c>
      <c r="X2087" s="47"/>
      <c r="Y2087" s="47"/>
      <c r="Z2087" s="47">
        <f t="shared" si="429"/>
        <v>4620</v>
      </c>
      <c r="AA2087" s="47"/>
      <c r="AB2087" s="47"/>
      <c r="AC2087" s="47"/>
      <c r="AD2087" s="47"/>
      <c r="AE2087" s="47">
        <f t="shared" si="430"/>
        <v>5000</v>
      </c>
      <c r="AF2087" s="47"/>
      <c r="AG2087" s="47"/>
      <c r="AH2087" s="47" t="str">
        <f>IFERROR(_xlfn.XLOOKUP(Table6[[#This Row],[Suburb]],Table5[Travel Surcharge],Table5[$$]),"")</f>
        <v/>
      </c>
      <c r="AI2087" s="47"/>
      <c r="AJ2087" s="47"/>
    </row>
    <row r="2088" spans="1:36">
      <c r="A2088" s="374" t="s">
        <v>3311</v>
      </c>
      <c r="B2088" s="374">
        <v>363</v>
      </c>
      <c r="C2088" s="374" t="s">
        <v>1075</v>
      </c>
      <c r="D2088" s="375" t="str">
        <f t="shared" si="426"/>
        <v>Highlands Estate363</v>
      </c>
      <c r="E2088" s="375" t="s">
        <v>3369</v>
      </c>
      <c r="F2088" s="375" t="s">
        <v>650</v>
      </c>
      <c r="G2088" s="375" t="s">
        <v>3313</v>
      </c>
      <c r="H2088" s="375" t="s">
        <v>3314</v>
      </c>
      <c r="I2088" s="63" t="s">
        <v>3315</v>
      </c>
      <c r="J2088" s="47">
        <f t="shared" si="427"/>
        <v>3740</v>
      </c>
      <c r="K2088" s="46" t="s">
        <v>10735</v>
      </c>
      <c r="L2088" s="47"/>
      <c r="M2088" s="47">
        <f t="shared" si="428"/>
        <v>1430.0000000000002</v>
      </c>
      <c r="N2088" s="47" t="s">
        <v>3332</v>
      </c>
      <c r="O2088" s="47" t="s">
        <v>3316</v>
      </c>
      <c r="P2088" s="47"/>
      <c r="Q2088" s="47"/>
      <c r="R2088" s="47"/>
      <c r="S2088" s="47" t="s">
        <v>463</v>
      </c>
      <c r="T2088" s="47"/>
      <c r="U2088" s="47"/>
      <c r="V2088" s="47"/>
      <c r="W2088" s="47" t="s">
        <v>3317</v>
      </c>
      <c r="X2088" s="47"/>
      <c r="Y2088" s="47"/>
      <c r="Z2088" s="47">
        <f t="shared" si="429"/>
        <v>4620</v>
      </c>
      <c r="AA2088" s="47"/>
      <c r="AB2088" s="47"/>
      <c r="AC2088" s="47"/>
      <c r="AD2088" s="47"/>
      <c r="AE2088" s="47">
        <f t="shared" si="430"/>
        <v>5000</v>
      </c>
      <c r="AF2088" s="47"/>
      <c r="AG2088" s="47"/>
      <c r="AH2088" s="47" t="str">
        <f>IFERROR(_xlfn.XLOOKUP(Table6[[#This Row],[Suburb]],Table5[Travel Surcharge],Table5[$$]),"")</f>
        <v/>
      </c>
      <c r="AI2088" s="47"/>
      <c r="AJ2088" s="47"/>
    </row>
    <row r="2089" spans="1:36">
      <c r="A2089" s="157" t="s">
        <v>3311</v>
      </c>
      <c r="B2089" s="157">
        <v>366</v>
      </c>
      <c r="C2089" s="157" t="s">
        <v>1075</v>
      </c>
      <c r="D2089" s="157" t="str">
        <f t="shared" si="426"/>
        <v>Highlands Estate366</v>
      </c>
      <c r="E2089" s="157" t="s">
        <v>8481</v>
      </c>
      <c r="F2089" s="157" t="s">
        <v>650</v>
      </c>
      <c r="G2089" s="157" t="s">
        <v>3313</v>
      </c>
      <c r="H2089" s="157" t="s">
        <v>3314</v>
      </c>
      <c r="I2089" s="158" t="s">
        <v>3315</v>
      </c>
      <c r="J2089" s="47">
        <f t="shared" si="427"/>
        <v>3740</v>
      </c>
      <c r="K2089" s="46" t="s">
        <v>10735</v>
      </c>
      <c r="L2089" s="47"/>
      <c r="M2089" s="47">
        <f t="shared" si="428"/>
        <v>1430.0000000000002</v>
      </c>
      <c r="N2089" s="47" t="s">
        <v>3332</v>
      </c>
      <c r="O2089" s="47" t="s">
        <v>3316</v>
      </c>
      <c r="P2089" s="47"/>
      <c r="Q2089" s="47"/>
      <c r="R2089" s="47"/>
      <c r="S2089" s="47" t="s">
        <v>463</v>
      </c>
      <c r="T2089" s="47"/>
      <c r="U2089" s="47"/>
      <c r="V2089" s="47"/>
      <c r="W2089" s="47" t="s">
        <v>3317</v>
      </c>
      <c r="X2089" s="47"/>
      <c r="Y2089" s="47"/>
      <c r="Z2089" s="47">
        <f t="shared" si="429"/>
        <v>4620</v>
      </c>
      <c r="AA2089" s="47"/>
      <c r="AB2089" s="47"/>
      <c r="AC2089" s="47"/>
      <c r="AD2089" s="47"/>
      <c r="AE2089" s="47">
        <f t="shared" si="430"/>
        <v>5000</v>
      </c>
      <c r="AF2089" s="47"/>
      <c r="AG2089" s="47"/>
      <c r="AH2089" s="47" t="str">
        <f>IFERROR(_xlfn.XLOOKUP(Table6[[#This Row],[Suburb]],Table5[Travel Surcharge],Table5[$$]),"")</f>
        <v/>
      </c>
      <c r="AI2089" s="47"/>
      <c r="AJ2089" s="47"/>
    </row>
    <row r="2090" spans="1:36">
      <c r="A2090" s="374" t="s">
        <v>3311</v>
      </c>
      <c r="B2090" s="374">
        <v>404</v>
      </c>
      <c r="C2090" s="374" t="s">
        <v>1075</v>
      </c>
      <c r="D2090" s="375" t="str">
        <f t="shared" si="426"/>
        <v>Highlands Estate404</v>
      </c>
      <c r="E2090" s="375" t="s">
        <v>7470</v>
      </c>
      <c r="F2090" s="375" t="s">
        <v>650</v>
      </c>
      <c r="G2090" s="375" t="s">
        <v>3313</v>
      </c>
      <c r="H2090" s="375" t="s">
        <v>3314</v>
      </c>
      <c r="I2090" s="63" t="s">
        <v>3315</v>
      </c>
      <c r="J2090" s="47">
        <f t="shared" si="427"/>
        <v>3740</v>
      </c>
      <c r="K2090" s="46" t="s">
        <v>10735</v>
      </c>
      <c r="L2090" s="47"/>
      <c r="M2090" s="47">
        <f t="shared" si="428"/>
        <v>1430.0000000000002</v>
      </c>
      <c r="N2090" s="47" t="s">
        <v>3332</v>
      </c>
      <c r="O2090" s="47" t="s">
        <v>3316</v>
      </c>
      <c r="P2090" s="47"/>
      <c r="Q2090" s="47"/>
      <c r="R2090" s="47"/>
      <c r="S2090" s="47" t="s">
        <v>463</v>
      </c>
      <c r="T2090" s="47"/>
      <c r="U2090" s="47"/>
      <c r="V2090" s="47"/>
      <c r="W2090" s="47" t="s">
        <v>3317</v>
      </c>
      <c r="X2090" s="47"/>
      <c r="Y2090" s="47"/>
      <c r="Z2090" s="47">
        <f t="shared" si="429"/>
        <v>4620</v>
      </c>
      <c r="AA2090" s="47"/>
      <c r="AB2090" s="47"/>
      <c r="AC2090" s="47"/>
      <c r="AD2090" s="47"/>
      <c r="AE2090" s="47">
        <f t="shared" si="430"/>
        <v>5000</v>
      </c>
      <c r="AF2090" s="47"/>
      <c r="AG2090" s="47"/>
      <c r="AH2090" s="47" t="str">
        <f>IFERROR(_xlfn.XLOOKUP(Table6[[#This Row],[Suburb]],Table5[Travel Surcharge],Table5[$$]),"")</f>
        <v/>
      </c>
      <c r="AI2090" s="47"/>
      <c r="AJ2090" s="47"/>
    </row>
    <row r="2091" spans="1:36">
      <c r="A2091" s="374" t="s">
        <v>3311</v>
      </c>
      <c r="B2091" s="374">
        <v>405</v>
      </c>
      <c r="C2091" s="374" t="s">
        <v>1075</v>
      </c>
      <c r="D2091" s="375" t="str">
        <f t="shared" si="426"/>
        <v>Highlands Estate405</v>
      </c>
      <c r="E2091" s="375" t="s">
        <v>3370</v>
      </c>
      <c r="F2091" s="375" t="s">
        <v>650</v>
      </c>
      <c r="G2091" s="375" t="s">
        <v>3313</v>
      </c>
      <c r="H2091" s="375" t="s">
        <v>3314</v>
      </c>
      <c r="I2091" s="63" t="s">
        <v>3315</v>
      </c>
      <c r="J2091" s="47">
        <f t="shared" si="427"/>
        <v>3740</v>
      </c>
      <c r="K2091" s="46" t="s">
        <v>10735</v>
      </c>
      <c r="L2091" s="47"/>
      <c r="M2091" s="47">
        <f t="shared" si="428"/>
        <v>1430.0000000000002</v>
      </c>
      <c r="N2091" s="47" t="s">
        <v>3332</v>
      </c>
      <c r="O2091" s="47" t="s">
        <v>3316</v>
      </c>
      <c r="P2091" s="47"/>
      <c r="Q2091" s="47"/>
      <c r="R2091" s="47"/>
      <c r="S2091" s="47" t="s">
        <v>463</v>
      </c>
      <c r="T2091" s="47"/>
      <c r="U2091" s="47"/>
      <c r="V2091" s="47"/>
      <c r="W2091" s="47" t="s">
        <v>3317</v>
      </c>
      <c r="X2091" s="47"/>
      <c r="Y2091" s="47"/>
      <c r="Z2091" s="47">
        <f t="shared" si="429"/>
        <v>4620</v>
      </c>
      <c r="AA2091" s="47"/>
      <c r="AB2091" s="47"/>
      <c r="AC2091" s="47"/>
      <c r="AD2091" s="47"/>
      <c r="AE2091" s="47">
        <f t="shared" si="430"/>
        <v>5000</v>
      </c>
      <c r="AF2091" s="47"/>
      <c r="AG2091" s="47"/>
      <c r="AH2091" s="47" t="str">
        <f>IFERROR(_xlfn.XLOOKUP(Table6[[#This Row],[Suburb]],Table5[Travel Surcharge],Table5[$$]),"")</f>
        <v/>
      </c>
      <c r="AI2091" s="47"/>
      <c r="AJ2091" s="47"/>
    </row>
    <row r="2092" spans="1:36">
      <c r="A2092" s="157" t="s">
        <v>3311</v>
      </c>
      <c r="B2092" s="157">
        <v>406</v>
      </c>
      <c r="C2092" s="157" t="s">
        <v>8286</v>
      </c>
      <c r="D2092" s="157" t="str">
        <f t="shared" si="426"/>
        <v>Highlands Estate406</v>
      </c>
      <c r="E2092" s="157" t="s">
        <v>8445</v>
      </c>
      <c r="F2092" s="157" t="s">
        <v>650</v>
      </c>
      <c r="G2092" s="157" t="s">
        <v>3313</v>
      </c>
      <c r="H2092" s="157" t="s">
        <v>8287</v>
      </c>
      <c r="I2092" s="158" t="s">
        <v>3315</v>
      </c>
      <c r="J2092" s="47">
        <f t="shared" si="427"/>
        <v>3740</v>
      </c>
      <c r="K2092" s="46" t="s">
        <v>10735</v>
      </c>
      <c r="L2092" s="47"/>
      <c r="M2092" s="47">
        <f t="shared" si="428"/>
        <v>1430.0000000000002</v>
      </c>
      <c r="N2092" s="47" t="s">
        <v>3332</v>
      </c>
      <c r="O2092" s="47" t="s">
        <v>3316</v>
      </c>
      <c r="P2092" s="47"/>
      <c r="Q2092" s="47"/>
      <c r="R2092" s="47"/>
      <c r="S2092" s="47" t="s">
        <v>463</v>
      </c>
      <c r="T2092" s="47"/>
      <c r="U2092" s="47"/>
      <c r="V2092" s="47"/>
      <c r="W2092" s="47" t="s">
        <v>3317</v>
      </c>
      <c r="X2092" s="47"/>
      <c r="Y2092" s="47"/>
      <c r="Z2092" s="47">
        <f t="shared" si="429"/>
        <v>4620</v>
      </c>
      <c r="AA2092" s="47"/>
      <c r="AB2092" s="47"/>
      <c r="AC2092" s="47"/>
      <c r="AD2092" s="47"/>
      <c r="AE2092" s="47">
        <f t="shared" si="430"/>
        <v>5000</v>
      </c>
      <c r="AF2092" s="47"/>
      <c r="AG2092" s="47"/>
      <c r="AH2092" s="47" t="str">
        <f>IFERROR(_xlfn.XLOOKUP(Table6[[#This Row],[Suburb]],Table5[Travel Surcharge],Table5[$$]),"")</f>
        <v/>
      </c>
      <c r="AI2092" s="47"/>
      <c r="AJ2092" s="47"/>
    </row>
    <row r="2093" spans="1:36">
      <c r="A2093" s="157" t="s">
        <v>3311</v>
      </c>
      <c r="B2093" s="157">
        <v>407</v>
      </c>
      <c r="C2093" s="157" t="s">
        <v>1075</v>
      </c>
      <c r="D2093" s="157" t="str">
        <f t="shared" si="426"/>
        <v>Highlands Estate407</v>
      </c>
      <c r="E2093" s="157" t="s">
        <v>8397</v>
      </c>
      <c r="F2093" s="157" t="s">
        <v>650</v>
      </c>
      <c r="G2093" s="157" t="s">
        <v>3313</v>
      </c>
      <c r="H2093" s="157" t="s">
        <v>3314</v>
      </c>
      <c r="I2093" s="158" t="s">
        <v>3315</v>
      </c>
      <c r="J2093" s="47">
        <f t="shared" si="427"/>
        <v>3740</v>
      </c>
      <c r="K2093" s="46" t="s">
        <v>10735</v>
      </c>
      <c r="L2093" s="47"/>
      <c r="M2093" s="47">
        <f t="shared" si="428"/>
        <v>1430.0000000000002</v>
      </c>
      <c r="N2093" s="47" t="s">
        <v>3332</v>
      </c>
      <c r="O2093" s="47" t="s">
        <v>3316</v>
      </c>
      <c r="P2093" s="47"/>
      <c r="Q2093" s="47"/>
      <c r="R2093" s="47"/>
      <c r="S2093" s="47" t="s">
        <v>463</v>
      </c>
      <c r="T2093" s="47"/>
      <c r="U2093" s="47"/>
      <c r="V2093" s="47"/>
      <c r="W2093" s="47" t="s">
        <v>8290</v>
      </c>
      <c r="X2093" s="47"/>
      <c r="Y2093" s="47"/>
      <c r="Z2093" s="47">
        <f t="shared" si="429"/>
        <v>4620</v>
      </c>
      <c r="AA2093" s="47"/>
      <c r="AB2093" s="47"/>
      <c r="AC2093" s="47"/>
      <c r="AD2093" s="47"/>
      <c r="AE2093" s="47">
        <f t="shared" si="430"/>
        <v>5000</v>
      </c>
      <c r="AF2093" s="47"/>
      <c r="AG2093" s="47"/>
      <c r="AH2093" s="47" t="str">
        <f>IFERROR(_xlfn.XLOOKUP(Table6[[#This Row],[Suburb]],Table5[Travel Surcharge],Table5[$$]),"")</f>
        <v/>
      </c>
      <c r="AI2093" s="47"/>
      <c r="AJ2093" s="47"/>
    </row>
    <row r="2094" spans="1:36">
      <c r="A2094" s="157" t="s">
        <v>3311</v>
      </c>
      <c r="B2094" s="157">
        <v>408</v>
      </c>
      <c r="C2094" s="157" t="s">
        <v>1075</v>
      </c>
      <c r="D2094" s="157" t="str">
        <f t="shared" si="426"/>
        <v>Highlands Estate408</v>
      </c>
      <c r="E2094" s="157" t="s">
        <v>7942</v>
      </c>
      <c r="F2094" s="157" t="s">
        <v>650</v>
      </c>
      <c r="G2094" s="157" t="s">
        <v>3313</v>
      </c>
      <c r="H2094" s="157" t="s">
        <v>3314</v>
      </c>
      <c r="I2094" s="158" t="s">
        <v>3315</v>
      </c>
      <c r="J2094" s="47">
        <f t="shared" si="427"/>
        <v>3740</v>
      </c>
      <c r="K2094" s="46" t="s">
        <v>10735</v>
      </c>
      <c r="L2094" s="47"/>
      <c r="M2094" s="47">
        <f t="shared" si="428"/>
        <v>1430.0000000000002</v>
      </c>
      <c r="N2094" s="47" t="s">
        <v>3332</v>
      </c>
      <c r="O2094" s="47" t="s">
        <v>3316</v>
      </c>
      <c r="P2094" s="47"/>
      <c r="Q2094" s="47"/>
      <c r="R2094" s="47"/>
      <c r="S2094" s="47" t="s">
        <v>463</v>
      </c>
      <c r="T2094" s="47"/>
      <c r="U2094" s="47"/>
      <c r="V2094" s="47"/>
      <c r="W2094" s="47" t="s">
        <v>8290</v>
      </c>
      <c r="X2094" s="47"/>
      <c r="Y2094" s="47"/>
      <c r="Z2094" s="47">
        <f t="shared" si="429"/>
        <v>4620</v>
      </c>
      <c r="AA2094" s="47"/>
      <c r="AB2094" s="47"/>
      <c r="AC2094" s="47"/>
      <c r="AD2094" s="47" t="s">
        <v>1</v>
      </c>
      <c r="AE2094" s="47"/>
      <c r="AF2094" s="47"/>
      <c r="AG2094" s="47"/>
      <c r="AH2094" s="47" t="str">
        <f>IFERROR(_xlfn.XLOOKUP(Table6[[#This Row],[Suburb]],Table5[Travel Surcharge],Table5[$$]),"")</f>
        <v/>
      </c>
      <c r="AI2094" s="47"/>
      <c r="AJ2094" s="47"/>
    </row>
    <row r="2095" spans="1:36">
      <c r="A2095" s="157" t="s">
        <v>3311</v>
      </c>
      <c r="B2095" s="157">
        <v>409</v>
      </c>
      <c r="C2095" s="157" t="s">
        <v>1075</v>
      </c>
      <c r="D2095" s="157" t="str">
        <f t="shared" si="426"/>
        <v>Highlands Estate409</v>
      </c>
      <c r="E2095" s="157" t="s">
        <v>8291</v>
      </c>
      <c r="F2095" s="157" t="s">
        <v>650</v>
      </c>
      <c r="G2095" s="157" t="s">
        <v>3313</v>
      </c>
      <c r="H2095" s="157" t="s">
        <v>3314</v>
      </c>
      <c r="I2095" s="158" t="s">
        <v>3315</v>
      </c>
      <c r="J2095" s="47">
        <f t="shared" si="427"/>
        <v>3740</v>
      </c>
      <c r="K2095" s="46" t="s">
        <v>10735</v>
      </c>
      <c r="L2095" s="47"/>
      <c r="M2095" s="47">
        <f t="shared" si="428"/>
        <v>1430.0000000000002</v>
      </c>
      <c r="N2095" s="47" t="s">
        <v>3332</v>
      </c>
      <c r="O2095" s="47" t="s">
        <v>3316</v>
      </c>
      <c r="P2095" s="47"/>
      <c r="Q2095" s="47"/>
      <c r="R2095" s="47"/>
      <c r="S2095" s="47" t="s">
        <v>463</v>
      </c>
      <c r="T2095" s="47"/>
      <c r="U2095" s="47"/>
      <c r="V2095" s="47"/>
      <c r="W2095" s="47" t="s">
        <v>8290</v>
      </c>
      <c r="X2095" s="47"/>
      <c r="Y2095" s="47"/>
      <c r="Z2095" s="47">
        <f t="shared" si="429"/>
        <v>4620</v>
      </c>
      <c r="AA2095" s="47"/>
      <c r="AB2095" s="47"/>
      <c r="AC2095" s="47"/>
      <c r="AD2095" s="47" t="s">
        <v>1</v>
      </c>
      <c r="AE2095" s="47"/>
      <c r="AF2095" s="47"/>
      <c r="AG2095" s="47"/>
      <c r="AH2095" s="47" t="str">
        <f>IFERROR(_xlfn.XLOOKUP(Table6[[#This Row],[Suburb]],Table5[Travel Surcharge],Table5[$$]),"")</f>
        <v/>
      </c>
      <c r="AI2095" s="47"/>
      <c r="AJ2095" s="47"/>
    </row>
    <row r="2096" spans="1:36">
      <c r="A2096" s="157" t="s">
        <v>3311</v>
      </c>
      <c r="B2096" s="157">
        <v>410</v>
      </c>
      <c r="C2096" s="157" t="s">
        <v>8286</v>
      </c>
      <c r="D2096" s="157" t="str">
        <f t="shared" si="426"/>
        <v>Highlands Estate410</v>
      </c>
      <c r="E2096" s="157" t="s">
        <v>8288</v>
      </c>
      <c r="F2096" s="157" t="s">
        <v>650</v>
      </c>
      <c r="G2096" s="157" t="s">
        <v>3313</v>
      </c>
      <c r="H2096" s="157" t="s">
        <v>8287</v>
      </c>
      <c r="I2096" s="158" t="s">
        <v>3315</v>
      </c>
      <c r="J2096" s="47">
        <f t="shared" si="427"/>
        <v>3740</v>
      </c>
      <c r="K2096" s="46" t="s">
        <v>10735</v>
      </c>
      <c r="L2096" s="47"/>
      <c r="M2096" s="47">
        <f t="shared" si="428"/>
        <v>1430.0000000000002</v>
      </c>
      <c r="N2096" s="47" t="s">
        <v>3332</v>
      </c>
      <c r="O2096" s="47" t="s">
        <v>3316</v>
      </c>
      <c r="P2096" s="47"/>
      <c r="Q2096" s="47"/>
      <c r="R2096" s="47"/>
      <c r="S2096" s="47" t="s">
        <v>463</v>
      </c>
      <c r="T2096" s="47"/>
      <c r="U2096" s="47"/>
      <c r="V2096" s="47"/>
      <c r="W2096" s="47" t="s">
        <v>8290</v>
      </c>
      <c r="X2096" s="47"/>
      <c r="Y2096" s="47"/>
      <c r="Z2096" s="47">
        <f t="shared" si="429"/>
        <v>4620</v>
      </c>
      <c r="AA2096" s="47"/>
      <c r="AB2096" s="47"/>
      <c r="AC2096" s="47"/>
      <c r="AD2096" s="47" t="s">
        <v>1</v>
      </c>
      <c r="AE2096" s="47"/>
      <c r="AF2096" s="47"/>
      <c r="AG2096" s="47"/>
      <c r="AH2096" s="47" t="str">
        <f>IFERROR(_xlfn.XLOOKUP(Table6[[#This Row],[Suburb]],Table5[Travel Surcharge],Table5[$$]),"")</f>
        <v/>
      </c>
      <c r="AI2096" s="47"/>
      <c r="AJ2096" s="47"/>
    </row>
    <row r="2097" spans="1:36">
      <c r="A2097" s="157" t="s">
        <v>3311</v>
      </c>
      <c r="B2097" s="157">
        <v>411</v>
      </c>
      <c r="C2097" s="157" t="s">
        <v>8347</v>
      </c>
      <c r="D2097" s="157" t="str">
        <f t="shared" si="426"/>
        <v>Highlands Estate411</v>
      </c>
      <c r="E2097" s="157" t="s">
        <v>8349</v>
      </c>
      <c r="F2097" s="157" t="s">
        <v>650</v>
      </c>
      <c r="G2097" s="157" t="s">
        <v>3313</v>
      </c>
      <c r="H2097" s="157" t="s">
        <v>8348</v>
      </c>
      <c r="I2097" s="158" t="s">
        <v>3315</v>
      </c>
      <c r="J2097" s="47">
        <f t="shared" si="427"/>
        <v>3740</v>
      </c>
      <c r="K2097" s="46" t="s">
        <v>10735</v>
      </c>
      <c r="L2097" s="47"/>
      <c r="M2097" s="47">
        <f t="shared" si="428"/>
        <v>1430.0000000000002</v>
      </c>
      <c r="N2097" s="47" t="s">
        <v>3332</v>
      </c>
      <c r="O2097" s="47" t="s">
        <v>3316</v>
      </c>
      <c r="P2097" s="47"/>
      <c r="Q2097" s="47"/>
      <c r="R2097" s="47"/>
      <c r="S2097" s="47" t="s">
        <v>463</v>
      </c>
      <c r="T2097" s="47"/>
      <c r="U2097" s="47"/>
      <c r="V2097" s="47"/>
      <c r="W2097" s="47" t="s">
        <v>8290</v>
      </c>
      <c r="X2097" s="47"/>
      <c r="Y2097" s="47"/>
      <c r="Z2097" s="47">
        <f t="shared" si="429"/>
        <v>4620</v>
      </c>
      <c r="AA2097" s="47"/>
      <c r="AB2097" s="47"/>
      <c r="AC2097" s="47"/>
      <c r="AD2097" s="47" t="s">
        <v>1</v>
      </c>
      <c r="AE2097" s="47"/>
      <c r="AF2097" s="47"/>
      <c r="AG2097" s="47"/>
      <c r="AH2097" s="47" t="str">
        <f>IFERROR(_xlfn.XLOOKUP(Table6[[#This Row],[Suburb]],Table5[Travel Surcharge],Table5[$$]),"")</f>
        <v/>
      </c>
      <c r="AI2097" s="47"/>
      <c r="AJ2097" s="47"/>
    </row>
    <row r="2098" spans="1:36">
      <c r="A2098" s="157" t="s">
        <v>3311</v>
      </c>
      <c r="B2098" s="157">
        <v>412</v>
      </c>
      <c r="C2098" s="157" t="s">
        <v>8347</v>
      </c>
      <c r="D2098" s="157" t="str">
        <f t="shared" si="426"/>
        <v>Highlands Estate412</v>
      </c>
      <c r="E2098" s="157" t="s">
        <v>9388</v>
      </c>
      <c r="F2098" s="157" t="s">
        <v>650</v>
      </c>
      <c r="G2098" s="157" t="s">
        <v>3313</v>
      </c>
      <c r="H2098" s="157" t="s">
        <v>8348</v>
      </c>
      <c r="I2098" s="158" t="s">
        <v>3315</v>
      </c>
      <c r="J2098" s="47">
        <f t="shared" si="427"/>
        <v>3740</v>
      </c>
      <c r="K2098" s="46" t="s">
        <v>10735</v>
      </c>
      <c r="L2098" s="47"/>
      <c r="M2098" s="47">
        <f t="shared" si="428"/>
        <v>1430.0000000000002</v>
      </c>
      <c r="N2098" s="47" t="s">
        <v>3332</v>
      </c>
      <c r="O2098" s="47" t="s">
        <v>3316</v>
      </c>
      <c r="P2098" s="47"/>
      <c r="Q2098" s="47"/>
      <c r="R2098" s="47"/>
      <c r="S2098" s="47" t="s">
        <v>463</v>
      </c>
      <c r="T2098" s="47"/>
      <c r="U2098" s="47"/>
      <c r="V2098" s="47"/>
      <c r="W2098" s="47" t="s">
        <v>8290</v>
      </c>
      <c r="X2098" s="47"/>
      <c r="Y2098" s="47"/>
      <c r="Z2098" s="47">
        <f t="shared" si="429"/>
        <v>4620</v>
      </c>
      <c r="AA2098" s="47"/>
      <c r="AB2098" s="47"/>
      <c r="AC2098" s="47"/>
      <c r="AD2098" s="47" t="s">
        <v>1</v>
      </c>
      <c r="AE2098" s="47"/>
      <c r="AF2098" s="47"/>
      <c r="AG2098" s="47"/>
      <c r="AH2098" s="47" t="str">
        <f>IFERROR(_xlfn.XLOOKUP(Table6[[#This Row],[Suburb]],Table5[Travel Surcharge],Table5[$$]),"")</f>
        <v/>
      </c>
      <c r="AI2098" s="47"/>
      <c r="AJ2098" s="47"/>
    </row>
    <row r="2099" spans="1:36">
      <c r="A2099" s="374" t="s">
        <v>3311</v>
      </c>
      <c r="B2099" s="374">
        <v>430</v>
      </c>
      <c r="C2099" s="374" t="s">
        <v>8347</v>
      </c>
      <c r="D2099" s="157" t="str">
        <f t="shared" si="426"/>
        <v>Highlands Estate430</v>
      </c>
      <c r="E2099" s="375" t="s">
        <v>9864</v>
      </c>
      <c r="F2099" s="375" t="s">
        <v>650</v>
      </c>
      <c r="G2099" s="375" t="s">
        <v>3313</v>
      </c>
      <c r="H2099" s="375" t="s">
        <v>8348</v>
      </c>
      <c r="I2099" s="63" t="s">
        <v>3315</v>
      </c>
      <c r="J2099" s="47">
        <v>3740</v>
      </c>
      <c r="K2099" s="46" t="s">
        <v>10735</v>
      </c>
      <c r="L2099" s="47"/>
      <c r="M2099" s="47">
        <v>1430.0000000000002</v>
      </c>
      <c r="N2099" s="47" t="s">
        <v>3332</v>
      </c>
      <c r="O2099" s="47" t="s">
        <v>3316</v>
      </c>
      <c r="P2099" s="47"/>
      <c r="Q2099" s="47"/>
      <c r="R2099" s="47"/>
      <c r="S2099" s="47" t="s">
        <v>463</v>
      </c>
      <c r="T2099" s="47"/>
      <c r="U2099" s="47"/>
      <c r="V2099" s="47"/>
      <c r="W2099" s="47" t="s">
        <v>8290</v>
      </c>
      <c r="X2099" s="47"/>
      <c r="Y2099" s="47"/>
      <c r="Z2099" s="47">
        <v>4620</v>
      </c>
      <c r="AA2099" s="47"/>
      <c r="AB2099" s="47"/>
      <c r="AC2099" s="47"/>
      <c r="AD2099" s="47" t="s">
        <v>1</v>
      </c>
      <c r="AE2099" s="47"/>
      <c r="AF2099" s="47"/>
      <c r="AG2099" s="47"/>
      <c r="AH2099" s="47" t="str">
        <f>IFERROR(_xlfn.XLOOKUP(Table6[[#This Row],[Suburb]],Table5[Travel Surcharge],Table5[$$]),"")</f>
        <v/>
      </c>
      <c r="AI2099" s="47"/>
      <c r="AJ2099" s="47"/>
    </row>
    <row r="2100" spans="1:36">
      <c r="A2100" s="374" t="s">
        <v>3311</v>
      </c>
      <c r="B2100" s="374">
        <v>431</v>
      </c>
      <c r="C2100" s="374" t="s">
        <v>8347</v>
      </c>
      <c r="D2100" s="157" t="str">
        <f t="shared" si="426"/>
        <v>Highlands Estate431</v>
      </c>
      <c r="E2100" s="375" t="s">
        <v>10182</v>
      </c>
      <c r="F2100" s="375" t="s">
        <v>650</v>
      </c>
      <c r="G2100" s="375" t="s">
        <v>3313</v>
      </c>
      <c r="H2100" s="375" t="s">
        <v>8348</v>
      </c>
      <c r="I2100" s="63" t="s">
        <v>3315</v>
      </c>
      <c r="J2100" s="47">
        <v>3740</v>
      </c>
      <c r="K2100" s="46" t="s">
        <v>10735</v>
      </c>
      <c r="L2100" s="47"/>
      <c r="M2100" s="47">
        <v>1430.0000000000002</v>
      </c>
      <c r="N2100" s="47" t="s">
        <v>3332</v>
      </c>
      <c r="O2100" s="47" t="s">
        <v>3316</v>
      </c>
      <c r="P2100" s="47"/>
      <c r="Q2100" s="47"/>
      <c r="R2100" s="47"/>
      <c r="S2100" s="47" t="s">
        <v>463</v>
      </c>
      <c r="T2100" s="47"/>
      <c r="U2100" s="47"/>
      <c r="V2100" s="47"/>
      <c r="W2100" s="47" t="s">
        <v>8290</v>
      </c>
      <c r="X2100" s="47"/>
      <c r="Y2100" s="47"/>
      <c r="Z2100" s="47">
        <v>4620</v>
      </c>
      <c r="AA2100" s="47"/>
      <c r="AB2100" s="47"/>
      <c r="AC2100" s="47"/>
      <c r="AD2100" s="47" t="s">
        <v>1</v>
      </c>
      <c r="AE2100" s="47"/>
      <c r="AF2100" s="47"/>
      <c r="AG2100" s="47"/>
      <c r="AH2100" s="47" t="s">
        <v>9976</v>
      </c>
      <c r="AI2100" s="47"/>
      <c r="AJ2100" s="47"/>
    </row>
    <row r="2101" spans="1:36">
      <c r="A2101" s="374" t="s">
        <v>3311</v>
      </c>
      <c r="B2101" s="374">
        <v>438</v>
      </c>
      <c r="C2101" s="374" t="s">
        <v>1075</v>
      </c>
      <c r="D2101" s="157" t="str">
        <f t="shared" si="426"/>
        <v>Highlands Estate438</v>
      </c>
      <c r="E2101" s="375" t="s">
        <v>9321</v>
      </c>
      <c r="F2101" s="375" t="s">
        <v>650</v>
      </c>
      <c r="G2101" s="375" t="s">
        <v>3313</v>
      </c>
      <c r="H2101" s="375" t="s">
        <v>3314</v>
      </c>
      <c r="I2101" s="63" t="s">
        <v>3315</v>
      </c>
      <c r="J2101" s="47">
        <v>3740</v>
      </c>
      <c r="K2101" s="46" t="s">
        <v>10735</v>
      </c>
      <c r="L2101" s="47"/>
      <c r="M2101" s="47">
        <v>1430.0000000000002</v>
      </c>
      <c r="N2101" s="47"/>
      <c r="O2101" s="47" t="s">
        <v>3316</v>
      </c>
      <c r="P2101" s="47"/>
      <c r="Q2101" s="47"/>
      <c r="R2101" s="47"/>
      <c r="S2101" s="47" t="s">
        <v>463</v>
      </c>
      <c r="T2101" s="47"/>
      <c r="U2101" s="47"/>
      <c r="V2101" s="47"/>
      <c r="W2101" s="47" t="s">
        <v>3317</v>
      </c>
      <c r="X2101" s="47"/>
      <c r="Y2101" s="47"/>
      <c r="Z2101" s="47">
        <v>4620</v>
      </c>
      <c r="AA2101" s="47"/>
      <c r="AB2101" s="47" t="s">
        <v>3318</v>
      </c>
      <c r="AC2101" s="47"/>
      <c r="AD2101" s="47"/>
      <c r="AE2101" s="47">
        <v>5000</v>
      </c>
      <c r="AF2101" s="47"/>
      <c r="AG2101" s="47"/>
      <c r="AH2101" s="47" t="s">
        <v>9976</v>
      </c>
      <c r="AI2101" s="47"/>
      <c r="AJ2101" s="47"/>
    </row>
    <row r="2102" spans="1:36">
      <c r="A2102" s="374" t="s">
        <v>3311</v>
      </c>
      <c r="B2102" s="374">
        <v>451</v>
      </c>
      <c r="C2102" s="374" t="s">
        <v>8347</v>
      </c>
      <c r="D2102" s="157" t="str">
        <f t="shared" si="426"/>
        <v>Highlands Estate451</v>
      </c>
      <c r="E2102" s="375" t="s">
        <v>10183</v>
      </c>
      <c r="F2102" s="375" t="s">
        <v>650</v>
      </c>
      <c r="G2102" s="375" t="s">
        <v>3313</v>
      </c>
      <c r="H2102" s="375" t="s">
        <v>8348</v>
      </c>
      <c r="I2102" s="63" t="s">
        <v>3315</v>
      </c>
      <c r="J2102" s="47">
        <v>3740</v>
      </c>
      <c r="K2102" s="46" t="s">
        <v>10735</v>
      </c>
      <c r="L2102" s="47"/>
      <c r="M2102" s="47">
        <v>1430.0000000000002</v>
      </c>
      <c r="N2102" s="47" t="s">
        <v>3332</v>
      </c>
      <c r="O2102" s="47" t="s">
        <v>3316</v>
      </c>
      <c r="P2102" s="47"/>
      <c r="Q2102" s="47"/>
      <c r="R2102" s="47"/>
      <c r="S2102" s="47" t="s">
        <v>463</v>
      </c>
      <c r="T2102" s="47"/>
      <c r="U2102" s="47"/>
      <c r="V2102" s="47"/>
      <c r="W2102" s="47" t="s">
        <v>8290</v>
      </c>
      <c r="X2102" s="47"/>
      <c r="Y2102" s="47"/>
      <c r="Z2102" s="47">
        <v>4620</v>
      </c>
      <c r="AA2102" s="47"/>
      <c r="AB2102" s="47"/>
      <c r="AC2102" s="47"/>
      <c r="AD2102" s="47" t="s">
        <v>1</v>
      </c>
      <c r="AE2102" s="47"/>
      <c r="AF2102" s="47"/>
      <c r="AG2102" s="47"/>
      <c r="AH2102" s="47" t="s">
        <v>9976</v>
      </c>
      <c r="AI2102" s="47"/>
      <c r="AJ2102" s="47"/>
    </row>
    <row r="2103" spans="1:36">
      <c r="A2103" s="374" t="s">
        <v>3311</v>
      </c>
      <c r="B2103" s="374">
        <v>603</v>
      </c>
      <c r="C2103" s="374" t="s">
        <v>1075</v>
      </c>
      <c r="D2103" s="375" t="str">
        <f t="shared" si="426"/>
        <v>Highlands Estate603</v>
      </c>
      <c r="E2103" s="375" t="s">
        <v>3371</v>
      </c>
      <c r="F2103" s="375" t="s">
        <v>650</v>
      </c>
      <c r="G2103" s="375" t="s">
        <v>3313</v>
      </c>
      <c r="H2103" s="375" t="s">
        <v>3314</v>
      </c>
      <c r="I2103" s="63" t="s">
        <v>3315</v>
      </c>
      <c r="J2103" s="47">
        <f t="shared" si="427"/>
        <v>3740</v>
      </c>
      <c r="K2103" s="46" t="s">
        <v>10735</v>
      </c>
      <c r="L2103" s="47"/>
      <c r="M2103" s="47">
        <f t="shared" si="428"/>
        <v>1430.0000000000002</v>
      </c>
      <c r="N2103" s="47" t="s">
        <v>3332</v>
      </c>
      <c r="O2103" s="47" t="s">
        <v>3316</v>
      </c>
      <c r="P2103" s="47"/>
      <c r="Q2103" s="47"/>
      <c r="R2103" s="47"/>
      <c r="S2103" s="47" t="s">
        <v>463</v>
      </c>
      <c r="T2103" s="47"/>
      <c r="U2103" s="47"/>
      <c r="V2103" s="47"/>
      <c r="W2103" s="47" t="s">
        <v>3317</v>
      </c>
      <c r="X2103" s="47"/>
      <c r="Y2103" s="47"/>
      <c r="Z2103" s="47">
        <f t="shared" si="429"/>
        <v>4620</v>
      </c>
      <c r="AA2103" s="47"/>
      <c r="AB2103" s="47"/>
      <c r="AC2103" s="47"/>
      <c r="AD2103" s="47"/>
      <c r="AE2103" s="47">
        <f>AE$7</f>
        <v>5000</v>
      </c>
      <c r="AF2103" s="47"/>
      <c r="AG2103" s="47"/>
      <c r="AH2103" s="47" t="str">
        <f>IFERROR(_xlfn.XLOOKUP(Table6[[#This Row],[Suburb]],Table5[Travel Surcharge],Table5[$$]),"")</f>
        <v/>
      </c>
      <c r="AI2103" s="47"/>
      <c r="AJ2103" s="47"/>
    </row>
    <row r="2104" spans="1:36">
      <c r="A2104" s="374" t="s">
        <v>3311</v>
      </c>
      <c r="B2104" s="374">
        <v>701</v>
      </c>
      <c r="C2104" s="374" t="s">
        <v>1075</v>
      </c>
      <c r="D2104" s="375" t="str">
        <f t="shared" si="426"/>
        <v>Highlands Estate701</v>
      </c>
      <c r="E2104" s="375" t="s">
        <v>10184</v>
      </c>
      <c r="F2104" s="375" t="s">
        <v>650</v>
      </c>
      <c r="G2104" s="375" t="s">
        <v>3313</v>
      </c>
      <c r="H2104" s="375" t="s">
        <v>3314</v>
      </c>
      <c r="I2104" s="63" t="s">
        <v>3315</v>
      </c>
      <c r="J2104" s="47">
        <v>3740</v>
      </c>
      <c r="K2104" s="46" t="s">
        <v>10735</v>
      </c>
      <c r="L2104" s="47"/>
      <c r="M2104" s="47">
        <v>1430.0000000000002</v>
      </c>
      <c r="N2104" s="47" t="s">
        <v>3332</v>
      </c>
      <c r="O2104" s="47" t="s">
        <v>3316</v>
      </c>
      <c r="P2104" s="47"/>
      <c r="Q2104" s="47"/>
      <c r="R2104" s="47"/>
      <c r="S2104" s="47" t="s">
        <v>463</v>
      </c>
      <c r="T2104" s="47"/>
      <c r="U2104" s="47"/>
      <c r="V2104" s="47"/>
      <c r="W2104" s="47" t="s">
        <v>3317</v>
      </c>
      <c r="X2104" s="47"/>
      <c r="Y2104" s="47"/>
      <c r="Z2104" s="47">
        <v>4620</v>
      </c>
      <c r="AA2104" s="47"/>
      <c r="AB2104" s="47"/>
      <c r="AC2104" s="47"/>
      <c r="AD2104" s="47"/>
      <c r="AE2104" s="47">
        <v>5000</v>
      </c>
      <c r="AF2104" s="47"/>
      <c r="AG2104" s="47"/>
      <c r="AH2104" s="47" t="s">
        <v>9976</v>
      </c>
      <c r="AI2104" s="47"/>
      <c r="AJ2104" s="47"/>
    </row>
    <row r="2105" spans="1:36">
      <c r="A2105" s="374" t="s">
        <v>3311</v>
      </c>
      <c r="B2105" s="374">
        <v>702</v>
      </c>
      <c r="C2105" s="374" t="s">
        <v>1075</v>
      </c>
      <c r="D2105" s="375" t="str">
        <f t="shared" si="426"/>
        <v>Highlands Estate702</v>
      </c>
      <c r="E2105" s="375" t="s">
        <v>10185</v>
      </c>
      <c r="F2105" s="375" t="s">
        <v>650</v>
      </c>
      <c r="G2105" s="375" t="s">
        <v>3313</v>
      </c>
      <c r="H2105" s="375" t="s">
        <v>3314</v>
      </c>
      <c r="I2105" s="63" t="s">
        <v>3315</v>
      </c>
      <c r="J2105" s="47">
        <v>3740</v>
      </c>
      <c r="K2105" s="46" t="s">
        <v>10735</v>
      </c>
      <c r="L2105" s="47"/>
      <c r="M2105" s="47">
        <v>1430.0000000000002</v>
      </c>
      <c r="N2105" s="47" t="s">
        <v>3332</v>
      </c>
      <c r="O2105" s="47" t="s">
        <v>3316</v>
      </c>
      <c r="P2105" s="47"/>
      <c r="Q2105" s="47"/>
      <c r="R2105" s="47"/>
      <c r="S2105" s="47" t="s">
        <v>463</v>
      </c>
      <c r="T2105" s="47"/>
      <c r="U2105" s="47"/>
      <c r="V2105" s="47"/>
      <c r="W2105" s="47" t="s">
        <v>3317</v>
      </c>
      <c r="X2105" s="47"/>
      <c r="Y2105" s="47"/>
      <c r="Z2105" s="47">
        <v>4620</v>
      </c>
      <c r="AA2105" s="47"/>
      <c r="AB2105" s="47"/>
      <c r="AC2105" s="47"/>
      <c r="AD2105" s="47"/>
      <c r="AE2105" s="47">
        <v>5000</v>
      </c>
      <c r="AF2105" s="47"/>
      <c r="AG2105" s="47"/>
      <c r="AH2105" s="47" t="s">
        <v>9976</v>
      </c>
      <c r="AI2105" s="47"/>
      <c r="AJ2105" s="47"/>
    </row>
    <row r="2106" spans="1:36">
      <c r="A2106" s="374" t="s">
        <v>3372</v>
      </c>
      <c r="B2106" s="374">
        <v>7</v>
      </c>
      <c r="C2106" s="374" t="s">
        <v>3373</v>
      </c>
      <c r="D2106" s="375" t="str">
        <f t="shared" si="426"/>
        <v>Highton Ridge Estate7</v>
      </c>
      <c r="E2106" s="375" t="s">
        <v>3379</v>
      </c>
      <c r="F2106" s="375" t="s">
        <v>3375</v>
      </c>
      <c r="G2106" s="375" t="s">
        <v>3376</v>
      </c>
      <c r="H2106" s="375" t="s">
        <v>3377</v>
      </c>
      <c r="I2106" s="63" t="s">
        <v>3378</v>
      </c>
      <c r="J2106" s="47"/>
      <c r="K2106" s="46" t="s">
        <v>10735</v>
      </c>
      <c r="L2106" s="47"/>
      <c r="M2106" s="47"/>
      <c r="N2106" s="47"/>
      <c r="O2106" s="47"/>
      <c r="P2106" s="47"/>
      <c r="Q2106" s="47">
        <f t="shared" ref="Q2106:Q2117" si="431">Q$2</f>
        <v>0</v>
      </c>
      <c r="R2106" s="47"/>
      <c r="S2106" s="47"/>
      <c r="T2106" s="47"/>
      <c r="U2106" s="47"/>
      <c r="V2106" s="47"/>
      <c r="W2106" s="47"/>
      <c r="X2106" s="47"/>
      <c r="Y2106" s="47"/>
      <c r="Z2106" s="47">
        <f t="shared" si="429"/>
        <v>4620</v>
      </c>
      <c r="AA2106" s="47"/>
      <c r="AB2106" s="47"/>
      <c r="AC2106" s="47"/>
      <c r="AD2106" s="47"/>
      <c r="AE2106" s="47"/>
      <c r="AF2106" s="47"/>
      <c r="AG2106" s="47"/>
      <c r="AH2106" s="47" t="str">
        <f>IFERROR(_xlfn.XLOOKUP(Table6[[#This Row],[Suburb]],Table5[Travel Surcharge],Table5[$$]),"")</f>
        <v/>
      </c>
      <c r="AI2106" s="47"/>
      <c r="AJ2106" s="47"/>
    </row>
    <row r="2107" spans="1:36">
      <c r="A2107" s="374" t="s">
        <v>3372</v>
      </c>
      <c r="B2107" s="374" t="s">
        <v>756</v>
      </c>
      <c r="C2107" s="374" t="s">
        <v>3373</v>
      </c>
      <c r="D2107" s="375" t="str">
        <f t="shared" si="426"/>
        <v>Highton Ridge Estate10C</v>
      </c>
      <c r="E2107" s="375" t="s">
        <v>3384</v>
      </c>
      <c r="F2107" s="375" t="s">
        <v>3375</v>
      </c>
      <c r="G2107" s="375" t="s">
        <v>3376</v>
      </c>
      <c r="H2107" s="375" t="s">
        <v>3377</v>
      </c>
      <c r="I2107" s="63" t="s">
        <v>3378</v>
      </c>
      <c r="J2107" s="47"/>
      <c r="K2107" s="46" t="s">
        <v>10735</v>
      </c>
      <c r="L2107" s="47"/>
      <c r="M2107" s="47"/>
      <c r="N2107" s="47"/>
      <c r="O2107" s="47"/>
      <c r="P2107" s="47"/>
      <c r="Q2107" s="47">
        <f t="shared" si="431"/>
        <v>0</v>
      </c>
      <c r="R2107" s="47"/>
      <c r="S2107" s="47"/>
      <c r="T2107" s="47"/>
      <c r="U2107" s="47"/>
      <c r="V2107" s="47"/>
      <c r="W2107" s="47"/>
      <c r="X2107" s="47"/>
      <c r="Y2107" s="47"/>
      <c r="Z2107" s="47">
        <f t="shared" si="429"/>
        <v>4620</v>
      </c>
      <c r="AA2107" s="47"/>
      <c r="AB2107" s="47"/>
      <c r="AC2107" s="47"/>
      <c r="AD2107" s="47"/>
      <c r="AE2107" s="47"/>
      <c r="AF2107" s="47"/>
      <c r="AG2107" s="47"/>
      <c r="AH2107" s="47" t="str">
        <f>IFERROR(_xlfn.XLOOKUP(Table6[[#This Row],[Suburb]],Table5[Travel Surcharge],Table5[$$]),"")</f>
        <v/>
      </c>
      <c r="AI2107" s="47"/>
      <c r="AJ2107" s="47"/>
    </row>
    <row r="2108" spans="1:36">
      <c r="A2108" s="374" t="s">
        <v>3372</v>
      </c>
      <c r="B2108" s="374" t="s">
        <v>624</v>
      </c>
      <c r="C2108" s="374" t="s">
        <v>3373</v>
      </c>
      <c r="D2108" s="375" t="str">
        <f t="shared" si="426"/>
        <v>Highton Ridge Estate6B</v>
      </c>
      <c r="E2108" s="375" t="s">
        <v>3374</v>
      </c>
      <c r="F2108" s="375" t="s">
        <v>3375</v>
      </c>
      <c r="G2108" s="375" t="s">
        <v>3376</v>
      </c>
      <c r="H2108" s="375" t="s">
        <v>3377</v>
      </c>
      <c r="I2108" s="63" t="s">
        <v>3378</v>
      </c>
      <c r="J2108" s="47"/>
      <c r="K2108" s="46" t="s">
        <v>10735</v>
      </c>
      <c r="L2108" s="47"/>
      <c r="M2108" s="47"/>
      <c r="N2108" s="47"/>
      <c r="O2108" s="47"/>
      <c r="P2108" s="47"/>
      <c r="Q2108" s="47">
        <f t="shared" si="431"/>
        <v>0</v>
      </c>
      <c r="R2108" s="47"/>
      <c r="S2108" s="47"/>
      <c r="T2108" s="47"/>
      <c r="U2108" s="47"/>
      <c r="V2108" s="47"/>
      <c r="W2108" s="47"/>
      <c r="X2108" s="47"/>
      <c r="Y2108" s="47"/>
      <c r="Z2108" s="47">
        <f t="shared" si="429"/>
        <v>4620</v>
      </c>
      <c r="AA2108" s="47"/>
      <c r="AB2108" s="47"/>
      <c r="AC2108" s="47"/>
      <c r="AD2108" s="47"/>
      <c r="AE2108" s="47"/>
      <c r="AF2108" s="47"/>
      <c r="AG2108" s="47"/>
      <c r="AH2108" s="47" t="str">
        <f>IFERROR(_xlfn.XLOOKUP(Table6[[#This Row],[Suburb]],Table5[Travel Surcharge],Table5[$$]),"")</f>
        <v/>
      </c>
      <c r="AI2108" s="47"/>
      <c r="AJ2108" s="47"/>
    </row>
    <row r="2109" spans="1:36">
      <c r="A2109" s="374" t="s">
        <v>3372</v>
      </c>
      <c r="B2109" s="374" t="s">
        <v>1630</v>
      </c>
      <c r="C2109" s="374" t="s">
        <v>3373</v>
      </c>
      <c r="D2109" s="375" t="str">
        <f t="shared" ref="D2109:D2140" si="432">CONCATENATE(A2109,B2109)</f>
        <v>Highton Ridge Estate7B</v>
      </c>
      <c r="E2109" s="375" t="s">
        <v>3380</v>
      </c>
      <c r="F2109" s="375" t="s">
        <v>3375</v>
      </c>
      <c r="G2109" s="375" t="s">
        <v>3376</v>
      </c>
      <c r="H2109" s="375" t="s">
        <v>3377</v>
      </c>
      <c r="I2109" s="63" t="s">
        <v>3378</v>
      </c>
      <c r="J2109" s="47"/>
      <c r="K2109" s="46" t="s">
        <v>10735</v>
      </c>
      <c r="L2109" s="47"/>
      <c r="M2109" s="47"/>
      <c r="N2109" s="47"/>
      <c r="O2109" s="47"/>
      <c r="P2109" s="47"/>
      <c r="Q2109" s="47">
        <f t="shared" si="431"/>
        <v>0</v>
      </c>
      <c r="R2109" s="47"/>
      <c r="S2109" s="47"/>
      <c r="T2109" s="47"/>
      <c r="U2109" s="47"/>
      <c r="V2109" s="47"/>
      <c r="W2109" s="47"/>
      <c r="X2109" s="47"/>
      <c r="Y2109" s="47"/>
      <c r="Z2109" s="47">
        <f t="shared" ref="Z2109:Z2140" si="433">Z$7</f>
        <v>4620</v>
      </c>
      <c r="AA2109" s="47"/>
      <c r="AB2109" s="47"/>
      <c r="AC2109" s="47"/>
      <c r="AD2109" s="47"/>
      <c r="AE2109" s="47"/>
      <c r="AF2109" s="47"/>
      <c r="AG2109" s="47"/>
      <c r="AH2109" s="47" t="str">
        <f>IFERROR(_xlfn.XLOOKUP(Table6[[#This Row],[Suburb]],Table5[Travel Surcharge],Table5[$$]),"")</f>
        <v/>
      </c>
      <c r="AI2109" s="47"/>
      <c r="AJ2109" s="47"/>
    </row>
    <row r="2110" spans="1:36">
      <c r="A2110" s="374" t="s">
        <v>3372</v>
      </c>
      <c r="B2110" s="374" t="s">
        <v>750</v>
      </c>
      <c r="C2110" s="374" t="s">
        <v>3373</v>
      </c>
      <c r="D2110" s="375" t="str">
        <f t="shared" si="432"/>
        <v>Highton Ridge Estate8B</v>
      </c>
      <c r="E2110" s="375" t="s">
        <v>3381</v>
      </c>
      <c r="F2110" s="375" t="s">
        <v>3375</v>
      </c>
      <c r="G2110" s="375" t="s">
        <v>3376</v>
      </c>
      <c r="H2110" s="375" t="s">
        <v>3377</v>
      </c>
      <c r="I2110" s="63" t="s">
        <v>3378</v>
      </c>
      <c r="J2110" s="47"/>
      <c r="K2110" s="46" t="s">
        <v>10735</v>
      </c>
      <c r="L2110" s="47"/>
      <c r="M2110" s="47"/>
      <c r="N2110" s="47"/>
      <c r="O2110" s="47"/>
      <c r="P2110" s="47"/>
      <c r="Q2110" s="47">
        <f t="shared" si="431"/>
        <v>0</v>
      </c>
      <c r="R2110" s="47"/>
      <c r="S2110" s="47"/>
      <c r="T2110" s="47"/>
      <c r="U2110" s="47"/>
      <c r="V2110" s="47"/>
      <c r="W2110" s="47"/>
      <c r="X2110" s="47"/>
      <c r="Y2110" s="47"/>
      <c r="Z2110" s="47">
        <f t="shared" si="433"/>
        <v>4620</v>
      </c>
      <c r="AA2110" s="47"/>
      <c r="AB2110" s="47"/>
      <c r="AC2110" s="47"/>
      <c r="AD2110" s="47"/>
      <c r="AE2110" s="47"/>
      <c r="AF2110" s="47"/>
      <c r="AG2110" s="47"/>
      <c r="AH2110" s="47" t="str">
        <f>IFERROR(_xlfn.XLOOKUP(Table6[[#This Row],[Suburb]],Table5[Travel Surcharge],Table5[$$]),"")</f>
        <v/>
      </c>
      <c r="AI2110" s="47"/>
      <c r="AJ2110" s="47"/>
    </row>
    <row r="2111" spans="1:36">
      <c r="A2111" s="374" t="s">
        <v>3372</v>
      </c>
      <c r="B2111" s="374" t="s">
        <v>1006</v>
      </c>
      <c r="C2111" s="374" t="s">
        <v>3373</v>
      </c>
      <c r="D2111" s="375" t="str">
        <f t="shared" si="432"/>
        <v>Highton Ridge Estate9A</v>
      </c>
      <c r="E2111" s="375" t="s">
        <v>3382</v>
      </c>
      <c r="F2111" s="375" t="s">
        <v>3375</v>
      </c>
      <c r="G2111" s="375" t="s">
        <v>3376</v>
      </c>
      <c r="H2111" s="375" t="s">
        <v>3377</v>
      </c>
      <c r="I2111" s="63" t="s">
        <v>3378</v>
      </c>
      <c r="J2111" s="47"/>
      <c r="K2111" s="46" t="s">
        <v>10735</v>
      </c>
      <c r="L2111" s="47"/>
      <c r="M2111" s="47"/>
      <c r="N2111" s="47"/>
      <c r="O2111" s="47"/>
      <c r="P2111" s="47"/>
      <c r="Q2111" s="47">
        <f t="shared" si="431"/>
        <v>0</v>
      </c>
      <c r="R2111" s="47"/>
      <c r="S2111" s="47"/>
      <c r="T2111" s="47"/>
      <c r="U2111" s="47"/>
      <c r="V2111" s="47"/>
      <c r="W2111" s="47"/>
      <c r="X2111" s="47"/>
      <c r="Y2111" s="47"/>
      <c r="Z2111" s="47">
        <f t="shared" si="433"/>
        <v>4620</v>
      </c>
      <c r="AA2111" s="47"/>
      <c r="AB2111" s="47"/>
      <c r="AC2111" s="47"/>
      <c r="AD2111" s="47"/>
      <c r="AE2111" s="47"/>
      <c r="AF2111" s="47"/>
      <c r="AG2111" s="47"/>
      <c r="AH2111" s="47" t="str">
        <f>IFERROR(_xlfn.XLOOKUP(Table6[[#This Row],[Suburb]],Table5[Travel Surcharge],Table5[$$]),"")</f>
        <v/>
      </c>
      <c r="AI2111" s="47"/>
      <c r="AJ2111" s="47"/>
    </row>
    <row r="2112" spans="1:36">
      <c r="A2112" s="374" t="s">
        <v>3372</v>
      </c>
      <c r="B2112" s="374" t="s">
        <v>710</v>
      </c>
      <c r="C2112" s="374" t="s">
        <v>3373</v>
      </c>
      <c r="D2112" s="375" t="str">
        <f t="shared" si="432"/>
        <v>Highton Ridge Estate9B</v>
      </c>
      <c r="E2112" s="375" t="s">
        <v>3383</v>
      </c>
      <c r="F2112" s="375" t="s">
        <v>3375</v>
      </c>
      <c r="G2112" s="375" t="s">
        <v>3376</v>
      </c>
      <c r="H2112" s="375" t="s">
        <v>3377</v>
      </c>
      <c r="I2112" s="63" t="s">
        <v>3378</v>
      </c>
      <c r="J2112" s="47"/>
      <c r="K2112" s="46" t="s">
        <v>10735</v>
      </c>
      <c r="L2112" s="47"/>
      <c r="M2112" s="47"/>
      <c r="N2112" s="47"/>
      <c r="O2112" s="47"/>
      <c r="P2112" s="47"/>
      <c r="Q2112" s="47">
        <f t="shared" si="431"/>
        <v>0</v>
      </c>
      <c r="R2112" s="47"/>
      <c r="S2112" s="47"/>
      <c r="T2112" s="47"/>
      <c r="U2112" s="47"/>
      <c r="V2112" s="47"/>
      <c r="W2112" s="47"/>
      <c r="X2112" s="47"/>
      <c r="Y2112" s="47"/>
      <c r="Z2112" s="47">
        <f t="shared" si="433"/>
        <v>4620</v>
      </c>
      <c r="AA2112" s="47"/>
      <c r="AB2112" s="47"/>
      <c r="AC2112" s="47"/>
      <c r="AD2112" s="47"/>
      <c r="AE2112" s="47"/>
      <c r="AF2112" s="47"/>
      <c r="AG2112" s="47"/>
      <c r="AH2112" s="47" t="str">
        <f>IFERROR(_xlfn.XLOOKUP(Table6[[#This Row],[Suburb]],Table5[Travel Surcharge],Table5[$$]),"")</f>
        <v/>
      </c>
      <c r="AI2112" s="47"/>
      <c r="AJ2112" s="47"/>
    </row>
    <row r="2113" spans="1:36">
      <c r="A2113" s="374" t="s">
        <v>3385</v>
      </c>
      <c r="B2113" s="374">
        <v>9</v>
      </c>
      <c r="C2113" s="374" t="s">
        <v>3373</v>
      </c>
      <c r="D2113" s="375" t="str">
        <f t="shared" si="432"/>
        <v>Highton Ridge-Highpoint Release Estate9</v>
      </c>
      <c r="E2113" s="375" t="s">
        <v>3386</v>
      </c>
      <c r="F2113" s="375" t="s">
        <v>3375</v>
      </c>
      <c r="G2113" s="375" t="s">
        <v>3376</v>
      </c>
      <c r="H2113" s="375" t="s">
        <v>3377</v>
      </c>
      <c r="I2113" s="63" t="s">
        <v>3378</v>
      </c>
      <c r="J2113" s="47"/>
      <c r="K2113" s="46" t="s">
        <v>10735</v>
      </c>
      <c r="L2113" s="47"/>
      <c r="M2113" s="47"/>
      <c r="N2113" s="47"/>
      <c r="O2113" s="47"/>
      <c r="P2113" s="47"/>
      <c r="Q2113" s="47">
        <f t="shared" si="431"/>
        <v>0</v>
      </c>
      <c r="R2113" s="47"/>
      <c r="S2113" s="47"/>
      <c r="T2113" s="47"/>
      <c r="U2113" s="47"/>
      <c r="V2113" s="47"/>
      <c r="W2113" s="47"/>
      <c r="X2113" s="47"/>
      <c r="Y2113" s="47"/>
      <c r="Z2113" s="47">
        <f t="shared" si="433"/>
        <v>4620</v>
      </c>
      <c r="AA2113" s="47"/>
      <c r="AB2113" s="47"/>
      <c r="AC2113" s="47"/>
      <c r="AD2113" s="47"/>
      <c r="AE2113" s="47"/>
      <c r="AF2113" s="47"/>
      <c r="AG2113" s="47"/>
      <c r="AH2113" s="47" t="str">
        <f>IFERROR(_xlfn.XLOOKUP(Table6[[#This Row],[Suburb]],Table5[Travel Surcharge],Table5[$$]),"")</f>
        <v/>
      </c>
      <c r="AI2113" s="47"/>
      <c r="AJ2113" s="47"/>
    </row>
    <row r="2114" spans="1:36">
      <c r="A2114" s="374" t="s">
        <v>3387</v>
      </c>
      <c r="B2114" s="374">
        <v>37</v>
      </c>
      <c r="C2114" s="374" t="s">
        <v>3388</v>
      </c>
      <c r="D2114" s="375" t="str">
        <f t="shared" si="432"/>
        <v>Highview Estate37</v>
      </c>
      <c r="E2114" s="375" t="s">
        <v>3389</v>
      </c>
      <c r="F2114" s="375" t="s">
        <v>3390</v>
      </c>
      <c r="G2114" s="375"/>
      <c r="H2114" s="375"/>
      <c r="I2114" s="63"/>
      <c r="J2114" s="47"/>
      <c r="K2114" s="46" t="s">
        <v>10735</v>
      </c>
      <c r="L2114" s="47"/>
      <c r="M2114" s="47"/>
      <c r="N2114" s="47"/>
      <c r="O2114" s="47"/>
      <c r="P2114" s="47"/>
      <c r="Q2114" s="47">
        <f t="shared" si="431"/>
        <v>0</v>
      </c>
      <c r="R2114" s="47"/>
      <c r="S2114" s="47"/>
      <c r="T2114" s="47"/>
      <c r="U2114" s="47"/>
      <c r="V2114" s="47"/>
      <c r="W2114" s="47"/>
      <c r="X2114" s="47"/>
      <c r="Y2114" s="47"/>
      <c r="Z2114" s="47">
        <f t="shared" si="433"/>
        <v>4620</v>
      </c>
      <c r="AA2114" s="47"/>
      <c r="AB2114" s="47"/>
      <c r="AC2114" s="47"/>
      <c r="AD2114" s="47"/>
      <c r="AE2114" s="47"/>
      <c r="AF2114" s="47"/>
      <c r="AG2114" s="47"/>
      <c r="AH2114" s="47" t="str">
        <f>IFERROR(_xlfn.XLOOKUP(Table6[[#This Row],[Suburb]],Table5[Travel Surcharge],Table5[$$]),"")</f>
        <v/>
      </c>
      <c r="AI2114" s="47"/>
      <c r="AJ2114" s="47"/>
    </row>
    <row r="2115" spans="1:36">
      <c r="A2115" s="374" t="s">
        <v>3387</v>
      </c>
      <c r="B2115" s="374">
        <v>39</v>
      </c>
      <c r="C2115" s="374" t="s">
        <v>3388</v>
      </c>
      <c r="D2115" s="375" t="str">
        <f t="shared" si="432"/>
        <v>Highview Estate39</v>
      </c>
      <c r="E2115" s="375" t="s">
        <v>3391</v>
      </c>
      <c r="F2115" s="375" t="s">
        <v>3390</v>
      </c>
      <c r="G2115" s="375"/>
      <c r="H2115" s="375"/>
      <c r="I2115" s="63"/>
      <c r="J2115" s="47"/>
      <c r="K2115" s="46" t="s">
        <v>10735</v>
      </c>
      <c r="L2115" s="47"/>
      <c r="M2115" s="47"/>
      <c r="N2115" s="47"/>
      <c r="O2115" s="47"/>
      <c r="P2115" s="47"/>
      <c r="Q2115" s="47">
        <f t="shared" si="431"/>
        <v>0</v>
      </c>
      <c r="R2115" s="47"/>
      <c r="S2115" s="47"/>
      <c r="T2115" s="47"/>
      <c r="U2115" s="47"/>
      <c r="V2115" s="47"/>
      <c r="W2115" s="47"/>
      <c r="X2115" s="47"/>
      <c r="Y2115" s="47"/>
      <c r="Z2115" s="47">
        <f t="shared" si="433"/>
        <v>4620</v>
      </c>
      <c r="AA2115" s="47"/>
      <c r="AB2115" s="47"/>
      <c r="AC2115" s="47"/>
      <c r="AD2115" s="47"/>
      <c r="AE2115" s="47"/>
      <c r="AF2115" s="47"/>
      <c r="AG2115" s="47"/>
      <c r="AH2115" s="47" t="str">
        <f>IFERROR(_xlfn.XLOOKUP(Table6[[#This Row],[Suburb]],Table5[Travel Surcharge],Table5[$$]),"")</f>
        <v/>
      </c>
      <c r="AI2115" s="47"/>
      <c r="AJ2115" s="47"/>
    </row>
    <row r="2116" spans="1:36">
      <c r="A2116" s="374" t="s">
        <v>3387</v>
      </c>
      <c r="B2116" s="374">
        <v>45</v>
      </c>
      <c r="C2116" s="374" t="s">
        <v>3388</v>
      </c>
      <c r="D2116" s="375" t="str">
        <f t="shared" si="432"/>
        <v>Highview Estate45</v>
      </c>
      <c r="E2116" s="375" t="s">
        <v>3392</v>
      </c>
      <c r="F2116" s="375" t="s">
        <v>3390</v>
      </c>
      <c r="G2116" s="375"/>
      <c r="H2116" s="375"/>
      <c r="I2116" s="63"/>
      <c r="J2116" s="47"/>
      <c r="K2116" s="46" t="s">
        <v>10735</v>
      </c>
      <c r="L2116" s="47"/>
      <c r="M2116" s="47"/>
      <c r="N2116" s="47"/>
      <c r="O2116" s="47"/>
      <c r="P2116" s="47"/>
      <c r="Q2116" s="47">
        <f t="shared" si="431"/>
        <v>0</v>
      </c>
      <c r="R2116" s="47"/>
      <c r="S2116" s="47"/>
      <c r="T2116" s="47"/>
      <c r="U2116" s="47"/>
      <c r="V2116" s="47"/>
      <c r="W2116" s="47"/>
      <c r="X2116" s="47"/>
      <c r="Y2116" s="47"/>
      <c r="Z2116" s="47">
        <f t="shared" si="433"/>
        <v>4620</v>
      </c>
      <c r="AA2116" s="47"/>
      <c r="AB2116" s="47"/>
      <c r="AC2116" s="47"/>
      <c r="AD2116" s="47"/>
      <c r="AE2116" s="47"/>
      <c r="AF2116" s="47"/>
      <c r="AG2116" s="47"/>
      <c r="AH2116" s="47" t="str">
        <f>IFERROR(_xlfn.XLOOKUP(Table6[[#This Row],[Suburb]],Table5[Travel Surcharge],Table5[$$]),"")</f>
        <v/>
      </c>
      <c r="AI2116" s="47"/>
      <c r="AJ2116" s="47"/>
    </row>
    <row r="2117" spans="1:36">
      <c r="A2117" s="374" t="s">
        <v>3387</v>
      </c>
      <c r="B2117" s="374">
        <v>49</v>
      </c>
      <c r="C2117" s="374" t="s">
        <v>3388</v>
      </c>
      <c r="D2117" s="375" t="str">
        <f t="shared" si="432"/>
        <v>Highview Estate49</v>
      </c>
      <c r="E2117" s="375" t="s">
        <v>3393</v>
      </c>
      <c r="F2117" s="375" t="s">
        <v>3390</v>
      </c>
      <c r="G2117" s="375"/>
      <c r="H2117" s="375"/>
      <c r="I2117" s="63"/>
      <c r="J2117" s="47"/>
      <c r="K2117" s="46" t="s">
        <v>10735</v>
      </c>
      <c r="L2117" s="47"/>
      <c r="M2117" s="47"/>
      <c r="N2117" s="47"/>
      <c r="O2117" s="47"/>
      <c r="P2117" s="47"/>
      <c r="Q2117" s="47">
        <f t="shared" si="431"/>
        <v>0</v>
      </c>
      <c r="R2117" s="47"/>
      <c r="S2117" s="47"/>
      <c r="T2117" s="47"/>
      <c r="U2117" s="47"/>
      <c r="V2117" s="47"/>
      <c r="W2117" s="47"/>
      <c r="X2117" s="47"/>
      <c r="Y2117" s="47"/>
      <c r="Z2117" s="47">
        <f t="shared" si="433"/>
        <v>4620</v>
      </c>
      <c r="AA2117" s="47"/>
      <c r="AB2117" s="47"/>
      <c r="AC2117" s="47"/>
      <c r="AD2117" s="47"/>
      <c r="AE2117" s="47"/>
      <c r="AF2117" s="47"/>
      <c r="AG2117" s="47"/>
      <c r="AH2117" s="47" t="str">
        <f>IFERROR(_xlfn.XLOOKUP(Table6[[#This Row],[Suburb]],Table5[Travel Surcharge],Table5[$$]),"")</f>
        <v/>
      </c>
      <c r="AI2117" s="47"/>
      <c r="AJ2117" s="47"/>
    </row>
    <row r="2118" spans="1:36">
      <c r="A2118" s="374" t="s">
        <v>3394</v>
      </c>
      <c r="B2118" s="374">
        <v>1</v>
      </c>
      <c r="C2118" s="374" t="s">
        <v>468</v>
      </c>
      <c r="D2118" s="375" t="str">
        <f t="shared" si="432"/>
        <v>Hillgrove Estate1</v>
      </c>
      <c r="E2118" s="375" t="s">
        <v>3395</v>
      </c>
      <c r="F2118" s="375" t="s">
        <v>1155</v>
      </c>
      <c r="G2118" s="375" t="s">
        <v>1183</v>
      </c>
      <c r="H2118" s="375" t="s">
        <v>1184</v>
      </c>
      <c r="I2118" s="63"/>
      <c r="J2118" s="47"/>
      <c r="K2118" s="46" t="s">
        <v>10735</v>
      </c>
      <c r="L2118" s="47"/>
      <c r="M2118" s="47">
        <f t="shared" ref="M2118:M2136" si="434">M$7</f>
        <v>1430.0000000000002</v>
      </c>
      <c r="N2118" s="47" t="s">
        <v>3396</v>
      </c>
      <c r="O2118" s="47" t="s">
        <v>3397</v>
      </c>
      <c r="P2118" s="47" t="s">
        <v>3398</v>
      </c>
      <c r="Q2118" s="47"/>
      <c r="R2118" s="47"/>
      <c r="S2118" s="47" t="s">
        <v>463</v>
      </c>
      <c r="T2118" s="47"/>
      <c r="U2118" s="47"/>
      <c r="V2118" s="47"/>
      <c r="W2118" s="47" t="s">
        <v>3399</v>
      </c>
      <c r="X2118" s="47"/>
      <c r="Y2118" s="47"/>
      <c r="Z2118" s="47">
        <f t="shared" si="433"/>
        <v>4620</v>
      </c>
      <c r="AA2118" s="47"/>
      <c r="AB2118" s="47"/>
      <c r="AC2118" s="47"/>
      <c r="AD2118" s="47" t="s">
        <v>1</v>
      </c>
      <c r="AE2118" s="47"/>
      <c r="AF2118" s="47">
        <f t="shared" ref="AF2118:AF2136" si="435">AF$7</f>
        <v>1485</v>
      </c>
      <c r="AG2118" s="47"/>
      <c r="AH2118" s="47" t="str">
        <f>IFERROR(_xlfn.XLOOKUP(Table6[[#This Row],[Suburb]],Table5[Travel Surcharge],Table5[$$]),"")</f>
        <v/>
      </c>
      <c r="AI2118" s="47"/>
      <c r="AJ2118" s="47"/>
    </row>
    <row r="2119" spans="1:36">
      <c r="A2119" s="374" t="s">
        <v>3394</v>
      </c>
      <c r="B2119" s="374">
        <v>2</v>
      </c>
      <c r="C2119" s="374" t="s">
        <v>468</v>
      </c>
      <c r="D2119" s="375" t="str">
        <f t="shared" si="432"/>
        <v>Hillgrove Estate2</v>
      </c>
      <c r="E2119" s="375" t="s">
        <v>3400</v>
      </c>
      <c r="F2119" s="375" t="s">
        <v>1155</v>
      </c>
      <c r="G2119" s="375" t="s">
        <v>1183</v>
      </c>
      <c r="H2119" s="375" t="s">
        <v>1184</v>
      </c>
      <c r="I2119" s="63"/>
      <c r="J2119" s="47"/>
      <c r="K2119" s="46" t="s">
        <v>10735</v>
      </c>
      <c r="L2119" s="47"/>
      <c r="M2119" s="47">
        <f t="shared" si="434"/>
        <v>1430.0000000000002</v>
      </c>
      <c r="N2119" s="47" t="s">
        <v>3396</v>
      </c>
      <c r="O2119" s="47" t="s">
        <v>3397</v>
      </c>
      <c r="P2119" s="47" t="s">
        <v>3398</v>
      </c>
      <c r="Q2119" s="47"/>
      <c r="R2119" s="47"/>
      <c r="S2119" s="47" t="s">
        <v>463</v>
      </c>
      <c r="T2119" s="47"/>
      <c r="U2119" s="47"/>
      <c r="V2119" s="47"/>
      <c r="W2119" s="47" t="s">
        <v>3399</v>
      </c>
      <c r="X2119" s="47"/>
      <c r="Y2119" s="47"/>
      <c r="Z2119" s="47">
        <f t="shared" si="433"/>
        <v>4620</v>
      </c>
      <c r="AA2119" s="47"/>
      <c r="AB2119" s="47"/>
      <c r="AC2119" s="47"/>
      <c r="AD2119" s="47" t="s">
        <v>1</v>
      </c>
      <c r="AE2119" s="47"/>
      <c r="AF2119" s="47">
        <f t="shared" si="435"/>
        <v>1485</v>
      </c>
      <c r="AG2119" s="47"/>
      <c r="AH2119" s="47" t="str">
        <f>IFERROR(_xlfn.XLOOKUP(Table6[[#This Row],[Suburb]],Table5[Travel Surcharge],Table5[$$]),"")</f>
        <v/>
      </c>
      <c r="AI2119" s="47"/>
      <c r="AJ2119" s="47"/>
    </row>
    <row r="2120" spans="1:36">
      <c r="A2120" s="374" t="s">
        <v>3394</v>
      </c>
      <c r="B2120" s="374">
        <v>3</v>
      </c>
      <c r="C2120" s="374" t="s">
        <v>468</v>
      </c>
      <c r="D2120" s="375" t="str">
        <f t="shared" si="432"/>
        <v>Hillgrove Estate3</v>
      </c>
      <c r="E2120" s="375" t="s">
        <v>3401</v>
      </c>
      <c r="F2120" s="375" t="s">
        <v>1155</v>
      </c>
      <c r="G2120" s="375" t="s">
        <v>1183</v>
      </c>
      <c r="H2120" s="375" t="s">
        <v>1184</v>
      </c>
      <c r="I2120" s="63"/>
      <c r="J2120" s="47"/>
      <c r="K2120" s="46" t="s">
        <v>10735</v>
      </c>
      <c r="L2120" s="47"/>
      <c r="M2120" s="47">
        <f t="shared" si="434"/>
        <v>1430.0000000000002</v>
      </c>
      <c r="N2120" s="47" t="s">
        <v>3396</v>
      </c>
      <c r="O2120" s="47" t="s">
        <v>3397</v>
      </c>
      <c r="P2120" s="47" t="s">
        <v>3398</v>
      </c>
      <c r="Q2120" s="47"/>
      <c r="R2120" s="47"/>
      <c r="S2120" s="47" t="s">
        <v>463</v>
      </c>
      <c r="T2120" s="47"/>
      <c r="U2120" s="47"/>
      <c r="V2120" s="47"/>
      <c r="W2120" s="47" t="s">
        <v>3399</v>
      </c>
      <c r="X2120" s="47"/>
      <c r="Y2120" s="47"/>
      <c r="Z2120" s="47">
        <f t="shared" si="433"/>
        <v>4620</v>
      </c>
      <c r="AA2120" s="47"/>
      <c r="AB2120" s="47"/>
      <c r="AC2120" s="47"/>
      <c r="AD2120" s="47" t="s">
        <v>1</v>
      </c>
      <c r="AE2120" s="47"/>
      <c r="AF2120" s="47">
        <f t="shared" si="435"/>
        <v>1485</v>
      </c>
      <c r="AG2120" s="47"/>
      <c r="AH2120" s="47" t="str">
        <f>IFERROR(_xlfn.XLOOKUP(Table6[[#This Row],[Suburb]],Table5[Travel Surcharge],Table5[$$]),"")</f>
        <v/>
      </c>
      <c r="AI2120" s="47"/>
      <c r="AJ2120" s="47"/>
    </row>
    <row r="2121" spans="1:36">
      <c r="A2121" s="374" t="s">
        <v>3394</v>
      </c>
      <c r="B2121" s="374">
        <v>4</v>
      </c>
      <c r="C2121" s="374" t="s">
        <v>468</v>
      </c>
      <c r="D2121" s="375" t="str">
        <f t="shared" si="432"/>
        <v>Hillgrove Estate4</v>
      </c>
      <c r="E2121" s="375"/>
      <c r="F2121" s="375" t="s">
        <v>1155</v>
      </c>
      <c r="G2121" s="375" t="s">
        <v>1183</v>
      </c>
      <c r="H2121" s="375" t="s">
        <v>1184</v>
      </c>
      <c r="I2121" s="63"/>
      <c r="J2121" s="47"/>
      <c r="K2121" s="46" t="s">
        <v>10735</v>
      </c>
      <c r="L2121" s="47"/>
      <c r="M2121" s="47">
        <f t="shared" si="434"/>
        <v>1430.0000000000002</v>
      </c>
      <c r="N2121" s="47" t="s">
        <v>3396</v>
      </c>
      <c r="O2121" s="47" t="s">
        <v>3397</v>
      </c>
      <c r="P2121" s="47" t="s">
        <v>3398</v>
      </c>
      <c r="Q2121" s="47"/>
      <c r="R2121" s="47"/>
      <c r="S2121" s="47" t="s">
        <v>463</v>
      </c>
      <c r="T2121" s="47"/>
      <c r="U2121" s="47"/>
      <c r="V2121" s="47"/>
      <c r="W2121" s="47" t="s">
        <v>3399</v>
      </c>
      <c r="X2121" s="47"/>
      <c r="Y2121" s="47"/>
      <c r="Z2121" s="47">
        <f t="shared" si="433"/>
        <v>4620</v>
      </c>
      <c r="AA2121" s="47"/>
      <c r="AB2121" s="47"/>
      <c r="AC2121" s="47"/>
      <c r="AD2121" s="47" t="s">
        <v>1</v>
      </c>
      <c r="AE2121" s="47"/>
      <c r="AF2121" s="47">
        <f t="shared" si="435"/>
        <v>1485</v>
      </c>
      <c r="AG2121" s="47"/>
      <c r="AH2121" s="47" t="str">
        <f>IFERROR(_xlfn.XLOOKUP(Table6[[#This Row],[Suburb]],Table5[Travel Surcharge],Table5[$$]),"")</f>
        <v/>
      </c>
      <c r="AI2121" s="47"/>
      <c r="AJ2121" s="47"/>
    </row>
    <row r="2122" spans="1:36">
      <c r="A2122" s="374" t="s">
        <v>3394</v>
      </c>
      <c r="B2122" s="374">
        <v>5</v>
      </c>
      <c r="C2122" s="374" t="s">
        <v>468</v>
      </c>
      <c r="D2122" s="375" t="str">
        <f t="shared" si="432"/>
        <v>Hillgrove Estate5</v>
      </c>
      <c r="E2122" s="375" t="s">
        <v>3402</v>
      </c>
      <c r="F2122" s="375" t="s">
        <v>1155</v>
      </c>
      <c r="G2122" s="375" t="s">
        <v>1183</v>
      </c>
      <c r="H2122" s="375" t="s">
        <v>1184</v>
      </c>
      <c r="I2122" s="63"/>
      <c r="J2122" s="47"/>
      <c r="K2122" s="46" t="s">
        <v>10735</v>
      </c>
      <c r="L2122" s="47"/>
      <c r="M2122" s="47">
        <f t="shared" si="434"/>
        <v>1430.0000000000002</v>
      </c>
      <c r="N2122" s="47" t="s">
        <v>3396</v>
      </c>
      <c r="O2122" s="47" t="s">
        <v>3397</v>
      </c>
      <c r="P2122" s="47" t="s">
        <v>3398</v>
      </c>
      <c r="Q2122" s="47"/>
      <c r="R2122" s="47"/>
      <c r="S2122" s="47" t="s">
        <v>463</v>
      </c>
      <c r="T2122" s="47"/>
      <c r="U2122" s="47"/>
      <c r="V2122" s="47"/>
      <c r="W2122" s="47" t="s">
        <v>3399</v>
      </c>
      <c r="X2122" s="47"/>
      <c r="Y2122" s="47"/>
      <c r="Z2122" s="47">
        <f t="shared" si="433"/>
        <v>4620</v>
      </c>
      <c r="AA2122" s="47"/>
      <c r="AB2122" s="47"/>
      <c r="AC2122" s="47"/>
      <c r="AD2122" s="47" t="s">
        <v>1</v>
      </c>
      <c r="AE2122" s="47"/>
      <c r="AF2122" s="47">
        <f t="shared" si="435"/>
        <v>1485</v>
      </c>
      <c r="AG2122" s="47"/>
      <c r="AH2122" s="47" t="str">
        <f>IFERROR(_xlfn.XLOOKUP(Table6[[#This Row],[Suburb]],Table5[Travel Surcharge],Table5[$$]),"")</f>
        <v/>
      </c>
      <c r="AI2122" s="47"/>
      <c r="AJ2122" s="47"/>
    </row>
    <row r="2123" spans="1:36">
      <c r="A2123" s="374" t="s">
        <v>3394</v>
      </c>
      <c r="B2123" s="374">
        <v>6</v>
      </c>
      <c r="C2123" s="374" t="s">
        <v>468</v>
      </c>
      <c r="D2123" s="375" t="str">
        <f t="shared" si="432"/>
        <v>Hillgrove Estate6</v>
      </c>
      <c r="E2123" s="375" t="s">
        <v>3403</v>
      </c>
      <c r="F2123" s="375" t="s">
        <v>1155</v>
      </c>
      <c r="G2123" s="375" t="s">
        <v>1183</v>
      </c>
      <c r="H2123" s="375" t="s">
        <v>1184</v>
      </c>
      <c r="I2123" s="63"/>
      <c r="J2123" s="47"/>
      <c r="K2123" s="46" t="s">
        <v>10735</v>
      </c>
      <c r="L2123" s="47"/>
      <c r="M2123" s="47">
        <f t="shared" si="434"/>
        <v>1430.0000000000002</v>
      </c>
      <c r="N2123" s="47" t="s">
        <v>3396</v>
      </c>
      <c r="O2123" s="47" t="s">
        <v>3397</v>
      </c>
      <c r="P2123" s="47" t="s">
        <v>3398</v>
      </c>
      <c r="Q2123" s="47"/>
      <c r="R2123" s="47"/>
      <c r="S2123" s="47" t="s">
        <v>463</v>
      </c>
      <c r="T2123" s="47"/>
      <c r="U2123" s="47"/>
      <c r="V2123" s="47"/>
      <c r="W2123" s="47" t="s">
        <v>3399</v>
      </c>
      <c r="X2123" s="47"/>
      <c r="Y2123" s="47"/>
      <c r="Z2123" s="47">
        <f t="shared" si="433"/>
        <v>4620</v>
      </c>
      <c r="AA2123" s="47"/>
      <c r="AB2123" s="47"/>
      <c r="AC2123" s="47"/>
      <c r="AD2123" s="47" t="s">
        <v>1</v>
      </c>
      <c r="AE2123" s="47"/>
      <c r="AF2123" s="47">
        <f t="shared" si="435"/>
        <v>1485</v>
      </c>
      <c r="AG2123" s="47"/>
      <c r="AH2123" s="47" t="str">
        <f>IFERROR(_xlfn.XLOOKUP(Table6[[#This Row],[Suburb]],Table5[Travel Surcharge],Table5[$$]),"")</f>
        <v/>
      </c>
      <c r="AI2123" s="47"/>
      <c r="AJ2123" s="47"/>
    </row>
    <row r="2124" spans="1:36">
      <c r="A2124" s="374" t="s">
        <v>3394</v>
      </c>
      <c r="B2124" s="374">
        <v>8</v>
      </c>
      <c r="C2124" s="374" t="s">
        <v>468</v>
      </c>
      <c r="D2124" s="375" t="str">
        <f t="shared" si="432"/>
        <v>Hillgrove Estate8</v>
      </c>
      <c r="E2124" s="375" t="s">
        <v>3405</v>
      </c>
      <c r="F2124" s="375" t="s">
        <v>1155</v>
      </c>
      <c r="G2124" s="375" t="s">
        <v>1183</v>
      </c>
      <c r="H2124" s="375" t="s">
        <v>1184</v>
      </c>
      <c r="I2124" s="63"/>
      <c r="J2124" s="47"/>
      <c r="K2124" s="46" t="s">
        <v>10735</v>
      </c>
      <c r="L2124" s="47"/>
      <c r="M2124" s="47">
        <f t="shared" si="434"/>
        <v>1430.0000000000002</v>
      </c>
      <c r="N2124" s="47" t="s">
        <v>3396</v>
      </c>
      <c r="O2124" s="47" t="s">
        <v>3397</v>
      </c>
      <c r="P2124" s="47" t="s">
        <v>3398</v>
      </c>
      <c r="Q2124" s="47"/>
      <c r="R2124" s="47"/>
      <c r="S2124" s="47" t="s">
        <v>463</v>
      </c>
      <c r="T2124" s="47"/>
      <c r="U2124" s="47"/>
      <c r="V2124" s="47"/>
      <c r="W2124" s="47" t="s">
        <v>3399</v>
      </c>
      <c r="X2124" s="47"/>
      <c r="Y2124" s="47"/>
      <c r="Z2124" s="47">
        <f t="shared" si="433"/>
        <v>4620</v>
      </c>
      <c r="AA2124" s="47"/>
      <c r="AB2124" s="47"/>
      <c r="AC2124" s="47"/>
      <c r="AD2124" s="47" t="s">
        <v>1</v>
      </c>
      <c r="AE2124" s="47"/>
      <c r="AF2124" s="47">
        <f t="shared" si="435"/>
        <v>1485</v>
      </c>
      <c r="AG2124" s="47"/>
      <c r="AH2124" s="47" t="str">
        <f>IFERROR(_xlfn.XLOOKUP(Table6[[#This Row],[Suburb]],Table5[Travel Surcharge],Table5[$$]),"")</f>
        <v/>
      </c>
      <c r="AI2124" s="47"/>
      <c r="AJ2124" s="47"/>
    </row>
    <row r="2125" spans="1:36">
      <c r="A2125" s="374" t="s">
        <v>3394</v>
      </c>
      <c r="B2125" s="374">
        <v>9</v>
      </c>
      <c r="C2125" s="374" t="s">
        <v>468</v>
      </c>
      <c r="D2125" s="375" t="str">
        <f t="shared" si="432"/>
        <v>Hillgrove Estate9</v>
      </c>
      <c r="E2125" s="375" t="s">
        <v>3406</v>
      </c>
      <c r="F2125" s="375" t="s">
        <v>1155</v>
      </c>
      <c r="G2125" s="375" t="s">
        <v>1183</v>
      </c>
      <c r="H2125" s="375" t="s">
        <v>1184</v>
      </c>
      <c r="I2125" s="63"/>
      <c r="J2125" s="47"/>
      <c r="K2125" s="46" t="s">
        <v>10735</v>
      </c>
      <c r="L2125" s="47"/>
      <c r="M2125" s="47">
        <f t="shared" si="434"/>
        <v>1430.0000000000002</v>
      </c>
      <c r="N2125" s="47" t="s">
        <v>3396</v>
      </c>
      <c r="O2125" s="47" t="s">
        <v>3397</v>
      </c>
      <c r="P2125" s="47" t="s">
        <v>3398</v>
      </c>
      <c r="Q2125" s="47"/>
      <c r="R2125" s="47"/>
      <c r="S2125" s="47" t="s">
        <v>463</v>
      </c>
      <c r="T2125" s="47"/>
      <c r="U2125" s="47"/>
      <c r="V2125" s="47"/>
      <c r="W2125" s="47" t="s">
        <v>3399</v>
      </c>
      <c r="X2125" s="47"/>
      <c r="Y2125" s="47"/>
      <c r="Z2125" s="47">
        <f t="shared" si="433"/>
        <v>4620</v>
      </c>
      <c r="AA2125" s="47"/>
      <c r="AB2125" s="47"/>
      <c r="AC2125" s="47"/>
      <c r="AD2125" s="47" t="s">
        <v>1</v>
      </c>
      <c r="AE2125" s="47"/>
      <c r="AF2125" s="47">
        <f t="shared" si="435"/>
        <v>1485</v>
      </c>
      <c r="AG2125" s="47"/>
      <c r="AH2125" s="47" t="str">
        <f>IFERROR(_xlfn.XLOOKUP(Table6[[#This Row],[Suburb]],Table5[Travel Surcharge],Table5[$$]),"")</f>
        <v/>
      </c>
      <c r="AI2125" s="47"/>
      <c r="AJ2125" s="47"/>
    </row>
    <row r="2126" spans="1:36">
      <c r="A2126" s="374" t="s">
        <v>3394</v>
      </c>
      <c r="B2126" s="374">
        <v>10</v>
      </c>
      <c r="C2126" s="374" t="s">
        <v>468</v>
      </c>
      <c r="D2126" s="375" t="str">
        <f t="shared" si="432"/>
        <v>Hillgrove Estate10</v>
      </c>
      <c r="E2126" s="375" t="s">
        <v>3407</v>
      </c>
      <c r="F2126" s="375" t="s">
        <v>1155</v>
      </c>
      <c r="G2126" s="375" t="s">
        <v>1183</v>
      </c>
      <c r="H2126" s="375" t="s">
        <v>1184</v>
      </c>
      <c r="I2126" s="63"/>
      <c r="J2126" s="47"/>
      <c r="K2126" s="46" t="s">
        <v>10735</v>
      </c>
      <c r="L2126" s="47"/>
      <c r="M2126" s="47">
        <f t="shared" si="434"/>
        <v>1430.0000000000002</v>
      </c>
      <c r="N2126" s="47" t="s">
        <v>3396</v>
      </c>
      <c r="O2126" s="47" t="s">
        <v>3397</v>
      </c>
      <c r="P2126" s="47" t="s">
        <v>3398</v>
      </c>
      <c r="Q2126" s="47"/>
      <c r="R2126" s="47"/>
      <c r="S2126" s="47" t="s">
        <v>463</v>
      </c>
      <c r="T2126" s="47"/>
      <c r="U2126" s="47"/>
      <c r="V2126" s="47"/>
      <c r="W2126" s="47" t="s">
        <v>3399</v>
      </c>
      <c r="X2126" s="47"/>
      <c r="Y2126" s="47"/>
      <c r="Z2126" s="47">
        <f t="shared" si="433"/>
        <v>4620</v>
      </c>
      <c r="AA2126" s="47"/>
      <c r="AB2126" s="47"/>
      <c r="AC2126" s="47"/>
      <c r="AD2126" s="47" t="s">
        <v>1</v>
      </c>
      <c r="AE2126" s="47"/>
      <c r="AF2126" s="47">
        <f t="shared" si="435"/>
        <v>1485</v>
      </c>
      <c r="AG2126" s="47"/>
      <c r="AH2126" s="47" t="str">
        <f>IFERROR(_xlfn.XLOOKUP(Table6[[#This Row],[Suburb]],Table5[Travel Surcharge],Table5[$$]),"")</f>
        <v/>
      </c>
      <c r="AI2126" s="47"/>
      <c r="AJ2126" s="47"/>
    </row>
    <row r="2127" spans="1:36">
      <c r="A2127" s="374" t="s">
        <v>3394</v>
      </c>
      <c r="B2127" s="374">
        <v>11</v>
      </c>
      <c r="C2127" s="374" t="s">
        <v>468</v>
      </c>
      <c r="D2127" s="375" t="str">
        <f t="shared" si="432"/>
        <v>Hillgrove Estate11</v>
      </c>
      <c r="E2127" s="375" t="s">
        <v>3408</v>
      </c>
      <c r="F2127" s="375" t="s">
        <v>1155</v>
      </c>
      <c r="G2127" s="375" t="s">
        <v>1183</v>
      </c>
      <c r="H2127" s="375" t="s">
        <v>1184</v>
      </c>
      <c r="I2127" s="63"/>
      <c r="J2127" s="47"/>
      <c r="K2127" s="46" t="s">
        <v>10735</v>
      </c>
      <c r="L2127" s="47"/>
      <c r="M2127" s="47">
        <f t="shared" si="434"/>
        <v>1430.0000000000002</v>
      </c>
      <c r="N2127" s="47" t="s">
        <v>3396</v>
      </c>
      <c r="O2127" s="47" t="s">
        <v>3397</v>
      </c>
      <c r="P2127" s="47" t="s">
        <v>3398</v>
      </c>
      <c r="Q2127" s="47"/>
      <c r="R2127" s="47"/>
      <c r="S2127" s="47" t="s">
        <v>463</v>
      </c>
      <c r="T2127" s="47"/>
      <c r="U2127" s="47"/>
      <c r="V2127" s="47"/>
      <c r="W2127" s="47" t="s">
        <v>3399</v>
      </c>
      <c r="X2127" s="47"/>
      <c r="Y2127" s="47"/>
      <c r="Z2127" s="47">
        <f t="shared" si="433"/>
        <v>4620</v>
      </c>
      <c r="AA2127" s="47"/>
      <c r="AB2127" s="47"/>
      <c r="AC2127" s="47"/>
      <c r="AD2127" s="47" t="s">
        <v>1</v>
      </c>
      <c r="AE2127" s="47"/>
      <c r="AF2127" s="47">
        <f t="shared" si="435"/>
        <v>1485</v>
      </c>
      <c r="AG2127" s="47"/>
      <c r="AH2127" s="47" t="str">
        <f>IFERROR(_xlfn.XLOOKUP(Table6[[#This Row],[Suburb]],Table5[Travel Surcharge],Table5[$$]),"")</f>
        <v/>
      </c>
      <c r="AI2127" s="47"/>
      <c r="AJ2127" s="47"/>
    </row>
    <row r="2128" spans="1:36">
      <c r="A2128" s="374" t="s">
        <v>3394</v>
      </c>
      <c r="B2128" s="374">
        <v>12</v>
      </c>
      <c r="C2128" s="374" t="s">
        <v>468</v>
      </c>
      <c r="D2128" s="375" t="str">
        <f t="shared" si="432"/>
        <v>Hillgrove Estate12</v>
      </c>
      <c r="E2128" s="375" t="s">
        <v>3409</v>
      </c>
      <c r="F2128" s="375" t="s">
        <v>1155</v>
      </c>
      <c r="G2128" s="375" t="s">
        <v>1183</v>
      </c>
      <c r="H2128" s="375" t="s">
        <v>1184</v>
      </c>
      <c r="I2128" s="63"/>
      <c r="J2128" s="47"/>
      <c r="K2128" s="46" t="s">
        <v>10735</v>
      </c>
      <c r="L2128" s="47"/>
      <c r="M2128" s="47">
        <f t="shared" si="434"/>
        <v>1430.0000000000002</v>
      </c>
      <c r="N2128" s="47" t="s">
        <v>3396</v>
      </c>
      <c r="O2128" s="47" t="s">
        <v>3397</v>
      </c>
      <c r="P2128" s="47" t="s">
        <v>3398</v>
      </c>
      <c r="Q2128" s="47"/>
      <c r="R2128" s="47"/>
      <c r="S2128" s="47" t="s">
        <v>463</v>
      </c>
      <c r="T2128" s="47"/>
      <c r="U2128" s="47"/>
      <c r="V2128" s="47"/>
      <c r="W2128" s="47" t="s">
        <v>3399</v>
      </c>
      <c r="X2128" s="47"/>
      <c r="Y2128" s="47"/>
      <c r="Z2128" s="47">
        <f t="shared" si="433"/>
        <v>4620</v>
      </c>
      <c r="AA2128" s="47"/>
      <c r="AB2128" s="47"/>
      <c r="AC2128" s="47"/>
      <c r="AD2128" s="47" t="s">
        <v>1</v>
      </c>
      <c r="AE2128" s="47"/>
      <c r="AF2128" s="47">
        <f t="shared" si="435"/>
        <v>1485</v>
      </c>
      <c r="AG2128" s="47"/>
      <c r="AH2128" s="47" t="str">
        <f>IFERROR(_xlfn.XLOOKUP(Table6[[#This Row],[Suburb]],Table5[Travel Surcharge],Table5[$$]),"")</f>
        <v/>
      </c>
      <c r="AI2128" s="47"/>
      <c r="AJ2128" s="47"/>
    </row>
    <row r="2129" spans="1:36">
      <c r="A2129" s="374" t="s">
        <v>3394</v>
      </c>
      <c r="B2129" s="374">
        <v>13</v>
      </c>
      <c r="C2129" s="374" t="s">
        <v>468</v>
      </c>
      <c r="D2129" s="375" t="str">
        <f t="shared" si="432"/>
        <v>Hillgrove Estate13</v>
      </c>
      <c r="E2129" s="375" t="s">
        <v>3410</v>
      </c>
      <c r="F2129" s="375" t="s">
        <v>1155</v>
      </c>
      <c r="G2129" s="375" t="s">
        <v>1183</v>
      </c>
      <c r="H2129" s="375" t="s">
        <v>1184</v>
      </c>
      <c r="I2129" s="63"/>
      <c r="J2129" s="47"/>
      <c r="K2129" s="46" t="s">
        <v>10735</v>
      </c>
      <c r="L2129" s="47"/>
      <c r="M2129" s="47">
        <f t="shared" si="434"/>
        <v>1430.0000000000002</v>
      </c>
      <c r="N2129" s="47" t="s">
        <v>3396</v>
      </c>
      <c r="O2129" s="47" t="s">
        <v>3397</v>
      </c>
      <c r="P2129" s="47" t="s">
        <v>3398</v>
      </c>
      <c r="Q2129" s="47"/>
      <c r="R2129" s="47"/>
      <c r="S2129" s="47" t="s">
        <v>463</v>
      </c>
      <c r="T2129" s="47"/>
      <c r="U2129" s="47"/>
      <c r="V2129" s="47"/>
      <c r="W2129" s="47" t="s">
        <v>3399</v>
      </c>
      <c r="X2129" s="47"/>
      <c r="Y2129" s="47"/>
      <c r="Z2129" s="47">
        <f t="shared" si="433"/>
        <v>4620</v>
      </c>
      <c r="AA2129" s="47"/>
      <c r="AB2129" s="47"/>
      <c r="AC2129" s="47"/>
      <c r="AD2129" s="47" t="s">
        <v>1</v>
      </c>
      <c r="AE2129" s="47"/>
      <c r="AF2129" s="47">
        <f t="shared" si="435"/>
        <v>1485</v>
      </c>
      <c r="AG2129" s="47"/>
      <c r="AH2129" s="47" t="str">
        <f>IFERROR(_xlfn.XLOOKUP(Table6[[#This Row],[Suburb]],Table5[Travel Surcharge],Table5[$$]),"")</f>
        <v/>
      </c>
      <c r="AI2129" s="47"/>
      <c r="AJ2129" s="47"/>
    </row>
    <row r="2130" spans="1:36">
      <c r="A2130" s="374" t="s">
        <v>3394</v>
      </c>
      <c r="B2130" s="374">
        <v>14</v>
      </c>
      <c r="C2130" s="374" t="s">
        <v>468</v>
      </c>
      <c r="D2130" s="375" t="str">
        <f t="shared" si="432"/>
        <v>Hillgrove Estate14</v>
      </c>
      <c r="E2130" s="375" t="s">
        <v>3411</v>
      </c>
      <c r="F2130" s="375" t="s">
        <v>1155</v>
      </c>
      <c r="G2130" s="375" t="s">
        <v>1183</v>
      </c>
      <c r="H2130" s="375" t="s">
        <v>1184</v>
      </c>
      <c r="I2130" s="63"/>
      <c r="J2130" s="47"/>
      <c r="K2130" s="46" t="s">
        <v>10735</v>
      </c>
      <c r="L2130" s="47"/>
      <c r="M2130" s="47">
        <f t="shared" si="434"/>
        <v>1430.0000000000002</v>
      </c>
      <c r="N2130" s="47" t="s">
        <v>3396</v>
      </c>
      <c r="O2130" s="47" t="s">
        <v>3397</v>
      </c>
      <c r="P2130" s="47" t="s">
        <v>3398</v>
      </c>
      <c r="Q2130" s="47"/>
      <c r="R2130" s="47"/>
      <c r="S2130" s="47" t="s">
        <v>463</v>
      </c>
      <c r="T2130" s="47"/>
      <c r="U2130" s="47"/>
      <c r="V2130" s="47"/>
      <c r="W2130" s="47" t="s">
        <v>3399</v>
      </c>
      <c r="X2130" s="47"/>
      <c r="Y2130" s="47"/>
      <c r="Z2130" s="47">
        <f t="shared" si="433"/>
        <v>4620</v>
      </c>
      <c r="AA2130" s="47"/>
      <c r="AB2130" s="47"/>
      <c r="AC2130" s="47"/>
      <c r="AD2130" s="47" t="s">
        <v>1</v>
      </c>
      <c r="AE2130" s="47"/>
      <c r="AF2130" s="47">
        <f t="shared" si="435"/>
        <v>1485</v>
      </c>
      <c r="AG2130" s="47"/>
      <c r="AH2130" s="47" t="str">
        <f>IFERROR(_xlfn.XLOOKUP(Table6[[#This Row],[Suburb]],Table5[Travel Surcharge],Table5[$$]),"")</f>
        <v/>
      </c>
      <c r="AI2130" s="47"/>
      <c r="AJ2130" s="47"/>
    </row>
    <row r="2131" spans="1:36">
      <c r="A2131" s="374" t="s">
        <v>3394</v>
      </c>
      <c r="B2131" s="374" t="s">
        <v>1488</v>
      </c>
      <c r="C2131" s="374" t="s">
        <v>468</v>
      </c>
      <c r="D2131" s="375" t="str">
        <f t="shared" si="432"/>
        <v>Hillgrove Estate7A</v>
      </c>
      <c r="E2131" s="375" t="s">
        <v>3404</v>
      </c>
      <c r="F2131" s="375" t="s">
        <v>1155</v>
      </c>
      <c r="G2131" s="375" t="s">
        <v>1183</v>
      </c>
      <c r="H2131" s="375" t="s">
        <v>1184</v>
      </c>
      <c r="I2131" s="63"/>
      <c r="J2131" s="47"/>
      <c r="K2131" s="46" t="s">
        <v>10735</v>
      </c>
      <c r="L2131" s="47"/>
      <c r="M2131" s="47">
        <f t="shared" si="434"/>
        <v>1430.0000000000002</v>
      </c>
      <c r="N2131" s="47" t="s">
        <v>3396</v>
      </c>
      <c r="O2131" s="47" t="s">
        <v>3397</v>
      </c>
      <c r="P2131" s="47" t="s">
        <v>3398</v>
      </c>
      <c r="Q2131" s="47"/>
      <c r="R2131" s="47"/>
      <c r="S2131" s="47" t="s">
        <v>463</v>
      </c>
      <c r="T2131" s="47"/>
      <c r="U2131" s="47"/>
      <c r="V2131" s="47"/>
      <c r="W2131" s="47" t="s">
        <v>3399</v>
      </c>
      <c r="X2131" s="47"/>
      <c r="Y2131" s="47"/>
      <c r="Z2131" s="47">
        <f t="shared" si="433"/>
        <v>4620</v>
      </c>
      <c r="AA2131" s="47"/>
      <c r="AB2131" s="47"/>
      <c r="AC2131" s="47"/>
      <c r="AD2131" s="47" t="s">
        <v>1</v>
      </c>
      <c r="AE2131" s="47"/>
      <c r="AF2131" s="47">
        <f t="shared" si="435"/>
        <v>1485</v>
      </c>
      <c r="AG2131" s="47"/>
      <c r="AH2131" s="47" t="str">
        <f>IFERROR(_xlfn.XLOOKUP(Table6[[#This Row],[Suburb]],Table5[Travel Surcharge],Table5[$$]),"")</f>
        <v/>
      </c>
      <c r="AI2131" s="47"/>
      <c r="AJ2131" s="47"/>
    </row>
    <row r="2132" spans="1:36">
      <c r="A2132" s="374" t="s">
        <v>3412</v>
      </c>
      <c r="B2132" s="374">
        <v>1</v>
      </c>
      <c r="C2132" s="374" t="s">
        <v>802</v>
      </c>
      <c r="D2132" s="375" t="str">
        <f t="shared" si="432"/>
        <v>Hillstowe 1</v>
      </c>
      <c r="E2132" s="375" t="s">
        <v>3413</v>
      </c>
      <c r="F2132" s="375" t="s">
        <v>1554</v>
      </c>
      <c r="G2132" s="375" t="s">
        <v>3414</v>
      </c>
      <c r="H2132" s="375" t="s">
        <v>3415</v>
      </c>
      <c r="I2132" s="63" t="s">
        <v>3416</v>
      </c>
      <c r="J2132" s="47">
        <f t="shared" ref="J2132:J2137" si="436">J$7</f>
        <v>3740</v>
      </c>
      <c r="K2132" s="46" t="s">
        <v>10735</v>
      </c>
      <c r="L2132" s="47" t="s">
        <v>807</v>
      </c>
      <c r="M2132" s="47">
        <f t="shared" si="434"/>
        <v>1430.0000000000002</v>
      </c>
      <c r="N2132" s="47" t="s">
        <v>3417</v>
      </c>
      <c r="O2132" s="47"/>
      <c r="P2132" s="47"/>
      <c r="Q2132" s="47"/>
      <c r="R2132" s="47"/>
      <c r="S2132" s="47"/>
      <c r="T2132" s="47"/>
      <c r="U2132" s="47">
        <f>U$2</f>
        <v>430</v>
      </c>
      <c r="V2132" s="47"/>
      <c r="W2132" s="47"/>
      <c r="X2132" s="47"/>
      <c r="Y2132" s="47"/>
      <c r="Z2132" s="47">
        <f t="shared" si="433"/>
        <v>4620</v>
      </c>
      <c r="AA2132" s="47"/>
      <c r="AB2132" s="47"/>
      <c r="AC2132" s="47"/>
      <c r="AD2132" s="47" t="s">
        <v>1</v>
      </c>
      <c r="AE2132" s="47"/>
      <c r="AF2132" s="47">
        <f t="shared" si="435"/>
        <v>1485</v>
      </c>
      <c r="AG2132" s="47"/>
      <c r="AH2132" s="47" t="str">
        <f>IFERROR(_xlfn.XLOOKUP(Table6[[#This Row],[Suburb]],Table5[Travel Surcharge],Table5[$$]),"")</f>
        <v/>
      </c>
      <c r="AI2132" s="47"/>
      <c r="AJ2132" s="47"/>
    </row>
    <row r="2133" spans="1:36">
      <c r="A2133" s="374" t="s">
        <v>3412</v>
      </c>
      <c r="B2133" s="374">
        <v>2</v>
      </c>
      <c r="C2133" s="374" t="s">
        <v>802</v>
      </c>
      <c r="D2133" s="375" t="str">
        <f t="shared" si="432"/>
        <v>Hillstowe 2</v>
      </c>
      <c r="E2133" s="375" t="s">
        <v>3418</v>
      </c>
      <c r="F2133" s="375" t="s">
        <v>1554</v>
      </c>
      <c r="G2133" s="375" t="s">
        <v>3414</v>
      </c>
      <c r="H2133" s="375" t="s">
        <v>3415</v>
      </c>
      <c r="I2133" s="63" t="s">
        <v>3416</v>
      </c>
      <c r="J2133" s="47">
        <f t="shared" si="436"/>
        <v>3740</v>
      </c>
      <c r="K2133" s="46" t="s">
        <v>10735</v>
      </c>
      <c r="L2133" s="47" t="s">
        <v>807</v>
      </c>
      <c r="M2133" s="47">
        <f t="shared" si="434"/>
        <v>1430.0000000000002</v>
      </c>
      <c r="N2133" s="47" t="s">
        <v>3417</v>
      </c>
      <c r="O2133" s="47"/>
      <c r="P2133" s="47"/>
      <c r="Q2133" s="47"/>
      <c r="R2133" s="47"/>
      <c r="S2133" s="47"/>
      <c r="T2133" s="47"/>
      <c r="U2133" s="47">
        <f>U$2</f>
        <v>430</v>
      </c>
      <c r="V2133" s="47"/>
      <c r="W2133" s="47"/>
      <c r="X2133" s="47"/>
      <c r="Y2133" s="47"/>
      <c r="Z2133" s="47">
        <f t="shared" si="433"/>
        <v>4620</v>
      </c>
      <c r="AA2133" s="47"/>
      <c r="AB2133" s="47"/>
      <c r="AC2133" s="47"/>
      <c r="AD2133" s="47" t="s">
        <v>1</v>
      </c>
      <c r="AE2133" s="47"/>
      <c r="AF2133" s="47">
        <f t="shared" si="435"/>
        <v>1485</v>
      </c>
      <c r="AG2133" s="47"/>
      <c r="AH2133" s="47" t="str">
        <f>IFERROR(_xlfn.XLOOKUP(Table6[[#This Row],[Suburb]],Table5[Travel Surcharge],Table5[$$]),"")</f>
        <v/>
      </c>
      <c r="AI2133" s="47"/>
      <c r="AJ2133" s="47"/>
    </row>
    <row r="2134" spans="1:36">
      <c r="A2134" s="374" t="s">
        <v>3412</v>
      </c>
      <c r="B2134" s="374">
        <v>3</v>
      </c>
      <c r="C2134" s="374" t="s">
        <v>802</v>
      </c>
      <c r="D2134" s="375" t="str">
        <f t="shared" si="432"/>
        <v>Hillstowe 3</v>
      </c>
      <c r="E2134" s="375" t="s">
        <v>3419</v>
      </c>
      <c r="F2134" s="375" t="s">
        <v>1554</v>
      </c>
      <c r="G2134" s="375" t="s">
        <v>3414</v>
      </c>
      <c r="H2134" s="375" t="s">
        <v>3415</v>
      </c>
      <c r="I2134" s="63" t="s">
        <v>3416</v>
      </c>
      <c r="J2134" s="47">
        <f t="shared" si="436"/>
        <v>3740</v>
      </c>
      <c r="K2134" s="46" t="s">
        <v>10735</v>
      </c>
      <c r="L2134" s="47" t="s">
        <v>807</v>
      </c>
      <c r="M2134" s="47">
        <f t="shared" si="434"/>
        <v>1430.0000000000002</v>
      </c>
      <c r="N2134" s="47" t="s">
        <v>3417</v>
      </c>
      <c r="O2134" s="47"/>
      <c r="P2134" s="47"/>
      <c r="Q2134" s="47"/>
      <c r="R2134" s="47"/>
      <c r="S2134" s="47"/>
      <c r="T2134" s="47"/>
      <c r="U2134" s="47">
        <f>U$2</f>
        <v>430</v>
      </c>
      <c r="V2134" s="47"/>
      <c r="W2134" s="47"/>
      <c r="X2134" s="47"/>
      <c r="Y2134" s="47"/>
      <c r="Z2134" s="47">
        <f t="shared" si="433"/>
        <v>4620</v>
      </c>
      <c r="AA2134" s="47"/>
      <c r="AB2134" s="47"/>
      <c r="AC2134" s="47"/>
      <c r="AD2134" s="47" t="s">
        <v>1</v>
      </c>
      <c r="AE2134" s="47"/>
      <c r="AF2134" s="47">
        <f t="shared" si="435"/>
        <v>1485</v>
      </c>
      <c r="AG2134" s="47"/>
      <c r="AH2134" s="47" t="str">
        <f>IFERROR(_xlfn.XLOOKUP(Table6[[#This Row],[Suburb]],Table5[Travel Surcharge],Table5[$$]),"")</f>
        <v/>
      </c>
      <c r="AI2134" s="47"/>
      <c r="AJ2134" s="47"/>
    </row>
    <row r="2135" spans="1:36">
      <c r="A2135" s="374" t="s">
        <v>3412</v>
      </c>
      <c r="B2135" s="374">
        <v>4</v>
      </c>
      <c r="C2135" s="374" t="s">
        <v>802</v>
      </c>
      <c r="D2135" s="375" t="str">
        <f t="shared" si="432"/>
        <v>Hillstowe 4</v>
      </c>
      <c r="E2135" s="375" t="s">
        <v>3420</v>
      </c>
      <c r="F2135" s="375" t="s">
        <v>1554</v>
      </c>
      <c r="G2135" s="375" t="s">
        <v>3414</v>
      </c>
      <c r="H2135" s="375" t="s">
        <v>3415</v>
      </c>
      <c r="I2135" s="63" t="s">
        <v>3416</v>
      </c>
      <c r="J2135" s="47">
        <f t="shared" si="436"/>
        <v>3740</v>
      </c>
      <c r="K2135" s="46" t="s">
        <v>10735</v>
      </c>
      <c r="L2135" s="47" t="s">
        <v>807</v>
      </c>
      <c r="M2135" s="47">
        <f t="shared" si="434"/>
        <v>1430.0000000000002</v>
      </c>
      <c r="N2135" s="47" t="s">
        <v>3417</v>
      </c>
      <c r="O2135" s="47"/>
      <c r="P2135" s="47"/>
      <c r="Q2135" s="47"/>
      <c r="R2135" s="47"/>
      <c r="S2135" s="47"/>
      <c r="T2135" s="47"/>
      <c r="U2135" s="47">
        <f>U$2</f>
        <v>430</v>
      </c>
      <c r="V2135" s="47"/>
      <c r="W2135" s="47"/>
      <c r="X2135" s="47"/>
      <c r="Y2135" s="47"/>
      <c r="Z2135" s="47">
        <f t="shared" si="433"/>
        <v>4620</v>
      </c>
      <c r="AA2135" s="47"/>
      <c r="AB2135" s="47"/>
      <c r="AC2135" s="47"/>
      <c r="AD2135" s="47" t="s">
        <v>1</v>
      </c>
      <c r="AE2135" s="47"/>
      <c r="AF2135" s="47">
        <f t="shared" si="435"/>
        <v>1485</v>
      </c>
      <c r="AG2135" s="47"/>
      <c r="AH2135" s="47" t="str">
        <f>IFERROR(_xlfn.XLOOKUP(Table6[[#This Row],[Suburb]],Table5[Travel Surcharge],Table5[$$]),"")</f>
        <v/>
      </c>
      <c r="AI2135" s="47"/>
      <c r="AJ2135" s="47"/>
    </row>
    <row r="2136" spans="1:36">
      <c r="A2136" s="374" t="s">
        <v>3412</v>
      </c>
      <c r="B2136" s="374">
        <v>7</v>
      </c>
      <c r="C2136" s="374" t="s">
        <v>802</v>
      </c>
      <c r="D2136" s="375" t="str">
        <f t="shared" si="432"/>
        <v>Hillstowe 7</v>
      </c>
      <c r="E2136" s="375" t="s">
        <v>3421</v>
      </c>
      <c r="F2136" s="375" t="s">
        <v>1554</v>
      </c>
      <c r="G2136" s="375" t="s">
        <v>3414</v>
      </c>
      <c r="H2136" s="375" t="s">
        <v>3415</v>
      </c>
      <c r="I2136" s="63" t="s">
        <v>3416</v>
      </c>
      <c r="J2136" s="47">
        <f t="shared" si="436"/>
        <v>3740</v>
      </c>
      <c r="K2136" s="46" t="s">
        <v>10735</v>
      </c>
      <c r="L2136" s="47" t="s">
        <v>807</v>
      </c>
      <c r="M2136" s="47">
        <f t="shared" si="434"/>
        <v>1430.0000000000002</v>
      </c>
      <c r="N2136" s="47" t="s">
        <v>3417</v>
      </c>
      <c r="O2136" s="47"/>
      <c r="P2136" s="47"/>
      <c r="Q2136" s="47"/>
      <c r="R2136" s="47"/>
      <c r="S2136" s="47"/>
      <c r="T2136" s="47"/>
      <c r="U2136" s="47">
        <f>U$2</f>
        <v>430</v>
      </c>
      <c r="V2136" s="47"/>
      <c r="W2136" s="47"/>
      <c r="X2136" s="47"/>
      <c r="Y2136" s="47"/>
      <c r="Z2136" s="47">
        <f t="shared" si="433"/>
        <v>4620</v>
      </c>
      <c r="AA2136" s="47"/>
      <c r="AB2136" s="47"/>
      <c r="AC2136" s="47"/>
      <c r="AD2136" s="47" t="s">
        <v>1</v>
      </c>
      <c r="AE2136" s="47"/>
      <c r="AF2136" s="47">
        <f t="shared" si="435"/>
        <v>1485</v>
      </c>
      <c r="AG2136" s="47"/>
      <c r="AH2136" s="47" t="str">
        <f>IFERROR(_xlfn.XLOOKUP(Table6[[#This Row],[Suburb]],Table5[Travel Surcharge],Table5[$$]),"")</f>
        <v/>
      </c>
      <c r="AI2136" s="47"/>
      <c r="AJ2136" s="47"/>
    </row>
    <row r="2137" spans="1:36">
      <c r="A2137" s="374" t="s">
        <v>8135</v>
      </c>
      <c r="B2137" s="374">
        <v>2</v>
      </c>
      <c r="C2137" s="374" t="s">
        <v>802</v>
      </c>
      <c r="D2137" s="375" t="str">
        <f t="shared" si="432"/>
        <v>Hilltop2</v>
      </c>
      <c r="E2137" s="375" t="s">
        <v>8142</v>
      </c>
      <c r="F2137" s="375"/>
      <c r="G2137" s="375" t="s">
        <v>8136</v>
      </c>
      <c r="H2137" s="375" t="s">
        <v>8137</v>
      </c>
      <c r="I2137" s="63" t="s">
        <v>8138</v>
      </c>
      <c r="J2137" s="47">
        <f t="shared" si="436"/>
        <v>3740</v>
      </c>
      <c r="K2137" s="46" t="s">
        <v>10735</v>
      </c>
      <c r="L2137" s="47"/>
      <c r="M2137" s="47">
        <f>$M$7</f>
        <v>1430.0000000000002</v>
      </c>
      <c r="N2137" s="47" t="s">
        <v>8139</v>
      </c>
      <c r="O2137" s="47"/>
      <c r="P2137" s="47" t="s">
        <v>8141</v>
      </c>
      <c r="Q2137" s="47"/>
      <c r="R2137" s="47">
        <f>$R$2</f>
        <v>540</v>
      </c>
      <c r="S2137" s="47"/>
      <c r="T2137" s="47"/>
      <c r="U2137" s="47"/>
      <c r="V2137" s="47" t="s">
        <v>8140</v>
      </c>
      <c r="W2137" s="47"/>
      <c r="X2137" s="47">
        <f>$X$7</f>
        <v>3000</v>
      </c>
      <c r="Y2137" s="47"/>
      <c r="Z2137" s="47">
        <f t="shared" si="433"/>
        <v>4620</v>
      </c>
      <c r="AA2137" s="47"/>
      <c r="AB2137" s="47"/>
      <c r="AC2137" s="47"/>
      <c r="AD2137" s="47"/>
      <c r="AE2137" s="47"/>
      <c r="AF2137" s="47"/>
      <c r="AG2137" s="47"/>
      <c r="AH2137" s="47" t="str">
        <f>IFERROR(_xlfn.XLOOKUP(Table6[[#This Row],[Suburb]],Table5[Travel Surcharge],Table5[$$]),"")</f>
        <v/>
      </c>
      <c r="AI2137" s="47"/>
      <c r="AJ2137" s="47"/>
    </row>
    <row r="2138" spans="1:36">
      <c r="A2138" s="374" t="s">
        <v>3422</v>
      </c>
      <c r="B2138" s="374">
        <v>1</v>
      </c>
      <c r="C2138" s="374" t="s">
        <v>3423</v>
      </c>
      <c r="D2138" s="375" t="str">
        <f t="shared" si="432"/>
        <v>Hillview Heights Estate1</v>
      </c>
      <c r="E2138" s="375" t="s">
        <v>9834</v>
      </c>
      <c r="F2138" s="375"/>
      <c r="G2138" s="375"/>
      <c r="H2138" s="375"/>
      <c r="I2138" s="63"/>
      <c r="J2138" s="47"/>
      <c r="K2138" s="46" t="s">
        <v>10735</v>
      </c>
      <c r="L2138" s="47"/>
      <c r="M2138" s="47"/>
      <c r="N2138" s="47"/>
      <c r="O2138" s="47"/>
      <c r="P2138" s="47"/>
      <c r="Q2138" s="47">
        <f>Q$2</f>
        <v>0</v>
      </c>
      <c r="R2138" s="47"/>
      <c r="S2138" s="47"/>
      <c r="T2138" s="47"/>
      <c r="U2138" s="47"/>
      <c r="V2138" s="47"/>
      <c r="W2138" s="47"/>
      <c r="X2138" s="47"/>
      <c r="Y2138" s="47"/>
      <c r="Z2138" s="47">
        <f t="shared" si="433"/>
        <v>4620</v>
      </c>
      <c r="AA2138" s="47"/>
      <c r="AB2138" s="47"/>
      <c r="AC2138" s="47"/>
      <c r="AD2138" s="47"/>
      <c r="AE2138" s="47"/>
      <c r="AF2138" s="47"/>
      <c r="AG2138" s="47"/>
      <c r="AH2138" s="47" t="str">
        <f>IFERROR(_xlfn.XLOOKUP(Table6[[#This Row],[Suburb]],Table5[Travel Surcharge],Table5[$$]),"")</f>
        <v/>
      </c>
      <c r="AI2138" s="47"/>
      <c r="AJ2138" s="47"/>
    </row>
    <row r="2139" spans="1:36">
      <c r="A2139" s="374" t="s">
        <v>3422</v>
      </c>
      <c r="B2139" s="374">
        <v>21</v>
      </c>
      <c r="C2139" s="374" t="s">
        <v>3423</v>
      </c>
      <c r="D2139" s="375" t="str">
        <f t="shared" si="432"/>
        <v>Hillview Heights Estate21</v>
      </c>
      <c r="E2139" s="375" t="s">
        <v>3424</v>
      </c>
      <c r="F2139" s="375"/>
      <c r="G2139" s="375"/>
      <c r="H2139" s="375"/>
      <c r="I2139" s="63"/>
      <c r="J2139" s="47"/>
      <c r="K2139" s="46" t="s">
        <v>10735</v>
      </c>
      <c r="L2139" s="47"/>
      <c r="M2139" s="47"/>
      <c r="N2139" s="47"/>
      <c r="O2139" s="47"/>
      <c r="P2139" s="47"/>
      <c r="Q2139" s="47">
        <f>Q$2</f>
        <v>0</v>
      </c>
      <c r="R2139" s="47"/>
      <c r="S2139" s="47"/>
      <c r="T2139" s="47"/>
      <c r="U2139" s="47"/>
      <c r="V2139" s="47"/>
      <c r="W2139" s="47"/>
      <c r="X2139" s="47"/>
      <c r="Y2139" s="47"/>
      <c r="Z2139" s="47">
        <f t="shared" si="433"/>
        <v>4620</v>
      </c>
      <c r="AA2139" s="47"/>
      <c r="AB2139" s="47"/>
      <c r="AC2139" s="47"/>
      <c r="AD2139" s="47"/>
      <c r="AE2139" s="47"/>
      <c r="AF2139" s="47"/>
      <c r="AG2139" s="47"/>
      <c r="AH2139" s="47" t="str">
        <f>IFERROR(_xlfn.XLOOKUP(Table6[[#This Row],[Suburb]],Table5[Travel Surcharge],Table5[$$]),"")</f>
        <v/>
      </c>
      <c r="AI2139" s="47"/>
      <c r="AJ2139" s="47"/>
    </row>
    <row r="2140" spans="1:36">
      <c r="A2140" s="374" t="s">
        <v>3422</v>
      </c>
      <c r="B2140" s="374">
        <v>22</v>
      </c>
      <c r="C2140" s="374" t="s">
        <v>3423</v>
      </c>
      <c r="D2140" s="375" t="str">
        <f t="shared" si="432"/>
        <v>Hillview Heights Estate22</v>
      </c>
      <c r="E2140" s="375" t="s">
        <v>3425</v>
      </c>
      <c r="F2140" s="375"/>
      <c r="G2140" s="375"/>
      <c r="H2140" s="375"/>
      <c r="I2140" s="63"/>
      <c r="J2140" s="47"/>
      <c r="K2140" s="46" t="s">
        <v>10735</v>
      </c>
      <c r="L2140" s="47"/>
      <c r="M2140" s="47"/>
      <c r="N2140" s="47"/>
      <c r="O2140" s="47"/>
      <c r="P2140" s="47"/>
      <c r="Q2140" s="47">
        <f>Q$2</f>
        <v>0</v>
      </c>
      <c r="R2140" s="47"/>
      <c r="S2140" s="47"/>
      <c r="T2140" s="47"/>
      <c r="U2140" s="47"/>
      <c r="V2140" s="47"/>
      <c r="W2140" s="47"/>
      <c r="X2140" s="47"/>
      <c r="Y2140" s="47"/>
      <c r="Z2140" s="47">
        <f t="shared" si="433"/>
        <v>4620</v>
      </c>
      <c r="AA2140" s="47"/>
      <c r="AB2140" s="47"/>
      <c r="AC2140" s="47"/>
      <c r="AD2140" s="47"/>
      <c r="AE2140" s="47"/>
      <c r="AF2140" s="47"/>
      <c r="AG2140" s="47"/>
      <c r="AH2140" s="47" t="str">
        <f>IFERROR(_xlfn.XLOOKUP(Table6[[#This Row],[Suburb]],Table5[Travel Surcharge],Table5[$$]),"")</f>
        <v/>
      </c>
      <c r="AI2140" s="47"/>
      <c r="AJ2140" s="47"/>
    </row>
    <row r="2141" spans="1:36">
      <c r="A2141" s="374" t="s">
        <v>3422</v>
      </c>
      <c r="B2141" s="374">
        <v>23</v>
      </c>
      <c r="C2141" s="374" t="s">
        <v>3423</v>
      </c>
      <c r="D2141" s="375" t="str">
        <f t="shared" ref="D2141:D2167" si="437">CONCATENATE(A2141,B2141)</f>
        <v>Hillview Heights Estate23</v>
      </c>
      <c r="E2141" s="375"/>
      <c r="F2141" s="375"/>
      <c r="G2141" s="375"/>
      <c r="H2141" s="375"/>
      <c r="I2141" s="63"/>
      <c r="J2141" s="47"/>
      <c r="K2141" s="46" t="s">
        <v>10735</v>
      </c>
      <c r="L2141" s="47" t="s">
        <v>3426</v>
      </c>
      <c r="M2141" s="47"/>
      <c r="N2141" s="47"/>
      <c r="O2141" s="47"/>
      <c r="P2141" s="47"/>
      <c r="Q2141" s="47">
        <f>Q$2</f>
        <v>0</v>
      </c>
      <c r="R2141" s="47"/>
      <c r="S2141" s="47"/>
      <c r="T2141" s="47"/>
      <c r="U2141" s="47"/>
      <c r="V2141" s="47"/>
      <c r="W2141" s="47"/>
      <c r="X2141" s="47"/>
      <c r="Y2141" s="47"/>
      <c r="Z2141" s="47">
        <f t="shared" ref="Z2141:Z2167" si="438">Z$7</f>
        <v>4620</v>
      </c>
      <c r="AA2141" s="47"/>
      <c r="AB2141" s="47"/>
      <c r="AC2141" s="47"/>
      <c r="AD2141" s="47"/>
      <c r="AE2141" s="47"/>
      <c r="AF2141" s="47"/>
      <c r="AG2141" s="47"/>
      <c r="AH2141" s="47" t="str">
        <f>IFERROR(_xlfn.XLOOKUP(Table6[[#This Row],[Suburb]],Table5[Travel Surcharge],Table5[$$]),"")</f>
        <v/>
      </c>
      <c r="AI2141" s="47"/>
      <c r="AJ2141" s="47"/>
    </row>
    <row r="2142" spans="1:36">
      <c r="A2142" s="374" t="s">
        <v>9406</v>
      </c>
      <c r="B2142" s="374">
        <v>2</v>
      </c>
      <c r="C2142" s="374" t="s">
        <v>1261</v>
      </c>
      <c r="D2142" s="375" t="str">
        <f t="shared" si="437"/>
        <v>Hillview South2</v>
      </c>
      <c r="E2142" s="375" t="s">
        <v>9407</v>
      </c>
      <c r="F2142" s="375"/>
      <c r="G2142" s="375"/>
      <c r="H2142" s="375"/>
      <c r="I2142" s="63"/>
      <c r="J2142" s="47"/>
      <c r="K2142" s="46" t="s">
        <v>10735</v>
      </c>
      <c r="L2142" s="47"/>
      <c r="M2142" s="47"/>
      <c r="N2142" s="47"/>
      <c r="O2142" s="47">
        <f>O$7</f>
        <v>4950</v>
      </c>
      <c r="P2142" s="47"/>
      <c r="Q2142" s="47"/>
      <c r="R2142" s="47"/>
      <c r="S2142" s="47">
        <f>S$2</f>
        <v>590</v>
      </c>
      <c r="T2142" s="47"/>
      <c r="U2142" s="47"/>
      <c r="V2142" s="47" t="s">
        <v>9408</v>
      </c>
      <c r="W2142" s="47"/>
      <c r="X2142" s="47"/>
      <c r="Y2142" s="47"/>
      <c r="Z2142" s="47">
        <f t="shared" si="438"/>
        <v>4620</v>
      </c>
      <c r="AA2142" s="47"/>
      <c r="AB2142" s="47"/>
      <c r="AC2142" s="47"/>
      <c r="AD2142" s="47"/>
      <c r="AE2142" s="47"/>
      <c r="AF2142" s="47"/>
      <c r="AG2142" s="47"/>
      <c r="AH2142" s="47" t="str">
        <f>IFERROR(_xlfn.XLOOKUP(Table6[[#This Row],[Suburb]],Table5[Travel Surcharge],Table5[$$]),"")</f>
        <v/>
      </c>
      <c r="AI2142" s="47"/>
      <c r="AJ2142" s="47"/>
    </row>
    <row r="2143" spans="1:36">
      <c r="A2143" s="374" t="s">
        <v>239</v>
      </c>
      <c r="B2143" s="374">
        <v>1</v>
      </c>
      <c r="C2143" s="374" t="s">
        <v>3427</v>
      </c>
      <c r="D2143" s="375" t="str">
        <f t="shared" si="437"/>
        <v>Holt1</v>
      </c>
      <c r="E2143" s="375" t="s">
        <v>3428</v>
      </c>
      <c r="F2143" s="375"/>
      <c r="G2143" s="375"/>
      <c r="H2143" s="375"/>
      <c r="I2143" s="63"/>
      <c r="J2143" s="47"/>
      <c r="K2143" s="46" t="s">
        <v>10735</v>
      </c>
      <c r="L2143" s="47"/>
      <c r="M2143" s="47"/>
      <c r="N2143" s="47"/>
      <c r="O2143" s="47"/>
      <c r="P2143" s="47"/>
      <c r="Q2143" s="47">
        <f>Q$2</f>
        <v>0</v>
      </c>
      <c r="R2143" s="47"/>
      <c r="S2143" s="47"/>
      <c r="T2143" s="47"/>
      <c r="U2143" s="47"/>
      <c r="V2143" s="47"/>
      <c r="W2143" s="47"/>
      <c r="X2143" s="47"/>
      <c r="Y2143" s="47"/>
      <c r="Z2143" s="47">
        <f t="shared" si="438"/>
        <v>4620</v>
      </c>
      <c r="AA2143" s="47"/>
      <c r="AB2143" s="47"/>
      <c r="AC2143" s="47"/>
      <c r="AD2143" s="47"/>
      <c r="AE2143" s="47"/>
      <c r="AF2143" s="47"/>
      <c r="AG2143" s="47"/>
      <c r="AH2143" s="47" t="str">
        <f>IFERROR(_xlfn.XLOOKUP(Table6[[#This Row],[Suburb]],Table5[Travel Surcharge],Table5[$$]),"")</f>
        <v/>
      </c>
      <c r="AI2143" s="47"/>
      <c r="AJ2143" s="47"/>
    </row>
    <row r="2144" spans="1:36">
      <c r="A2144" s="374" t="s">
        <v>8507</v>
      </c>
      <c r="B2144" s="374">
        <v>2</v>
      </c>
      <c r="C2144" s="374" t="s">
        <v>394</v>
      </c>
      <c r="D2144" s="375" t="str">
        <f t="shared" si="437"/>
        <v>Homelea2</v>
      </c>
      <c r="E2144" s="375" t="s">
        <v>8508</v>
      </c>
      <c r="F2144" s="375"/>
      <c r="G2144" s="375"/>
      <c r="H2144" s="375"/>
      <c r="I2144" s="63"/>
      <c r="J2144" s="47"/>
      <c r="K2144" s="46" t="s">
        <v>10735</v>
      </c>
      <c r="L2144" s="47" t="s">
        <v>8511</v>
      </c>
      <c r="M2144" s="47">
        <v>1430</v>
      </c>
      <c r="N2144" s="47" t="s">
        <v>8513</v>
      </c>
      <c r="O2144" s="47"/>
      <c r="P2144" s="47"/>
      <c r="Q2144" s="47"/>
      <c r="R2144" s="47"/>
      <c r="S2144" s="47"/>
      <c r="T2144" s="47">
        <f>T$2</f>
        <v>780</v>
      </c>
      <c r="U2144" s="47"/>
      <c r="V2144" s="47"/>
      <c r="W2144" s="47"/>
      <c r="X2144" s="47" t="s">
        <v>8509</v>
      </c>
      <c r="Y2144" s="47" t="s">
        <v>8510</v>
      </c>
      <c r="Z2144" s="47">
        <f t="shared" si="438"/>
        <v>4620</v>
      </c>
      <c r="AA2144" s="47"/>
      <c r="AB2144" s="47"/>
      <c r="AC2144" s="47"/>
      <c r="AD2144" s="47"/>
      <c r="AE2144" s="47"/>
      <c r="AF2144" s="47">
        <v>1650</v>
      </c>
      <c r="AG2144" s="47" t="s">
        <v>8512</v>
      </c>
      <c r="AH2144" s="47" t="str">
        <f>IFERROR(_xlfn.XLOOKUP(Table6[[#This Row],[Suburb]],Table5[Travel Surcharge],Table5[$$]),"")</f>
        <v/>
      </c>
      <c r="AI2144" s="47"/>
      <c r="AJ2144" s="47"/>
    </row>
    <row r="2145" spans="1:43">
      <c r="A2145" s="157" t="s">
        <v>8656</v>
      </c>
      <c r="B2145" s="157">
        <v>1</v>
      </c>
      <c r="C2145" s="157" t="s">
        <v>1590</v>
      </c>
      <c r="D2145" s="157" t="str">
        <f t="shared" si="437"/>
        <v>Homestead Road (Saltwater Prom) 1</v>
      </c>
      <c r="E2145" s="157" t="s">
        <v>8649</v>
      </c>
      <c r="F2145" s="157" t="s">
        <v>8650</v>
      </c>
      <c r="G2145" s="157" t="s">
        <v>8657</v>
      </c>
      <c r="H2145" s="157"/>
      <c r="I2145" s="158"/>
      <c r="J2145" s="47">
        <f>J$7</f>
        <v>3740</v>
      </c>
      <c r="K2145" s="46" t="s">
        <v>10735</v>
      </c>
      <c r="L2145" s="47" t="s">
        <v>8651</v>
      </c>
      <c r="M2145" s="47"/>
      <c r="N2145" s="47"/>
      <c r="O2145" s="47"/>
      <c r="P2145" s="47"/>
      <c r="Q2145" s="47"/>
      <c r="R2145" s="47"/>
      <c r="S2145" s="47"/>
      <c r="T2145" s="47"/>
      <c r="U2145" s="47"/>
      <c r="V2145" s="47"/>
      <c r="W2145" s="47"/>
      <c r="X2145" s="47"/>
      <c r="Y2145" s="47"/>
      <c r="Z2145" s="47">
        <f t="shared" si="438"/>
        <v>4620</v>
      </c>
      <c r="AA2145" s="47"/>
      <c r="AB2145" s="47"/>
      <c r="AC2145" s="47"/>
      <c r="AD2145" s="47"/>
      <c r="AE2145" s="47"/>
      <c r="AF2145" s="47"/>
      <c r="AG2145" s="47"/>
      <c r="AH2145" s="47" t="str">
        <f>IFERROR(_xlfn.XLOOKUP(Table6[[#This Row],[Suburb]],Table5[Travel Surcharge],Table5[$$]),"")</f>
        <v/>
      </c>
      <c r="AI2145" s="47"/>
      <c r="AJ2145" s="47">
        <f>AJ$7</f>
        <v>4400</v>
      </c>
    </row>
    <row r="2146" spans="1:43">
      <c r="A2146" s="374" t="s">
        <v>3429</v>
      </c>
      <c r="B2146" s="374">
        <v>1</v>
      </c>
      <c r="C2146" s="374" t="s">
        <v>3430</v>
      </c>
      <c r="D2146" s="375" t="str">
        <f t="shared" si="437"/>
        <v>Horizon 1</v>
      </c>
      <c r="E2146" s="375" t="s">
        <v>3431</v>
      </c>
      <c r="F2146" s="375"/>
      <c r="G2146" s="375"/>
      <c r="H2146" s="375"/>
      <c r="I2146" s="63"/>
      <c r="J2146" s="47">
        <f>J$7</f>
        <v>3740</v>
      </c>
      <c r="K2146" s="46" t="s">
        <v>7938</v>
      </c>
      <c r="L2146" s="47"/>
      <c r="M2146" s="47"/>
      <c r="N2146" s="47"/>
      <c r="O2146" s="47"/>
      <c r="P2146" s="47"/>
      <c r="Q2146" s="47">
        <f>Q$2</f>
        <v>0</v>
      </c>
      <c r="R2146" s="47"/>
      <c r="S2146" s="47"/>
      <c r="T2146" s="47"/>
      <c r="U2146" s="47"/>
      <c r="V2146" s="47"/>
      <c r="W2146" s="47"/>
      <c r="X2146" s="47"/>
      <c r="Y2146" s="47"/>
      <c r="Z2146" s="47">
        <f t="shared" si="438"/>
        <v>4620</v>
      </c>
      <c r="AA2146" s="47"/>
      <c r="AB2146" s="47"/>
      <c r="AC2146" s="47"/>
      <c r="AD2146" s="47"/>
      <c r="AE2146" s="47"/>
      <c r="AF2146" s="47"/>
      <c r="AG2146" s="47"/>
      <c r="AH2146" s="47" t="str">
        <f>IFERROR(_xlfn.XLOOKUP(Table6[[#This Row],[Suburb]],Table5[Travel Surcharge],Table5[$$]),"")</f>
        <v/>
      </c>
      <c r="AI2146" s="47"/>
      <c r="AJ2146" s="47"/>
    </row>
    <row r="2147" spans="1:43">
      <c r="A2147" s="374" t="s">
        <v>3432</v>
      </c>
      <c r="B2147" s="374">
        <v>4</v>
      </c>
      <c r="C2147" s="374" t="s">
        <v>281</v>
      </c>
      <c r="D2147" s="375" t="str">
        <f t="shared" si="437"/>
        <v>Horizon Cove Estate4</v>
      </c>
      <c r="E2147" s="375" t="s">
        <v>3433</v>
      </c>
      <c r="F2147" s="375"/>
      <c r="G2147" s="375"/>
      <c r="H2147" s="375"/>
      <c r="I2147" s="63"/>
      <c r="J2147" s="47">
        <f>J$7</f>
        <v>3740</v>
      </c>
      <c r="K2147" s="46" t="s">
        <v>10735</v>
      </c>
      <c r="L2147" s="47"/>
      <c r="M2147" s="47"/>
      <c r="N2147" s="47"/>
      <c r="O2147" s="47"/>
      <c r="P2147" s="47"/>
      <c r="Q2147" s="47">
        <f>Q$2</f>
        <v>0</v>
      </c>
      <c r="R2147" s="47"/>
      <c r="S2147" s="47"/>
      <c r="T2147" s="47"/>
      <c r="U2147" s="47"/>
      <c r="V2147" s="47"/>
      <c r="W2147" s="47"/>
      <c r="X2147" s="47"/>
      <c r="Y2147" s="47"/>
      <c r="Z2147" s="47">
        <f t="shared" si="438"/>
        <v>4620</v>
      </c>
      <c r="AA2147" s="47"/>
      <c r="AB2147" s="47"/>
      <c r="AC2147" s="47"/>
      <c r="AD2147" s="47"/>
      <c r="AE2147" s="47"/>
      <c r="AF2147" s="47"/>
      <c r="AG2147" s="47"/>
      <c r="AH2147" s="47">
        <f>IFERROR(_xlfn.XLOOKUP(Table6[[#This Row],[Suburb]],Table5[Travel Surcharge],Table5[$$]),"")</f>
        <v>1500</v>
      </c>
      <c r="AI2147" s="47"/>
      <c r="AJ2147" s="47"/>
    </row>
    <row r="2148" spans="1:43">
      <c r="A2148" s="374" t="s">
        <v>9845</v>
      </c>
      <c r="B2148" s="374">
        <v>4</v>
      </c>
      <c r="C2148" s="374" t="s">
        <v>301</v>
      </c>
      <c r="D2148" s="375" t="str">
        <f t="shared" si="437"/>
        <v>Hunter Park Estate4</v>
      </c>
      <c r="E2148" s="375" t="s">
        <v>9846</v>
      </c>
      <c r="F2148" s="375"/>
      <c r="G2148" s="375" t="s">
        <v>9848</v>
      </c>
      <c r="H2148" s="375" t="s">
        <v>9847</v>
      </c>
      <c r="I2148" s="63" t="s">
        <v>9820</v>
      </c>
      <c r="J2148" s="47"/>
      <c r="K2148" s="46" t="s">
        <v>10735</v>
      </c>
      <c r="L2148" s="47"/>
      <c r="M2148" s="47"/>
      <c r="N2148" s="47"/>
      <c r="O2148" s="47">
        <f>O$7</f>
        <v>4950</v>
      </c>
      <c r="P2148" s="47"/>
      <c r="Q2148" s="47"/>
      <c r="R2148" s="47"/>
      <c r="S2148" s="47">
        <f>S$2</f>
        <v>590</v>
      </c>
      <c r="T2148" s="47"/>
      <c r="U2148" s="47"/>
      <c r="V2148" s="47"/>
      <c r="W2148" s="47"/>
      <c r="X2148" s="47"/>
      <c r="Y2148" s="47"/>
      <c r="Z2148" s="47">
        <f t="shared" si="438"/>
        <v>4620</v>
      </c>
      <c r="AA2148" s="47"/>
      <c r="AB2148" s="47"/>
      <c r="AC2148" s="47"/>
      <c r="AD2148" s="47"/>
      <c r="AE2148" s="47"/>
      <c r="AF2148" s="47"/>
      <c r="AG2148" s="47"/>
      <c r="AH2148" s="47">
        <f>IFERROR(_xlfn.XLOOKUP(Table6[[#This Row],[Suburb]],Table5[Travel Surcharge],Table5[$$]),"")</f>
        <v>7000</v>
      </c>
      <c r="AI2148" s="47"/>
      <c r="AJ2148" s="47"/>
    </row>
    <row r="2149" spans="1:43">
      <c r="A2149" s="374" t="s">
        <v>9845</v>
      </c>
      <c r="B2149" s="374">
        <v>5</v>
      </c>
      <c r="C2149" s="374" t="s">
        <v>301</v>
      </c>
      <c r="D2149" s="375" t="str">
        <f t="shared" si="437"/>
        <v>Hunter Park Estate5</v>
      </c>
      <c r="E2149" s="375" t="s">
        <v>9849</v>
      </c>
      <c r="F2149" s="375"/>
      <c r="G2149" s="375" t="s">
        <v>9848</v>
      </c>
      <c r="H2149" s="375" t="s">
        <v>9847</v>
      </c>
      <c r="I2149" s="63" t="s">
        <v>9820</v>
      </c>
      <c r="J2149" s="47"/>
      <c r="K2149" s="46" t="s">
        <v>10735</v>
      </c>
      <c r="L2149" s="47"/>
      <c r="M2149" s="47"/>
      <c r="N2149" s="47"/>
      <c r="O2149" s="47">
        <f>O$7</f>
        <v>4950</v>
      </c>
      <c r="P2149" s="47"/>
      <c r="Q2149" s="47"/>
      <c r="R2149" s="47"/>
      <c r="S2149" s="47">
        <f>S$2</f>
        <v>590</v>
      </c>
      <c r="T2149" s="47"/>
      <c r="U2149" s="47"/>
      <c r="V2149" s="47"/>
      <c r="W2149" s="47"/>
      <c r="X2149" s="47"/>
      <c r="Y2149" s="47"/>
      <c r="Z2149" s="47">
        <f t="shared" si="438"/>
        <v>4620</v>
      </c>
      <c r="AA2149" s="47"/>
      <c r="AB2149" s="47"/>
      <c r="AC2149" s="47"/>
      <c r="AD2149" s="47"/>
      <c r="AE2149" s="47"/>
      <c r="AF2149" s="47"/>
      <c r="AG2149" s="47"/>
      <c r="AH2149" s="47">
        <f>IFERROR(_xlfn.XLOOKUP(Table6[[#This Row],[Suburb]],Table5[Travel Surcharge],Table5[$$]),"")</f>
        <v>7000</v>
      </c>
      <c r="AI2149" s="47"/>
      <c r="AJ2149" s="47"/>
    </row>
    <row r="2150" spans="1:43">
      <c r="A2150" s="374" t="s">
        <v>3434</v>
      </c>
      <c r="B2150" s="374">
        <v>11</v>
      </c>
      <c r="C2150" s="374" t="s">
        <v>862</v>
      </c>
      <c r="D2150" s="375" t="str">
        <f t="shared" si="437"/>
        <v>Infinity Estate11</v>
      </c>
      <c r="E2150" s="375" t="s">
        <v>3435</v>
      </c>
      <c r="F2150" s="375" t="s">
        <v>3436</v>
      </c>
      <c r="G2150" s="375" t="s">
        <v>3437</v>
      </c>
      <c r="H2150" s="375" t="s">
        <v>3438</v>
      </c>
      <c r="I2150" s="63" t="s">
        <v>3439</v>
      </c>
      <c r="J2150" s="47"/>
      <c r="K2150" s="46" t="s">
        <v>10735</v>
      </c>
      <c r="L2150" s="47"/>
      <c r="M2150" s="47"/>
      <c r="N2150" s="47"/>
      <c r="O2150" s="47"/>
      <c r="P2150" s="47"/>
      <c r="Q2150" s="47">
        <f>Q$2</f>
        <v>0</v>
      </c>
      <c r="R2150" s="47"/>
      <c r="S2150" s="47"/>
      <c r="T2150" s="47"/>
      <c r="U2150" s="47"/>
      <c r="V2150" s="47"/>
      <c r="W2150" s="47"/>
      <c r="X2150" s="47"/>
      <c r="Y2150" s="47"/>
      <c r="Z2150" s="47">
        <f t="shared" si="438"/>
        <v>4620</v>
      </c>
      <c r="AA2150" s="47"/>
      <c r="AB2150" s="47"/>
      <c r="AC2150" s="47"/>
      <c r="AD2150" s="47"/>
      <c r="AE2150" s="47"/>
      <c r="AF2150" s="47"/>
      <c r="AG2150" s="47"/>
      <c r="AH2150" s="47" t="str">
        <f>IFERROR(_xlfn.XLOOKUP(Table6[[#This Row],[Suburb]],Table5[Travel Surcharge],Table5[$$]),"")</f>
        <v/>
      </c>
      <c r="AI2150" s="47"/>
      <c r="AJ2150" s="47"/>
    </row>
    <row r="2151" spans="1:43">
      <c r="A2151" s="374" t="s">
        <v>3434</v>
      </c>
      <c r="B2151" s="374">
        <v>14</v>
      </c>
      <c r="C2151" s="374" t="s">
        <v>862</v>
      </c>
      <c r="D2151" s="375" t="str">
        <f t="shared" si="437"/>
        <v>Infinity Estate14</v>
      </c>
      <c r="E2151" s="375" t="s">
        <v>3440</v>
      </c>
      <c r="F2151" s="375" t="s">
        <v>3436</v>
      </c>
      <c r="G2151" s="375" t="s">
        <v>3437</v>
      </c>
      <c r="H2151" s="375" t="s">
        <v>3438</v>
      </c>
      <c r="I2151" s="63" t="s">
        <v>3439</v>
      </c>
      <c r="J2151" s="47"/>
      <c r="K2151" s="46" t="s">
        <v>10735</v>
      </c>
      <c r="L2151" s="47"/>
      <c r="M2151" s="47"/>
      <c r="N2151" s="47"/>
      <c r="O2151" s="47"/>
      <c r="P2151" s="47"/>
      <c r="Q2151" s="47">
        <f>Q$2</f>
        <v>0</v>
      </c>
      <c r="R2151" s="47"/>
      <c r="S2151" s="47"/>
      <c r="T2151" s="47"/>
      <c r="U2151" s="47"/>
      <c r="V2151" s="47"/>
      <c r="W2151" s="47"/>
      <c r="X2151" s="47"/>
      <c r="Y2151" s="47"/>
      <c r="Z2151" s="47">
        <f t="shared" si="438"/>
        <v>4620</v>
      </c>
      <c r="AA2151" s="47"/>
      <c r="AB2151" s="47"/>
      <c r="AC2151" s="47"/>
      <c r="AD2151" s="47"/>
      <c r="AE2151" s="47"/>
      <c r="AF2151" s="47"/>
      <c r="AG2151" s="47"/>
      <c r="AH2151" s="47" t="str">
        <f>IFERROR(_xlfn.XLOOKUP(Table6[[#This Row],[Suburb]],Table5[Travel Surcharge],Table5[$$]),"")</f>
        <v/>
      </c>
      <c r="AI2151" s="47"/>
      <c r="AJ2151" s="47"/>
    </row>
    <row r="2152" spans="1:43">
      <c r="A2152" s="374" t="s">
        <v>3441</v>
      </c>
      <c r="B2152" s="374">
        <v>6</v>
      </c>
      <c r="C2152" s="374" t="s">
        <v>3442</v>
      </c>
      <c r="D2152" s="375" t="str">
        <f t="shared" si="437"/>
        <v>Ironwood6</v>
      </c>
      <c r="E2152" s="375" t="s">
        <v>3443</v>
      </c>
      <c r="F2152" s="375"/>
      <c r="G2152" s="375" t="s">
        <v>3444</v>
      </c>
      <c r="H2152" s="375" t="s">
        <v>3445</v>
      </c>
      <c r="I2152" s="63" t="s">
        <v>3446</v>
      </c>
      <c r="J2152" s="47"/>
      <c r="K2152" s="46" t="s">
        <v>10735</v>
      </c>
      <c r="L2152" s="47" t="s">
        <v>3447</v>
      </c>
      <c r="M2152" s="47" t="s">
        <v>3448</v>
      </c>
      <c r="N2152" s="47" t="s">
        <v>2394</v>
      </c>
      <c r="O2152" s="47"/>
      <c r="P2152" s="47"/>
      <c r="Q2152" s="47">
        <f>Q$2</f>
        <v>0</v>
      </c>
      <c r="R2152" s="47"/>
      <c r="S2152" s="47"/>
      <c r="T2152" s="47"/>
      <c r="U2152" s="47"/>
      <c r="V2152" s="47"/>
      <c r="W2152" s="47"/>
      <c r="X2152" s="47"/>
      <c r="Y2152" s="47"/>
      <c r="Z2152" s="47">
        <f t="shared" si="438"/>
        <v>4620</v>
      </c>
      <c r="AA2152" s="47"/>
      <c r="AB2152" s="47"/>
      <c r="AC2152" s="47"/>
      <c r="AD2152" s="47"/>
      <c r="AE2152" s="47"/>
      <c r="AF2152" s="47">
        <f>AF$7</f>
        <v>1485</v>
      </c>
      <c r="AG2152" s="47"/>
      <c r="AH2152" s="47" t="str">
        <f>IFERROR(_xlfn.XLOOKUP(Table6[[#This Row],[Suburb]],Table5[Travel Surcharge],Table5[$$]),"")</f>
        <v/>
      </c>
      <c r="AI2152" s="47"/>
      <c r="AJ2152" s="47"/>
    </row>
    <row r="2153" spans="1:43">
      <c r="A2153" s="374" t="s">
        <v>8177</v>
      </c>
      <c r="B2153" s="374">
        <v>1</v>
      </c>
      <c r="C2153" s="374" t="s">
        <v>631</v>
      </c>
      <c r="D2153" s="375" t="str">
        <f t="shared" si="437"/>
        <v>Iverness1</v>
      </c>
      <c r="E2153" s="375" t="s">
        <v>8180</v>
      </c>
      <c r="F2153" s="375" t="s">
        <v>2745</v>
      </c>
      <c r="G2153" s="375" t="s">
        <v>8178</v>
      </c>
      <c r="H2153" s="375" t="s">
        <v>8179</v>
      </c>
      <c r="I2153" s="63"/>
      <c r="J2153" s="47">
        <f t="shared" ref="J2153:J2162" si="439">J$7</f>
        <v>3740</v>
      </c>
      <c r="K2153" s="46" t="s">
        <v>10735</v>
      </c>
      <c r="L2153" s="47"/>
      <c r="M2153" s="47">
        <f>$M$7</f>
        <v>1430.0000000000002</v>
      </c>
      <c r="N2153" s="47" t="s">
        <v>2894</v>
      </c>
      <c r="O2153" s="47"/>
      <c r="P2153" s="47"/>
      <c r="Q2153" s="47"/>
      <c r="R2153" s="47"/>
      <c r="S2153" s="47"/>
      <c r="T2153" s="47"/>
      <c r="U2153" s="47">
        <f>U$2</f>
        <v>430</v>
      </c>
      <c r="V2153" s="47"/>
      <c r="W2153" s="47"/>
      <c r="X2153" s="47">
        <f>$X$7</f>
        <v>3000</v>
      </c>
      <c r="Y2153" s="47"/>
      <c r="Z2153" s="47">
        <f t="shared" si="438"/>
        <v>4620</v>
      </c>
      <c r="AA2153" s="47">
        <f>$AA$7</f>
        <v>1400</v>
      </c>
      <c r="AB2153" s="47"/>
      <c r="AC2153" s="47"/>
      <c r="AD2153" s="47"/>
      <c r="AE2153" s="47"/>
      <c r="AF2153" s="47">
        <f>$AF$7</f>
        <v>1485</v>
      </c>
      <c r="AG2153" s="47"/>
      <c r="AH2153" s="47" t="str">
        <f>IFERROR(_xlfn.XLOOKUP(Table6[[#This Row],[Suburb]],Table5[Travel Surcharge],Table5[$$]),"")</f>
        <v/>
      </c>
      <c r="AI2153" s="47"/>
      <c r="AJ2153" s="47"/>
    </row>
    <row r="2154" spans="1:43">
      <c r="A2154" s="157" t="s">
        <v>8177</v>
      </c>
      <c r="B2154" s="157">
        <v>2</v>
      </c>
      <c r="C2154" s="157" t="s">
        <v>8078</v>
      </c>
      <c r="D2154" s="157" t="str">
        <f t="shared" si="437"/>
        <v>Iverness2</v>
      </c>
      <c r="E2154" s="157" t="s">
        <v>8477</v>
      </c>
      <c r="F2154" s="157" t="s">
        <v>2745</v>
      </c>
      <c r="G2154" s="157" t="s">
        <v>8178</v>
      </c>
      <c r="H2154" s="157" t="s">
        <v>8478</v>
      </c>
      <c r="I2154" s="158"/>
      <c r="J2154" s="47">
        <f t="shared" si="439"/>
        <v>3740</v>
      </c>
      <c r="K2154" s="46" t="s">
        <v>10735</v>
      </c>
      <c r="L2154" s="47"/>
      <c r="M2154" s="47">
        <f>$M$7</f>
        <v>1430.0000000000002</v>
      </c>
      <c r="N2154" s="47" t="s">
        <v>2894</v>
      </c>
      <c r="O2154" s="47"/>
      <c r="P2154" s="47"/>
      <c r="Q2154" s="47"/>
      <c r="R2154" s="47"/>
      <c r="S2154" s="47"/>
      <c r="T2154" s="47"/>
      <c r="U2154" s="47">
        <f>U$2</f>
        <v>430</v>
      </c>
      <c r="V2154" s="47"/>
      <c r="W2154" s="47"/>
      <c r="X2154" s="47">
        <f>$X$7</f>
        <v>3000</v>
      </c>
      <c r="Y2154" s="47"/>
      <c r="Z2154" s="47">
        <f t="shared" si="438"/>
        <v>4620</v>
      </c>
      <c r="AA2154" s="47">
        <f>$AA$7</f>
        <v>1400</v>
      </c>
      <c r="AB2154" s="47"/>
      <c r="AC2154" s="47"/>
      <c r="AD2154" s="47"/>
      <c r="AE2154" s="47"/>
      <c r="AF2154" s="47">
        <f>$AF$7</f>
        <v>1485</v>
      </c>
      <c r="AG2154" s="47"/>
      <c r="AH2154" s="47" t="str">
        <f>IFERROR(_xlfn.XLOOKUP(Table6[[#This Row],[Suburb]],Table5[Travel Surcharge],Table5[$$]),"")</f>
        <v/>
      </c>
      <c r="AI2154" s="47"/>
      <c r="AJ2154" s="47"/>
    </row>
    <row r="2155" spans="1:43">
      <c r="A2155" s="374" t="s">
        <v>3449</v>
      </c>
      <c r="B2155" s="374">
        <v>1</v>
      </c>
      <c r="C2155" s="374" t="s">
        <v>385</v>
      </c>
      <c r="D2155" s="375" t="str">
        <f t="shared" si="437"/>
        <v>Ivy1</v>
      </c>
      <c r="E2155" s="375" t="s">
        <v>3450</v>
      </c>
      <c r="F2155" s="375"/>
      <c r="G2155" s="375"/>
      <c r="H2155" s="375"/>
      <c r="I2155" s="63"/>
      <c r="J2155" s="47">
        <f t="shared" si="439"/>
        <v>3740</v>
      </c>
      <c r="K2155" s="46" t="s">
        <v>10735</v>
      </c>
      <c r="L2155" s="47"/>
      <c r="M2155" s="47"/>
      <c r="N2155" s="47"/>
      <c r="O2155" s="47"/>
      <c r="P2155" s="47"/>
      <c r="Q2155" s="47">
        <f>Q$2</f>
        <v>0</v>
      </c>
      <c r="R2155" s="47"/>
      <c r="S2155" s="47"/>
      <c r="T2155" s="47"/>
      <c r="U2155" s="47"/>
      <c r="V2155" s="47"/>
      <c r="W2155" s="47"/>
      <c r="X2155" s="47"/>
      <c r="Y2155" s="47"/>
      <c r="Z2155" s="47">
        <f t="shared" si="438"/>
        <v>4620</v>
      </c>
      <c r="AA2155" s="47"/>
      <c r="AB2155" s="47"/>
      <c r="AC2155" s="47"/>
      <c r="AD2155" s="47"/>
      <c r="AE2155" s="47"/>
      <c r="AF2155" s="47"/>
      <c r="AG2155" s="47"/>
      <c r="AH2155" s="47" t="str">
        <f>IFERROR(_xlfn.XLOOKUP(Table6[[#This Row],[Suburb]],Table5[Travel Surcharge],Table5[$$]),"")</f>
        <v/>
      </c>
      <c r="AI2155" s="47"/>
      <c r="AJ2155" s="47"/>
    </row>
    <row r="2156" spans="1:43">
      <c r="A2156" s="374" t="s">
        <v>3451</v>
      </c>
      <c r="B2156" s="374">
        <v>17</v>
      </c>
      <c r="C2156" s="374" t="s">
        <v>289</v>
      </c>
      <c r="D2156" s="375" t="str">
        <f t="shared" si="437"/>
        <v>Jackson's View Estate17</v>
      </c>
      <c r="E2156" s="375" t="s">
        <v>3452</v>
      </c>
      <c r="F2156" s="375"/>
      <c r="G2156" s="375"/>
      <c r="H2156" s="375"/>
      <c r="I2156" s="63"/>
      <c r="J2156" s="47">
        <f t="shared" si="439"/>
        <v>3740</v>
      </c>
      <c r="K2156" s="46" t="s">
        <v>10735</v>
      </c>
      <c r="L2156" s="47" t="s">
        <v>3453</v>
      </c>
      <c r="M2156" s="47"/>
      <c r="N2156" s="47"/>
      <c r="O2156" s="47" t="s">
        <v>3454</v>
      </c>
      <c r="P2156" s="47"/>
      <c r="Q2156" s="47"/>
      <c r="R2156" s="47"/>
      <c r="S2156" s="47"/>
      <c r="T2156" s="47"/>
      <c r="U2156" s="47">
        <f>U$2</f>
        <v>430</v>
      </c>
      <c r="V2156" s="47"/>
      <c r="W2156" s="47"/>
      <c r="X2156" s="47"/>
      <c r="Y2156" s="47"/>
      <c r="Z2156" s="47">
        <f t="shared" si="438"/>
        <v>4620</v>
      </c>
      <c r="AA2156" s="47"/>
      <c r="AB2156" s="47"/>
      <c r="AC2156" s="47"/>
      <c r="AD2156" s="47"/>
      <c r="AE2156" s="47"/>
      <c r="AF2156" s="47"/>
      <c r="AG2156" s="47"/>
      <c r="AH2156" s="47">
        <f>IFERROR(_xlfn.XLOOKUP(Table6[[#This Row],[Suburb]],Table5[Travel Surcharge],Table5[$$]),"")</f>
        <v>7000</v>
      </c>
      <c r="AI2156" s="47"/>
      <c r="AJ2156" s="47"/>
    </row>
    <row r="2157" spans="1:43">
      <c r="A2157" s="374" t="s">
        <v>3451</v>
      </c>
      <c r="B2157" s="374">
        <v>24</v>
      </c>
      <c r="C2157" s="374" t="s">
        <v>289</v>
      </c>
      <c r="D2157" s="375" t="str">
        <f t="shared" si="437"/>
        <v>Jackson's View Estate24</v>
      </c>
      <c r="E2157" s="375" t="s">
        <v>3452</v>
      </c>
      <c r="F2157" s="375"/>
      <c r="G2157" s="375"/>
      <c r="H2157" s="375"/>
      <c r="I2157" s="63"/>
      <c r="J2157" s="47">
        <f t="shared" si="439"/>
        <v>3740</v>
      </c>
      <c r="K2157" s="46" t="s">
        <v>10735</v>
      </c>
      <c r="L2157" s="47" t="s">
        <v>3453</v>
      </c>
      <c r="M2157" s="47"/>
      <c r="N2157" s="47"/>
      <c r="O2157" s="47" t="s">
        <v>3454</v>
      </c>
      <c r="P2157" s="47"/>
      <c r="Q2157" s="47"/>
      <c r="R2157" s="47"/>
      <c r="S2157" s="47"/>
      <c r="T2157" s="47"/>
      <c r="U2157" s="47">
        <f>U$2</f>
        <v>430</v>
      </c>
      <c r="V2157" s="47" t="s">
        <v>3455</v>
      </c>
      <c r="W2157" s="47"/>
      <c r="X2157" s="47"/>
      <c r="Y2157" s="47"/>
      <c r="Z2157" s="47">
        <f t="shared" si="438"/>
        <v>4620</v>
      </c>
      <c r="AA2157" s="47"/>
      <c r="AB2157" s="47"/>
      <c r="AC2157" s="47"/>
      <c r="AD2157" s="47"/>
      <c r="AE2157" s="47"/>
      <c r="AF2157" s="47"/>
      <c r="AG2157" s="47"/>
      <c r="AH2157" s="47">
        <f>IFERROR(_xlfn.XLOOKUP(Table6[[#This Row],[Suburb]],Table5[Travel Surcharge],Table5[$$]),"")</f>
        <v>7000</v>
      </c>
      <c r="AI2157" s="47"/>
      <c r="AJ2157" s="47"/>
    </row>
    <row r="2158" spans="1:43">
      <c r="A2158" s="374" t="s">
        <v>3456</v>
      </c>
      <c r="B2158" s="374">
        <v>2</v>
      </c>
      <c r="C2158" s="374" t="s">
        <v>3457</v>
      </c>
      <c r="D2158" s="375" t="str">
        <f t="shared" si="437"/>
        <v>Janson Views Estate2</v>
      </c>
      <c r="E2158" s="375" t="s">
        <v>3458</v>
      </c>
      <c r="F2158" s="375" t="s">
        <v>1772</v>
      </c>
      <c r="G2158" s="375" t="s">
        <v>3459</v>
      </c>
      <c r="H2158" s="375" t="s">
        <v>3460</v>
      </c>
      <c r="I2158" s="63" t="s">
        <v>3461</v>
      </c>
      <c r="J2158" s="47">
        <f t="shared" si="439"/>
        <v>3740</v>
      </c>
      <c r="K2158" s="46" t="s">
        <v>10735</v>
      </c>
      <c r="L2158" s="47"/>
      <c r="M2158" s="47"/>
      <c r="N2158" s="47"/>
      <c r="O2158" s="47">
        <f>O$7</f>
        <v>4950</v>
      </c>
      <c r="P2158" s="47"/>
      <c r="Q2158" s="47">
        <f t="shared" ref="Q2158:Q2164" si="440">Q$2</f>
        <v>0</v>
      </c>
      <c r="R2158" s="47"/>
      <c r="S2158" s="47"/>
      <c r="T2158" s="47"/>
      <c r="U2158" s="47"/>
      <c r="V2158" s="47"/>
      <c r="W2158" s="47"/>
      <c r="X2158" s="47"/>
      <c r="Y2158" s="47"/>
      <c r="Z2158" s="47">
        <f t="shared" si="438"/>
        <v>4620</v>
      </c>
      <c r="AA2158" s="47"/>
      <c r="AB2158" s="47"/>
      <c r="AC2158" s="47"/>
      <c r="AD2158" s="47"/>
      <c r="AE2158" s="47"/>
      <c r="AF2158" s="47"/>
      <c r="AG2158" s="47"/>
      <c r="AH2158" s="47">
        <f>IFERROR(_xlfn.XLOOKUP(Table6[[#This Row],[Suburb]],Table5[Travel Surcharge],Table5[$$]),"")</f>
        <v>8000</v>
      </c>
      <c r="AI2158" s="47"/>
      <c r="AJ2158" s="47">
        <f>AJ$7</f>
        <v>4400</v>
      </c>
    </row>
    <row r="2159" spans="1:43" s="157" customFormat="1">
      <c r="A2159" s="374" t="s">
        <v>3456</v>
      </c>
      <c r="B2159" s="374" t="s">
        <v>501</v>
      </c>
      <c r="C2159" s="374" t="s">
        <v>3457</v>
      </c>
      <c r="D2159" s="375" t="str">
        <f t="shared" si="437"/>
        <v>Janson Views Estate1A</v>
      </c>
      <c r="E2159" s="375" t="s">
        <v>3017</v>
      </c>
      <c r="F2159" s="375" t="s">
        <v>1772</v>
      </c>
      <c r="G2159" s="375" t="s">
        <v>3459</v>
      </c>
      <c r="H2159" s="375" t="s">
        <v>3460</v>
      </c>
      <c r="I2159" s="63" t="s">
        <v>3461</v>
      </c>
      <c r="J2159" s="47">
        <f t="shared" si="439"/>
        <v>3740</v>
      </c>
      <c r="K2159" s="46" t="s">
        <v>10735</v>
      </c>
      <c r="L2159" s="47"/>
      <c r="M2159" s="47"/>
      <c r="N2159" s="47"/>
      <c r="O2159" s="47">
        <f>O$7</f>
        <v>4950</v>
      </c>
      <c r="P2159" s="47"/>
      <c r="Q2159" s="47">
        <f t="shared" si="440"/>
        <v>0</v>
      </c>
      <c r="R2159" s="47"/>
      <c r="S2159" s="47"/>
      <c r="T2159" s="47"/>
      <c r="U2159" s="47"/>
      <c r="V2159" s="47"/>
      <c r="W2159" s="47"/>
      <c r="X2159" s="47"/>
      <c r="Y2159" s="47"/>
      <c r="Z2159" s="47">
        <f t="shared" si="438"/>
        <v>4620</v>
      </c>
      <c r="AA2159" s="47"/>
      <c r="AB2159" s="47"/>
      <c r="AC2159" s="47"/>
      <c r="AD2159" s="47"/>
      <c r="AE2159" s="47"/>
      <c r="AF2159" s="47"/>
      <c r="AG2159" s="47"/>
      <c r="AH2159" s="47">
        <f>IFERROR(_xlfn.XLOOKUP(Table6[[#This Row],[Suburb]],Table5[Travel Surcharge],Table5[$$]),"")</f>
        <v>8000</v>
      </c>
      <c r="AI2159" s="47"/>
      <c r="AJ2159" s="47">
        <f>AJ$7</f>
        <v>4400</v>
      </c>
      <c r="AM2159" s="208"/>
      <c r="AO2159"/>
      <c r="AP2159"/>
      <c r="AQ2159"/>
    </row>
    <row r="2160" spans="1:43">
      <c r="A2160" s="374" t="s">
        <v>3456</v>
      </c>
      <c r="B2160" s="374" t="s">
        <v>507</v>
      </c>
      <c r="C2160" s="374" t="s">
        <v>3457</v>
      </c>
      <c r="D2160" s="375" t="str">
        <f t="shared" si="437"/>
        <v>Janson Views Estate1B</v>
      </c>
      <c r="E2160" s="375" t="s">
        <v>3462</v>
      </c>
      <c r="F2160" s="375" t="s">
        <v>1772</v>
      </c>
      <c r="G2160" s="375" t="s">
        <v>3459</v>
      </c>
      <c r="H2160" s="375" t="s">
        <v>3460</v>
      </c>
      <c r="I2160" s="63" t="s">
        <v>3461</v>
      </c>
      <c r="J2160" s="47">
        <f t="shared" si="439"/>
        <v>3740</v>
      </c>
      <c r="K2160" s="46" t="s">
        <v>10735</v>
      </c>
      <c r="L2160" s="47"/>
      <c r="M2160" s="47"/>
      <c r="N2160" s="47"/>
      <c r="O2160" s="47">
        <f>O$7</f>
        <v>4950</v>
      </c>
      <c r="P2160" s="47"/>
      <c r="Q2160" s="47">
        <f t="shared" si="440"/>
        <v>0</v>
      </c>
      <c r="R2160" s="47"/>
      <c r="S2160" s="47"/>
      <c r="T2160" s="47"/>
      <c r="U2160" s="47"/>
      <c r="V2160" s="47"/>
      <c r="W2160" s="47"/>
      <c r="X2160" s="47"/>
      <c r="Y2160" s="47"/>
      <c r="Z2160" s="47">
        <f t="shared" si="438"/>
        <v>4620</v>
      </c>
      <c r="AA2160" s="47"/>
      <c r="AB2160" s="47"/>
      <c r="AC2160" s="47"/>
      <c r="AD2160" s="47"/>
      <c r="AE2160" s="47"/>
      <c r="AF2160" s="47"/>
      <c r="AG2160" s="47"/>
      <c r="AH2160" s="47">
        <f>IFERROR(_xlfn.XLOOKUP(Table6[[#This Row],[Suburb]],Table5[Travel Surcharge],Table5[$$]),"")</f>
        <v>8000</v>
      </c>
      <c r="AI2160" s="47"/>
      <c r="AJ2160" s="47">
        <f>AJ$7</f>
        <v>4400</v>
      </c>
      <c r="AO2160" s="157"/>
      <c r="AP2160" s="157"/>
      <c r="AQ2160" s="157"/>
    </row>
    <row r="2161" spans="1:36">
      <c r="A2161" s="374" t="s">
        <v>3463</v>
      </c>
      <c r="B2161" s="374">
        <v>1</v>
      </c>
      <c r="C2161" s="374" t="s">
        <v>436</v>
      </c>
      <c r="D2161" s="375" t="str">
        <f t="shared" si="437"/>
        <v>Jawaid1</v>
      </c>
      <c r="E2161" s="375" t="s">
        <v>3464</v>
      </c>
      <c r="F2161" s="375"/>
      <c r="G2161" s="375" t="s">
        <v>3222</v>
      </c>
      <c r="H2161" s="375" t="s">
        <v>922</v>
      </c>
      <c r="I2161" s="63" t="s">
        <v>923</v>
      </c>
      <c r="J2161" s="47">
        <f t="shared" si="439"/>
        <v>3740</v>
      </c>
      <c r="K2161" s="46" t="s">
        <v>10735</v>
      </c>
      <c r="L2161" s="47"/>
      <c r="M2161" s="47"/>
      <c r="N2161" s="47"/>
      <c r="O2161" s="47"/>
      <c r="P2161" s="47"/>
      <c r="Q2161" s="47">
        <f t="shared" si="440"/>
        <v>0</v>
      </c>
      <c r="R2161" s="47"/>
      <c r="S2161" s="47"/>
      <c r="T2161" s="47"/>
      <c r="U2161" s="47"/>
      <c r="V2161" s="47"/>
      <c r="W2161" s="47"/>
      <c r="X2161" s="47"/>
      <c r="Y2161" s="47"/>
      <c r="Z2161" s="47">
        <f t="shared" si="438"/>
        <v>4620</v>
      </c>
      <c r="AA2161" s="47"/>
      <c r="AB2161" s="47"/>
      <c r="AC2161" s="47"/>
      <c r="AD2161" s="47"/>
      <c r="AE2161" s="47"/>
      <c r="AF2161" s="47"/>
      <c r="AG2161" s="47"/>
      <c r="AH2161" s="47" t="str">
        <f>IFERROR(_xlfn.XLOOKUP(Table6[[#This Row],[Suburb]],Table5[Travel Surcharge],Table5[$$]),"")</f>
        <v/>
      </c>
      <c r="AI2161" s="47"/>
      <c r="AJ2161" s="47"/>
    </row>
    <row r="2162" spans="1:36">
      <c r="A2162" s="374" t="s">
        <v>3463</v>
      </c>
      <c r="B2162" s="374">
        <v>3</v>
      </c>
      <c r="C2162" s="374" t="s">
        <v>436</v>
      </c>
      <c r="D2162" s="375" t="str">
        <f t="shared" si="437"/>
        <v>Jawaid3</v>
      </c>
      <c r="E2162" s="375" t="s">
        <v>437</v>
      </c>
      <c r="F2162" s="375"/>
      <c r="G2162" s="375" t="s">
        <v>3222</v>
      </c>
      <c r="H2162" s="375" t="s">
        <v>922</v>
      </c>
      <c r="I2162" s="63" t="s">
        <v>923</v>
      </c>
      <c r="J2162" s="47">
        <f t="shared" si="439"/>
        <v>3740</v>
      </c>
      <c r="K2162" s="46" t="s">
        <v>10735</v>
      </c>
      <c r="L2162" s="47"/>
      <c r="M2162" s="47"/>
      <c r="N2162" s="47"/>
      <c r="O2162" s="47"/>
      <c r="P2162" s="47"/>
      <c r="Q2162" s="47">
        <f t="shared" si="440"/>
        <v>0</v>
      </c>
      <c r="R2162" s="47"/>
      <c r="S2162" s="47"/>
      <c r="T2162" s="47"/>
      <c r="U2162" s="47"/>
      <c r="V2162" s="47"/>
      <c r="W2162" s="47"/>
      <c r="X2162" s="47"/>
      <c r="Y2162" s="47"/>
      <c r="Z2162" s="47">
        <f t="shared" si="438"/>
        <v>4620</v>
      </c>
      <c r="AA2162" s="47"/>
      <c r="AB2162" s="47"/>
      <c r="AC2162" s="47"/>
      <c r="AD2162" s="47"/>
      <c r="AE2162" s="47"/>
      <c r="AF2162" s="47"/>
      <c r="AG2162" s="47"/>
      <c r="AH2162" s="47" t="str">
        <f>IFERROR(_xlfn.XLOOKUP(Table6[[#This Row],[Suburb]],Table5[Travel Surcharge],Table5[$$]),"")</f>
        <v/>
      </c>
      <c r="AI2162" s="47"/>
      <c r="AJ2162" s="47"/>
    </row>
    <row r="2163" spans="1:36">
      <c r="A2163" s="374" t="s">
        <v>3470</v>
      </c>
      <c r="B2163" s="374">
        <v>1</v>
      </c>
      <c r="C2163" s="374" t="s">
        <v>3471</v>
      </c>
      <c r="D2163" s="375" t="str">
        <f t="shared" si="437"/>
        <v>Jefferson Estate1</v>
      </c>
      <c r="E2163" s="375" t="s">
        <v>3472</v>
      </c>
      <c r="F2163" s="375" t="s">
        <v>3473</v>
      </c>
      <c r="G2163" s="375" t="s">
        <v>1941</v>
      </c>
      <c r="H2163" s="375"/>
      <c r="I2163" s="63" t="s">
        <v>1943</v>
      </c>
      <c r="J2163" s="47"/>
      <c r="K2163" s="46" t="s">
        <v>10735</v>
      </c>
      <c r="L2163" s="47"/>
      <c r="M2163" s="47"/>
      <c r="N2163" s="47"/>
      <c r="O2163" s="47"/>
      <c r="P2163" s="47"/>
      <c r="Q2163" s="47">
        <f t="shared" si="440"/>
        <v>0</v>
      </c>
      <c r="R2163" s="47"/>
      <c r="S2163" s="47"/>
      <c r="T2163" s="47"/>
      <c r="U2163" s="47"/>
      <c r="V2163" s="47"/>
      <c r="W2163" s="47"/>
      <c r="X2163" s="47"/>
      <c r="Y2163" s="47"/>
      <c r="Z2163" s="47">
        <f t="shared" si="438"/>
        <v>4620</v>
      </c>
      <c r="AA2163" s="47"/>
      <c r="AB2163" s="47"/>
      <c r="AC2163" s="47"/>
      <c r="AD2163" s="47"/>
      <c r="AE2163" s="47"/>
      <c r="AF2163" s="47"/>
      <c r="AG2163" s="47"/>
      <c r="AH2163" s="47" t="str">
        <f>IFERROR(_xlfn.XLOOKUP(Table6[[#This Row],[Suburb]],Table5[Travel Surcharge],Table5[$$]),"")</f>
        <v/>
      </c>
      <c r="AI2163" s="47"/>
      <c r="AJ2163" s="47"/>
    </row>
    <row r="2164" spans="1:36">
      <c r="A2164" s="374" t="s">
        <v>3465</v>
      </c>
      <c r="B2164" s="374">
        <v>1</v>
      </c>
      <c r="C2164" s="374" t="s">
        <v>675</v>
      </c>
      <c r="D2164" s="375" t="str">
        <f t="shared" si="437"/>
        <v>Jennifer Court1</v>
      </c>
      <c r="E2164" s="375" t="s">
        <v>3466</v>
      </c>
      <c r="F2164" s="375"/>
      <c r="G2164" s="375" t="s">
        <v>3467</v>
      </c>
      <c r="H2164" s="375" t="s">
        <v>3468</v>
      </c>
      <c r="I2164" s="63" t="s">
        <v>3469</v>
      </c>
      <c r="J2164" s="47">
        <f>J$7</f>
        <v>3740</v>
      </c>
      <c r="K2164" s="46" t="s">
        <v>10735</v>
      </c>
      <c r="L2164" s="47"/>
      <c r="M2164" s="47"/>
      <c r="N2164" s="47"/>
      <c r="O2164" s="47"/>
      <c r="P2164" s="47"/>
      <c r="Q2164" s="47">
        <f t="shared" si="440"/>
        <v>0</v>
      </c>
      <c r="R2164" s="47"/>
      <c r="S2164" s="47"/>
      <c r="T2164" s="47"/>
      <c r="U2164" s="47"/>
      <c r="V2164" s="47"/>
      <c r="W2164" s="47"/>
      <c r="X2164" s="47"/>
      <c r="Y2164" s="47"/>
      <c r="Z2164" s="47">
        <f t="shared" si="438"/>
        <v>4620</v>
      </c>
      <c r="AA2164" s="47"/>
      <c r="AB2164" s="47"/>
      <c r="AC2164" s="47"/>
      <c r="AD2164" s="47"/>
      <c r="AE2164" s="47"/>
      <c r="AF2164" s="47"/>
      <c r="AG2164" s="47"/>
      <c r="AH2164" s="47" t="str">
        <f>IFERROR(_xlfn.XLOOKUP(Table6[[#This Row],[Suburb]],Table5[Travel Surcharge],Table5[$$]),"")</f>
        <v/>
      </c>
      <c r="AI2164" s="47"/>
      <c r="AJ2164" s="47"/>
    </row>
    <row r="2165" spans="1:36">
      <c r="A2165" s="374" t="s">
        <v>3474</v>
      </c>
      <c r="B2165" s="374">
        <v>1</v>
      </c>
      <c r="C2165" s="374" t="s">
        <v>385</v>
      </c>
      <c r="D2165" s="375" t="str">
        <f t="shared" si="437"/>
        <v>Jessefield Estate1</v>
      </c>
      <c r="E2165" s="375" t="s">
        <v>3475</v>
      </c>
      <c r="F2165" s="375"/>
      <c r="G2165" s="375" t="s">
        <v>3467</v>
      </c>
      <c r="H2165" s="375" t="s">
        <v>3468</v>
      </c>
      <c r="I2165" s="63" t="s">
        <v>3469</v>
      </c>
      <c r="J2165" s="47">
        <f>J$7</f>
        <v>3740</v>
      </c>
      <c r="K2165" s="46" t="s">
        <v>10735</v>
      </c>
      <c r="L2165" s="47" t="s">
        <v>3476</v>
      </c>
      <c r="M2165" s="47" t="s">
        <v>3477</v>
      </c>
      <c r="N2165" s="47" t="s">
        <v>3478</v>
      </c>
      <c r="O2165" s="47" t="s">
        <v>3479</v>
      </c>
      <c r="P2165" s="47"/>
      <c r="Q2165" s="47"/>
      <c r="R2165" s="47">
        <f>R$2</f>
        <v>540</v>
      </c>
      <c r="S2165" s="47"/>
      <c r="T2165" s="47"/>
      <c r="U2165" s="47"/>
      <c r="V2165" s="47"/>
      <c r="W2165" s="47"/>
      <c r="X2165" s="47"/>
      <c r="Y2165" s="47"/>
      <c r="Z2165" s="47">
        <f t="shared" si="438"/>
        <v>4620</v>
      </c>
      <c r="AA2165" s="47"/>
      <c r="AB2165" s="47"/>
      <c r="AC2165" s="47"/>
      <c r="AD2165" s="47"/>
      <c r="AE2165" s="47"/>
      <c r="AF2165" s="47"/>
      <c r="AG2165" s="47"/>
      <c r="AH2165" s="47" t="str">
        <f>IFERROR(_xlfn.XLOOKUP(Table6[[#This Row],[Suburb]],Table5[Travel Surcharge],Table5[$$]),"")</f>
        <v/>
      </c>
      <c r="AI2165" s="47"/>
      <c r="AJ2165" s="47"/>
    </row>
    <row r="2166" spans="1:36">
      <c r="A2166" s="374" t="s">
        <v>3480</v>
      </c>
      <c r="B2166" s="374">
        <v>1</v>
      </c>
      <c r="C2166" s="374" t="s">
        <v>3481</v>
      </c>
      <c r="D2166" s="375" t="str">
        <f t="shared" si="437"/>
        <v>Jetty North1</v>
      </c>
      <c r="E2166" s="375" t="s">
        <v>3482</v>
      </c>
      <c r="F2166" s="375"/>
      <c r="G2166" s="375" t="s">
        <v>3483</v>
      </c>
      <c r="H2166" s="375" t="s">
        <v>3484</v>
      </c>
      <c r="I2166" s="63" t="s">
        <v>3485</v>
      </c>
      <c r="J2166" s="47">
        <f>J$7</f>
        <v>3740</v>
      </c>
      <c r="K2166" s="46" t="s">
        <v>10735</v>
      </c>
      <c r="L2166" s="47"/>
      <c r="M2166" s="47"/>
      <c r="N2166" s="47"/>
      <c r="O2166" s="47"/>
      <c r="P2166" s="47"/>
      <c r="Q2166" s="47">
        <f>Q$2</f>
        <v>0</v>
      </c>
      <c r="R2166" s="47"/>
      <c r="S2166" s="47"/>
      <c r="T2166" s="47"/>
      <c r="U2166" s="47"/>
      <c r="V2166" s="47"/>
      <c r="W2166" s="47"/>
      <c r="X2166" s="47"/>
      <c r="Y2166" s="47"/>
      <c r="Z2166" s="47">
        <f t="shared" si="438"/>
        <v>4620</v>
      </c>
      <c r="AA2166" s="47"/>
      <c r="AB2166" s="47"/>
      <c r="AC2166" s="47"/>
      <c r="AD2166" s="47"/>
      <c r="AE2166" s="47"/>
      <c r="AF2166" s="47"/>
      <c r="AG2166" s="47"/>
      <c r="AH2166" s="47" t="str">
        <f>IFERROR(_xlfn.XLOOKUP(Table6[[#This Row],[Suburb]],Table5[Travel Surcharge],Table5[$$]),"")</f>
        <v/>
      </c>
      <c r="AI2166" s="47"/>
      <c r="AJ2166" s="47"/>
    </row>
    <row r="2167" spans="1:36">
      <c r="A2167" s="374" t="s">
        <v>3480</v>
      </c>
      <c r="B2167" s="374">
        <v>2</v>
      </c>
      <c r="C2167" s="374" t="s">
        <v>3481</v>
      </c>
      <c r="D2167" s="375" t="str">
        <f t="shared" si="437"/>
        <v>Jetty North2</v>
      </c>
      <c r="E2167" s="375" t="s">
        <v>3486</v>
      </c>
      <c r="F2167" s="375"/>
      <c r="G2167" s="375" t="s">
        <v>3483</v>
      </c>
      <c r="H2167" s="375" t="s">
        <v>3484</v>
      </c>
      <c r="I2167" s="63" t="s">
        <v>3485</v>
      </c>
      <c r="J2167" s="47">
        <f>J$7</f>
        <v>3740</v>
      </c>
      <c r="K2167" s="46" t="s">
        <v>10735</v>
      </c>
      <c r="L2167" s="47"/>
      <c r="M2167" s="47"/>
      <c r="N2167" s="47"/>
      <c r="O2167" s="47"/>
      <c r="P2167" s="47"/>
      <c r="Q2167" s="47">
        <f>Q$2</f>
        <v>0</v>
      </c>
      <c r="R2167" s="47"/>
      <c r="S2167" s="47"/>
      <c r="T2167" s="47"/>
      <c r="U2167" s="47"/>
      <c r="V2167" s="47"/>
      <c r="W2167" s="47"/>
      <c r="X2167" s="47"/>
      <c r="Y2167" s="47"/>
      <c r="Z2167" s="47">
        <f t="shared" si="438"/>
        <v>4620</v>
      </c>
      <c r="AA2167" s="47"/>
      <c r="AB2167" s="47"/>
      <c r="AC2167" s="47"/>
      <c r="AD2167" s="47"/>
      <c r="AE2167" s="47"/>
      <c r="AF2167" s="47"/>
      <c r="AG2167" s="47"/>
      <c r="AH2167" s="47" t="str">
        <f>IFERROR(_xlfn.XLOOKUP(Table6[[#This Row],[Suburb]],Table5[Travel Surcharge],Table5[$$]),"")</f>
        <v/>
      </c>
      <c r="AI2167" s="47"/>
      <c r="AJ2167" s="47"/>
    </row>
    <row r="2168" spans="1:36">
      <c r="A2168" s="374" t="s">
        <v>3487</v>
      </c>
      <c r="B2168" s="374">
        <v>92</v>
      </c>
      <c r="C2168" s="374" t="s">
        <v>2060</v>
      </c>
      <c r="D2168" s="375" t="s">
        <v>9799</v>
      </c>
      <c r="E2168" s="375" t="s">
        <v>9800</v>
      </c>
      <c r="F2168" s="375" t="s">
        <v>3489</v>
      </c>
      <c r="G2168" s="375" t="s">
        <v>3490</v>
      </c>
      <c r="H2168" s="375" t="s">
        <v>3491</v>
      </c>
      <c r="I2168" s="63" t="s">
        <v>3492</v>
      </c>
      <c r="J2168" s="47">
        <v>3740</v>
      </c>
      <c r="K2168" s="46" t="s">
        <v>10735</v>
      </c>
      <c r="L2168" s="47">
        <v>1210</v>
      </c>
      <c r="M2168" s="47"/>
      <c r="N2168" s="47"/>
      <c r="O2168" s="47"/>
      <c r="P2168" s="47"/>
      <c r="Q2168" s="47"/>
      <c r="R2168" s="47"/>
      <c r="S2168" s="47" t="s">
        <v>1765</v>
      </c>
      <c r="T2168" s="47" t="s">
        <v>536</v>
      </c>
      <c r="U2168" s="47">
        <v>540</v>
      </c>
      <c r="V2168" s="47" t="s">
        <v>3493</v>
      </c>
      <c r="W2168" s="47"/>
      <c r="X2168" s="47"/>
      <c r="Y2168" s="47"/>
      <c r="Z2168" s="47">
        <v>4620</v>
      </c>
      <c r="AA2168" s="47"/>
      <c r="AB2168" s="47"/>
      <c r="AC2168" s="47">
        <v>5200</v>
      </c>
      <c r="AD2168" s="47"/>
      <c r="AE2168" s="47"/>
      <c r="AF2168" s="47"/>
      <c r="AG2168" s="47"/>
      <c r="AH2168" s="47" t="str">
        <f>IFERROR(_xlfn.XLOOKUP(Table6[[#This Row],[Suburb]],Table5[Travel Surcharge],Table5[$$]),"")</f>
        <v/>
      </c>
      <c r="AI2168" s="47"/>
      <c r="AJ2168" s="47"/>
    </row>
    <row r="2169" spans="1:36">
      <c r="A2169" s="374" t="s">
        <v>3487</v>
      </c>
      <c r="B2169" s="374">
        <v>2</v>
      </c>
      <c r="C2169" s="374" t="s">
        <v>2060</v>
      </c>
      <c r="D2169" s="375" t="str">
        <f t="shared" ref="D2169:D2201" si="441">CONCATENATE(A2169,B2169)</f>
        <v>Jubilee Estate2</v>
      </c>
      <c r="E2169" s="375" t="s">
        <v>3488</v>
      </c>
      <c r="F2169" s="375" t="s">
        <v>3489</v>
      </c>
      <c r="G2169" s="375" t="s">
        <v>3490</v>
      </c>
      <c r="H2169" s="375" t="s">
        <v>3491</v>
      </c>
      <c r="I2169" s="63" t="s">
        <v>3492</v>
      </c>
      <c r="J2169" s="47">
        <f t="shared" ref="J2169:J2201" si="442">J$7</f>
        <v>3740</v>
      </c>
      <c r="K2169" s="46" t="s">
        <v>10735</v>
      </c>
      <c r="L2169" s="47">
        <f t="shared" ref="L2169:L2201" si="443">L$7</f>
        <v>1210</v>
      </c>
      <c r="M2169" s="47"/>
      <c r="N2169" s="47"/>
      <c r="O2169" s="47"/>
      <c r="P2169" s="47"/>
      <c r="Q2169" s="47"/>
      <c r="R2169" s="47"/>
      <c r="S2169" s="47" t="s">
        <v>1765</v>
      </c>
      <c r="T2169" s="47" t="s">
        <v>536</v>
      </c>
      <c r="U2169" s="47">
        <f t="shared" ref="U2169:U2201" si="444">U$2</f>
        <v>430</v>
      </c>
      <c r="V2169" s="47" t="s">
        <v>3493</v>
      </c>
      <c r="W2169" s="47"/>
      <c r="X2169" s="47"/>
      <c r="Y2169" s="47"/>
      <c r="Z2169" s="47">
        <f t="shared" ref="Z2169:Z2201" si="445">Z$7</f>
        <v>4620</v>
      </c>
      <c r="AA2169" s="47"/>
      <c r="AB2169" s="47"/>
      <c r="AC2169" s="47">
        <f t="shared" ref="AC2169:AC2201" si="446">AC$7</f>
        <v>5200</v>
      </c>
      <c r="AD2169" s="47"/>
      <c r="AE2169" s="47"/>
      <c r="AF2169" s="47"/>
      <c r="AG2169" s="47"/>
      <c r="AH2169" s="47" t="str">
        <f>IFERROR(_xlfn.XLOOKUP(Table6[[#This Row],[Suburb]],Table5[Travel Surcharge],Table5[$$]),"")</f>
        <v/>
      </c>
      <c r="AI2169" s="47"/>
      <c r="AJ2169" s="47"/>
    </row>
    <row r="2170" spans="1:36">
      <c r="A2170" s="374" t="s">
        <v>3487</v>
      </c>
      <c r="B2170" s="374">
        <v>3</v>
      </c>
      <c r="C2170" s="374" t="s">
        <v>2060</v>
      </c>
      <c r="D2170" s="375" t="str">
        <f t="shared" si="441"/>
        <v>Jubilee Estate3</v>
      </c>
      <c r="E2170" s="375" t="s">
        <v>9033</v>
      </c>
      <c r="F2170" s="375" t="s">
        <v>3489</v>
      </c>
      <c r="G2170" s="375" t="s">
        <v>3490</v>
      </c>
      <c r="H2170" s="375" t="s">
        <v>3491</v>
      </c>
      <c r="I2170" s="63" t="s">
        <v>3492</v>
      </c>
      <c r="J2170" s="47">
        <f t="shared" si="442"/>
        <v>3740</v>
      </c>
      <c r="K2170" s="46" t="s">
        <v>10735</v>
      </c>
      <c r="L2170" s="47">
        <f t="shared" si="443"/>
        <v>1210</v>
      </c>
      <c r="M2170" s="47"/>
      <c r="N2170" s="47"/>
      <c r="O2170" s="47"/>
      <c r="P2170" s="47"/>
      <c r="Q2170" s="47"/>
      <c r="R2170" s="47"/>
      <c r="S2170" s="47" t="s">
        <v>1765</v>
      </c>
      <c r="T2170" s="47" t="s">
        <v>536</v>
      </c>
      <c r="U2170" s="47">
        <f t="shared" si="444"/>
        <v>430</v>
      </c>
      <c r="V2170" s="47" t="s">
        <v>3493</v>
      </c>
      <c r="W2170" s="47"/>
      <c r="X2170" s="47"/>
      <c r="Y2170" s="47"/>
      <c r="Z2170" s="47">
        <f t="shared" si="445"/>
        <v>4620</v>
      </c>
      <c r="AA2170" s="47"/>
      <c r="AB2170" s="47"/>
      <c r="AC2170" s="47">
        <f t="shared" si="446"/>
        <v>5200</v>
      </c>
      <c r="AD2170" s="47"/>
      <c r="AE2170" s="47"/>
      <c r="AF2170" s="47"/>
      <c r="AG2170" s="47"/>
      <c r="AH2170" s="47" t="str">
        <f>IFERROR(_xlfn.XLOOKUP(Table6[[#This Row],[Suburb]],Table5[Travel Surcharge],Table5[$$]),"")</f>
        <v/>
      </c>
      <c r="AI2170" s="47"/>
      <c r="AJ2170" s="47"/>
    </row>
    <row r="2171" spans="1:36">
      <c r="A2171" s="374" t="s">
        <v>3487</v>
      </c>
      <c r="B2171" s="374">
        <v>4</v>
      </c>
      <c r="C2171" s="374" t="s">
        <v>2060</v>
      </c>
      <c r="D2171" s="375" t="str">
        <f t="shared" si="441"/>
        <v>Jubilee Estate4</v>
      </c>
      <c r="E2171" s="375" t="s">
        <v>3494</v>
      </c>
      <c r="F2171" s="375" t="s">
        <v>3489</v>
      </c>
      <c r="G2171" s="375" t="s">
        <v>3490</v>
      </c>
      <c r="H2171" s="375" t="s">
        <v>3491</v>
      </c>
      <c r="I2171" s="63" t="s">
        <v>3492</v>
      </c>
      <c r="J2171" s="47">
        <f t="shared" si="442"/>
        <v>3740</v>
      </c>
      <c r="K2171" s="46" t="s">
        <v>10735</v>
      </c>
      <c r="L2171" s="47">
        <f t="shared" si="443"/>
        <v>1210</v>
      </c>
      <c r="M2171" s="47"/>
      <c r="N2171" s="47"/>
      <c r="O2171" s="47"/>
      <c r="P2171" s="47"/>
      <c r="Q2171" s="47"/>
      <c r="R2171" s="47"/>
      <c r="S2171" s="47" t="s">
        <v>1765</v>
      </c>
      <c r="T2171" s="47" t="s">
        <v>536</v>
      </c>
      <c r="U2171" s="47">
        <f t="shared" si="444"/>
        <v>430</v>
      </c>
      <c r="V2171" s="47" t="s">
        <v>3493</v>
      </c>
      <c r="W2171" s="47"/>
      <c r="X2171" s="47"/>
      <c r="Y2171" s="47"/>
      <c r="Z2171" s="47">
        <f t="shared" si="445"/>
        <v>4620</v>
      </c>
      <c r="AA2171" s="47"/>
      <c r="AB2171" s="47"/>
      <c r="AC2171" s="47">
        <f t="shared" si="446"/>
        <v>5200</v>
      </c>
      <c r="AD2171" s="47"/>
      <c r="AE2171" s="47"/>
      <c r="AF2171" s="47"/>
      <c r="AG2171" s="47"/>
      <c r="AH2171" s="47" t="str">
        <f>IFERROR(_xlfn.XLOOKUP(Table6[[#This Row],[Suburb]],Table5[Travel Surcharge],Table5[$$]),"")</f>
        <v/>
      </c>
      <c r="AI2171" s="47"/>
      <c r="AJ2171" s="47"/>
    </row>
    <row r="2172" spans="1:36">
      <c r="A2172" s="374" t="s">
        <v>3487</v>
      </c>
      <c r="B2172" s="374">
        <v>5</v>
      </c>
      <c r="C2172" s="374" t="s">
        <v>2060</v>
      </c>
      <c r="D2172" s="375" t="str">
        <f t="shared" si="441"/>
        <v>Jubilee Estate5</v>
      </c>
      <c r="E2172" s="375" t="s">
        <v>3495</v>
      </c>
      <c r="F2172" s="375" t="s">
        <v>3489</v>
      </c>
      <c r="G2172" s="375" t="s">
        <v>3490</v>
      </c>
      <c r="H2172" s="375" t="s">
        <v>3491</v>
      </c>
      <c r="I2172" s="63" t="s">
        <v>3492</v>
      </c>
      <c r="J2172" s="47">
        <f t="shared" si="442"/>
        <v>3740</v>
      </c>
      <c r="K2172" s="46" t="s">
        <v>10735</v>
      </c>
      <c r="L2172" s="47">
        <f t="shared" si="443"/>
        <v>1210</v>
      </c>
      <c r="M2172" s="47"/>
      <c r="N2172" s="47"/>
      <c r="O2172" s="47"/>
      <c r="P2172" s="47"/>
      <c r="Q2172" s="47"/>
      <c r="R2172" s="47"/>
      <c r="S2172" s="47" t="s">
        <v>1765</v>
      </c>
      <c r="T2172" s="47" t="s">
        <v>536</v>
      </c>
      <c r="U2172" s="47">
        <f t="shared" si="444"/>
        <v>430</v>
      </c>
      <c r="V2172" s="47" t="s">
        <v>3493</v>
      </c>
      <c r="W2172" s="47"/>
      <c r="X2172" s="47"/>
      <c r="Y2172" s="47"/>
      <c r="Z2172" s="47">
        <f t="shared" si="445"/>
        <v>4620</v>
      </c>
      <c r="AA2172" s="47"/>
      <c r="AB2172" s="47"/>
      <c r="AC2172" s="47">
        <f t="shared" si="446"/>
        <v>5200</v>
      </c>
      <c r="AD2172" s="47"/>
      <c r="AE2172" s="47"/>
      <c r="AF2172" s="47"/>
      <c r="AG2172" s="47"/>
      <c r="AH2172" s="47" t="str">
        <f>IFERROR(_xlfn.XLOOKUP(Table6[[#This Row],[Suburb]],Table5[Travel Surcharge],Table5[$$]),"")</f>
        <v/>
      </c>
      <c r="AI2172" s="47"/>
      <c r="AJ2172" s="47"/>
    </row>
    <row r="2173" spans="1:36">
      <c r="A2173" s="374" t="s">
        <v>3487</v>
      </c>
      <c r="B2173" s="374">
        <v>6</v>
      </c>
      <c r="C2173" s="374" t="s">
        <v>2060</v>
      </c>
      <c r="D2173" s="375" t="str">
        <f t="shared" si="441"/>
        <v>Jubilee Estate6</v>
      </c>
      <c r="E2173" s="375" t="s">
        <v>3496</v>
      </c>
      <c r="F2173" s="375" t="s">
        <v>3489</v>
      </c>
      <c r="G2173" s="375" t="s">
        <v>3490</v>
      </c>
      <c r="H2173" s="375" t="s">
        <v>3491</v>
      </c>
      <c r="I2173" s="63" t="s">
        <v>3492</v>
      </c>
      <c r="J2173" s="47">
        <f t="shared" si="442"/>
        <v>3740</v>
      </c>
      <c r="K2173" s="46" t="s">
        <v>10735</v>
      </c>
      <c r="L2173" s="47">
        <f t="shared" si="443"/>
        <v>1210</v>
      </c>
      <c r="M2173" s="47"/>
      <c r="N2173" s="47"/>
      <c r="O2173" s="47"/>
      <c r="P2173" s="47"/>
      <c r="Q2173" s="47"/>
      <c r="R2173" s="47"/>
      <c r="S2173" s="47" t="s">
        <v>1765</v>
      </c>
      <c r="T2173" s="47" t="s">
        <v>536</v>
      </c>
      <c r="U2173" s="47">
        <f t="shared" si="444"/>
        <v>430</v>
      </c>
      <c r="V2173" s="47" t="s">
        <v>3493</v>
      </c>
      <c r="W2173" s="47"/>
      <c r="X2173" s="47"/>
      <c r="Y2173" s="47"/>
      <c r="Z2173" s="47">
        <f t="shared" si="445"/>
        <v>4620</v>
      </c>
      <c r="AA2173" s="47"/>
      <c r="AB2173" s="47"/>
      <c r="AC2173" s="47">
        <f t="shared" si="446"/>
        <v>5200</v>
      </c>
      <c r="AD2173" s="47"/>
      <c r="AE2173" s="47"/>
      <c r="AF2173" s="47"/>
      <c r="AG2173" s="47"/>
      <c r="AH2173" s="47" t="str">
        <f>IFERROR(_xlfn.XLOOKUP(Table6[[#This Row],[Suburb]],Table5[Travel Surcharge],Table5[$$]),"")</f>
        <v/>
      </c>
      <c r="AI2173" s="47"/>
      <c r="AJ2173" s="47"/>
    </row>
    <row r="2174" spans="1:36">
      <c r="A2174" s="374" t="s">
        <v>3487</v>
      </c>
      <c r="B2174" s="374">
        <v>7</v>
      </c>
      <c r="C2174" s="374" t="s">
        <v>2060</v>
      </c>
      <c r="D2174" s="375" t="str">
        <f t="shared" si="441"/>
        <v>Jubilee Estate7</v>
      </c>
      <c r="E2174" s="375" t="s">
        <v>3497</v>
      </c>
      <c r="F2174" s="375" t="s">
        <v>3489</v>
      </c>
      <c r="G2174" s="375" t="s">
        <v>3490</v>
      </c>
      <c r="H2174" s="375" t="s">
        <v>3491</v>
      </c>
      <c r="I2174" s="63" t="s">
        <v>3492</v>
      </c>
      <c r="J2174" s="47">
        <f t="shared" si="442"/>
        <v>3740</v>
      </c>
      <c r="K2174" s="46" t="s">
        <v>10735</v>
      </c>
      <c r="L2174" s="47">
        <f t="shared" si="443"/>
        <v>1210</v>
      </c>
      <c r="M2174" s="47"/>
      <c r="N2174" s="47"/>
      <c r="O2174" s="47"/>
      <c r="P2174" s="47"/>
      <c r="Q2174" s="47"/>
      <c r="R2174" s="47"/>
      <c r="S2174" s="47" t="s">
        <v>1765</v>
      </c>
      <c r="T2174" s="47" t="s">
        <v>536</v>
      </c>
      <c r="U2174" s="47">
        <f t="shared" si="444"/>
        <v>430</v>
      </c>
      <c r="V2174" s="47" t="s">
        <v>3493</v>
      </c>
      <c r="W2174" s="47"/>
      <c r="X2174" s="47"/>
      <c r="Y2174" s="47"/>
      <c r="Z2174" s="47">
        <f t="shared" si="445"/>
        <v>4620</v>
      </c>
      <c r="AA2174" s="47"/>
      <c r="AB2174" s="47"/>
      <c r="AC2174" s="47">
        <f t="shared" si="446"/>
        <v>5200</v>
      </c>
      <c r="AD2174" s="47"/>
      <c r="AE2174" s="47"/>
      <c r="AF2174" s="47"/>
      <c r="AG2174" s="47"/>
      <c r="AH2174" s="47" t="str">
        <f>IFERROR(_xlfn.XLOOKUP(Table6[[#This Row],[Suburb]],Table5[Travel Surcharge],Table5[$$]),"")</f>
        <v/>
      </c>
      <c r="AI2174" s="47"/>
      <c r="AJ2174" s="47"/>
    </row>
    <row r="2175" spans="1:36">
      <c r="A2175" s="374" t="s">
        <v>3487</v>
      </c>
      <c r="B2175" s="374">
        <v>8</v>
      </c>
      <c r="C2175" s="374" t="s">
        <v>2060</v>
      </c>
      <c r="D2175" s="375" t="str">
        <f t="shared" si="441"/>
        <v>Jubilee Estate8</v>
      </c>
      <c r="E2175" s="375" t="s">
        <v>3498</v>
      </c>
      <c r="F2175" s="375" t="s">
        <v>3489</v>
      </c>
      <c r="G2175" s="375" t="s">
        <v>3490</v>
      </c>
      <c r="H2175" s="375" t="s">
        <v>3491</v>
      </c>
      <c r="I2175" s="63" t="s">
        <v>3492</v>
      </c>
      <c r="J2175" s="47">
        <f t="shared" si="442"/>
        <v>3740</v>
      </c>
      <c r="K2175" s="46" t="s">
        <v>10735</v>
      </c>
      <c r="L2175" s="47">
        <f t="shared" si="443"/>
        <v>1210</v>
      </c>
      <c r="M2175" s="47"/>
      <c r="N2175" s="47"/>
      <c r="O2175" s="47"/>
      <c r="P2175" s="47"/>
      <c r="Q2175" s="47"/>
      <c r="R2175" s="47"/>
      <c r="S2175" s="47" t="s">
        <v>1765</v>
      </c>
      <c r="T2175" s="47" t="s">
        <v>536</v>
      </c>
      <c r="U2175" s="47">
        <f t="shared" si="444"/>
        <v>430</v>
      </c>
      <c r="V2175" s="47" t="s">
        <v>3493</v>
      </c>
      <c r="W2175" s="47"/>
      <c r="X2175" s="47"/>
      <c r="Y2175" s="47"/>
      <c r="Z2175" s="47">
        <f t="shared" si="445"/>
        <v>4620</v>
      </c>
      <c r="AA2175" s="47"/>
      <c r="AB2175" s="47"/>
      <c r="AC2175" s="47">
        <f t="shared" si="446"/>
        <v>5200</v>
      </c>
      <c r="AD2175" s="47"/>
      <c r="AE2175" s="47"/>
      <c r="AF2175" s="47"/>
      <c r="AG2175" s="47"/>
      <c r="AH2175" s="47" t="str">
        <f>IFERROR(_xlfn.XLOOKUP(Table6[[#This Row],[Suburb]],Table5[Travel Surcharge],Table5[$$]),"")</f>
        <v/>
      </c>
      <c r="AI2175" s="47"/>
      <c r="AJ2175" s="47"/>
    </row>
    <row r="2176" spans="1:36">
      <c r="A2176" s="374" t="s">
        <v>3487</v>
      </c>
      <c r="B2176" s="374">
        <v>9</v>
      </c>
      <c r="C2176" s="374" t="s">
        <v>2060</v>
      </c>
      <c r="D2176" s="375" t="str">
        <f t="shared" si="441"/>
        <v>Jubilee Estate9</v>
      </c>
      <c r="E2176" s="375" t="s">
        <v>3499</v>
      </c>
      <c r="F2176" s="375" t="s">
        <v>3489</v>
      </c>
      <c r="G2176" s="375" t="s">
        <v>3490</v>
      </c>
      <c r="H2176" s="375" t="s">
        <v>3491</v>
      </c>
      <c r="I2176" s="63" t="s">
        <v>3492</v>
      </c>
      <c r="J2176" s="47">
        <f t="shared" si="442"/>
        <v>3740</v>
      </c>
      <c r="K2176" s="46" t="s">
        <v>10735</v>
      </c>
      <c r="L2176" s="47">
        <f t="shared" si="443"/>
        <v>1210</v>
      </c>
      <c r="M2176" s="47"/>
      <c r="N2176" s="47"/>
      <c r="O2176" s="47"/>
      <c r="P2176" s="47"/>
      <c r="Q2176" s="47"/>
      <c r="R2176" s="47"/>
      <c r="S2176" s="47" t="s">
        <v>1765</v>
      </c>
      <c r="T2176" s="47" t="s">
        <v>536</v>
      </c>
      <c r="U2176" s="47">
        <f t="shared" si="444"/>
        <v>430</v>
      </c>
      <c r="V2176" s="47" t="s">
        <v>3493</v>
      </c>
      <c r="W2176" s="47"/>
      <c r="X2176" s="47"/>
      <c r="Y2176" s="47"/>
      <c r="Z2176" s="47">
        <f t="shared" si="445"/>
        <v>4620</v>
      </c>
      <c r="AA2176" s="47"/>
      <c r="AB2176" s="47"/>
      <c r="AC2176" s="47">
        <f t="shared" si="446"/>
        <v>5200</v>
      </c>
      <c r="AD2176" s="47"/>
      <c r="AE2176" s="47"/>
      <c r="AF2176" s="47"/>
      <c r="AG2176" s="47"/>
      <c r="AH2176" s="47" t="str">
        <f>IFERROR(_xlfn.XLOOKUP(Table6[[#This Row],[Suburb]],Table5[Travel Surcharge],Table5[$$]),"")</f>
        <v/>
      </c>
      <c r="AI2176" s="47"/>
      <c r="AJ2176" s="47"/>
    </row>
    <row r="2177" spans="1:36">
      <c r="A2177" s="374" t="s">
        <v>3487</v>
      </c>
      <c r="B2177" s="374">
        <v>10</v>
      </c>
      <c r="C2177" s="374" t="s">
        <v>2060</v>
      </c>
      <c r="D2177" s="375" t="str">
        <f t="shared" si="441"/>
        <v>Jubilee Estate10</v>
      </c>
      <c r="E2177" s="375" t="s">
        <v>3500</v>
      </c>
      <c r="F2177" s="375" t="s">
        <v>3489</v>
      </c>
      <c r="G2177" s="375" t="s">
        <v>3490</v>
      </c>
      <c r="H2177" s="375" t="s">
        <v>3491</v>
      </c>
      <c r="I2177" s="63" t="s">
        <v>3492</v>
      </c>
      <c r="J2177" s="47">
        <f t="shared" si="442"/>
        <v>3740</v>
      </c>
      <c r="K2177" s="46" t="s">
        <v>10735</v>
      </c>
      <c r="L2177" s="47">
        <f t="shared" si="443"/>
        <v>1210</v>
      </c>
      <c r="M2177" s="47"/>
      <c r="N2177" s="47"/>
      <c r="O2177" s="47"/>
      <c r="P2177" s="47"/>
      <c r="Q2177" s="47"/>
      <c r="R2177" s="47"/>
      <c r="S2177" s="47" t="s">
        <v>1765</v>
      </c>
      <c r="T2177" s="47" t="s">
        <v>536</v>
      </c>
      <c r="U2177" s="47">
        <f t="shared" si="444"/>
        <v>430</v>
      </c>
      <c r="V2177" s="47" t="s">
        <v>3493</v>
      </c>
      <c r="W2177" s="47"/>
      <c r="X2177" s="47"/>
      <c r="Y2177" s="47"/>
      <c r="Z2177" s="47">
        <f t="shared" si="445"/>
        <v>4620</v>
      </c>
      <c r="AA2177" s="47"/>
      <c r="AB2177" s="47"/>
      <c r="AC2177" s="47">
        <f t="shared" si="446"/>
        <v>5200</v>
      </c>
      <c r="AD2177" s="47"/>
      <c r="AE2177" s="47"/>
      <c r="AF2177" s="47"/>
      <c r="AG2177" s="47"/>
      <c r="AH2177" s="47" t="str">
        <f>IFERROR(_xlfn.XLOOKUP(Table6[[#This Row],[Suburb]],Table5[Travel Surcharge],Table5[$$]),"")</f>
        <v/>
      </c>
      <c r="AI2177" s="47"/>
      <c r="AJ2177" s="47"/>
    </row>
    <row r="2178" spans="1:36">
      <c r="A2178" s="374" t="s">
        <v>3487</v>
      </c>
      <c r="B2178" s="374">
        <v>11</v>
      </c>
      <c r="C2178" s="374" t="s">
        <v>2060</v>
      </c>
      <c r="D2178" s="375" t="str">
        <f t="shared" si="441"/>
        <v>Jubilee Estate11</v>
      </c>
      <c r="E2178" s="375" t="s">
        <v>3501</v>
      </c>
      <c r="F2178" s="375" t="s">
        <v>3489</v>
      </c>
      <c r="G2178" s="375" t="s">
        <v>3490</v>
      </c>
      <c r="H2178" s="375" t="s">
        <v>3491</v>
      </c>
      <c r="I2178" s="63" t="s">
        <v>3492</v>
      </c>
      <c r="J2178" s="47">
        <f t="shared" si="442"/>
        <v>3740</v>
      </c>
      <c r="K2178" s="46" t="s">
        <v>10735</v>
      </c>
      <c r="L2178" s="47">
        <f t="shared" si="443"/>
        <v>1210</v>
      </c>
      <c r="M2178" s="47"/>
      <c r="N2178" s="47"/>
      <c r="O2178" s="47"/>
      <c r="P2178" s="47"/>
      <c r="Q2178" s="47"/>
      <c r="R2178" s="47"/>
      <c r="S2178" s="47" t="s">
        <v>1765</v>
      </c>
      <c r="T2178" s="47" t="s">
        <v>536</v>
      </c>
      <c r="U2178" s="47">
        <f t="shared" si="444"/>
        <v>430</v>
      </c>
      <c r="V2178" s="47" t="s">
        <v>3493</v>
      </c>
      <c r="W2178" s="47"/>
      <c r="X2178" s="47"/>
      <c r="Y2178" s="47"/>
      <c r="Z2178" s="47">
        <f t="shared" si="445"/>
        <v>4620</v>
      </c>
      <c r="AA2178" s="47"/>
      <c r="AB2178" s="47"/>
      <c r="AC2178" s="47">
        <f t="shared" si="446"/>
        <v>5200</v>
      </c>
      <c r="AD2178" s="47"/>
      <c r="AE2178" s="47"/>
      <c r="AF2178" s="47"/>
      <c r="AG2178" s="47"/>
      <c r="AH2178" s="47" t="str">
        <f>IFERROR(_xlfn.XLOOKUP(Table6[[#This Row],[Suburb]],Table5[Travel Surcharge],Table5[$$]),"")</f>
        <v/>
      </c>
      <c r="AI2178" s="47"/>
      <c r="AJ2178" s="47"/>
    </row>
    <row r="2179" spans="1:36">
      <c r="A2179" s="374" t="s">
        <v>3487</v>
      </c>
      <c r="B2179" s="374">
        <v>12</v>
      </c>
      <c r="C2179" s="374" t="s">
        <v>2060</v>
      </c>
      <c r="D2179" s="375" t="str">
        <f t="shared" si="441"/>
        <v>Jubilee Estate12</v>
      </c>
      <c r="E2179" s="375" t="s">
        <v>3502</v>
      </c>
      <c r="F2179" s="375" t="s">
        <v>3489</v>
      </c>
      <c r="G2179" s="375" t="s">
        <v>3490</v>
      </c>
      <c r="H2179" s="375" t="s">
        <v>3491</v>
      </c>
      <c r="I2179" s="63" t="s">
        <v>3492</v>
      </c>
      <c r="J2179" s="47">
        <f t="shared" si="442"/>
        <v>3740</v>
      </c>
      <c r="K2179" s="46" t="s">
        <v>10735</v>
      </c>
      <c r="L2179" s="47">
        <f t="shared" si="443"/>
        <v>1210</v>
      </c>
      <c r="M2179" s="47"/>
      <c r="N2179" s="47"/>
      <c r="O2179" s="47"/>
      <c r="P2179" s="47"/>
      <c r="Q2179" s="47"/>
      <c r="R2179" s="47"/>
      <c r="S2179" s="47" t="s">
        <v>1765</v>
      </c>
      <c r="T2179" s="47" t="s">
        <v>536</v>
      </c>
      <c r="U2179" s="47">
        <f t="shared" si="444"/>
        <v>430</v>
      </c>
      <c r="V2179" s="47" t="s">
        <v>3493</v>
      </c>
      <c r="W2179" s="47"/>
      <c r="X2179" s="47"/>
      <c r="Y2179" s="47"/>
      <c r="Z2179" s="47">
        <f t="shared" si="445"/>
        <v>4620</v>
      </c>
      <c r="AA2179" s="47"/>
      <c r="AB2179" s="47"/>
      <c r="AC2179" s="47">
        <f t="shared" si="446"/>
        <v>5200</v>
      </c>
      <c r="AD2179" s="47"/>
      <c r="AE2179" s="47"/>
      <c r="AF2179" s="47"/>
      <c r="AG2179" s="47"/>
      <c r="AH2179" s="47" t="str">
        <f>IFERROR(_xlfn.XLOOKUP(Table6[[#This Row],[Suburb]],Table5[Travel Surcharge],Table5[$$]),"")</f>
        <v/>
      </c>
      <c r="AI2179" s="47"/>
      <c r="AJ2179" s="47"/>
    </row>
    <row r="2180" spans="1:36">
      <c r="A2180" s="374" t="s">
        <v>3487</v>
      </c>
      <c r="B2180" s="374">
        <v>13</v>
      </c>
      <c r="C2180" s="374" t="s">
        <v>2060</v>
      </c>
      <c r="D2180" s="375" t="str">
        <f t="shared" si="441"/>
        <v>Jubilee Estate13</v>
      </c>
      <c r="E2180" s="375" t="s">
        <v>3503</v>
      </c>
      <c r="F2180" s="375" t="s">
        <v>3489</v>
      </c>
      <c r="G2180" s="375" t="s">
        <v>3490</v>
      </c>
      <c r="H2180" s="375" t="s">
        <v>3491</v>
      </c>
      <c r="I2180" s="63" t="s">
        <v>3492</v>
      </c>
      <c r="J2180" s="47">
        <f t="shared" si="442"/>
        <v>3740</v>
      </c>
      <c r="K2180" s="46" t="s">
        <v>10735</v>
      </c>
      <c r="L2180" s="47">
        <f t="shared" si="443"/>
        <v>1210</v>
      </c>
      <c r="M2180" s="47"/>
      <c r="N2180" s="47"/>
      <c r="O2180" s="47"/>
      <c r="P2180" s="47"/>
      <c r="Q2180" s="47"/>
      <c r="R2180" s="47"/>
      <c r="S2180" s="47" t="s">
        <v>1765</v>
      </c>
      <c r="T2180" s="47" t="s">
        <v>536</v>
      </c>
      <c r="U2180" s="47">
        <f t="shared" si="444"/>
        <v>430</v>
      </c>
      <c r="V2180" s="47" t="s">
        <v>3493</v>
      </c>
      <c r="W2180" s="47"/>
      <c r="X2180" s="47"/>
      <c r="Y2180" s="47"/>
      <c r="Z2180" s="47">
        <f t="shared" si="445"/>
        <v>4620</v>
      </c>
      <c r="AA2180" s="47"/>
      <c r="AB2180" s="47"/>
      <c r="AC2180" s="47">
        <f t="shared" si="446"/>
        <v>5200</v>
      </c>
      <c r="AD2180" s="47"/>
      <c r="AE2180" s="47"/>
      <c r="AF2180" s="47"/>
      <c r="AG2180" s="47"/>
      <c r="AH2180" s="47" t="str">
        <f>IFERROR(_xlfn.XLOOKUP(Table6[[#This Row],[Suburb]],Table5[Travel Surcharge],Table5[$$]),"")</f>
        <v/>
      </c>
      <c r="AI2180" s="47"/>
      <c r="AJ2180" s="47"/>
    </row>
    <row r="2181" spans="1:36">
      <c r="A2181" s="374" t="s">
        <v>3487</v>
      </c>
      <c r="B2181" s="374">
        <v>14</v>
      </c>
      <c r="C2181" s="374" t="s">
        <v>2060</v>
      </c>
      <c r="D2181" s="375" t="str">
        <f t="shared" si="441"/>
        <v>Jubilee Estate14</v>
      </c>
      <c r="E2181" s="375" t="s">
        <v>3504</v>
      </c>
      <c r="F2181" s="375" t="s">
        <v>3489</v>
      </c>
      <c r="G2181" s="375" t="s">
        <v>3490</v>
      </c>
      <c r="H2181" s="375" t="s">
        <v>3491</v>
      </c>
      <c r="I2181" s="63" t="s">
        <v>3492</v>
      </c>
      <c r="J2181" s="47">
        <f t="shared" si="442"/>
        <v>3740</v>
      </c>
      <c r="K2181" s="46" t="s">
        <v>10735</v>
      </c>
      <c r="L2181" s="47">
        <f t="shared" si="443"/>
        <v>1210</v>
      </c>
      <c r="M2181" s="47"/>
      <c r="N2181" s="47"/>
      <c r="O2181" s="47"/>
      <c r="P2181" s="47"/>
      <c r="Q2181" s="47"/>
      <c r="R2181" s="47"/>
      <c r="S2181" s="47" t="s">
        <v>1765</v>
      </c>
      <c r="T2181" s="47" t="s">
        <v>536</v>
      </c>
      <c r="U2181" s="47">
        <f t="shared" si="444"/>
        <v>430</v>
      </c>
      <c r="V2181" s="47" t="s">
        <v>3493</v>
      </c>
      <c r="W2181" s="47"/>
      <c r="X2181" s="47"/>
      <c r="Y2181" s="47"/>
      <c r="Z2181" s="47">
        <f t="shared" si="445"/>
        <v>4620</v>
      </c>
      <c r="AA2181" s="47"/>
      <c r="AB2181" s="47"/>
      <c r="AC2181" s="47">
        <f t="shared" si="446"/>
        <v>5200</v>
      </c>
      <c r="AD2181" s="47"/>
      <c r="AE2181" s="47"/>
      <c r="AF2181" s="47"/>
      <c r="AG2181" s="47"/>
      <c r="AH2181" s="47" t="str">
        <f>IFERROR(_xlfn.XLOOKUP(Table6[[#This Row],[Suburb]],Table5[Travel Surcharge],Table5[$$]),"")</f>
        <v/>
      </c>
      <c r="AI2181" s="47"/>
      <c r="AJ2181" s="47"/>
    </row>
    <row r="2182" spans="1:36">
      <c r="A2182" s="374" t="s">
        <v>3487</v>
      </c>
      <c r="B2182" s="374">
        <v>15</v>
      </c>
      <c r="C2182" s="374" t="s">
        <v>2060</v>
      </c>
      <c r="D2182" s="375" t="str">
        <f t="shared" si="441"/>
        <v>Jubilee Estate15</v>
      </c>
      <c r="E2182" s="375" t="s">
        <v>3505</v>
      </c>
      <c r="F2182" s="375" t="s">
        <v>3489</v>
      </c>
      <c r="G2182" s="375" t="s">
        <v>3490</v>
      </c>
      <c r="H2182" s="375" t="s">
        <v>3491</v>
      </c>
      <c r="I2182" s="63" t="s">
        <v>3492</v>
      </c>
      <c r="J2182" s="47">
        <f t="shared" si="442"/>
        <v>3740</v>
      </c>
      <c r="K2182" s="46" t="s">
        <v>10735</v>
      </c>
      <c r="L2182" s="47">
        <f t="shared" si="443"/>
        <v>1210</v>
      </c>
      <c r="M2182" s="47"/>
      <c r="N2182" s="47"/>
      <c r="O2182" s="47"/>
      <c r="P2182" s="47"/>
      <c r="Q2182" s="47"/>
      <c r="R2182" s="47"/>
      <c r="S2182" s="47" t="s">
        <v>1765</v>
      </c>
      <c r="T2182" s="47" t="s">
        <v>536</v>
      </c>
      <c r="U2182" s="47">
        <f t="shared" si="444"/>
        <v>430</v>
      </c>
      <c r="V2182" s="47" t="s">
        <v>3493</v>
      </c>
      <c r="W2182" s="47"/>
      <c r="X2182" s="47"/>
      <c r="Y2182" s="47"/>
      <c r="Z2182" s="47">
        <f t="shared" si="445"/>
        <v>4620</v>
      </c>
      <c r="AA2182" s="47"/>
      <c r="AB2182" s="47"/>
      <c r="AC2182" s="47">
        <f t="shared" si="446"/>
        <v>5200</v>
      </c>
      <c r="AD2182" s="47"/>
      <c r="AE2182" s="47"/>
      <c r="AF2182" s="47"/>
      <c r="AG2182" s="47"/>
      <c r="AH2182" s="47" t="str">
        <f>IFERROR(_xlfn.XLOOKUP(Table6[[#This Row],[Suburb]],Table5[Travel Surcharge],Table5[$$]),"")</f>
        <v/>
      </c>
      <c r="AI2182" s="47"/>
      <c r="AJ2182" s="47"/>
    </row>
    <row r="2183" spans="1:36">
      <c r="A2183" s="374" t="s">
        <v>3487</v>
      </c>
      <c r="B2183" s="374">
        <v>16</v>
      </c>
      <c r="C2183" s="374" t="s">
        <v>2060</v>
      </c>
      <c r="D2183" s="375" t="str">
        <f t="shared" si="441"/>
        <v>Jubilee Estate16</v>
      </c>
      <c r="E2183" s="375" t="s">
        <v>3506</v>
      </c>
      <c r="F2183" s="375" t="s">
        <v>3489</v>
      </c>
      <c r="G2183" s="375" t="s">
        <v>3490</v>
      </c>
      <c r="H2183" s="375" t="s">
        <v>3491</v>
      </c>
      <c r="I2183" s="63" t="s">
        <v>3492</v>
      </c>
      <c r="J2183" s="47">
        <f t="shared" si="442"/>
        <v>3740</v>
      </c>
      <c r="K2183" s="46" t="s">
        <v>10735</v>
      </c>
      <c r="L2183" s="47">
        <f t="shared" si="443"/>
        <v>1210</v>
      </c>
      <c r="M2183" s="47"/>
      <c r="N2183" s="47"/>
      <c r="O2183" s="47"/>
      <c r="P2183" s="47"/>
      <c r="Q2183" s="47"/>
      <c r="R2183" s="47"/>
      <c r="S2183" s="47" t="s">
        <v>1765</v>
      </c>
      <c r="T2183" s="47" t="s">
        <v>536</v>
      </c>
      <c r="U2183" s="47">
        <f t="shared" si="444"/>
        <v>430</v>
      </c>
      <c r="V2183" s="47" t="s">
        <v>3493</v>
      </c>
      <c r="W2183" s="47"/>
      <c r="X2183" s="47"/>
      <c r="Y2183" s="47"/>
      <c r="Z2183" s="47">
        <f t="shared" si="445"/>
        <v>4620</v>
      </c>
      <c r="AA2183" s="47"/>
      <c r="AB2183" s="47"/>
      <c r="AC2183" s="47">
        <f t="shared" si="446"/>
        <v>5200</v>
      </c>
      <c r="AD2183" s="47"/>
      <c r="AE2183" s="47"/>
      <c r="AF2183" s="47"/>
      <c r="AG2183" s="47"/>
      <c r="AH2183" s="47" t="str">
        <f>IFERROR(_xlfn.XLOOKUP(Table6[[#This Row],[Suburb]],Table5[Travel Surcharge],Table5[$$]),"")</f>
        <v/>
      </c>
      <c r="AI2183" s="47"/>
      <c r="AJ2183" s="47"/>
    </row>
    <row r="2184" spans="1:36">
      <c r="A2184" s="374" t="s">
        <v>3487</v>
      </c>
      <c r="B2184" s="374">
        <v>17</v>
      </c>
      <c r="C2184" s="374" t="s">
        <v>2060</v>
      </c>
      <c r="D2184" s="375" t="str">
        <f t="shared" si="441"/>
        <v>Jubilee Estate17</v>
      </c>
      <c r="E2184" s="375" t="s">
        <v>3507</v>
      </c>
      <c r="F2184" s="375" t="s">
        <v>3489</v>
      </c>
      <c r="G2184" s="375" t="s">
        <v>3490</v>
      </c>
      <c r="H2184" s="375" t="s">
        <v>3491</v>
      </c>
      <c r="I2184" s="63" t="s">
        <v>3492</v>
      </c>
      <c r="J2184" s="47">
        <f t="shared" si="442"/>
        <v>3740</v>
      </c>
      <c r="K2184" s="46" t="s">
        <v>10735</v>
      </c>
      <c r="L2184" s="47">
        <f t="shared" si="443"/>
        <v>1210</v>
      </c>
      <c r="M2184" s="47"/>
      <c r="N2184" s="47"/>
      <c r="O2184" s="47"/>
      <c r="P2184" s="47"/>
      <c r="Q2184" s="47"/>
      <c r="R2184" s="47"/>
      <c r="S2184" s="47" t="s">
        <v>1765</v>
      </c>
      <c r="T2184" s="47" t="s">
        <v>536</v>
      </c>
      <c r="U2184" s="47">
        <f t="shared" si="444"/>
        <v>430</v>
      </c>
      <c r="V2184" s="47" t="s">
        <v>3493</v>
      </c>
      <c r="W2184" s="47"/>
      <c r="X2184" s="47"/>
      <c r="Y2184" s="47"/>
      <c r="Z2184" s="47">
        <f t="shared" si="445"/>
        <v>4620</v>
      </c>
      <c r="AA2184" s="47"/>
      <c r="AB2184" s="47"/>
      <c r="AC2184" s="47">
        <f t="shared" si="446"/>
        <v>5200</v>
      </c>
      <c r="AD2184" s="47"/>
      <c r="AE2184" s="47"/>
      <c r="AF2184" s="47"/>
      <c r="AG2184" s="47"/>
      <c r="AH2184" s="47" t="str">
        <f>IFERROR(_xlfn.XLOOKUP(Table6[[#This Row],[Suburb]],Table5[Travel Surcharge],Table5[$$]),"")</f>
        <v/>
      </c>
      <c r="AI2184" s="47"/>
      <c r="AJ2184" s="47"/>
    </row>
    <row r="2185" spans="1:36">
      <c r="A2185" s="374" t="s">
        <v>3487</v>
      </c>
      <c r="B2185" s="374">
        <v>18</v>
      </c>
      <c r="C2185" s="374" t="s">
        <v>2060</v>
      </c>
      <c r="D2185" s="375" t="str">
        <f t="shared" si="441"/>
        <v>Jubilee Estate18</v>
      </c>
      <c r="E2185" s="375" t="s">
        <v>3508</v>
      </c>
      <c r="F2185" s="375" t="s">
        <v>3489</v>
      </c>
      <c r="G2185" s="375" t="s">
        <v>3490</v>
      </c>
      <c r="H2185" s="375" t="s">
        <v>3491</v>
      </c>
      <c r="I2185" s="63" t="s">
        <v>3492</v>
      </c>
      <c r="J2185" s="47">
        <f t="shared" si="442"/>
        <v>3740</v>
      </c>
      <c r="K2185" s="46" t="s">
        <v>10735</v>
      </c>
      <c r="L2185" s="47">
        <f t="shared" si="443"/>
        <v>1210</v>
      </c>
      <c r="M2185" s="47"/>
      <c r="N2185" s="47"/>
      <c r="O2185" s="47"/>
      <c r="P2185" s="47"/>
      <c r="Q2185" s="47"/>
      <c r="R2185" s="47"/>
      <c r="S2185" s="47" t="s">
        <v>1765</v>
      </c>
      <c r="T2185" s="47" t="s">
        <v>536</v>
      </c>
      <c r="U2185" s="47">
        <f t="shared" si="444"/>
        <v>430</v>
      </c>
      <c r="V2185" s="47" t="s">
        <v>3493</v>
      </c>
      <c r="W2185" s="47"/>
      <c r="X2185" s="47"/>
      <c r="Y2185" s="47"/>
      <c r="Z2185" s="47">
        <f t="shared" si="445"/>
        <v>4620</v>
      </c>
      <c r="AA2185" s="47"/>
      <c r="AB2185" s="47"/>
      <c r="AC2185" s="47">
        <f t="shared" si="446"/>
        <v>5200</v>
      </c>
      <c r="AD2185" s="47"/>
      <c r="AE2185" s="47"/>
      <c r="AF2185" s="47"/>
      <c r="AG2185" s="47"/>
      <c r="AH2185" s="47" t="str">
        <f>IFERROR(_xlfn.XLOOKUP(Table6[[#This Row],[Suburb]],Table5[Travel Surcharge],Table5[$$]),"")</f>
        <v/>
      </c>
      <c r="AI2185" s="47"/>
      <c r="AJ2185" s="47"/>
    </row>
    <row r="2186" spans="1:36">
      <c r="A2186" s="374" t="s">
        <v>3487</v>
      </c>
      <c r="B2186" s="374">
        <v>19</v>
      </c>
      <c r="C2186" s="374" t="s">
        <v>2060</v>
      </c>
      <c r="D2186" s="375" t="str">
        <f t="shared" si="441"/>
        <v>Jubilee Estate19</v>
      </c>
      <c r="E2186" s="375" t="s">
        <v>3509</v>
      </c>
      <c r="F2186" s="375" t="s">
        <v>3489</v>
      </c>
      <c r="G2186" s="375" t="s">
        <v>3490</v>
      </c>
      <c r="H2186" s="375" t="s">
        <v>3491</v>
      </c>
      <c r="I2186" s="63" t="s">
        <v>3492</v>
      </c>
      <c r="J2186" s="47">
        <f t="shared" si="442"/>
        <v>3740</v>
      </c>
      <c r="K2186" s="46" t="s">
        <v>10735</v>
      </c>
      <c r="L2186" s="47">
        <f t="shared" si="443"/>
        <v>1210</v>
      </c>
      <c r="M2186" s="47"/>
      <c r="N2186" s="47"/>
      <c r="O2186" s="47"/>
      <c r="P2186" s="47"/>
      <c r="Q2186" s="47"/>
      <c r="R2186" s="47"/>
      <c r="S2186" s="47" t="s">
        <v>1765</v>
      </c>
      <c r="T2186" s="47" t="s">
        <v>536</v>
      </c>
      <c r="U2186" s="47">
        <f t="shared" si="444"/>
        <v>430</v>
      </c>
      <c r="V2186" s="47" t="s">
        <v>3493</v>
      </c>
      <c r="W2186" s="47"/>
      <c r="X2186" s="47"/>
      <c r="Y2186" s="47"/>
      <c r="Z2186" s="47">
        <f t="shared" si="445"/>
        <v>4620</v>
      </c>
      <c r="AA2186" s="47"/>
      <c r="AB2186" s="47"/>
      <c r="AC2186" s="47">
        <f t="shared" si="446"/>
        <v>5200</v>
      </c>
      <c r="AD2186" s="47"/>
      <c r="AE2186" s="47"/>
      <c r="AF2186" s="47"/>
      <c r="AG2186" s="47"/>
      <c r="AH2186" s="47" t="str">
        <f>IFERROR(_xlfn.XLOOKUP(Table6[[#This Row],[Suburb]],Table5[Travel Surcharge],Table5[$$]),"")</f>
        <v/>
      </c>
      <c r="AI2186" s="47"/>
      <c r="AJ2186" s="47"/>
    </row>
    <row r="2187" spans="1:36">
      <c r="A2187" s="374" t="s">
        <v>3487</v>
      </c>
      <c r="B2187" s="374">
        <v>20</v>
      </c>
      <c r="C2187" s="374" t="s">
        <v>2060</v>
      </c>
      <c r="D2187" s="375" t="str">
        <f t="shared" si="441"/>
        <v>Jubilee Estate20</v>
      </c>
      <c r="E2187" s="375" t="s">
        <v>3510</v>
      </c>
      <c r="F2187" s="375" t="s">
        <v>3489</v>
      </c>
      <c r="G2187" s="375" t="s">
        <v>3490</v>
      </c>
      <c r="H2187" s="375" t="s">
        <v>3491</v>
      </c>
      <c r="I2187" s="63" t="s">
        <v>3492</v>
      </c>
      <c r="J2187" s="47">
        <f t="shared" si="442"/>
        <v>3740</v>
      </c>
      <c r="K2187" s="46" t="s">
        <v>10735</v>
      </c>
      <c r="L2187" s="47">
        <f t="shared" si="443"/>
        <v>1210</v>
      </c>
      <c r="M2187" s="47"/>
      <c r="N2187" s="47"/>
      <c r="O2187" s="47"/>
      <c r="P2187" s="47"/>
      <c r="Q2187" s="47"/>
      <c r="R2187" s="47"/>
      <c r="S2187" s="47" t="s">
        <v>1765</v>
      </c>
      <c r="T2187" s="47" t="s">
        <v>536</v>
      </c>
      <c r="U2187" s="47">
        <f t="shared" si="444"/>
        <v>430</v>
      </c>
      <c r="V2187" s="47" t="s">
        <v>3493</v>
      </c>
      <c r="W2187" s="47"/>
      <c r="X2187" s="47"/>
      <c r="Y2187" s="47"/>
      <c r="Z2187" s="47">
        <f t="shared" si="445"/>
        <v>4620</v>
      </c>
      <c r="AA2187" s="47"/>
      <c r="AB2187" s="47"/>
      <c r="AC2187" s="47">
        <f t="shared" si="446"/>
        <v>5200</v>
      </c>
      <c r="AD2187" s="47"/>
      <c r="AE2187" s="47"/>
      <c r="AF2187" s="47"/>
      <c r="AG2187" s="47"/>
      <c r="AH2187" s="47" t="str">
        <f>IFERROR(_xlfn.XLOOKUP(Table6[[#This Row],[Suburb]],Table5[Travel Surcharge],Table5[$$]),"")</f>
        <v/>
      </c>
      <c r="AI2187" s="47"/>
      <c r="AJ2187" s="47"/>
    </row>
    <row r="2188" spans="1:36">
      <c r="A2188" s="374" t="s">
        <v>3487</v>
      </c>
      <c r="B2188" s="374">
        <v>21</v>
      </c>
      <c r="C2188" s="374" t="s">
        <v>2060</v>
      </c>
      <c r="D2188" s="375" t="str">
        <f t="shared" si="441"/>
        <v>Jubilee Estate21</v>
      </c>
      <c r="E2188" s="375" t="s">
        <v>3511</v>
      </c>
      <c r="F2188" s="375" t="s">
        <v>3489</v>
      </c>
      <c r="G2188" s="375" t="s">
        <v>3490</v>
      </c>
      <c r="H2188" s="375" t="s">
        <v>3491</v>
      </c>
      <c r="I2188" s="63" t="s">
        <v>3492</v>
      </c>
      <c r="J2188" s="47">
        <f t="shared" si="442"/>
        <v>3740</v>
      </c>
      <c r="K2188" s="46" t="s">
        <v>10735</v>
      </c>
      <c r="L2188" s="47">
        <f t="shared" si="443"/>
        <v>1210</v>
      </c>
      <c r="M2188" s="47"/>
      <c r="N2188" s="47"/>
      <c r="O2188" s="47"/>
      <c r="P2188" s="47"/>
      <c r="Q2188" s="47"/>
      <c r="R2188" s="47"/>
      <c r="S2188" s="47" t="s">
        <v>1765</v>
      </c>
      <c r="T2188" s="47" t="s">
        <v>536</v>
      </c>
      <c r="U2188" s="47">
        <f t="shared" si="444"/>
        <v>430</v>
      </c>
      <c r="V2188" s="47" t="s">
        <v>3493</v>
      </c>
      <c r="W2188" s="47"/>
      <c r="X2188" s="47"/>
      <c r="Y2188" s="47"/>
      <c r="Z2188" s="47">
        <f t="shared" si="445"/>
        <v>4620</v>
      </c>
      <c r="AA2188" s="47"/>
      <c r="AB2188" s="47"/>
      <c r="AC2188" s="47">
        <f t="shared" si="446"/>
        <v>5200</v>
      </c>
      <c r="AD2188" s="47"/>
      <c r="AE2188" s="47"/>
      <c r="AF2188" s="47"/>
      <c r="AG2188" s="47"/>
      <c r="AH2188" s="47" t="str">
        <f>IFERROR(_xlfn.XLOOKUP(Table6[[#This Row],[Suburb]],Table5[Travel Surcharge],Table5[$$]),"")</f>
        <v/>
      </c>
      <c r="AI2188" s="47"/>
      <c r="AJ2188" s="47"/>
    </row>
    <row r="2189" spans="1:36">
      <c r="A2189" s="374" t="s">
        <v>3487</v>
      </c>
      <c r="B2189" s="374">
        <v>25</v>
      </c>
      <c r="C2189" s="374" t="s">
        <v>2060</v>
      </c>
      <c r="D2189" s="375" t="str">
        <f t="shared" si="441"/>
        <v>Jubilee Estate25</v>
      </c>
      <c r="E2189" s="375" t="s">
        <v>3512</v>
      </c>
      <c r="F2189" s="375" t="s">
        <v>3489</v>
      </c>
      <c r="G2189" s="375" t="s">
        <v>3490</v>
      </c>
      <c r="H2189" s="375" t="s">
        <v>3491</v>
      </c>
      <c r="I2189" s="63" t="s">
        <v>3492</v>
      </c>
      <c r="J2189" s="47">
        <f t="shared" si="442"/>
        <v>3740</v>
      </c>
      <c r="K2189" s="46" t="s">
        <v>10735</v>
      </c>
      <c r="L2189" s="47">
        <f t="shared" si="443"/>
        <v>1210</v>
      </c>
      <c r="M2189" s="47"/>
      <c r="N2189" s="47"/>
      <c r="O2189" s="47"/>
      <c r="P2189" s="47"/>
      <c r="Q2189" s="47"/>
      <c r="R2189" s="47"/>
      <c r="S2189" s="47" t="s">
        <v>1765</v>
      </c>
      <c r="T2189" s="47" t="s">
        <v>536</v>
      </c>
      <c r="U2189" s="47">
        <f t="shared" si="444"/>
        <v>430</v>
      </c>
      <c r="V2189" s="47" t="s">
        <v>3493</v>
      </c>
      <c r="W2189" s="47"/>
      <c r="X2189" s="47"/>
      <c r="Y2189" s="47"/>
      <c r="Z2189" s="47">
        <f t="shared" si="445"/>
        <v>4620</v>
      </c>
      <c r="AA2189" s="47"/>
      <c r="AB2189" s="47"/>
      <c r="AC2189" s="47">
        <f t="shared" si="446"/>
        <v>5200</v>
      </c>
      <c r="AD2189" s="47"/>
      <c r="AE2189" s="47"/>
      <c r="AF2189" s="47"/>
      <c r="AG2189" s="47"/>
      <c r="AH2189" s="47" t="str">
        <f>IFERROR(_xlfn.XLOOKUP(Table6[[#This Row],[Suburb]],Table5[Travel Surcharge],Table5[$$]),"")</f>
        <v/>
      </c>
      <c r="AI2189" s="47"/>
      <c r="AJ2189" s="47"/>
    </row>
    <row r="2190" spans="1:36">
      <c r="A2190" s="374" t="s">
        <v>3487</v>
      </c>
      <c r="B2190" s="374">
        <v>26</v>
      </c>
      <c r="C2190" s="374" t="s">
        <v>2060</v>
      </c>
      <c r="D2190" s="375" t="str">
        <f t="shared" si="441"/>
        <v>Jubilee Estate26</v>
      </c>
      <c r="E2190" s="375" t="s">
        <v>3513</v>
      </c>
      <c r="F2190" s="375" t="s">
        <v>3489</v>
      </c>
      <c r="G2190" s="375" t="s">
        <v>3490</v>
      </c>
      <c r="H2190" s="375" t="s">
        <v>3491</v>
      </c>
      <c r="I2190" s="63" t="s">
        <v>3492</v>
      </c>
      <c r="J2190" s="47">
        <f t="shared" si="442"/>
        <v>3740</v>
      </c>
      <c r="K2190" s="46" t="s">
        <v>10735</v>
      </c>
      <c r="L2190" s="47">
        <f t="shared" si="443"/>
        <v>1210</v>
      </c>
      <c r="M2190" s="47"/>
      <c r="N2190" s="47"/>
      <c r="O2190" s="47"/>
      <c r="P2190" s="47"/>
      <c r="Q2190" s="47"/>
      <c r="R2190" s="47"/>
      <c r="S2190" s="47" t="s">
        <v>1765</v>
      </c>
      <c r="T2190" s="47" t="s">
        <v>536</v>
      </c>
      <c r="U2190" s="47">
        <f t="shared" si="444"/>
        <v>430</v>
      </c>
      <c r="V2190" s="47" t="s">
        <v>3493</v>
      </c>
      <c r="W2190" s="47"/>
      <c r="X2190" s="47"/>
      <c r="Y2190" s="47"/>
      <c r="Z2190" s="47">
        <f t="shared" si="445"/>
        <v>4620</v>
      </c>
      <c r="AA2190" s="47"/>
      <c r="AB2190" s="47"/>
      <c r="AC2190" s="47">
        <f t="shared" si="446"/>
        <v>5200</v>
      </c>
      <c r="AD2190" s="47"/>
      <c r="AE2190" s="47"/>
      <c r="AF2190" s="47"/>
      <c r="AG2190" s="47"/>
      <c r="AH2190" s="47" t="str">
        <f>IFERROR(_xlfn.XLOOKUP(Table6[[#This Row],[Suburb]],Table5[Travel Surcharge],Table5[$$]),"")</f>
        <v/>
      </c>
      <c r="AI2190" s="47"/>
      <c r="AJ2190" s="47"/>
    </row>
    <row r="2191" spans="1:36">
      <c r="A2191" s="374" t="s">
        <v>3487</v>
      </c>
      <c r="B2191" s="374">
        <v>27</v>
      </c>
      <c r="C2191" s="374" t="s">
        <v>2060</v>
      </c>
      <c r="D2191" s="375" t="str">
        <f t="shared" si="441"/>
        <v>Jubilee Estate27</v>
      </c>
      <c r="E2191" s="375" t="s">
        <v>3514</v>
      </c>
      <c r="F2191" s="375" t="s">
        <v>3489</v>
      </c>
      <c r="G2191" s="375" t="s">
        <v>3490</v>
      </c>
      <c r="H2191" s="375" t="s">
        <v>3491</v>
      </c>
      <c r="I2191" s="63" t="s">
        <v>3492</v>
      </c>
      <c r="J2191" s="47">
        <f t="shared" si="442"/>
        <v>3740</v>
      </c>
      <c r="K2191" s="46" t="s">
        <v>10735</v>
      </c>
      <c r="L2191" s="47">
        <f t="shared" si="443"/>
        <v>1210</v>
      </c>
      <c r="M2191" s="47"/>
      <c r="N2191" s="47"/>
      <c r="O2191" s="47"/>
      <c r="P2191" s="47"/>
      <c r="Q2191" s="47"/>
      <c r="R2191" s="47"/>
      <c r="S2191" s="47" t="s">
        <v>1765</v>
      </c>
      <c r="T2191" s="47" t="s">
        <v>536</v>
      </c>
      <c r="U2191" s="47">
        <f t="shared" si="444"/>
        <v>430</v>
      </c>
      <c r="V2191" s="47" t="s">
        <v>3493</v>
      </c>
      <c r="W2191" s="47"/>
      <c r="X2191" s="47"/>
      <c r="Y2191" s="47"/>
      <c r="Z2191" s="47">
        <f t="shared" si="445"/>
        <v>4620</v>
      </c>
      <c r="AA2191" s="47"/>
      <c r="AB2191" s="47"/>
      <c r="AC2191" s="47">
        <f t="shared" si="446"/>
        <v>5200</v>
      </c>
      <c r="AD2191" s="47"/>
      <c r="AE2191" s="47"/>
      <c r="AF2191" s="47"/>
      <c r="AG2191" s="47"/>
      <c r="AH2191" s="47" t="str">
        <f>IFERROR(_xlfn.XLOOKUP(Table6[[#This Row],[Suburb]],Table5[Travel Surcharge],Table5[$$]),"")</f>
        <v/>
      </c>
      <c r="AI2191" s="47"/>
      <c r="AJ2191" s="47"/>
    </row>
    <row r="2192" spans="1:36">
      <c r="A2192" s="374" t="s">
        <v>3487</v>
      </c>
      <c r="B2192" s="374">
        <v>28</v>
      </c>
      <c r="C2192" s="374" t="s">
        <v>2060</v>
      </c>
      <c r="D2192" s="375" t="str">
        <f t="shared" si="441"/>
        <v>Jubilee Estate28</v>
      </c>
      <c r="E2192" s="375" t="s">
        <v>3515</v>
      </c>
      <c r="F2192" s="375" t="s">
        <v>3489</v>
      </c>
      <c r="G2192" s="375" t="s">
        <v>3490</v>
      </c>
      <c r="H2192" s="375" t="s">
        <v>3491</v>
      </c>
      <c r="I2192" s="63" t="s">
        <v>3492</v>
      </c>
      <c r="J2192" s="47">
        <f t="shared" si="442"/>
        <v>3740</v>
      </c>
      <c r="K2192" s="46" t="s">
        <v>10735</v>
      </c>
      <c r="L2192" s="47">
        <f t="shared" si="443"/>
        <v>1210</v>
      </c>
      <c r="M2192" s="47"/>
      <c r="N2192" s="47"/>
      <c r="O2192" s="47"/>
      <c r="P2192" s="47"/>
      <c r="Q2192" s="47"/>
      <c r="R2192" s="47"/>
      <c r="S2192" s="47" t="s">
        <v>1765</v>
      </c>
      <c r="T2192" s="47" t="s">
        <v>536</v>
      </c>
      <c r="U2192" s="47">
        <f t="shared" si="444"/>
        <v>430</v>
      </c>
      <c r="V2192" s="47" t="s">
        <v>3493</v>
      </c>
      <c r="W2192" s="47"/>
      <c r="X2192" s="47"/>
      <c r="Y2192" s="47"/>
      <c r="Z2192" s="47">
        <f t="shared" si="445"/>
        <v>4620</v>
      </c>
      <c r="AA2192" s="47"/>
      <c r="AB2192" s="47"/>
      <c r="AC2192" s="47">
        <f t="shared" si="446"/>
        <v>5200</v>
      </c>
      <c r="AD2192" s="47"/>
      <c r="AE2192" s="47"/>
      <c r="AF2192" s="47"/>
      <c r="AG2192" s="47"/>
      <c r="AH2192" s="47" t="str">
        <f>IFERROR(_xlfn.XLOOKUP(Table6[[#This Row],[Suburb]],Table5[Travel Surcharge],Table5[$$]),"")</f>
        <v/>
      </c>
      <c r="AI2192" s="47"/>
      <c r="AJ2192" s="47"/>
    </row>
    <row r="2193" spans="1:36">
      <c r="A2193" s="374" t="s">
        <v>3487</v>
      </c>
      <c r="B2193" s="374">
        <v>29</v>
      </c>
      <c r="C2193" s="374" t="s">
        <v>2060</v>
      </c>
      <c r="D2193" s="375" t="str">
        <f t="shared" si="441"/>
        <v>Jubilee Estate29</v>
      </c>
      <c r="E2193" s="375" t="s">
        <v>3516</v>
      </c>
      <c r="F2193" s="375" t="s">
        <v>3489</v>
      </c>
      <c r="G2193" s="375" t="s">
        <v>3490</v>
      </c>
      <c r="H2193" s="375" t="s">
        <v>3491</v>
      </c>
      <c r="I2193" s="63" t="s">
        <v>3492</v>
      </c>
      <c r="J2193" s="47">
        <f t="shared" si="442"/>
        <v>3740</v>
      </c>
      <c r="K2193" s="46" t="s">
        <v>10735</v>
      </c>
      <c r="L2193" s="47">
        <f t="shared" si="443"/>
        <v>1210</v>
      </c>
      <c r="M2193" s="47" t="s">
        <v>3517</v>
      </c>
      <c r="N2193" s="47"/>
      <c r="O2193" s="47"/>
      <c r="P2193" s="47"/>
      <c r="Q2193" s="47"/>
      <c r="R2193" s="47"/>
      <c r="S2193" s="47" t="s">
        <v>1765</v>
      </c>
      <c r="T2193" s="47" t="s">
        <v>536</v>
      </c>
      <c r="U2193" s="47">
        <f t="shared" si="444"/>
        <v>430</v>
      </c>
      <c r="V2193" s="47" t="s">
        <v>3493</v>
      </c>
      <c r="W2193" s="47"/>
      <c r="X2193" s="47"/>
      <c r="Y2193" s="47"/>
      <c r="Z2193" s="47">
        <f t="shared" si="445"/>
        <v>4620</v>
      </c>
      <c r="AA2193" s="47"/>
      <c r="AB2193" s="47"/>
      <c r="AC2193" s="47">
        <f t="shared" si="446"/>
        <v>5200</v>
      </c>
      <c r="AD2193" s="47"/>
      <c r="AE2193" s="47"/>
      <c r="AF2193" s="47"/>
      <c r="AG2193" s="47"/>
      <c r="AH2193" s="47" t="str">
        <f>IFERROR(_xlfn.XLOOKUP(Table6[[#This Row],[Suburb]],Table5[Travel Surcharge],Table5[$$]),"")</f>
        <v/>
      </c>
      <c r="AI2193" s="47"/>
      <c r="AJ2193" s="47"/>
    </row>
    <row r="2194" spans="1:36">
      <c r="A2194" s="374" t="s">
        <v>3487</v>
      </c>
      <c r="B2194" s="374">
        <v>36</v>
      </c>
      <c r="C2194" s="374" t="s">
        <v>2060</v>
      </c>
      <c r="D2194" s="375" t="str">
        <f t="shared" si="441"/>
        <v>Jubilee Estate36</v>
      </c>
      <c r="E2194" s="375" t="s">
        <v>9191</v>
      </c>
      <c r="F2194" s="375" t="s">
        <v>3489</v>
      </c>
      <c r="G2194" s="375" t="s">
        <v>3490</v>
      </c>
      <c r="H2194" s="375" t="s">
        <v>3491</v>
      </c>
      <c r="I2194" s="63" t="s">
        <v>3492</v>
      </c>
      <c r="J2194" s="47">
        <f t="shared" si="442"/>
        <v>3740</v>
      </c>
      <c r="K2194" s="46" t="s">
        <v>10735</v>
      </c>
      <c r="L2194" s="47">
        <f t="shared" si="443"/>
        <v>1210</v>
      </c>
      <c r="M2194" s="47" t="s">
        <v>3517</v>
      </c>
      <c r="N2194" s="47"/>
      <c r="O2194" s="47"/>
      <c r="P2194" s="47"/>
      <c r="Q2194" s="47"/>
      <c r="R2194" s="47"/>
      <c r="S2194" s="47" t="s">
        <v>1765</v>
      </c>
      <c r="T2194" s="47" t="s">
        <v>536</v>
      </c>
      <c r="U2194" s="47">
        <f t="shared" si="444"/>
        <v>430</v>
      </c>
      <c r="V2194" s="47" t="s">
        <v>3493</v>
      </c>
      <c r="W2194" s="47"/>
      <c r="X2194" s="47"/>
      <c r="Y2194" s="47"/>
      <c r="Z2194" s="47">
        <f t="shared" si="445"/>
        <v>4620</v>
      </c>
      <c r="AA2194" s="47"/>
      <c r="AB2194" s="47"/>
      <c r="AC2194" s="47">
        <f t="shared" si="446"/>
        <v>5200</v>
      </c>
      <c r="AD2194" s="47"/>
      <c r="AE2194" s="47"/>
      <c r="AF2194" s="47"/>
      <c r="AG2194" s="47"/>
      <c r="AH2194" s="47" t="str">
        <f>IFERROR(_xlfn.XLOOKUP(Table6[[#This Row],[Suburb]],Table5[Travel Surcharge],Table5[$$]),"")</f>
        <v/>
      </c>
      <c r="AI2194" s="47"/>
      <c r="AJ2194" s="47"/>
    </row>
    <row r="2195" spans="1:36">
      <c r="A2195" s="374" t="s">
        <v>3487</v>
      </c>
      <c r="B2195" s="374">
        <v>40</v>
      </c>
      <c r="C2195" s="374" t="s">
        <v>2060</v>
      </c>
      <c r="D2195" s="375" t="str">
        <f t="shared" si="441"/>
        <v>Jubilee Estate40</v>
      </c>
      <c r="E2195" s="375" t="s">
        <v>3518</v>
      </c>
      <c r="F2195" s="375" t="s">
        <v>3489</v>
      </c>
      <c r="G2195" s="375" t="s">
        <v>3490</v>
      </c>
      <c r="H2195" s="375" t="s">
        <v>3491</v>
      </c>
      <c r="I2195" s="63" t="s">
        <v>3492</v>
      </c>
      <c r="J2195" s="47">
        <f t="shared" si="442"/>
        <v>3740</v>
      </c>
      <c r="K2195" s="46" t="s">
        <v>10735</v>
      </c>
      <c r="L2195" s="47">
        <f t="shared" si="443"/>
        <v>1210</v>
      </c>
      <c r="M2195" s="47"/>
      <c r="N2195" s="47"/>
      <c r="O2195" s="47"/>
      <c r="P2195" s="47"/>
      <c r="Q2195" s="47"/>
      <c r="R2195" s="47"/>
      <c r="S2195" s="47" t="s">
        <v>1765</v>
      </c>
      <c r="T2195" s="47" t="s">
        <v>536</v>
      </c>
      <c r="U2195" s="47">
        <f t="shared" si="444"/>
        <v>430</v>
      </c>
      <c r="V2195" s="47" t="s">
        <v>3493</v>
      </c>
      <c r="W2195" s="47"/>
      <c r="X2195" s="47"/>
      <c r="Y2195" s="47"/>
      <c r="Z2195" s="47">
        <f t="shared" si="445"/>
        <v>4620</v>
      </c>
      <c r="AA2195" s="47"/>
      <c r="AB2195" s="47"/>
      <c r="AC2195" s="47">
        <f t="shared" si="446"/>
        <v>5200</v>
      </c>
      <c r="AD2195" s="47"/>
      <c r="AE2195" s="47"/>
      <c r="AF2195" s="47"/>
      <c r="AG2195" s="47"/>
      <c r="AH2195" s="47" t="str">
        <f>IFERROR(_xlfn.XLOOKUP(Table6[[#This Row],[Suburb]],Table5[Travel Surcharge],Table5[$$]),"")</f>
        <v/>
      </c>
      <c r="AI2195" s="47"/>
      <c r="AJ2195" s="47"/>
    </row>
    <row r="2196" spans="1:36">
      <c r="A2196" s="374" t="s">
        <v>3487</v>
      </c>
      <c r="B2196" s="374">
        <v>41</v>
      </c>
      <c r="C2196" s="374" t="s">
        <v>2060</v>
      </c>
      <c r="D2196" s="375" t="str">
        <f t="shared" si="441"/>
        <v>Jubilee Estate41</v>
      </c>
      <c r="E2196" s="375" t="s">
        <v>3519</v>
      </c>
      <c r="F2196" s="375" t="s">
        <v>3489</v>
      </c>
      <c r="G2196" s="375" t="s">
        <v>3490</v>
      </c>
      <c r="H2196" s="375" t="s">
        <v>3491</v>
      </c>
      <c r="I2196" s="63" t="s">
        <v>3492</v>
      </c>
      <c r="J2196" s="47">
        <f t="shared" si="442"/>
        <v>3740</v>
      </c>
      <c r="K2196" s="46" t="s">
        <v>10735</v>
      </c>
      <c r="L2196" s="47">
        <f t="shared" si="443"/>
        <v>1210</v>
      </c>
      <c r="M2196" s="47"/>
      <c r="N2196" s="47"/>
      <c r="O2196" s="47"/>
      <c r="P2196" s="47"/>
      <c r="Q2196" s="47"/>
      <c r="R2196" s="47"/>
      <c r="S2196" s="47" t="s">
        <v>1765</v>
      </c>
      <c r="T2196" s="47" t="s">
        <v>536</v>
      </c>
      <c r="U2196" s="47">
        <f t="shared" si="444"/>
        <v>430</v>
      </c>
      <c r="V2196" s="47" t="s">
        <v>3493</v>
      </c>
      <c r="W2196" s="47"/>
      <c r="X2196" s="47"/>
      <c r="Y2196" s="47"/>
      <c r="Z2196" s="47">
        <f t="shared" si="445"/>
        <v>4620</v>
      </c>
      <c r="AA2196" s="47"/>
      <c r="AB2196" s="47"/>
      <c r="AC2196" s="47">
        <f t="shared" si="446"/>
        <v>5200</v>
      </c>
      <c r="AD2196" s="47"/>
      <c r="AE2196" s="47"/>
      <c r="AF2196" s="47"/>
      <c r="AG2196" s="47"/>
      <c r="AH2196" s="47" t="str">
        <f>IFERROR(_xlfn.XLOOKUP(Table6[[#This Row],[Suburb]],Table5[Travel Surcharge],Table5[$$]),"")</f>
        <v/>
      </c>
      <c r="AI2196" s="47"/>
      <c r="AJ2196" s="47"/>
    </row>
    <row r="2197" spans="1:36">
      <c r="A2197" s="374" t="s">
        <v>3487</v>
      </c>
      <c r="B2197" s="374">
        <v>42</v>
      </c>
      <c r="C2197" s="374" t="s">
        <v>2060</v>
      </c>
      <c r="D2197" s="375" t="str">
        <f t="shared" si="441"/>
        <v>Jubilee Estate42</v>
      </c>
      <c r="E2197" s="375" t="s">
        <v>3520</v>
      </c>
      <c r="F2197" s="375" t="s">
        <v>3489</v>
      </c>
      <c r="G2197" s="375" t="s">
        <v>3490</v>
      </c>
      <c r="H2197" s="375" t="s">
        <v>3491</v>
      </c>
      <c r="I2197" s="63" t="s">
        <v>3492</v>
      </c>
      <c r="J2197" s="47">
        <f t="shared" si="442"/>
        <v>3740</v>
      </c>
      <c r="K2197" s="46" t="s">
        <v>10735</v>
      </c>
      <c r="L2197" s="47">
        <f t="shared" si="443"/>
        <v>1210</v>
      </c>
      <c r="M2197" s="47"/>
      <c r="N2197" s="47"/>
      <c r="O2197" s="47"/>
      <c r="P2197" s="47"/>
      <c r="Q2197" s="47"/>
      <c r="R2197" s="47"/>
      <c r="S2197" s="47" t="s">
        <v>1765</v>
      </c>
      <c r="T2197" s="47" t="s">
        <v>536</v>
      </c>
      <c r="U2197" s="47">
        <f t="shared" si="444"/>
        <v>430</v>
      </c>
      <c r="V2197" s="47" t="s">
        <v>3493</v>
      </c>
      <c r="W2197" s="47"/>
      <c r="X2197" s="47"/>
      <c r="Y2197" s="47"/>
      <c r="Z2197" s="47">
        <f t="shared" si="445"/>
        <v>4620</v>
      </c>
      <c r="AA2197" s="47"/>
      <c r="AB2197" s="47"/>
      <c r="AC2197" s="47">
        <f t="shared" si="446"/>
        <v>5200</v>
      </c>
      <c r="AD2197" s="47"/>
      <c r="AE2197" s="47"/>
      <c r="AF2197" s="47"/>
      <c r="AG2197" s="47"/>
      <c r="AH2197" s="47" t="str">
        <f>IFERROR(_xlfn.XLOOKUP(Table6[[#This Row],[Suburb]],Table5[Travel Surcharge],Table5[$$]),"")</f>
        <v/>
      </c>
      <c r="AI2197" s="47"/>
      <c r="AJ2197" s="47"/>
    </row>
    <row r="2198" spans="1:36">
      <c r="A2198" s="374" t="s">
        <v>3487</v>
      </c>
      <c r="B2198" s="374">
        <v>43</v>
      </c>
      <c r="C2198" s="374" t="s">
        <v>2060</v>
      </c>
      <c r="D2198" s="375" t="str">
        <f t="shared" si="441"/>
        <v>Jubilee Estate43</v>
      </c>
      <c r="E2198" s="375" t="s">
        <v>10835</v>
      </c>
      <c r="F2198" s="375" t="s">
        <v>3489</v>
      </c>
      <c r="G2198" s="375" t="s">
        <v>3490</v>
      </c>
      <c r="H2198" s="375" t="s">
        <v>3491</v>
      </c>
      <c r="I2198" s="63" t="s">
        <v>3492</v>
      </c>
      <c r="J2198" s="47">
        <v>3740</v>
      </c>
      <c r="K2198" s="46" t="s">
        <v>10735</v>
      </c>
      <c r="L2198" s="47">
        <v>1210</v>
      </c>
      <c r="M2198" s="47"/>
      <c r="N2198" s="47"/>
      <c r="O2198" s="47"/>
      <c r="P2198" s="47"/>
      <c r="Q2198" s="47"/>
      <c r="R2198" s="47"/>
      <c r="S2198" s="47" t="s">
        <v>1765</v>
      </c>
      <c r="T2198" s="47" t="s">
        <v>536</v>
      </c>
      <c r="U2198" s="47">
        <v>430</v>
      </c>
      <c r="V2198" s="47" t="s">
        <v>3493</v>
      </c>
      <c r="W2198" s="47"/>
      <c r="X2198" s="47"/>
      <c r="Y2198" s="47"/>
      <c r="Z2198" s="47">
        <v>4620</v>
      </c>
      <c r="AA2198" s="47"/>
      <c r="AB2198" s="47"/>
      <c r="AC2198" s="47">
        <v>5200</v>
      </c>
      <c r="AD2198" s="47"/>
      <c r="AE2198" s="47"/>
      <c r="AF2198" s="47"/>
      <c r="AG2198" s="47"/>
      <c r="AH2198" s="47" t="s">
        <v>9976</v>
      </c>
      <c r="AI2198" s="47"/>
      <c r="AJ2198" s="47"/>
    </row>
    <row r="2199" spans="1:36">
      <c r="A2199" s="374" t="s">
        <v>3487</v>
      </c>
      <c r="B2199" s="374">
        <v>44</v>
      </c>
      <c r="C2199" s="374" t="s">
        <v>2060</v>
      </c>
      <c r="D2199" s="375" t="str">
        <f t="shared" ref="D2199" si="447">CONCATENATE(A2199,B2199)</f>
        <v>Jubilee Estate44</v>
      </c>
      <c r="E2199" s="375" t="s">
        <v>10890</v>
      </c>
      <c r="F2199" s="375" t="s">
        <v>3489</v>
      </c>
      <c r="G2199" s="375" t="s">
        <v>3490</v>
      </c>
      <c r="H2199" s="375" t="s">
        <v>3491</v>
      </c>
      <c r="I2199" s="63" t="s">
        <v>3492</v>
      </c>
      <c r="J2199" s="47">
        <v>3740</v>
      </c>
      <c r="K2199" s="46" t="s">
        <v>10735</v>
      </c>
      <c r="L2199" s="47">
        <v>1210</v>
      </c>
      <c r="M2199" s="47"/>
      <c r="N2199" s="47"/>
      <c r="O2199" s="47"/>
      <c r="P2199" s="47"/>
      <c r="Q2199" s="47"/>
      <c r="R2199" s="47"/>
      <c r="S2199" s="47" t="s">
        <v>1765</v>
      </c>
      <c r="T2199" s="47" t="s">
        <v>536</v>
      </c>
      <c r="U2199" s="47">
        <v>430</v>
      </c>
      <c r="V2199" s="47" t="s">
        <v>3493</v>
      </c>
      <c r="W2199" s="47"/>
      <c r="X2199" s="47"/>
      <c r="Y2199" s="47"/>
      <c r="Z2199" s="47">
        <v>4620</v>
      </c>
      <c r="AA2199" s="47"/>
      <c r="AB2199" s="47"/>
      <c r="AC2199" s="47">
        <v>5200</v>
      </c>
      <c r="AD2199" s="47"/>
      <c r="AE2199" s="47"/>
      <c r="AF2199" s="47"/>
      <c r="AG2199" s="47"/>
      <c r="AH2199" s="47" t="s">
        <v>9976</v>
      </c>
      <c r="AI2199" s="47"/>
      <c r="AJ2199" s="47"/>
    </row>
    <row r="2200" spans="1:36">
      <c r="A2200" s="374" t="s">
        <v>3487</v>
      </c>
      <c r="B2200" s="374">
        <v>52</v>
      </c>
      <c r="C2200" s="374" t="s">
        <v>2060</v>
      </c>
      <c r="D2200" s="375" t="str">
        <f t="shared" si="441"/>
        <v>Jubilee Estate52</v>
      </c>
      <c r="E2200" s="375" t="s">
        <v>3525</v>
      </c>
      <c r="F2200" s="375" t="s">
        <v>3489</v>
      </c>
      <c r="G2200" s="375" t="s">
        <v>3490</v>
      </c>
      <c r="H2200" s="375" t="s">
        <v>3491</v>
      </c>
      <c r="I2200" s="63" t="s">
        <v>3492</v>
      </c>
      <c r="J2200" s="47">
        <f t="shared" si="442"/>
        <v>3740</v>
      </c>
      <c r="K2200" s="46" t="s">
        <v>10735</v>
      </c>
      <c r="L2200" s="47">
        <f t="shared" si="443"/>
        <v>1210</v>
      </c>
      <c r="M2200" s="47"/>
      <c r="N2200" s="47"/>
      <c r="O2200" s="47"/>
      <c r="P2200" s="47"/>
      <c r="Q2200" s="47"/>
      <c r="R2200" s="47"/>
      <c r="S2200" s="47" t="s">
        <v>1765</v>
      </c>
      <c r="T2200" s="47" t="s">
        <v>536</v>
      </c>
      <c r="U2200" s="47">
        <f t="shared" si="444"/>
        <v>430</v>
      </c>
      <c r="V2200" s="47" t="s">
        <v>3493</v>
      </c>
      <c r="W2200" s="47"/>
      <c r="X2200" s="47"/>
      <c r="Y2200" s="47"/>
      <c r="Z2200" s="47">
        <f t="shared" si="445"/>
        <v>4620</v>
      </c>
      <c r="AA2200" s="47"/>
      <c r="AB2200" s="47"/>
      <c r="AC2200" s="47">
        <f t="shared" si="446"/>
        <v>5200</v>
      </c>
      <c r="AD2200" s="47"/>
      <c r="AE2200" s="47"/>
      <c r="AF2200" s="47"/>
      <c r="AG2200" s="47"/>
      <c r="AH2200" s="47" t="str">
        <f>IFERROR(_xlfn.XLOOKUP(Table6[[#This Row],[Suburb]],Table5[Travel Surcharge],Table5[$$]),"")</f>
        <v/>
      </c>
      <c r="AI2200" s="47"/>
      <c r="AJ2200" s="47"/>
    </row>
    <row r="2201" spans="1:36">
      <c r="A2201" s="374" t="s">
        <v>3487</v>
      </c>
      <c r="B2201" s="374">
        <v>56</v>
      </c>
      <c r="C2201" s="374" t="s">
        <v>2060</v>
      </c>
      <c r="D2201" s="375" t="str">
        <f t="shared" si="441"/>
        <v>Jubilee Estate56</v>
      </c>
      <c r="E2201" s="375" t="s">
        <v>9034</v>
      </c>
      <c r="F2201" s="375" t="s">
        <v>3489</v>
      </c>
      <c r="G2201" s="375" t="s">
        <v>3490</v>
      </c>
      <c r="H2201" s="375" t="s">
        <v>3491</v>
      </c>
      <c r="I2201" s="63" t="s">
        <v>3492</v>
      </c>
      <c r="J2201" s="47">
        <f t="shared" si="442"/>
        <v>3740</v>
      </c>
      <c r="K2201" s="46" t="s">
        <v>10735</v>
      </c>
      <c r="L2201" s="47">
        <f t="shared" si="443"/>
        <v>1210</v>
      </c>
      <c r="M2201" s="47"/>
      <c r="N2201" s="47"/>
      <c r="O2201" s="47"/>
      <c r="P2201" s="47"/>
      <c r="Q2201" s="47"/>
      <c r="R2201" s="47"/>
      <c r="S2201" s="47" t="s">
        <v>1765</v>
      </c>
      <c r="T2201" s="47" t="s">
        <v>536</v>
      </c>
      <c r="U2201" s="47">
        <f t="shared" si="444"/>
        <v>430</v>
      </c>
      <c r="V2201" s="47" t="s">
        <v>3493</v>
      </c>
      <c r="W2201" s="47"/>
      <c r="X2201" s="47"/>
      <c r="Y2201" s="47"/>
      <c r="Z2201" s="47">
        <f t="shared" si="445"/>
        <v>4620</v>
      </c>
      <c r="AA2201" s="47"/>
      <c r="AB2201" s="47"/>
      <c r="AC2201" s="47">
        <f t="shared" si="446"/>
        <v>5200</v>
      </c>
      <c r="AD2201" s="47"/>
      <c r="AE2201" s="47"/>
      <c r="AF2201" s="47"/>
      <c r="AG2201" s="47"/>
      <c r="AH2201" s="47" t="str">
        <f>IFERROR(_xlfn.XLOOKUP(Table6[[#This Row],[Suburb]],Table5[Travel Surcharge],Table5[$$]),"")</f>
        <v/>
      </c>
      <c r="AI2201" s="47"/>
      <c r="AJ2201" s="47"/>
    </row>
    <row r="2202" spans="1:36">
      <c r="A2202" s="374" t="s">
        <v>3487</v>
      </c>
      <c r="B2202" s="374">
        <v>68</v>
      </c>
      <c r="C2202" s="374" t="s">
        <v>2060</v>
      </c>
      <c r="D2202" s="375" t="s">
        <v>8948</v>
      </c>
      <c r="E2202" s="375" t="s">
        <v>8949</v>
      </c>
      <c r="F2202" s="375" t="s">
        <v>3489</v>
      </c>
      <c r="G2202" s="375" t="s">
        <v>3490</v>
      </c>
      <c r="H2202" s="375" t="s">
        <v>3491</v>
      </c>
      <c r="I2202" s="63" t="s">
        <v>3492</v>
      </c>
      <c r="J2202" s="47">
        <v>3740</v>
      </c>
      <c r="K2202" s="46" t="s">
        <v>10735</v>
      </c>
      <c r="L2202" s="47">
        <v>1210</v>
      </c>
      <c r="M2202" s="47"/>
      <c r="N2202" s="47"/>
      <c r="O2202" s="47"/>
      <c r="P2202" s="47"/>
      <c r="Q2202" s="47"/>
      <c r="R2202" s="47"/>
      <c r="S2202" s="47" t="s">
        <v>1765</v>
      </c>
      <c r="T2202" s="47" t="s">
        <v>536</v>
      </c>
      <c r="U2202" s="47">
        <v>540</v>
      </c>
      <c r="V2202" s="47" t="s">
        <v>3493</v>
      </c>
      <c r="W2202" s="47"/>
      <c r="X2202" s="47"/>
      <c r="Y2202" s="47"/>
      <c r="Z2202" s="47">
        <v>4620</v>
      </c>
      <c r="AA2202" s="47"/>
      <c r="AB2202" s="47"/>
      <c r="AC2202" s="47">
        <v>4400</v>
      </c>
      <c r="AD2202" s="47"/>
      <c r="AE2202" s="47"/>
      <c r="AF2202" s="47"/>
      <c r="AG2202" s="47"/>
      <c r="AH2202" s="47" t="str">
        <f>IFERROR(_xlfn.XLOOKUP(Table6[[#This Row],[Suburb]],Table5[Travel Surcharge],Table5[$$]),"")</f>
        <v/>
      </c>
      <c r="AI2202" s="47"/>
      <c r="AJ2202" s="47"/>
    </row>
    <row r="2203" spans="1:36">
      <c r="A2203" s="374" t="s">
        <v>3487</v>
      </c>
      <c r="B2203" s="374">
        <v>70</v>
      </c>
      <c r="C2203" s="374" t="s">
        <v>2060</v>
      </c>
      <c r="D2203" s="375" t="str">
        <f t="shared" ref="D2203:D2210" si="448">CONCATENATE(A2203,B2203)</f>
        <v>Jubilee Estate70</v>
      </c>
      <c r="E2203" s="375" t="s">
        <v>3521</v>
      </c>
      <c r="F2203" s="375" t="s">
        <v>3489</v>
      </c>
      <c r="G2203" s="375" t="s">
        <v>3490</v>
      </c>
      <c r="H2203" s="375" t="s">
        <v>3491</v>
      </c>
      <c r="I2203" s="63" t="s">
        <v>3492</v>
      </c>
      <c r="J2203" s="47">
        <f t="shared" ref="J2203:J2210" si="449">J$7</f>
        <v>3740</v>
      </c>
      <c r="K2203" s="46" t="s">
        <v>10735</v>
      </c>
      <c r="L2203" s="47">
        <f t="shared" ref="L2203:L2210" si="450">L$7</f>
        <v>1210</v>
      </c>
      <c r="M2203" s="47"/>
      <c r="N2203" s="47"/>
      <c r="O2203" s="47"/>
      <c r="P2203" s="47"/>
      <c r="Q2203" s="47"/>
      <c r="R2203" s="47"/>
      <c r="S2203" s="47" t="s">
        <v>1765</v>
      </c>
      <c r="T2203" s="47" t="s">
        <v>536</v>
      </c>
      <c r="U2203" s="47">
        <f t="shared" ref="U2203:U2212" si="451">U$2</f>
        <v>430</v>
      </c>
      <c r="V2203" s="47" t="s">
        <v>3493</v>
      </c>
      <c r="W2203" s="47"/>
      <c r="X2203" s="47"/>
      <c r="Y2203" s="47"/>
      <c r="Z2203" s="47">
        <f t="shared" ref="Z2203:Z2221" si="452">Z$7</f>
        <v>4620</v>
      </c>
      <c r="AA2203" s="47"/>
      <c r="AB2203" s="47"/>
      <c r="AC2203" s="47">
        <f t="shared" ref="AC2203:AC2212" si="453">AC$7</f>
        <v>5200</v>
      </c>
      <c r="AD2203" s="47"/>
      <c r="AE2203" s="47"/>
      <c r="AF2203" s="47"/>
      <c r="AG2203" s="47"/>
      <c r="AH2203" s="47" t="str">
        <f>IFERROR(_xlfn.XLOOKUP(Table6[[#This Row],[Suburb]],Table5[Travel Surcharge],Table5[$$]),"")</f>
        <v/>
      </c>
      <c r="AI2203" s="47"/>
      <c r="AJ2203" s="47"/>
    </row>
    <row r="2204" spans="1:36">
      <c r="A2204" s="374" t="s">
        <v>3487</v>
      </c>
      <c r="B2204" s="374">
        <v>91</v>
      </c>
      <c r="C2204" s="374" t="s">
        <v>2060</v>
      </c>
      <c r="D2204" s="375" t="str">
        <f t="shared" si="448"/>
        <v>Jubilee Estate91</v>
      </c>
      <c r="E2204" s="375" t="s">
        <v>3530</v>
      </c>
      <c r="F2204" s="375" t="s">
        <v>3489</v>
      </c>
      <c r="G2204" s="375" t="s">
        <v>3490</v>
      </c>
      <c r="H2204" s="375" t="s">
        <v>3491</v>
      </c>
      <c r="I2204" s="63" t="s">
        <v>3492</v>
      </c>
      <c r="J2204" s="47">
        <f t="shared" si="449"/>
        <v>3740</v>
      </c>
      <c r="K2204" s="46" t="s">
        <v>10735</v>
      </c>
      <c r="L2204" s="47">
        <f t="shared" si="450"/>
        <v>1210</v>
      </c>
      <c r="M2204" s="47"/>
      <c r="N2204" s="47"/>
      <c r="O2204" s="47"/>
      <c r="P2204" s="47"/>
      <c r="Q2204" s="47"/>
      <c r="R2204" s="47"/>
      <c r="S2204" s="47" t="s">
        <v>1765</v>
      </c>
      <c r="T2204" s="47" t="s">
        <v>536</v>
      </c>
      <c r="U2204" s="47">
        <f t="shared" si="451"/>
        <v>430</v>
      </c>
      <c r="V2204" s="47" t="s">
        <v>3493</v>
      </c>
      <c r="W2204" s="47"/>
      <c r="X2204" s="47"/>
      <c r="Y2204" s="47"/>
      <c r="Z2204" s="47">
        <f t="shared" si="452"/>
        <v>4620</v>
      </c>
      <c r="AA2204" s="47"/>
      <c r="AB2204" s="47"/>
      <c r="AC2204" s="47">
        <f t="shared" si="453"/>
        <v>5200</v>
      </c>
      <c r="AD2204" s="47"/>
      <c r="AE2204" s="47"/>
      <c r="AF2204" s="47"/>
      <c r="AG2204" s="47"/>
      <c r="AH2204" s="47" t="str">
        <f>IFERROR(_xlfn.XLOOKUP(Table6[[#This Row],[Suburb]],Table5[Travel Surcharge],Table5[$$]),"")</f>
        <v/>
      </c>
      <c r="AI2204" s="47"/>
      <c r="AJ2204" s="47"/>
    </row>
    <row r="2205" spans="1:36">
      <c r="A2205" s="374" t="s">
        <v>3487</v>
      </c>
      <c r="B2205" s="374">
        <v>57</v>
      </c>
      <c r="C2205" s="374" t="s">
        <v>2060</v>
      </c>
      <c r="D2205" s="375" t="str">
        <f t="shared" si="448"/>
        <v>Jubilee Estate57</v>
      </c>
      <c r="E2205" s="375" t="s">
        <v>8950</v>
      </c>
      <c r="F2205" s="375" t="s">
        <v>3489</v>
      </c>
      <c r="G2205" s="375" t="s">
        <v>3490</v>
      </c>
      <c r="H2205" s="375" t="s">
        <v>3491</v>
      </c>
      <c r="I2205" s="63" t="s">
        <v>3492</v>
      </c>
      <c r="J2205" s="47">
        <f t="shared" si="449"/>
        <v>3740</v>
      </c>
      <c r="K2205" s="46" t="s">
        <v>10735</v>
      </c>
      <c r="L2205" s="47">
        <f t="shared" si="450"/>
        <v>1210</v>
      </c>
      <c r="M2205" s="47"/>
      <c r="N2205" s="47"/>
      <c r="O2205" s="47">
        <f>O$7</f>
        <v>4950</v>
      </c>
      <c r="P2205" s="47"/>
      <c r="Q2205" s="47"/>
      <c r="R2205" s="47"/>
      <c r="S2205" s="47" t="s">
        <v>1765</v>
      </c>
      <c r="T2205" s="47" t="s">
        <v>536</v>
      </c>
      <c r="U2205" s="47">
        <f t="shared" si="451"/>
        <v>430</v>
      </c>
      <c r="V2205" s="47" t="s">
        <v>3493</v>
      </c>
      <c r="W2205" s="47"/>
      <c r="X2205" s="47"/>
      <c r="Y2205" s="47"/>
      <c r="Z2205" s="47">
        <f t="shared" si="452"/>
        <v>4620</v>
      </c>
      <c r="AA2205" s="47"/>
      <c r="AB2205" s="47"/>
      <c r="AC2205" s="47">
        <f t="shared" si="453"/>
        <v>5200</v>
      </c>
      <c r="AD2205" s="47"/>
      <c r="AE2205" s="47"/>
      <c r="AF2205" s="47">
        <f t="shared" ref="AF2205:AF2212" si="454">AF$7</f>
        <v>1485</v>
      </c>
      <c r="AG2205" s="47"/>
      <c r="AH2205" s="47" t="str">
        <f>IFERROR(_xlfn.XLOOKUP(Table6[[#This Row],[Suburb]],Table5[Travel Surcharge],Table5[$$]),"")</f>
        <v/>
      </c>
      <c r="AI2205" s="47"/>
      <c r="AJ2205" s="47"/>
    </row>
    <row r="2206" spans="1:36">
      <c r="A2206" s="374" t="s">
        <v>3487</v>
      </c>
      <c r="B2206" s="374">
        <v>58</v>
      </c>
      <c r="C2206" s="374" t="s">
        <v>2060</v>
      </c>
      <c r="D2206" s="375" t="str">
        <f t="shared" si="448"/>
        <v>Jubilee Estate58</v>
      </c>
      <c r="E2206" s="375" t="s">
        <v>9384</v>
      </c>
      <c r="F2206" s="375" t="s">
        <v>3489</v>
      </c>
      <c r="G2206" s="375" t="s">
        <v>3490</v>
      </c>
      <c r="H2206" s="375" t="s">
        <v>3491</v>
      </c>
      <c r="I2206" s="63" t="s">
        <v>3492</v>
      </c>
      <c r="J2206" s="47">
        <f t="shared" si="449"/>
        <v>3740</v>
      </c>
      <c r="K2206" s="46" t="s">
        <v>10735</v>
      </c>
      <c r="L2206" s="47">
        <f t="shared" si="450"/>
        <v>1210</v>
      </c>
      <c r="M2206" s="47"/>
      <c r="N2206" s="47"/>
      <c r="O2206" s="47">
        <f>O$7</f>
        <v>4950</v>
      </c>
      <c r="P2206" s="47"/>
      <c r="Q2206" s="47"/>
      <c r="R2206" s="47"/>
      <c r="S2206" s="47" t="s">
        <v>1765</v>
      </c>
      <c r="T2206" s="47" t="s">
        <v>536</v>
      </c>
      <c r="U2206" s="47">
        <f t="shared" si="451"/>
        <v>430</v>
      </c>
      <c r="V2206" s="47" t="s">
        <v>3493</v>
      </c>
      <c r="W2206" s="47"/>
      <c r="X2206" s="47"/>
      <c r="Y2206" s="47"/>
      <c r="Z2206" s="47">
        <f t="shared" si="452"/>
        <v>4620</v>
      </c>
      <c r="AA2206" s="47"/>
      <c r="AB2206" s="47"/>
      <c r="AC2206" s="47">
        <f t="shared" si="453"/>
        <v>5200</v>
      </c>
      <c r="AD2206" s="47"/>
      <c r="AE2206" s="47"/>
      <c r="AF2206" s="47">
        <f t="shared" si="454"/>
        <v>1485</v>
      </c>
      <c r="AG2206" s="47"/>
      <c r="AH2206" s="47" t="str">
        <f>IFERROR(_xlfn.XLOOKUP(Table6[[#This Row],[Suburb]],Table5[Travel Surcharge],Table5[$$]),"")</f>
        <v/>
      </c>
      <c r="AI2206" s="47"/>
      <c r="AJ2206" s="47"/>
    </row>
    <row r="2207" spans="1:36">
      <c r="A2207" s="374" t="s">
        <v>3522</v>
      </c>
      <c r="B2207" s="374">
        <v>50</v>
      </c>
      <c r="C2207" s="374" t="s">
        <v>2060</v>
      </c>
      <c r="D2207" s="375" t="str">
        <f t="shared" si="448"/>
        <v>Jubilee Estate Urban Square50</v>
      </c>
      <c r="E2207" s="375" t="s">
        <v>3523</v>
      </c>
      <c r="F2207" s="375" t="s">
        <v>3489</v>
      </c>
      <c r="G2207" s="375" t="s">
        <v>3490</v>
      </c>
      <c r="H2207" s="375" t="s">
        <v>3491</v>
      </c>
      <c r="I2207" s="63" t="s">
        <v>3492</v>
      </c>
      <c r="J2207" s="47">
        <f t="shared" si="449"/>
        <v>3740</v>
      </c>
      <c r="K2207" s="46" t="s">
        <v>10735</v>
      </c>
      <c r="L2207" s="47">
        <f t="shared" si="450"/>
        <v>1210</v>
      </c>
      <c r="M2207" s="47"/>
      <c r="N2207" s="47"/>
      <c r="O2207" s="47"/>
      <c r="P2207" s="47"/>
      <c r="Q2207" s="47"/>
      <c r="R2207" s="47"/>
      <c r="S2207" s="47" t="s">
        <v>1765</v>
      </c>
      <c r="T2207" s="47" t="s">
        <v>536</v>
      </c>
      <c r="U2207" s="47">
        <f t="shared" si="451"/>
        <v>430</v>
      </c>
      <c r="V2207" s="47" t="s">
        <v>3493</v>
      </c>
      <c r="W2207" s="47"/>
      <c r="X2207" s="47"/>
      <c r="Y2207" s="47"/>
      <c r="Z2207" s="47">
        <f t="shared" si="452"/>
        <v>4620</v>
      </c>
      <c r="AA2207" s="47"/>
      <c r="AB2207" s="47"/>
      <c r="AC2207" s="47">
        <f t="shared" si="453"/>
        <v>5200</v>
      </c>
      <c r="AD2207" s="47"/>
      <c r="AE2207" s="47"/>
      <c r="AF2207" s="47">
        <f t="shared" si="454"/>
        <v>1485</v>
      </c>
      <c r="AG2207" s="47"/>
      <c r="AH2207" s="47" t="str">
        <f>IFERROR(_xlfn.XLOOKUP(Table6[[#This Row],[Suburb]],Table5[Travel Surcharge],Table5[$$]),"")</f>
        <v/>
      </c>
      <c r="AI2207" s="47"/>
      <c r="AJ2207" s="47"/>
    </row>
    <row r="2208" spans="1:36">
      <c r="A2208" s="374" t="s">
        <v>3522</v>
      </c>
      <c r="B2208" s="374">
        <v>51</v>
      </c>
      <c r="C2208" s="374" t="s">
        <v>2060</v>
      </c>
      <c r="D2208" s="375" t="str">
        <f t="shared" si="448"/>
        <v>Jubilee Estate Urban Square51</v>
      </c>
      <c r="E2208" s="375" t="s">
        <v>3524</v>
      </c>
      <c r="F2208" s="375" t="s">
        <v>3489</v>
      </c>
      <c r="G2208" s="375" t="s">
        <v>3490</v>
      </c>
      <c r="H2208" s="375" t="s">
        <v>3491</v>
      </c>
      <c r="I2208" s="63" t="s">
        <v>3492</v>
      </c>
      <c r="J2208" s="47">
        <f t="shared" si="449"/>
        <v>3740</v>
      </c>
      <c r="K2208" s="46" t="s">
        <v>10735</v>
      </c>
      <c r="L2208" s="47">
        <f t="shared" si="450"/>
        <v>1210</v>
      </c>
      <c r="M2208" s="47"/>
      <c r="N2208" s="47"/>
      <c r="O2208" s="47"/>
      <c r="P2208" s="47"/>
      <c r="Q2208" s="47"/>
      <c r="R2208" s="47"/>
      <c r="S2208" s="47" t="s">
        <v>1765</v>
      </c>
      <c r="T2208" s="47" t="s">
        <v>536</v>
      </c>
      <c r="U2208" s="47">
        <f t="shared" si="451"/>
        <v>430</v>
      </c>
      <c r="V2208" s="47" t="s">
        <v>3493</v>
      </c>
      <c r="W2208" s="47"/>
      <c r="X2208" s="47"/>
      <c r="Y2208" s="47"/>
      <c r="Z2208" s="47">
        <f t="shared" si="452"/>
        <v>4620</v>
      </c>
      <c r="AA2208" s="47"/>
      <c r="AB2208" s="47"/>
      <c r="AC2208" s="47">
        <f t="shared" si="453"/>
        <v>5200</v>
      </c>
      <c r="AD2208" s="47"/>
      <c r="AE2208" s="47"/>
      <c r="AF2208" s="47">
        <f t="shared" si="454"/>
        <v>1485</v>
      </c>
      <c r="AG2208" s="47"/>
      <c r="AH2208" s="47" t="str">
        <f>IFERROR(_xlfn.XLOOKUP(Table6[[#This Row],[Suburb]],Table5[Travel Surcharge],Table5[$$]),"")</f>
        <v/>
      </c>
      <c r="AI2208" s="47"/>
      <c r="AJ2208" s="47"/>
    </row>
    <row r="2209" spans="1:36">
      <c r="A2209" s="374" t="s">
        <v>3522</v>
      </c>
      <c r="B2209" s="374">
        <v>52</v>
      </c>
      <c r="C2209" s="374" t="s">
        <v>2060</v>
      </c>
      <c r="D2209" s="375" t="str">
        <f t="shared" si="448"/>
        <v>Jubilee Estate Urban Square52</v>
      </c>
      <c r="E2209" s="375" t="s">
        <v>3525</v>
      </c>
      <c r="F2209" s="375" t="s">
        <v>3489</v>
      </c>
      <c r="G2209" s="375" t="s">
        <v>3490</v>
      </c>
      <c r="H2209" s="375" t="s">
        <v>3491</v>
      </c>
      <c r="I2209" s="63" t="s">
        <v>3492</v>
      </c>
      <c r="J2209" s="47">
        <f t="shared" si="449"/>
        <v>3740</v>
      </c>
      <c r="K2209" s="46" t="s">
        <v>10735</v>
      </c>
      <c r="L2209" s="47">
        <f t="shared" si="450"/>
        <v>1210</v>
      </c>
      <c r="M2209" s="47"/>
      <c r="N2209" s="47"/>
      <c r="O2209" s="47"/>
      <c r="P2209" s="47"/>
      <c r="Q2209" s="47"/>
      <c r="R2209" s="47"/>
      <c r="S2209" s="47" t="s">
        <v>1765</v>
      </c>
      <c r="T2209" s="47" t="s">
        <v>536</v>
      </c>
      <c r="U2209" s="47">
        <f t="shared" si="451"/>
        <v>430</v>
      </c>
      <c r="V2209" s="47" t="s">
        <v>3493</v>
      </c>
      <c r="W2209" s="47"/>
      <c r="X2209" s="47"/>
      <c r="Y2209" s="47"/>
      <c r="Z2209" s="47">
        <f t="shared" si="452"/>
        <v>4620</v>
      </c>
      <c r="AA2209" s="47"/>
      <c r="AB2209" s="47"/>
      <c r="AC2209" s="47">
        <f t="shared" si="453"/>
        <v>5200</v>
      </c>
      <c r="AD2209" s="47"/>
      <c r="AE2209" s="47"/>
      <c r="AF2209" s="47">
        <f t="shared" si="454"/>
        <v>1485</v>
      </c>
      <c r="AG2209" s="47"/>
      <c r="AH2209" s="47" t="str">
        <f>IFERROR(_xlfn.XLOOKUP(Table6[[#This Row],[Suburb]],Table5[Travel Surcharge],Table5[$$]),"")</f>
        <v/>
      </c>
      <c r="AI2209" s="47"/>
      <c r="AJ2209" s="47"/>
    </row>
    <row r="2210" spans="1:36">
      <c r="A2210" s="374" t="s">
        <v>3522</v>
      </c>
      <c r="B2210" s="374">
        <v>53</v>
      </c>
      <c r="C2210" s="374" t="s">
        <v>2060</v>
      </c>
      <c r="D2210" s="375" t="str">
        <f t="shared" si="448"/>
        <v>Jubilee Estate Urban Square53</v>
      </c>
      <c r="E2210" s="375" t="s">
        <v>3526</v>
      </c>
      <c r="F2210" s="375" t="s">
        <v>3489</v>
      </c>
      <c r="G2210" s="375" t="s">
        <v>3490</v>
      </c>
      <c r="H2210" s="375" t="s">
        <v>3491</v>
      </c>
      <c r="I2210" s="63" t="s">
        <v>3492</v>
      </c>
      <c r="J2210" s="47">
        <f t="shared" si="449"/>
        <v>3740</v>
      </c>
      <c r="K2210" s="46" t="s">
        <v>10735</v>
      </c>
      <c r="L2210" s="47">
        <f t="shared" si="450"/>
        <v>1210</v>
      </c>
      <c r="M2210" s="47"/>
      <c r="N2210" s="47"/>
      <c r="O2210" s="47"/>
      <c r="P2210" s="47"/>
      <c r="Q2210" s="47"/>
      <c r="R2210" s="47"/>
      <c r="S2210" s="47" t="s">
        <v>1765</v>
      </c>
      <c r="T2210" s="47" t="s">
        <v>536</v>
      </c>
      <c r="U2210" s="47">
        <f t="shared" si="451"/>
        <v>430</v>
      </c>
      <c r="V2210" s="47" t="s">
        <v>3493</v>
      </c>
      <c r="W2210" s="47"/>
      <c r="X2210" s="47"/>
      <c r="Y2210" s="47"/>
      <c r="Z2210" s="47">
        <f t="shared" si="452"/>
        <v>4620</v>
      </c>
      <c r="AA2210" s="47"/>
      <c r="AB2210" s="47"/>
      <c r="AC2210" s="47">
        <f t="shared" si="453"/>
        <v>5200</v>
      </c>
      <c r="AD2210" s="47"/>
      <c r="AE2210" s="47"/>
      <c r="AF2210" s="47">
        <f t="shared" si="454"/>
        <v>1485</v>
      </c>
      <c r="AG2210" s="47"/>
      <c r="AH2210" s="47" t="str">
        <f>IFERROR(_xlfn.XLOOKUP(Table6[[#This Row],[Suburb]],Table5[Travel Surcharge],Table5[$$]),"")</f>
        <v/>
      </c>
      <c r="AI2210" s="47"/>
      <c r="AJ2210" s="47"/>
    </row>
    <row r="2211" spans="1:36">
      <c r="A2211" s="374" t="s">
        <v>3522</v>
      </c>
      <c r="B2211" s="374">
        <v>54</v>
      </c>
      <c r="C2211" s="374" t="s">
        <v>2060</v>
      </c>
      <c r="D2211" s="375" t="s">
        <v>3527</v>
      </c>
      <c r="E2211" s="375" t="s">
        <v>3528</v>
      </c>
      <c r="F2211" s="375" t="s">
        <v>3489</v>
      </c>
      <c r="G2211" s="375" t="s">
        <v>3490</v>
      </c>
      <c r="H2211" s="375" t="s">
        <v>3491</v>
      </c>
      <c r="I2211" s="63" t="s">
        <v>3492</v>
      </c>
      <c r="J2211" s="47">
        <v>3740</v>
      </c>
      <c r="K2211" s="46" t="s">
        <v>10735</v>
      </c>
      <c r="L2211" s="47">
        <v>1210</v>
      </c>
      <c r="M2211" s="47"/>
      <c r="N2211" s="47"/>
      <c r="O2211" s="47"/>
      <c r="P2211" s="47"/>
      <c r="Q2211" s="47"/>
      <c r="R2211" s="47"/>
      <c r="S2211" s="47" t="s">
        <v>1765</v>
      </c>
      <c r="T2211" s="47" t="s">
        <v>536</v>
      </c>
      <c r="U2211" s="47">
        <f t="shared" si="451"/>
        <v>430</v>
      </c>
      <c r="V2211" s="47" t="s">
        <v>3493</v>
      </c>
      <c r="W2211" s="47"/>
      <c r="X2211" s="47"/>
      <c r="Y2211" s="47"/>
      <c r="Z2211" s="47">
        <f t="shared" si="452"/>
        <v>4620</v>
      </c>
      <c r="AA2211" s="47"/>
      <c r="AB2211" s="47"/>
      <c r="AC2211" s="47">
        <f t="shared" si="453"/>
        <v>5200</v>
      </c>
      <c r="AD2211" s="47"/>
      <c r="AE2211" s="47"/>
      <c r="AF2211" s="47">
        <f t="shared" si="454"/>
        <v>1485</v>
      </c>
      <c r="AG2211" s="47"/>
      <c r="AH2211" s="47" t="str">
        <f>IFERROR(_xlfn.XLOOKUP(Table6[[#This Row],[Suburb]],Table5[Travel Surcharge],Table5[$$]),"")</f>
        <v/>
      </c>
      <c r="AI2211" s="47"/>
      <c r="AJ2211" s="47"/>
    </row>
    <row r="2212" spans="1:36">
      <c r="A2212" s="374" t="s">
        <v>3522</v>
      </c>
      <c r="B2212" s="374">
        <v>55</v>
      </c>
      <c r="C2212" s="374" t="s">
        <v>2060</v>
      </c>
      <c r="D2212" s="375" t="str">
        <f t="shared" ref="D2212:D2243" si="455">CONCATENATE(A2212,B2212)</f>
        <v>Jubilee Estate Urban Square55</v>
      </c>
      <c r="E2212" s="375" t="s">
        <v>3529</v>
      </c>
      <c r="F2212" s="375" t="s">
        <v>3489</v>
      </c>
      <c r="G2212" s="375" t="s">
        <v>3490</v>
      </c>
      <c r="H2212" s="375" t="s">
        <v>3491</v>
      </c>
      <c r="I2212" s="63" t="s">
        <v>3492</v>
      </c>
      <c r="J2212" s="47">
        <f t="shared" ref="J2212:J2239" si="456">J$7</f>
        <v>3740</v>
      </c>
      <c r="K2212" s="46" t="s">
        <v>10735</v>
      </c>
      <c r="L2212" s="47">
        <f>L$7</f>
        <v>1210</v>
      </c>
      <c r="M2212" s="47"/>
      <c r="N2212" s="47"/>
      <c r="O2212" s="47"/>
      <c r="P2212" s="47"/>
      <c r="Q2212" s="47"/>
      <c r="R2212" s="47"/>
      <c r="S2212" s="47" t="s">
        <v>1765</v>
      </c>
      <c r="T2212" s="47" t="s">
        <v>536</v>
      </c>
      <c r="U2212" s="47">
        <f t="shared" si="451"/>
        <v>430</v>
      </c>
      <c r="V2212" s="47" t="s">
        <v>3493</v>
      </c>
      <c r="W2212" s="47"/>
      <c r="X2212" s="47"/>
      <c r="Y2212" s="47"/>
      <c r="Z2212" s="47">
        <f t="shared" si="452"/>
        <v>4620</v>
      </c>
      <c r="AA2212" s="47"/>
      <c r="AB2212" s="47"/>
      <c r="AC2212" s="47">
        <f t="shared" si="453"/>
        <v>5200</v>
      </c>
      <c r="AD2212" s="47"/>
      <c r="AE2212" s="47"/>
      <c r="AF2212" s="47">
        <f t="shared" si="454"/>
        <v>1485</v>
      </c>
      <c r="AG2212" s="47"/>
      <c r="AH2212" s="47" t="str">
        <f>IFERROR(_xlfn.XLOOKUP(Table6[[#This Row],[Suburb]],Table5[Travel Surcharge],Table5[$$]),"")</f>
        <v/>
      </c>
      <c r="AI2212" s="47"/>
      <c r="AJ2212" s="47"/>
    </row>
    <row r="2213" spans="1:36">
      <c r="A2213" s="374" t="s">
        <v>3531</v>
      </c>
      <c r="B2213" s="374">
        <v>2</v>
      </c>
      <c r="C2213" s="374" t="s">
        <v>802</v>
      </c>
      <c r="D2213" s="375" t="str">
        <f t="shared" si="455"/>
        <v>Kaduna Park Estate2</v>
      </c>
      <c r="E2213" s="375" t="s">
        <v>3532</v>
      </c>
      <c r="F2213" s="375" t="s">
        <v>3533</v>
      </c>
      <c r="G2213" s="375" t="s">
        <v>3534</v>
      </c>
      <c r="H2213" s="375" t="s">
        <v>3535</v>
      </c>
      <c r="I2213" s="63"/>
      <c r="J2213" s="47">
        <f t="shared" si="456"/>
        <v>3740</v>
      </c>
      <c r="K2213" s="46" t="s">
        <v>7938</v>
      </c>
      <c r="L2213" s="47"/>
      <c r="M2213" s="47">
        <f t="shared" ref="M2213:M2221" si="457">M$7</f>
        <v>1430.0000000000002</v>
      </c>
      <c r="N2213" s="47" t="s">
        <v>3536</v>
      </c>
      <c r="O2213" s="47" t="s">
        <v>3537</v>
      </c>
      <c r="P2213" s="47" t="s">
        <v>3538</v>
      </c>
      <c r="Q2213" s="47"/>
      <c r="R2213" s="47">
        <f t="shared" ref="R2213:R2221" si="458">R$2</f>
        <v>540</v>
      </c>
      <c r="S2213" s="47" t="s">
        <v>3539</v>
      </c>
      <c r="T2213" s="47"/>
      <c r="U2213" s="47"/>
      <c r="V2213" s="47" t="s">
        <v>3540</v>
      </c>
      <c r="W2213" s="47"/>
      <c r="X2213" s="47"/>
      <c r="Y2213" s="47"/>
      <c r="Z2213" s="47">
        <f t="shared" si="452"/>
        <v>4620</v>
      </c>
      <c r="AA2213" s="47"/>
      <c r="AB2213" s="47"/>
      <c r="AC2213" s="47"/>
      <c r="AD2213" s="47"/>
      <c r="AE2213" s="47"/>
      <c r="AF2213" s="47"/>
      <c r="AG2213" s="47"/>
      <c r="AH2213" s="47" t="str">
        <f>IFERROR(_xlfn.XLOOKUP(Table6[[#This Row],[Suburb]],Table5[Travel Surcharge],Table5[$$]),"")</f>
        <v/>
      </c>
      <c r="AI2213" s="47"/>
      <c r="AJ2213" s="47"/>
    </row>
    <row r="2214" spans="1:36">
      <c r="A2214" s="374" t="s">
        <v>3531</v>
      </c>
      <c r="B2214" s="374">
        <v>3</v>
      </c>
      <c r="C2214" s="374" t="s">
        <v>802</v>
      </c>
      <c r="D2214" s="375" t="str">
        <f t="shared" si="455"/>
        <v>Kaduna Park Estate3</v>
      </c>
      <c r="E2214" s="375" t="s">
        <v>3541</v>
      </c>
      <c r="F2214" s="375" t="s">
        <v>3533</v>
      </c>
      <c r="G2214" s="375" t="s">
        <v>3534</v>
      </c>
      <c r="H2214" s="375" t="s">
        <v>3535</v>
      </c>
      <c r="I2214" s="63"/>
      <c r="J2214" s="47">
        <f t="shared" si="456"/>
        <v>3740</v>
      </c>
      <c r="K2214" s="46" t="s">
        <v>7938</v>
      </c>
      <c r="L2214" s="47"/>
      <c r="M2214" s="47">
        <f t="shared" si="457"/>
        <v>1430.0000000000002</v>
      </c>
      <c r="N2214" s="47" t="s">
        <v>3536</v>
      </c>
      <c r="O2214" s="47" t="s">
        <v>3537</v>
      </c>
      <c r="P2214" s="47" t="s">
        <v>3538</v>
      </c>
      <c r="Q2214" s="47"/>
      <c r="R2214" s="47">
        <f t="shared" si="458"/>
        <v>540</v>
      </c>
      <c r="S2214" s="47" t="s">
        <v>3539</v>
      </c>
      <c r="T2214" s="47"/>
      <c r="U2214" s="47"/>
      <c r="V2214" s="47" t="s">
        <v>3540</v>
      </c>
      <c r="W2214" s="47"/>
      <c r="X2214" s="47"/>
      <c r="Y2214" s="47"/>
      <c r="Z2214" s="47">
        <f t="shared" si="452"/>
        <v>4620</v>
      </c>
      <c r="AA2214" s="47"/>
      <c r="AB2214" s="47"/>
      <c r="AC2214" s="47"/>
      <c r="AD2214" s="47"/>
      <c r="AE2214" s="47"/>
      <c r="AF2214" s="47"/>
      <c r="AG2214" s="47"/>
      <c r="AH2214" s="47" t="str">
        <f>IFERROR(_xlfn.XLOOKUP(Table6[[#This Row],[Suburb]],Table5[Travel Surcharge],Table5[$$]),"")</f>
        <v/>
      </c>
      <c r="AI2214" s="47"/>
      <c r="AJ2214" s="47"/>
    </row>
    <row r="2215" spans="1:36">
      <c r="A2215" s="374" t="s">
        <v>3531</v>
      </c>
      <c r="B2215" s="374">
        <v>4</v>
      </c>
      <c r="C2215" s="374" t="s">
        <v>802</v>
      </c>
      <c r="D2215" s="375" t="str">
        <f t="shared" si="455"/>
        <v>Kaduna Park Estate4</v>
      </c>
      <c r="E2215" s="375" t="s">
        <v>3542</v>
      </c>
      <c r="F2215" s="375" t="s">
        <v>3533</v>
      </c>
      <c r="G2215" s="375" t="s">
        <v>3534</v>
      </c>
      <c r="H2215" s="375" t="s">
        <v>3535</v>
      </c>
      <c r="I2215" s="63"/>
      <c r="J2215" s="47">
        <f t="shared" si="456"/>
        <v>3740</v>
      </c>
      <c r="K2215" s="46" t="s">
        <v>7938</v>
      </c>
      <c r="L2215" s="47"/>
      <c r="M2215" s="47">
        <f t="shared" si="457"/>
        <v>1430.0000000000002</v>
      </c>
      <c r="N2215" s="47" t="s">
        <v>3536</v>
      </c>
      <c r="O2215" s="47" t="s">
        <v>3537</v>
      </c>
      <c r="P2215" s="47" t="s">
        <v>3538</v>
      </c>
      <c r="Q2215" s="47"/>
      <c r="R2215" s="47">
        <f t="shared" si="458"/>
        <v>540</v>
      </c>
      <c r="S2215" s="47" t="s">
        <v>3539</v>
      </c>
      <c r="T2215" s="47"/>
      <c r="U2215" s="47"/>
      <c r="V2215" s="47" t="s">
        <v>3540</v>
      </c>
      <c r="W2215" s="47"/>
      <c r="X2215" s="47"/>
      <c r="Y2215" s="47"/>
      <c r="Z2215" s="47">
        <f t="shared" si="452"/>
        <v>4620</v>
      </c>
      <c r="AA2215" s="47"/>
      <c r="AB2215" s="47"/>
      <c r="AC2215" s="47"/>
      <c r="AD2215" s="47"/>
      <c r="AE2215" s="47"/>
      <c r="AF2215" s="47"/>
      <c r="AG2215" s="47"/>
      <c r="AH2215" s="47" t="str">
        <f>IFERROR(_xlfn.XLOOKUP(Table6[[#This Row],[Suburb]],Table5[Travel Surcharge],Table5[$$]),"")</f>
        <v/>
      </c>
      <c r="AI2215" s="47"/>
      <c r="AJ2215" s="47"/>
    </row>
    <row r="2216" spans="1:36">
      <c r="A2216" s="374" t="s">
        <v>3531</v>
      </c>
      <c r="B2216" s="374">
        <v>5</v>
      </c>
      <c r="C2216" s="374" t="s">
        <v>802</v>
      </c>
      <c r="D2216" s="375" t="str">
        <f t="shared" si="455"/>
        <v>Kaduna Park Estate5</v>
      </c>
      <c r="E2216" s="375" t="s">
        <v>3543</v>
      </c>
      <c r="F2216" s="375" t="s">
        <v>3533</v>
      </c>
      <c r="G2216" s="375" t="s">
        <v>3534</v>
      </c>
      <c r="H2216" s="375" t="s">
        <v>3535</v>
      </c>
      <c r="I2216" s="63"/>
      <c r="J2216" s="47">
        <f t="shared" si="456"/>
        <v>3740</v>
      </c>
      <c r="K2216" s="46" t="s">
        <v>7938</v>
      </c>
      <c r="L2216" s="47"/>
      <c r="M2216" s="47">
        <f t="shared" si="457"/>
        <v>1430.0000000000002</v>
      </c>
      <c r="N2216" s="47" t="s">
        <v>3536</v>
      </c>
      <c r="O2216" s="47" t="s">
        <v>3537</v>
      </c>
      <c r="P2216" s="47" t="s">
        <v>3538</v>
      </c>
      <c r="Q2216" s="47"/>
      <c r="R2216" s="47">
        <f t="shared" si="458"/>
        <v>540</v>
      </c>
      <c r="S2216" s="47" t="s">
        <v>3539</v>
      </c>
      <c r="T2216" s="47"/>
      <c r="U2216" s="47"/>
      <c r="V2216" s="47" t="s">
        <v>3540</v>
      </c>
      <c r="W2216" s="47"/>
      <c r="X2216" s="47"/>
      <c r="Y2216" s="47"/>
      <c r="Z2216" s="47">
        <f t="shared" si="452"/>
        <v>4620</v>
      </c>
      <c r="AA2216" s="47"/>
      <c r="AB2216" s="47"/>
      <c r="AC2216" s="47"/>
      <c r="AD2216" s="47"/>
      <c r="AE2216" s="47"/>
      <c r="AF2216" s="47"/>
      <c r="AG2216" s="47"/>
      <c r="AH2216" s="47" t="str">
        <f>IFERROR(_xlfn.XLOOKUP(Table6[[#This Row],[Suburb]],Table5[Travel Surcharge],Table5[$$]),"")</f>
        <v/>
      </c>
      <c r="AI2216" s="47"/>
      <c r="AJ2216" s="47"/>
    </row>
    <row r="2217" spans="1:36">
      <c r="A2217" s="374" t="s">
        <v>3531</v>
      </c>
      <c r="B2217" s="374">
        <v>6</v>
      </c>
      <c r="C2217" s="374" t="s">
        <v>802</v>
      </c>
      <c r="D2217" s="375" t="str">
        <f t="shared" si="455"/>
        <v>Kaduna Park Estate6</v>
      </c>
      <c r="E2217" s="375" t="s">
        <v>3544</v>
      </c>
      <c r="F2217" s="375" t="s">
        <v>3533</v>
      </c>
      <c r="G2217" s="375" t="s">
        <v>3534</v>
      </c>
      <c r="H2217" s="375" t="s">
        <v>3535</v>
      </c>
      <c r="I2217" s="63"/>
      <c r="J2217" s="47">
        <f t="shared" si="456"/>
        <v>3740</v>
      </c>
      <c r="K2217" s="46" t="s">
        <v>7938</v>
      </c>
      <c r="L2217" s="47"/>
      <c r="M2217" s="47">
        <f t="shared" si="457"/>
        <v>1430.0000000000002</v>
      </c>
      <c r="N2217" s="47" t="s">
        <v>3536</v>
      </c>
      <c r="O2217" s="47" t="s">
        <v>3537</v>
      </c>
      <c r="P2217" s="47" t="s">
        <v>3538</v>
      </c>
      <c r="Q2217" s="47"/>
      <c r="R2217" s="47">
        <f t="shared" si="458"/>
        <v>540</v>
      </c>
      <c r="S2217" s="47" t="s">
        <v>3539</v>
      </c>
      <c r="T2217" s="47"/>
      <c r="U2217" s="47"/>
      <c r="V2217" s="47" t="s">
        <v>3540</v>
      </c>
      <c r="W2217" s="47"/>
      <c r="X2217" s="47"/>
      <c r="Y2217" s="47"/>
      <c r="Z2217" s="47">
        <f t="shared" si="452"/>
        <v>4620</v>
      </c>
      <c r="AA2217" s="47"/>
      <c r="AB2217" s="47"/>
      <c r="AC2217" s="47"/>
      <c r="AD2217" s="47"/>
      <c r="AE2217" s="47"/>
      <c r="AF2217" s="47"/>
      <c r="AG2217" s="47"/>
      <c r="AH2217" s="47" t="str">
        <f>IFERROR(_xlfn.XLOOKUP(Table6[[#This Row],[Suburb]],Table5[Travel Surcharge],Table5[$$]),"")</f>
        <v/>
      </c>
      <c r="AI2217" s="47"/>
      <c r="AJ2217" s="47"/>
    </row>
    <row r="2218" spans="1:36">
      <c r="A2218" s="374" t="s">
        <v>3531</v>
      </c>
      <c r="B2218" s="374">
        <v>7</v>
      </c>
      <c r="C2218" s="374" t="s">
        <v>802</v>
      </c>
      <c r="D2218" s="375" t="str">
        <f t="shared" si="455"/>
        <v>Kaduna Park Estate7</v>
      </c>
      <c r="E2218" s="375" t="s">
        <v>3545</v>
      </c>
      <c r="F2218" s="375" t="s">
        <v>3533</v>
      </c>
      <c r="G2218" s="375" t="s">
        <v>3534</v>
      </c>
      <c r="H2218" s="375" t="s">
        <v>3535</v>
      </c>
      <c r="I2218" s="63"/>
      <c r="J2218" s="47">
        <f t="shared" si="456"/>
        <v>3740</v>
      </c>
      <c r="K2218" s="46" t="s">
        <v>7938</v>
      </c>
      <c r="L2218" s="47"/>
      <c r="M2218" s="47">
        <f t="shared" si="457"/>
        <v>1430.0000000000002</v>
      </c>
      <c r="N2218" s="47" t="s">
        <v>3536</v>
      </c>
      <c r="O2218" s="47" t="s">
        <v>3537</v>
      </c>
      <c r="P2218" s="47" t="s">
        <v>3538</v>
      </c>
      <c r="Q2218" s="47"/>
      <c r="R2218" s="47">
        <f t="shared" si="458"/>
        <v>540</v>
      </c>
      <c r="S2218" s="47" t="s">
        <v>3539</v>
      </c>
      <c r="T2218" s="47"/>
      <c r="U2218" s="47"/>
      <c r="V2218" s="47" t="s">
        <v>3540</v>
      </c>
      <c r="W2218" s="47"/>
      <c r="X2218" s="47"/>
      <c r="Y2218" s="47"/>
      <c r="Z2218" s="47">
        <f t="shared" si="452"/>
        <v>4620</v>
      </c>
      <c r="AA2218" s="47"/>
      <c r="AB2218" s="47"/>
      <c r="AC2218" s="47"/>
      <c r="AD2218" s="47"/>
      <c r="AE2218" s="47"/>
      <c r="AF2218" s="47"/>
      <c r="AG2218" s="47"/>
      <c r="AH2218" s="47" t="str">
        <f>IFERROR(_xlfn.XLOOKUP(Table6[[#This Row],[Suburb]],Table5[Travel Surcharge],Table5[$$]),"")</f>
        <v/>
      </c>
      <c r="AI2218" s="47"/>
      <c r="AJ2218" s="47"/>
    </row>
    <row r="2219" spans="1:36">
      <c r="A2219" s="374" t="s">
        <v>3531</v>
      </c>
      <c r="B2219" s="374">
        <v>8</v>
      </c>
      <c r="C2219" s="374" t="s">
        <v>802</v>
      </c>
      <c r="D2219" s="375" t="str">
        <f t="shared" si="455"/>
        <v>Kaduna Park Estate8</v>
      </c>
      <c r="E2219" s="375" t="s">
        <v>3546</v>
      </c>
      <c r="F2219" s="375" t="s">
        <v>3533</v>
      </c>
      <c r="G2219" s="375" t="s">
        <v>3534</v>
      </c>
      <c r="H2219" s="375" t="s">
        <v>3535</v>
      </c>
      <c r="I2219" s="63"/>
      <c r="J2219" s="47">
        <f t="shared" si="456"/>
        <v>3740</v>
      </c>
      <c r="K2219" s="46" t="s">
        <v>7938</v>
      </c>
      <c r="L2219" s="47"/>
      <c r="M2219" s="47">
        <f t="shared" si="457"/>
        <v>1430.0000000000002</v>
      </c>
      <c r="N2219" s="47" t="s">
        <v>3536</v>
      </c>
      <c r="O2219" s="47" t="s">
        <v>3537</v>
      </c>
      <c r="P2219" s="47" t="s">
        <v>3538</v>
      </c>
      <c r="Q2219" s="47"/>
      <c r="R2219" s="47">
        <f t="shared" si="458"/>
        <v>540</v>
      </c>
      <c r="S2219" s="47" t="s">
        <v>3539</v>
      </c>
      <c r="T2219" s="47"/>
      <c r="U2219" s="47"/>
      <c r="V2219" s="47" t="s">
        <v>3540</v>
      </c>
      <c r="W2219" s="47"/>
      <c r="X2219" s="47"/>
      <c r="Y2219" s="47"/>
      <c r="Z2219" s="47">
        <f t="shared" si="452"/>
        <v>4620</v>
      </c>
      <c r="AA2219" s="47"/>
      <c r="AB2219" s="47"/>
      <c r="AC2219" s="47"/>
      <c r="AD2219" s="47"/>
      <c r="AE2219" s="47"/>
      <c r="AF2219" s="47"/>
      <c r="AG2219" s="47"/>
      <c r="AH2219" s="47" t="str">
        <f>IFERROR(_xlfn.XLOOKUP(Table6[[#This Row],[Suburb]],Table5[Travel Surcharge],Table5[$$]),"")</f>
        <v/>
      </c>
      <c r="AI2219" s="47"/>
      <c r="AJ2219" s="47"/>
    </row>
    <row r="2220" spans="1:36">
      <c r="A2220" s="374" t="s">
        <v>3531</v>
      </c>
      <c r="B2220" s="374">
        <v>11</v>
      </c>
      <c r="C2220" s="374" t="s">
        <v>802</v>
      </c>
      <c r="D2220" s="375" t="str">
        <f t="shared" si="455"/>
        <v>Kaduna Park Estate11</v>
      </c>
      <c r="E2220" s="375" t="s">
        <v>3547</v>
      </c>
      <c r="F2220" s="375" t="s">
        <v>3533</v>
      </c>
      <c r="G2220" s="375" t="s">
        <v>3534</v>
      </c>
      <c r="H2220" s="375" t="s">
        <v>3535</v>
      </c>
      <c r="I2220" s="63"/>
      <c r="J2220" s="47">
        <f t="shared" si="456"/>
        <v>3740</v>
      </c>
      <c r="K2220" s="46" t="s">
        <v>7938</v>
      </c>
      <c r="L2220" s="47"/>
      <c r="M2220" s="47">
        <f t="shared" si="457"/>
        <v>1430.0000000000002</v>
      </c>
      <c r="N2220" s="47" t="s">
        <v>3536</v>
      </c>
      <c r="O2220" s="47" t="s">
        <v>3537</v>
      </c>
      <c r="P2220" s="47" t="s">
        <v>3538</v>
      </c>
      <c r="Q2220" s="47"/>
      <c r="R2220" s="47">
        <f t="shared" si="458"/>
        <v>540</v>
      </c>
      <c r="S2220" s="47" t="s">
        <v>3539</v>
      </c>
      <c r="T2220" s="47"/>
      <c r="U2220" s="47"/>
      <c r="V2220" s="47" t="s">
        <v>3540</v>
      </c>
      <c r="W2220" s="47"/>
      <c r="X2220" s="47"/>
      <c r="Y2220" s="47"/>
      <c r="Z2220" s="47">
        <f t="shared" si="452"/>
        <v>4620</v>
      </c>
      <c r="AA2220" s="47"/>
      <c r="AB2220" s="47"/>
      <c r="AC2220" s="47"/>
      <c r="AD2220" s="47"/>
      <c r="AE2220" s="47"/>
      <c r="AF2220" s="47"/>
      <c r="AG2220" s="47"/>
      <c r="AH2220" s="47" t="str">
        <f>IFERROR(_xlfn.XLOOKUP(Table6[[#This Row],[Suburb]],Table5[Travel Surcharge],Table5[$$]),"")</f>
        <v/>
      </c>
      <c r="AI2220" s="47"/>
      <c r="AJ2220" s="47"/>
    </row>
    <row r="2221" spans="1:36">
      <c r="A2221" s="374" t="s">
        <v>3531</v>
      </c>
      <c r="B2221" s="374">
        <v>14</v>
      </c>
      <c r="C2221" s="374" t="s">
        <v>802</v>
      </c>
      <c r="D2221" s="375" t="str">
        <f t="shared" si="455"/>
        <v>Kaduna Park Estate14</v>
      </c>
      <c r="E2221" s="375" t="s">
        <v>8054</v>
      </c>
      <c r="F2221" s="375" t="s">
        <v>3533</v>
      </c>
      <c r="G2221" s="375" t="s">
        <v>3534</v>
      </c>
      <c r="H2221" s="375" t="s">
        <v>3535</v>
      </c>
      <c r="I2221" s="63"/>
      <c r="J2221" s="47">
        <f t="shared" si="456"/>
        <v>3740</v>
      </c>
      <c r="K2221" s="46" t="s">
        <v>7938</v>
      </c>
      <c r="L2221" s="47"/>
      <c r="M2221" s="47">
        <f t="shared" si="457"/>
        <v>1430.0000000000002</v>
      </c>
      <c r="N2221" s="47" t="s">
        <v>3536</v>
      </c>
      <c r="O2221" s="47" t="s">
        <v>3537</v>
      </c>
      <c r="P2221" s="47" t="s">
        <v>3538</v>
      </c>
      <c r="Q2221" s="47"/>
      <c r="R2221" s="47">
        <f t="shared" si="458"/>
        <v>540</v>
      </c>
      <c r="S2221" s="47" t="s">
        <v>3539</v>
      </c>
      <c r="T2221" s="47"/>
      <c r="U2221" s="47"/>
      <c r="V2221" s="47" t="s">
        <v>3540</v>
      </c>
      <c r="W2221" s="47"/>
      <c r="X2221" s="47"/>
      <c r="Y2221" s="47"/>
      <c r="Z2221" s="47">
        <f t="shared" si="452"/>
        <v>4620</v>
      </c>
      <c r="AA2221" s="47"/>
      <c r="AB2221" s="47"/>
      <c r="AC2221" s="47"/>
      <c r="AD2221" s="47"/>
      <c r="AE2221" s="47"/>
      <c r="AF2221" s="47"/>
      <c r="AG2221" s="47"/>
      <c r="AH2221" s="47" t="str">
        <f>IFERROR(_xlfn.XLOOKUP(Table6[[#This Row],[Suburb]],Table5[Travel Surcharge],Table5[$$]),"")</f>
        <v/>
      </c>
      <c r="AI2221" s="47"/>
      <c r="AJ2221" s="47"/>
    </row>
    <row r="2222" spans="1:36">
      <c r="A2222" s="374" t="s">
        <v>3531</v>
      </c>
      <c r="B2222" s="374">
        <v>15</v>
      </c>
      <c r="C2222" s="374" t="s">
        <v>802</v>
      </c>
      <c r="D2222" s="375" t="str">
        <f t="shared" si="455"/>
        <v>Kaduna Park Estate15</v>
      </c>
      <c r="E2222" s="375" t="s">
        <v>10286</v>
      </c>
      <c r="F2222" s="375" t="s">
        <v>3533</v>
      </c>
      <c r="G2222" s="375" t="s">
        <v>3534</v>
      </c>
      <c r="H2222" s="375" t="s">
        <v>3535</v>
      </c>
      <c r="I2222" s="63"/>
      <c r="J2222" s="47">
        <v>3740</v>
      </c>
      <c r="K2222" s="46" t="s">
        <v>7938</v>
      </c>
      <c r="L2222" s="47"/>
      <c r="M2222" s="47">
        <v>1430.0000000000002</v>
      </c>
      <c r="N2222" s="47" t="s">
        <v>3536</v>
      </c>
      <c r="O2222" s="47" t="s">
        <v>3537</v>
      </c>
      <c r="P2222" s="47" t="s">
        <v>3538</v>
      </c>
      <c r="Q2222" s="47"/>
      <c r="R2222" s="47">
        <v>540</v>
      </c>
      <c r="S2222" s="47" t="s">
        <v>3539</v>
      </c>
      <c r="T2222" s="47"/>
      <c r="U2222" s="47"/>
      <c r="V2222" s="47" t="s">
        <v>3540</v>
      </c>
      <c r="W2222" s="47"/>
      <c r="X2222" s="47"/>
      <c r="Y2222" s="47"/>
      <c r="Z2222" s="47">
        <v>4620</v>
      </c>
      <c r="AA2222" s="47"/>
      <c r="AB2222" s="47"/>
      <c r="AC2222" s="47"/>
      <c r="AD2222" s="47"/>
      <c r="AE2222" s="47"/>
      <c r="AF2222" s="47"/>
      <c r="AG2222" s="47"/>
      <c r="AH2222" s="47" t="s">
        <v>9976</v>
      </c>
      <c r="AI2222" s="47"/>
      <c r="AJ2222" s="47"/>
    </row>
    <row r="2223" spans="1:36">
      <c r="A2223" s="374" t="s">
        <v>8741</v>
      </c>
      <c r="B2223" s="374">
        <v>1</v>
      </c>
      <c r="C2223" s="374" t="s">
        <v>8742</v>
      </c>
      <c r="D2223" s="375" t="str">
        <f t="shared" si="455"/>
        <v>Kala Estate1</v>
      </c>
      <c r="E2223" s="375" t="s">
        <v>8750</v>
      </c>
      <c r="F2223" s="207" t="s">
        <v>1155</v>
      </c>
      <c r="G2223" s="375"/>
      <c r="H2223" s="207" t="s">
        <v>8751</v>
      </c>
      <c r="I2223" s="63"/>
      <c r="J2223" s="47">
        <f t="shared" si="456"/>
        <v>3740</v>
      </c>
      <c r="K2223" s="46" t="s">
        <v>7938</v>
      </c>
      <c r="L2223" s="47"/>
      <c r="M2223" s="47">
        <v>1430</v>
      </c>
      <c r="N2223" s="47">
        <v>2640</v>
      </c>
      <c r="O2223" s="47" t="s">
        <v>8749</v>
      </c>
      <c r="P2223" s="47" t="s">
        <v>8748</v>
      </c>
      <c r="Q2223" s="47" t="s">
        <v>5179</v>
      </c>
      <c r="R2223" s="47" t="s">
        <v>5180</v>
      </c>
      <c r="S2223" s="47"/>
      <c r="T2223" s="47"/>
      <c r="U2223" s="47">
        <v>540</v>
      </c>
      <c r="V2223" s="47"/>
      <c r="W2223" s="47"/>
      <c r="X2223" s="47"/>
      <c r="Y2223" s="47"/>
      <c r="Z2223" s="47"/>
      <c r="AA2223" s="47"/>
      <c r="AB2223" s="47" t="s">
        <v>8747</v>
      </c>
      <c r="AC2223" s="47" t="s">
        <v>8746</v>
      </c>
      <c r="AD2223" s="47" t="s">
        <v>8745</v>
      </c>
      <c r="AE2223" s="47" t="s">
        <v>8744</v>
      </c>
      <c r="AF2223" s="47">
        <v>1650</v>
      </c>
      <c r="AG2223" s="47"/>
      <c r="AH2223" s="47" t="str">
        <f>IFERROR(_xlfn.XLOOKUP(Table6[[#This Row],[Suburb]],Table5[Travel Surcharge],Table5[$$]),"")</f>
        <v/>
      </c>
      <c r="AI2223" s="47" t="s">
        <v>8743</v>
      </c>
      <c r="AJ2223" s="47"/>
    </row>
    <row r="2224" spans="1:36">
      <c r="A2224" s="374" t="s">
        <v>8741</v>
      </c>
      <c r="B2224" s="374">
        <v>2</v>
      </c>
      <c r="C2224" s="374" t="s">
        <v>8742</v>
      </c>
      <c r="D2224" s="375" t="str">
        <f t="shared" si="455"/>
        <v>Kala Estate2</v>
      </c>
      <c r="E2224" s="375" t="s">
        <v>10180</v>
      </c>
      <c r="F2224" s="381" t="s">
        <v>1155</v>
      </c>
      <c r="G2224" s="375"/>
      <c r="H2224" s="381" t="s">
        <v>8751</v>
      </c>
      <c r="I2224" s="63"/>
      <c r="J2224" s="47">
        <v>3740</v>
      </c>
      <c r="K2224" s="46" t="s">
        <v>7938</v>
      </c>
      <c r="L2224" s="47"/>
      <c r="M2224" s="47">
        <v>1430</v>
      </c>
      <c r="N2224" s="47">
        <v>2640</v>
      </c>
      <c r="O2224" s="47" t="s">
        <v>8749</v>
      </c>
      <c r="P2224" s="47" t="s">
        <v>8748</v>
      </c>
      <c r="Q2224" s="47" t="s">
        <v>5179</v>
      </c>
      <c r="R2224" s="47" t="s">
        <v>5180</v>
      </c>
      <c r="S2224" s="47"/>
      <c r="T2224" s="47"/>
      <c r="U2224" s="47">
        <v>540</v>
      </c>
      <c r="V2224" s="47"/>
      <c r="W2224" s="47"/>
      <c r="X2224" s="47"/>
      <c r="Y2224" s="47"/>
      <c r="Z2224" s="47"/>
      <c r="AA2224" s="47"/>
      <c r="AB2224" s="47" t="s">
        <v>8747</v>
      </c>
      <c r="AC2224" s="47" t="s">
        <v>8746</v>
      </c>
      <c r="AD2224" s="47" t="s">
        <v>8745</v>
      </c>
      <c r="AE2224" s="47" t="s">
        <v>8744</v>
      </c>
      <c r="AF2224" s="47">
        <v>1650</v>
      </c>
      <c r="AG2224" s="47"/>
      <c r="AH2224" s="47" t="s">
        <v>9976</v>
      </c>
      <c r="AI2224" s="47" t="s">
        <v>8743</v>
      </c>
      <c r="AJ2224" s="47"/>
    </row>
    <row r="2225" spans="1:36">
      <c r="A2225" s="374" t="s">
        <v>3548</v>
      </c>
      <c r="B2225" s="374">
        <v>2</v>
      </c>
      <c r="C2225" s="374" t="s">
        <v>1972</v>
      </c>
      <c r="D2225" s="375" t="str">
        <f t="shared" si="455"/>
        <v>Kallo Estate2</v>
      </c>
      <c r="E2225" s="375" t="s">
        <v>3549</v>
      </c>
      <c r="F2225" s="375" t="s">
        <v>3550</v>
      </c>
      <c r="G2225" s="375" t="s">
        <v>3551</v>
      </c>
      <c r="H2225" s="375" t="s">
        <v>3552</v>
      </c>
      <c r="I2225" s="63" t="s">
        <v>3553</v>
      </c>
      <c r="J2225" s="47">
        <f t="shared" si="456"/>
        <v>3740</v>
      </c>
      <c r="K2225" s="46" t="s">
        <v>10735</v>
      </c>
      <c r="L2225" s="47"/>
      <c r="M2225" s="47">
        <f t="shared" ref="M2225:M2239" si="459">M$7</f>
        <v>1430.0000000000002</v>
      </c>
      <c r="N2225" s="47"/>
      <c r="O2225" s="47"/>
      <c r="P2225" s="47"/>
      <c r="Q2225" s="47"/>
      <c r="R2225" s="47">
        <f t="shared" ref="R2225:R2239" si="460">R$2</f>
        <v>540</v>
      </c>
      <c r="S2225" s="47"/>
      <c r="T2225" s="47"/>
      <c r="U2225" s="47"/>
      <c r="V2225" s="47"/>
      <c r="W2225" s="47"/>
      <c r="X2225" s="47"/>
      <c r="Y2225" s="47"/>
      <c r="Z2225" s="47">
        <f t="shared" ref="Z2225:Z2239" si="461">Z$7</f>
        <v>4620</v>
      </c>
      <c r="AA2225" s="47"/>
      <c r="AB2225" s="47"/>
      <c r="AC2225" s="47"/>
      <c r="AD2225" s="47"/>
      <c r="AE2225" s="47"/>
      <c r="AF2225" s="47"/>
      <c r="AG2225" s="47" t="s">
        <v>1977</v>
      </c>
      <c r="AH2225" s="47" t="str">
        <f>IFERROR(_xlfn.XLOOKUP(Table6[[#This Row],[Suburb]],Table5[Travel Surcharge],Table5[$$]),"")</f>
        <v/>
      </c>
      <c r="AI2225" s="47"/>
      <c r="AJ2225" s="47"/>
    </row>
    <row r="2226" spans="1:36">
      <c r="A2226" s="374" t="s">
        <v>3548</v>
      </c>
      <c r="B2226" s="374">
        <v>3</v>
      </c>
      <c r="C2226" s="374" t="s">
        <v>1972</v>
      </c>
      <c r="D2226" s="375" t="str">
        <f t="shared" si="455"/>
        <v>Kallo Estate3</v>
      </c>
      <c r="E2226" s="375" t="s">
        <v>3554</v>
      </c>
      <c r="F2226" s="375" t="s">
        <v>3550</v>
      </c>
      <c r="G2226" s="375" t="s">
        <v>3551</v>
      </c>
      <c r="H2226" s="375" t="s">
        <v>3552</v>
      </c>
      <c r="I2226" s="63" t="s">
        <v>3553</v>
      </c>
      <c r="J2226" s="47">
        <f t="shared" si="456"/>
        <v>3740</v>
      </c>
      <c r="K2226" s="46" t="s">
        <v>10735</v>
      </c>
      <c r="L2226" s="47"/>
      <c r="M2226" s="47">
        <f t="shared" si="459"/>
        <v>1430.0000000000002</v>
      </c>
      <c r="N2226" s="47"/>
      <c r="O2226" s="47"/>
      <c r="P2226" s="47"/>
      <c r="Q2226" s="47"/>
      <c r="R2226" s="47">
        <f t="shared" si="460"/>
        <v>540</v>
      </c>
      <c r="S2226" s="47"/>
      <c r="T2226" s="47"/>
      <c r="U2226" s="47"/>
      <c r="V2226" s="47"/>
      <c r="W2226" s="47"/>
      <c r="X2226" s="47"/>
      <c r="Y2226" s="47"/>
      <c r="Z2226" s="47">
        <f t="shared" si="461"/>
        <v>4620</v>
      </c>
      <c r="AA2226" s="47"/>
      <c r="AB2226" s="47"/>
      <c r="AC2226" s="47"/>
      <c r="AD2226" s="47"/>
      <c r="AE2226" s="47"/>
      <c r="AF2226" s="47"/>
      <c r="AG2226" s="47" t="s">
        <v>1977</v>
      </c>
      <c r="AH2226" s="47" t="str">
        <f>IFERROR(_xlfn.XLOOKUP(Table6[[#This Row],[Suburb]],Table5[Travel Surcharge],Table5[$$]),"")</f>
        <v/>
      </c>
      <c r="AI2226" s="47"/>
      <c r="AJ2226" s="47"/>
    </row>
    <row r="2227" spans="1:36">
      <c r="A2227" s="374" t="s">
        <v>3548</v>
      </c>
      <c r="B2227" s="374">
        <v>5</v>
      </c>
      <c r="C2227" s="374" t="s">
        <v>1972</v>
      </c>
      <c r="D2227" s="375" t="str">
        <f t="shared" si="455"/>
        <v>Kallo Estate5</v>
      </c>
      <c r="E2227" s="375" t="s">
        <v>3555</v>
      </c>
      <c r="F2227" s="375" t="s">
        <v>3550</v>
      </c>
      <c r="G2227" s="375" t="s">
        <v>3551</v>
      </c>
      <c r="H2227" s="375" t="s">
        <v>3552</v>
      </c>
      <c r="I2227" s="63" t="s">
        <v>3553</v>
      </c>
      <c r="J2227" s="47">
        <f t="shared" si="456"/>
        <v>3740</v>
      </c>
      <c r="K2227" s="46" t="s">
        <v>10735</v>
      </c>
      <c r="L2227" s="47"/>
      <c r="M2227" s="47">
        <f t="shared" si="459"/>
        <v>1430.0000000000002</v>
      </c>
      <c r="N2227" s="47"/>
      <c r="O2227" s="47"/>
      <c r="P2227" s="47"/>
      <c r="Q2227" s="47"/>
      <c r="R2227" s="47">
        <f t="shared" si="460"/>
        <v>540</v>
      </c>
      <c r="S2227" s="47"/>
      <c r="T2227" s="47"/>
      <c r="U2227" s="47"/>
      <c r="V2227" s="47"/>
      <c r="W2227" s="47"/>
      <c r="X2227" s="47"/>
      <c r="Y2227" s="47"/>
      <c r="Z2227" s="47">
        <f t="shared" si="461"/>
        <v>4620</v>
      </c>
      <c r="AA2227" s="47"/>
      <c r="AB2227" s="47"/>
      <c r="AC2227" s="47"/>
      <c r="AD2227" s="47"/>
      <c r="AE2227" s="47"/>
      <c r="AF2227" s="47"/>
      <c r="AG2227" s="47" t="s">
        <v>1977</v>
      </c>
      <c r="AH2227" s="47" t="str">
        <f>IFERROR(_xlfn.XLOOKUP(Table6[[#This Row],[Suburb]],Table5[Travel Surcharge],Table5[$$]),"")</f>
        <v/>
      </c>
      <c r="AI2227" s="47"/>
      <c r="AJ2227" s="47"/>
    </row>
    <row r="2228" spans="1:36">
      <c r="A2228" s="374" t="s">
        <v>3548</v>
      </c>
      <c r="B2228" s="374">
        <v>6</v>
      </c>
      <c r="C2228" s="374" t="s">
        <v>1972</v>
      </c>
      <c r="D2228" s="375" t="str">
        <f t="shared" si="455"/>
        <v>Kallo Estate6</v>
      </c>
      <c r="E2228" s="375" t="s">
        <v>3556</v>
      </c>
      <c r="F2228" s="375" t="s">
        <v>3550</v>
      </c>
      <c r="G2228" s="375" t="s">
        <v>3551</v>
      </c>
      <c r="H2228" s="375" t="s">
        <v>3552</v>
      </c>
      <c r="I2228" s="63" t="s">
        <v>3553</v>
      </c>
      <c r="J2228" s="47">
        <f t="shared" si="456"/>
        <v>3740</v>
      </c>
      <c r="K2228" s="46" t="s">
        <v>10735</v>
      </c>
      <c r="L2228" s="47"/>
      <c r="M2228" s="47">
        <f t="shared" si="459"/>
        <v>1430.0000000000002</v>
      </c>
      <c r="N2228" s="47"/>
      <c r="O2228" s="47"/>
      <c r="P2228" s="47"/>
      <c r="Q2228" s="47"/>
      <c r="R2228" s="47">
        <f t="shared" si="460"/>
        <v>540</v>
      </c>
      <c r="S2228" s="47"/>
      <c r="T2228" s="47"/>
      <c r="U2228" s="47"/>
      <c r="V2228" s="47"/>
      <c r="W2228" s="47"/>
      <c r="X2228" s="47"/>
      <c r="Y2228" s="47"/>
      <c r="Z2228" s="47">
        <f t="shared" si="461"/>
        <v>4620</v>
      </c>
      <c r="AA2228" s="47"/>
      <c r="AB2228" s="47"/>
      <c r="AC2228" s="47"/>
      <c r="AD2228" s="47"/>
      <c r="AE2228" s="47"/>
      <c r="AF2228" s="47"/>
      <c r="AG2228" s="47" t="s">
        <v>1977</v>
      </c>
      <c r="AH2228" s="47" t="str">
        <f>IFERROR(_xlfn.XLOOKUP(Table6[[#This Row],[Suburb]],Table5[Travel Surcharge],Table5[$$]),"")</f>
        <v/>
      </c>
      <c r="AI2228" s="47"/>
      <c r="AJ2228" s="47"/>
    </row>
    <row r="2229" spans="1:36">
      <c r="A2229" s="374" t="s">
        <v>3548</v>
      </c>
      <c r="B2229" s="374">
        <v>8</v>
      </c>
      <c r="C2229" s="374" t="s">
        <v>1972</v>
      </c>
      <c r="D2229" s="375" t="str">
        <f t="shared" si="455"/>
        <v>Kallo Estate8</v>
      </c>
      <c r="E2229" s="375" t="s">
        <v>3557</v>
      </c>
      <c r="F2229" s="375" t="s">
        <v>3550</v>
      </c>
      <c r="G2229" s="375" t="s">
        <v>3551</v>
      </c>
      <c r="H2229" s="375" t="s">
        <v>3552</v>
      </c>
      <c r="I2229" s="63" t="s">
        <v>3553</v>
      </c>
      <c r="J2229" s="47">
        <f t="shared" si="456"/>
        <v>3740</v>
      </c>
      <c r="K2229" s="46" t="s">
        <v>10735</v>
      </c>
      <c r="L2229" s="47"/>
      <c r="M2229" s="47">
        <f t="shared" si="459"/>
        <v>1430.0000000000002</v>
      </c>
      <c r="N2229" s="47"/>
      <c r="O2229" s="47"/>
      <c r="P2229" s="47"/>
      <c r="Q2229" s="47"/>
      <c r="R2229" s="47">
        <f t="shared" si="460"/>
        <v>540</v>
      </c>
      <c r="S2229" s="47"/>
      <c r="T2229" s="47"/>
      <c r="U2229" s="47"/>
      <c r="V2229" s="47"/>
      <c r="W2229" s="47"/>
      <c r="X2229" s="47"/>
      <c r="Y2229" s="47"/>
      <c r="Z2229" s="47">
        <f t="shared" si="461"/>
        <v>4620</v>
      </c>
      <c r="AA2229" s="47"/>
      <c r="AB2229" s="47"/>
      <c r="AC2229" s="47"/>
      <c r="AD2229" s="47"/>
      <c r="AE2229" s="47"/>
      <c r="AF2229" s="47"/>
      <c r="AG2229" s="47" t="s">
        <v>1977</v>
      </c>
      <c r="AH2229" s="47" t="str">
        <f>IFERROR(_xlfn.XLOOKUP(Table6[[#This Row],[Suburb]],Table5[Travel Surcharge],Table5[$$]),"")</f>
        <v/>
      </c>
      <c r="AI2229" s="47"/>
      <c r="AJ2229" s="47"/>
    </row>
    <row r="2230" spans="1:36">
      <c r="A2230" s="374" t="s">
        <v>3548</v>
      </c>
      <c r="B2230" s="374">
        <v>9</v>
      </c>
      <c r="C2230" s="374" t="s">
        <v>1972</v>
      </c>
      <c r="D2230" s="375" t="str">
        <f t="shared" si="455"/>
        <v>Kallo Estate9</v>
      </c>
      <c r="E2230" s="375" t="s">
        <v>3558</v>
      </c>
      <c r="F2230" s="375" t="s">
        <v>3550</v>
      </c>
      <c r="G2230" s="375" t="s">
        <v>3551</v>
      </c>
      <c r="H2230" s="375" t="s">
        <v>3552</v>
      </c>
      <c r="I2230" s="63" t="s">
        <v>3553</v>
      </c>
      <c r="J2230" s="47">
        <f t="shared" si="456"/>
        <v>3740</v>
      </c>
      <c r="K2230" s="46" t="s">
        <v>10735</v>
      </c>
      <c r="L2230" s="47"/>
      <c r="M2230" s="47">
        <f t="shared" si="459"/>
        <v>1430.0000000000002</v>
      </c>
      <c r="N2230" s="47"/>
      <c r="O2230" s="47"/>
      <c r="P2230" s="47"/>
      <c r="Q2230" s="47"/>
      <c r="R2230" s="47">
        <f t="shared" si="460"/>
        <v>540</v>
      </c>
      <c r="S2230" s="47"/>
      <c r="T2230" s="47"/>
      <c r="U2230" s="47"/>
      <c r="V2230" s="47"/>
      <c r="W2230" s="47"/>
      <c r="X2230" s="47"/>
      <c r="Y2230" s="47"/>
      <c r="Z2230" s="47">
        <f t="shared" si="461"/>
        <v>4620</v>
      </c>
      <c r="AA2230" s="47"/>
      <c r="AB2230" s="47"/>
      <c r="AC2230" s="47"/>
      <c r="AD2230" s="47"/>
      <c r="AE2230" s="47"/>
      <c r="AF2230" s="47"/>
      <c r="AG2230" s="47" t="s">
        <v>1977</v>
      </c>
      <c r="AH2230" s="47" t="str">
        <f>IFERROR(_xlfn.XLOOKUP(Table6[[#This Row],[Suburb]],Table5[Travel Surcharge],Table5[$$]),"")</f>
        <v/>
      </c>
      <c r="AI2230" s="47"/>
      <c r="AJ2230" s="47"/>
    </row>
    <row r="2231" spans="1:36">
      <c r="A2231" s="374" t="s">
        <v>3548</v>
      </c>
      <c r="B2231" s="374">
        <v>11</v>
      </c>
      <c r="C2231" s="374" t="s">
        <v>1972</v>
      </c>
      <c r="D2231" s="375" t="str">
        <f t="shared" si="455"/>
        <v>Kallo Estate11</v>
      </c>
      <c r="E2231" s="375" t="s">
        <v>3559</v>
      </c>
      <c r="F2231" s="375" t="s">
        <v>3550</v>
      </c>
      <c r="G2231" s="375" t="s">
        <v>3551</v>
      </c>
      <c r="H2231" s="375" t="s">
        <v>3552</v>
      </c>
      <c r="I2231" s="63" t="s">
        <v>3553</v>
      </c>
      <c r="J2231" s="47">
        <f t="shared" si="456"/>
        <v>3740</v>
      </c>
      <c r="K2231" s="46" t="s">
        <v>10735</v>
      </c>
      <c r="L2231" s="47"/>
      <c r="M2231" s="47">
        <f t="shared" si="459"/>
        <v>1430.0000000000002</v>
      </c>
      <c r="N2231" s="47"/>
      <c r="O2231" s="47"/>
      <c r="P2231" s="47"/>
      <c r="Q2231" s="47"/>
      <c r="R2231" s="47">
        <f t="shared" si="460"/>
        <v>540</v>
      </c>
      <c r="S2231" s="47"/>
      <c r="T2231" s="47"/>
      <c r="U2231" s="47"/>
      <c r="V2231" s="47"/>
      <c r="W2231" s="47"/>
      <c r="X2231" s="47"/>
      <c r="Y2231" s="47"/>
      <c r="Z2231" s="47">
        <f t="shared" si="461"/>
        <v>4620</v>
      </c>
      <c r="AA2231" s="47"/>
      <c r="AB2231" s="47"/>
      <c r="AC2231" s="47"/>
      <c r="AD2231" s="47"/>
      <c r="AE2231" s="47"/>
      <c r="AF2231" s="47"/>
      <c r="AG2231" s="47" t="s">
        <v>1977</v>
      </c>
      <c r="AH2231" s="47" t="str">
        <f>IFERROR(_xlfn.XLOOKUP(Table6[[#This Row],[Suburb]],Table5[Travel Surcharge],Table5[$$]),"")</f>
        <v/>
      </c>
      <c r="AI2231" s="47"/>
      <c r="AJ2231" s="47"/>
    </row>
    <row r="2232" spans="1:36">
      <c r="A2232" s="374" t="s">
        <v>3548</v>
      </c>
      <c r="B2232" s="374">
        <v>12</v>
      </c>
      <c r="C2232" s="374" t="s">
        <v>1972</v>
      </c>
      <c r="D2232" s="375" t="str">
        <f t="shared" si="455"/>
        <v>Kallo Estate12</v>
      </c>
      <c r="E2232" s="375" t="s">
        <v>3560</v>
      </c>
      <c r="F2232" s="375" t="s">
        <v>3550</v>
      </c>
      <c r="G2232" s="375" t="s">
        <v>3551</v>
      </c>
      <c r="H2232" s="375" t="s">
        <v>3552</v>
      </c>
      <c r="I2232" s="63" t="s">
        <v>3553</v>
      </c>
      <c r="J2232" s="47">
        <f t="shared" si="456"/>
        <v>3740</v>
      </c>
      <c r="K2232" s="46" t="s">
        <v>10735</v>
      </c>
      <c r="L2232" s="47"/>
      <c r="M2232" s="47">
        <f t="shared" si="459"/>
        <v>1430.0000000000002</v>
      </c>
      <c r="N2232" s="47"/>
      <c r="O2232" s="47"/>
      <c r="P2232" s="47"/>
      <c r="Q2232" s="47"/>
      <c r="R2232" s="47">
        <f t="shared" si="460"/>
        <v>540</v>
      </c>
      <c r="S2232" s="47"/>
      <c r="T2232" s="47"/>
      <c r="U2232" s="47"/>
      <c r="V2232" s="47"/>
      <c r="W2232" s="47"/>
      <c r="X2232" s="47"/>
      <c r="Y2232" s="47"/>
      <c r="Z2232" s="47">
        <f t="shared" si="461"/>
        <v>4620</v>
      </c>
      <c r="AA2232" s="47"/>
      <c r="AB2232" s="47"/>
      <c r="AC2232" s="47"/>
      <c r="AD2232" s="47"/>
      <c r="AE2232" s="47"/>
      <c r="AF2232" s="47"/>
      <c r="AG2232" s="47" t="s">
        <v>1977</v>
      </c>
      <c r="AH2232" s="47" t="str">
        <f>IFERROR(_xlfn.XLOOKUP(Table6[[#This Row],[Suburb]],Table5[Travel Surcharge],Table5[$$]),"")</f>
        <v/>
      </c>
      <c r="AI2232" s="47"/>
      <c r="AJ2232" s="47"/>
    </row>
    <row r="2233" spans="1:36">
      <c r="A2233" s="374" t="s">
        <v>3548</v>
      </c>
      <c r="B2233" s="374">
        <v>13</v>
      </c>
      <c r="C2233" s="374" t="s">
        <v>1972</v>
      </c>
      <c r="D2233" s="375" t="str">
        <f t="shared" si="455"/>
        <v>Kallo Estate13</v>
      </c>
      <c r="E2233" s="375" t="s">
        <v>3561</v>
      </c>
      <c r="F2233" s="375" t="s">
        <v>3550</v>
      </c>
      <c r="G2233" s="375" t="s">
        <v>3551</v>
      </c>
      <c r="H2233" s="375" t="s">
        <v>3552</v>
      </c>
      <c r="I2233" s="63" t="s">
        <v>3553</v>
      </c>
      <c r="J2233" s="47">
        <f t="shared" si="456"/>
        <v>3740</v>
      </c>
      <c r="K2233" s="46" t="s">
        <v>10735</v>
      </c>
      <c r="L2233" s="47"/>
      <c r="M2233" s="47">
        <f t="shared" si="459"/>
        <v>1430.0000000000002</v>
      </c>
      <c r="N2233" s="47"/>
      <c r="O2233" s="47"/>
      <c r="P2233" s="47"/>
      <c r="Q2233" s="47"/>
      <c r="R2233" s="47">
        <f t="shared" si="460"/>
        <v>540</v>
      </c>
      <c r="S2233" s="47"/>
      <c r="T2233" s="47"/>
      <c r="U2233" s="47"/>
      <c r="V2233" s="47"/>
      <c r="W2233" s="47"/>
      <c r="X2233" s="47"/>
      <c r="Y2233" s="47"/>
      <c r="Z2233" s="47">
        <f t="shared" si="461"/>
        <v>4620</v>
      </c>
      <c r="AA2233" s="47"/>
      <c r="AB2233" s="47"/>
      <c r="AC2233" s="47"/>
      <c r="AD2233" s="47"/>
      <c r="AE2233" s="47"/>
      <c r="AF2233" s="47"/>
      <c r="AG2233" s="47" t="s">
        <v>1977</v>
      </c>
      <c r="AH2233" s="47" t="str">
        <f>IFERROR(_xlfn.XLOOKUP(Table6[[#This Row],[Suburb]],Table5[Travel Surcharge],Table5[$$]),"")</f>
        <v/>
      </c>
      <c r="AI2233" s="47"/>
      <c r="AJ2233" s="47"/>
    </row>
    <row r="2234" spans="1:36">
      <c r="A2234" s="374" t="s">
        <v>3548</v>
      </c>
      <c r="B2234" s="374">
        <v>14</v>
      </c>
      <c r="C2234" s="374" t="s">
        <v>1972</v>
      </c>
      <c r="D2234" s="375" t="str">
        <f t="shared" si="455"/>
        <v>Kallo Estate14</v>
      </c>
      <c r="E2234" s="375" t="s">
        <v>3562</v>
      </c>
      <c r="F2234" s="375" t="s">
        <v>3550</v>
      </c>
      <c r="G2234" s="375" t="s">
        <v>3551</v>
      </c>
      <c r="H2234" s="375" t="s">
        <v>3552</v>
      </c>
      <c r="I2234" s="63" t="s">
        <v>3553</v>
      </c>
      <c r="J2234" s="47">
        <f t="shared" si="456"/>
        <v>3740</v>
      </c>
      <c r="K2234" s="46" t="s">
        <v>10735</v>
      </c>
      <c r="L2234" s="47"/>
      <c r="M2234" s="47">
        <f t="shared" si="459"/>
        <v>1430.0000000000002</v>
      </c>
      <c r="N2234" s="47"/>
      <c r="O2234" s="47"/>
      <c r="P2234" s="47"/>
      <c r="Q2234" s="47"/>
      <c r="R2234" s="47">
        <f t="shared" si="460"/>
        <v>540</v>
      </c>
      <c r="S2234" s="47"/>
      <c r="T2234" s="47"/>
      <c r="U2234" s="47"/>
      <c r="V2234" s="47"/>
      <c r="W2234" s="47"/>
      <c r="X2234" s="47"/>
      <c r="Y2234" s="47"/>
      <c r="Z2234" s="47">
        <f t="shared" si="461"/>
        <v>4620</v>
      </c>
      <c r="AA2234" s="47"/>
      <c r="AB2234" s="47"/>
      <c r="AC2234" s="47"/>
      <c r="AD2234" s="47"/>
      <c r="AE2234" s="47"/>
      <c r="AF2234" s="47"/>
      <c r="AG2234" s="47" t="s">
        <v>1977</v>
      </c>
      <c r="AH2234" s="47" t="str">
        <f>IFERROR(_xlfn.XLOOKUP(Table6[[#This Row],[Suburb]],Table5[Travel Surcharge],Table5[$$]),"")</f>
        <v/>
      </c>
      <c r="AI2234" s="47"/>
      <c r="AJ2234" s="47"/>
    </row>
    <row r="2235" spans="1:36">
      <c r="A2235" s="374" t="s">
        <v>3548</v>
      </c>
      <c r="B2235" s="374">
        <v>15</v>
      </c>
      <c r="C2235" s="374" t="s">
        <v>1972</v>
      </c>
      <c r="D2235" s="375" t="str">
        <f t="shared" si="455"/>
        <v>Kallo Estate15</v>
      </c>
      <c r="E2235" s="375" t="s">
        <v>3563</v>
      </c>
      <c r="F2235" s="375" t="s">
        <v>3550</v>
      </c>
      <c r="G2235" s="375" t="s">
        <v>3551</v>
      </c>
      <c r="H2235" s="375" t="s">
        <v>3552</v>
      </c>
      <c r="I2235" s="63" t="s">
        <v>3553</v>
      </c>
      <c r="J2235" s="47">
        <f t="shared" si="456"/>
        <v>3740</v>
      </c>
      <c r="K2235" s="46" t="s">
        <v>10735</v>
      </c>
      <c r="L2235" s="47"/>
      <c r="M2235" s="47">
        <f t="shared" si="459"/>
        <v>1430.0000000000002</v>
      </c>
      <c r="N2235" s="47"/>
      <c r="O2235" s="47"/>
      <c r="P2235" s="47"/>
      <c r="Q2235" s="47"/>
      <c r="R2235" s="47">
        <f t="shared" si="460"/>
        <v>540</v>
      </c>
      <c r="S2235" s="47"/>
      <c r="T2235" s="47"/>
      <c r="U2235" s="47"/>
      <c r="V2235" s="47"/>
      <c r="W2235" s="47"/>
      <c r="X2235" s="47"/>
      <c r="Y2235" s="47"/>
      <c r="Z2235" s="47">
        <f t="shared" si="461"/>
        <v>4620</v>
      </c>
      <c r="AA2235" s="47"/>
      <c r="AB2235" s="47"/>
      <c r="AC2235" s="47"/>
      <c r="AD2235" s="47"/>
      <c r="AE2235" s="47"/>
      <c r="AF2235" s="47"/>
      <c r="AG2235" s="47" t="s">
        <v>1977</v>
      </c>
      <c r="AH2235" s="47" t="str">
        <f>IFERROR(_xlfn.XLOOKUP(Table6[[#This Row],[Suburb]],Table5[Travel Surcharge],Table5[$$]),"")</f>
        <v/>
      </c>
      <c r="AI2235" s="47"/>
      <c r="AJ2235" s="47"/>
    </row>
    <row r="2236" spans="1:36">
      <c r="A2236" s="374" t="s">
        <v>3548</v>
      </c>
      <c r="B2236" s="374">
        <v>16</v>
      </c>
      <c r="C2236" s="374" t="s">
        <v>1972</v>
      </c>
      <c r="D2236" s="375" t="str">
        <f t="shared" si="455"/>
        <v>Kallo Estate16</v>
      </c>
      <c r="E2236" s="375" t="s">
        <v>3564</v>
      </c>
      <c r="F2236" s="375" t="s">
        <v>3550</v>
      </c>
      <c r="G2236" s="375" t="s">
        <v>3551</v>
      </c>
      <c r="H2236" s="375" t="s">
        <v>3552</v>
      </c>
      <c r="I2236" s="63" t="s">
        <v>3553</v>
      </c>
      <c r="J2236" s="47">
        <f t="shared" si="456"/>
        <v>3740</v>
      </c>
      <c r="K2236" s="46" t="s">
        <v>10735</v>
      </c>
      <c r="L2236" s="47"/>
      <c r="M2236" s="47">
        <f t="shared" si="459"/>
        <v>1430.0000000000002</v>
      </c>
      <c r="N2236" s="47"/>
      <c r="O2236" s="47"/>
      <c r="P2236" s="47"/>
      <c r="Q2236" s="47"/>
      <c r="R2236" s="47">
        <f t="shared" si="460"/>
        <v>540</v>
      </c>
      <c r="S2236" s="47"/>
      <c r="T2236" s="47"/>
      <c r="U2236" s="47"/>
      <c r="V2236" s="47"/>
      <c r="W2236" s="47"/>
      <c r="X2236" s="47"/>
      <c r="Y2236" s="47"/>
      <c r="Z2236" s="47">
        <f t="shared" si="461"/>
        <v>4620</v>
      </c>
      <c r="AA2236" s="47"/>
      <c r="AB2236" s="47"/>
      <c r="AC2236" s="47"/>
      <c r="AD2236" s="47"/>
      <c r="AE2236" s="47"/>
      <c r="AF2236" s="47"/>
      <c r="AG2236" s="47" t="s">
        <v>1977</v>
      </c>
      <c r="AH2236" s="47" t="str">
        <f>IFERROR(_xlfn.XLOOKUP(Table6[[#This Row],[Suburb]],Table5[Travel Surcharge],Table5[$$]),"")</f>
        <v/>
      </c>
      <c r="AI2236" s="47"/>
      <c r="AJ2236" s="47"/>
    </row>
    <row r="2237" spans="1:36">
      <c r="A2237" s="374" t="s">
        <v>3548</v>
      </c>
      <c r="B2237" s="374">
        <v>17</v>
      </c>
      <c r="C2237" s="374" t="s">
        <v>1972</v>
      </c>
      <c r="D2237" s="375" t="str">
        <f t="shared" si="455"/>
        <v>Kallo Estate17</v>
      </c>
      <c r="E2237" s="375" t="s">
        <v>3565</v>
      </c>
      <c r="F2237" s="375" t="s">
        <v>3550</v>
      </c>
      <c r="G2237" s="375" t="s">
        <v>3551</v>
      </c>
      <c r="H2237" s="375" t="s">
        <v>3552</v>
      </c>
      <c r="I2237" s="63" t="s">
        <v>3553</v>
      </c>
      <c r="J2237" s="47">
        <f t="shared" si="456"/>
        <v>3740</v>
      </c>
      <c r="K2237" s="46" t="s">
        <v>10735</v>
      </c>
      <c r="L2237" s="47"/>
      <c r="M2237" s="47">
        <f t="shared" si="459"/>
        <v>1430.0000000000002</v>
      </c>
      <c r="N2237" s="47"/>
      <c r="O2237" s="47"/>
      <c r="P2237" s="47"/>
      <c r="Q2237" s="47"/>
      <c r="R2237" s="47">
        <f t="shared" si="460"/>
        <v>540</v>
      </c>
      <c r="S2237" s="47"/>
      <c r="T2237" s="47"/>
      <c r="U2237" s="47"/>
      <c r="V2237" s="47"/>
      <c r="W2237" s="47"/>
      <c r="X2237" s="47"/>
      <c r="Y2237" s="47"/>
      <c r="Z2237" s="47">
        <f t="shared" si="461"/>
        <v>4620</v>
      </c>
      <c r="AA2237" s="47"/>
      <c r="AB2237" s="47"/>
      <c r="AC2237" s="47"/>
      <c r="AD2237" s="47"/>
      <c r="AE2237" s="47"/>
      <c r="AF2237" s="47"/>
      <c r="AG2237" s="47" t="s">
        <v>1977</v>
      </c>
      <c r="AH2237" s="47" t="str">
        <f>IFERROR(_xlfn.XLOOKUP(Table6[[#This Row],[Suburb]],Table5[Travel Surcharge],Table5[$$]),"")</f>
        <v/>
      </c>
      <c r="AI2237" s="47"/>
      <c r="AJ2237" s="47"/>
    </row>
    <row r="2238" spans="1:36">
      <c r="A2238" s="374" t="s">
        <v>3548</v>
      </c>
      <c r="B2238" s="374">
        <v>18</v>
      </c>
      <c r="C2238" s="374" t="s">
        <v>1972</v>
      </c>
      <c r="D2238" s="375" t="str">
        <f t="shared" si="455"/>
        <v>Kallo Estate18</v>
      </c>
      <c r="E2238" s="375" t="s">
        <v>3566</v>
      </c>
      <c r="F2238" s="375" t="s">
        <v>3550</v>
      </c>
      <c r="G2238" s="375" t="s">
        <v>3551</v>
      </c>
      <c r="H2238" s="375" t="s">
        <v>3552</v>
      </c>
      <c r="I2238" s="63" t="s">
        <v>3553</v>
      </c>
      <c r="J2238" s="47">
        <f t="shared" si="456"/>
        <v>3740</v>
      </c>
      <c r="K2238" s="46" t="s">
        <v>10735</v>
      </c>
      <c r="L2238" s="47"/>
      <c r="M2238" s="47">
        <f t="shared" si="459"/>
        <v>1430.0000000000002</v>
      </c>
      <c r="N2238" s="47"/>
      <c r="O2238" s="47"/>
      <c r="P2238" s="47"/>
      <c r="Q2238" s="47"/>
      <c r="R2238" s="47">
        <f t="shared" si="460"/>
        <v>540</v>
      </c>
      <c r="S2238" s="47"/>
      <c r="T2238" s="47"/>
      <c r="U2238" s="47"/>
      <c r="V2238" s="47"/>
      <c r="W2238" s="47"/>
      <c r="X2238" s="47"/>
      <c r="Y2238" s="47"/>
      <c r="Z2238" s="47">
        <f t="shared" si="461"/>
        <v>4620</v>
      </c>
      <c r="AA2238" s="47"/>
      <c r="AB2238" s="47"/>
      <c r="AC2238" s="47"/>
      <c r="AD2238" s="47"/>
      <c r="AE2238" s="47"/>
      <c r="AF2238" s="47"/>
      <c r="AG2238" s="47" t="s">
        <v>1977</v>
      </c>
      <c r="AH2238" s="47" t="str">
        <f>IFERROR(_xlfn.XLOOKUP(Table6[[#This Row],[Suburb]],Table5[Travel Surcharge],Table5[$$]),"")</f>
        <v/>
      </c>
      <c r="AI2238" s="47"/>
      <c r="AJ2238" s="47"/>
    </row>
    <row r="2239" spans="1:36">
      <c r="A2239" s="374" t="s">
        <v>3548</v>
      </c>
      <c r="B2239" s="276" t="s">
        <v>3567</v>
      </c>
      <c r="C2239" s="374" t="s">
        <v>1972</v>
      </c>
      <c r="D2239" s="375" t="str">
        <f t="shared" si="455"/>
        <v>Kallo Estate18B</v>
      </c>
      <c r="E2239" s="375" t="s">
        <v>3568</v>
      </c>
      <c r="F2239" s="375" t="s">
        <v>3550</v>
      </c>
      <c r="G2239" s="375" t="s">
        <v>3551</v>
      </c>
      <c r="H2239" s="375" t="s">
        <v>3552</v>
      </c>
      <c r="I2239" s="63" t="s">
        <v>3553</v>
      </c>
      <c r="J2239" s="47">
        <f t="shared" si="456"/>
        <v>3740</v>
      </c>
      <c r="K2239" s="46" t="s">
        <v>10735</v>
      </c>
      <c r="L2239" s="47"/>
      <c r="M2239" s="47">
        <f t="shared" si="459"/>
        <v>1430.0000000000002</v>
      </c>
      <c r="N2239" s="47"/>
      <c r="O2239" s="47"/>
      <c r="P2239" s="47"/>
      <c r="Q2239" s="47"/>
      <c r="R2239" s="47">
        <f t="shared" si="460"/>
        <v>540</v>
      </c>
      <c r="S2239" s="47"/>
      <c r="T2239" s="47"/>
      <c r="U2239" s="47"/>
      <c r="V2239" s="47"/>
      <c r="W2239" s="47"/>
      <c r="X2239" s="47"/>
      <c r="Y2239" s="47"/>
      <c r="Z2239" s="47">
        <f t="shared" si="461"/>
        <v>4620</v>
      </c>
      <c r="AA2239" s="47"/>
      <c r="AB2239" s="47"/>
      <c r="AC2239" s="47"/>
      <c r="AD2239" s="47"/>
      <c r="AE2239" s="47"/>
      <c r="AF2239" s="47"/>
      <c r="AG2239" s="47" t="s">
        <v>1977</v>
      </c>
      <c r="AH2239" s="47" t="str">
        <f>IFERROR(_xlfn.XLOOKUP(Table6[[#This Row],[Suburb]],Table5[Travel Surcharge],Table5[$$]),"")</f>
        <v/>
      </c>
      <c r="AI2239" s="47"/>
      <c r="AJ2239" s="47"/>
    </row>
    <row r="2240" spans="1:36">
      <c r="A2240" s="374" t="s">
        <v>3569</v>
      </c>
      <c r="B2240" s="276" t="s">
        <v>9728</v>
      </c>
      <c r="C2240" s="374" t="s">
        <v>1264</v>
      </c>
      <c r="D2240" s="375" t="str">
        <f t="shared" si="455"/>
        <v>Katalia Estate211B</v>
      </c>
      <c r="E2240" s="375" t="s">
        <v>9729</v>
      </c>
      <c r="F2240" s="375"/>
      <c r="G2240" s="375" t="s">
        <v>2615</v>
      </c>
      <c r="H2240" s="375" t="s">
        <v>3571</v>
      </c>
      <c r="I2240" s="63" t="s">
        <v>2616</v>
      </c>
      <c r="J2240" s="47">
        <v>3740</v>
      </c>
      <c r="K2240" s="46" t="s">
        <v>10735</v>
      </c>
      <c r="L2240" s="47" t="s">
        <v>2646</v>
      </c>
      <c r="M2240" s="47">
        <v>1430.0000000000002</v>
      </c>
      <c r="N2240" s="47" t="s">
        <v>3572</v>
      </c>
      <c r="O2240" s="47"/>
      <c r="P2240" s="47"/>
      <c r="Q2240" s="47"/>
      <c r="R2240" s="47"/>
      <c r="S2240" s="47" t="s">
        <v>967</v>
      </c>
      <c r="T2240" s="47" t="s">
        <v>3573</v>
      </c>
      <c r="U2240" s="47"/>
      <c r="V2240" s="47"/>
      <c r="W2240" s="47"/>
      <c r="X2240" s="47"/>
      <c r="Y2240" s="47"/>
      <c r="Z2240" s="47">
        <v>4620</v>
      </c>
      <c r="AA2240" s="47"/>
      <c r="AB2240" s="47"/>
      <c r="AC2240" s="47"/>
      <c r="AD2240" s="47" t="s">
        <v>1</v>
      </c>
      <c r="AE2240" s="47"/>
      <c r="AF2240" s="47"/>
      <c r="AG2240" s="47"/>
      <c r="AH2240" s="47" t="str">
        <f>IFERROR(_xlfn.XLOOKUP(Table6[[#This Row],[Suburb]],Table5[Travel Surcharge],Table5[$$]),"")</f>
        <v/>
      </c>
      <c r="AI2240" s="47"/>
      <c r="AJ2240" s="47"/>
    </row>
    <row r="2241" spans="1:36">
      <c r="A2241" s="374" t="s">
        <v>3569</v>
      </c>
      <c r="B2241" s="374">
        <v>213</v>
      </c>
      <c r="C2241" s="374" t="s">
        <v>1264</v>
      </c>
      <c r="D2241" s="375" t="str">
        <f t="shared" si="455"/>
        <v>Katalia Estate213</v>
      </c>
      <c r="E2241" s="375" t="s">
        <v>10117</v>
      </c>
      <c r="F2241" s="375"/>
      <c r="G2241" s="375" t="s">
        <v>2615</v>
      </c>
      <c r="H2241" s="375" t="s">
        <v>3571</v>
      </c>
      <c r="I2241" s="63" t="s">
        <v>2616</v>
      </c>
      <c r="J2241" s="47">
        <v>3740</v>
      </c>
      <c r="K2241" s="46" t="s">
        <v>10735</v>
      </c>
      <c r="L2241" s="47" t="s">
        <v>2646</v>
      </c>
      <c r="M2241" s="47">
        <v>1430.0000000000002</v>
      </c>
      <c r="N2241" s="47" t="s">
        <v>3572</v>
      </c>
      <c r="O2241" s="47"/>
      <c r="P2241" s="47"/>
      <c r="Q2241" s="47"/>
      <c r="R2241" s="47"/>
      <c r="S2241" s="47" t="s">
        <v>967</v>
      </c>
      <c r="T2241" s="47" t="s">
        <v>3573</v>
      </c>
      <c r="U2241" s="47"/>
      <c r="V2241" s="47"/>
      <c r="W2241" s="47"/>
      <c r="X2241" s="47"/>
      <c r="Y2241" s="47"/>
      <c r="Z2241" s="47">
        <v>4620</v>
      </c>
      <c r="AA2241" s="47"/>
      <c r="AB2241" s="47"/>
      <c r="AC2241" s="47"/>
      <c r="AD2241" s="47" t="s">
        <v>1</v>
      </c>
      <c r="AE2241" s="47"/>
      <c r="AF2241" s="47"/>
      <c r="AG2241" s="47"/>
      <c r="AH2241" s="47" t="s">
        <v>9976</v>
      </c>
      <c r="AI2241" s="47"/>
      <c r="AJ2241" s="47"/>
    </row>
    <row r="2242" spans="1:36">
      <c r="A2242" s="374" t="s">
        <v>3569</v>
      </c>
      <c r="B2242" s="276" t="s">
        <v>10250</v>
      </c>
      <c r="C2242" s="374" t="s">
        <v>1264</v>
      </c>
      <c r="D2242" s="375" t="str">
        <f t="shared" si="455"/>
        <v>Katalia Estate213B</v>
      </c>
      <c r="E2242" s="375" t="s">
        <v>10251</v>
      </c>
      <c r="F2242" s="375"/>
      <c r="G2242" s="375" t="s">
        <v>2615</v>
      </c>
      <c r="H2242" s="375" t="s">
        <v>3571</v>
      </c>
      <c r="I2242" s="63" t="s">
        <v>2616</v>
      </c>
      <c r="J2242" s="47">
        <v>3740</v>
      </c>
      <c r="K2242" s="46" t="s">
        <v>10735</v>
      </c>
      <c r="L2242" s="47" t="s">
        <v>2646</v>
      </c>
      <c r="M2242" s="47">
        <v>1430.0000000000002</v>
      </c>
      <c r="N2242" s="47" t="s">
        <v>3572</v>
      </c>
      <c r="O2242" s="47"/>
      <c r="P2242" s="47"/>
      <c r="Q2242" s="47"/>
      <c r="R2242" s="47"/>
      <c r="S2242" s="47" t="s">
        <v>967</v>
      </c>
      <c r="T2242" s="47" t="s">
        <v>3573</v>
      </c>
      <c r="U2242" s="47"/>
      <c r="V2242" s="47"/>
      <c r="W2242" s="47"/>
      <c r="X2242" s="47"/>
      <c r="Y2242" s="47"/>
      <c r="Z2242" s="47">
        <v>4620</v>
      </c>
      <c r="AA2242" s="47"/>
      <c r="AB2242" s="47"/>
      <c r="AC2242" s="47"/>
      <c r="AD2242" s="47" t="s">
        <v>1</v>
      </c>
      <c r="AE2242" s="47"/>
      <c r="AF2242" s="47"/>
      <c r="AG2242" s="47"/>
      <c r="AH2242" s="47" t="s">
        <v>9976</v>
      </c>
      <c r="AI2242" s="47"/>
      <c r="AJ2242" s="47"/>
    </row>
    <row r="2243" spans="1:36">
      <c r="A2243" s="374" t="s">
        <v>3569</v>
      </c>
      <c r="B2243" s="374">
        <v>212</v>
      </c>
      <c r="C2243" s="374" t="s">
        <v>1264</v>
      </c>
      <c r="D2243" s="375" t="str">
        <f t="shared" si="455"/>
        <v>Katalia Estate212</v>
      </c>
      <c r="E2243" s="375" t="s">
        <v>9653</v>
      </c>
      <c r="F2243" s="375"/>
      <c r="G2243" s="375" t="s">
        <v>2615</v>
      </c>
      <c r="H2243" s="375" t="s">
        <v>3571</v>
      </c>
      <c r="I2243" s="63" t="s">
        <v>2616</v>
      </c>
      <c r="J2243" s="47">
        <v>3740</v>
      </c>
      <c r="K2243" s="46" t="s">
        <v>10735</v>
      </c>
      <c r="L2243" s="47" t="s">
        <v>2646</v>
      </c>
      <c r="M2243" s="47">
        <v>1430.0000000000002</v>
      </c>
      <c r="N2243" s="47" t="s">
        <v>3572</v>
      </c>
      <c r="O2243" s="47"/>
      <c r="P2243" s="47"/>
      <c r="Q2243" s="47"/>
      <c r="R2243" s="47"/>
      <c r="S2243" s="47" t="s">
        <v>967</v>
      </c>
      <c r="T2243" s="47" t="s">
        <v>3573</v>
      </c>
      <c r="U2243" s="47"/>
      <c r="V2243" s="47"/>
      <c r="W2243" s="47"/>
      <c r="X2243" s="47"/>
      <c r="Y2243" s="47"/>
      <c r="Z2243" s="47">
        <v>4620</v>
      </c>
      <c r="AA2243" s="47"/>
      <c r="AB2243" s="47"/>
      <c r="AC2243" s="47"/>
      <c r="AD2243" s="47" t="s">
        <v>1</v>
      </c>
      <c r="AE2243" s="47"/>
      <c r="AF2243" s="47"/>
      <c r="AG2243" s="47"/>
      <c r="AH2243" s="47" t="str">
        <f>IFERROR(_xlfn.XLOOKUP(Table6[[#This Row],[Suburb]],Table5[Travel Surcharge],Table5[$$]),"")</f>
        <v/>
      </c>
      <c r="AI2243" s="47"/>
      <c r="AJ2243" s="47"/>
    </row>
    <row r="2244" spans="1:36">
      <c r="A2244" s="374" t="s">
        <v>3569</v>
      </c>
      <c r="B2244" s="374">
        <v>101</v>
      </c>
      <c r="C2244" s="374" t="s">
        <v>1264</v>
      </c>
      <c r="D2244" s="375" t="str">
        <f t="shared" ref="D2244:D2278" si="462">CONCATENATE(A2244,B2244)</f>
        <v>Katalia Estate101</v>
      </c>
      <c r="E2244" s="375" t="s">
        <v>3570</v>
      </c>
      <c r="F2244" s="375"/>
      <c r="G2244" s="375" t="s">
        <v>2615</v>
      </c>
      <c r="H2244" s="375" t="s">
        <v>3571</v>
      </c>
      <c r="I2244" s="63" t="s">
        <v>2616</v>
      </c>
      <c r="J2244" s="47">
        <f t="shared" ref="J2244:J2261" si="463">J$7</f>
        <v>3740</v>
      </c>
      <c r="K2244" s="46" t="s">
        <v>10735</v>
      </c>
      <c r="L2244" s="47" t="s">
        <v>2646</v>
      </c>
      <c r="M2244" s="47">
        <f t="shared" ref="M2244:M2261" si="464">M$7</f>
        <v>1430.0000000000002</v>
      </c>
      <c r="N2244" s="47" t="s">
        <v>3572</v>
      </c>
      <c r="O2244" s="47"/>
      <c r="P2244" s="47"/>
      <c r="Q2244" s="47"/>
      <c r="R2244" s="47"/>
      <c r="S2244" s="47" t="s">
        <v>967</v>
      </c>
      <c r="T2244" s="47" t="s">
        <v>3573</v>
      </c>
      <c r="U2244" s="47"/>
      <c r="V2244" s="47"/>
      <c r="W2244" s="47"/>
      <c r="X2244" s="47"/>
      <c r="Y2244" s="47"/>
      <c r="Z2244" s="47">
        <f t="shared" ref="Z2244:Z2288" si="465">Z$7</f>
        <v>4620</v>
      </c>
      <c r="AA2244" s="47"/>
      <c r="AB2244" s="47"/>
      <c r="AC2244" s="47"/>
      <c r="AD2244" s="47" t="s">
        <v>1</v>
      </c>
      <c r="AE2244" s="47"/>
      <c r="AF2244" s="47"/>
      <c r="AG2244" s="47"/>
      <c r="AH2244" s="47" t="str">
        <f>IFERROR(_xlfn.XLOOKUP(Table6[[#This Row],[Suburb]],Table5[Travel Surcharge],Table5[$$]),"")</f>
        <v/>
      </c>
      <c r="AI2244" s="47"/>
      <c r="AJ2244" s="47"/>
    </row>
    <row r="2245" spans="1:36">
      <c r="A2245" s="374" t="s">
        <v>3569</v>
      </c>
      <c r="B2245" s="374">
        <v>102</v>
      </c>
      <c r="C2245" s="374" t="s">
        <v>1264</v>
      </c>
      <c r="D2245" s="375" t="str">
        <f t="shared" si="462"/>
        <v>Katalia Estate102</v>
      </c>
      <c r="E2245" s="375" t="s">
        <v>3574</v>
      </c>
      <c r="F2245" s="375"/>
      <c r="G2245" s="375" t="s">
        <v>2615</v>
      </c>
      <c r="H2245" s="375" t="s">
        <v>3571</v>
      </c>
      <c r="I2245" s="63" t="s">
        <v>2616</v>
      </c>
      <c r="J2245" s="47">
        <f t="shared" si="463"/>
        <v>3740</v>
      </c>
      <c r="K2245" s="46" t="s">
        <v>10735</v>
      </c>
      <c r="L2245" s="47" t="s">
        <v>2646</v>
      </c>
      <c r="M2245" s="47">
        <f t="shared" si="464"/>
        <v>1430.0000000000002</v>
      </c>
      <c r="N2245" s="47" t="s">
        <v>3572</v>
      </c>
      <c r="O2245" s="47"/>
      <c r="P2245" s="47"/>
      <c r="Q2245" s="47"/>
      <c r="R2245" s="47"/>
      <c r="S2245" s="47" t="s">
        <v>967</v>
      </c>
      <c r="T2245" s="47" t="s">
        <v>3573</v>
      </c>
      <c r="U2245" s="47"/>
      <c r="V2245" s="47"/>
      <c r="W2245" s="47"/>
      <c r="X2245" s="47"/>
      <c r="Y2245" s="47"/>
      <c r="Z2245" s="47">
        <f t="shared" si="465"/>
        <v>4620</v>
      </c>
      <c r="AA2245" s="47"/>
      <c r="AB2245" s="47"/>
      <c r="AC2245" s="47"/>
      <c r="AD2245" s="47" t="s">
        <v>1</v>
      </c>
      <c r="AE2245" s="47"/>
      <c r="AF2245" s="47"/>
      <c r="AG2245" s="47"/>
      <c r="AH2245" s="47" t="str">
        <f>IFERROR(_xlfn.XLOOKUP(Table6[[#This Row],[Suburb]],Table5[Travel Surcharge],Table5[$$]),"")</f>
        <v/>
      </c>
      <c r="AI2245" s="47"/>
      <c r="AJ2245" s="47"/>
    </row>
    <row r="2246" spans="1:36">
      <c r="A2246" s="374" t="s">
        <v>3569</v>
      </c>
      <c r="B2246" s="374">
        <v>103</v>
      </c>
      <c r="C2246" s="374" t="s">
        <v>1264</v>
      </c>
      <c r="D2246" s="375" t="str">
        <f t="shared" si="462"/>
        <v>Katalia Estate103</v>
      </c>
      <c r="E2246" s="375" t="s">
        <v>3575</v>
      </c>
      <c r="F2246" s="375"/>
      <c r="G2246" s="375" t="s">
        <v>2615</v>
      </c>
      <c r="H2246" s="375" t="s">
        <v>3571</v>
      </c>
      <c r="I2246" s="63" t="s">
        <v>2616</v>
      </c>
      <c r="J2246" s="47">
        <f t="shared" si="463"/>
        <v>3740</v>
      </c>
      <c r="K2246" s="46" t="s">
        <v>10735</v>
      </c>
      <c r="L2246" s="47" t="s">
        <v>2646</v>
      </c>
      <c r="M2246" s="47">
        <f t="shared" si="464"/>
        <v>1430.0000000000002</v>
      </c>
      <c r="N2246" s="47" t="s">
        <v>3572</v>
      </c>
      <c r="O2246" s="47"/>
      <c r="P2246" s="47"/>
      <c r="Q2246" s="47"/>
      <c r="R2246" s="47"/>
      <c r="S2246" s="47" t="s">
        <v>967</v>
      </c>
      <c r="T2246" s="47" t="s">
        <v>3573</v>
      </c>
      <c r="U2246" s="47"/>
      <c r="V2246" s="47"/>
      <c r="W2246" s="47"/>
      <c r="X2246" s="47"/>
      <c r="Y2246" s="47"/>
      <c r="Z2246" s="47">
        <f t="shared" si="465"/>
        <v>4620</v>
      </c>
      <c r="AA2246" s="47"/>
      <c r="AB2246" s="47"/>
      <c r="AC2246" s="47"/>
      <c r="AD2246" s="47" t="s">
        <v>1</v>
      </c>
      <c r="AE2246" s="47"/>
      <c r="AF2246" s="47"/>
      <c r="AG2246" s="47"/>
      <c r="AH2246" s="47" t="str">
        <f>IFERROR(_xlfn.XLOOKUP(Table6[[#This Row],[Suburb]],Table5[Travel Surcharge],Table5[$$]),"")</f>
        <v/>
      </c>
      <c r="AI2246" s="47"/>
      <c r="AJ2246" s="47"/>
    </row>
    <row r="2247" spans="1:36">
      <c r="A2247" s="374" t="s">
        <v>3569</v>
      </c>
      <c r="B2247" s="374">
        <v>104</v>
      </c>
      <c r="C2247" s="374" t="s">
        <v>1264</v>
      </c>
      <c r="D2247" s="375" t="str">
        <f t="shared" si="462"/>
        <v>Katalia Estate104</v>
      </c>
      <c r="E2247" s="375" t="s">
        <v>3576</v>
      </c>
      <c r="F2247" s="375"/>
      <c r="G2247" s="375" t="s">
        <v>2615</v>
      </c>
      <c r="H2247" s="375" t="s">
        <v>3571</v>
      </c>
      <c r="I2247" s="63" t="s">
        <v>2616</v>
      </c>
      <c r="J2247" s="47">
        <f t="shared" si="463"/>
        <v>3740</v>
      </c>
      <c r="K2247" s="46" t="s">
        <v>10735</v>
      </c>
      <c r="L2247" s="47" t="s">
        <v>2646</v>
      </c>
      <c r="M2247" s="47">
        <f t="shared" si="464"/>
        <v>1430.0000000000002</v>
      </c>
      <c r="N2247" s="47" t="s">
        <v>3572</v>
      </c>
      <c r="O2247" s="47"/>
      <c r="P2247" s="47"/>
      <c r="Q2247" s="47"/>
      <c r="R2247" s="47"/>
      <c r="S2247" s="47" t="s">
        <v>967</v>
      </c>
      <c r="T2247" s="47" t="s">
        <v>3573</v>
      </c>
      <c r="U2247" s="47"/>
      <c r="V2247" s="47"/>
      <c r="W2247" s="47"/>
      <c r="X2247" s="47"/>
      <c r="Y2247" s="47"/>
      <c r="Z2247" s="47">
        <f t="shared" si="465"/>
        <v>4620</v>
      </c>
      <c r="AA2247" s="47"/>
      <c r="AB2247" s="47"/>
      <c r="AC2247" s="47"/>
      <c r="AD2247" s="47" t="s">
        <v>1</v>
      </c>
      <c r="AE2247" s="47"/>
      <c r="AF2247" s="47"/>
      <c r="AG2247" s="47"/>
      <c r="AH2247" s="47" t="str">
        <f>IFERROR(_xlfn.XLOOKUP(Table6[[#This Row],[Suburb]],Table5[Travel Surcharge],Table5[$$]),"")</f>
        <v/>
      </c>
      <c r="AI2247" s="47"/>
      <c r="AJ2247" s="47"/>
    </row>
    <row r="2248" spans="1:36">
      <c r="A2248" s="374" t="s">
        <v>3569</v>
      </c>
      <c r="B2248" s="374">
        <v>105</v>
      </c>
      <c r="C2248" s="374" t="s">
        <v>1264</v>
      </c>
      <c r="D2248" s="375" t="str">
        <f t="shared" si="462"/>
        <v>Katalia Estate105</v>
      </c>
      <c r="E2248" s="375" t="s">
        <v>3577</v>
      </c>
      <c r="F2248" s="375"/>
      <c r="G2248" s="375" t="s">
        <v>2615</v>
      </c>
      <c r="H2248" s="375" t="s">
        <v>3571</v>
      </c>
      <c r="I2248" s="63" t="s">
        <v>2616</v>
      </c>
      <c r="J2248" s="47">
        <f t="shared" si="463"/>
        <v>3740</v>
      </c>
      <c r="K2248" s="46" t="s">
        <v>10735</v>
      </c>
      <c r="L2248" s="47" t="s">
        <v>2646</v>
      </c>
      <c r="M2248" s="47">
        <f t="shared" si="464"/>
        <v>1430.0000000000002</v>
      </c>
      <c r="N2248" s="47" t="s">
        <v>3572</v>
      </c>
      <c r="O2248" s="47"/>
      <c r="P2248" s="47"/>
      <c r="Q2248" s="47"/>
      <c r="R2248" s="47"/>
      <c r="S2248" s="47" t="s">
        <v>967</v>
      </c>
      <c r="T2248" s="47" t="s">
        <v>3573</v>
      </c>
      <c r="U2248" s="47"/>
      <c r="V2248" s="47"/>
      <c r="W2248" s="47"/>
      <c r="X2248" s="47"/>
      <c r="Y2248" s="47"/>
      <c r="Z2248" s="47">
        <f t="shared" si="465"/>
        <v>4620</v>
      </c>
      <c r="AA2248" s="47"/>
      <c r="AB2248" s="47"/>
      <c r="AC2248" s="47"/>
      <c r="AD2248" s="47" t="s">
        <v>1</v>
      </c>
      <c r="AE2248" s="47"/>
      <c r="AF2248" s="47"/>
      <c r="AG2248" s="47"/>
      <c r="AH2248" s="47" t="str">
        <f>IFERROR(_xlfn.XLOOKUP(Table6[[#This Row],[Suburb]],Table5[Travel Surcharge],Table5[$$]),"")</f>
        <v/>
      </c>
      <c r="AI2248" s="47"/>
      <c r="AJ2248" s="47"/>
    </row>
    <row r="2249" spans="1:36">
      <c r="A2249" s="374" t="s">
        <v>3569</v>
      </c>
      <c r="B2249" s="374">
        <v>106</v>
      </c>
      <c r="C2249" s="374" t="s">
        <v>1264</v>
      </c>
      <c r="D2249" s="375" t="str">
        <f t="shared" si="462"/>
        <v>Katalia Estate106</v>
      </c>
      <c r="E2249" s="375" t="s">
        <v>3578</v>
      </c>
      <c r="F2249" s="375"/>
      <c r="G2249" s="375" t="s">
        <v>2615</v>
      </c>
      <c r="H2249" s="375" t="s">
        <v>3571</v>
      </c>
      <c r="I2249" s="63" t="s">
        <v>2616</v>
      </c>
      <c r="J2249" s="47">
        <f t="shared" si="463"/>
        <v>3740</v>
      </c>
      <c r="K2249" s="46" t="s">
        <v>10735</v>
      </c>
      <c r="L2249" s="47" t="s">
        <v>2646</v>
      </c>
      <c r="M2249" s="47">
        <f t="shared" si="464"/>
        <v>1430.0000000000002</v>
      </c>
      <c r="N2249" s="47" t="s">
        <v>3572</v>
      </c>
      <c r="O2249" s="47"/>
      <c r="P2249" s="47"/>
      <c r="Q2249" s="47"/>
      <c r="R2249" s="47"/>
      <c r="S2249" s="47" t="s">
        <v>967</v>
      </c>
      <c r="T2249" s="47" t="s">
        <v>3573</v>
      </c>
      <c r="U2249" s="47"/>
      <c r="V2249" s="47"/>
      <c r="W2249" s="47"/>
      <c r="X2249" s="47"/>
      <c r="Y2249" s="47"/>
      <c r="Z2249" s="47">
        <f t="shared" si="465"/>
        <v>4620</v>
      </c>
      <c r="AA2249" s="47"/>
      <c r="AB2249" s="47"/>
      <c r="AC2249" s="47"/>
      <c r="AD2249" s="47" t="s">
        <v>1</v>
      </c>
      <c r="AE2249" s="47"/>
      <c r="AF2249" s="47"/>
      <c r="AG2249" s="47"/>
      <c r="AH2249" s="47" t="str">
        <f>IFERROR(_xlfn.XLOOKUP(Table6[[#This Row],[Suburb]],Table5[Travel Surcharge],Table5[$$]),"")</f>
        <v/>
      </c>
      <c r="AI2249" s="47"/>
      <c r="AJ2249" s="47"/>
    </row>
    <row r="2250" spans="1:36">
      <c r="A2250" s="374" t="s">
        <v>3569</v>
      </c>
      <c r="B2250" s="374">
        <v>107</v>
      </c>
      <c r="C2250" s="374" t="s">
        <v>1264</v>
      </c>
      <c r="D2250" s="375" t="str">
        <f t="shared" si="462"/>
        <v>Katalia Estate107</v>
      </c>
      <c r="E2250" s="375" t="s">
        <v>3579</v>
      </c>
      <c r="F2250" s="375"/>
      <c r="G2250" s="375" t="s">
        <v>2615</v>
      </c>
      <c r="H2250" s="375" t="s">
        <v>3571</v>
      </c>
      <c r="I2250" s="63" t="s">
        <v>2616</v>
      </c>
      <c r="J2250" s="47">
        <f t="shared" si="463"/>
        <v>3740</v>
      </c>
      <c r="K2250" s="46" t="s">
        <v>10735</v>
      </c>
      <c r="L2250" s="47" t="s">
        <v>2646</v>
      </c>
      <c r="M2250" s="47">
        <f t="shared" si="464"/>
        <v>1430.0000000000002</v>
      </c>
      <c r="N2250" s="47" t="s">
        <v>3572</v>
      </c>
      <c r="O2250" s="47"/>
      <c r="P2250" s="47"/>
      <c r="Q2250" s="47"/>
      <c r="R2250" s="47"/>
      <c r="S2250" s="47" t="s">
        <v>967</v>
      </c>
      <c r="T2250" s="47" t="s">
        <v>3573</v>
      </c>
      <c r="U2250" s="47"/>
      <c r="V2250" s="47"/>
      <c r="W2250" s="47"/>
      <c r="X2250" s="47"/>
      <c r="Y2250" s="47"/>
      <c r="Z2250" s="47">
        <f t="shared" si="465"/>
        <v>4620</v>
      </c>
      <c r="AA2250" s="47"/>
      <c r="AB2250" s="47"/>
      <c r="AC2250" s="47"/>
      <c r="AD2250" s="47" t="s">
        <v>1</v>
      </c>
      <c r="AE2250" s="47"/>
      <c r="AF2250" s="47"/>
      <c r="AG2250" s="47"/>
      <c r="AH2250" s="47" t="str">
        <f>IFERROR(_xlfn.XLOOKUP(Table6[[#This Row],[Suburb]],Table5[Travel Surcharge],Table5[$$]),"")</f>
        <v/>
      </c>
      <c r="AI2250" s="47"/>
      <c r="AJ2250" s="47"/>
    </row>
    <row r="2251" spans="1:36">
      <c r="A2251" s="374" t="s">
        <v>3569</v>
      </c>
      <c r="B2251" s="374">
        <v>108</v>
      </c>
      <c r="C2251" s="374" t="s">
        <v>1264</v>
      </c>
      <c r="D2251" s="375" t="str">
        <f t="shared" si="462"/>
        <v>Katalia Estate108</v>
      </c>
      <c r="E2251" s="375" t="s">
        <v>3580</v>
      </c>
      <c r="F2251" s="375"/>
      <c r="G2251" s="375" t="s">
        <v>2615</v>
      </c>
      <c r="H2251" s="375" t="s">
        <v>3571</v>
      </c>
      <c r="I2251" s="63" t="s">
        <v>2616</v>
      </c>
      <c r="J2251" s="47">
        <f t="shared" si="463"/>
        <v>3740</v>
      </c>
      <c r="K2251" s="46" t="s">
        <v>10735</v>
      </c>
      <c r="L2251" s="47" t="s">
        <v>2646</v>
      </c>
      <c r="M2251" s="47">
        <f t="shared" si="464"/>
        <v>1430.0000000000002</v>
      </c>
      <c r="N2251" s="47" t="s">
        <v>3572</v>
      </c>
      <c r="O2251" s="47"/>
      <c r="P2251" s="47"/>
      <c r="Q2251" s="47"/>
      <c r="R2251" s="47"/>
      <c r="S2251" s="47" t="s">
        <v>967</v>
      </c>
      <c r="T2251" s="47" t="s">
        <v>3573</v>
      </c>
      <c r="U2251" s="47"/>
      <c r="V2251" s="47"/>
      <c r="W2251" s="47"/>
      <c r="X2251" s="47"/>
      <c r="Y2251" s="47"/>
      <c r="Z2251" s="47">
        <f t="shared" si="465"/>
        <v>4620</v>
      </c>
      <c r="AA2251" s="47"/>
      <c r="AB2251" s="47"/>
      <c r="AC2251" s="47"/>
      <c r="AD2251" s="47" t="s">
        <v>1</v>
      </c>
      <c r="AE2251" s="47"/>
      <c r="AF2251" s="47"/>
      <c r="AG2251" s="47"/>
      <c r="AH2251" s="47" t="str">
        <f>IFERROR(_xlfn.XLOOKUP(Table6[[#This Row],[Suburb]],Table5[Travel Surcharge],Table5[$$]),"")</f>
        <v/>
      </c>
      <c r="AI2251" s="47"/>
      <c r="AJ2251" s="47"/>
    </row>
    <row r="2252" spans="1:36">
      <c r="A2252" s="374" t="s">
        <v>3569</v>
      </c>
      <c r="B2252" s="374">
        <v>201</v>
      </c>
      <c r="C2252" s="374" t="s">
        <v>1264</v>
      </c>
      <c r="D2252" s="375" t="str">
        <f t="shared" si="462"/>
        <v>Katalia Estate201</v>
      </c>
      <c r="E2252" s="375" t="s">
        <v>3581</v>
      </c>
      <c r="F2252" s="375"/>
      <c r="G2252" s="375" t="s">
        <v>2615</v>
      </c>
      <c r="H2252" s="375" t="s">
        <v>3571</v>
      </c>
      <c r="I2252" s="63" t="s">
        <v>2616</v>
      </c>
      <c r="J2252" s="47">
        <f t="shared" si="463"/>
        <v>3740</v>
      </c>
      <c r="K2252" s="46" t="s">
        <v>10735</v>
      </c>
      <c r="L2252" s="47" t="s">
        <v>2646</v>
      </c>
      <c r="M2252" s="47">
        <f t="shared" si="464"/>
        <v>1430.0000000000002</v>
      </c>
      <c r="N2252" s="47" t="s">
        <v>3572</v>
      </c>
      <c r="O2252" s="47"/>
      <c r="P2252" s="47"/>
      <c r="Q2252" s="47"/>
      <c r="R2252" s="47"/>
      <c r="S2252" s="47" t="s">
        <v>967</v>
      </c>
      <c r="T2252" s="47" t="s">
        <v>3573</v>
      </c>
      <c r="U2252" s="47"/>
      <c r="V2252" s="47"/>
      <c r="W2252" s="47"/>
      <c r="X2252" s="47"/>
      <c r="Y2252" s="47"/>
      <c r="Z2252" s="47">
        <f t="shared" si="465"/>
        <v>4620</v>
      </c>
      <c r="AA2252" s="47"/>
      <c r="AB2252" s="47"/>
      <c r="AC2252" s="47"/>
      <c r="AD2252" s="47" t="s">
        <v>1</v>
      </c>
      <c r="AE2252" s="47"/>
      <c r="AF2252" s="47"/>
      <c r="AG2252" s="47"/>
      <c r="AH2252" s="47" t="str">
        <f>IFERROR(_xlfn.XLOOKUP(Table6[[#This Row],[Suburb]],Table5[Travel Surcharge],Table5[$$]),"")</f>
        <v/>
      </c>
      <c r="AI2252" s="47"/>
      <c r="AJ2252" s="47"/>
    </row>
    <row r="2253" spans="1:36">
      <c r="A2253" s="374" t="s">
        <v>3569</v>
      </c>
      <c r="B2253" s="374">
        <v>202</v>
      </c>
      <c r="C2253" s="374" t="s">
        <v>1264</v>
      </c>
      <c r="D2253" s="375" t="str">
        <f t="shared" si="462"/>
        <v>Katalia Estate202</v>
      </c>
      <c r="E2253" s="375" t="s">
        <v>7664</v>
      </c>
      <c r="F2253" s="375"/>
      <c r="G2253" s="375" t="s">
        <v>2615</v>
      </c>
      <c r="H2253" s="375" t="s">
        <v>3571</v>
      </c>
      <c r="I2253" s="63" t="s">
        <v>2616</v>
      </c>
      <c r="J2253" s="47">
        <f t="shared" si="463"/>
        <v>3740</v>
      </c>
      <c r="K2253" s="46" t="s">
        <v>10735</v>
      </c>
      <c r="L2253" s="47" t="s">
        <v>2646</v>
      </c>
      <c r="M2253" s="47">
        <f t="shared" si="464"/>
        <v>1430.0000000000002</v>
      </c>
      <c r="N2253" s="47" t="s">
        <v>3572</v>
      </c>
      <c r="O2253" s="47"/>
      <c r="P2253" s="47"/>
      <c r="Q2253" s="47"/>
      <c r="R2253" s="47"/>
      <c r="S2253" s="47" t="s">
        <v>967</v>
      </c>
      <c r="T2253" s="47" t="s">
        <v>3573</v>
      </c>
      <c r="U2253" s="47"/>
      <c r="V2253" s="47"/>
      <c r="W2253" s="47"/>
      <c r="X2253" s="47"/>
      <c r="Y2253" s="47"/>
      <c r="Z2253" s="47">
        <f t="shared" si="465"/>
        <v>4620</v>
      </c>
      <c r="AA2253" s="47"/>
      <c r="AB2253" s="47"/>
      <c r="AC2253" s="47"/>
      <c r="AD2253" s="47" t="s">
        <v>1</v>
      </c>
      <c r="AE2253" s="47"/>
      <c r="AF2253" s="47"/>
      <c r="AG2253" s="47"/>
      <c r="AH2253" s="47" t="str">
        <f>IFERROR(_xlfn.XLOOKUP(Table6[[#This Row],[Suburb]],Table5[Travel Surcharge],Table5[$$]),"")</f>
        <v/>
      </c>
      <c r="AI2253" s="47"/>
      <c r="AJ2253" s="47"/>
    </row>
    <row r="2254" spans="1:36">
      <c r="A2254" s="374" t="s">
        <v>3569</v>
      </c>
      <c r="B2254" s="374">
        <v>203</v>
      </c>
      <c r="C2254" s="374" t="s">
        <v>1264</v>
      </c>
      <c r="D2254" s="375" t="str">
        <f t="shared" si="462"/>
        <v>Katalia Estate203</v>
      </c>
      <c r="E2254" s="375" t="s">
        <v>3582</v>
      </c>
      <c r="F2254" s="375"/>
      <c r="G2254" s="375" t="s">
        <v>2615</v>
      </c>
      <c r="H2254" s="375" t="s">
        <v>3571</v>
      </c>
      <c r="I2254" s="63" t="s">
        <v>2616</v>
      </c>
      <c r="J2254" s="47">
        <f t="shared" si="463"/>
        <v>3740</v>
      </c>
      <c r="K2254" s="46" t="s">
        <v>10735</v>
      </c>
      <c r="L2254" s="47" t="s">
        <v>2646</v>
      </c>
      <c r="M2254" s="47">
        <f t="shared" si="464"/>
        <v>1430.0000000000002</v>
      </c>
      <c r="N2254" s="47" t="s">
        <v>3572</v>
      </c>
      <c r="O2254" s="47"/>
      <c r="P2254" s="47"/>
      <c r="Q2254" s="47"/>
      <c r="R2254" s="47"/>
      <c r="S2254" s="47" t="s">
        <v>967</v>
      </c>
      <c r="T2254" s="47" t="s">
        <v>3573</v>
      </c>
      <c r="U2254" s="47"/>
      <c r="V2254" s="47"/>
      <c r="W2254" s="47"/>
      <c r="X2254" s="47"/>
      <c r="Y2254" s="47"/>
      <c r="Z2254" s="47">
        <f t="shared" si="465"/>
        <v>4620</v>
      </c>
      <c r="AA2254" s="47"/>
      <c r="AB2254" s="47"/>
      <c r="AC2254" s="47"/>
      <c r="AD2254" s="47" t="s">
        <v>1</v>
      </c>
      <c r="AE2254" s="47"/>
      <c r="AF2254" s="47"/>
      <c r="AG2254" s="47"/>
      <c r="AH2254" s="47" t="str">
        <f>IFERROR(_xlfn.XLOOKUP(Table6[[#This Row],[Suburb]],Table5[Travel Surcharge],Table5[$$]),"")</f>
        <v/>
      </c>
      <c r="AI2254" s="47"/>
      <c r="AJ2254" s="47"/>
    </row>
    <row r="2255" spans="1:36">
      <c r="A2255" s="374" t="s">
        <v>3569</v>
      </c>
      <c r="B2255" s="374">
        <v>204</v>
      </c>
      <c r="C2255" s="374" t="s">
        <v>1264</v>
      </c>
      <c r="D2255" s="375" t="str">
        <f t="shared" si="462"/>
        <v>Katalia Estate204</v>
      </c>
      <c r="E2255" s="375" t="s">
        <v>7663</v>
      </c>
      <c r="F2255" s="375"/>
      <c r="G2255" s="375" t="s">
        <v>2615</v>
      </c>
      <c r="H2255" s="375" t="s">
        <v>3571</v>
      </c>
      <c r="I2255" s="63" t="s">
        <v>2616</v>
      </c>
      <c r="J2255" s="47">
        <f t="shared" si="463"/>
        <v>3740</v>
      </c>
      <c r="K2255" s="46" t="s">
        <v>10735</v>
      </c>
      <c r="L2255" s="47" t="s">
        <v>2646</v>
      </c>
      <c r="M2255" s="47">
        <f t="shared" si="464"/>
        <v>1430.0000000000002</v>
      </c>
      <c r="N2255" s="47" t="s">
        <v>3572</v>
      </c>
      <c r="O2255" s="47"/>
      <c r="P2255" s="47"/>
      <c r="Q2255" s="47"/>
      <c r="R2255" s="47"/>
      <c r="S2255" s="47" t="s">
        <v>967</v>
      </c>
      <c r="T2255" s="47" t="s">
        <v>3573</v>
      </c>
      <c r="U2255" s="47"/>
      <c r="V2255" s="47"/>
      <c r="W2255" s="47"/>
      <c r="X2255" s="47"/>
      <c r="Y2255" s="47"/>
      <c r="Z2255" s="47">
        <f t="shared" si="465"/>
        <v>4620</v>
      </c>
      <c r="AA2255" s="47"/>
      <c r="AB2255" s="47"/>
      <c r="AC2255" s="47"/>
      <c r="AD2255" s="47" t="s">
        <v>1</v>
      </c>
      <c r="AE2255" s="47"/>
      <c r="AF2255" s="47"/>
      <c r="AG2255" s="47"/>
      <c r="AH2255" s="47" t="str">
        <f>IFERROR(_xlfn.XLOOKUP(Table6[[#This Row],[Suburb]],Table5[Travel Surcharge],Table5[$$]),"")</f>
        <v/>
      </c>
      <c r="AI2255" s="47"/>
      <c r="AJ2255" s="47"/>
    </row>
    <row r="2256" spans="1:36">
      <c r="A2256" s="374" t="s">
        <v>3569</v>
      </c>
      <c r="B2256" s="374">
        <v>205</v>
      </c>
      <c r="C2256" s="374" t="s">
        <v>1264</v>
      </c>
      <c r="D2256" s="375" t="str">
        <f t="shared" si="462"/>
        <v>Katalia Estate205</v>
      </c>
      <c r="E2256" s="375" t="s">
        <v>3583</v>
      </c>
      <c r="F2256" s="375"/>
      <c r="G2256" s="375" t="s">
        <v>2615</v>
      </c>
      <c r="H2256" s="375" t="s">
        <v>3571</v>
      </c>
      <c r="I2256" s="63" t="s">
        <v>2616</v>
      </c>
      <c r="J2256" s="47">
        <f t="shared" si="463"/>
        <v>3740</v>
      </c>
      <c r="K2256" s="46" t="s">
        <v>10735</v>
      </c>
      <c r="L2256" s="47" t="s">
        <v>2646</v>
      </c>
      <c r="M2256" s="47">
        <f t="shared" si="464"/>
        <v>1430.0000000000002</v>
      </c>
      <c r="N2256" s="47" t="s">
        <v>3572</v>
      </c>
      <c r="O2256" s="47"/>
      <c r="P2256" s="47"/>
      <c r="Q2256" s="47"/>
      <c r="R2256" s="47"/>
      <c r="S2256" s="47" t="s">
        <v>967</v>
      </c>
      <c r="T2256" s="47" t="s">
        <v>3573</v>
      </c>
      <c r="U2256" s="47"/>
      <c r="V2256" s="47"/>
      <c r="W2256" s="47"/>
      <c r="X2256" s="47"/>
      <c r="Y2256" s="47"/>
      <c r="Z2256" s="47">
        <f t="shared" si="465"/>
        <v>4620</v>
      </c>
      <c r="AA2256" s="47"/>
      <c r="AB2256" s="47"/>
      <c r="AC2256" s="47"/>
      <c r="AD2256" s="47" t="s">
        <v>1</v>
      </c>
      <c r="AE2256" s="47"/>
      <c r="AF2256" s="47"/>
      <c r="AG2256" s="47"/>
      <c r="AH2256" s="47" t="str">
        <f>IFERROR(_xlfn.XLOOKUP(Table6[[#This Row],[Suburb]],Table5[Travel Surcharge],Table5[$$]),"")</f>
        <v/>
      </c>
      <c r="AI2256" s="47"/>
      <c r="AJ2256" s="47"/>
    </row>
    <row r="2257" spans="1:36">
      <c r="A2257" s="374" t="s">
        <v>3569</v>
      </c>
      <c r="B2257" s="374">
        <v>206</v>
      </c>
      <c r="C2257" s="374" t="s">
        <v>1264</v>
      </c>
      <c r="D2257" s="375" t="str">
        <f t="shared" si="462"/>
        <v>Katalia Estate206</v>
      </c>
      <c r="E2257" s="375" t="s">
        <v>3584</v>
      </c>
      <c r="F2257" s="375"/>
      <c r="G2257" s="375" t="s">
        <v>2615</v>
      </c>
      <c r="H2257" s="375" t="s">
        <v>3571</v>
      </c>
      <c r="I2257" s="63" t="s">
        <v>2616</v>
      </c>
      <c r="J2257" s="47">
        <f t="shared" si="463"/>
        <v>3740</v>
      </c>
      <c r="K2257" s="46" t="s">
        <v>10735</v>
      </c>
      <c r="L2257" s="47" t="s">
        <v>2646</v>
      </c>
      <c r="M2257" s="47">
        <f t="shared" si="464"/>
        <v>1430.0000000000002</v>
      </c>
      <c r="N2257" s="47" t="s">
        <v>3572</v>
      </c>
      <c r="O2257" s="47"/>
      <c r="P2257" s="47"/>
      <c r="Q2257" s="47"/>
      <c r="R2257" s="47"/>
      <c r="S2257" s="47" t="s">
        <v>967</v>
      </c>
      <c r="T2257" s="47" t="s">
        <v>3573</v>
      </c>
      <c r="U2257" s="47"/>
      <c r="V2257" s="47"/>
      <c r="W2257" s="47"/>
      <c r="X2257" s="47"/>
      <c r="Y2257" s="47"/>
      <c r="Z2257" s="47">
        <f t="shared" si="465"/>
        <v>4620</v>
      </c>
      <c r="AA2257" s="47"/>
      <c r="AB2257" s="47"/>
      <c r="AC2257" s="47"/>
      <c r="AD2257" s="47" t="s">
        <v>1</v>
      </c>
      <c r="AE2257" s="47"/>
      <c r="AF2257" s="47"/>
      <c r="AG2257" s="47"/>
      <c r="AH2257" s="47" t="str">
        <f>IFERROR(_xlfn.XLOOKUP(Table6[[#This Row],[Suburb]],Table5[Travel Surcharge],Table5[$$]),"")</f>
        <v/>
      </c>
      <c r="AI2257" s="47"/>
      <c r="AJ2257" s="47"/>
    </row>
    <row r="2258" spans="1:36">
      <c r="A2258" s="374" t="s">
        <v>3569</v>
      </c>
      <c r="B2258" s="374">
        <v>207</v>
      </c>
      <c r="C2258" s="374" t="s">
        <v>1264</v>
      </c>
      <c r="D2258" s="375" t="str">
        <f t="shared" si="462"/>
        <v>Katalia Estate207</v>
      </c>
      <c r="E2258" s="375" t="s">
        <v>8972</v>
      </c>
      <c r="F2258" s="375"/>
      <c r="G2258" s="375" t="s">
        <v>2615</v>
      </c>
      <c r="H2258" s="375" t="s">
        <v>3571</v>
      </c>
      <c r="I2258" s="63" t="s">
        <v>2616</v>
      </c>
      <c r="J2258" s="47">
        <f t="shared" si="463"/>
        <v>3740</v>
      </c>
      <c r="K2258" s="46" t="s">
        <v>10735</v>
      </c>
      <c r="L2258" s="47" t="s">
        <v>2646</v>
      </c>
      <c r="M2258" s="47">
        <f t="shared" si="464"/>
        <v>1430.0000000000002</v>
      </c>
      <c r="N2258" s="47" t="s">
        <v>3572</v>
      </c>
      <c r="O2258" s="47"/>
      <c r="P2258" s="47"/>
      <c r="Q2258" s="47"/>
      <c r="R2258" s="47"/>
      <c r="S2258" s="47" t="s">
        <v>967</v>
      </c>
      <c r="T2258" s="47" t="s">
        <v>3573</v>
      </c>
      <c r="U2258" s="47"/>
      <c r="V2258" s="47"/>
      <c r="W2258" s="47"/>
      <c r="X2258" s="47"/>
      <c r="Y2258" s="47"/>
      <c r="Z2258" s="47">
        <f t="shared" si="465"/>
        <v>4620</v>
      </c>
      <c r="AA2258" s="47"/>
      <c r="AB2258" s="47"/>
      <c r="AC2258" s="47"/>
      <c r="AD2258" s="47" t="s">
        <v>1</v>
      </c>
      <c r="AE2258" s="47"/>
      <c r="AF2258" s="47"/>
      <c r="AG2258" s="47"/>
      <c r="AH2258" s="47" t="str">
        <f>IFERROR(_xlfn.XLOOKUP(Table6[[#This Row],[Suburb]],Table5[Travel Surcharge],Table5[$$]),"")</f>
        <v/>
      </c>
      <c r="AI2258" s="47"/>
      <c r="AJ2258" s="47"/>
    </row>
    <row r="2259" spans="1:36">
      <c r="A2259" s="157" t="s">
        <v>3569</v>
      </c>
      <c r="B2259" s="157">
        <v>209</v>
      </c>
      <c r="C2259" s="157" t="s">
        <v>8281</v>
      </c>
      <c r="D2259" s="157" t="str">
        <f t="shared" si="462"/>
        <v>Katalia Estate209</v>
      </c>
      <c r="E2259" s="157" t="s">
        <v>8357</v>
      </c>
      <c r="F2259" s="157"/>
      <c r="G2259" s="157" t="s">
        <v>2615</v>
      </c>
      <c r="H2259" s="157" t="s">
        <v>8356</v>
      </c>
      <c r="I2259" s="158" t="s">
        <v>2616</v>
      </c>
      <c r="J2259" s="47">
        <f t="shared" si="463"/>
        <v>3740</v>
      </c>
      <c r="K2259" s="46" t="s">
        <v>10735</v>
      </c>
      <c r="L2259" s="47" t="s">
        <v>8194</v>
      </c>
      <c r="M2259" s="47">
        <f t="shared" si="464"/>
        <v>1430.0000000000002</v>
      </c>
      <c r="N2259" s="47" t="s">
        <v>3572</v>
      </c>
      <c r="O2259" s="47"/>
      <c r="P2259" s="47"/>
      <c r="Q2259" s="47"/>
      <c r="R2259" s="47"/>
      <c r="S2259" s="47" t="s">
        <v>967</v>
      </c>
      <c r="T2259" s="47" t="s">
        <v>3573</v>
      </c>
      <c r="U2259" s="47"/>
      <c r="V2259" s="47"/>
      <c r="W2259" s="47"/>
      <c r="X2259" s="47"/>
      <c r="Y2259" s="47"/>
      <c r="Z2259" s="47">
        <f t="shared" si="465"/>
        <v>4620</v>
      </c>
      <c r="AA2259" s="47"/>
      <c r="AB2259" s="47"/>
      <c r="AC2259" s="47"/>
      <c r="AD2259" s="47" t="s">
        <v>1</v>
      </c>
      <c r="AE2259" s="47"/>
      <c r="AF2259" s="47"/>
      <c r="AG2259" s="47"/>
      <c r="AH2259" s="47" t="str">
        <f>IFERROR(_xlfn.XLOOKUP(Table6[[#This Row],[Suburb]],Table5[Travel Surcharge],Table5[$$]),"")</f>
        <v/>
      </c>
      <c r="AI2259" s="47"/>
      <c r="AJ2259" s="47"/>
    </row>
    <row r="2260" spans="1:36">
      <c r="A2260" s="157" t="s">
        <v>3569</v>
      </c>
      <c r="B2260" s="157">
        <v>210</v>
      </c>
      <c r="C2260" s="157" t="s">
        <v>8281</v>
      </c>
      <c r="D2260" s="157" t="str">
        <f t="shared" si="462"/>
        <v>Katalia Estate210</v>
      </c>
      <c r="E2260" s="157" t="s">
        <v>8759</v>
      </c>
      <c r="F2260" s="157"/>
      <c r="G2260" s="157" t="s">
        <v>2615</v>
      </c>
      <c r="H2260" s="157" t="s">
        <v>8356</v>
      </c>
      <c r="I2260" s="158" t="s">
        <v>2616</v>
      </c>
      <c r="J2260" s="47">
        <f t="shared" si="463"/>
        <v>3740</v>
      </c>
      <c r="K2260" s="46" t="s">
        <v>10735</v>
      </c>
      <c r="L2260" s="47" t="s">
        <v>8194</v>
      </c>
      <c r="M2260" s="47">
        <f t="shared" si="464"/>
        <v>1430.0000000000002</v>
      </c>
      <c r="N2260" s="47" t="s">
        <v>3572</v>
      </c>
      <c r="O2260" s="47"/>
      <c r="P2260" s="47"/>
      <c r="Q2260" s="47"/>
      <c r="R2260" s="47"/>
      <c r="S2260" s="47" t="s">
        <v>967</v>
      </c>
      <c r="T2260" s="47" t="s">
        <v>3573</v>
      </c>
      <c r="U2260" s="47"/>
      <c r="V2260" s="47"/>
      <c r="W2260" s="47"/>
      <c r="X2260" s="47"/>
      <c r="Y2260" s="47"/>
      <c r="Z2260" s="47">
        <f t="shared" si="465"/>
        <v>4620</v>
      </c>
      <c r="AA2260" s="47"/>
      <c r="AB2260" s="47"/>
      <c r="AC2260" s="47"/>
      <c r="AD2260" s="47" t="s">
        <v>1</v>
      </c>
      <c r="AE2260" s="47"/>
      <c r="AF2260" s="47"/>
      <c r="AG2260" s="47"/>
      <c r="AH2260" s="47" t="str">
        <f>IFERROR(_xlfn.XLOOKUP(Table6[[#This Row],[Suburb]],Table5[Travel Surcharge],Table5[$$]),"")</f>
        <v/>
      </c>
      <c r="AI2260" s="47"/>
      <c r="AJ2260" s="47"/>
    </row>
    <row r="2261" spans="1:36">
      <c r="A2261" s="157" t="s">
        <v>3569</v>
      </c>
      <c r="B2261" s="157">
        <v>211</v>
      </c>
      <c r="C2261" s="157" t="s">
        <v>8281</v>
      </c>
      <c r="D2261" s="157" t="str">
        <f t="shared" si="462"/>
        <v>Katalia Estate211</v>
      </c>
      <c r="E2261" s="157" t="s">
        <v>8760</v>
      </c>
      <c r="F2261" s="157"/>
      <c r="G2261" s="157" t="s">
        <v>2615</v>
      </c>
      <c r="H2261" s="157" t="s">
        <v>8356</v>
      </c>
      <c r="I2261" s="158" t="s">
        <v>2616</v>
      </c>
      <c r="J2261" s="47">
        <f t="shared" si="463"/>
        <v>3740</v>
      </c>
      <c r="K2261" s="46" t="s">
        <v>10735</v>
      </c>
      <c r="L2261" s="47" t="s">
        <v>8194</v>
      </c>
      <c r="M2261" s="47">
        <f t="shared" si="464"/>
        <v>1430.0000000000002</v>
      </c>
      <c r="N2261" s="47" t="s">
        <v>3572</v>
      </c>
      <c r="O2261" s="47"/>
      <c r="P2261" s="47"/>
      <c r="Q2261" s="47"/>
      <c r="R2261" s="47"/>
      <c r="S2261" s="47" t="s">
        <v>967</v>
      </c>
      <c r="T2261" s="47" t="s">
        <v>3573</v>
      </c>
      <c r="U2261" s="47"/>
      <c r="V2261" s="47"/>
      <c r="W2261" s="47"/>
      <c r="X2261" s="47"/>
      <c r="Y2261" s="47"/>
      <c r="Z2261" s="47">
        <f t="shared" si="465"/>
        <v>4620</v>
      </c>
      <c r="AA2261" s="47"/>
      <c r="AB2261" s="47"/>
      <c r="AC2261" s="47"/>
      <c r="AD2261" s="47" t="s">
        <v>1</v>
      </c>
      <c r="AE2261" s="47"/>
      <c r="AF2261" s="47"/>
      <c r="AG2261" s="47"/>
      <c r="AH2261" s="47" t="str">
        <f>IFERROR(_xlfn.XLOOKUP(Table6[[#This Row],[Suburb]],Table5[Travel Surcharge],Table5[$$]),"")</f>
        <v/>
      </c>
      <c r="AI2261" s="47"/>
      <c r="AJ2261" s="47"/>
    </row>
    <row r="2262" spans="1:36">
      <c r="A2262" s="374" t="s">
        <v>3569</v>
      </c>
      <c r="B2262" s="374">
        <v>214</v>
      </c>
      <c r="C2262" s="374" t="s">
        <v>1264</v>
      </c>
      <c r="D2262" s="375" t="str">
        <f t="shared" si="462"/>
        <v>Katalia Estate214</v>
      </c>
      <c r="E2262" s="375" t="s">
        <v>10465</v>
      </c>
      <c r="F2262" s="375"/>
      <c r="G2262" s="375" t="s">
        <v>2615</v>
      </c>
      <c r="H2262" s="375" t="s">
        <v>3571</v>
      </c>
      <c r="I2262" s="63" t="s">
        <v>2616</v>
      </c>
      <c r="J2262" s="47">
        <v>3740</v>
      </c>
      <c r="K2262" s="46" t="s">
        <v>10735</v>
      </c>
      <c r="L2262" s="47" t="s">
        <v>2646</v>
      </c>
      <c r="M2262" s="47">
        <v>1430.0000000000002</v>
      </c>
      <c r="N2262" s="47" t="s">
        <v>3572</v>
      </c>
      <c r="O2262" s="47"/>
      <c r="P2262" s="47"/>
      <c r="Q2262" s="47"/>
      <c r="R2262" s="47"/>
      <c r="S2262" s="47" t="s">
        <v>967</v>
      </c>
      <c r="T2262" s="47" t="s">
        <v>3573</v>
      </c>
      <c r="U2262" s="47"/>
      <c r="V2262" s="47"/>
      <c r="W2262" s="47"/>
      <c r="X2262" s="47"/>
      <c r="Y2262" s="47"/>
      <c r="Z2262" s="47">
        <v>4620</v>
      </c>
      <c r="AA2262" s="47"/>
      <c r="AB2262" s="47"/>
      <c r="AC2262" s="47"/>
      <c r="AD2262" s="47" t="s">
        <v>1</v>
      </c>
      <c r="AE2262" s="47"/>
      <c r="AF2262" s="47"/>
      <c r="AG2262" s="47"/>
      <c r="AH2262" s="47" t="s">
        <v>9976</v>
      </c>
      <c r="AI2262" s="47"/>
      <c r="AJ2262" s="47"/>
    </row>
    <row r="2263" spans="1:36">
      <c r="A2263" s="374" t="s">
        <v>3569</v>
      </c>
      <c r="B2263" s="374">
        <v>301</v>
      </c>
      <c r="C2263" s="374" t="s">
        <v>1264</v>
      </c>
      <c r="D2263" s="375" t="str">
        <f t="shared" si="462"/>
        <v>Katalia Estate301</v>
      </c>
      <c r="E2263" s="375" t="s">
        <v>10983</v>
      </c>
      <c r="F2263" s="375"/>
      <c r="G2263" s="375" t="s">
        <v>2615</v>
      </c>
      <c r="H2263" s="375" t="s">
        <v>3571</v>
      </c>
      <c r="I2263" s="63" t="s">
        <v>2616</v>
      </c>
      <c r="J2263" s="47">
        <v>3740</v>
      </c>
      <c r="K2263" s="46" t="s">
        <v>10735</v>
      </c>
      <c r="L2263" s="47" t="s">
        <v>2646</v>
      </c>
      <c r="M2263" s="47">
        <v>1430.0000000000002</v>
      </c>
      <c r="N2263" s="47" t="s">
        <v>3572</v>
      </c>
      <c r="O2263" s="47"/>
      <c r="P2263" s="47"/>
      <c r="Q2263" s="47"/>
      <c r="R2263" s="47"/>
      <c r="S2263" s="47" t="s">
        <v>967</v>
      </c>
      <c r="T2263" s="47" t="s">
        <v>3573</v>
      </c>
      <c r="U2263" s="47"/>
      <c r="V2263" s="47"/>
      <c r="W2263" s="47"/>
      <c r="X2263" s="47"/>
      <c r="Y2263" s="47"/>
      <c r="Z2263" s="47">
        <v>4620</v>
      </c>
      <c r="AA2263" s="47"/>
      <c r="AB2263" s="47"/>
      <c r="AC2263" s="47"/>
      <c r="AD2263" s="47" t="s">
        <v>1</v>
      </c>
      <c r="AE2263" s="47"/>
      <c r="AF2263" s="47"/>
      <c r="AG2263" s="47"/>
      <c r="AH2263" s="47" t="s">
        <v>9976</v>
      </c>
      <c r="AI2263" s="47"/>
      <c r="AJ2263" s="47"/>
    </row>
    <row r="2264" spans="1:36">
      <c r="A2264" s="374" t="s">
        <v>3585</v>
      </c>
      <c r="B2264" s="374">
        <v>4</v>
      </c>
      <c r="C2264" s="374" t="s">
        <v>394</v>
      </c>
      <c r="D2264" s="375" t="str">
        <f t="shared" si="462"/>
        <v>Katandra Rise Estate4</v>
      </c>
      <c r="E2264" s="375" t="s">
        <v>3586</v>
      </c>
      <c r="F2264" s="375" t="s">
        <v>3587</v>
      </c>
      <c r="G2264" s="375" t="s">
        <v>2746</v>
      </c>
      <c r="H2264" s="375" t="s">
        <v>2747</v>
      </c>
      <c r="I2264" s="63" t="s">
        <v>2748</v>
      </c>
      <c r="J2264" s="47"/>
      <c r="K2264" s="46" t="s">
        <v>10735</v>
      </c>
      <c r="L2264" s="47">
        <f>L$7</f>
        <v>1210</v>
      </c>
      <c r="M2264" s="47"/>
      <c r="N2264" s="47"/>
      <c r="O2264" s="47"/>
      <c r="P2264" s="47"/>
      <c r="Q2264" s="47"/>
      <c r="R2264" s="47"/>
      <c r="S2264" s="47"/>
      <c r="T2264" s="47">
        <f>T$2</f>
        <v>780</v>
      </c>
      <c r="U2264" s="47"/>
      <c r="V2264" s="47"/>
      <c r="W2264" s="47"/>
      <c r="X2264" s="47">
        <f>X$7</f>
        <v>3000</v>
      </c>
      <c r="Y2264" s="47"/>
      <c r="Z2264" s="47">
        <f t="shared" si="465"/>
        <v>4620</v>
      </c>
      <c r="AA2264" s="47"/>
      <c r="AB2264" s="47"/>
      <c r="AC2264" s="47"/>
      <c r="AD2264" s="47"/>
      <c r="AE2264" s="47"/>
      <c r="AF2264" s="47"/>
      <c r="AG2264" s="47"/>
      <c r="AH2264" s="47" t="str">
        <f>IFERROR(_xlfn.XLOOKUP(Table6[[#This Row],[Suburb]],Table5[Travel Surcharge],Table5[$$]),"")</f>
        <v/>
      </c>
      <c r="AI2264" s="47"/>
      <c r="AJ2264" s="47"/>
    </row>
    <row r="2265" spans="1:36">
      <c r="A2265" s="374" t="s">
        <v>3585</v>
      </c>
      <c r="B2265" s="374">
        <v>5</v>
      </c>
      <c r="C2265" s="374" t="s">
        <v>394</v>
      </c>
      <c r="D2265" s="375" t="str">
        <f t="shared" si="462"/>
        <v>Katandra Rise Estate5</v>
      </c>
      <c r="E2265" s="375" t="s">
        <v>3588</v>
      </c>
      <c r="F2265" s="375" t="s">
        <v>3587</v>
      </c>
      <c r="G2265" s="375" t="s">
        <v>2746</v>
      </c>
      <c r="H2265" s="375" t="s">
        <v>2747</v>
      </c>
      <c r="I2265" s="63" t="s">
        <v>2748</v>
      </c>
      <c r="J2265" s="47"/>
      <c r="K2265" s="46" t="s">
        <v>10735</v>
      </c>
      <c r="L2265" s="47">
        <f>L$7</f>
        <v>1210</v>
      </c>
      <c r="M2265" s="47"/>
      <c r="N2265" s="47"/>
      <c r="O2265" s="47"/>
      <c r="P2265" s="47"/>
      <c r="Q2265" s="47"/>
      <c r="R2265" s="47"/>
      <c r="S2265" s="47"/>
      <c r="T2265" s="47">
        <f>T$2</f>
        <v>780</v>
      </c>
      <c r="U2265" s="47"/>
      <c r="V2265" s="47"/>
      <c r="W2265" s="47"/>
      <c r="X2265" s="47">
        <f>X$7</f>
        <v>3000</v>
      </c>
      <c r="Y2265" s="47"/>
      <c r="Z2265" s="47">
        <f t="shared" si="465"/>
        <v>4620</v>
      </c>
      <c r="AA2265" s="47"/>
      <c r="AB2265" s="47"/>
      <c r="AC2265" s="47"/>
      <c r="AD2265" s="47"/>
      <c r="AE2265" s="47"/>
      <c r="AF2265" s="47"/>
      <c r="AG2265" s="47"/>
      <c r="AH2265" s="47" t="str">
        <f>IFERROR(_xlfn.XLOOKUP(Table6[[#This Row],[Suburb]],Table5[Travel Surcharge],Table5[$$]),"")</f>
        <v/>
      </c>
      <c r="AI2265" s="47"/>
      <c r="AJ2265" s="47"/>
    </row>
    <row r="2266" spans="1:36">
      <c r="A2266" s="374" t="s">
        <v>3585</v>
      </c>
      <c r="B2266" s="374">
        <v>11</v>
      </c>
      <c r="C2266" s="374" t="s">
        <v>394</v>
      </c>
      <c r="D2266" s="375" t="str">
        <f t="shared" si="462"/>
        <v>Katandra Rise Estate11</v>
      </c>
      <c r="E2266" s="375" t="s">
        <v>3589</v>
      </c>
      <c r="F2266" s="375" t="s">
        <v>3587</v>
      </c>
      <c r="G2266" s="375" t="s">
        <v>3590</v>
      </c>
      <c r="H2266" s="375" t="s">
        <v>3591</v>
      </c>
      <c r="I2266" s="63" t="s">
        <v>3592</v>
      </c>
      <c r="J2266" s="47"/>
      <c r="K2266" s="46" t="s">
        <v>10735</v>
      </c>
      <c r="L2266" s="47">
        <f>L$7</f>
        <v>1210</v>
      </c>
      <c r="M2266" s="47"/>
      <c r="N2266" s="47"/>
      <c r="O2266" s="47"/>
      <c r="P2266" s="47"/>
      <c r="Q2266" s="47"/>
      <c r="R2266" s="47"/>
      <c r="S2266" s="47"/>
      <c r="T2266" s="47">
        <f>T$2</f>
        <v>780</v>
      </c>
      <c r="U2266" s="47"/>
      <c r="V2266" s="47"/>
      <c r="W2266" s="47"/>
      <c r="X2266" s="47">
        <f>X$7</f>
        <v>3000</v>
      </c>
      <c r="Y2266" s="47"/>
      <c r="Z2266" s="47">
        <f t="shared" si="465"/>
        <v>4620</v>
      </c>
      <c r="AA2266" s="47"/>
      <c r="AB2266" s="47"/>
      <c r="AC2266" s="47"/>
      <c r="AD2266" s="47"/>
      <c r="AE2266" s="47"/>
      <c r="AF2266" s="47"/>
      <c r="AG2266" s="47"/>
      <c r="AH2266" s="47" t="str">
        <f>IFERROR(_xlfn.XLOOKUP(Table6[[#This Row],[Suburb]],Table5[Travel Surcharge],Table5[$$]),"")</f>
        <v/>
      </c>
      <c r="AI2266" s="47"/>
      <c r="AJ2266" s="47"/>
    </row>
    <row r="2267" spans="1:36">
      <c r="A2267" s="374" t="s">
        <v>3585</v>
      </c>
      <c r="B2267" s="374">
        <v>13</v>
      </c>
      <c r="C2267" s="374" t="s">
        <v>394</v>
      </c>
      <c r="D2267" s="375" t="str">
        <f t="shared" si="462"/>
        <v>Katandra Rise Estate13</v>
      </c>
      <c r="E2267" s="375" t="s">
        <v>3593</v>
      </c>
      <c r="F2267" s="375" t="s">
        <v>3587</v>
      </c>
      <c r="G2267" s="375" t="s">
        <v>3590</v>
      </c>
      <c r="H2267" s="375" t="s">
        <v>3591</v>
      </c>
      <c r="I2267" s="63" t="s">
        <v>3592</v>
      </c>
      <c r="J2267" s="47"/>
      <c r="K2267" s="46" t="s">
        <v>10735</v>
      </c>
      <c r="L2267" s="47">
        <f>L$7</f>
        <v>1210</v>
      </c>
      <c r="M2267" s="47"/>
      <c r="N2267" s="47"/>
      <c r="O2267" s="47"/>
      <c r="P2267" s="47"/>
      <c r="Q2267" s="47"/>
      <c r="R2267" s="47"/>
      <c r="S2267" s="47"/>
      <c r="T2267" s="47">
        <f>T$2</f>
        <v>780</v>
      </c>
      <c r="U2267" s="47"/>
      <c r="V2267" s="47"/>
      <c r="W2267" s="47"/>
      <c r="X2267" s="47">
        <f>X$7</f>
        <v>3000</v>
      </c>
      <c r="Y2267" s="47"/>
      <c r="Z2267" s="47">
        <f t="shared" si="465"/>
        <v>4620</v>
      </c>
      <c r="AA2267" s="47"/>
      <c r="AB2267" s="47"/>
      <c r="AC2267" s="47"/>
      <c r="AD2267" s="47"/>
      <c r="AE2267" s="47"/>
      <c r="AF2267" s="47"/>
      <c r="AG2267" s="47"/>
      <c r="AH2267" s="47" t="str">
        <f>IFERROR(_xlfn.XLOOKUP(Table6[[#This Row],[Suburb]],Table5[Travel Surcharge],Table5[$$]),"")</f>
        <v/>
      </c>
      <c r="AI2267" s="47"/>
      <c r="AJ2267" s="47"/>
    </row>
    <row r="2268" spans="1:36">
      <c r="A2268" s="374" t="s">
        <v>3585</v>
      </c>
      <c r="B2268" s="374">
        <v>15</v>
      </c>
      <c r="C2268" s="374" t="s">
        <v>394</v>
      </c>
      <c r="D2268" s="375" t="str">
        <f t="shared" si="462"/>
        <v>Katandra Rise Estate15</v>
      </c>
      <c r="E2268" s="375" t="s">
        <v>3594</v>
      </c>
      <c r="F2268" s="375" t="s">
        <v>3587</v>
      </c>
      <c r="G2268" s="375" t="s">
        <v>3590</v>
      </c>
      <c r="H2268" s="375" t="s">
        <v>3591</v>
      </c>
      <c r="I2268" s="63" t="s">
        <v>3592</v>
      </c>
      <c r="J2268" s="47"/>
      <c r="K2268" s="46" t="s">
        <v>10735</v>
      </c>
      <c r="L2268" s="47">
        <f>L$7</f>
        <v>1210</v>
      </c>
      <c r="M2268" s="47"/>
      <c r="N2268" s="47"/>
      <c r="O2268" s="47"/>
      <c r="P2268" s="47"/>
      <c r="Q2268" s="47"/>
      <c r="R2268" s="47"/>
      <c r="S2268" s="47"/>
      <c r="T2268" s="47">
        <f>T$2</f>
        <v>780</v>
      </c>
      <c r="U2268" s="47"/>
      <c r="V2268" s="47"/>
      <c r="W2268" s="47"/>
      <c r="X2268" s="47">
        <f>X$7</f>
        <v>3000</v>
      </c>
      <c r="Y2268" s="47"/>
      <c r="Z2268" s="47">
        <f t="shared" si="465"/>
        <v>4620</v>
      </c>
      <c r="AA2268" s="47"/>
      <c r="AB2268" s="47"/>
      <c r="AC2268" s="47"/>
      <c r="AD2268" s="47"/>
      <c r="AE2268" s="47"/>
      <c r="AF2268" s="47"/>
      <c r="AG2268" s="47"/>
      <c r="AH2268" s="47" t="str">
        <f>IFERROR(_xlfn.XLOOKUP(Table6[[#This Row],[Suburb]],Table5[Travel Surcharge],Table5[$$]),"")</f>
        <v/>
      </c>
      <c r="AI2268" s="47"/>
      <c r="AJ2268" s="47"/>
    </row>
    <row r="2269" spans="1:36">
      <c r="A2269" s="374" t="s">
        <v>9724</v>
      </c>
      <c r="B2269" s="374">
        <v>1</v>
      </c>
      <c r="C2269" s="374" t="s">
        <v>502</v>
      </c>
      <c r="D2269" s="375" t="str">
        <f t="shared" si="462"/>
        <v>Kaylana1</v>
      </c>
      <c r="E2269" s="375" t="s">
        <v>9725</v>
      </c>
      <c r="F2269" s="375"/>
      <c r="G2269" s="375" t="s">
        <v>5927</v>
      </c>
      <c r="H2269" s="375" t="s">
        <v>9726</v>
      </c>
      <c r="I2269" s="63"/>
      <c r="J2269" s="47">
        <f>J$7</f>
        <v>3740</v>
      </c>
      <c r="K2269" s="46" t="s">
        <v>10735</v>
      </c>
      <c r="L2269" s="47" t="s">
        <v>8773</v>
      </c>
      <c r="M2269" s="47">
        <f>M$7</f>
        <v>1430.0000000000002</v>
      </c>
      <c r="N2269" s="47"/>
      <c r="O2269" s="47">
        <f>O$7</f>
        <v>4950</v>
      </c>
      <c r="P2269" s="47"/>
      <c r="Q2269" s="47"/>
      <c r="R2269" s="47" t="e">
        <f>#REF!</f>
        <v>#REF!</v>
      </c>
      <c r="S2269" s="47"/>
      <c r="T2269" s="47"/>
      <c r="U2269" s="47"/>
      <c r="V2269" s="47" t="s">
        <v>9727</v>
      </c>
      <c r="W2269" s="47"/>
      <c r="X2269" s="47"/>
      <c r="Y2269" s="47"/>
      <c r="Z2269" s="47">
        <f t="shared" si="465"/>
        <v>4620</v>
      </c>
      <c r="AA2269" s="47"/>
      <c r="AB2269" s="47"/>
      <c r="AC2269" s="47"/>
      <c r="AD2269" s="47"/>
      <c r="AE2269" s="47"/>
      <c r="AF2269" s="47">
        <f>AF$7</f>
        <v>1485</v>
      </c>
      <c r="AG2269" s="47"/>
      <c r="AH2269" s="47" t="str">
        <f>IFERROR(_xlfn.XLOOKUP(Table6[[#This Row],[Suburb]],Table5[Travel Surcharge],Table5[$$]),"")</f>
        <v/>
      </c>
      <c r="AI2269" s="47"/>
      <c r="AJ2269" s="47"/>
    </row>
    <row r="2270" spans="1:36">
      <c r="A2270" s="374" t="s">
        <v>8997</v>
      </c>
      <c r="B2270" s="374">
        <v>1</v>
      </c>
      <c r="C2270" s="374"/>
      <c r="D2270" s="375" t="str">
        <f t="shared" si="462"/>
        <v>KDRB1</v>
      </c>
      <c r="E2270" s="375"/>
      <c r="F2270" s="375"/>
      <c r="G2270" s="375"/>
      <c r="H2270" s="375"/>
      <c r="I2270" s="63"/>
      <c r="J2270" s="47"/>
      <c r="K2270" s="46" t="s">
        <v>10735</v>
      </c>
      <c r="L2270" s="47"/>
      <c r="M2270" s="47"/>
      <c r="N2270" s="47"/>
      <c r="O2270" s="47"/>
      <c r="P2270" s="47"/>
      <c r="Q2270" s="47"/>
      <c r="R2270" s="47"/>
      <c r="S2270" s="47"/>
      <c r="T2270" s="47"/>
      <c r="U2270" s="47"/>
      <c r="V2270" s="47"/>
      <c r="W2270" s="47"/>
      <c r="X2270" s="47"/>
      <c r="Y2270" s="47"/>
      <c r="Z2270" s="47">
        <f t="shared" si="465"/>
        <v>4620</v>
      </c>
      <c r="AA2270" s="47"/>
      <c r="AB2270" s="47"/>
      <c r="AC2270" s="47"/>
      <c r="AD2270" s="47"/>
      <c r="AE2270" s="47"/>
      <c r="AF2270" s="47"/>
      <c r="AG2270" s="47"/>
      <c r="AH2270" s="47" t="str">
        <f>IFERROR(_xlfn.XLOOKUP(Table6[[#This Row],[Suburb]],Table5[Travel Surcharge],Table5[$$]),"")</f>
        <v/>
      </c>
      <c r="AI2270" s="47"/>
      <c r="AJ2270" s="47"/>
    </row>
    <row r="2271" spans="1:36">
      <c r="A2271" s="374" t="s">
        <v>3595</v>
      </c>
      <c r="B2271" s="276" t="s">
        <v>501</v>
      </c>
      <c r="C2271" s="374" t="s">
        <v>631</v>
      </c>
      <c r="D2271" s="375" t="str">
        <f t="shared" si="462"/>
        <v>Kelly on Lithgow1A</v>
      </c>
      <c r="E2271" s="375" t="s">
        <v>10355</v>
      </c>
      <c r="F2271" s="375" t="s">
        <v>2373</v>
      </c>
      <c r="G2271" s="375" t="s">
        <v>3597</v>
      </c>
      <c r="H2271" s="375" t="s">
        <v>2375</v>
      </c>
      <c r="I2271" s="63" t="s">
        <v>2376</v>
      </c>
      <c r="J2271" s="47">
        <v>3740</v>
      </c>
      <c r="K2271" s="46" t="s">
        <v>10735</v>
      </c>
      <c r="L2271" s="47"/>
      <c r="M2271" s="47">
        <v>1430.0000000000002</v>
      </c>
      <c r="N2271" s="47"/>
      <c r="O2271" s="47"/>
      <c r="P2271" s="47"/>
      <c r="Q2271" s="47"/>
      <c r="R2271" s="47"/>
      <c r="S2271" s="47"/>
      <c r="T2271" s="47">
        <v>1420</v>
      </c>
      <c r="U2271" s="47"/>
      <c r="V2271" s="47"/>
      <c r="W2271" s="47"/>
      <c r="X2271" s="47"/>
      <c r="Y2271" s="47"/>
      <c r="Z2271" s="47">
        <v>4620</v>
      </c>
      <c r="AA2271" s="47"/>
      <c r="AB2271" s="47"/>
      <c r="AC2271" s="47"/>
      <c r="AD2271" s="47"/>
      <c r="AE2271" s="47"/>
      <c r="AF2271" s="47">
        <v>1485</v>
      </c>
      <c r="AG2271" s="47"/>
      <c r="AH2271" s="47" t="s">
        <v>9976</v>
      </c>
      <c r="AI2271" s="47">
        <v>1650.0000000000002</v>
      </c>
      <c r="AJ2271" s="47"/>
    </row>
    <row r="2272" spans="1:36">
      <c r="A2272" s="374" t="s">
        <v>3595</v>
      </c>
      <c r="B2272" s="374">
        <v>2</v>
      </c>
      <c r="C2272" s="374" t="s">
        <v>631</v>
      </c>
      <c r="D2272" s="375" t="str">
        <f t="shared" si="462"/>
        <v>Kelly on Lithgow2</v>
      </c>
      <c r="E2272" s="375" t="s">
        <v>3596</v>
      </c>
      <c r="F2272" s="375" t="s">
        <v>2373</v>
      </c>
      <c r="G2272" s="375" t="s">
        <v>3597</v>
      </c>
      <c r="H2272" s="375" t="s">
        <v>2375</v>
      </c>
      <c r="I2272" s="63" t="s">
        <v>2376</v>
      </c>
      <c r="J2272" s="47">
        <f>J$7</f>
        <v>3740</v>
      </c>
      <c r="K2272" s="46" t="s">
        <v>10735</v>
      </c>
      <c r="L2272" s="47"/>
      <c r="M2272" s="47">
        <f>M$7</f>
        <v>1430.0000000000002</v>
      </c>
      <c r="N2272" s="47"/>
      <c r="O2272" s="47"/>
      <c r="P2272" s="47"/>
      <c r="Q2272" s="47"/>
      <c r="R2272" s="47"/>
      <c r="S2272" s="47"/>
      <c r="T2272" s="47">
        <f>T$2</f>
        <v>780</v>
      </c>
      <c r="U2272" s="47"/>
      <c r="V2272" s="47"/>
      <c r="W2272" s="47"/>
      <c r="X2272" s="47"/>
      <c r="Y2272" s="47"/>
      <c r="Z2272" s="47">
        <f t="shared" si="465"/>
        <v>4620</v>
      </c>
      <c r="AA2272" s="47"/>
      <c r="AB2272" s="47"/>
      <c r="AC2272" s="47"/>
      <c r="AD2272" s="47"/>
      <c r="AE2272" s="47"/>
      <c r="AF2272" s="47">
        <f>AF$7</f>
        <v>1485</v>
      </c>
      <c r="AG2272" s="47"/>
      <c r="AH2272" s="47" t="str">
        <f>IFERROR(_xlfn.XLOOKUP(Table6[[#This Row],[Suburb]],Table5[Travel Surcharge],Table5[$$]),"")</f>
        <v/>
      </c>
      <c r="AI2272" s="47">
        <f>AI$7</f>
        <v>1650.0000000000002</v>
      </c>
      <c r="AJ2272" s="47"/>
    </row>
    <row r="2273" spans="1:36">
      <c r="A2273" s="374" t="s">
        <v>3598</v>
      </c>
      <c r="B2273" s="374">
        <v>1</v>
      </c>
      <c r="C2273" s="374" t="s">
        <v>722</v>
      </c>
      <c r="D2273" s="375" t="str">
        <f t="shared" si="462"/>
        <v>Kendal Estate1</v>
      </c>
      <c r="E2273" s="375" t="s">
        <v>3599</v>
      </c>
      <c r="F2273" s="375" t="s">
        <v>3600</v>
      </c>
      <c r="G2273" s="375" t="s">
        <v>3601</v>
      </c>
      <c r="H2273" s="375" t="s">
        <v>3602</v>
      </c>
      <c r="I2273" s="63" t="s">
        <v>3603</v>
      </c>
      <c r="J2273" s="47">
        <f>J$7</f>
        <v>3740</v>
      </c>
      <c r="K2273" s="46" t="s">
        <v>10735</v>
      </c>
      <c r="L2273" s="47"/>
      <c r="M2273" s="47">
        <f>M$7</f>
        <v>1430.0000000000002</v>
      </c>
      <c r="N2273" s="47"/>
      <c r="O2273" s="47"/>
      <c r="P2273" s="47"/>
      <c r="Q2273" s="47"/>
      <c r="R2273" s="47"/>
      <c r="S2273" s="47"/>
      <c r="T2273" s="47">
        <f>T$2</f>
        <v>780</v>
      </c>
      <c r="U2273" s="47"/>
      <c r="V2273" s="47"/>
      <c r="W2273" s="47"/>
      <c r="X2273" s="47"/>
      <c r="Y2273" s="47"/>
      <c r="Z2273" s="47">
        <f t="shared" si="465"/>
        <v>4620</v>
      </c>
      <c r="AA2273" s="47"/>
      <c r="AB2273" s="47"/>
      <c r="AC2273" s="47"/>
      <c r="AD2273" s="47"/>
      <c r="AE2273" s="47"/>
      <c r="AF2273" s="47"/>
      <c r="AG2273" s="47"/>
      <c r="AH2273" s="47" t="str">
        <f>IFERROR(_xlfn.XLOOKUP(Table6[[#This Row],[Suburb]],Table5[Travel Surcharge],Table5[$$]),"")</f>
        <v/>
      </c>
      <c r="AI2273" s="47"/>
      <c r="AJ2273" s="47"/>
    </row>
    <row r="2274" spans="1:36">
      <c r="A2274" s="374" t="s">
        <v>3604</v>
      </c>
      <c r="B2274" s="374">
        <v>17</v>
      </c>
      <c r="C2274" s="374" t="s">
        <v>283</v>
      </c>
      <c r="D2274" s="375" t="str">
        <f t="shared" si="462"/>
        <v>Kensington Estate17</v>
      </c>
      <c r="E2274" s="375" t="s">
        <v>3605</v>
      </c>
      <c r="F2274" s="375"/>
      <c r="G2274" s="375"/>
      <c r="H2274" s="375"/>
      <c r="I2274" s="63"/>
      <c r="J2274" s="47"/>
      <c r="K2274" s="46" t="s">
        <v>10735</v>
      </c>
      <c r="L2274" s="47"/>
      <c r="M2274" s="47"/>
      <c r="N2274" s="47"/>
      <c r="O2274" s="47"/>
      <c r="P2274" s="47"/>
      <c r="Q2274" s="47">
        <f t="shared" ref="Q2274:Q2279" si="466">Q$2</f>
        <v>0</v>
      </c>
      <c r="R2274" s="47"/>
      <c r="S2274" s="47"/>
      <c r="T2274" s="47"/>
      <c r="U2274" s="47"/>
      <c r="V2274" s="47"/>
      <c r="W2274" s="47"/>
      <c r="X2274" s="47"/>
      <c r="Y2274" s="47"/>
      <c r="Z2274" s="47">
        <f t="shared" si="465"/>
        <v>4620</v>
      </c>
      <c r="AA2274" s="47"/>
      <c r="AB2274" s="47"/>
      <c r="AC2274" s="47"/>
      <c r="AD2274" s="47"/>
      <c r="AE2274" s="47"/>
      <c r="AF2274" s="47"/>
      <c r="AG2274" s="47"/>
      <c r="AH2274" s="47">
        <f>IFERROR(_xlfn.XLOOKUP(Table6[[#This Row],[Suburb]],Table5[Travel Surcharge],Table5[$$]),"")</f>
        <v>1500</v>
      </c>
      <c r="AI2274" s="47"/>
      <c r="AJ2274" s="47"/>
    </row>
    <row r="2275" spans="1:36">
      <c r="A2275" s="374" t="s">
        <v>3606</v>
      </c>
      <c r="B2275" s="374">
        <v>1</v>
      </c>
      <c r="C2275" s="374" t="s">
        <v>550</v>
      </c>
      <c r="D2275" s="375" t="str">
        <f t="shared" si="462"/>
        <v>Kerani Heights1</v>
      </c>
      <c r="E2275" s="375" t="s">
        <v>3607</v>
      </c>
      <c r="F2275" s="375" t="s">
        <v>1862</v>
      </c>
      <c r="G2275" s="375" t="s">
        <v>3608</v>
      </c>
      <c r="H2275" s="375" t="s">
        <v>3609</v>
      </c>
      <c r="I2275" s="63" t="s">
        <v>3610</v>
      </c>
      <c r="J2275" s="47" t="s">
        <v>3018</v>
      </c>
      <c r="K2275" s="46" t="s">
        <v>10735</v>
      </c>
      <c r="L2275" s="47"/>
      <c r="M2275" s="47"/>
      <c r="N2275" s="47"/>
      <c r="O2275" s="47" t="s">
        <v>3611</v>
      </c>
      <c r="P2275" s="47"/>
      <c r="Q2275" s="47">
        <f t="shared" si="466"/>
        <v>0</v>
      </c>
      <c r="R2275" s="47"/>
      <c r="S2275" s="47"/>
      <c r="T2275" s="47"/>
      <c r="U2275" s="47"/>
      <c r="V2275" s="47"/>
      <c r="W2275" s="47"/>
      <c r="X2275" s="47"/>
      <c r="Y2275" s="47"/>
      <c r="Z2275" s="47">
        <f t="shared" si="465"/>
        <v>4620</v>
      </c>
      <c r="AA2275" s="47"/>
      <c r="AB2275" s="47"/>
      <c r="AC2275" s="47"/>
      <c r="AD2275" s="47"/>
      <c r="AE2275" s="47"/>
      <c r="AF2275" s="47"/>
      <c r="AG2275" s="47"/>
      <c r="AH2275" s="47" t="str">
        <f>IFERROR(_xlfn.XLOOKUP(Table6[[#This Row],[Suburb]],Table5[Travel Surcharge],Table5[$$]),"")</f>
        <v/>
      </c>
      <c r="AI2275" s="47"/>
      <c r="AJ2275" s="47"/>
    </row>
    <row r="2276" spans="1:36">
      <c r="A2276" s="374" t="s">
        <v>3606</v>
      </c>
      <c r="B2276" s="374">
        <v>2</v>
      </c>
      <c r="C2276" s="374" t="s">
        <v>550</v>
      </c>
      <c r="D2276" s="375" t="str">
        <f t="shared" si="462"/>
        <v>Kerani Heights2</v>
      </c>
      <c r="E2276" s="375" t="s">
        <v>3612</v>
      </c>
      <c r="F2276" s="375" t="s">
        <v>1862</v>
      </c>
      <c r="G2276" s="375" t="s">
        <v>3608</v>
      </c>
      <c r="H2276" s="375" t="s">
        <v>3609</v>
      </c>
      <c r="I2276" s="63" t="s">
        <v>3610</v>
      </c>
      <c r="J2276" s="47" t="s">
        <v>3018</v>
      </c>
      <c r="K2276" s="46" t="s">
        <v>10735</v>
      </c>
      <c r="L2276" s="47"/>
      <c r="M2276" s="47"/>
      <c r="N2276" s="47"/>
      <c r="O2276" s="47" t="s">
        <v>3611</v>
      </c>
      <c r="P2276" s="47"/>
      <c r="Q2276" s="47">
        <f t="shared" si="466"/>
        <v>0</v>
      </c>
      <c r="R2276" s="47"/>
      <c r="S2276" s="47"/>
      <c r="T2276" s="47"/>
      <c r="U2276" s="47"/>
      <c r="V2276" s="47"/>
      <c r="W2276" s="47"/>
      <c r="X2276" s="47"/>
      <c r="Y2276" s="47"/>
      <c r="Z2276" s="47">
        <f t="shared" si="465"/>
        <v>4620</v>
      </c>
      <c r="AA2276" s="47"/>
      <c r="AB2276" s="47"/>
      <c r="AC2276" s="47"/>
      <c r="AD2276" s="47"/>
      <c r="AE2276" s="47"/>
      <c r="AF2276" s="47"/>
      <c r="AG2276" s="47"/>
      <c r="AH2276" s="47" t="str">
        <f>IFERROR(_xlfn.XLOOKUP(Table6[[#This Row],[Suburb]],Table5[Travel Surcharge],Table5[$$]),"")</f>
        <v/>
      </c>
      <c r="AI2276" s="47"/>
      <c r="AJ2276" s="47"/>
    </row>
    <row r="2277" spans="1:36">
      <c r="A2277" s="374" t="s">
        <v>3606</v>
      </c>
      <c r="B2277" s="374">
        <v>4</v>
      </c>
      <c r="C2277" s="374" t="s">
        <v>550</v>
      </c>
      <c r="D2277" s="375" t="str">
        <f t="shared" si="462"/>
        <v>Kerani Heights4</v>
      </c>
      <c r="E2277" s="375" t="s">
        <v>3613</v>
      </c>
      <c r="F2277" s="375" t="s">
        <v>1862</v>
      </c>
      <c r="G2277" s="375" t="s">
        <v>3608</v>
      </c>
      <c r="H2277" s="375" t="s">
        <v>3609</v>
      </c>
      <c r="I2277" s="63" t="s">
        <v>3610</v>
      </c>
      <c r="J2277" s="47" t="s">
        <v>3018</v>
      </c>
      <c r="K2277" s="46" t="s">
        <v>10735</v>
      </c>
      <c r="L2277" s="47"/>
      <c r="M2277" s="47"/>
      <c r="N2277" s="47"/>
      <c r="O2277" s="47" t="s">
        <v>3611</v>
      </c>
      <c r="P2277" s="47"/>
      <c r="Q2277" s="47">
        <f t="shared" si="466"/>
        <v>0</v>
      </c>
      <c r="R2277" s="47"/>
      <c r="S2277" s="47"/>
      <c r="T2277" s="47"/>
      <c r="U2277" s="47"/>
      <c r="V2277" s="47"/>
      <c r="W2277" s="47"/>
      <c r="X2277" s="47"/>
      <c r="Y2277" s="47"/>
      <c r="Z2277" s="47">
        <f t="shared" si="465"/>
        <v>4620</v>
      </c>
      <c r="AA2277" s="47"/>
      <c r="AB2277" s="47"/>
      <c r="AC2277" s="47"/>
      <c r="AD2277" s="47"/>
      <c r="AE2277" s="47"/>
      <c r="AF2277" s="47"/>
      <c r="AG2277" s="47"/>
      <c r="AH2277" s="47" t="str">
        <f>IFERROR(_xlfn.XLOOKUP(Table6[[#This Row],[Suburb]],Table5[Travel Surcharge],Table5[$$]),"")</f>
        <v/>
      </c>
      <c r="AI2277" s="47"/>
      <c r="AJ2277" s="47"/>
    </row>
    <row r="2278" spans="1:36">
      <c r="A2278" s="374" t="s">
        <v>3606</v>
      </c>
      <c r="B2278" s="374">
        <v>5</v>
      </c>
      <c r="C2278" s="374" t="s">
        <v>550</v>
      </c>
      <c r="D2278" s="375" t="str">
        <f t="shared" si="462"/>
        <v>Kerani Heights5</v>
      </c>
      <c r="E2278" s="375" t="s">
        <v>3614</v>
      </c>
      <c r="F2278" s="375" t="s">
        <v>1862</v>
      </c>
      <c r="G2278" s="375" t="s">
        <v>3608</v>
      </c>
      <c r="H2278" s="375" t="s">
        <v>3609</v>
      </c>
      <c r="I2278" s="63" t="s">
        <v>3610</v>
      </c>
      <c r="J2278" s="47" t="s">
        <v>3018</v>
      </c>
      <c r="K2278" s="46" t="s">
        <v>10735</v>
      </c>
      <c r="L2278" s="47"/>
      <c r="M2278" s="47"/>
      <c r="N2278" s="47"/>
      <c r="O2278" s="47" t="s">
        <v>3611</v>
      </c>
      <c r="P2278" s="47"/>
      <c r="Q2278" s="47">
        <f t="shared" si="466"/>
        <v>0</v>
      </c>
      <c r="R2278" s="47"/>
      <c r="S2278" s="47"/>
      <c r="T2278" s="47"/>
      <c r="U2278" s="47"/>
      <c r="V2278" s="47"/>
      <c r="W2278" s="47"/>
      <c r="X2278" s="47"/>
      <c r="Y2278" s="47"/>
      <c r="Z2278" s="47">
        <f t="shared" si="465"/>
        <v>4620</v>
      </c>
      <c r="AA2278" s="47"/>
      <c r="AB2278" s="47"/>
      <c r="AC2278" s="47"/>
      <c r="AD2278" s="47"/>
      <c r="AE2278" s="47"/>
      <c r="AF2278" s="47"/>
      <c r="AG2278" s="47"/>
      <c r="AH2278" s="47" t="str">
        <f>IFERROR(_xlfn.XLOOKUP(Table6[[#This Row],[Suburb]],Table5[Travel Surcharge],Table5[$$]),"")</f>
        <v/>
      </c>
      <c r="AI2278" s="47"/>
      <c r="AJ2278" s="47"/>
    </row>
    <row r="2279" spans="1:36">
      <c r="A2279" s="374" t="s">
        <v>3606</v>
      </c>
      <c r="B2279" s="374">
        <v>6</v>
      </c>
      <c r="C2279" s="374" t="s">
        <v>550</v>
      </c>
      <c r="D2279" s="375" t="str">
        <f t="shared" ref="D2279:D2312" si="467">CONCATENATE(A2279,B2279)</f>
        <v>Kerani Heights6</v>
      </c>
      <c r="E2279" s="375" t="s">
        <v>3615</v>
      </c>
      <c r="F2279" s="375" t="s">
        <v>1862</v>
      </c>
      <c r="G2279" s="375" t="s">
        <v>3608</v>
      </c>
      <c r="H2279" s="375" t="s">
        <v>3609</v>
      </c>
      <c r="I2279" s="63" t="s">
        <v>3610</v>
      </c>
      <c r="J2279" s="47" t="s">
        <v>3018</v>
      </c>
      <c r="K2279" s="46" t="s">
        <v>10735</v>
      </c>
      <c r="L2279" s="47"/>
      <c r="M2279" s="47"/>
      <c r="N2279" s="47"/>
      <c r="O2279" s="47" t="s">
        <v>3611</v>
      </c>
      <c r="P2279" s="47"/>
      <c r="Q2279" s="47">
        <f t="shared" si="466"/>
        <v>0</v>
      </c>
      <c r="R2279" s="47"/>
      <c r="S2279" s="47"/>
      <c r="T2279" s="47"/>
      <c r="U2279" s="47"/>
      <c r="V2279" s="47"/>
      <c r="W2279" s="47"/>
      <c r="X2279" s="47"/>
      <c r="Y2279" s="47"/>
      <c r="Z2279" s="47">
        <f t="shared" si="465"/>
        <v>4620</v>
      </c>
      <c r="AA2279" s="47"/>
      <c r="AB2279" s="47"/>
      <c r="AC2279" s="47"/>
      <c r="AD2279" s="47"/>
      <c r="AE2279" s="47"/>
      <c r="AF2279" s="47"/>
      <c r="AG2279" s="47"/>
      <c r="AH2279" s="47" t="str">
        <f>IFERROR(_xlfn.XLOOKUP(Table6[[#This Row],[Suburb]],Table5[Travel Surcharge],Table5[$$]),"")</f>
        <v/>
      </c>
      <c r="AI2279" s="47"/>
      <c r="AJ2279" s="47"/>
    </row>
    <row r="2280" spans="1:36">
      <c r="A2280" s="374" t="s">
        <v>3616</v>
      </c>
      <c r="B2280" s="374">
        <v>1</v>
      </c>
      <c r="C2280" s="374" t="s">
        <v>3617</v>
      </c>
      <c r="D2280" s="375" t="str">
        <f t="shared" si="467"/>
        <v>Key West1</v>
      </c>
      <c r="E2280" s="375" t="s">
        <v>3618</v>
      </c>
      <c r="F2280" s="375"/>
      <c r="G2280" s="375" t="s">
        <v>3619</v>
      </c>
      <c r="H2280" s="375" t="s">
        <v>3620</v>
      </c>
      <c r="I2280" s="63" t="s">
        <v>3621</v>
      </c>
      <c r="J2280" s="47" t="s">
        <v>3018</v>
      </c>
      <c r="K2280" s="46" t="s">
        <v>10735</v>
      </c>
      <c r="L2280" s="47"/>
      <c r="M2280" s="47">
        <f t="shared" ref="M2280:M2286" si="468">M$7</f>
        <v>1430.0000000000002</v>
      </c>
      <c r="N2280" s="47" t="s">
        <v>3622</v>
      </c>
      <c r="O2280" s="47" t="s">
        <v>3623</v>
      </c>
      <c r="P2280" s="47" t="s">
        <v>1846</v>
      </c>
      <c r="Q2280" s="47"/>
      <c r="R2280" s="47"/>
      <c r="S2280" s="47"/>
      <c r="T2280" s="47"/>
      <c r="U2280" s="47">
        <f t="shared" ref="U2280:U2286" si="469">U$2</f>
        <v>430</v>
      </c>
      <c r="V2280" s="47"/>
      <c r="W2280" s="47"/>
      <c r="X2280" s="47"/>
      <c r="Y2280" s="47"/>
      <c r="Z2280" s="47">
        <f t="shared" si="465"/>
        <v>4620</v>
      </c>
      <c r="AA2280" s="47">
        <f t="shared" ref="AA2280:AA2286" si="470">$AA$7</f>
        <v>1400</v>
      </c>
      <c r="AB2280" s="47"/>
      <c r="AC2280" s="47"/>
      <c r="AD2280" s="47"/>
      <c r="AE2280" s="47"/>
      <c r="AF2280" s="47">
        <f t="shared" ref="AF2280:AF2286" si="471">AF$7</f>
        <v>1485</v>
      </c>
      <c r="AG2280" s="47"/>
      <c r="AH2280" s="47" t="str">
        <f>IFERROR(_xlfn.XLOOKUP(Table6[[#This Row],[Suburb]],Table5[Travel Surcharge],Table5[$$]),"")</f>
        <v/>
      </c>
      <c r="AI2280" s="47"/>
      <c r="AJ2280" s="47"/>
    </row>
    <row r="2281" spans="1:36">
      <c r="A2281" s="157" t="s">
        <v>3616</v>
      </c>
      <c r="B2281" s="157">
        <v>2</v>
      </c>
      <c r="C2281" s="157" t="s">
        <v>3617</v>
      </c>
      <c r="D2281" s="157" t="str">
        <f t="shared" si="467"/>
        <v>Key West2</v>
      </c>
      <c r="E2281" s="157" t="s">
        <v>7960</v>
      </c>
      <c r="F2281" s="157"/>
      <c r="G2281" s="157" t="s">
        <v>3619</v>
      </c>
      <c r="H2281" s="157" t="s">
        <v>3620</v>
      </c>
      <c r="I2281" s="158" t="s">
        <v>3621</v>
      </c>
      <c r="J2281" s="47" t="s">
        <v>3018</v>
      </c>
      <c r="K2281" s="46" t="s">
        <v>10735</v>
      </c>
      <c r="L2281" s="47"/>
      <c r="M2281" s="47">
        <f t="shared" si="468"/>
        <v>1430.0000000000002</v>
      </c>
      <c r="N2281" s="47" t="s">
        <v>3622</v>
      </c>
      <c r="O2281" s="47" t="s">
        <v>3623</v>
      </c>
      <c r="P2281" s="47" t="s">
        <v>1846</v>
      </c>
      <c r="Q2281" s="47"/>
      <c r="R2281" s="47"/>
      <c r="S2281" s="47"/>
      <c r="T2281" s="47"/>
      <c r="U2281" s="47">
        <f t="shared" si="469"/>
        <v>430</v>
      </c>
      <c r="V2281" s="47"/>
      <c r="W2281" s="47"/>
      <c r="X2281" s="47"/>
      <c r="Y2281" s="47"/>
      <c r="Z2281" s="47">
        <f t="shared" si="465"/>
        <v>4620</v>
      </c>
      <c r="AA2281" s="47">
        <f t="shared" si="470"/>
        <v>1400</v>
      </c>
      <c r="AB2281" s="47"/>
      <c r="AC2281" s="47"/>
      <c r="AD2281" s="47"/>
      <c r="AE2281" s="47"/>
      <c r="AF2281" s="47">
        <f t="shared" si="471"/>
        <v>1485</v>
      </c>
      <c r="AG2281" s="47"/>
      <c r="AH2281" s="47" t="str">
        <f>IFERROR(_xlfn.XLOOKUP(Table6[[#This Row],[Suburb]],Table5[Travel Surcharge],Table5[$$]),"")</f>
        <v/>
      </c>
      <c r="AI2281" s="47"/>
      <c r="AJ2281" s="47"/>
    </row>
    <row r="2282" spans="1:36">
      <c r="A2282" s="374" t="s">
        <v>3616</v>
      </c>
      <c r="B2282" s="374">
        <v>3</v>
      </c>
      <c r="C2282" s="374" t="s">
        <v>3617</v>
      </c>
      <c r="D2282" s="375" t="str">
        <f t="shared" si="467"/>
        <v>Key West3</v>
      </c>
      <c r="E2282" s="375" t="s">
        <v>3624</v>
      </c>
      <c r="F2282" s="375"/>
      <c r="G2282" s="375" t="s">
        <v>3619</v>
      </c>
      <c r="H2282" s="375" t="s">
        <v>3620</v>
      </c>
      <c r="I2282" s="63" t="s">
        <v>3621</v>
      </c>
      <c r="J2282" s="47" t="s">
        <v>3018</v>
      </c>
      <c r="K2282" s="46" t="s">
        <v>10735</v>
      </c>
      <c r="L2282" s="47"/>
      <c r="M2282" s="47">
        <f t="shared" si="468"/>
        <v>1430.0000000000002</v>
      </c>
      <c r="N2282" s="47" t="s">
        <v>3622</v>
      </c>
      <c r="O2282" s="47" t="s">
        <v>3623</v>
      </c>
      <c r="P2282" s="47" t="s">
        <v>1846</v>
      </c>
      <c r="Q2282" s="47"/>
      <c r="R2282" s="47"/>
      <c r="S2282" s="47"/>
      <c r="T2282" s="47"/>
      <c r="U2282" s="47">
        <f t="shared" si="469"/>
        <v>430</v>
      </c>
      <c r="V2282" s="47"/>
      <c r="W2282" s="47"/>
      <c r="X2282" s="47"/>
      <c r="Y2282" s="47"/>
      <c r="Z2282" s="47">
        <f t="shared" si="465"/>
        <v>4620</v>
      </c>
      <c r="AA2282" s="47">
        <f t="shared" si="470"/>
        <v>1400</v>
      </c>
      <c r="AB2282" s="47"/>
      <c r="AC2282" s="47"/>
      <c r="AD2282" s="47"/>
      <c r="AE2282" s="47"/>
      <c r="AF2282" s="47">
        <f t="shared" si="471"/>
        <v>1485</v>
      </c>
      <c r="AG2282" s="47"/>
      <c r="AH2282" s="47" t="str">
        <f>IFERROR(_xlfn.XLOOKUP(Table6[[#This Row],[Suburb]],Table5[Travel Surcharge],Table5[$$]),"")</f>
        <v/>
      </c>
      <c r="AI2282" s="47"/>
      <c r="AJ2282" s="47"/>
    </row>
    <row r="2283" spans="1:36">
      <c r="A2283" s="374" t="s">
        <v>3616</v>
      </c>
      <c r="B2283" s="374">
        <v>4</v>
      </c>
      <c r="C2283" s="374" t="s">
        <v>3617</v>
      </c>
      <c r="D2283" s="375" t="str">
        <f t="shared" si="467"/>
        <v>Key West4</v>
      </c>
      <c r="E2283" s="375" t="s">
        <v>3625</v>
      </c>
      <c r="F2283" s="375"/>
      <c r="G2283" s="375" t="s">
        <v>3619</v>
      </c>
      <c r="H2283" s="375" t="s">
        <v>3620</v>
      </c>
      <c r="I2283" s="63" t="s">
        <v>3621</v>
      </c>
      <c r="J2283" s="47" t="s">
        <v>3018</v>
      </c>
      <c r="K2283" s="46" t="s">
        <v>10735</v>
      </c>
      <c r="L2283" s="47"/>
      <c r="M2283" s="47">
        <f t="shared" si="468"/>
        <v>1430.0000000000002</v>
      </c>
      <c r="N2283" s="47" t="s">
        <v>3622</v>
      </c>
      <c r="O2283" s="47" t="s">
        <v>3623</v>
      </c>
      <c r="P2283" s="47" t="s">
        <v>1846</v>
      </c>
      <c r="Q2283" s="47"/>
      <c r="R2283" s="47"/>
      <c r="S2283" s="47"/>
      <c r="T2283" s="47"/>
      <c r="U2283" s="47">
        <f t="shared" si="469"/>
        <v>430</v>
      </c>
      <c r="V2283" s="47"/>
      <c r="W2283" s="47"/>
      <c r="X2283" s="47"/>
      <c r="Y2283" s="47"/>
      <c r="Z2283" s="47">
        <f t="shared" si="465"/>
        <v>4620</v>
      </c>
      <c r="AA2283" s="47">
        <f t="shared" si="470"/>
        <v>1400</v>
      </c>
      <c r="AB2283" s="47"/>
      <c r="AC2283" s="47"/>
      <c r="AD2283" s="47"/>
      <c r="AE2283" s="47"/>
      <c r="AF2283" s="47">
        <f t="shared" si="471"/>
        <v>1485</v>
      </c>
      <c r="AG2283" s="47"/>
      <c r="AH2283" s="47" t="str">
        <f>IFERROR(_xlfn.XLOOKUP(Table6[[#This Row],[Suburb]],Table5[Travel Surcharge],Table5[$$]),"")</f>
        <v/>
      </c>
      <c r="AI2283" s="47"/>
      <c r="AJ2283" s="47"/>
    </row>
    <row r="2284" spans="1:36">
      <c r="A2284" s="374" t="s">
        <v>3616</v>
      </c>
      <c r="B2284" s="374">
        <v>6</v>
      </c>
      <c r="C2284" s="374" t="s">
        <v>3617</v>
      </c>
      <c r="D2284" s="375" t="str">
        <f t="shared" si="467"/>
        <v>Key West6</v>
      </c>
      <c r="E2284" s="375" t="s">
        <v>3626</v>
      </c>
      <c r="F2284" s="375"/>
      <c r="G2284" s="375" t="s">
        <v>3619</v>
      </c>
      <c r="H2284" s="375" t="s">
        <v>3620</v>
      </c>
      <c r="I2284" s="63" t="s">
        <v>3621</v>
      </c>
      <c r="J2284" s="47" t="s">
        <v>3018</v>
      </c>
      <c r="K2284" s="46" t="s">
        <v>10735</v>
      </c>
      <c r="L2284" s="47"/>
      <c r="M2284" s="47">
        <f t="shared" si="468"/>
        <v>1430.0000000000002</v>
      </c>
      <c r="N2284" s="47" t="s">
        <v>3622</v>
      </c>
      <c r="O2284" s="47" t="s">
        <v>3623</v>
      </c>
      <c r="P2284" s="47" t="s">
        <v>1846</v>
      </c>
      <c r="Q2284" s="47"/>
      <c r="R2284" s="47"/>
      <c r="S2284" s="47"/>
      <c r="T2284" s="47"/>
      <c r="U2284" s="47">
        <f t="shared" si="469"/>
        <v>430</v>
      </c>
      <c r="V2284" s="47"/>
      <c r="W2284" s="47"/>
      <c r="X2284" s="47"/>
      <c r="Y2284" s="47"/>
      <c r="Z2284" s="47">
        <f t="shared" si="465"/>
        <v>4620</v>
      </c>
      <c r="AA2284" s="47">
        <f t="shared" si="470"/>
        <v>1400</v>
      </c>
      <c r="AB2284" s="47"/>
      <c r="AC2284" s="47"/>
      <c r="AD2284" s="47"/>
      <c r="AE2284" s="47"/>
      <c r="AF2284" s="47">
        <f t="shared" si="471"/>
        <v>1485</v>
      </c>
      <c r="AG2284" s="47"/>
      <c r="AH2284" s="47" t="str">
        <f>IFERROR(_xlfn.XLOOKUP(Table6[[#This Row],[Suburb]],Table5[Travel Surcharge],Table5[$$]),"")</f>
        <v/>
      </c>
      <c r="AI2284" s="47"/>
      <c r="AJ2284" s="47"/>
    </row>
    <row r="2285" spans="1:36">
      <c r="A2285" s="374" t="s">
        <v>3616</v>
      </c>
      <c r="B2285" s="374">
        <v>7</v>
      </c>
      <c r="C2285" s="374" t="s">
        <v>3617</v>
      </c>
      <c r="D2285" s="375" t="str">
        <f t="shared" si="467"/>
        <v>Key West7</v>
      </c>
      <c r="E2285" s="375" t="s">
        <v>3627</v>
      </c>
      <c r="F2285" s="375"/>
      <c r="G2285" s="375" t="s">
        <v>3619</v>
      </c>
      <c r="H2285" s="375" t="s">
        <v>3620</v>
      </c>
      <c r="I2285" s="63" t="s">
        <v>3621</v>
      </c>
      <c r="J2285" s="47" t="s">
        <v>3018</v>
      </c>
      <c r="K2285" s="46" t="s">
        <v>10735</v>
      </c>
      <c r="L2285" s="47"/>
      <c r="M2285" s="47">
        <f t="shared" si="468"/>
        <v>1430.0000000000002</v>
      </c>
      <c r="N2285" s="47" t="s">
        <v>3622</v>
      </c>
      <c r="O2285" s="47" t="s">
        <v>3623</v>
      </c>
      <c r="P2285" s="47" t="s">
        <v>1846</v>
      </c>
      <c r="Q2285" s="47"/>
      <c r="R2285" s="47"/>
      <c r="S2285" s="47"/>
      <c r="T2285" s="47"/>
      <c r="U2285" s="47">
        <f t="shared" si="469"/>
        <v>430</v>
      </c>
      <c r="V2285" s="47"/>
      <c r="W2285" s="47"/>
      <c r="X2285" s="47"/>
      <c r="Y2285" s="47"/>
      <c r="Z2285" s="47">
        <f t="shared" si="465"/>
        <v>4620</v>
      </c>
      <c r="AA2285" s="47">
        <f t="shared" si="470"/>
        <v>1400</v>
      </c>
      <c r="AB2285" s="47"/>
      <c r="AC2285" s="47"/>
      <c r="AD2285" s="47"/>
      <c r="AE2285" s="47"/>
      <c r="AF2285" s="47">
        <f t="shared" si="471"/>
        <v>1485</v>
      </c>
      <c r="AG2285" s="47"/>
      <c r="AH2285" s="47" t="str">
        <f>IFERROR(_xlfn.XLOOKUP(Table6[[#This Row],[Suburb]],Table5[Travel Surcharge],Table5[$$]),"")</f>
        <v/>
      </c>
      <c r="AI2285" s="47"/>
      <c r="AJ2285" s="47"/>
    </row>
    <row r="2286" spans="1:36">
      <c r="A2286" s="157" t="s">
        <v>3616</v>
      </c>
      <c r="B2286" s="157">
        <v>8</v>
      </c>
      <c r="C2286" s="157" t="s">
        <v>8319</v>
      </c>
      <c r="D2286" s="157" t="str">
        <f t="shared" si="467"/>
        <v>Key West8</v>
      </c>
      <c r="E2286" s="157" t="s">
        <v>8323</v>
      </c>
      <c r="F2286" s="157"/>
      <c r="G2286" s="157" t="s">
        <v>3619</v>
      </c>
      <c r="H2286" s="157" t="s">
        <v>8320</v>
      </c>
      <c r="I2286" s="158" t="s">
        <v>3621</v>
      </c>
      <c r="J2286" s="47" t="s">
        <v>3018</v>
      </c>
      <c r="K2286" s="46" t="s">
        <v>10735</v>
      </c>
      <c r="L2286" s="47"/>
      <c r="M2286" s="47">
        <f t="shared" si="468"/>
        <v>1430.0000000000002</v>
      </c>
      <c r="N2286" s="47" t="s">
        <v>8321</v>
      </c>
      <c r="O2286" s="47" t="s">
        <v>3623</v>
      </c>
      <c r="P2286" s="47" t="s">
        <v>8322</v>
      </c>
      <c r="Q2286" s="47"/>
      <c r="R2286" s="47"/>
      <c r="S2286" s="47"/>
      <c r="T2286" s="47"/>
      <c r="U2286" s="47">
        <f t="shared" si="469"/>
        <v>430</v>
      </c>
      <c r="V2286" s="47"/>
      <c r="W2286" s="47"/>
      <c r="X2286" s="47"/>
      <c r="Y2286" s="47"/>
      <c r="Z2286" s="47">
        <f t="shared" si="465"/>
        <v>4620</v>
      </c>
      <c r="AA2286" s="47">
        <f t="shared" si="470"/>
        <v>1400</v>
      </c>
      <c r="AB2286" s="47"/>
      <c r="AC2286" s="47"/>
      <c r="AD2286" s="47"/>
      <c r="AE2286" s="47"/>
      <c r="AF2286" s="47">
        <f t="shared" si="471"/>
        <v>1485</v>
      </c>
      <c r="AG2286" s="47"/>
      <c r="AH2286" s="47" t="str">
        <f>IFERROR(_xlfn.XLOOKUP(Table6[[#This Row],[Suburb]],Table5[Travel Surcharge],Table5[$$]),"")</f>
        <v/>
      </c>
      <c r="AI2286" s="47"/>
      <c r="AJ2286" s="47"/>
    </row>
    <row r="2287" spans="1:36">
      <c r="A2287" s="374" t="s">
        <v>3628</v>
      </c>
      <c r="B2287" s="374">
        <v>1</v>
      </c>
      <c r="C2287" s="374" t="s">
        <v>2371</v>
      </c>
      <c r="D2287" s="375" t="str">
        <f t="shared" si="467"/>
        <v>Kilmore Fields Estate1</v>
      </c>
      <c r="E2287" s="375" t="s">
        <v>3629</v>
      </c>
      <c r="F2287" s="375" t="s">
        <v>3630</v>
      </c>
      <c r="G2287" s="375"/>
      <c r="H2287" s="375"/>
      <c r="I2287" s="63"/>
      <c r="J2287" s="47" t="s">
        <v>3018</v>
      </c>
      <c r="K2287" s="46" t="s">
        <v>10735</v>
      </c>
      <c r="L2287" s="47"/>
      <c r="M2287" s="47"/>
      <c r="N2287" s="47" t="s">
        <v>3631</v>
      </c>
      <c r="O2287" s="47" t="s">
        <v>3632</v>
      </c>
      <c r="P2287" s="47"/>
      <c r="Q2287" s="47">
        <f>Q$2</f>
        <v>0</v>
      </c>
      <c r="R2287" s="47"/>
      <c r="S2287" s="47"/>
      <c r="T2287" s="47"/>
      <c r="U2287" s="47"/>
      <c r="V2287" s="47"/>
      <c r="W2287" s="47"/>
      <c r="X2287" s="47"/>
      <c r="Y2287" s="47"/>
      <c r="Z2287" s="47">
        <f t="shared" si="465"/>
        <v>4620</v>
      </c>
      <c r="AA2287" s="47"/>
      <c r="AB2287" s="47"/>
      <c r="AC2287" s="47"/>
      <c r="AD2287" s="47"/>
      <c r="AE2287" s="47"/>
      <c r="AF2287" s="47"/>
      <c r="AG2287" s="47"/>
      <c r="AH2287" s="47">
        <f>IFERROR(_xlfn.XLOOKUP(Table6[[#This Row],[Suburb]],Table5[Travel Surcharge],Table5[$$]),"")</f>
        <v>4000</v>
      </c>
      <c r="AI2287" s="47">
        <f>AI$7</f>
        <v>1650.0000000000002</v>
      </c>
      <c r="AJ2287" s="47"/>
    </row>
    <row r="2288" spans="1:36">
      <c r="A2288" s="374" t="s">
        <v>9415</v>
      </c>
      <c r="B2288" s="374">
        <v>1</v>
      </c>
      <c r="C2288" s="374" t="s">
        <v>353</v>
      </c>
      <c r="D2288" s="375" t="str">
        <f t="shared" si="467"/>
        <v>Kimberley - Keysborough1</v>
      </c>
      <c r="E2288" s="375" t="s">
        <v>3633</v>
      </c>
      <c r="F2288" s="375" t="s">
        <v>3634</v>
      </c>
      <c r="G2288" s="375" t="s">
        <v>3635</v>
      </c>
      <c r="H2288" s="375" t="s">
        <v>3636</v>
      </c>
      <c r="I2288" s="63" t="s">
        <v>3637</v>
      </c>
      <c r="J2288" s="47">
        <f>J$7</f>
        <v>3740</v>
      </c>
      <c r="K2288" s="46" t="s">
        <v>10735</v>
      </c>
      <c r="L2288" s="47">
        <f>L$7</f>
        <v>1210</v>
      </c>
      <c r="M2288" s="47"/>
      <c r="N2288" s="47"/>
      <c r="O2288" s="47"/>
      <c r="P2288" s="47"/>
      <c r="Q2288" s="47" t="s">
        <v>3638</v>
      </c>
      <c r="R2288" s="47"/>
      <c r="S2288" s="47"/>
      <c r="T2288" s="47">
        <f t="shared" ref="T2288:T2312" si="472">T$2</f>
        <v>780</v>
      </c>
      <c r="U2288" s="47"/>
      <c r="V2288" s="47" t="s">
        <v>7976</v>
      </c>
      <c r="W2288" s="47"/>
      <c r="X2288" s="47">
        <f>X$7</f>
        <v>3000</v>
      </c>
      <c r="Y2288" s="47"/>
      <c r="Z2288" s="47">
        <f t="shared" si="465"/>
        <v>4620</v>
      </c>
      <c r="AA2288" s="47"/>
      <c r="AB2288" s="47"/>
      <c r="AC2288" s="47"/>
      <c r="AD2288" s="47"/>
      <c r="AE2288" s="47"/>
      <c r="AF2288" s="47"/>
      <c r="AG2288" s="47"/>
      <c r="AH2288" s="47" t="str">
        <f>IFERROR(_xlfn.XLOOKUP(Table6[[#This Row],[Suburb]],Table5[Travel Surcharge],Table5[$$]),"")</f>
        <v/>
      </c>
      <c r="AI2288" s="47"/>
      <c r="AJ2288" s="47"/>
    </row>
    <row r="2289" spans="1:36">
      <c r="A2289" s="374" t="s">
        <v>9416</v>
      </c>
      <c r="B2289" s="374">
        <v>1</v>
      </c>
      <c r="C2289" s="374" t="s">
        <v>1721</v>
      </c>
      <c r="D2289" s="375" t="str">
        <f t="shared" si="467"/>
        <v>Kimberley - Sunbury1</v>
      </c>
      <c r="E2289" s="375" t="s">
        <v>10305</v>
      </c>
      <c r="F2289" s="375" t="s">
        <v>2605</v>
      </c>
      <c r="G2289" s="375" t="s">
        <v>2244</v>
      </c>
      <c r="H2289" s="375" t="s">
        <v>9417</v>
      </c>
      <c r="I2289" s="63" t="s">
        <v>2246</v>
      </c>
      <c r="J2289" s="47" t="s">
        <v>3018</v>
      </c>
      <c r="K2289" s="46" t="s">
        <v>7938</v>
      </c>
      <c r="L2289" s="47" t="s">
        <v>9418</v>
      </c>
      <c r="M2289" s="47"/>
      <c r="N2289" s="47"/>
      <c r="O2289" s="47"/>
      <c r="P2289" s="47" t="s">
        <v>1846</v>
      </c>
      <c r="Q2289" s="47"/>
      <c r="R2289" s="47"/>
      <c r="S2289" s="47" t="s">
        <v>7979</v>
      </c>
      <c r="T2289" s="47">
        <v>1420</v>
      </c>
      <c r="U2289" s="47" t="s">
        <v>7976</v>
      </c>
      <c r="V2289" s="47" t="s">
        <v>9421</v>
      </c>
      <c r="W2289" s="47"/>
      <c r="X2289" s="47" t="s">
        <v>9420</v>
      </c>
      <c r="Y2289" s="47" t="s">
        <v>7977</v>
      </c>
      <c r="Z2289" s="47">
        <v>4620</v>
      </c>
      <c r="AA2289" s="47"/>
      <c r="AB2289" s="47"/>
      <c r="AC2289" s="47">
        <v>5200</v>
      </c>
      <c r="AD2289" s="47" t="s">
        <v>7978</v>
      </c>
      <c r="AE2289" s="47">
        <v>5000</v>
      </c>
      <c r="AF2289" s="47">
        <v>1485</v>
      </c>
      <c r="AG2289" s="47" t="s">
        <v>9419</v>
      </c>
      <c r="AH2289" s="47" t="s">
        <v>9976</v>
      </c>
      <c r="AI2289" s="47" t="s">
        <v>7980</v>
      </c>
      <c r="AJ2289" s="47"/>
    </row>
    <row r="2290" spans="1:36">
      <c r="A2290" s="374" t="s">
        <v>9416</v>
      </c>
      <c r="B2290" s="374">
        <v>3</v>
      </c>
      <c r="C2290" s="374" t="s">
        <v>1721</v>
      </c>
      <c r="D2290" s="375" t="str">
        <f t="shared" si="467"/>
        <v>Kimberley - Sunbury3</v>
      </c>
      <c r="E2290" s="375" t="s">
        <v>10481</v>
      </c>
      <c r="F2290" s="375" t="s">
        <v>2605</v>
      </c>
      <c r="G2290" s="375" t="s">
        <v>2244</v>
      </c>
      <c r="H2290" s="375" t="s">
        <v>9417</v>
      </c>
      <c r="I2290" s="63" t="s">
        <v>2246</v>
      </c>
      <c r="J2290" s="47" t="s">
        <v>3018</v>
      </c>
      <c r="K2290" s="46" t="s">
        <v>7938</v>
      </c>
      <c r="L2290" s="47" t="s">
        <v>9418</v>
      </c>
      <c r="M2290" s="47"/>
      <c r="N2290" s="47"/>
      <c r="O2290" s="47"/>
      <c r="P2290" s="47" t="s">
        <v>1846</v>
      </c>
      <c r="Q2290" s="47"/>
      <c r="R2290" s="47"/>
      <c r="S2290" s="47" t="s">
        <v>7979</v>
      </c>
      <c r="T2290" s="47">
        <v>1420</v>
      </c>
      <c r="U2290" s="47" t="s">
        <v>7976</v>
      </c>
      <c r="V2290" s="47" t="s">
        <v>9421</v>
      </c>
      <c r="W2290" s="47"/>
      <c r="X2290" s="47" t="s">
        <v>9420</v>
      </c>
      <c r="Y2290" s="47" t="s">
        <v>7977</v>
      </c>
      <c r="Z2290" s="47">
        <v>4620</v>
      </c>
      <c r="AA2290" s="47"/>
      <c r="AB2290" s="47"/>
      <c r="AC2290" s="47">
        <v>5200</v>
      </c>
      <c r="AD2290" s="47" t="s">
        <v>7978</v>
      </c>
      <c r="AE2290" s="47">
        <v>5000</v>
      </c>
      <c r="AF2290" s="47">
        <v>1485</v>
      </c>
      <c r="AG2290" s="47" t="s">
        <v>9419</v>
      </c>
      <c r="AH2290" s="47" t="s">
        <v>9976</v>
      </c>
      <c r="AI2290" s="47" t="s">
        <v>7980</v>
      </c>
      <c r="AJ2290" s="47"/>
    </row>
    <row r="2291" spans="1:36">
      <c r="A2291" s="374" t="s">
        <v>9416</v>
      </c>
      <c r="B2291" s="374">
        <v>4</v>
      </c>
      <c r="C2291" s="374" t="s">
        <v>1721</v>
      </c>
      <c r="D2291" s="375" t="str">
        <f t="shared" si="467"/>
        <v>Kimberley - Sunbury4</v>
      </c>
      <c r="E2291" s="375" t="s">
        <v>9335</v>
      </c>
      <c r="F2291" s="375" t="s">
        <v>2605</v>
      </c>
      <c r="G2291" s="375" t="s">
        <v>2244</v>
      </c>
      <c r="H2291" s="375" t="s">
        <v>9417</v>
      </c>
      <c r="I2291" s="63" t="s">
        <v>2246</v>
      </c>
      <c r="J2291" s="47" t="s">
        <v>3018</v>
      </c>
      <c r="K2291" s="46" t="s">
        <v>7938</v>
      </c>
      <c r="L2291" s="47" t="s">
        <v>9418</v>
      </c>
      <c r="M2291" s="47"/>
      <c r="N2291" s="47"/>
      <c r="O2291" s="47"/>
      <c r="P2291" s="47" t="s">
        <v>1846</v>
      </c>
      <c r="Q2291" s="47"/>
      <c r="R2291" s="47"/>
      <c r="S2291" s="47" t="s">
        <v>7979</v>
      </c>
      <c r="T2291" s="47">
        <f t="shared" si="472"/>
        <v>780</v>
      </c>
      <c r="U2291" s="47" t="s">
        <v>7976</v>
      </c>
      <c r="V2291" s="47" t="s">
        <v>9421</v>
      </c>
      <c r="W2291" s="47"/>
      <c r="X2291" s="47" t="s">
        <v>9420</v>
      </c>
      <c r="Y2291" s="47" t="s">
        <v>7977</v>
      </c>
      <c r="Z2291" s="47">
        <v>4620</v>
      </c>
      <c r="AA2291" s="47"/>
      <c r="AB2291" s="47"/>
      <c r="AC2291" s="47">
        <v>5200</v>
      </c>
      <c r="AD2291" s="47" t="s">
        <v>7978</v>
      </c>
      <c r="AE2291" s="47">
        <v>5000</v>
      </c>
      <c r="AF2291" s="47">
        <f t="shared" ref="AF2291:AF2318" si="473">AF$7</f>
        <v>1485</v>
      </c>
      <c r="AG2291" s="47" t="s">
        <v>9419</v>
      </c>
      <c r="AH2291" s="47" t="str">
        <f>IFERROR(_xlfn.XLOOKUP(Table6[[#This Row],[Suburb]],Table5[Travel Surcharge],Table5[$$]),"")</f>
        <v/>
      </c>
      <c r="AI2291" s="47" t="s">
        <v>7980</v>
      </c>
      <c r="AJ2291" s="47"/>
    </row>
    <row r="2292" spans="1:36">
      <c r="A2292" s="374" t="s">
        <v>9416</v>
      </c>
      <c r="B2292" s="374">
        <v>5</v>
      </c>
      <c r="C2292" s="374" t="s">
        <v>1721</v>
      </c>
      <c r="D2292" s="375" t="str">
        <f t="shared" si="467"/>
        <v>Kimberley - Sunbury5</v>
      </c>
      <c r="E2292" s="375" t="s">
        <v>9245</v>
      </c>
      <c r="F2292" s="375" t="s">
        <v>2605</v>
      </c>
      <c r="G2292" s="375" t="s">
        <v>2244</v>
      </c>
      <c r="H2292" s="375" t="s">
        <v>9417</v>
      </c>
      <c r="I2292" s="63" t="s">
        <v>2246</v>
      </c>
      <c r="J2292" s="47" t="s">
        <v>3018</v>
      </c>
      <c r="K2292" s="46" t="s">
        <v>7938</v>
      </c>
      <c r="L2292" s="47" t="s">
        <v>9418</v>
      </c>
      <c r="M2292" s="47"/>
      <c r="N2292" s="47"/>
      <c r="O2292" s="47"/>
      <c r="P2292" s="47" t="s">
        <v>1846</v>
      </c>
      <c r="Q2292" s="47"/>
      <c r="R2292" s="47"/>
      <c r="S2292" s="47" t="s">
        <v>7979</v>
      </c>
      <c r="T2292" s="47">
        <f t="shared" si="472"/>
        <v>780</v>
      </c>
      <c r="U2292" s="47" t="s">
        <v>7976</v>
      </c>
      <c r="V2292" s="47" t="s">
        <v>9421</v>
      </c>
      <c r="W2292" s="47"/>
      <c r="X2292" s="47" t="s">
        <v>9420</v>
      </c>
      <c r="Y2292" s="47" t="s">
        <v>7977</v>
      </c>
      <c r="Z2292" s="47">
        <v>4620</v>
      </c>
      <c r="AA2292" s="47"/>
      <c r="AB2292" s="47"/>
      <c r="AC2292" s="47">
        <v>5200</v>
      </c>
      <c r="AD2292" s="47" t="s">
        <v>7978</v>
      </c>
      <c r="AE2292" s="47">
        <v>5000</v>
      </c>
      <c r="AF2292" s="47">
        <f t="shared" si="473"/>
        <v>1485</v>
      </c>
      <c r="AG2292" s="47" t="s">
        <v>9419</v>
      </c>
      <c r="AH2292" s="47" t="str">
        <f>IFERROR(_xlfn.XLOOKUP(Table6[[#This Row],[Suburb]],Table5[Travel Surcharge],Table5[$$]),"")</f>
        <v/>
      </c>
      <c r="AI2292" s="47" t="s">
        <v>7980</v>
      </c>
      <c r="AJ2292" s="47"/>
    </row>
    <row r="2293" spans="1:36">
      <c r="A2293" s="374" t="s">
        <v>3659</v>
      </c>
      <c r="B2293" s="374">
        <v>1</v>
      </c>
      <c r="C2293" s="374" t="s">
        <v>1264</v>
      </c>
      <c r="D2293" s="375" t="str">
        <f t="shared" si="467"/>
        <v>Kinbrook Estate1</v>
      </c>
      <c r="E2293" s="375" t="s">
        <v>3660</v>
      </c>
      <c r="F2293" s="375"/>
      <c r="G2293" s="375"/>
      <c r="H2293" s="375"/>
      <c r="I2293" s="63"/>
      <c r="J2293" s="47">
        <f t="shared" ref="J2293:J2312" si="474">J$7</f>
        <v>3740</v>
      </c>
      <c r="K2293" s="46" t="s">
        <v>7938</v>
      </c>
      <c r="L2293" s="47"/>
      <c r="M2293" s="47">
        <f t="shared" ref="M2293:M2312" si="475">M$7</f>
        <v>1430.0000000000002</v>
      </c>
      <c r="N2293" s="47" t="s">
        <v>498</v>
      </c>
      <c r="O2293" s="47"/>
      <c r="P2293" s="47"/>
      <c r="Q2293" s="47"/>
      <c r="R2293" s="47"/>
      <c r="S2293" s="47"/>
      <c r="T2293" s="47">
        <f t="shared" si="472"/>
        <v>780</v>
      </c>
      <c r="U2293" s="47"/>
      <c r="V2293" s="47"/>
      <c r="W2293" s="47"/>
      <c r="X2293" s="47">
        <f t="shared" ref="X2293:X2312" si="476">X$7</f>
        <v>3000</v>
      </c>
      <c r="Y2293" s="47"/>
      <c r="Z2293" s="47">
        <f t="shared" ref="Z2293:AA2312" si="477">Z$7</f>
        <v>4620</v>
      </c>
      <c r="AA2293" s="47">
        <f t="shared" si="477"/>
        <v>1400</v>
      </c>
      <c r="AB2293" s="47"/>
      <c r="AC2293" s="47"/>
      <c r="AD2293" s="47"/>
      <c r="AE2293" s="47"/>
      <c r="AF2293" s="47">
        <f t="shared" si="473"/>
        <v>1485</v>
      </c>
      <c r="AG2293" s="47"/>
      <c r="AH2293" s="47" t="str">
        <f>IFERROR(_xlfn.XLOOKUP(Table6[[#This Row],[Suburb]],Table5[Travel Surcharge],Table5[$$]),"")</f>
        <v/>
      </c>
      <c r="AI2293" s="47"/>
      <c r="AJ2293" s="47"/>
    </row>
    <row r="2294" spans="1:36">
      <c r="A2294" s="374" t="s">
        <v>3659</v>
      </c>
      <c r="B2294" s="374">
        <v>2</v>
      </c>
      <c r="C2294" s="374" t="s">
        <v>1264</v>
      </c>
      <c r="D2294" s="375" t="str">
        <f t="shared" si="467"/>
        <v>Kinbrook Estate2</v>
      </c>
      <c r="E2294" s="375" t="s">
        <v>3661</v>
      </c>
      <c r="F2294" s="375"/>
      <c r="G2294" s="375"/>
      <c r="H2294" s="375"/>
      <c r="I2294" s="63"/>
      <c r="J2294" s="47">
        <f t="shared" si="474"/>
        <v>3740</v>
      </c>
      <c r="K2294" s="46" t="s">
        <v>7938</v>
      </c>
      <c r="L2294" s="47"/>
      <c r="M2294" s="47">
        <f t="shared" si="475"/>
        <v>1430.0000000000002</v>
      </c>
      <c r="N2294" s="47" t="s">
        <v>498</v>
      </c>
      <c r="O2294" s="47"/>
      <c r="P2294" s="47"/>
      <c r="Q2294" s="47"/>
      <c r="R2294" s="47"/>
      <c r="S2294" s="47"/>
      <c r="T2294" s="47">
        <f t="shared" si="472"/>
        <v>780</v>
      </c>
      <c r="U2294" s="47"/>
      <c r="V2294" s="47"/>
      <c r="W2294" s="47"/>
      <c r="X2294" s="47">
        <f t="shared" si="476"/>
        <v>3000</v>
      </c>
      <c r="Y2294" s="47"/>
      <c r="Z2294" s="47">
        <f t="shared" si="477"/>
        <v>4620</v>
      </c>
      <c r="AA2294" s="47">
        <f t="shared" si="477"/>
        <v>1400</v>
      </c>
      <c r="AB2294" s="47"/>
      <c r="AC2294" s="47"/>
      <c r="AD2294" s="47"/>
      <c r="AE2294" s="47"/>
      <c r="AF2294" s="47">
        <f t="shared" si="473"/>
        <v>1485</v>
      </c>
      <c r="AG2294" s="47"/>
      <c r="AH2294" s="47" t="str">
        <f>IFERROR(_xlfn.XLOOKUP(Table6[[#This Row],[Suburb]],Table5[Travel Surcharge],Table5[$$]),"")</f>
        <v/>
      </c>
      <c r="AI2294" s="47"/>
      <c r="AJ2294" s="47"/>
    </row>
    <row r="2295" spans="1:36">
      <c r="A2295" s="374" t="s">
        <v>3659</v>
      </c>
      <c r="B2295" s="374">
        <v>5</v>
      </c>
      <c r="C2295" s="374" t="s">
        <v>1264</v>
      </c>
      <c r="D2295" s="375" t="str">
        <f t="shared" si="467"/>
        <v>Kinbrook Estate5</v>
      </c>
      <c r="E2295" s="375" t="s">
        <v>3662</v>
      </c>
      <c r="F2295" s="375"/>
      <c r="G2295" s="375"/>
      <c r="H2295" s="375"/>
      <c r="I2295" s="63"/>
      <c r="J2295" s="47">
        <f t="shared" si="474"/>
        <v>3740</v>
      </c>
      <c r="K2295" s="46" t="s">
        <v>7938</v>
      </c>
      <c r="L2295" s="47"/>
      <c r="M2295" s="47">
        <f t="shared" si="475"/>
        <v>1430.0000000000002</v>
      </c>
      <c r="N2295" s="47" t="s">
        <v>498</v>
      </c>
      <c r="O2295" s="47"/>
      <c r="P2295" s="47"/>
      <c r="Q2295" s="47"/>
      <c r="R2295" s="47"/>
      <c r="S2295" s="47"/>
      <c r="T2295" s="47">
        <f t="shared" si="472"/>
        <v>780</v>
      </c>
      <c r="U2295" s="47"/>
      <c r="V2295" s="47"/>
      <c r="W2295" s="47"/>
      <c r="X2295" s="47">
        <f t="shared" si="476"/>
        <v>3000</v>
      </c>
      <c r="Y2295" s="47"/>
      <c r="Z2295" s="47">
        <f t="shared" si="477"/>
        <v>4620</v>
      </c>
      <c r="AA2295" s="47">
        <f t="shared" si="477"/>
        <v>1400</v>
      </c>
      <c r="AB2295" s="47"/>
      <c r="AC2295" s="47"/>
      <c r="AD2295" s="47"/>
      <c r="AE2295" s="47"/>
      <c r="AF2295" s="47">
        <f t="shared" si="473"/>
        <v>1485</v>
      </c>
      <c r="AG2295" s="47"/>
      <c r="AH2295" s="47" t="str">
        <f>IFERROR(_xlfn.XLOOKUP(Table6[[#This Row],[Suburb]],Table5[Travel Surcharge],Table5[$$]),"")</f>
        <v/>
      </c>
      <c r="AI2295" s="47"/>
      <c r="AJ2295" s="47"/>
    </row>
    <row r="2296" spans="1:36">
      <c r="A2296" s="374" t="s">
        <v>3659</v>
      </c>
      <c r="B2296" s="374">
        <v>6</v>
      </c>
      <c r="C2296" s="374" t="s">
        <v>1264</v>
      </c>
      <c r="D2296" s="375" t="str">
        <f t="shared" si="467"/>
        <v>Kinbrook Estate6</v>
      </c>
      <c r="E2296" s="375" t="s">
        <v>3663</v>
      </c>
      <c r="F2296" s="375"/>
      <c r="G2296" s="375"/>
      <c r="H2296" s="375"/>
      <c r="I2296" s="63"/>
      <c r="J2296" s="47">
        <f t="shared" si="474"/>
        <v>3740</v>
      </c>
      <c r="K2296" s="46" t="s">
        <v>7938</v>
      </c>
      <c r="L2296" s="47"/>
      <c r="M2296" s="47">
        <f t="shared" si="475"/>
        <v>1430.0000000000002</v>
      </c>
      <c r="N2296" s="47" t="s">
        <v>498</v>
      </c>
      <c r="O2296" s="47"/>
      <c r="P2296" s="47"/>
      <c r="Q2296" s="47"/>
      <c r="R2296" s="47"/>
      <c r="S2296" s="47"/>
      <c r="T2296" s="47">
        <f t="shared" si="472"/>
        <v>780</v>
      </c>
      <c r="U2296" s="47"/>
      <c r="V2296" s="47"/>
      <c r="W2296" s="47"/>
      <c r="X2296" s="47">
        <f t="shared" si="476"/>
        <v>3000</v>
      </c>
      <c r="Y2296" s="47"/>
      <c r="Z2296" s="47">
        <f t="shared" si="477"/>
        <v>4620</v>
      </c>
      <c r="AA2296" s="47">
        <f t="shared" si="477"/>
        <v>1400</v>
      </c>
      <c r="AB2296" s="47"/>
      <c r="AC2296" s="47"/>
      <c r="AD2296" s="47"/>
      <c r="AE2296" s="47"/>
      <c r="AF2296" s="47">
        <f t="shared" si="473"/>
        <v>1485</v>
      </c>
      <c r="AG2296" s="47"/>
      <c r="AH2296" s="47" t="str">
        <f>IFERROR(_xlfn.XLOOKUP(Table6[[#This Row],[Suburb]],Table5[Travel Surcharge],Table5[$$]),"")</f>
        <v/>
      </c>
      <c r="AI2296" s="47"/>
      <c r="AJ2296" s="47"/>
    </row>
    <row r="2297" spans="1:36">
      <c r="A2297" s="374" t="s">
        <v>3659</v>
      </c>
      <c r="B2297" s="374">
        <v>7</v>
      </c>
      <c r="C2297" s="374" t="s">
        <v>1264</v>
      </c>
      <c r="D2297" s="375" t="str">
        <f t="shared" si="467"/>
        <v>Kinbrook Estate7</v>
      </c>
      <c r="E2297" s="375" t="s">
        <v>3664</v>
      </c>
      <c r="F2297" s="375"/>
      <c r="G2297" s="375"/>
      <c r="H2297" s="375"/>
      <c r="I2297" s="63"/>
      <c r="J2297" s="47">
        <f t="shared" si="474"/>
        <v>3740</v>
      </c>
      <c r="K2297" s="46" t="s">
        <v>7938</v>
      </c>
      <c r="L2297" s="47"/>
      <c r="M2297" s="47">
        <f t="shared" si="475"/>
        <v>1430.0000000000002</v>
      </c>
      <c r="N2297" s="47" t="s">
        <v>498</v>
      </c>
      <c r="O2297" s="47"/>
      <c r="P2297" s="47"/>
      <c r="Q2297" s="47"/>
      <c r="R2297" s="47"/>
      <c r="S2297" s="47"/>
      <c r="T2297" s="47">
        <f t="shared" si="472"/>
        <v>780</v>
      </c>
      <c r="U2297" s="47"/>
      <c r="V2297" s="47"/>
      <c r="W2297" s="47"/>
      <c r="X2297" s="47">
        <f t="shared" si="476"/>
        <v>3000</v>
      </c>
      <c r="Y2297" s="47"/>
      <c r="Z2297" s="47">
        <f t="shared" si="477"/>
        <v>4620</v>
      </c>
      <c r="AA2297" s="47">
        <f t="shared" si="477"/>
        <v>1400</v>
      </c>
      <c r="AB2297" s="47"/>
      <c r="AC2297" s="47"/>
      <c r="AD2297" s="47"/>
      <c r="AE2297" s="47"/>
      <c r="AF2297" s="47">
        <f t="shared" si="473"/>
        <v>1485</v>
      </c>
      <c r="AG2297" s="47"/>
      <c r="AH2297" s="47" t="str">
        <f>IFERROR(_xlfn.XLOOKUP(Table6[[#This Row],[Suburb]],Table5[Travel Surcharge],Table5[$$]),"")</f>
        <v/>
      </c>
      <c r="AI2297" s="47"/>
      <c r="AJ2297" s="47"/>
    </row>
    <row r="2298" spans="1:36">
      <c r="A2298" s="374" t="s">
        <v>3659</v>
      </c>
      <c r="B2298" s="374">
        <v>8</v>
      </c>
      <c r="C2298" s="374" t="s">
        <v>1264</v>
      </c>
      <c r="D2298" s="375" t="str">
        <f t="shared" si="467"/>
        <v>Kinbrook Estate8</v>
      </c>
      <c r="E2298" s="375" t="s">
        <v>3665</v>
      </c>
      <c r="F2298" s="375"/>
      <c r="G2298" s="375"/>
      <c r="H2298" s="375"/>
      <c r="I2298" s="63"/>
      <c r="J2298" s="47">
        <f t="shared" si="474"/>
        <v>3740</v>
      </c>
      <c r="K2298" s="46" t="s">
        <v>7938</v>
      </c>
      <c r="L2298" s="47"/>
      <c r="M2298" s="47">
        <f t="shared" si="475"/>
        <v>1430.0000000000002</v>
      </c>
      <c r="N2298" s="47" t="s">
        <v>498</v>
      </c>
      <c r="O2298" s="47"/>
      <c r="P2298" s="47"/>
      <c r="Q2298" s="47"/>
      <c r="R2298" s="47"/>
      <c r="S2298" s="47"/>
      <c r="T2298" s="47">
        <f t="shared" si="472"/>
        <v>780</v>
      </c>
      <c r="U2298" s="47"/>
      <c r="V2298" s="47"/>
      <c r="W2298" s="47"/>
      <c r="X2298" s="47">
        <f t="shared" si="476"/>
        <v>3000</v>
      </c>
      <c r="Y2298" s="47"/>
      <c r="Z2298" s="47">
        <f t="shared" si="477"/>
        <v>4620</v>
      </c>
      <c r="AA2298" s="47">
        <f t="shared" si="477"/>
        <v>1400</v>
      </c>
      <c r="AB2298" s="47"/>
      <c r="AC2298" s="47"/>
      <c r="AD2298" s="47"/>
      <c r="AE2298" s="47"/>
      <c r="AF2298" s="47">
        <f t="shared" si="473"/>
        <v>1485</v>
      </c>
      <c r="AG2298" s="47"/>
      <c r="AH2298" s="47" t="str">
        <f>IFERROR(_xlfn.XLOOKUP(Table6[[#This Row],[Suburb]],Table5[Travel Surcharge],Table5[$$]),"")</f>
        <v/>
      </c>
      <c r="AI2298" s="47"/>
      <c r="AJ2298" s="47"/>
    </row>
    <row r="2299" spans="1:36">
      <c r="A2299" s="374" t="s">
        <v>3659</v>
      </c>
      <c r="B2299" s="374">
        <v>11</v>
      </c>
      <c r="C2299" s="374" t="s">
        <v>1264</v>
      </c>
      <c r="D2299" s="375" t="str">
        <f t="shared" si="467"/>
        <v>Kinbrook Estate11</v>
      </c>
      <c r="E2299" s="375" t="s">
        <v>9003</v>
      </c>
      <c r="F2299" s="375"/>
      <c r="G2299" s="375"/>
      <c r="H2299" s="375"/>
      <c r="I2299" s="63"/>
      <c r="J2299" s="47">
        <f t="shared" si="474"/>
        <v>3740</v>
      </c>
      <c r="K2299" s="46" t="s">
        <v>7938</v>
      </c>
      <c r="L2299" s="47"/>
      <c r="M2299" s="47">
        <f t="shared" si="475"/>
        <v>1430.0000000000002</v>
      </c>
      <c r="N2299" s="47" t="s">
        <v>498</v>
      </c>
      <c r="O2299" s="47"/>
      <c r="P2299" s="47"/>
      <c r="Q2299" s="47"/>
      <c r="R2299" s="47"/>
      <c r="S2299" s="47"/>
      <c r="T2299" s="47">
        <f t="shared" si="472"/>
        <v>780</v>
      </c>
      <c r="U2299" s="47"/>
      <c r="V2299" s="47"/>
      <c r="W2299" s="47"/>
      <c r="X2299" s="47">
        <f t="shared" si="476"/>
        <v>3000</v>
      </c>
      <c r="Y2299" s="47"/>
      <c r="Z2299" s="47">
        <f t="shared" si="477"/>
        <v>4620</v>
      </c>
      <c r="AA2299" s="47">
        <f t="shared" si="477"/>
        <v>1400</v>
      </c>
      <c r="AB2299" s="47"/>
      <c r="AC2299" s="47"/>
      <c r="AD2299" s="47"/>
      <c r="AE2299" s="47"/>
      <c r="AF2299" s="47">
        <f t="shared" si="473"/>
        <v>1485</v>
      </c>
      <c r="AG2299" s="47"/>
      <c r="AH2299" s="47" t="str">
        <f>IFERROR(_xlfn.XLOOKUP(Table6[[#This Row],[Suburb]],Table5[Travel Surcharge],Table5[$$]),"")</f>
        <v/>
      </c>
      <c r="AI2299" s="47"/>
      <c r="AJ2299" s="47"/>
    </row>
    <row r="2300" spans="1:36">
      <c r="A2300" s="374" t="s">
        <v>3659</v>
      </c>
      <c r="B2300" s="374">
        <v>16</v>
      </c>
      <c r="C2300" s="374" t="s">
        <v>1264</v>
      </c>
      <c r="D2300" s="375" t="str">
        <f t="shared" si="467"/>
        <v>Kinbrook Estate16</v>
      </c>
      <c r="E2300" s="375" t="s">
        <v>3666</v>
      </c>
      <c r="F2300" s="375"/>
      <c r="G2300" s="375"/>
      <c r="H2300" s="375"/>
      <c r="I2300" s="63"/>
      <c r="J2300" s="47">
        <f t="shared" si="474"/>
        <v>3740</v>
      </c>
      <c r="K2300" s="46" t="s">
        <v>7938</v>
      </c>
      <c r="L2300" s="47"/>
      <c r="M2300" s="47">
        <f t="shared" si="475"/>
        <v>1430.0000000000002</v>
      </c>
      <c r="N2300" s="47" t="s">
        <v>498</v>
      </c>
      <c r="O2300" s="47"/>
      <c r="P2300" s="47"/>
      <c r="Q2300" s="47"/>
      <c r="R2300" s="47"/>
      <c r="S2300" s="47"/>
      <c r="T2300" s="47">
        <f t="shared" si="472"/>
        <v>780</v>
      </c>
      <c r="U2300" s="47"/>
      <c r="V2300" s="47"/>
      <c r="W2300" s="47"/>
      <c r="X2300" s="47">
        <f t="shared" si="476"/>
        <v>3000</v>
      </c>
      <c r="Y2300" s="47"/>
      <c r="Z2300" s="47">
        <f t="shared" si="477"/>
        <v>4620</v>
      </c>
      <c r="AA2300" s="47">
        <f t="shared" si="477"/>
        <v>1400</v>
      </c>
      <c r="AB2300" s="47"/>
      <c r="AC2300" s="47"/>
      <c r="AD2300" s="47"/>
      <c r="AE2300" s="47"/>
      <c r="AF2300" s="47">
        <f t="shared" si="473"/>
        <v>1485</v>
      </c>
      <c r="AG2300" s="47"/>
      <c r="AH2300" s="47" t="str">
        <f>IFERROR(_xlfn.XLOOKUP(Table6[[#This Row],[Suburb]],Table5[Travel Surcharge],Table5[$$]),"")</f>
        <v/>
      </c>
      <c r="AI2300" s="47"/>
      <c r="AJ2300" s="47"/>
    </row>
    <row r="2301" spans="1:36">
      <c r="A2301" s="374" t="s">
        <v>3659</v>
      </c>
      <c r="B2301" s="374">
        <v>17</v>
      </c>
      <c r="C2301" s="374" t="s">
        <v>1264</v>
      </c>
      <c r="D2301" s="375" t="str">
        <f t="shared" si="467"/>
        <v>Kinbrook Estate17</v>
      </c>
      <c r="E2301" s="375" t="s">
        <v>3667</v>
      </c>
      <c r="F2301" s="375"/>
      <c r="G2301" s="375"/>
      <c r="H2301" s="375"/>
      <c r="I2301" s="63"/>
      <c r="J2301" s="47">
        <f t="shared" si="474"/>
        <v>3740</v>
      </c>
      <c r="K2301" s="46" t="s">
        <v>7938</v>
      </c>
      <c r="L2301" s="47"/>
      <c r="M2301" s="47">
        <f t="shared" si="475"/>
        <v>1430.0000000000002</v>
      </c>
      <c r="N2301" s="47" t="s">
        <v>498</v>
      </c>
      <c r="O2301" s="47"/>
      <c r="P2301" s="47"/>
      <c r="Q2301" s="47"/>
      <c r="R2301" s="47"/>
      <c r="S2301" s="47"/>
      <c r="T2301" s="47">
        <f t="shared" si="472"/>
        <v>780</v>
      </c>
      <c r="U2301" s="47"/>
      <c r="V2301" s="47"/>
      <c r="W2301" s="47"/>
      <c r="X2301" s="47">
        <f t="shared" si="476"/>
        <v>3000</v>
      </c>
      <c r="Y2301" s="47"/>
      <c r="Z2301" s="47">
        <f t="shared" si="477"/>
        <v>4620</v>
      </c>
      <c r="AA2301" s="47">
        <f t="shared" si="477"/>
        <v>1400</v>
      </c>
      <c r="AB2301" s="47"/>
      <c r="AC2301" s="47"/>
      <c r="AD2301" s="47"/>
      <c r="AE2301" s="47"/>
      <c r="AF2301" s="47">
        <f t="shared" si="473"/>
        <v>1485</v>
      </c>
      <c r="AG2301" s="47"/>
      <c r="AH2301" s="47" t="str">
        <f>IFERROR(_xlfn.XLOOKUP(Table6[[#This Row],[Suburb]],Table5[Travel Surcharge],Table5[$$]),"")</f>
        <v/>
      </c>
      <c r="AI2301" s="47"/>
      <c r="AJ2301" s="47"/>
    </row>
    <row r="2302" spans="1:36">
      <c r="A2302" s="374" t="s">
        <v>3659</v>
      </c>
      <c r="B2302" s="374">
        <v>18</v>
      </c>
      <c r="C2302" s="374" t="s">
        <v>1264</v>
      </c>
      <c r="D2302" s="375" t="str">
        <f t="shared" si="467"/>
        <v>Kinbrook Estate18</v>
      </c>
      <c r="E2302" s="375" t="s">
        <v>3668</v>
      </c>
      <c r="F2302" s="375"/>
      <c r="G2302" s="375"/>
      <c r="H2302" s="375"/>
      <c r="I2302" s="63"/>
      <c r="J2302" s="47">
        <f t="shared" si="474"/>
        <v>3740</v>
      </c>
      <c r="K2302" s="46" t="s">
        <v>7938</v>
      </c>
      <c r="L2302" s="47"/>
      <c r="M2302" s="47">
        <f t="shared" si="475"/>
        <v>1430.0000000000002</v>
      </c>
      <c r="N2302" s="47" t="s">
        <v>498</v>
      </c>
      <c r="O2302" s="47"/>
      <c r="P2302" s="47"/>
      <c r="Q2302" s="47"/>
      <c r="R2302" s="47"/>
      <c r="S2302" s="47"/>
      <c r="T2302" s="47">
        <f t="shared" si="472"/>
        <v>780</v>
      </c>
      <c r="U2302" s="47"/>
      <c r="V2302" s="47"/>
      <c r="W2302" s="47"/>
      <c r="X2302" s="47">
        <f t="shared" si="476"/>
        <v>3000</v>
      </c>
      <c r="Y2302" s="47"/>
      <c r="Z2302" s="47">
        <f t="shared" si="477"/>
        <v>4620</v>
      </c>
      <c r="AA2302" s="47">
        <f t="shared" si="477"/>
        <v>1400</v>
      </c>
      <c r="AB2302" s="47"/>
      <c r="AC2302" s="47"/>
      <c r="AD2302" s="47"/>
      <c r="AE2302" s="47"/>
      <c r="AF2302" s="47">
        <f t="shared" si="473"/>
        <v>1485</v>
      </c>
      <c r="AG2302" s="47"/>
      <c r="AH2302" s="47" t="str">
        <f>IFERROR(_xlfn.XLOOKUP(Table6[[#This Row],[Suburb]],Table5[Travel Surcharge],Table5[$$]),"")</f>
        <v/>
      </c>
      <c r="AI2302" s="47"/>
      <c r="AJ2302" s="47"/>
    </row>
    <row r="2303" spans="1:36">
      <c r="A2303" s="374" t="s">
        <v>3659</v>
      </c>
      <c r="B2303" s="374">
        <v>19</v>
      </c>
      <c r="C2303" s="374" t="s">
        <v>1264</v>
      </c>
      <c r="D2303" s="375" t="str">
        <f t="shared" si="467"/>
        <v>Kinbrook Estate19</v>
      </c>
      <c r="E2303" s="375" t="s">
        <v>3669</v>
      </c>
      <c r="F2303" s="375"/>
      <c r="G2303" s="375"/>
      <c r="H2303" s="375"/>
      <c r="I2303" s="63"/>
      <c r="J2303" s="47">
        <f t="shared" si="474"/>
        <v>3740</v>
      </c>
      <c r="K2303" s="46" t="s">
        <v>7938</v>
      </c>
      <c r="L2303" s="47"/>
      <c r="M2303" s="47">
        <f t="shared" si="475"/>
        <v>1430.0000000000002</v>
      </c>
      <c r="N2303" s="47" t="s">
        <v>498</v>
      </c>
      <c r="O2303" s="47"/>
      <c r="P2303" s="47"/>
      <c r="Q2303" s="47"/>
      <c r="R2303" s="47"/>
      <c r="S2303" s="47"/>
      <c r="T2303" s="47">
        <f t="shared" si="472"/>
        <v>780</v>
      </c>
      <c r="U2303" s="47"/>
      <c r="V2303" s="47"/>
      <c r="W2303" s="47"/>
      <c r="X2303" s="47">
        <f t="shared" si="476"/>
        <v>3000</v>
      </c>
      <c r="Y2303" s="47"/>
      <c r="Z2303" s="47">
        <f t="shared" si="477"/>
        <v>4620</v>
      </c>
      <c r="AA2303" s="47">
        <f t="shared" si="477"/>
        <v>1400</v>
      </c>
      <c r="AB2303" s="47"/>
      <c r="AC2303" s="47"/>
      <c r="AD2303" s="47"/>
      <c r="AE2303" s="47"/>
      <c r="AF2303" s="47">
        <f t="shared" si="473"/>
        <v>1485</v>
      </c>
      <c r="AG2303" s="47"/>
      <c r="AH2303" s="47" t="str">
        <f>IFERROR(_xlfn.XLOOKUP(Table6[[#This Row],[Suburb]],Table5[Travel Surcharge],Table5[$$]),"")</f>
        <v/>
      </c>
      <c r="AI2303" s="47"/>
      <c r="AJ2303" s="47"/>
    </row>
    <row r="2304" spans="1:36">
      <c r="A2304" s="374" t="s">
        <v>3659</v>
      </c>
      <c r="B2304" s="374">
        <v>20</v>
      </c>
      <c r="C2304" s="374" t="s">
        <v>1264</v>
      </c>
      <c r="D2304" s="375" t="str">
        <f t="shared" si="467"/>
        <v>Kinbrook Estate20</v>
      </c>
      <c r="E2304" s="375" t="s">
        <v>3670</v>
      </c>
      <c r="F2304" s="375"/>
      <c r="G2304" s="375"/>
      <c r="H2304" s="375"/>
      <c r="I2304" s="63"/>
      <c r="J2304" s="47">
        <f t="shared" si="474"/>
        <v>3740</v>
      </c>
      <c r="K2304" s="46" t="s">
        <v>7938</v>
      </c>
      <c r="L2304" s="47"/>
      <c r="M2304" s="47">
        <f t="shared" si="475"/>
        <v>1430.0000000000002</v>
      </c>
      <c r="N2304" s="47" t="s">
        <v>498</v>
      </c>
      <c r="O2304" s="47"/>
      <c r="P2304" s="47"/>
      <c r="Q2304" s="47"/>
      <c r="R2304" s="47"/>
      <c r="S2304" s="47"/>
      <c r="T2304" s="47">
        <f t="shared" si="472"/>
        <v>780</v>
      </c>
      <c r="U2304" s="47"/>
      <c r="V2304" s="47"/>
      <c r="W2304" s="47"/>
      <c r="X2304" s="47">
        <f t="shared" si="476"/>
        <v>3000</v>
      </c>
      <c r="Y2304" s="47"/>
      <c r="Z2304" s="47">
        <f t="shared" si="477"/>
        <v>4620</v>
      </c>
      <c r="AA2304" s="47">
        <f t="shared" si="477"/>
        <v>1400</v>
      </c>
      <c r="AB2304" s="47"/>
      <c r="AC2304" s="47"/>
      <c r="AD2304" s="47"/>
      <c r="AE2304" s="47"/>
      <c r="AF2304" s="47">
        <f t="shared" si="473"/>
        <v>1485</v>
      </c>
      <c r="AG2304" s="47"/>
      <c r="AH2304" s="47" t="str">
        <f>IFERROR(_xlfn.XLOOKUP(Table6[[#This Row],[Suburb]],Table5[Travel Surcharge],Table5[$$]),"")</f>
        <v/>
      </c>
      <c r="AI2304" s="47"/>
      <c r="AJ2304" s="47"/>
    </row>
    <row r="2305" spans="1:36">
      <c r="A2305" s="374" t="s">
        <v>3659</v>
      </c>
      <c r="B2305" s="374">
        <v>21</v>
      </c>
      <c r="C2305" s="374" t="s">
        <v>1264</v>
      </c>
      <c r="D2305" s="375" t="str">
        <f t="shared" si="467"/>
        <v>Kinbrook Estate21</v>
      </c>
      <c r="E2305" s="375" t="s">
        <v>3671</v>
      </c>
      <c r="F2305" s="375"/>
      <c r="G2305" s="375"/>
      <c r="H2305" s="375"/>
      <c r="I2305" s="63"/>
      <c r="J2305" s="47">
        <f t="shared" si="474"/>
        <v>3740</v>
      </c>
      <c r="K2305" s="46" t="s">
        <v>7938</v>
      </c>
      <c r="L2305" s="47"/>
      <c r="M2305" s="47">
        <f t="shared" si="475"/>
        <v>1430.0000000000002</v>
      </c>
      <c r="N2305" s="47" t="s">
        <v>498</v>
      </c>
      <c r="O2305" s="47"/>
      <c r="P2305" s="47"/>
      <c r="Q2305" s="47"/>
      <c r="R2305" s="47"/>
      <c r="S2305" s="47"/>
      <c r="T2305" s="47">
        <f t="shared" si="472"/>
        <v>780</v>
      </c>
      <c r="U2305" s="47"/>
      <c r="V2305" s="47"/>
      <c r="W2305" s="47"/>
      <c r="X2305" s="47">
        <f t="shared" si="476"/>
        <v>3000</v>
      </c>
      <c r="Y2305" s="47"/>
      <c r="Z2305" s="47">
        <f t="shared" si="477"/>
        <v>4620</v>
      </c>
      <c r="AA2305" s="47">
        <f t="shared" si="477"/>
        <v>1400</v>
      </c>
      <c r="AB2305" s="47"/>
      <c r="AC2305" s="47"/>
      <c r="AD2305" s="47"/>
      <c r="AE2305" s="47"/>
      <c r="AF2305" s="47">
        <f t="shared" si="473"/>
        <v>1485</v>
      </c>
      <c r="AG2305" s="47"/>
      <c r="AH2305" s="47" t="str">
        <f>IFERROR(_xlfn.XLOOKUP(Table6[[#This Row],[Suburb]],Table5[Travel Surcharge],Table5[$$]),"")</f>
        <v/>
      </c>
      <c r="AI2305" s="47"/>
      <c r="AJ2305" s="47"/>
    </row>
    <row r="2306" spans="1:36">
      <c r="A2306" s="157" t="s">
        <v>3659</v>
      </c>
      <c r="B2306" s="157">
        <v>22</v>
      </c>
      <c r="C2306" s="157" t="s">
        <v>8281</v>
      </c>
      <c r="D2306" s="157" t="str">
        <f t="shared" si="467"/>
        <v>Kinbrook Estate22</v>
      </c>
      <c r="E2306" s="157" t="s">
        <v>8282</v>
      </c>
      <c r="F2306" s="157"/>
      <c r="G2306" s="157"/>
      <c r="H2306" s="157"/>
      <c r="I2306" s="158"/>
      <c r="J2306" s="47">
        <f t="shared" si="474"/>
        <v>3740</v>
      </c>
      <c r="K2306" s="46" t="s">
        <v>7938</v>
      </c>
      <c r="L2306" s="47"/>
      <c r="M2306" s="47">
        <f t="shared" si="475"/>
        <v>1430.0000000000002</v>
      </c>
      <c r="N2306" s="47" t="s">
        <v>498</v>
      </c>
      <c r="O2306" s="47"/>
      <c r="P2306" s="47"/>
      <c r="Q2306" s="47"/>
      <c r="R2306" s="47"/>
      <c r="S2306" s="47"/>
      <c r="T2306" s="47">
        <f t="shared" si="472"/>
        <v>780</v>
      </c>
      <c r="U2306" s="47"/>
      <c r="V2306" s="47"/>
      <c r="W2306" s="47"/>
      <c r="X2306" s="47">
        <f t="shared" si="476"/>
        <v>3000</v>
      </c>
      <c r="Y2306" s="47"/>
      <c r="Z2306" s="47">
        <f t="shared" si="477"/>
        <v>4620</v>
      </c>
      <c r="AA2306" s="47">
        <f t="shared" si="477"/>
        <v>1400</v>
      </c>
      <c r="AB2306" s="47"/>
      <c r="AC2306" s="47"/>
      <c r="AD2306" s="47"/>
      <c r="AE2306" s="47"/>
      <c r="AF2306" s="47">
        <f t="shared" si="473"/>
        <v>1485</v>
      </c>
      <c r="AG2306" s="47"/>
      <c r="AH2306" s="47" t="str">
        <f>IFERROR(_xlfn.XLOOKUP(Table6[[#This Row],[Suburb]],Table5[Travel Surcharge],Table5[$$]),"")</f>
        <v/>
      </c>
      <c r="AI2306" s="47"/>
      <c r="AJ2306" s="47"/>
    </row>
    <row r="2307" spans="1:36">
      <c r="A2307" s="374" t="s">
        <v>3659</v>
      </c>
      <c r="B2307" s="374">
        <v>24</v>
      </c>
      <c r="C2307" s="374" t="s">
        <v>1264</v>
      </c>
      <c r="D2307" s="375" t="str">
        <f t="shared" si="467"/>
        <v>Kinbrook Estate24</v>
      </c>
      <c r="E2307" s="375" t="s">
        <v>3672</v>
      </c>
      <c r="F2307" s="375"/>
      <c r="G2307" s="375"/>
      <c r="H2307" s="375"/>
      <c r="I2307" s="63"/>
      <c r="J2307" s="47">
        <f t="shared" si="474"/>
        <v>3740</v>
      </c>
      <c r="K2307" s="46" t="s">
        <v>7938</v>
      </c>
      <c r="L2307" s="47"/>
      <c r="M2307" s="47">
        <f t="shared" si="475"/>
        <v>1430.0000000000002</v>
      </c>
      <c r="N2307" s="47" t="s">
        <v>498</v>
      </c>
      <c r="O2307" s="47"/>
      <c r="P2307" s="47"/>
      <c r="Q2307" s="47"/>
      <c r="R2307" s="47"/>
      <c r="S2307" s="47"/>
      <c r="T2307" s="47">
        <f t="shared" si="472"/>
        <v>780</v>
      </c>
      <c r="U2307" s="47"/>
      <c r="V2307" s="47"/>
      <c r="W2307" s="47"/>
      <c r="X2307" s="47">
        <f t="shared" si="476"/>
        <v>3000</v>
      </c>
      <c r="Y2307" s="47"/>
      <c r="Z2307" s="47">
        <f t="shared" si="477"/>
        <v>4620</v>
      </c>
      <c r="AA2307" s="47">
        <f t="shared" si="477"/>
        <v>1400</v>
      </c>
      <c r="AB2307" s="47"/>
      <c r="AC2307" s="47"/>
      <c r="AD2307" s="47"/>
      <c r="AE2307" s="47"/>
      <c r="AF2307" s="47">
        <f t="shared" si="473"/>
        <v>1485</v>
      </c>
      <c r="AG2307" s="47"/>
      <c r="AH2307" s="47" t="str">
        <f>IFERROR(_xlfn.XLOOKUP(Table6[[#This Row],[Suburb]],Table5[Travel Surcharge],Table5[$$]),"")</f>
        <v/>
      </c>
      <c r="AI2307" s="47"/>
      <c r="AJ2307" s="47"/>
    </row>
    <row r="2308" spans="1:36">
      <c r="A2308" s="374" t="s">
        <v>3659</v>
      </c>
      <c r="B2308" s="374">
        <v>25</v>
      </c>
      <c r="C2308" s="374" t="s">
        <v>1264</v>
      </c>
      <c r="D2308" s="375" t="str">
        <f t="shared" si="467"/>
        <v>Kinbrook Estate25</v>
      </c>
      <c r="E2308" s="375" t="s">
        <v>3673</v>
      </c>
      <c r="F2308" s="375"/>
      <c r="G2308" s="375"/>
      <c r="H2308" s="375"/>
      <c r="I2308" s="63"/>
      <c r="J2308" s="47">
        <f t="shared" si="474"/>
        <v>3740</v>
      </c>
      <c r="K2308" s="46" t="s">
        <v>7938</v>
      </c>
      <c r="L2308" s="47"/>
      <c r="M2308" s="47">
        <f t="shared" si="475"/>
        <v>1430.0000000000002</v>
      </c>
      <c r="N2308" s="47" t="s">
        <v>498</v>
      </c>
      <c r="O2308" s="47"/>
      <c r="P2308" s="47"/>
      <c r="Q2308" s="47"/>
      <c r="R2308" s="47"/>
      <c r="S2308" s="47"/>
      <c r="T2308" s="47">
        <f t="shared" si="472"/>
        <v>780</v>
      </c>
      <c r="U2308" s="47"/>
      <c r="V2308" s="47"/>
      <c r="W2308" s="47"/>
      <c r="X2308" s="47">
        <f t="shared" si="476"/>
        <v>3000</v>
      </c>
      <c r="Y2308" s="47"/>
      <c r="Z2308" s="47">
        <f t="shared" si="477"/>
        <v>4620</v>
      </c>
      <c r="AA2308" s="47">
        <f t="shared" si="477"/>
        <v>1400</v>
      </c>
      <c r="AB2308" s="47"/>
      <c r="AC2308" s="47"/>
      <c r="AD2308" s="47"/>
      <c r="AE2308" s="47"/>
      <c r="AF2308" s="47">
        <f t="shared" si="473"/>
        <v>1485</v>
      </c>
      <c r="AG2308" s="47"/>
      <c r="AH2308" s="47" t="str">
        <f>IFERROR(_xlfn.XLOOKUP(Table6[[#This Row],[Suburb]],Table5[Travel Surcharge],Table5[$$]),"")</f>
        <v/>
      </c>
      <c r="AI2308" s="47"/>
      <c r="AJ2308" s="47"/>
    </row>
    <row r="2309" spans="1:36">
      <c r="A2309" s="374" t="s">
        <v>3659</v>
      </c>
      <c r="B2309" s="374">
        <v>26</v>
      </c>
      <c r="C2309" s="374" t="s">
        <v>1264</v>
      </c>
      <c r="D2309" s="375" t="str">
        <f t="shared" si="467"/>
        <v>Kinbrook Estate26</v>
      </c>
      <c r="E2309" s="375" t="s">
        <v>3674</v>
      </c>
      <c r="F2309" s="375"/>
      <c r="G2309" s="375"/>
      <c r="H2309" s="375"/>
      <c r="I2309" s="63"/>
      <c r="J2309" s="47">
        <f t="shared" si="474"/>
        <v>3740</v>
      </c>
      <c r="K2309" s="46" t="s">
        <v>7938</v>
      </c>
      <c r="L2309" s="47"/>
      <c r="M2309" s="47">
        <f t="shared" si="475"/>
        <v>1430.0000000000002</v>
      </c>
      <c r="N2309" s="47" t="s">
        <v>498</v>
      </c>
      <c r="O2309" s="47"/>
      <c r="P2309" s="47"/>
      <c r="Q2309" s="47"/>
      <c r="R2309" s="47"/>
      <c r="S2309" s="47"/>
      <c r="T2309" s="47">
        <f t="shared" si="472"/>
        <v>780</v>
      </c>
      <c r="U2309" s="47"/>
      <c r="V2309" s="47"/>
      <c r="W2309" s="47"/>
      <c r="X2309" s="47">
        <f t="shared" si="476"/>
        <v>3000</v>
      </c>
      <c r="Y2309" s="47"/>
      <c r="Z2309" s="47">
        <f t="shared" si="477"/>
        <v>4620</v>
      </c>
      <c r="AA2309" s="47">
        <f t="shared" si="477"/>
        <v>1400</v>
      </c>
      <c r="AB2309" s="47"/>
      <c r="AC2309" s="47"/>
      <c r="AD2309" s="47"/>
      <c r="AE2309" s="47"/>
      <c r="AF2309" s="47">
        <f t="shared" si="473"/>
        <v>1485</v>
      </c>
      <c r="AG2309" s="47"/>
      <c r="AH2309" s="47" t="str">
        <f>IFERROR(_xlfn.XLOOKUP(Table6[[#This Row],[Suburb]],Table5[Travel Surcharge],Table5[$$]),"")</f>
        <v/>
      </c>
      <c r="AI2309" s="47"/>
      <c r="AJ2309" s="47"/>
    </row>
    <row r="2310" spans="1:36">
      <c r="A2310" s="374" t="s">
        <v>3659</v>
      </c>
      <c r="B2310" s="374">
        <v>30</v>
      </c>
      <c r="C2310" s="374" t="s">
        <v>1264</v>
      </c>
      <c r="D2310" s="375" t="str">
        <f t="shared" si="467"/>
        <v>Kinbrook Estate30</v>
      </c>
      <c r="E2310" s="375" t="s">
        <v>3675</v>
      </c>
      <c r="F2310" s="375"/>
      <c r="G2310" s="375"/>
      <c r="H2310" s="375"/>
      <c r="I2310" s="63"/>
      <c r="J2310" s="47">
        <f t="shared" si="474"/>
        <v>3740</v>
      </c>
      <c r="K2310" s="46" t="s">
        <v>7938</v>
      </c>
      <c r="L2310" s="47"/>
      <c r="M2310" s="47">
        <f t="shared" si="475"/>
        <v>1430.0000000000002</v>
      </c>
      <c r="N2310" s="47" t="s">
        <v>498</v>
      </c>
      <c r="O2310" s="47"/>
      <c r="P2310" s="47"/>
      <c r="Q2310" s="47"/>
      <c r="R2310" s="47"/>
      <c r="S2310" s="47"/>
      <c r="T2310" s="47">
        <f t="shared" si="472"/>
        <v>780</v>
      </c>
      <c r="U2310" s="47"/>
      <c r="V2310" s="47"/>
      <c r="W2310" s="47"/>
      <c r="X2310" s="47">
        <f t="shared" si="476"/>
        <v>3000</v>
      </c>
      <c r="Y2310" s="47"/>
      <c r="Z2310" s="47">
        <f t="shared" si="477"/>
        <v>4620</v>
      </c>
      <c r="AA2310" s="47">
        <f t="shared" si="477"/>
        <v>1400</v>
      </c>
      <c r="AB2310" s="47"/>
      <c r="AC2310" s="47"/>
      <c r="AD2310" s="47"/>
      <c r="AE2310" s="47"/>
      <c r="AF2310" s="47">
        <f t="shared" si="473"/>
        <v>1485</v>
      </c>
      <c r="AG2310" s="47"/>
      <c r="AH2310" s="47" t="str">
        <f>IFERROR(_xlfn.XLOOKUP(Table6[[#This Row],[Suburb]],Table5[Travel Surcharge],Table5[$$]),"")</f>
        <v/>
      </c>
      <c r="AI2310" s="47"/>
      <c r="AJ2310" s="47"/>
    </row>
    <row r="2311" spans="1:36">
      <c r="A2311" s="374" t="s">
        <v>3659</v>
      </c>
      <c r="B2311" s="374">
        <v>31</v>
      </c>
      <c r="C2311" s="374" t="s">
        <v>1264</v>
      </c>
      <c r="D2311" s="375" t="str">
        <f t="shared" si="467"/>
        <v>Kinbrook Estate31</v>
      </c>
      <c r="E2311" s="375" t="s">
        <v>3676</v>
      </c>
      <c r="F2311" s="375"/>
      <c r="G2311" s="375"/>
      <c r="H2311" s="375"/>
      <c r="I2311" s="63"/>
      <c r="J2311" s="47">
        <f t="shared" si="474"/>
        <v>3740</v>
      </c>
      <c r="K2311" s="46" t="s">
        <v>7938</v>
      </c>
      <c r="L2311" s="47"/>
      <c r="M2311" s="47">
        <f t="shared" si="475"/>
        <v>1430.0000000000002</v>
      </c>
      <c r="N2311" s="47" t="s">
        <v>498</v>
      </c>
      <c r="O2311" s="47"/>
      <c r="P2311" s="47"/>
      <c r="Q2311" s="47"/>
      <c r="R2311" s="47"/>
      <c r="S2311" s="47"/>
      <c r="T2311" s="47">
        <f t="shared" si="472"/>
        <v>780</v>
      </c>
      <c r="U2311" s="47"/>
      <c r="V2311" s="47"/>
      <c r="W2311" s="47"/>
      <c r="X2311" s="47">
        <f t="shared" si="476"/>
        <v>3000</v>
      </c>
      <c r="Y2311" s="47"/>
      <c r="Z2311" s="47">
        <f t="shared" si="477"/>
        <v>4620</v>
      </c>
      <c r="AA2311" s="47">
        <f t="shared" si="477"/>
        <v>1400</v>
      </c>
      <c r="AB2311" s="47"/>
      <c r="AC2311" s="47"/>
      <c r="AD2311" s="47"/>
      <c r="AE2311" s="47"/>
      <c r="AF2311" s="47">
        <f t="shared" si="473"/>
        <v>1485</v>
      </c>
      <c r="AG2311" s="47"/>
      <c r="AH2311" s="47" t="str">
        <f>IFERROR(_xlfn.XLOOKUP(Table6[[#This Row],[Suburb]],Table5[Travel Surcharge],Table5[$$]),"")</f>
        <v/>
      </c>
      <c r="AI2311" s="47"/>
      <c r="AJ2311" s="47"/>
    </row>
    <row r="2312" spans="1:36">
      <c r="A2312" s="374" t="s">
        <v>3659</v>
      </c>
      <c r="B2312" s="374">
        <v>32</v>
      </c>
      <c r="C2312" s="374" t="s">
        <v>1264</v>
      </c>
      <c r="D2312" s="375" t="str">
        <f t="shared" si="467"/>
        <v>Kinbrook Estate32</v>
      </c>
      <c r="E2312" s="375" t="s">
        <v>3677</v>
      </c>
      <c r="F2312" s="375"/>
      <c r="G2312" s="375"/>
      <c r="H2312" s="375"/>
      <c r="I2312" s="63"/>
      <c r="J2312" s="47">
        <f t="shared" si="474"/>
        <v>3740</v>
      </c>
      <c r="K2312" s="46" t="s">
        <v>7938</v>
      </c>
      <c r="L2312" s="47"/>
      <c r="M2312" s="47">
        <f t="shared" si="475"/>
        <v>1430.0000000000002</v>
      </c>
      <c r="N2312" s="47" t="s">
        <v>498</v>
      </c>
      <c r="O2312" s="47"/>
      <c r="P2312" s="47"/>
      <c r="Q2312" s="47"/>
      <c r="R2312" s="47"/>
      <c r="S2312" s="47"/>
      <c r="T2312" s="47">
        <f t="shared" si="472"/>
        <v>780</v>
      </c>
      <c r="U2312" s="47"/>
      <c r="V2312" s="47"/>
      <c r="W2312" s="47"/>
      <c r="X2312" s="47">
        <f t="shared" si="476"/>
        <v>3000</v>
      </c>
      <c r="Y2312" s="47"/>
      <c r="Z2312" s="47">
        <f t="shared" si="477"/>
        <v>4620</v>
      </c>
      <c r="AA2312" s="47">
        <f t="shared" si="477"/>
        <v>1400</v>
      </c>
      <c r="AB2312" s="47"/>
      <c r="AC2312" s="47"/>
      <c r="AD2312" s="47"/>
      <c r="AE2312" s="47"/>
      <c r="AF2312" s="47">
        <f t="shared" si="473"/>
        <v>1485</v>
      </c>
      <c r="AG2312" s="47"/>
      <c r="AH2312" s="47" t="str">
        <f>IFERROR(_xlfn.XLOOKUP(Table6[[#This Row],[Suburb]],Table5[Travel Surcharge],Table5[$$]),"")</f>
        <v/>
      </c>
      <c r="AI2312" s="47"/>
      <c r="AJ2312" s="47"/>
    </row>
    <row r="2313" spans="1:36">
      <c r="A2313" s="374" t="s">
        <v>3678</v>
      </c>
      <c r="B2313" s="374">
        <v>1</v>
      </c>
      <c r="C2313" s="374" t="s">
        <v>442</v>
      </c>
      <c r="D2313" s="375" t="str">
        <f t="shared" ref="D2313:D2348" si="478">CONCATENATE(A2313,B2313)</f>
        <v>Kingbird Estate1</v>
      </c>
      <c r="E2313" s="375" t="s">
        <v>3679</v>
      </c>
      <c r="F2313" s="375"/>
      <c r="G2313" s="375" t="s">
        <v>3680</v>
      </c>
      <c r="H2313" s="375" t="s">
        <v>1963</v>
      </c>
      <c r="I2313" s="63" t="s">
        <v>3681</v>
      </c>
      <c r="J2313" s="47"/>
      <c r="K2313" s="46" t="s">
        <v>7938</v>
      </c>
      <c r="L2313" s="47">
        <f t="shared" ref="L2313:L2318" si="479">L$7</f>
        <v>1210</v>
      </c>
      <c r="M2313" s="47" t="s">
        <v>3622</v>
      </c>
      <c r="N2313" s="47" t="s">
        <v>3682</v>
      </c>
      <c r="O2313" s="47"/>
      <c r="P2313" s="47" t="s">
        <v>3683</v>
      </c>
      <c r="Q2313" s="47"/>
      <c r="R2313" s="47"/>
      <c r="S2313" s="47"/>
      <c r="T2313" s="47"/>
      <c r="U2313" s="47">
        <f t="shared" ref="U2313:U2318" si="480">U$2</f>
        <v>430</v>
      </c>
      <c r="V2313" s="47"/>
      <c r="W2313" s="47"/>
      <c r="X2313" s="47"/>
      <c r="Y2313" s="47"/>
      <c r="Z2313" s="47">
        <f t="shared" ref="Z2313:Z2357" si="481">Z$7</f>
        <v>4620</v>
      </c>
      <c r="AA2313" s="47"/>
      <c r="AB2313" s="47"/>
      <c r="AC2313" s="47"/>
      <c r="AD2313" s="47"/>
      <c r="AE2313" s="47"/>
      <c r="AF2313" s="47">
        <f t="shared" si="473"/>
        <v>1485</v>
      </c>
      <c r="AG2313" s="47"/>
      <c r="AH2313" s="47" t="str">
        <f>IFERROR(_xlfn.XLOOKUP(Table6[[#This Row],[Suburb]],Table5[Travel Surcharge],Table5[$$]),"")</f>
        <v/>
      </c>
      <c r="AI2313" s="47"/>
      <c r="AJ2313" s="47"/>
    </row>
    <row r="2314" spans="1:36">
      <c r="A2314" s="374" t="s">
        <v>3678</v>
      </c>
      <c r="B2314" s="374">
        <v>2</v>
      </c>
      <c r="C2314" s="374" t="s">
        <v>442</v>
      </c>
      <c r="D2314" s="375" t="str">
        <f t="shared" si="478"/>
        <v>Kingbird Estate2</v>
      </c>
      <c r="E2314" s="375" t="s">
        <v>3684</v>
      </c>
      <c r="F2314" s="375"/>
      <c r="G2314" s="375" t="s">
        <v>3680</v>
      </c>
      <c r="H2314" s="375" t="s">
        <v>1963</v>
      </c>
      <c r="I2314" s="63" t="s">
        <v>3681</v>
      </c>
      <c r="J2314" s="47"/>
      <c r="K2314" s="46" t="s">
        <v>7938</v>
      </c>
      <c r="L2314" s="47">
        <f t="shared" si="479"/>
        <v>1210</v>
      </c>
      <c r="M2314" s="47" t="s">
        <v>3622</v>
      </c>
      <c r="N2314" s="47" t="s">
        <v>3682</v>
      </c>
      <c r="O2314" s="47"/>
      <c r="P2314" s="47" t="s">
        <v>3683</v>
      </c>
      <c r="Q2314" s="47"/>
      <c r="R2314" s="47"/>
      <c r="S2314" s="47"/>
      <c r="T2314" s="47"/>
      <c r="U2314" s="47">
        <f t="shared" si="480"/>
        <v>430</v>
      </c>
      <c r="V2314" s="47"/>
      <c r="W2314" s="47"/>
      <c r="X2314" s="47"/>
      <c r="Y2314" s="47"/>
      <c r="Z2314" s="47">
        <f t="shared" si="481"/>
        <v>4620</v>
      </c>
      <c r="AA2314" s="47"/>
      <c r="AB2314" s="47"/>
      <c r="AC2314" s="47"/>
      <c r="AD2314" s="47"/>
      <c r="AE2314" s="47"/>
      <c r="AF2314" s="47">
        <f t="shared" si="473"/>
        <v>1485</v>
      </c>
      <c r="AG2314" s="47"/>
      <c r="AH2314" s="47" t="str">
        <f>IFERROR(_xlfn.XLOOKUP(Table6[[#This Row],[Suburb]],Table5[Travel Surcharge],Table5[$$]),"")</f>
        <v/>
      </c>
      <c r="AI2314" s="47"/>
      <c r="AJ2314" s="47"/>
    </row>
    <row r="2315" spans="1:36">
      <c r="A2315" s="374" t="s">
        <v>3678</v>
      </c>
      <c r="B2315" s="374">
        <v>3</v>
      </c>
      <c r="C2315" s="374" t="s">
        <v>442</v>
      </c>
      <c r="D2315" s="375" t="str">
        <f t="shared" si="478"/>
        <v>Kingbird Estate3</v>
      </c>
      <c r="E2315" s="375" t="s">
        <v>3685</v>
      </c>
      <c r="F2315" s="375"/>
      <c r="G2315" s="375" t="s">
        <v>3680</v>
      </c>
      <c r="H2315" s="375" t="s">
        <v>1963</v>
      </c>
      <c r="I2315" s="63" t="s">
        <v>3681</v>
      </c>
      <c r="J2315" s="47"/>
      <c r="K2315" s="46" t="s">
        <v>7938</v>
      </c>
      <c r="L2315" s="47">
        <f t="shared" si="479"/>
        <v>1210</v>
      </c>
      <c r="M2315" s="47" t="s">
        <v>3622</v>
      </c>
      <c r="N2315" s="47" t="s">
        <v>3682</v>
      </c>
      <c r="O2315" s="47"/>
      <c r="P2315" s="47" t="s">
        <v>3683</v>
      </c>
      <c r="Q2315" s="47"/>
      <c r="R2315" s="47"/>
      <c r="S2315" s="47"/>
      <c r="T2315" s="47"/>
      <c r="U2315" s="47">
        <f t="shared" si="480"/>
        <v>430</v>
      </c>
      <c r="V2315" s="47"/>
      <c r="W2315" s="47"/>
      <c r="X2315" s="47"/>
      <c r="Y2315" s="47"/>
      <c r="Z2315" s="47">
        <f t="shared" si="481"/>
        <v>4620</v>
      </c>
      <c r="AA2315" s="47"/>
      <c r="AB2315" s="47"/>
      <c r="AC2315" s="47"/>
      <c r="AD2315" s="47"/>
      <c r="AE2315" s="47"/>
      <c r="AF2315" s="47">
        <f t="shared" si="473"/>
        <v>1485</v>
      </c>
      <c r="AG2315" s="47"/>
      <c r="AH2315" s="47" t="str">
        <f>IFERROR(_xlfn.XLOOKUP(Table6[[#This Row],[Suburb]],Table5[Travel Surcharge],Table5[$$]),"")</f>
        <v/>
      </c>
      <c r="AI2315" s="47"/>
      <c r="AJ2315" s="47"/>
    </row>
    <row r="2316" spans="1:36">
      <c r="A2316" s="374" t="s">
        <v>3678</v>
      </c>
      <c r="B2316" s="374">
        <v>13</v>
      </c>
      <c r="C2316" s="374" t="s">
        <v>442</v>
      </c>
      <c r="D2316" s="375" t="str">
        <f t="shared" si="478"/>
        <v>Kingbird Estate13</v>
      </c>
      <c r="E2316" s="375" t="s">
        <v>3686</v>
      </c>
      <c r="F2316" s="375"/>
      <c r="G2316" s="375" t="s">
        <v>3680</v>
      </c>
      <c r="H2316" s="375" t="s">
        <v>1963</v>
      </c>
      <c r="I2316" s="63" t="s">
        <v>3681</v>
      </c>
      <c r="J2316" s="47"/>
      <c r="K2316" s="46" t="s">
        <v>7938</v>
      </c>
      <c r="L2316" s="47">
        <f t="shared" si="479"/>
        <v>1210</v>
      </c>
      <c r="M2316" s="47" t="s">
        <v>3622</v>
      </c>
      <c r="N2316" s="47" t="s">
        <v>3682</v>
      </c>
      <c r="O2316" s="47"/>
      <c r="P2316" s="47" t="s">
        <v>3683</v>
      </c>
      <c r="Q2316" s="47"/>
      <c r="R2316" s="47"/>
      <c r="S2316" s="47"/>
      <c r="T2316" s="47"/>
      <c r="U2316" s="47">
        <f t="shared" si="480"/>
        <v>430</v>
      </c>
      <c r="V2316" s="47"/>
      <c r="W2316" s="47"/>
      <c r="X2316" s="47"/>
      <c r="Y2316" s="47"/>
      <c r="Z2316" s="47">
        <f t="shared" si="481"/>
        <v>4620</v>
      </c>
      <c r="AA2316" s="47"/>
      <c r="AB2316" s="47"/>
      <c r="AC2316" s="47"/>
      <c r="AD2316" s="47"/>
      <c r="AE2316" s="47"/>
      <c r="AF2316" s="47">
        <f t="shared" si="473"/>
        <v>1485</v>
      </c>
      <c r="AG2316" s="47"/>
      <c r="AH2316" s="47" t="str">
        <f>IFERROR(_xlfn.XLOOKUP(Table6[[#This Row],[Suburb]],Table5[Travel Surcharge],Table5[$$]),"")</f>
        <v/>
      </c>
      <c r="AI2316" s="47"/>
      <c r="AJ2316" s="47"/>
    </row>
    <row r="2317" spans="1:36">
      <c r="A2317" s="374" t="s">
        <v>3678</v>
      </c>
      <c r="B2317" s="374">
        <v>14</v>
      </c>
      <c r="C2317" s="374" t="s">
        <v>442</v>
      </c>
      <c r="D2317" s="375" t="str">
        <f t="shared" si="478"/>
        <v>Kingbird Estate14</v>
      </c>
      <c r="E2317" s="375" t="s">
        <v>3687</v>
      </c>
      <c r="F2317" s="375"/>
      <c r="G2317" s="375" t="s">
        <v>3680</v>
      </c>
      <c r="H2317" s="375" t="s">
        <v>1963</v>
      </c>
      <c r="I2317" s="63" t="s">
        <v>3681</v>
      </c>
      <c r="J2317" s="47"/>
      <c r="K2317" s="46" t="s">
        <v>7938</v>
      </c>
      <c r="L2317" s="47">
        <f t="shared" si="479"/>
        <v>1210</v>
      </c>
      <c r="M2317" s="47" t="s">
        <v>3622</v>
      </c>
      <c r="N2317" s="47" t="s">
        <v>3682</v>
      </c>
      <c r="O2317" s="47"/>
      <c r="P2317" s="47" t="s">
        <v>3683</v>
      </c>
      <c r="Q2317" s="47"/>
      <c r="R2317" s="47"/>
      <c r="S2317" s="47"/>
      <c r="T2317" s="47"/>
      <c r="U2317" s="47">
        <f t="shared" si="480"/>
        <v>430</v>
      </c>
      <c r="V2317" s="47"/>
      <c r="W2317" s="47"/>
      <c r="X2317" s="47"/>
      <c r="Y2317" s="47"/>
      <c r="Z2317" s="47">
        <f t="shared" si="481"/>
        <v>4620</v>
      </c>
      <c r="AA2317" s="47"/>
      <c r="AB2317" s="47"/>
      <c r="AC2317" s="47"/>
      <c r="AD2317" s="47"/>
      <c r="AE2317" s="47"/>
      <c r="AF2317" s="47">
        <f t="shared" si="473"/>
        <v>1485</v>
      </c>
      <c r="AG2317" s="47"/>
      <c r="AH2317" s="47" t="str">
        <f>IFERROR(_xlfn.XLOOKUP(Table6[[#This Row],[Suburb]],Table5[Travel Surcharge],Table5[$$]),"")</f>
        <v/>
      </c>
      <c r="AI2317" s="47"/>
      <c r="AJ2317" s="47"/>
    </row>
    <row r="2318" spans="1:36">
      <c r="A2318" s="374" t="s">
        <v>3678</v>
      </c>
      <c r="B2318" s="374">
        <v>15</v>
      </c>
      <c r="C2318" s="374" t="s">
        <v>442</v>
      </c>
      <c r="D2318" s="375" t="str">
        <f t="shared" si="478"/>
        <v>Kingbird Estate15</v>
      </c>
      <c r="E2318" s="375" t="s">
        <v>3688</v>
      </c>
      <c r="F2318" s="375"/>
      <c r="G2318" s="375" t="s">
        <v>3680</v>
      </c>
      <c r="H2318" s="375" t="s">
        <v>1963</v>
      </c>
      <c r="I2318" s="63" t="s">
        <v>3681</v>
      </c>
      <c r="J2318" s="47"/>
      <c r="K2318" s="46" t="s">
        <v>7938</v>
      </c>
      <c r="L2318" s="47">
        <f t="shared" si="479"/>
        <v>1210</v>
      </c>
      <c r="M2318" s="47" t="s">
        <v>3622</v>
      </c>
      <c r="N2318" s="47" t="s">
        <v>3682</v>
      </c>
      <c r="O2318" s="47"/>
      <c r="P2318" s="47" t="s">
        <v>3683</v>
      </c>
      <c r="Q2318" s="47"/>
      <c r="R2318" s="47"/>
      <c r="S2318" s="47"/>
      <c r="T2318" s="47"/>
      <c r="U2318" s="47">
        <f t="shared" si="480"/>
        <v>430</v>
      </c>
      <c r="V2318" s="47"/>
      <c r="W2318" s="47"/>
      <c r="X2318" s="47"/>
      <c r="Y2318" s="47"/>
      <c r="Z2318" s="47">
        <f t="shared" si="481"/>
        <v>4620</v>
      </c>
      <c r="AA2318" s="47"/>
      <c r="AB2318" s="47"/>
      <c r="AC2318" s="47"/>
      <c r="AD2318" s="47"/>
      <c r="AE2318" s="47"/>
      <c r="AF2318" s="47">
        <f t="shared" si="473"/>
        <v>1485</v>
      </c>
      <c r="AG2318" s="47"/>
      <c r="AH2318" s="47" t="str">
        <f>IFERROR(_xlfn.XLOOKUP(Table6[[#This Row],[Suburb]],Table5[Travel Surcharge],Table5[$$]),"")</f>
        <v/>
      </c>
      <c r="AI2318" s="47"/>
      <c r="AJ2318" s="47"/>
    </row>
    <row r="2319" spans="1:36">
      <c r="A2319" s="374" t="s">
        <v>3689</v>
      </c>
      <c r="B2319" s="374">
        <v>3</v>
      </c>
      <c r="C2319" s="374" t="s">
        <v>688</v>
      </c>
      <c r="D2319" s="375" t="str">
        <f t="shared" si="478"/>
        <v>Kings Leigh Estate3</v>
      </c>
      <c r="E2319" s="375" t="s">
        <v>3690</v>
      </c>
      <c r="F2319" s="375" t="s">
        <v>1402</v>
      </c>
      <c r="G2319" s="375" t="s">
        <v>3691</v>
      </c>
      <c r="H2319" s="375" t="s">
        <v>3692</v>
      </c>
      <c r="I2319" s="63" t="s">
        <v>3693</v>
      </c>
      <c r="J2319" s="47">
        <f t="shared" ref="J2319:J2328" si="482">J$7</f>
        <v>3740</v>
      </c>
      <c r="K2319" s="46" t="s">
        <v>10735</v>
      </c>
      <c r="L2319" s="47"/>
      <c r="M2319" s="47">
        <f t="shared" ref="M2319:M2344" si="483">M$7</f>
        <v>1430.0000000000002</v>
      </c>
      <c r="N2319" s="47" t="s">
        <v>1405</v>
      </c>
      <c r="O2319" s="47"/>
      <c r="P2319" s="47"/>
      <c r="Q2319" s="47"/>
      <c r="R2319" s="47"/>
      <c r="S2319" s="47"/>
      <c r="T2319" s="47">
        <f t="shared" ref="T2319:T2328" si="484">T$2</f>
        <v>780</v>
      </c>
      <c r="U2319" s="47"/>
      <c r="V2319" s="47"/>
      <c r="W2319" s="47"/>
      <c r="X2319" s="47">
        <f t="shared" ref="X2319:X2344" si="485">X$7</f>
        <v>3000</v>
      </c>
      <c r="Y2319" s="47"/>
      <c r="Z2319" s="47">
        <f t="shared" si="481"/>
        <v>4620</v>
      </c>
      <c r="AA2319" s="47"/>
      <c r="AB2319" s="47"/>
      <c r="AC2319" s="47"/>
      <c r="AD2319" s="47"/>
      <c r="AE2319" s="47"/>
      <c r="AF2319" s="47"/>
      <c r="AG2319" s="47"/>
      <c r="AH2319" s="47" t="str">
        <f>IFERROR(_xlfn.XLOOKUP(Table6[[#This Row],[Suburb]],Table5[Travel Surcharge],Table5[$$]),"")</f>
        <v/>
      </c>
      <c r="AI2319" s="47"/>
      <c r="AJ2319" s="47"/>
    </row>
    <row r="2320" spans="1:36">
      <c r="A2320" s="374" t="s">
        <v>3689</v>
      </c>
      <c r="B2320" s="374">
        <v>4</v>
      </c>
      <c r="C2320" s="374" t="s">
        <v>688</v>
      </c>
      <c r="D2320" s="375" t="str">
        <f t="shared" si="478"/>
        <v>Kings Leigh Estate4</v>
      </c>
      <c r="E2320" s="375" t="s">
        <v>3694</v>
      </c>
      <c r="F2320" s="375" t="s">
        <v>1402</v>
      </c>
      <c r="G2320" s="375" t="s">
        <v>3691</v>
      </c>
      <c r="H2320" s="375" t="s">
        <v>3692</v>
      </c>
      <c r="I2320" s="63" t="s">
        <v>3693</v>
      </c>
      <c r="J2320" s="47">
        <f t="shared" si="482"/>
        <v>3740</v>
      </c>
      <c r="K2320" s="46" t="s">
        <v>10735</v>
      </c>
      <c r="L2320" s="47"/>
      <c r="M2320" s="47">
        <f t="shared" si="483"/>
        <v>1430.0000000000002</v>
      </c>
      <c r="N2320" s="47" t="s">
        <v>1405</v>
      </c>
      <c r="O2320" s="47"/>
      <c r="P2320" s="47"/>
      <c r="Q2320" s="47"/>
      <c r="R2320" s="47"/>
      <c r="S2320" s="47"/>
      <c r="T2320" s="47">
        <f t="shared" si="484"/>
        <v>780</v>
      </c>
      <c r="U2320" s="47"/>
      <c r="V2320" s="47"/>
      <c r="W2320" s="47"/>
      <c r="X2320" s="47">
        <f t="shared" si="485"/>
        <v>3000</v>
      </c>
      <c r="Y2320" s="47"/>
      <c r="Z2320" s="47">
        <f t="shared" si="481"/>
        <v>4620</v>
      </c>
      <c r="AA2320" s="47"/>
      <c r="AB2320" s="47"/>
      <c r="AC2320" s="47"/>
      <c r="AD2320" s="47"/>
      <c r="AE2320" s="47"/>
      <c r="AF2320" s="47"/>
      <c r="AG2320" s="47"/>
      <c r="AH2320" s="47" t="str">
        <f>IFERROR(_xlfn.XLOOKUP(Table6[[#This Row],[Suburb]],Table5[Travel Surcharge],Table5[$$]),"")</f>
        <v/>
      </c>
      <c r="AI2320" s="47"/>
      <c r="AJ2320" s="47"/>
    </row>
    <row r="2321" spans="1:36">
      <c r="A2321" s="374" t="s">
        <v>3689</v>
      </c>
      <c r="B2321" s="374">
        <v>5</v>
      </c>
      <c r="C2321" s="374" t="s">
        <v>688</v>
      </c>
      <c r="D2321" s="375" t="str">
        <f t="shared" si="478"/>
        <v>Kings Leigh Estate5</v>
      </c>
      <c r="E2321" s="375" t="s">
        <v>3695</v>
      </c>
      <c r="F2321" s="375" t="s">
        <v>1402</v>
      </c>
      <c r="G2321" s="375" t="s">
        <v>3691</v>
      </c>
      <c r="H2321" s="375" t="s">
        <v>3692</v>
      </c>
      <c r="I2321" s="63" t="s">
        <v>3693</v>
      </c>
      <c r="J2321" s="47">
        <f t="shared" si="482"/>
        <v>3740</v>
      </c>
      <c r="K2321" s="46" t="s">
        <v>10735</v>
      </c>
      <c r="L2321" s="47"/>
      <c r="M2321" s="47">
        <f t="shared" si="483"/>
        <v>1430.0000000000002</v>
      </c>
      <c r="N2321" s="47" t="s">
        <v>1405</v>
      </c>
      <c r="O2321" s="47"/>
      <c r="P2321" s="47"/>
      <c r="Q2321" s="47"/>
      <c r="R2321" s="47"/>
      <c r="S2321" s="47"/>
      <c r="T2321" s="47">
        <f t="shared" si="484"/>
        <v>780</v>
      </c>
      <c r="U2321" s="47"/>
      <c r="V2321" s="47"/>
      <c r="W2321" s="47"/>
      <c r="X2321" s="47">
        <f t="shared" si="485"/>
        <v>3000</v>
      </c>
      <c r="Y2321" s="47"/>
      <c r="Z2321" s="47">
        <f t="shared" si="481"/>
        <v>4620</v>
      </c>
      <c r="AA2321" s="47"/>
      <c r="AB2321" s="47"/>
      <c r="AC2321" s="47"/>
      <c r="AD2321" s="47"/>
      <c r="AE2321" s="47"/>
      <c r="AF2321" s="47"/>
      <c r="AG2321" s="47"/>
      <c r="AH2321" s="47" t="str">
        <f>IFERROR(_xlfn.XLOOKUP(Table6[[#This Row],[Suburb]],Table5[Travel Surcharge],Table5[$$]),"")</f>
        <v/>
      </c>
      <c r="AI2321" s="47"/>
      <c r="AJ2321" s="47"/>
    </row>
    <row r="2322" spans="1:36">
      <c r="A2322" s="374" t="s">
        <v>3689</v>
      </c>
      <c r="B2322" s="374">
        <v>6</v>
      </c>
      <c r="C2322" s="374" t="s">
        <v>688</v>
      </c>
      <c r="D2322" s="375" t="str">
        <f t="shared" si="478"/>
        <v>Kings Leigh Estate6</v>
      </c>
      <c r="E2322" s="375" t="s">
        <v>3696</v>
      </c>
      <c r="F2322" s="375" t="s">
        <v>1402</v>
      </c>
      <c r="G2322" s="375" t="s">
        <v>3691</v>
      </c>
      <c r="H2322" s="375" t="s">
        <v>3692</v>
      </c>
      <c r="I2322" s="63" t="s">
        <v>3693</v>
      </c>
      <c r="J2322" s="47">
        <f t="shared" si="482"/>
        <v>3740</v>
      </c>
      <c r="K2322" s="46" t="s">
        <v>10735</v>
      </c>
      <c r="L2322" s="47"/>
      <c r="M2322" s="47">
        <f t="shared" si="483"/>
        <v>1430.0000000000002</v>
      </c>
      <c r="N2322" s="47" t="s">
        <v>1405</v>
      </c>
      <c r="O2322" s="47"/>
      <c r="P2322" s="47"/>
      <c r="Q2322" s="47"/>
      <c r="R2322" s="47"/>
      <c r="S2322" s="47"/>
      <c r="T2322" s="47">
        <f t="shared" si="484"/>
        <v>780</v>
      </c>
      <c r="U2322" s="47"/>
      <c r="V2322" s="47"/>
      <c r="W2322" s="47"/>
      <c r="X2322" s="47">
        <f t="shared" si="485"/>
        <v>3000</v>
      </c>
      <c r="Y2322" s="47"/>
      <c r="Z2322" s="47">
        <f t="shared" si="481"/>
        <v>4620</v>
      </c>
      <c r="AA2322" s="47"/>
      <c r="AB2322" s="47"/>
      <c r="AC2322" s="47"/>
      <c r="AD2322" s="47"/>
      <c r="AE2322" s="47"/>
      <c r="AF2322" s="47"/>
      <c r="AG2322" s="47"/>
      <c r="AH2322" s="47" t="str">
        <f>IFERROR(_xlfn.XLOOKUP(Table6[[#This Row],[Suburb]],Table5[Travel Surcharge],Table5[$$]),"")</f>
        <v/>
      </c>
      <c r="AI2322" s="47"/>
      <c r="AJ2322" s="47"/>
    </row>
    <row r="2323" spans="1:36">
      <c r="A2323" s="374" t="s">
        <v>3689</v>
      </c>
      <c r="B2323" s="374">
        <v>9</v>
      </c>
      <c r="C2323" s="374" t="s">
        <v>688</v>
      </c>
      <c r="D2323" s="375" t="str">
        <f t="shared" si="478"/>
        <v>Kings Leigh Estate9</v>
      </c>
      <c r="E2323" s="375" t="s">
        <v>3697</v>
      </c>
      <c r="F2323" s="375" t="s">
        <v>1402</v>
      </c>
      <c r="G2323" s="375" t="s">
        <v>3691</v>
      </c>
      <c r="H2323" s="375" t="s">
        <v>3692</v>
      </c>
      <c r="I2323" s="63" t="s">
        <v>3693</v>
      </c>
      <c r="J2323" s="47">
        <f t="shared" si="482"/>
        <v>3740</v>
      </c>
      <c r="K2323" s="46" t="s">
        <v>10735</v>
      </c>
      <c r="L2323" s="47"/>
      <c r="M2323" s="47">
        <f t="shared" si="483"/>
        <v>1430.0000000000002</v>
      </c>
      <c r="N2323" s="47" t="s">
        <v>1405</v>
      </c>
      <c r="O2323" s="47"/>
      <c r="P2323" s="47"/>
      <c r="Q2323" s="47"/>
      <c r="R2323" s="47"/>
      <c r="S2323" s="47"/>
      <c r="T2323" s="47">
        <f t="shared" si="484"/>
        <v>780</v>
      </c>
      <c r="U2323" s="47"/>
      <c r="V2323" s="47"/>
      <c r="W2323" s="47"/>
      <c r="X2323" s="47">
        <f t="shared" si="485"/>
        <v>3000</v>
      </c>
      <c r="Y2323" s="47"/>
      <c r="Z2323" s="47">
        <f t="shared" si="481"/>
        <v>4620</v>
      </c>
      <c r="AA2323" s="47"/>
      <c r="AB2323" s="47"/>
      <c r="AC2323" s="47"/>
      <c r="AD2323" s="47"/>
      <c r="AE2323" s="47"/>
      <c r="AF2323" s="47"/>
      <c r="AG2323" s="47"/>
      <c r="AH2323" s="47" t="str">
        <f>IFERROR(_xlfn.XLOOKUP(Table6[[#This Row],[Suburb]],Table5[Travel Surcharge],Table5[$$]),"")</f>
        <v/>
      </c>
      <c r="AI2323" s="47"/>
      <c r="AJ2323" s="47"/>
    </row>
    <row r="2324" spans="1:36">
      <c r="A2324" s="374" t="s">
        <v>3689</v>
      </c>
      <c r="B2324" s="374">
        <v>10</v>
      </c>
      <c r="C2324" s="374" t="s">
        <v>688</v>
      </c>
      <c r="D2324" s="375" t="str">
        <f t="shared" si="478"/>
        <v>Kings Leigh Estate10</v>
      </c>
      <c r="E2324" s="375" t="s">
        <v>3698</v>
      </c>
      <c r="F2324" s="375" t="s">
        <v>1402</v>
      </c>
      <c r="G2324" s="375" t="s">
        <v>3691</v>
      </c>
      <c r="H2324" s="375" t="s">
        <v>3692</v>
      </c>
      <c r="I2324" s="63" t="s">
        <v>3693</v>
      </c>
      <c r="J2324" s="47">
        <f t="shared" si="482"/>
        <v>3740</v>
      </c>
      <c r="K2324" s="46" t="s">
        <v>10735</v>
      </c>
      <c r="L2324" s="47"/>
      <c r="M2324" s="47">
        <f t="shared" si="483"/>
        <v>1430.0000000000002</v>
      </c>
      <c r="N2324" s="47" t="s">
        <v>1405</v>
      </c>
      <c r="O2324" s="47"/>
      <c r="P2324" s="47"/>
      <c r="Q2324" s="47"/>
      <c r="R2324" s="47"/>
      <c r="S2324" s="47"/>
      <c r="T2324" s="47">
        <f t="shared" si="484"/>
        <v>780</v>
      </c>
      <c r="U2324" s="47"/>
      <c r="V2324" s="47"/>
      <c r="W2324" s="47"/>
      <c r="X2324" s="47">
        <f t="shared" si="485"/>
        <v>3000</v>
      </c>
      <c r="Y2324" s="47"/>
      <c r="Z2324" s="47">
        <f t="shared" si="481"/>
        <v>4620</v>
      </c>
      <c r="AA2324" s="47"/>
      <c r="AB2324" s="47"/>
      <c r="AC2324" s="47"/>
      <c r="AD2324" s="47"/>
      <c r="AE2324" s="47"/>
      <c r="AF2324" s="47"/>
      <c r="AG2324" s="47"/>
      <c r="AH2324" s="47" t="str">
        <f>IFERROR(_xlfn.XLOOKUP(Table6[[#This Row],[Suburb]],Table5[Travel Surcharge],Table5[$$]),"")</f>
        <v/>
      </c>
      <c r="AI2324" s="47"/>
      <c r="AJ2324" s="47"/>
    </row>
    <row r="2325" spans="1:36">
      <c r="A2325" s="374" t="s">
        <v>3689</v>
      </c>
      <c r="B2325" s="374">
        <v>11</v>
      </c>
      <c r="C2325" s="374" t="s">
        <v>688</v>
      </c>
      <c r="D2325" s="375" t="str">
        <f t="shared" si="478"/>
        <v>Kings Leigh Estate11</v>
      </c>
      <c r="E2325" s="375" t="s">
        <v>3699</v>
      </c>
      <c r="F2325" s="375" t="s">
        <v>1402</v>
      </c>
      <c r="G2325" s="375" t="s">
        <v>3691</v>
      </c>
      <c r="H2325" s="375" t="s">
        <v>3692</v>
      </c>
      <c r="I2325" s="63" t="s">
        <v>3693</v>
      </c>
      <c r="J2325" s="47">
        <f t="shared" si="482"/>
        <v>3740</v>
      </c>
      <c r="K2325" s="46" t="s">
        <v>10735</v>
      </c>
      <c r="L2325" s="47"/>
      <c r="M2325" s="47">
        <f t="shared" si="483"/>
        <v>1430.0000000000002</v>
      </c>
      <c r="N2325" s="47" t="s">
        <v>1405</v>
      </c>
      <c r="O2325" s="47"/>
      <c r="P2325" s="47"/>
      <c r="Q2325" s="47"/>
      <c r="R2325" s="47"/>
      <c r="S2325" s="47"/>
      <c r="T2325" s="47">
        <f t="shared" si="484"/>
        <v>780</v>
      </c>
      <c r="U2325" s="47"/>
      <c r="V2325" s="47"/>
      <c r="W2325" s="47"/>
      <c r="X2325" s="47">
        <f t="shared" si="485"/>
        <v>3000</v>
      </c>
      <c r="Y2325" s="47"/>
      <c r="Z2325" s="47">
        <f t="shared" si="481"/>
        <v>4620</v>
      </c>
      <c r="AA2325" s="47"/>
      <c r="AB2325" s="47"/>
      <c r="AC2325" s="47"/>
      <c r="AD2325" s="47"/>
      <c r="AE2325" s="47"/>
      <c r="AF2325" s="47"/>
      <c r="AG2325" s="47"/>
      <c r="AH2325" s="47" t="str">
        <f>IFERROR(_xlfn.XLOOKUP(Table6[[#This Row],[Suburb]],Table5[Travel Surcharge],Table5[$$]),"")</f>
        <v/>
      </c>
      <c r="AI2325" s="47"/>
      <c r="AJ2325" s="47"/>
    </row>
    <row r="2326" spans="1:36">
      <c r="A2326" s="374" t="s">
        <v>3689</v>
      </c>
      <c r="B2326" s="374">
        <v>12</v>
      </c>
      <c r="C2326" s="374" t="s">
        <v>688</v>
      </c>
      <c r="D2326" s="375" t="str">
        <f t="shared" si="478"/>
        <v>Kings Leigh Estate12</v>
      </c>
      <c r="E2326" s="375" t="s">
        <v>3700</v>
      </c>
      <c r="F2326" s="375" t="s">
        <v>1402</v>
      </c>
      <c r="G2326" s="375" t="s">
        <v>3691</v>
      </c>
      <c r="H2326" s="375" t="s">
        <v>3692</v>
      </c>
      <c r="I2326" s="63" t="s">
        <v>3693</v>
      </c>
      <c r="J2326" s="47">
        <f t="shared" si="482"/>
        <v>3740</v>
      </c>
      <c r="K2326" s="46" t="s">
        <v>10735</v>
      </c>
      <c r="L2326" s="47"/>
      <c r="M2326" s="47">
        <f t="shared" si="483"/>
        <v>1430.0000000000002</v>
      </c>
      <c r="N2326" s="47" t="s">
        <v>1405</v>
      </c>
      <c r="O2326" s="47"/>
      <c r="P2326" s="47"/>
      <c r="Q2326" s="47"/>
      <c r="R2326" s="47"/>
      <c r="S2326" s="47"/>
      <c r="T2326" s="47">
        <f t="shared" si="484"/>
        <v>780</v>
      </c>
      <c r="U2326" s="47"/>
      <c r="V2326" s="47"/>
      <c r="W2326" s="47"/>
      <c r="X2326" s="47">
        <f t="shared" si="485"/>
        <v>3000</v>
      </c>
      <c r="Y2326" s="47"/>
      <c r="Z2326" s="47">
        <f t="shared" si="481"/>
        <v>4620</v>
      </c>
      <c r="AA2326" s="47"/>
      <c r="AB2326" s="47"/>
      <c r="AC2326" s="47"/>
      <c r="AD2326" s="47"/>
      <c r="AE2326" s="47"/>
      <c r="AF2326" s="47"/>
      <c r="AG2326" s="47"/>
      <c r="AH2326" s="47" t="str">
        <f>IFERROR(_xlfn.XLOOKUP(Table6[[#This Row],[Suburb]],Table5[Travel Surcharge],Table5[$$]),"")</f>
        <v/>
      </c>
      <c r="AI2326" s="47"/>
      <c r="AJ2326" s="47"/>
    </row>
    <row r="2327" spans="1:36">
      <c r="A2327" s="374" t="s">
        <v>3689</v>
      </c>
      <c r="B2327" s="374">
        <v>13</v>
      </c>
      <c r="C2327" s="374" t="s">
        <v>688</v>
      </c>
      <c r="D2327" s="375" t="str">
        <f t="shared" si="478"/>
        <v>Kings Leigh Estate13</v>
      </c>
      <c r="E2327" s="375" t="s">
        <v>3701</v>
      </c>
      <c r="F2327" s="375" t="s">
        <v>1402</v>
      </c>
      <c r="G2327" s="375" t="s">
        <v>3691</v>
      </c>
      <c r="H2327" s="375" t="s">
        <v>3692</v>
      </c>
      <c r="I2327" s="63" t="s">
        <v>3693</v>
      </c>
      <c r="J2327" s="47">
        <f t="shared" si="482"/>
        <v>3740</v>
      </c>
      <c r="K2327" s="46" t="s">
        <v>10735</v>
      </c>
      <c r="L2327" s="47"/>
      <c r="M2327" s="47">
        <f t="shared" si="483"/>
        <v>1430.0000000000002</v>
      </c>
      <c r="N2327" s="47" t="s">
        <v>1405</v>
      </c>
      <c r="O2327" s="47"/>
      <c r="P2327" s="47"/>
      <c r="Q2327" s="47"/>
      <c r="R2327" s="47"/>
      <c r="S2327" s="47"/>
      <c r="T2327" s="47">
        <f t="shared" si="484"/>
        <v>780</v>
      </c>
      <c r="U2327" s="47"/>
      <c r="V2327" s="47"/>
      <c r="W2327" s="47"/>
      <c r="X2327" s="47">
        <f t="shared" si="485"/>
        <v>3000</v>
      </c>
      <c r="Y2327" s="47"/>
      <c r="Z2327" s="47">
        <f t="shared" si="481"/>
        <v>4620</v>
      </c>
      <c r="AA2327" s="47"/>
      <c r="AB2327" s="47"/>
      <c r="AC2327" s="47"/>
      <c r="AD2327" s="47"/>
      <c r="AE2327" s="47"/>
      <c r="AF2327" s="47"/>
      <c r="AG2327" s="47"/>
      <c r="AH2327" s="47" t="str">
        <f>IFERROR(_xlfn.XLOOKUP(Table6[[#This Row],[Suburb]],Table5[Travel Surcharge],Table5[$$]),"")</f>
        <v/>
      </c>
      <c r="AI2327" s="47"/>
      <c r="AJ2327" s="47"/>
    </row>
    <row r="2328" spans="1:36">
      <c r="A2328" s="374" t="s">
        <v>3689</v>
      </c>
      <c r="B2328" s="374">
        <v>14</v>
      </c>
      <c r="C2328" s="374" t="s">
        <v>688</v>
      </c>
      <c r="D2328" s="375" t="str">
        <f t="shared" si="478"/>
        <v>Kings Leigh Estate14</v>
      </c>
      <c r="E2328" s="375" t="s">
        <v>3702</v>
      </c>
      <c r="F2328" s="375" t="s">
        <v>1402</v>
      </c>
      <c r="G2328" s="375" t="s">
        <v>3691</v>
      </c>
      <c r="H2328" s="375" t="s">
        <v>3692</v>
      </c>
      <c r="I2328" s="63" t="s">
        <v>3693</v>
      </c>
      <c r="J2328" s="47">
        <f t="shared" si="482"/>
        <v>3740</v>
      </c>
      <c r="K2328" s="46" t="s">
        <v>10735</v>
      </c>
      <c r="L2328" s="47"/>
      <c r="M2328" s="47">
        <f t="shared" si="483"/>
        <v>1430.0000000000002</v>
      </c>
      <c r="N2328" s="47" t="s">
        <v>1405</v>
      </c>
      <c r="O2328" s="47"/>
      <c r="P2328" s="47"/>
      <c r="Q2328" s="47"/>
      <c r="R2328" s="47"/>
      <c r="S2328" s="47"/>
      <c r="T2328" s="47">
        <f t="shared" si="484"/>
        <v>780</v>
      </c>
      <c r="U2328" s="47"/>
      <c r="V2328" s="47"/>
      <c r="W2328" s="47"/>
      <c r="X2328" s="47">
        <f t="shared" si="485"/>
        <v>3000</v>
      </c>
      <c r="Y2328" s="47"/>
      <c r="Z2328" s="47">
        <f t="shared" si="481"/>
        <v>4620</v>
      </c>
      <c r="AA2328" s="47"/>
      <c r="AB2328" s="47"/>
      <c r="AC2328" s="47"/>
      <c r="AD2328" s="47"/>
      <c r="AE2328" s="47"/>
      <c r="AF2328" s="47"/>
      <c r="AG2328" s="47"/>
      <c r="AH2328" s="47" t="str">
        <f>IFERROR(_xlfn.XLOOKUP(Table6[[#This Row],[Suburb]],Table5[Travel Surcharge],Table5[$$]),"")</f>
        <v/>
      </c>
      <c r="AI2328" s="47"/>
      <c r="AJ2328" s="47"/>
    </row>
    <row r="2329" spans="1:36">
      <c r="A2329" s="374" t="s">
        <v>3639</v>
      </c>
      <c r="B2329" s="374">
        <v>1</v>
      </c>
      <c r="C2329" s="374" t="s">
        <v>1721</v>
      </c>
      <c r="D2329" s="375" t="str">
        <f t="shared" si="478"/>
        <v>Kingsfield1</v>
      </c>
      <c r="E2329" s="375" t="s">
        <v>3640</v>
      </c>
      <c r="F2329" s="375" t="s">
        <v>3641</v>
      </c>
      <c r="G2329" s="375" t="s">
        <v>3642</v>
      </c>
      <c r="H2329" s="375" t="s">
        <v>3643</v>
      </c>
      <c r="I2329" s="63" t="s">
        <v>3644</v>
      </c>
      <c r="J2329" s="47"/>
      <c r="K2329" s="46" t="s">
        <v>10735</v>
      </c>
      <c r="L2329" s="47"/>
      <c r="M2329" s="47">
        <f t="shared" si="483"/>
        <v>1430.0000000000002</v>
      </c>
      <c r="N2329" s="47" t="s">
        <v>3645</v>
      </c>
      <c r="O2329" s="47" t="s">
        <v>3646</v>
      </c>
      <c r="P2329" s="47" t="s">
        <v>3647</v>
      </c>
      <c r="Q2329" s="47"/>
      <c r="R2329" s="47">
        <f t="shared" ref="R2329:R2344" si="486">R$2</f>
        <v>540</v>
      </c>
      <c r="S2329" s="47" t="s">
        <v>3648</v>
      </c>
      <c r="T2329" s="47"/>
      <c r="U2329" s="47"/>
      <c r="V2329" s="47"/>
      <c r="W2329" s="47"/>
      <c r="X2329" s="47">
        <f t="shared" si="485"/>
        <v>3000</v>
      </c>
      <c r="Y2329" s="47"/>
      <c r="Z2329" s="47">
        <f t="shared" si="481"/>
        <v>4620</v>
      </c>
      <c r="AA2329" s="47"/>
      <c r="AB2329" s="47"/>
      <c r="AC2329" s="47"/>
      <c r="AD2329" s="47"/>
      <c r="AE2329" s="47"/>
      <c r="AF2329" s="47">
        <f t="shared" ref="AF2329:AF2344" si="487">AF$7</f>
        <v>1485</v>
      </c>
      <c r="AG2329" s="47"/>
      <c r="AH2329" s="47" t="str">
        <f>IFERROR(_xlfn.XLOOKUP(Table6[[#This Row],[Suburb]],Table5[Travel Surcharge],Table5[$$]),"")</f>
        <v/>
      </c>
      <c r="AI2329" s="47"/>
      <c r="AJ2329" s="47"/>
    </row>
    <row r="2330" spans="1:36">
      <c r="A2330" s="374" t="s">
        <v>3639</v>
      </c>
      <c r="B2330" s="374">
        <v>2</v>
      </c>
      <c r="C2330" s="374" t="s">
        <v>1721</v>
      </c>
      <c r="D2330" s="375" t="str">
        <f t="shared" si="478"/>
        <v>Kingsfield2</v>
      </c>
      <c r="E2330" s="375" t="s">
        <v>3649</v>
      </c>
      <c r="F2330" s="375" t="s">
        <v>3641</v>
      </c>
      <c r="G2330" s="375" t="s">
        <v>3642</v>
      </c>
      <c r="H2330" s="375" t="s">
        <v>3643</v>
      </c>
      <c r="I2330" s="63" t="s">
        <v>3644</v>
      </c>
      <c r="J2330" s="47"/>
      <c r="K2330" s="46" t="s">
        <v>10735</v>
      </c>
      <c r="L2330" s="47"/>
      <c r="M2330" s="47">
        <f t="shared" si="483"/>
        <v>1430.0000000000002</v>
      </c>
      <c r="N2330" s="47" t="s">
        <v>3645</v>
      </c>
      <c r="O2330" s="47" t="s">
        <v>3646</v>
      </c>
      <c r="P2330" s="47" t="s">
        <v>3647</v>
      </c>
      <c r="Q2330" s="47"/>
      <c r="R2330" s="47">
        <f t="shared" si="486"/>
        <v>540</v>
      </c>
      <c r="S2330" s="47" t="s">
        <v>3648</v>
      </c>
      <c r="T2330" s="47"/>
      <c r="U2330" s="47"/>
      <c r="V2330" s="47"/>
      <c r="W2330" s="47"/>
      <c r="X2330" s="47">
        <f t="shared" si="485"/>
        <v>3000</v>
      </c>
      <c r="Y2330" s="47"/>
      <c r="Z2330" s="47">
        <f t="shared" si="481"/>
        <v>4620</v>
      </c>
      <c r="AA2330" s="47"/>
      <c r="AB2330" s="47"/>
      <c r="AC2330" s="47"/>
      <c r="AD2330" s="47"/>
      <c r="AE2330" s="47"/>
      <c r="AF2330" s="47">
        <f t="shared" si="487"/>
        <v>1485</v>
      </c>
      <c r="AG2330" s="47"/>
      <c r="AH2330" s="47" t="str">
        <f>IFERROR(_xlfn.XLOOKUP(Table6[[#This Row],[Suburb]],Table5[Travel Surcharge],Table5[$$]),"")</f>
        <v/>
      </c>
      <c r="AI2330" s="47"/>
      <c r="AJ2330" s="47"/>
    </row>
    <row r="2331" spans="1:36">
      <c r="A2331" s="374" t="s">
        <v>3639</v>
      </c>
      <c r="B2331" s="374">
        <v>3</v>
      </c>
      <c r="C2331" s="374" t="s">
        <v>1721</v>
      </c>
      <c r="D2331" s="375" t="str">
        <f t="shared" si="478"/>
        <v>Kingsfield3</v>
      </c>
      <c r="E2331" s="375" t="s">
        <v>3650</v>
      </c>
      <c r="F2331" s="375" t="s">
        <v>3641</v>
      </c>
      <c r="G2331" s="375" t="s">
        <v>3642</v>
      </c>
      <c r="H2331" s="375" t="s">
        <v>3643</v>
      </c>
      <c r="I2331" s="63" t="s">
        <v>3644</v>
      </c>
      <c r="J2331" s="47"/>
      <c r="K2331" s="46" t="s">
        <v>10735</v>
      </c>
      <c r="L2331" s="47"/>
      <c r="M2331" s="47">
        <f t="shared" si="483"/>
        <v>1430.0000000000002</v>
      </c>
      <c r="N2331" s="47" t="s">
        <v>3645</v>
      </c>
      <c r="O2331" s="47" t="s">
        <v>3646</v>
      </c>
      <c r="P2331" s="47" t="s">
        <v>3647</v>
      </c>
      <c r="Q2331" s="47"/>
      <c r="R2331" s="47">
        <f t="shared" si="486"/>
        <v>540</v>
      </c>
      <c r="S2331" s="47" t="s">
        <v>3648</v>
      </c>
      <c r="T2331" s="47"/>
      <c r="U2331" s="47"/>
      <c r="V2331" s="47"/>
      <c r="W2331" s="47"/>
      <c r="X2331" s="47">
        <f t="shared" si="485"/>
        <v>3000</v>
      </c>
      <c r="Y2331" s="47"/>
      <c r="Z2331" s="47">
        <f t="shared" si="481"/>
        <v>4620</v>
      </c>
      <c r="AA2331" s="47"/>
      <c r="AB2331" s="47"/>
      <c r="AC2331" s="47"/>
      <c r="AD2331" s="47"/>
      <c r="AE2331" s="47"/>
      <c r="AF2331" s="47">
        <f t="shared" si="487"/>
        <v>1485</v>
      </c>
      <c r="AG2331" s="47"/>
      <c r="AH2331" s="47" t="str">
        <f>IFERROR(_xlfn.XLOOKUP(Table6[[#This Row],[Suburb]],Table5[Travel Surcharge],Table5[$$]),"")</f>
        <v/>
      </c>
      <c r="AI2331" s="47"/>
      <c r="AJ2331" s="47"/>
    </row>
    <row r="2332" spans="1:36">
      <c r="A2332" s="374" t="s">
        <v>3639</v>
      </c>
      <c r="B2332" s="374">
        <v>4</v>
      </c>
      <c r="C2332" s="374" t="s">
        <v>1721</v>
      </c>
      <c r="D2332" s="375" t="str">
        <f t="shared" si="478"/>
        <v>Kingsfield4</v>
      </c>
      <c r="E2332" s="375" t="s">
        <v>3651</v>
      </c>
      <c r="F2332" s="375" t="s">
        <v>3641</v>
      </c>
      <c r="G2332" s="375" t="s">
        <v>3642</v>
      </c>
      <c r="H2332" s="375" t="s">
        <v>3643</v>
      </c>
      <c r="I2332" s="63" t="s">
        <v>3644</v>
      </c>
      <c r="J2332" s="47"/>
      <c r="K2332" s="46" t="s">
        <v>10735</v>
      </c>
      <c r="L2332" s="47"/>
      <c r="M2332" s="47">
        <f t="shared" si="483"/>
        <v>1430.0000000000002</v>
      </c>
      <c r="N2332" s="47" t="s">
        <v>3645</v>
      </c>
      <c r="O2332" s="47" t="s">
        <v>3646</v>
      </c>
      <c r="P2332" s="47" t="s">
        <v>3647</v>
      </c>
      <c r="Q2332" s="47"/>
      <c r="R2332" s="47">
        <f t="shared" si="486"/>
        <v>540</v>
      </c>
      <c r="S2332" s="47" t="s">
        <v>3648</v>
      </c>
      <c r="T2332" s="47"/>
      <c r="U2332" s="47"/>
      <c r="V2332" s="47"/>
      <c r="W2332" s="47"/>
      <c r="X2332" s="47">
        <f t="shared" si="485"/>
        <v>3000</v>
      </c>
      <c r="Y2332" s="47"/>
      <c r="Z2332" s="47">
        <f t="shared" si="481"/>
        <v>4620</v>
      </c>
      <c r="AA2332" s="47"/>
      <c r="AB2332" s="47"/>
      <c r="AC2332" s="47"/>
      <c r="AD2332" s="47"/>
      <c r="AE2332" s="47"/>
      <c r="AF2332" s="47">
        <f t="shared" si="487"/>
        <v>1485</v>
      </c>
      <c r="AG2332" s="47"/>
      <c r="AH2332" s="47" t="str">
        <f>IFERROR(_xlfn.XLOOKUP(Table6[[#This Row],[Suburb]],Table5[Travel Surcharge],Table5[$$]),"")</f>
        <v/>
      </c>
      <c r="AI2332" s="47"/>
      <c r="AJ2332" s="47"/>
    </row>
    <row r="2333" spans="1:36">
      <c r="A2333" s="374" t="s">
        <v>3639</v>
      </c>
      <c r="B2333" s="374">
        <v>5</v>
      </c>
      <c r="C2333" s="374" t="s">
        <v>1721</v>
      </c>
      <c r="D2333" s="375" t="str">
        <f t="shared" si="478"/>
        <v>Kingsfield5</v>
      </c>
      <c r="E2333" s="375" t="s">
        <v>10315</v>
      </c>
      <c r="F2333" s="375" t="s">
        <v>3641</v>
      </c>
      <c r="G2333" s="375" t="s">
        <v>3642</v>
      </c>
      <c r="H2333" s="375" t="s">
        <v>3643</v>
      </c>
      <c r="I2333" s="63" t="s">
        <v>3644</v>
      </c>
      <c r="J2333" s="47"/>
      <c r="K2333" s="46" t="s">
        <v>10735</v>
      </c>
      <c r="L2333" s="47"/>
      <c r="M2333" s="47">
        <v>1430.0000000000002</v>
      </c>
      <c r="N2333" s="47" t="s">
        <v>3645</v>
      </c>
      <c r="O2333" s="47" t="s">
        <v>3646</v>
      </c>
      <c r="P2333" s="47" t="s">
        <v>3647</v>
      </c>
      <c r="Q2333" s="47"/>
      <c r="R2333" s="47">
        <v>540</v>
      </c>
      <c r="S2333" s="47" t="s">
        <v>3648</v>
      </c>
      <c r="T2333" s="47"/>
      <c r="U2333" s="47"/>
      <c r="V2333" s="47"/>
      <c r="W2333" s="47"/>
      <c r="X2333" s="47">
        <v>3000</v>
      </c>
      <c r="Y2333" s="47"/>
      <c r="Z2333" s="47">
        <v>4620</v>
      </c>
      <c r="AA2333" s="47"/>
      <c r="AB2333" s="47"/>
      <c r="AC2333" s="47"/>
      <c r="AD2333" s="47"/>
      <c r="AE2333" s="47"/>
      <c r="AF2333" s="47">
        <v>1485</v>
      </c>
      <c r="AG2333" s="47"/>
      <c r="AH2333" s="47" t="s">
        <v>9976</v>
      </c>
      <c r="AI2333" s="47"/>
      <c r="AJ2333" s="47"/>
    </row>
    <row r="2334" spans="1:36">
      <c r="A2334" s="374" t="s">
        <v>3639</v>
      </c>
      <c r="B2334" s="374">
        <v>7</v>
      </c>
      <c r="C2334" s="374" t="s">
        <v>1721</v>
      </c>
      <c r="D2334" s="375" t="str">
        <f t="shared" si="478"/>
        <v>Kingsfield7</v>
      </c>
      <c r="E2334" s="375" t="s">
        <v>3652</v>
      </c>
      <c r="F2334" s="375" t="s">
        <v>3641</v>
      </c>
      <c r="G2334" s="375" t="s">
        <v>3642</v>
      </c>
      <c r="H2334" s="375" t="s">
        <v>3643</v>
      </c>
      <c r="I2334" s="63" t="s">
        <v>3644</v>
      </c>
      <c r="J2334" s="47"/>
      <c r="K2334" s="46" t="s">
        <v>10735</v>
      </c>
      <c r="L2334" s="47"/>
      <c r="M2334" s="47">
        <f t="shared" si="483"/>
        <v>1430.0000000000002</v>
      </c>
      <c r="N2334" s="47" t="s">
        <v>3645</v>
      </c>
      <c r="O2334" s="47" t="s">
        <v>3646</v>
      </c>
      <c r="P2334" s="47" t="s">
        <v>3647</v>
      </c>
      <c r="Q2334" s="47"/>
      <c r="R2334" s="47">
        <f t="shared" si="486"/>
        <v>540</v>
      </c>
      <c r="S2334" s="47" t="s">
        <v>3648</v>
      </c>
      <c r="T2334" s="47"/>
      <c r="U2334" s="47"/>
      <c r="V2334" s="47"/>
      <c r="W2334" s="47"/>
      <c r="X2334" s="47">
        <f t="shared" si="485"/>
        <v>3000</v>
      </c>
      <c r="Y2334" s="47"/>
      <c r="Z2334" s="47">
        <f t="shared" si="481"/>
        <v>4620</v>
      </c>
      <c r="AA2334" s="47"/>
      <c r="AB2334" s="47"/>
      <c r="AC2334" s="47"/>
      <c r="AD2334" s="47"/>
      <c r="AE2334" s="47"/>
      <c r="AF2334" s="47">
        <f t="shared" si="487"/>
        <v>1485</v>
      </c>
      <c r="AG2334" s="47"/>
      <c r="AH2334" s="47" t="str">
        <f>IFERROR(_xlfn.XLOOKUP(Table6[[#This Row],[Suburb]],Table5[Travel Surcharge],Table5[$$]),"")</f>
        <v/>
      </c>
      <c r="AI2334" s="47"/>
      <c r="AJ2334" s="47"/>
    </row>
    <row r="2335" spans="1:36">
      <c r="A2335" s="374" t="s">
        <v>3639</v>
      </c>
      <c r="B2335" s="374">
        <v>8</v>
      </c>
      <c r="C2335" s="374" t="s">
        <v>1721</v>
      </c>
      <c r="D2335" s="375" t="str">
        <f t="shared" si="478"/>
        <v>Kingsfield8</v>
      </c>
      <c r="E2335" s="375" t="s">
        <v>9768</v>
      </c>
      <c r="F2335" s="375" t="s">
        <v>3641</v>
      </c>
      <c r="G2335" s="375" t="s">
        <v>3642</v>
      </c>
      <c r="H2335" s="375" t="s">
        <v>3643</v>
      </c>
      <c r="I2335" s="63" t="s">
        <v>3644</v>
      </c>
      <c r="J2335" s="47"/>
      <c r="K2335" s="46" t="s">
        <v>10735</v>
      </c>
      <c r="L2335" s="47"/>
      <c r="M2335" s="47">
        <f t="shared" si="483"/>
        <v>1430.0000000000002</v>
      </c>
      <c r="N2335" s="47" t="s">
        <v>3645</v>
      </c>
      <c r="O2335" s="47" t="s">
        <v>3646</v>
      </c>
      <c r="P2335" s="47" t="s">
        <v>3647</v>
      </c>
      <c r="Q2335" s="47"/>
      <c r="R2335" s="47">
        <f t="shared" si="486"/>
        <v>540</v>
      </c>
      <c r="S2335" s="47" t="s">
        <v>3648</v>
      </c>
      <c r="T2335" s="47"/>
      <c r="U2335" s="47"/>
      <c r="V2335" s="47"/>
      <c r="W2335" s="47"/>
      <c r="X2335" s="47">
        <f t="shared" si="485"/>
        <v>3000</v>
      </c>
      <c r="Y2335" s="47"/>
      <c r="Z2335" s="47">
        <f t="shared" si="481"/>
        <v>4620</v>
      </c>
      <c r="AA2335" s="47"/>
      <c r="AB2335" s="47"/>
      <c r="AC2335" s="47"/>
      <c r="AD2335" s="47"/>
      <c r="AE2335" s="47"/>
      <c r="AF2335" s="47">
        <f t="shared" si="487"/>
        <v>1485</v>
      </c>
      <c r="AG2335" s="47"/>
      <c r="AH2335" s="47" t="str">
        <f>IFERROR(_xlfn.XLOOKUP(Table6[[#This Row],[Suburb]],Table5[Travel Surcharge],Table5[$$]),"")</f>
        <v/>
      </c>
      <c r="AI2335" s="47"/>
      <c r="AJ2335" s="47"/>
    </row>
    <row r="2336" spans="1:36">
      <c r="A2336" s="157" t="s">
        <v>3639</v>
      </c>
      <c r="B2336" s="157">
        <v>9</v>
      </c>
      <c r="C2336" s="157" t="s">
        <v>1721</v>
      </c>
      <c r="D2336" s="157" t="str">
        <f t="shared" si="478"/>
        <v>Kingsfield9</v>
      </c>
      <c r="E2336" s="157" t="s">
        <v>8024</v>
      </c>
      <c r="F2336" s="157" t="s">
        <v>3641</v>
      </c>
      <c r="G2336" s="157" t="s">
        <v>3642</v>
      </c>
      <c r="H2336" s="157" t="s">
        <v>3643</v>
      </c>
      <c r="I2336" s="158" t="s">
        <v>3644</v>
      </c>
      <c r="J2336" s="47"/>
      <c r="K2336" s="46" t="s">
        <v>10735</v>
      </c>
      <c r="L2336" s="47"/>
      <c r="M2336" s="47">
        <f t="shared" si="483"/>
        <v>1430.0000000000002</v>
      </c>
      <c r="N2336" s="47" t="s">
        <v>3645</v>
      </c>
      <c r="O2336" s="47" t="s">
        <v>3646</v>
      </c>
      <c r="P2336" s="47" t="s">
        <v>3647</v>
      </c>
      <c r="Q2336" s="47"/>
      <c r="R2336" s="47">
        <f t="shared" si="486"/>
        <v>540</v>
      </c>
      <c r="S2336" s="47" t="s">
        <v>3648</v>
      </c>
      <c r="T2336" s="47"/>
      <c r="U2336" s="47"/>
      <c r="V2336" s="47"/>
      <c r="W2336" s="47"/>
      <c r="X2336" s="47">
        <f t="shared" si="485"/>
        <v>3000</v>
      </c>
      <c r="Y2336" s="47"/>
      <c r="Z2336" s="47">
        <f t="shared" si="481"/>
        <v>4620</v>
      </c>
      <c r="AA2336" s="47"/>
      <c r="AB2336" s="47"/>
      <c r="AC2336" s="47"/>
      <c r="AD2336" s="47"/>
      <c r="AE2336" s="47"/>
      <c r="AF2336" s="47">
        <f t="shared" si="487"/>
        <v>1485</v>
      </c>
      <c r="AG2336" s="47"/>
      <c r="AH2336" s="47" t="str">
        <f>IFERROR(_xlfn.XLOOKUP(Table6[[#This Row],[Suburb]],Table5[Travel Surcharge],Table5[$$]),"")</f>
        <v/>
      </c>
      <c r="AI2336" s="47"/>
      <c r="AJ2336" s="47"/>
    </row>
    <row r="2337" spans="1:36">
      <c r="A2337" s="374" t="s">
        <v>3639</v>
      </c>
      <c r="B2337" s="374">
        <v>12</v>
      </c>
      <c r="C2337" s="374" t="s">
        <v>1721</v>
      </c>
      <c r="D2337" s="375" t="str">
        <f t="shared" si="478"/>
        <v>Kingsfield12</v>
      </c>
      <c r="E2337" s="375" t="s">
        <v>3653</v>
      </c>
      <c r="F2337" s="375" t="s">
        <v>3641</v>
      </c>
      <c r="G2337" s="375" t="s">
        <v>3642</v>
      </c>
      <c r="H2337" s="375" t="s">
        <v>3643</v>
      </c>
      <c r="I2337" s="63" t="s">
        <v>3644</v>
      </c>
      <c r="J2337" s="47"/>
      <c r="K2337" s="46" t="s">
        <v>10735</v>
      </c>
      <c r="L2337" s="47"/>
      <c r="M2337" s="47">
        <f t="shared" si="483"/>
        <v>1430.0000000000002</v>
      </c>
      <c r="N2337" s="47" t="s">
        <v>3645</v>
      </c>
      <c r="O2337" s="47" t="s">
        <v>3646</v>
      </c>
      <c r="P2337" s="47" t="s">
        <v>3647</v>
      </c>
      <c r="Q2337" s="47"/>
      <c r="R2337" s="47">
        <f t="shared" si="486"/>
        <v>540</v>
      </c>
      <c r="S2337" s="47" t="s">
        <v>3648</v>
      </c>
      <c r="T2337" s="47"/>
      <c r="U2337" s="47"/>
      <c r="V2337" s="47"/>
      <c r="W2337" s="47"/>
      <c r="X2337" s="47">
        <f t="shared" si="485"/>
        <v>3000</v>
      </c>
      <c r="Y2337" s="47"/>
      <c r="Z2337" s="47">
        <f t="shared" si="481"/>
        <v>4620</v>
      </c>
      <c r="AA2337" s="47"/>
      <c r="AB2337" s="47"/>
      <c r="AC2337" s="47"/>
      <c r="AD2337" s="47"/>
      <c r="AE2337" s="47"/>
      <c r="AF2337" s="47">
        <f t="shared" si="487"/>
        <v>1485</v>
      </c>
      <c r="AG2337" s="47"/>
      <c r="AH2337" s="47" t="str">
        <f>IFERROR(_xlfn.XLOOKUP(Table6[[#This Row],[Suburb]],Table5[Travel Surcharge],Table5[$$]),"")</f>
        <v/>
      </c>
      <c r="AI2337" s="47"/>
      <c r="AJ2337" s="47"/>
    </row>
    <row r="2338" spans="1:36">
      <c r="A2338" s="374" t="s">
        <v>3639</v>
      </c>
      <c r="B2338" s="374">
        <v>13</v>
      </c>
      <c r="C2338" s="374" t="s">
        <v>1721</v>
      </c>
      <c r="D2338" s="375" t="str">
        <f t="shared" si="478"/>
        <v>Kingsfield13</v>
      </c>
      <c r="E2338" s="375" t="s">
        <v>3654</v>
      </c>
      <c r="F2338" s="375" t="s">
        <v>3641</v>
      </c>
      <c r="G2338" s="375" t="s">
        <v>3642</v>
      </c>
      <c r="H2338" s="375" t="s">
        <v>3643</v>
      </c>
      <c r="I2338" s="63" t="s">
        <v>3644</v>
      </c>
      <c r="J2338" s="47"/>
      <c r="K2338" s="46" t="s">
        <v>10735</v>
      </c>
      <c r="L2338" s="47"/>
      <c r="M2338" s="47">
        <f t="shared" si="483"/>
        <v>1430.0000000000002</v>
      </c>
      <c r="N2338" s="47" t="s">
        <v>3645</v>
      </c>
      <c r="O2338" s="47" t="s">
        <v>3646</v>
      </c>
      <c r="P2338" s="47" t="s">
        <v>3647</v>
      </c>
      <c r="Q2338" s="47"/>
      <c r="R2338" s="47">
        <f t="shared" si="486"/>
        <v>540</v>
      </c>
      <c r="S2338" s="47" t="s">
        <v>3648</v>
      </c>
      <c r="T2338" s="47"/>
      <c r="U2338" s="47"/>
      <c r="V2338" s="47"/>
      <c r="W2338" s="47"/>
      <c r="X2338" s="47">
        <f t="shared" si="485"/>
        <v>3000</v>
      </c>
      <c r="Y2338" s="47"/>
      <c r="Z2338" s="47">
        <f t="shared" si="481"/>
        <v>4620</v>
      </c>
      <c r="AA2338" s="47"/>
      <c r="AB2338" s="47"/>
      <c r="AC2338" s="47"/>
      <c r="AD2338" s="47"/>
      <c r="AE2338" s="47"/>
      <c r="AF2338" s="47">
        <f t="shared" si="487"/>
        <v>1485</v>
      </c>
      <c r="AG2338" s="47"/>
      <c r="AH2338" s="47" t="str">
        <f>IFERROR(_xlfn.XLOOKUP(Table6[[#This Row],[Suburb]],Table5[Travel Surcharge],Table5[$$]),"")</f>
        <v/>
      </c>
      <c r="AI2338" s="47"/>
      <c r="AJ2338" s="47"/>
    </row>
    <row r="2339" spans="1:36">
      <c r="A2339" s="374" t="s">
        <v>3639</v>
      </c>
      <c r="B2339" s="374">
        <v>14</v>
      </c>
      <c r="C2339" s="374" t="s">
        <v>1721</v>
      </c>
      <c r="D2339" s="375" t="str">
        <f t="shared" si="478"/>
        <v>Kingsfield14</v>
      </c>
      <c r="E2339" s="375" t="s">
        <v>3655</v>
      </c>
      <c r="F2339" s="375" t="s">
        <v>3641</v>
      </c>
      <c r="G2339" s="375" t="s">
        <v>3642</v>
      </c>
      <c r="H2339" s="375" t="s">
        <v>3643</v>
      </c>
      <c r="I2339" s="63" t="s">
        <v>3644</v>
      </c>
      <c r="J2339" s="47"/>
      <c r="K2339" s="46" t="s">
        <v>10735</v>
      </c>
      <c r="L2339" s="47"/>
      <c r="M2339" s="47">
        <f t="shared" si="483"/>
        <v>1430.0000000000002</v>
      </c>
      <c r="N2339" s="47" t="s">
        <v>3645</v>
      </c>
      <c r="O2339" s="47" t="s">
        <v>3646</v>
      </c>
      <c r="P2339" s="47" t="s">
        <v>3647</v>
      </c>
      <c r="Q2339" s="47"/>
      <c r="R2339" s="47">
        <f t="shared" si="486"/>
        <v>540</v>
      </c>
      <c r="S2339" s="47" t="s">
        <v>3648</v>
      </c>
      <c r="T2339" s="47"/>
      <c r="U2339" s="47"/>
      <c r="V2339" s="47"/>
      <c r="W2339" s="47"/>
      <c r="X2339" s="47">
        <f t="shared" si="485"/>
        <v>3000</v>
      </c>
      <c r="Y2339" s="47"/>
      <c r="Z2339" s="47">
        <f t="shared" si="481"/>
        <v>4620</v>
      </c>
      <c r="AA2339" s="47"/>
      <c r="AB2339" s="47"/>
      <c r="AC2339" s="47"/>
      <c r="AD2339" s="47"/>
      <c r="AE2339" s="47"/>
      <c r="AF2339" s="47">
        <f t="shared" si="487"/>
        <v>1485</v>
      </c>
      <c r="AG2339" s="47"/>
      <c r="AH2339" s="47" t="str">
        <f>IFERROR(_xlfn.XLOOKUP(Table6[[#This Row],[Suburb]],Table5[Travel Surcharge],Table5[$$]),"")</f>
        <v/>
      </c>
      <c r="AI2339" s="47"/>
      <c r="AJ2339" s="47"/>
    </row>
    <row r="2340" spans="1:36">
      <c r="A2340" s="374" t="s">
        <v>3639</v>
      </c>
      <c r="B2340" s="374">
        <v>15</v>
      </c>
      <c r="C2340" s="374" t="s">
        <v>1721</v>
      </c>
      <c r="D2340" s="375" t="str">
        <f t="shared" si="478"/>
        <v>Kingsfield15</v>
      </c>
      <c r="E2340" s="375" t="s">
        <v>3656</v>
      </c>
      <c r="F2340" s="375" t="s">
        <v>3641</v>
      </c>
      <c r="G2340" s="375" t="s">
        <v>3642</v>
      </c>
      <c r="H2340" s="375" t="s">
        <v>3643</v>
      </c>
      <c r="I2340" s="63" t="s">
        <v>3644</v>
      </c>
      <c r="J2340" s="47"/>
      <c r="K2340" s="46" t="s">
        <v>10735</v>
      </c>
      <c r="L2340" s="47"/>
      <c r="M2340" s="47">
        <f t="shared" si="483"/>
        <v>1430.0000000000002</v>
      </c>
      <c r="N2340" s="47" t="s">
        <v>3645</v>
      </c>
      <c r="O2340" s="47" t="s">
        <v>3646</v>
      </c>
      <c r="P2340" s="47" t="s">
        <v>3647</v>
      </c>
      <c r="Q2340" s="47"/>
      <c r="R2340" s="47">
        <f t="shared" si="486"/>
        <v>540</v>
      </c>
      <c r="S2340" s="47" t="s">
        <v>3648</v>
      </c>
      <c r="T2340" s="47"/>
      <c r="U2340" s="47"/>
      <c r="V2340" s="47"/>
      <c r="W2340" s="47"/>
      <c r="X2340" s="47">
        <f t="shared" si="485"/>
        <v>3000</v>
      </c>
      <c r="Y2340" s="47"/>
      <c r="Z2340" s="47">
        <f t="shared" si="481"/>
        <v>4620</v>
      </c>
      <c r="AA2340" s="47"/>
      <c r="AB2340" s="47"/>
      <c r="AC2340" s="47"/>
      <c r="AD2340" s="47"/>
      <c r="AE2340" s="47"/>
      <c r="AF2340" s="47">
        <f t="shared" si="487"/>
        <v>1485</v>
      </c>
      <c r="AG2340" s="47"/>
      <c r="AH2340" s="47" t="str">
        <f>IFERROR(_xlfn.XLOOKUP(Table6[[#This Row],[Suburb]],Table5[Travel Surcharge],Table5[$$]),"")</f>
        <v/>
      </c>
      <c r="AI2340" s="47"/>
      <c r="AJ2340" s="47"/>
    </row>
    <row r="2341" spans="1:36">
      <c r="A2341" s="374" t="s">
        <v>3639</v>
      </c>
      <c r="B2341" s="374">
        <v>16</v>
      </c>
      <c r="C2341" s="374" t="s">
        <v>1721</v>
      </c>
      <c r="D2341" s="375" t="str">
        <f t="shared" si="478"/>
        <v>Kingsfield16</v>
      </c>
      <c r="E2341" s="375" t="s">
        <v>3657</v>
      </c>
      <c r="F2341" s="375" t="s">
        <v>3641</v>
      </c>
      <c r="G2341" s="375" t="s">
        <v>3642</v>
      </c>
      <c r="H2341" s="375" t="s">
        <v>3643</v>
      </c>
      <c r="I2341" s="63" t="s">
        <v>3644</v>
      </c>
      <c r="J2341" s="47"/>
      <c r="K2341" s="46" t="s">
        <v>10735</v>
      </c>
      <c r="L2341" s="47"/>
      <c r="M2341" s="47">
        <f t="shared" si="483"/>
        <v>1430.0000000000002</v>
      </c>
      <c r="N2341" s="47" t="s">
        <v>3645</v>
      </c>
      <c r="O2341" s="47" t="s">
        <v>3646</v>
      </c>
      <c r="P2341" s="47" t="s">
        <v>3647</v>
      </c>
      <c r="Q2341" s="47"/>
      <c r="R2341" s="47">
        <f t="shared" si="486"/>
        <v>540</v>
      </c>
      <c r="S2341" s="47" t="s">
        <v>3648</v>
      </c>
      <c r="T2341" s="47"/>
      <c r="U2341" s="47"/>
      <c r="V2341" s="47"/>
      <c r="W2341" s="47"/>
      <c r="X2341" s="47">
        <f t="shared" si="485"/>
        <v>3000</v>
      </c>
      <c r="Y2341" s="47"/>
      <c r="Z2341" s="47">
        <f t="shared" si="481"/>
        <v>4620</v>
      </c>
      <c r="AA2341" s="47"/>
      <c r="AB2341" s="47"/>
      <c r="AC2341" s="47"/>
      <c r="AD2341" s="47"/>
      <c r="AE2341" s="47"/>
      <c r="AF2341" s="47">
        <f t="shared" si="487"/>
        <v>1485</v>
      </c>
      <c r="AG2341" s="47"/>
      <c r="AH2341" s="47" t="str">
        <f>IFERROR(_xlfn.XLOOKUP(Table6[[#This Row],[Suburb]],Table5[Travel Surcharge],Table5[$$]),"")</f>
        <v/>
      </c>
      <c r="AI2341" s="47"/>
      <c r="AJ2341" s="47"/>
    </row>
    <row r="2342" spans="1:36">
      <c r="A2342" s="374" t="s">
        <v>3639</v>
      </c>
      <c r="B2342" s="374">
        <v>17</v>
      </c>
      <c r="C2342" s="374" t="s">
        <v>1721</v>
      </c>
      <c r="D2342" s="375" t="str">
        <f t="shared" si="478"/>
        <v>Kingsfield17</v>
      </c>
      <c r="E2342" s="375" t="s">
        <v>3658</v>
      </c>
      <c r="F2342" s="375" t="s">
        <v>3641</v>
      </c>
      <c r="G2342" s="375" t="s">
        <v>3642</v>
      </c>
      <c r="H2342" s="375" t="s">
        <v>3643</v>
      </c>
      <c r="I2342" s="63" t="s">
        <v>3644</v>
      </c>
      <c r="J2342" s="47"/>
      <c r="K2342" s="46" t="s">
        <v>10735</v>
      </c>
      <c r="L2342" s="47"/>
      <c r="M2342" s="47">
        <f t="shared" si="483"/>
        <v>1430.0000000000002</v>
      </c>
      <c r="N2342" s="47" t="s">
        <v>3645</v>
      </c>
      <c r="O2342" s="47" t="s">
        <v>3646</v>
      </c>
      <c r="P2342" s="47" t="s">
        <v>3647</v>
      </c>
      <c r="Q2342" s="47"/>
      <c r="R2342" s="47">
        <f t="shared" si="486"/>
        <v>540</v>
      </c>
      <c r="S2342" s="47" t="s">
        <v>3648</v>
      </c>
      <c r="T2342" s="47"/>
      <c r="U2342" s="47"/>
      <c r="V2342" s="47"/>
      <c r="W2342" s="47"/>
      <c r="X2342" s="47">
        <f t="shared" si="485"/>
        <v>3000</v>
      </c>
      <c r="Y2342" s="47"/>
      <c r="Z2342" s="47">
        <f t="shared" si="481"/>
        <v>4620</v>
      </c>
      <c r="AA2342" s="47"/>
      <c r="AB2342" s="47"/>
      <c r="AC2342" s="47"/>
      <c r="AD2342" s="47"/>
      <c r="AE2342" s="47"/>
      <c r="AF2342" s="47">
        <f t="shared" si="487"/>
        <v>1485</v>
      </c>
      <c r="AG2342" s="47"/>
      <c r="AH2342" s="47" t="str">
        <f>IFERROR(_xlfn.XLOOKUP(Table6[[#This Row],[Suburb]],Table5[Travel Surcharge],Table5[$$]),"")</f>
        <v/>
      </c>
      <c r="AI2342" s="47"/>
      <c r="AJ2342" s="47"/>
    </row>
    <row r="2343" spans="1:36">
      <c r="A2343" s="157" t="s">
        <v>3639</v>
      </c>
      <c r="B2343" s="157">
        <v>18</v>
      </c>
      <c r="C2343" s="157" t="s">
        <v>1721</v>
      </c>
      <c r="D2343" s="157" t="str">
        <f t="shared" si="478"/>
        <v>Kingsfield18</v>
      </c>
      <c r="E2343" s="157" t="s">
        <v>7653</v>
      </c>
      <c r="F2343" s="157" t="s">
        <v>3641</v>
      </c>
      <c r="G2343" s="157" t="s">
        <v>3642</v>
      </c>
      <c r="H2343" s="157" t="s">
        <v>3643</v>
      </c>
      <c r="I2343" s="158" t="s">
        <v>3644</v>
      </c>
      <c r="J2343" s="47"/>
      <c r="K2343" s="46" t="s">
        <v>10735</v>
      </c>
      <c r="L2343" s="47"/>
      <c r="M2343" s="47">
        <f t="shared" si="483"/>
        <v>1430.0000000000002</v>
      </c>
      <c r="N2343" s="47" t="s">
        <v>3645</v>
      </c>
      <c r="O2343" s="47" t="s">
        <v>3646</v>
      </c>
      <c r="P2343" s="47" t="s">
        <v>3647</v>
      </c>
      <c r="Q2343" s="47"/>
      <c r="R2343" s="47">
        <f t="shared" si="486"/>
        <v>540</v>
      </c>
      <c r="S2343" s="47" t="s">
        <v>3648</v>
      </c>
      <c r="T2343" s="47"/>
      <c r="U2343" s="47"/>
      <c r="V2343" s="47"/>
      <c r="W2343" s="47"/>
      <c r="X2343" s="47">
        <f t="shared" si="485"/>
        <v>3000</v>
      </c>
      <c r="Y2343" s="47"/>
      <c r="Z2343" s="47">
        <f t="shared" si="481"/>
        <v>4620</v>
      </c>
      <c r="AA2343" s="47"/>
      <c r="AB2343" s="47"/>
      <c r="AC2343" s="47"/>
      <c r="AD2343" s="47"/>
      <c r="AE2343" s="47"/>
      <c r="AF2343" s="47">
        <f t="shared" si="487"/>
        <v>1485</v>
      </c>
      <c r="AG2343" s="47"/>
      <c r="AH2343" s="47" t="str">
        <f>IFERROR(_xlfn.XLOOKUP(Table6[[#This Row],[Suburb]],Table5[Travel Surcharge],Table5[$$]),"")</f>
        <v/>
      </c>
      <c r="AI2343" s="47"/>
      <c r="AJ2343" s="47"/>
    </row>
    <row r="2344" spans="1:36">
      <c r="A2344" s="157" t="s">
        <v>3639</v>
      </c>
      <c r="B2344" s="157">
        <v>19</v>
      </c>
      <c r="C2344" s="157" t="s">
        <v>1721</v>
      </c>
      <c r="D2344" s="157" t="str">
        <f t="shared" si="478"/>
        <v>Kingsfield19</v>
      </c>
      <c r="E2344" s="157" t="s">
        <v>8405</v>
      </c>
      <c r="F2344" s="157" t="s">
        <v>3641</v>
      </c>
      <c r="G2344" s="157" t="s">
        <v>3642</v>
      </c>
      <c r="H2344" s="157" t="s">
        <v>3643</v>
      </c>
      <c r="I2344" s="158" t="s">
        <v>3644</v>
      </c>
      <c r="J2344" s="47"/>
      <c r="K2344" s="46" t="s">
        <v>10735</v>
      </c>
      <c r="L2344" s="47"/>
      <c r="M2344" s="47">
        <f t="shared" si="483"/>
        <v>1430.0000000000002</v>
      </c>
      <c r="N2344" s="47" t="s">
        <v>3645</v>
      </c>
      <c r="O2344" s="47" t="s">
        <v>3646</v>
      </c>
      <c r="P2344" s="47" t="s">
        <v>3647</v>
      </c>
      <c r="Q2344" s="47"/>
      <c r="R2344" s="47">
        <f t="shared" si="486"/>
        <v>540</v>
      </c>
      <c r="S2344" s="47" t="s">
        <v>3648</v>
      </c>
      <c r="T2344" s="47"/>
      <c r="U2344" s="47"/>
      <c r="V2344" s="47"/>
      <c r="W2344" s="47"/>
      <c r="X2344" s="47">
        <f t="shared" si="485"/>
        <v>3000</v>
      </c>
      <c r="Y2344" s="47"/>
      <c r="Z2344" s="47">
        <f t="shared" si="481"/>
        <v>4620</v>
      </c>
      <c r="AA2344" s="47"/>
      <c r="AB2344" s="47"/>
      <c r="AC2344" s="47"/>
      <c r="AD2344" s="47"/>
      <c r="AE2344" s="47"/>
      <c r="AF2344" s="47">
        <f t="shared" si="487"/>
        <v>1485</v>
      </c>
      <c r="AG2344" s="47"/>
      <c r="AH2344" s="47" t="str">
        <f>IFERROR(_xlfn.XLOOKUP(Table6[[#This Row],[Suburb]],Table5[Travel Surcharge],Table5[$$]),"")</f>
        <v/>
      </c>
      <c r="AI2344" s="47"/>
      <c r="AJ2344" s="47"/>
    </row>
    <row r="2345" spans="1:36">
      <c r="A2345" s="374" t="s">
        <v>3639</v>
      </c>
      <c r="B2345" s="374">
        <v>20</v>
      </c>
      <c r="C2345" s="374" t="s">
        <v>1721</v>
      </c>
      <c r="D2345" s="157" t="str">
        <f t="shared" si="478"/>
        <v>Kingsfield20</v>
      </c>
      <c r="E2345" s="375" t="s">
        <v>10279</v>
      </c>
      <c r="F2345" s="375" t="s">
        <v>3641</v>
      </c>
      <c r="G2345" s="375" t="s">
        <v>3642</v>
      </c>
      <c r="H2345" s="375" t="s">
        <v>3643</v>
      </c>
      <c r="I2345" s="63" t="s">
        <v>3644</v>
      </c>
      <c r="J2345" s="47"/>
      <c r="K2345" s="46" t="s">
        <v>10735</v>
      </c>
      <c r="L2345" s="47"/>
      <c r="M2345" s="47">
        <v>1430.0000000000002</v>
      </c>
      <c r="N2345" s="47" t="s">
        <v>3645</v>
      </c>
      <c r="O2345" s="47" t="s">
        <v>3646</v>
      </c>
      <c r="P2345" s="47" t="s">
        <v>3647</v>
      </c>
      <c r="Q2345" s="47"/>
      <c r="R2345" s="47">
        <v>540</v>
      </c>
      <c r="S2345" s="47" t="s">
        <v>3648</v>
      </c>
      <c r="T2345" s="47"/>
      <c r="U2345" s="47"/>
      <c r="V2345" s="47"/>
      <c r="W2345" s="47"/>
      <c r="X2345" s="47">
        <v>3000</v>
      </c>
      <c r="Y2345" s="47"/>
      <c r="Z2345" s="47">
        <v>4620</v>
      </c>
      <c r="AA2345" s="47"/>
      <c r="AB2345" s="47"/>
      <c r="AC2345" s="47"/>
      <c r="AD2345" s="47"/>
      <c r="AE2345" s="47"/>
      <c r="AF2345" s="47">
        <v>1485</v>
      </c>
      <c r="AG2345" s="47"/>
      <c r="AH2345" s="47" t="s">
        <v>9976</v>
      </c>
      <c r="AI2345" s="47"/>
      <c r="AJ2345" s="47"/>
    </row>
    <row r="2346" spans="1:36">
      <c r="A2346" s="374" t="s">
        <v>3639</v>
      </c>
      <c r="B2346" s="374">
        <v>21</v>
      </c>
      <c r="C2346" s="374" t="s">
        <v>1721</v>
      </c>
      <c r="D2346" s="375" t="str">
        <f t="shared" si="478"/>
        <v>Kingsfield21</v>
      </c>
      <c r="E2346" s="375" t="s">
        <v>10372</v>
      </c>
      <c r="F2346" s="375" t="s">
        <v>3641</v>
      </c>
      <c r="G2346" s="375" t="s">
        <v>3642</v>
      </c>
      <c r="H2346" s="375" t="s">
        <v>3643</v>
      </c>
      <c r="I2346" s="63" t="s">
        <v>3644</v>
      </c>
      <c r="J2346" s="47"/>
      <c r="K2346" s="46" t="s">
        <v>10735</v>
      </c>
      <c r="L2346" s="47"/>
      <c r="M2346" s="47">
        <v>1430.0000000000002</v>
      </c>
      <c r="N2346" s="47" t="s">
        <v>3645</v>
      </c>
      <c r="O2346" s="47" t="s">
        <v>3646</v>
      </c>
      <c r="P2346" s="47" t="s">
        <v>3647</v>
      </c>
      <c r="Q2346" s="47"/>
      <c r="R2346" s="47">
        <v>540</v>
      </c>
      <c r="S2346" s="47" t="s">
        <v>3648</v>
      </c>
      <c r="T2346" s="47"/>
      <c r="U2346" s="47"/>
      <c r="V2346" s="47"/>
      <c r="W2346" s="47"/>
      <c r="X2346" s="47">
        <v>3000</v>
      </c>
      <c r="Y2346" s="47"/>
      <c r="Z2346" s="47">
        <v>4620</v>
      </c>
      <c r="AA2346" s="47"/>
      <c r="AB2346" s="47"/>
      <c r="AC2346" s="47"/>
      <c r="AD2346" s="47"/>
      <c r="AE2346" s="47"/>
      <c r="AF2346" s="47">
        <v>1485</v>
      </c>
      <c r="AG2346" s="47"/>
      <c r="AH2346" s="47" t="s">
        <v>9976</v>
      </c>
      <c r="AI2346" s="47"/>
      <c r="AJ2346" s="47"/>
    </row>
    <row r="2347" spans="1:36">
      <c r="A2347" s="374" t="s">
        <v>3639</v>
      </c>
      <c r="B2347" s="374">
        <v>22</v>
      </c>
      <c r="C2347" s="374" t="s">
        <v>1721</v>
      </c>
      <c r="D2347" s="375" t="str">
        <f t="shared" si="478"/>
        <v>Kingsfield22</v>
      </c>
      <c r="E2347" s="375" t="s">
        <v>10796</v>
      </c>
      <c r="F2347" s="375" t="s">
        <v>3641</v>
      </c>
      <c r="G2347" s="375" t="s">
        <v>3642</v>
      </c>
      <c r="H2347" s="375" t="s">
        <v>3643</v>
      </c>
      <c r="I2347" s="63" t="s">
        <v>3644</v>
      </c>
      <c r="J2347" s="47"/>
      <c r="K2347" s="46" t="s">
        <v>10735</v>
      </c>
      <c r="L2347" s="47"/>
      <c r="M2347" s="47">
        <v>1430.0000000000002</v>
      </c>
      <c r="N2347" s="47" t="s">
        <v>3645</v>
      </c>
      <c r="O2347" s="47" t="s">
        <v>3646</v>
      </c>
      <c r="P2347" s="47" t="s">
        <v>3647</v>
      </c>
      <c r="Q2347" s="47"/>
      <c r="R2347" s="47">
        <v>540</v>
      </c>
      <c r="S2347" s="47" t="s">
        <v>3648</v>
      </c>
      <c r="T2347" s="47"/>
      <c r="U2347" s="47"/>
      <c r="V2347" s="47"/>
      <c r="W2347" s="47"/>
      <c r="X2347" s="47">
        <v>3000</v>
      </c>
      <c r="Y2347" s="47"/>
      <c r="Z2347" s="47">
        <v>4620</v>
      </c>
      <c r="AA2347" s="47"/>
      <c r="AB2347" s="47"/>
      <c r="AC2347" s="47"/>
      <c r="AD2347" s="47"/>
      <c r="AE2347" s="47"/>
      <c r="AF2347" s="47">
        <v>1485</v>
      </c>
      <c r="AG2347" s="47"/>
      <c r="AH2347" s="47" t="s">
        <v>9976</v>
      </c>
      <c r="AI2347" s="47"/>
      <c r="AJ2347" s="47"/>
    </row>
    <row r="2348" spans="1:36">
      <c r="A2348" s="374" t="s">
        <v>3703</v>
      </c>
      <c r="B2348" s="374">
        <v>1</v>
      </c>
      <c r="C2348" s="374" t="s">
        <v>2433</v>
      </c>
      <c r="D2348" s="375" t="str">
        <f t="shared" si="478"/>
        <v>Kingsley Place Estate1</v>
      </c>
      <c r="E2348" s="375" t="s">
        <v>3704</v>
      </c>
      <c r="F2348" s="375"/>
      <c r="G2348" s="375"/>
      <c r="H2348" s="375"/>
      <c r="I2348" s="63"/>
      <c r="J2348" s="47">
        <f>J$7</f>
        <v>3740</v>
      </c>
      <c r="K2348" s="46" t="s">
        <v>10735</v>
      </c>
      <c r="L2348" s="47"/>
      <c r="M2348" s="47"/>
      <c r="N2348" s="47"/>
      <c r="O2348" s="47" t="s">
        <v>3705</v>
      </c>
      <c r="P2348" s="47"/>
      <c r="Q2348" s="47">
        <f>Q$2</f>
        <v>0</v>
      </c>
      <c r="R2348" s="47"/>
      <c r="S2348" s="47"/>
      <c r="T2348" s="47"/>
      <c r="U2348" s="47" t="s">
        <v>3706</v>
      </c>
      <c r="V2348" s="47"/>
      <c r="W2348" s="47"/>
      <c r="X2348" s="47"/>
      <c r="Y2348" s="47"/>
      <c r="Z2348" s="47">
        <f t="shared" si="481"/>
        <v>4620</v>
      </c>
      <c r="AA2348" s="47"/>
      <c r="AB2348" s="47"/>
      <c r="AC2348" s="47"/>
      <c r="AD2348" s="47"/>
      <c r="AE2348" s="47"/>
      <c r="AF2348" s="47"/>
      <c r="AG2348" s="47"/>
      <c r="AH2348" s="47" t="str">
        <f>IFERROR(_xlfn.XLOOKUP(Table6[[#This Row],[Suburb]],Table5[Travel Surcharge],Table5[$$]),"")</f>
        <v/>
      </c>
      <c r="AI2348" s="47"/>
      <c r="AJ2348" s="47"/>
    </row>
    <row r="2349" spans="1:36">
      <c r="A2349" s="374" t="s">
        <v>3707</v>
      </c>
      <c r="B2349" s="374">
        <v>31</v>
      </c>
      <c r="C2349" s="374" t="s">
        <v>291</v>
      </c>
      <c r="D2349" s="375" t="str">
        <f t="shared" ref="D2349:D2381" si="488">CONCATENATE(A2349,B2349)</f>
        <v>Kingston Estate31</v>
      </c>
      <c r="E2349" s="375" t="s">
        <v>3708</v>
      </c>
      <c r="F2349" s="375" t="s">
        <v>3709</v>
      </c>
      <c r="G2349" s="375" t="s">
        <v>3710</v>
      </c>
      <c r="H2349" s="375" t="s">
        <v>3711</v>
      </c>
      <c r="I2349" s="63" t="s">
        <v>3712</v>
      </c>
      <c r="J2349" s="47"/>
      <c r="K2349" s="46" t="s">
        <v>10735</v>
      </c>
      <c r="L2349" s="47">
        <f>$L$7</f>
        <v>1210</v>
      </c>
      <c r="M2349" s="47"/>
      <c r="N2349" s="47" t="s">
        <v>3713</v>
      </c>
      <c r="O2349" s="47"/>
      <c r="P2349" s="47" t="s">
        <v>7889</v>
      </c>
      <c r="Q2349" s="47"/>
      <c r="R2349" s="47">
        <f>R$2</f>
        <v>540</v>
      </c>
      <c r="S2349" s="47"/>
      <c r="T2349" s="47"/>
      <c r="U2349" s="47"/>
      <c r="V2349" s="47"/>
      <c r="W2349" s="47"/>
      <c r="X2349" s="47">
        <f>X$7</f>
        <v>3000</v>
      </c>
      <c r="Y2349" s="47"/>
      <c r="Z2349" s="47">
        <f t="shared" si="481"/>
        <v>4620</v>
      </c>
      <c r="AA2349" s="47"/>
      <c r="AB2349" s="47"/>
      <c r="AC2349" s="47"/>
      <c r="AD2349" s="47"/>
      <c r="AE2349" s="47"/>
      <c r="AF2349" s="47">
        <f t="shared" ref="AF2349:AF2357" si="489">AF$7</f>
        <v>1485</v>
      </c>
      <c r="AG2349" s="47"/>
      <c r="AH2349" s="47">
        <f>IFERROR(_xlfn.XLOOKUP(Table6[[#This Row],[Suburb]],Table5[Travel Surcharge],Table5[$$]),"")</f>
        <v>1500</v>
      </c>
      <c r="AI2349" s="47"/>
      <c r="AJ2349" s="47"/>
    </row>
    <row r="2350" spans="1:36">
      <c r="A2350" s="157" t="s">
        <v>3707</v>
      </c>
      <c r="B2350" s="157">
        <v>4</v>
      </c>
      <c r="C2350" s="157" t="s">
        <v>291</v>
      </c>
      <c r="D2350" s="157" t="str">
        <f t="shared" si="488"/>
        <v>Kingston Estate4</v>
      </c>
      <c r="E2350" s="157" t="s">
        <v>7639</v>
      </c>
      <c r="F2350" s="157" t="s">
        <v>3709</v>
      </c>
      <c r="G2350" s="157" t="s">
        <v>3710</v>
      </c>
      <c r="H2350" s="157" t="s">
        <v>3711</v>
      </c>
      <c r="I2350" s="158" t="s">
        <v>3712</v>
      </c>
      <c r="J2350" s="47"/>
      <c r="K2350" s="46" t="s">
        <v>10735</v>
      </c>
      <c r="L2350" s="47">
        <f>$L$7</f>
        <v>1210</v>
      </c>
      <c r="M2350" s="47"/>
      <c r="N2350" s="47" t="s">
        <v>3713</v>
      </c>
      <c r="O2350" s="47"/>
      <c r="P2350" s="47" t="s">
        <v>7889</v>
      </c>
      <c r="Q2350" s="47"/>
      <c r="R2350" s="47">
        <f>R$2</f>
        <v>540</v>
      </c>
      <c r="S2350" s="47"/>
      <c r="T2350" s="47"/>
      <c r="U2350" s="47"/>
      <c r="V2350" s="47"/>
      <c r="W2350" s="47"/>
      <c r="X2350" s="47">
        <f>X$7</f>
        <v>3000</v>
      </c>
      <c r="Y2350" s="47"/>
      <c r="Z2350" s="47">
        <f t="shared" si="481"/>
        <v>4620</v>
      </c>
      <c r="AA2350" s="47"/>
      <c r="AB2350" s="47"/>
      <c r="AC2350" s="47"/>
      <c r="AD2350" s="47"/>
      <c r="AE2350" s="47"/>
      <c r="AF2350" s="47">
        <f t="shared" si="489"/>
        <v>1485</v>
      </c>
      <c r="AG2350" s="47"/>
      <c r="AH2350" s="47">
        <f>IFERROR(_xlfn.XLOOKUP(Table6[[#This Row],[Suburb]],Table5[Travel Surcharge],Table5[$$]),"")</f>
        <v>1500</v>
      </c>
      <c r="AI2350" s="47"/>
      <c r="AJ2350" s="47"/>
    </row>
    <row r="2351" spans="1:36">
      <c r="A2351" s="157" t="s">
        <v>3707</v>
      </c>
      <c r="B2351" s="157">
        <v>5</v>
      </c>
      <c r="C2351" s="157" t="s">
        <v>291</v>
      </c>
      <c r="D2351" s="157" t="str">
        <f t="shared" si="488"/>
        <v>Kingston Estate5</v>
      </c>
      <c r="E2351" s="157" t="s">
        <v>8207</v>
      </c>
      <c r="F2351" s="157" t="s">
        <v>3709</v>
      </c>
      <c r="G2351" s="157" t="s">
        <v>3710</v>
      </c>
      <c r="H2351" s="157" t="s">
        <v>3711</v>
      </c>
      <c r="I2351" s="158" t="s">
        <v>3712</v>
      </c>
      <c r="J2351" s="47"/>
      <c r="K2351" s="46" t="s">
        <v>10735</v>
      </c>
      <c r="L2351" s="47">
        <f>$L$7</f>
        <v>1210</v>
      </c>
      <c r="M2351" s="47"/>
      <c r="N2351" s="47" t="s">
        <v>3713</v>
      </c>
      <c r="O2351" s="47"/>
      <c r="P2351" s="47" t="s">
        <v>7889</v>
      </c>
      <c r="Q2351" s="47"/>
      <c r="R2351" s="47">
        <f>R$2</f>
        <v>540</v>
      </c>
      <c r="S2351" s="47"/>
      <c r="T2351" s="47"/>
      <c r="U2351" s="47"/>
      <c r="V2351" s="47"/>
      <c r="W2351" s="47"/>
      <c r="X2351" s="47">
        <f>X$7</f>
        <v>3000</v>
      </c>
      <c r="Y2351" s="47"/>
      <c r="Z2351" s="47">
        <f t="shared" si="481"/>
        <v>4620</v>
      </c>
      <c r="AA2351" s="47"/>
      <c r="AB2351" s="47"/>
      <c r="AC2351" s="47"/>
      <c r="AD2351" s="47"/>
      <c r="AE2351" s="47"/>
      <c r="AF2351" s="47">
        <f t="shared" si="489"/>
        <v>1485</v>
      </c>
      <c r="AG2351" s="47"/>
      <c r="AH2351" s="47">
        <f>IFERROR(_xlfn.XLOOKUP(Table6[[#This Row],[Suburb]],Table5[Travel Surcharge],Table5[$$]),"")</f>
        <v>1500</v>
      </c>
      <c r="AI2351" s="47"/>
      <c r="AJ2351" s="47"/>
    </row>
    <row r="2352" spans="1:36">
      <c r="A2352" s="157" t="s">
        <v>3707</v>
      </c>
      <c r="B2352" s="157">
        <v>6</v>
      </c>
      <c r="C2352" s="157" t="s">
        <v>291</v>
      </c>
      <c r="D2352" s="157" t="str">
        <f t="shared" si="488"/>
        <v>Kingston Estate6</v>
      </c>
      <c r="E2352" s="157" t="s">
        <v>8208</v>
      </c>
      <c r="F2352" s="157" t="s">
        <v>3709</v>
      </c>
      <c r="G2352" s="157" t="s">
        <v>3710</v>
      </c>
      <c r="H2352" s="157" t="s">
        <v>3711</v>
      </c>
      <c r="I2352" s="158" t="s">
        <v>3712</v>
      </c>
      <c r="J2352" s="47"/>
      <c r="K2352" s="46" t="s">
        <v>10735</v>
      </c>
      <c r="L2352" s="47">
        <f>$L$7</f>
        <v>1210</v>
      </c>
      <c r="M2352" s="47"/>
      <c r="N2352" s="47" t="s">
        <v>3713</v>
      </c>
      <c r="O2352" s="47"/>
      <c r="P2352" s="47" t="s">
        <v>7889</v>
      </c>
      <c r="Q2352" s="47"/>
      <c r="R2352" s="47">
        <f>R$2</f>
        <v>540</v>
      </c>
      <c r="S2352" s="47"/>
      <c r="T2352" s="47"/>
      <c r="U2352" s="47"/>
      <c r="V2352" s="47"/>
      <c r="W2352" s="47"/>
      <c r="X2352" s="47">
        <f>X$7</f>
        <v>3000</v>
      </c>
      <c r="Y2352" s="47"/>
      <c r="Z2352" s="47">
        <f t="shared" si="481"/>
        <v>4620</v>
      </c>
      <c r="AA2352" s="47"/>
      <c r="AB2352" s="47"/>
      <c r="AC2352" s="47"/>
      <c r="AD2352" s="47"/>
      <c r="AE2352" s="47"/>
      <c r="AF2352" s="47">
        <f t="shared" si="489"/>
        <v>1485</v>
      </c>
      <c r="AG2352" s="47"/>
      <c r="AH2352" s="47">
        <f>IFERROR(_xlfn.XLOOKUP(Table6[[#This Row],[Suburb]],Table5[Travel Surcharge],Table5[$$]),"")</f>
        <v>1500</v>
      </c>
      <c r="AI2352" s="47"/>
      <c r="AJ2352" s="47"/>
    </row>
    <row r="2353" spans="1:36">
      <c r="A2353" s="374" t="s">
        <v>3707</v>
      </c>
      <c r="B2353" s="374">
        <v>33</v>
      </c>
      <c r="C2353" s="374" t="s">
        <v>291</v>
      </c>
      <c r="D2353" s="375" t="str">
        <f t="shared" si="488"/>
        <v>Kingston Estate33</v>
      </c>
      <c r="E2353" s="375" t="s">
        <v>3714</v>
      </c>
      <c r="F2353" s="375" t="s">
        <v>3709</v>
      </c>
      <c r="G2353" s="375" t="s">
        <v>3710</v>
      </c>
      <c r="H2353" s="375" t="s">
        <v>3711</v>
      </c>
      <c r="I2353" s="63" t="s">
        <v>3712</v>
      </c>
      <c r="J2353" s="47"/>
      <c r="K2353" s="46" t="s">
        <v>10735</v>
      </c>
      <c r="L2353" s="47">
        <f>$L$7</f>
        <v>1210</v>
      </c>
      <c r="M2353" s="47"/>
      <c r="N2353" s="47" t="s">
        <v>3713</v>
      </c>
      <c r="O2353" s="47"/>
      <c r="P2353" s="47" t="s">
        <v>7889</v>
      </c>
      <c r="Q2353" s="47"/>
      <c r="R2353" s="47">
        <f>R$2</f>
        <v>540</v>
      </c>
      <c r="S2353" s="47"/>
      <c r="T2353" s="47"/>
      <c r="U2353" s="47"/>
      <c r="V2353" s="47"/>
      <c r="W2353" s="47"/>
      <c r="X2353" s="47">
        <f>X$7</f>
        <v>3000</v>
      </c>
      <c r="Y2353" s="47"/>
      <c r="Z2353" s="47">
        <f t="shared" si="481"/>
        <v>4620</v>
      </c>
      <c r="AA2353" s="47"/>
      <c r="AB2353" s="47"/>
      <c r="AC2353" s="47"/>
      <c r="AD2353" s="47"/>
      <c r="AE2353" s="47"/>
      <c r="AF2353" s="47">
        <f t="shared" si="489"/>
        <v>1485</v>
      </c>
      <c r="AG2353" s="47"/>
      <c r="AH2353" s="47">
        <f>IFERROR(_xlfn.XLOOKUP(Table6[[#This Row],[Suburb]],Table5[Travel Surcharge],Table5[$$]),"")</f>
        <v>1500</v>
      </c>
      <c r="AI2353" s="47"/>
      <c r="AJ2353" s="47"/>
    </row>
    <row r="2354" spans="1:36">
      <c r="A2354" s="374" t="s">
        <v>3715</v>
      </c>
      <c r="B2354" s="374">
        <v>1</v>
      </c>
      <c r="C2354" s="374" t="s">
        <v>3716</v>
      </c>
      <c r="D2354" s="375" t="str">
        <f t="shared" si="488"/>
        <v>Kinley Estate1</v>
      </c>
      <c r="E2354" s="375" t="s">
        <v>3717</v>
      </c>
      <c r="F2354" s="375"/>
      <c r="G2354" s="375"/>
      <c r="H2354" s="375"/>
      <c r="I2354" s="63"/>
      <c r="J2354" s="47">
        <f>J$7</f>
        <v>3740</v>
      </c>
      <c r="K2354" s="46" t="s">
        <v>7938</v>
      </c>
      <c r="L2354" s="47" t="s">
        <v>3718</v>
      </c>
      <c r="M2354" s="47">
        <f>M$7</f>
        <v>1430.0000000000002</v>
      </c>
      <c r="N2354" s="47"/>
      <c r="O2354" s="47"/>
      <c r="P2354" s="47"/>
      <c r="Q2354" s="47"/>
      <c r="R2354" s="47"/>
      <c r="S2354" s="47"/>
      <c r="T2354" s="47" t="s">
        <v>770</v>
      </c>
      <c r="U2354" s="47"/>
      <c r="V2354" s="47"/>
      <c r="W2354" s="47"/>
      <c r="X2354" s="47"/>
      <c r="Y2354" s="47"/>
      <c r="Z2354" s="47">
        <f t="shared" si="481"/>
        <v>4620</v>
      </c>
      <c r="AA2354" s="47"/>
      <c r="AB2354" s="47"/>
      <c r="AC2354" s="47"/>
      <c r="AD2354" s="47"/>
      <c r="AE2354" s="47"/>
      <c r="AF2354" s="47">
        <f t="shared" si="489"/>
        <v>1485</v>
      </c>
      <c r="AG2354" s="47"/>
      <c r="AH2354" s="47" t="str">
        <f>IFERROR(_xlfn.XLOOKUP(Table6[[#This Row],[Suburb]],Table5[Travel Surcharge],Table5[$$]),"")</f>
        <v/>
      </c>
      <c r="AI2354" s="47">
        <f>AI$7</f>
        <v>1650.0000000000002</v>
      </c>
      <c r="AJ2354" s="47"/>
    </row>
    <row r="2355" spans="1:36">
      <c r="A2355" s="374" t="s">
        <v>3715</v>
      </c>
      <c r="B2355" s="374">
        <v>2</v>
      </c>
      <c r="C2355" s="374" t="s">
        <v>3716</v>
      </c>
      <c r="D2355" s="375" t="str">
        <f t="shared" si="488"/>
        <v>Kinley Estate2</v>
      </c>
      <c r="E2355" s="375" t="s">
        <v>3719</v>
      </c>
      <c r="F2355" s="375"/>
      <c r="G2355" s="375"/>
      <c r="H2355" s="375"/>
      <c r="I2355" s="63"/>
      <c r="J2355" s="47">
        <f>J$7</f>
        <v>3740</v>
      </c>
      <c r="K2355" s="46" t="s">
        <v>7938</v>
      </c>
      <c r="L2355" s="47" t="s">
        <v>3718</v>
      </c>
      <c r="M2355" s="47">
        <f>M$7</f>
        <v>1430.0000000000002</v>
      </c>
      <c r="N2355" s="47"/>
      <c r="O2355" s="47"/>
      <c r="P2355" s="47"/>
      <c r="Q2355" s="47"/>
      <c r="R2355" s="47"/>
      <c r="S2355" s="47"/>
      <c r="T2355" s="47" t="s">
        <v>770</v>
      </c>
      <c r="U2355" s="47"/>
      <c r="V2355" s="47"/>
      <c r="W2355" s="47"/>
      <c r="X2355" s="47"/>
      <c r="Y2355" s="47"/>
      <c r="Z2355" s="47">
        <f t="shared" si="481"/>
        <v>4620</v>
      </c>
      <c r="AA2355" s="47"/>
      <c r="AB2355" s="47"/>
      <c r="AC2355" s="47"/>
      <c r="AD2355" s="47"/>
      <c r="AE2355" s="47"/>
      <c r="AF2355" s="47">
        <f t="shared" si="489"/>
        <v>1485</v>
      </c>
      <c r="AG2355" s="47"/>
      <c r="AH2355" s="47" t="str">
        <f>IFERROR(_xlfn.XLOOKUP(Table6[[#This Row],[Suburb]],Table5[Travel Surcharge],Table5[$$]),"")</f>
        <v/>
      </c>
      <c r="AI2355" s="47">
        <f>AI$7</f>
        <v>1650.0000000000002</v>
      </c>
      <c r="AJ2355" s="47"/>
    </row>
    <row r="2356" spans="1:36">
      <c r="A2356" s="374" t="s">
        <v>3715</v>
      </c>
      <c r="B2356" s="374">
        <v>3</v>
      </c>
      <c r="C2356" s="374" t="s">
        <v>3716</v>
      </c>
      <c r="D2356" s="375" t="str">
        <f t="shared" si="488"/>
        <v>Kinley Estate3</v>
      </c>
      <c r="E2356" s="375" t="s">
        <v>3720</v>
      </c>
      <c r="F2356" s="375"/>
      <c r="G2356" s="375"/>
      <c r="H2356" s="375"/>
      <c r="I2356" s="63"/>
      <c r="J2356" s="47">
        <f>J$7</f>
        <v>3740</v>
      </c>
      <c r="K2356" s="46" t="s">
        <v>7938</v>
      </c>
      <c r="L2356" s="47" t="s">
        <v>3718</v>
      </c>
      <c r="M2356" s="47">
        <f>M$7</f>
        <v>1430.0000000000002</v>
      </c>
      <c r="N2356" s="47"/>
      <c r="O2356" s="47"/>
      <c r="P2356" s="47"/>
      <c r="Q2356" s="47"/>
      <c r="R2356" s="47"/>
      <c r="S2356" s="47"/>
      <c r="T2356" s="47" t="s">
        <v>770</v>
      </c>
      <c r="U2356" s="47"/>
      <c r="V2356" s="47"/>
      <c r="W2356" s="47"/>
      <c r="X2356" s="47"/>
      <c r="Y2356" s="47"/>
      <c r="Z2356" s="47">
        <f t="shared" si="481"/>
        <v>4620</v>
      </c>
      <c r="AA2356" s="47"/>
      <c r="AB2356" s="47"/>
      <c r="AC2356" s="47"/>
      <c r="AD2356" s="47"/>
      <c r="AE2356" s="47"/>
      <c r="AF2356" s="47">
        <f t="shared" si="489"/>
        <v>1485</v>
      </c>
      <c r="AG2356" s="47"/>
      <c r="AH2356" s="47" t="str">
        <f>IFERROR(_xlfn.XLOOKUP(Table6[[#This Row],[Suburb]],Table5[Travel Surcharge],Table5[$$]),"")</f>
        <v/>
      </c>
      <c r="AI2356" s="47">
        <f>AI$7</f>
        <v>1650.0000000000002</v>
      </c>
      <c r="AJ2356" s="47"/>
    </row>
    <row r="2357" spans="1:36">
      <c r="A2357" s="374" t="s">
        <v>3715</v>
      </c>
      <c r="B2357" s="374">
        <v>4</v>
      </c>
      <c r="C2357" s="374" t="s">
        <v>3716</v>
      </c>
      <c r="D2357" s="375" t="str">
        <f t="shared" si="488"/>
        <v>Kinley Estate4</v>
      </c>
      <c r="E2357" s="375" t="s">
        <v>3721</v>
      </c>
      <c r="F2357" s="375"/>
      <c r="G2357" s="375"/>
      <c r="H2357" s="375"/>
      <c r="I2357" s="63"/>
      <c r="J2357" s="47">
        <f>J$7</f>
        <v>3740</v>
      </c>
      <c r="K2357" s="46" t="s">
        <v>7938</v>
      </c>
      <c r="L2357" s="47" t="s">
        <v>3718</v>
      </c>
      <c r="M2357" s="47">
        <f>M$7</f>
        <v>1430.0000000000002</v>
      </c>
      <c r="N2357" s="47"/>
      <c r="O2357" s="47"/>
      <c r="P2357" s="47"/>
      <c r="Q2357" s="47"/>
      <c r="R2357" s="47"/>
      <c r="S2357" s="47"/>
      <c r="T2357" s="47" t="s">
        <v>770</v>
      </c>
      <c r="U2357" s="47"/>
      <c r="V2357" s="47"/>
      <c r="W2357" s="47"/>
      <c r="X2357" s="47"/>
      <c r="Y2357" s="47"/>
      <c r="Z2357" s="47">
        <f t="shared" si="481"/>
        <v>4620</v>
      </c>
      <c r="AA2357" s="47"/>
      <c r="AB2357" s="47"/>
      <c r="AC2357" s="47"/>
      <c r="AD2357" s="47"/>
      <c r="AE2357" s="47"/>
      <c r="AF2357" s="47">
        <f t="shared" si="489"/>
        <v>1485</v>
      </c>
      <c r="AG2357" s="47"/>
      <c r="AH2357" s="47" t="str">
        <f>IFERROR(_xlfn.XLOOKUP(Table6[[#This Row],[Suburb]],Table5[Travel Surcharge],Table5[$$]),"")</f>
        <v/>
      </c>
      <c r="AI2357" s="47">
        <f>AI$7</f>
        <v>1650.0000000000002</v>
      </c>
      <c r="AJ2357" s="47"/>
    </row>
    <row r="2358" spans="1:36">
      <c r="A2358" s="157" t="s">
        <v>9717</v>
      </c>
      <c r="B2358" s="157">
        <v>1</v>
      </c>
      <c r="C2358" s="157" t="s">
        <v>502</v>
      </c>
      <c r="D2358" s="157" t="str">
        <f t="shared" si="488"/>
        <v>Kinship1</v>
      </c>
      <c r="E2358" s="157" t="s">
        <v>9718</v>
      </c>
      <c r="F2358" s="157" t="s">
        <v>1155</v>
      </c>
      <c r="G2358" s="157" t="s">
        <v>9721</v>
      </c>
      <c r="H2358" s="157" t="s">
        <v>9722</v>
      </c>
      <c r="I2358" s="158" t="s">
        <v>9723</v>
      </c>
      <c r="J2358" s="159"/>
      <c r="K2358" s="46" t="s">
        <v>10735</v>
      </c>
      <c r="L2358" s="159" t="s">
        <v>9720</v>
      </c>
      <c r="M2358" s="159" t="str">
        <f>M9</f>
        <v>(18m)</v>
      </c>
      <c r="N2358" s="159"/>
      <c r="O2358" s="159"/>
      <c r="P2358" s="159"/>
      <c r="Q2358" s="159" t="s">
        <v>9719</v>
      </c>
      <c r="R2358" s="159"/>
      <c r="S2358" s="159"/>
      <c r="T2358" s="159"/>
      <c r="U2358" s="159"/>
      <c r="V2358" s="159"/>
      <c r="W2358" s="159"/>
      <c r="X2358" s="159"/>
      <c r="Y2358" s="159">
        <v>660</v>
      </c>
      <c r="Z2358" s="159">
        <v>4620</v>
      </c>
      <c r="AA2358" s="159"/>
      <c r="AB2358" s="159"/>
      <c r="AC2358" s="159"/>
      <c r="AD2358" s="159"/>
      <c r="AE2358" s="159"/>
      <c r="AF2358" s="159">
        <v>1485</v>
      </c>
      <c r="AG2358" s="159"/>
      <c r="AH2358" s="47" t="str">
        <f>IFERROR(_xlfn.XLOOKUP(Table6[[#This Row],[Suburb]],Table5[Travel Surcharge],Table5[$$]),"")</f>
        <v/>
      </c>
      <c r="AI2358" s="159"/>
      <c r="AJ2358" s="159"/>
    </row>
    <row r="2359" spans="1:36">
      <c r="A2359" s="374" t="s">
        <v>3722</v>
      </c>
      <c r="B2359" s="374">
        <v>1</v>
      </c>
      <c r="C2359" s="374" t="s">
        <v>3457</v>
      </c>
      <c r="D2359" s="375" t="str">
        <f t="shared" si="488"/>
        <v>Kirkwood1</v>
      </c>
      <c r="E2359" s="375" t="s">
        <v>3723</v>
      </c>
      <c r="F2359" s="375"/>
      <c r="G2359" s="375"/>
      <c r="H2359" s="375"/>
      <c r="I2359" s="63"/>
      <c r="J2359" s="47">
        <f t="shared" ref="J2359:J2369" si="490">J$7</f>
        <v>3740</v>
      </c>
      <c r="K2359" s="46" t="s">
        <v>7938</v>
      </c>
      <c r="L2359" s="47"/>
      <c r="M2359" s="47"/>
      <c r="N2359" s="47"/>
      <c r="O2359" s="47">
        <f>O$7</f>
        <v>4950</v>
      </c>
      <c r="P2359" s="47"/>
      <c r="Q2359" s="47"/>
      <c r="R2359" s="47"/>
      <c r="S2359" s="47" t="s">
        <v>463</v>
      </c>
      <c r="T2359" s="47"/>
      <c r="U2359" s="47"/>
      <c r="V2359" s="47"/>
      <c r="W2359" s="47"/>
      <c r="X2359" s="47"/>
      <c r="Y2359" s="47" t="s">
        <v>3724</v>
      </c>
      <c r="Z2359" s="47">
        <f t="shared" ref="Z2359:Z2394" si="491">Z$7</f>
        <v>4620</v>
      </c>
      <c r="AA2359" s="47"/>
      <c r="AB2359" s="47"/>
      <c r="AC2359" s="47"/>
      <c r="AD2359" s="47"/>
      <c r="AE2359" s="47"/>
      <c r="AF2359" s="47"/>
      <c r="AG2359" s="47"/>
      <c r="AH2359" s="47">
        <f>IFERROR(_xlfn.XLOOKUP(Table6[[#This Row],[Suburb]],Table5[Travel Surcharge],Table5[$$]),"")</f>
        <v>8000</v>
      </c>
      <c r="AI2359" s="47"/>
      <c r="AJ2359" s="47">
        <f>AJ$7</f>
        <v>4400</v>
      </c>
    </row>
    <row r="2360" spans="1:36">
      <c r="A2360" s="374" t="s">
        <v>3722</v>
      </c>
      <c r="B2360" s="374">
        <v>2</v>
      </c>
      <c r="C2360" s="374" t="s">
        <v>3457</v>
      </c>
      <c r="D2360" s="375" t="str">
        <f t="shared" si="488"/>
        <v>Kirkwood2</v>
      </c>
      <c r="E2360" s="375" t="s">
        <v>3725</v>
      </c>
      <c r="F2360" s="375"/>
      <c r="G2360" s="375"/>
      <c r="H2360" s="375"/>
      <c r="I2360" s="63"/>
      <c r="J2360" s="47">
        <f t="shared" si="490"/>
        <v>3740</v>
      </c>
      <c r="K2360" s="46" t="s">
        <v>7938</v>
      </c>
      <c r="L2360" s="47"/>
      <c r="M2360" s="47"/>
      <c r="N2360" s="47"/>
      <c r="O2360" s="47">
        <f>O$7</f>
        <v>4950</v>
      </c>
      <c r="P2360" s="47"/>
      <c r="Q2360" s="47"/>
      <c r="R2360" s="47"/>
      <c r="S2360" s="47" t="s">
        <v>463</v>
      </c>
      <c r="T2360" s="47"/>
      <c r="U2360" s="47"/>
      <c r="V2360" s="47"/>
      <c r="W2360" s="47"/>
      <c r="X2360" s="47"/>
      <c r="Y2360" s="47" t="s">
        <v>3724</v>
      </c>
      <c r="Z2360" s="47">
        <f t="shared" si="491"/>
        <v>4620</v>
      </c>
      <c r="AA2360" s="47"/>
      <c r="AB2360" s="47"/>
      <c r="AC2360" s="47"/>
      <c r="AD2360" s="47"/>
      <c r="AE2360" s="47"/>
      <c r="AF2360" s="47"/>
      <c r="AG2360" s="47"/>
      <c r="AH2360" s="47">
        <f>IFERROR(_xlfn.XLOOKUP(Table6[[#This Row],[Suburb]],Table5[Travel Surcharge],Table5[$$]),"")</f>
        <v>8000</v>
      </c>
      <c r="AI2360" s="47"/>
      <c r="AJ2360" s="47">
        <f>AJ$7</f>
        <v>4400</v>
      </c>
    </row>
    <row r="2361" spans="1:36">
      <c r="A2361" s="374" t="s">
        <v>3726</v>
      </c>
      <c r="B2361" s="374">
        <v>2</v>
      </c>
      <c r="C2361" s="374" t="s">
        <v>675</v>
      </c>
      <c r="D2361" s="375" t="str">
        <f t="shared" si="488"/>
        <v>Lakeland Estate2</v>
      </c>
      <c r="E2361" s="375" t="s">
        <v>3727</v>
      </c>
      <c r="F2361" s="375" t="s">
        <v>3728</v>
      </c>
      <c r="G2361" s="375" t="s">
        <v>3729</v>
      </c>
      <c r="H2361" s="375" t="s">
        <v>3730</v>
      </c>
      <c r="I2361" s="63" t="s">
        <v>3731</v>
      </c>
      <c r="J2361" s="47">
        <f t="shared" si="490"/>
        <v>3740</v>
      </c>
      <c r="K2361" s="46" t="s">
        <v>10735</v>
      </c>
      <c r="L2361" s="47"/>
      <c r="M2361" s="47"/>
      <c r="N2361" s="47"/>
      <c r="O2361" s="47"/>
      <c r="P2361" s="47"/>
      <c r="Q2361" s="47"/>
      <c r="R2361" s="47"/>
      <c r="S2361" s="47"/>
      <c r="T2361" s="47">
        <f t="shared" ref="T2361:T2369" si="492">T$2</f>
        <v>780</v>
      </c>
      <c r="U2361" s="47"/>
      <c r="V2361" s="47"/>
      <c r="W2361" s="47"/>
      <c r="X2361" s="47"/>
      <c r="Y2361" s="47"/>
      <c r="Z2361" s="47">
        <f t="shared" si="491"/>
        <v>4620</v>
      </c>
      <c r="AA2361" s="47">
        <f t="shared" ref="AA2361:AA2370" si="493">AA$7</f>
        <v>1400</v>
      </c>
      <c r="AB2361" s="47"/>
      <c r="AC2361" s="47"/>
      <c r="AD2361" s="47"/>
      <c r="AE2361" s="47"/>
      <c r="AF2361" s="47"/>
      <c r="AG2361" s="47"/>
      <c r="AH2361" s="47" t="str">
        <f>IFERROR(_xlfn.XLOOKUP(Table6[[#This Row],[Suburb]],Table5[Travel Surcharge],Table5[$$]),"")</f>
        <v/>
      </c>
      <c r="AI2361" s="47"/>
      <c r="AJ2361" s="47"/>
    </row>
    <row r="2362" spans="1:36">
      <c r="A2362" s="374" t="s">
        <v>3726</v>
      </c>
      <c r="B2362" s="374">
        <v>3</v>
      </c>
      <c r="C2362" s="374" t="s">
        <v>675</v>
      </c>
      <c r="D2362" s="375" t="str">
        <f t="shared" si="488"/>
        <v>Lakeland Estate3</v>
      </c>
      <c r="E2362" s="375" t="s">
        <v>3732</v>
      </c>
      <c r="F2362" s="375" t="s">
        <v>3728</v>
      </c>
      <c r="G2362" s="375" t="s">
        <v>3729</v>
      </c>
      <c r="H2362" s="375" t="s">
        <v>3730</v>
      </c>
      <c r="I2362" s="63" t="s">
        <v>3731</v>
      </c>
      <c r="J2362" s="47">
        <f t="shared" si="490"/>
        <v>3740</v>
      </c>
      <c r="K2362" s="46" t="s">
        <v>10735</v>
      </c>
      <c r="L2362" s="47"/>
      <c r="M2362" s="47"/>
      <c r="N2362" s="47"/>
      <c r="O2362" s="47"/>
      <c r="P2362" s="47"/>
      <c r="Q2362" s="47"/>
      <c r="R2362" s="47"/>
      <c r="S2362" s="47"/>
      <c r="T2362" s="47">
        <f t="shared" si="492"/>
        <v>780</v>
      </c>
      <c r="U2362" s="47"/>
      <c r="V2362" s="47"/>
      <c r="W2362" s="47"/>
      <c r="X2362" s="47"/>
      <c r="Y2362" s="47"/>
      <c r="Z2362" s="47">
        <f t="shared" si="491"/>
        <v>4620</v>
      </c>
      <c r="AA2362" s="47">
        <f t="shared" si="493"/>
        <v>1400</v>
      </c>
      <c r="AB2362" s="47"/>
      <c r="AC2362" s="47"/>
      <c r="AD2362" s="47"/>
      <c r="AE2362" s="47"/>
      <c r="AF2362" s="47"/>
      <c r="AG2362" s="47"/>
      <c r="AH2362" s="47" t="str">
        <f>IFERROR(_xlfn.XLOOKUP(Table6[[#This Row],[Suburb]],Table5[Travel Surcharge],Table5[$$]),"")</f>
        <v/>
      </c>
      <c r="AI2362" s="47"/>
      <c r="AJ2362" s="47"/>
    </row>
    <row r="2363" spans="1:36">
      <c r="A2363" s="374" t="s">
        <v>3726</v>
      </c>
      <c r="B2363" s="374">
        <v>4</v>
      </c>
      <c r="C2363" s="374" t="s">
        <v>675</v>
      </c>
      <c r="D2363" s="375" t="str">
        <f t="shared" si="488"/>
        <v>Lakeland Estate4</v>
      </c>
      <c r="E2363" s="375" t="s">
        <v>3733</v>
      </c>
      <c r="F2363" s="375" t="s">
        <v>3728</v>
      </c>
      <c r="G2363" s="375" t="s">
        <v>3729</v>
      </c>
      <c r="H2363" s="375" t="s">
        <v>3730</v>
      </c>
      <c r="I2363" s="63" t="s">
        <v>3731</v>
      </c>
      <c r="J2363" s="47">
        <f t="shared" si="490"/>
        <v>3740</v>
      </c>
      <c r="K2363" s="46" t="s">
        <v>10735</v>
      </c>
      <c r="L2363" s="47"/>
      <c r="M2363" s="47"/>
      <c r="N2363" s="47"/>
      <c r="O2363" s="47"/>
      <c r="P2363" s="47"/>
      <c r="Q2363" s="47"/>
      <c r="R2363" s="47"/>
      <c r="S2363" s="47"/>
      <c r="T2363" s="47">
        <f t="shared" si="492"/>
        <v>780</v>
      </c>
      <c r="U2363" s="47"/>
      <c r="V2363" s="47"/>
      <c r="W2363" s="47"/>
      <c r="X2363" s="47"/>
      <c r="Y2363" s="47"/>
      <c r="Z2363" s="47">
        <f t="shared" si="491"/>
        <v>4620</v>
      </c>
      <c r="AA2363" s="47">
        <f t="shared" si="493"/>
        <v>1400</v>
      </c>
      <c r="AB2363" s="47"/>
      <c r="AC2363" s="47"/>
      <c r="AD2363" s="47"/>
      <c r="AE2363" s="47"/>
      <c r="AF2363" s="47"/>
      <c r="AG2363" s="47"/>
      <c r="AH2363" s="47" t="str">
        <f>IFERROR(_xlfn.XLOOKUP(Table6[[#This Row],[Suburb]],Table5[Travel Surcharge],Table5[$$]),"")</f>
        <v/>
      </c>
      <c r="AI2363" s="47"/>
      <c r="AJ2363" s="47"/>
    </row>
    <row r="2364" spans="1:36">
      <c r="A2364" s="374" t="s">
        <v>3726</v>
      </c>
      <c r="B2364" s="374">
        <v>5</v>
      </c>
      <c r="C2364" s="374" t="s">
        <v>675</v>
      </c>
      <c r="D2364" s="375" t="str">
        <f t="shared" si="488"/>
        <v>Lakeland Estate5</v>
      </c>
      <c r="E2364" s="375" t="s">
        <v>3734</v>
      </c>
      <c r="F2364" s="375" t="s">
        <v>3728</v>
      </c>
      <c r="G2364" s="375" t="s">
        <v>3729</v>
      </c>
      <c r="H2364" s="375" t="s">
        <v>3730</v>
      </c>
      <c r="I2364" s="63" t="s">
        <v>3731</v>
      </c>
      <c r="J2364" s="47">
        <f t="shared" si="490"/>
        <v>3740</v>
      </c>
      <c r="K2364" s="46" t="s">
        <v>10735</v>
      </c>
      <c r="L2364" s="47"/>
      <c r="M2364" s="47"/>
      <c r="N2364" s="47"/>
      <c r="O2364" s="47"/>
      <c r="P2364" s="47"/>
      <c r="Q2364" s="47"/>
      <c r="R2364" s="47"/>
      <c r="S2364" s="47"/>
      <c r="T2364" s="47">
        <f t="shared" si="492"/>
        <v>780</v>
      </c>
      <c r="U2364" s="47"/>
      <c r="V2364" s="47"/>
      <c r="W2364" s="47"/>
      <c r="X2364" s="47"/>
      <c r="Y2364" s="47"/>
      <c r="Z2364" s="47">
        <f t="shared" si="491"/>
        <v>4620</v>
      </c>
      <c r="AA2364" s="47">
        <f t="shared" si="493"/>
        <v>1400</v>
      </c>
      <c r="AB2364" s="47"/>
      <c r="AC2364" s="47"/>
      <c r="AD2364" s="47"/>
      <c r="AE2364" s="47"/>
      <c r="AF2364" s="47"/>
      <c r="AG2364" s="47"/>
      <c r="AH2364" s="47" t="str">
        <f>IFERROR(_xlfn.XLOOKUP(Table6[[#This Row],[Suburb]],Table5[Travel Surcharge],Table5[$$]),"")</f>
        <v/>
      </c>
      <c r="AI2364" s="47"/>
      <c r="AJ2364" s="47"/>
    </row>
    <row r="2365" spans="1:36">
      <c r="A2365" s="374" t="s">
        <v>3726</v>
      </c>
      <c r="B2365" s="374" t="s">
        <v>3735</v>
      </c>
      <c r="C2365" s="374" t="s">
        <v>675</v>
      </c>
      <c r="D2365" s="375" t="str">
        <f t="shared" si="488"/>
        <v>Lakeland EstateEB11</v>
      </c>
      <c r="E2365" s="375" t="s">
        <v>3736</v>
      </c>
      <c r="F2365" s="375" t="s">
        <v>3728</v>
      </c>
      <c r="G2365" s="375" t="s">
        <v>3729</v>
      </c>
      <c r="H2365" s="375" t="s">
        <v>3730</v>
      </c>
      <c r="I2365" s="63" t="s">
        <v>3731</v>
      </c>
      <c r="J2365" s="47">
        <f t="shared" si="490"/>
        <v>3740</v>
      </c>
      <c r="K2365" s="46" t="s">
        <v>10735</v>
      </c>
      <c r="L2365" s="47"/>
      <c r="M2365" s="47"/>
      <c r="N2365" s="47"/>
      <c r="O2365" s="47"/>
      <c r="P2365" s="47"/>
      <c r="Q2365" s="47"/>
      <c r="R2365" s="47"/>
      <c r="S2365" s="47"/>
      <c r="T2365" s="47">
        <f t="shared" si="492"/>
        <v>780</v>
      </c>
      <c r="U2365" s="47"/>
      <c r="V2365" s="47"/>
      <c r="W2365" s="47"/>
      <c r="X2365" s="47"/>
      <c r="Y2365" s="47"/>
      <c r="Z2365" s="47">
        <f t="shared" si="491"/>
        <v>4620</v>
      </c>
      <c r="AA2365" s="47">
        <f t="shared" si="493"/>
        <v>1400</v>
      </c>
      <c r="AB2365" s="47"/>
      <c r="AC2365" s="47"/>
      <c r="AD2365" s="47"/>
      <c r="AE2365" s="47"/>
      <c r="AF2365" s="47"/>
      <c r="AG2365" s="47"/>
      <c r="AH2365" s="47" t="str">
        <f>IFERROR(_xlfn.XLOOKUP(Table6[[#This Row],[Suburb]],Table5[Travel Surcharge],Table5[$$]),"")</f>
        <v/>
      </c>
      <c r="AI2365" s="47"/>
      <c r="AJ2365" s="47"/>
    </row>
    <row r="2366" spans="1:36">
      <c r="A2366" s="374" t="s">
        <v>3726</v>
      </c>
      <c r="B2366" s="374" t="s">
        <v>3737</v>
      </c>
      <c r="C2366" s="374" t="s">
        <v>675</v>
      </c>
      <c r="D2366" s="375" t="str">
        <f t="shared" si="488"/>
        <v>Lakeland EstateEB12</v>
      </c>
      <c r="E2366" s="375" t="s">
        <v>3738</v>
      </c>
      <c r="F2366" s="375" t="s">
        <v>3728</v>
      </c>
      <c r="G2366" s="375" t="s">
        <v>3729</v>
      </c>
      <c r="H2366" s="375" t="s">
        <v>3730</v>
      </c>
      <c r="I2366" s="63" t="s">
        <v>3731</v>
      </c>
      <c r="J2366" s="47">
        <f t="shared" si="490"/>
        <v>3740</v>
      </c>
      <c r="K2366" s="46" t="s">
        <v>10735</v>
      </c>
      <c r="L2366" s="47"/>
      <c r="M2366" s="47"/>
      <c r="N2366" s="47"/>
      <c r="O2366" s="47"/>
      <c r="P2366" s="47"/>
      <c r="Q2366" s="47"/>
      <c r="R2366" s="47"/>
      <c r="S2366" s="47"/>
      <c r="T2366" s="47">
        <f t="shared" si="492"/>
        <v>780</v>
      </c>
      <c r="U2366" s="47"/>
      <c r="V2366" s="47"/>
      <c r="W2366" s="47"/>
      <c r="X2366" s="47"/>
      <c r="Y2366" s="47"/>
      <c r="Z2366" s="47">
        <f t="shared" si="491"/>
        <v>4620</v>
      </c>
      <c r="AA2366" s="47">
        <f t="shared" si="493"/>
        <v>1400</v>
      </c>
      <c r="AB2366" s="47"/>
      <c r="AC2366" s="47"/>
      <c r="AD2366" s="47"/>
      <c r="AE2366" s="47"/>
      <c r="AF2366" s="47"/>
      <c r="AG2366" s="47"/>
      <c r="AH2366" s="47" t="str">
        <f>IFERROR(_xlfn.XLOOKUP(Table6[[#This Row],[Suburb]],Table5[Travel Surcharge],Table5[$$]),"")</f>
        <v/>
      </c>
      <c r="AI2366" s="47"/>
      <c r="AJ2366" s="47"/>
    </row>
    <row r="2367" spans="1:36">
      <c r="A2367" s="374" t="s">
        <v>3726</v>
      </c>
      <c r="B2367" s="374" t="s">
        <v>3739</v>
      </c>
      <c r="C2367" s="374" t="s">
        <v>675</v>
      </c>
      <c r="D2367" s="375" t="str">
        <f t="shared" si="488"/>
        <v>Lakeland EstateEB13</v>
      </c>
      <c r="E2367" s="375" t="s">
        <v>3740</v>
      </c>
      <c r="F2367" s="375" t="s">
        <v>3728</v>
      </c>
      <c r="G2367" s="375" t="s">
        <v>3729</v>
      </c>
      <c r="H2367" s="375" t="s">
        <v>3730</v>
      </c>
      <c r="I2367" s="63" t="s">
        <v>3731</v>
      </c>
      <c r="J2367" s="47">
        <f t="shared" si="490"/>
        <v>3740</v>
      </c>
      <c r="K2367" s="46" t="s">
        <v>10735</v>
      </c>
      <c r="L2367" s="47"/>
      <c r="M2367" s="47"/>
      <c r="N2367" s="47"/>
      <c r="O2367" s="47"/>
      <c r="P2367" s="47"/>
      <c r="Q2367" s="47"/>
      <c r="R2367" s="47"/>
      <c r="S2367" s="47"/>
      <c r="T2367" s="47">
        <f t="shared" si="492"/>
        <v>780</v>
      </c>
      <c r="U2367" s="47"/>
      <c r="V2367" s="47"/>
      <c r="W2367" s="47"/>
      <c r="X2367" s="47"/>
      <c r="Y2367" s="47"/>
      <c r="Z2367" s="47">
        <f t="shared" si="491"/>
        <v>4620</v>
      </c>
      <c r="AA2367" s="47">
        <f t="shared" si="493"/>
        <v>1400</v>
      </c>
      <c r="AB2367" s="47"/>
      <c r="AC2367" s="47"/>
      <c r="AD2367" s="47"/>
      <c r="AE2367" s="47"/>
      <c r="AF2367" s="47"/>
      <c r="AG2367" s="47"/>
      <c r="AH2367" s="47" t="str">
        <f>IFERROR(_xlfn.XLOOKUP(Table6[[#This Row],[Suburb]],Table5[Travel Surcharge],Table5[$$]),"")</f>
        <v/>
      </c>
      <c r="AI2367" s="47"/>
      <c r="AJ2367" s="47"/>
    </row>
    <row r="2368" spans="1:36">
      <c r="A2368" s="374" t="s">
        <v>3726</v>
      </c>
      <c r="B2368" s="374" t="s">
        <v>3741</v>
      </c>
      <c r="C2368" s="374" t="s">
        <v>675</v>
      </c>
      <c r="D2368" s="375" t="str">
        <f t="shared" si="488"/>
        <v>Lakeland EstateEB14</v>
      </c>
      <c r="E2368" s="375" t="s">
        <v>3742</v>
      </c>
      <c r="F2368" s="375" t="s">
        <v>3728</v>
      </c>
      <c r="G2368" s="375" t="s">
        <v>3729</v>
      </c>
      <c r="H2368" s="375" t="s">
        <v>3730</v>
      </c>
      <c r="I2368" s="63" t="s">
        <v>3731</v>
      </c>
      <c r="J2368" s="47">
        <f t="shared" si="490"/>
        <v>3740</v>
      </c>
      <c r="K2368" s="46" t="s">
        <v>10735</v>
      </c>
      <c r="L2368" s="47"/>
      <c r="M2368" s="47"/>
      <c r="N2368" s="47"/>
      <c r="O2368" s="47"/>
      <c r="P2368" s="47"/>
      <c r="Q2368" s="47"/>
      <c r="R2368" s="47"/>
      <c r="S2368" s="47"/>
      <c r="T2368" s="47">
        <f t="shared" si="492"/>
        <v>780</v>
      </c>
      <c r="U2368" s="47"/>
      <c r="V2368" s="47"/>
      <c r="W2368" s="47"/>
      <c r="X2368" s="47"/>
      <c r="Y2368" s="47"/>
      <c r="Z2368" s="47">
        <f t="shared" si="491"/>
        <v>4620</v>
      </c>
      <c r="AA2368" s="47">
        <f t="shared" si="493"/>
        <v>1400</v>
      </c>
      <c r="AB2368" s="47"/>
      <c r="AC2368" s="47"/>
      <c r="AD2368" s="47"/>
      <c r="AE2368" s="47"/>
      <c r="AF2368" s="47"/>
      <c r="AG2368" s="47"/>
      <c r="AH2368" s="47" t="str">
        <f>IFERROR(_xlfn.XLOOKUP(Table6[[#This Row],[Suburb]],Table5[Travel Surcharge],Table5[$$]),"")</f>
        <v/>
      </c>
      <c r="AI2368" s="47"/>
      <c r="AJ2368" s="47"/>
    </row>
    <row r="2369" spans="1:36">
      <c r="A2369" s="374" t="s">
        <v>3726</v>
      </c>
      <c r="B2369" s="374" t="s">
        <v>3743</v>
      </c>
      <c r="C2369" s="374" t="s">
        <v>675</v>
      </c>
      <c r="D2369" s="375" t="str">
        <f t="shared" si="488"/>
        <v>Lakeland EstateEB15</v>
      </c>
      <c r="E2369" s="375" t="s">
        <v>3744</v>
      </c>
      <c r="F2369" s="375" t="s">
        <v>3728</v>
      </c>
      <c r="G2369" s="375" t="s">
        <v>3729</v>
      </c>
      <c r="H2369" s="375" t="s">
        <v>3730</v>
      </c>
      <c r="I2369" s="63" t="s">
        <v>3731</v>
      </c>
      <c r="J2369" s="47">
        <f t="shared" si="490"/>
        <v>3740</v>
      </c>
      <c r="K2369" s="46" t="s">
        <v>10735</v>
      </c>
      <c r="L2369" s="47"/>
      <c r="M2369" s="47"/>
      <c r="N2369" s="47"/>
      <c r="O2369" s="47"/>
      <c r="P2369" s="47"/>
      <c r="Q2369" s="47"/>
      <c r="R2369" s="47"/>
      <c r="S2369" s="47"/>
      <c r="T2369" s="47">
        <f t="shared" si="492"/>
        <v>780</v>
      </c>
      <c r="U2369" s="47"/>
      <c r="V2369" s="47"/>
      <c r="W2369" s="47"/>
      <c r="X2369" s="47"/>
      <c r="Y2369" s="47"/>
      <c r="Z2369" s="47">
        <f t="shared" si="491"/>
        <v>4620</v>
      </c>
      <c r="AA2369" s="47">
        <f t="shared" si="493"/>
        <v>1400</v>
      </c>
      <c r="AB2369" s="47"/>
      <c r="AC2369" s="47"/>
      <c r="AD2369" s="47"/>
      <c r="AE2369" s="47"/>
      <c r="AF2369" s="47"/>
      <c r="AG2369" s="47"/>
      <c r="AH2369" s="47" t="str">
        <f>IFERROR(_xlfn.XLOOKUP(Table6[[#This Row],[Suburb]],Table5[Travel Surcharge],Table5[$$]),"")</f>
        <v/>
      </c>
      <c r="AI2369" s="47"/>
      <c r="AJ2369" s="47"/>
    </row>
    <row r="2370" spans="1:36">
      <c r="A2370" s="374" t="s">
        <v>9079</v>
      </c>
      <c r="B2370" s="374">
        <v>1</v>
      </c>
      <c r="C2370" s="374" t="s">
        <v>9072</v>
      </c>
      <c r="D2370" s="375" t="str">
        <f t="shared" si="488"/>
        <v>Lakeside1</v>
      </c>
      <c r="E2370" s="375" t="s">
        <v>9082</v>
      </c>
      <c r="F2370" s="375" t="s">
        <v>9080</v>
      </c>
      <c r="G2370" s="375"/>
      <c r="H2370" s="375" t="s">
        <v>9081</v>
      </c>
      <c r="I2370" s="63"/>
      <c r="J2370" s="47"/>
      <c r="K2370" s="46" t="s">
        <v>10735</v>
      </c>
      <c r="L2370" s="47">
        <f>L$7</f>
        <v>1210</v>
      </c>
      <c r="M2370" s="47" t="s">
        <v>2646</v>
      </c>
      <c r="N2370" s="47" t="s">
        <v>8773</v>
      </c>
      <c r="O2370" s="47">
        <f>O$7</f>
        <v>4950</v>
      </c>
      <c r="P2370" s="47"/>
      <c r="Q2370" s="47"/>
      <c r="R2370" s="47"/>
      <c r="S2370" s="47"/>
      <c r="T2370" s="47"/>
      <c r="U2370" s="47" t="s">
        <v>9085</v>
      </c>
      <c r="V2370" s="47" t="s">
        <v>9083</v>
      </c>
      <c r="W2370" s="47" t="s">
        <v>9084</v>
      </c>
      <c r="X2370" s="47"/>
      <c r="Y2370" s="47"/>
      <c r="Z2370" s="47">
        <f t="shared" si="491"/>
        <v>4620</v>
      </c>
      <c r="AA2370" s="47">
        <f t="shared" si="493"/>
        <v>1400</v>
      </c>
      <c r="AB2370" s="47" t="s">
        <v>10130</v>
      </c>
      <c r="AC2370" s="47"/>
      <c r="AD2370" s="47"/>
      <c r="AE2370" s="47"/>
      <c r="AF2370" s="47">
        <f>AF$7</f>
        <v>1485</v>
      </c>
      <c r="AG2370" s="47"/>
      <c r="AH2370" s="47">
        <v>18000</v>
      </c>
      <c r="AI2370" s="47"/>
      <c r="AJ2370" s="47"/>
    </row>
    <row r="2371" spans="1:36">
      <c r="A2371" s="374" t="s">
        <v>9079</v>
      </c>
      <c r="B2371" s="374">
        <v>2</v>
      </c>
      <c r="C2371" s="374" t="s">
        <v>9072</v>
      </c>
      <c r="D2371" s="375" t="str">
        <f t="shared" si="488"/>
        <v>Lakeside2</v>
      </c>
      <c r="E2371" s="375" t="s">
        <v>9977</v>
      </c>
      <c r="F2371" s="375" t="s">
        <v>9080</v>
      </c>
      <c r="G2371" s="375"/>
      <c r="H2371" s="375" t="s">
        <v>9081</v>
      </c>
      <c r="I2371" s="63"/>
      <c r="J2371" s="47"/>
      <c r="K2371" s="46" t="s">
        <v>10735</v>
      </c>
      <c r="L2371" s="47">
        <v>1210</v>
      </c>
      <c r="M2371" s="47" t="s">
        <v>2646</v>
      </c>
      <c r="N2371" s="47" t="s">
        <v>8773</v>
      </c>
      <c r="O2371" s="47">
        <v>4950</v>
      </c>
      <c r="P2371" s="47"/>
      <c r="Q2371" s="47"/>
      <c r="R2371" s="47"/>
      <c r="S2371" s="47"/>
      <c r="T2371" s="47"/>
      <c r="U2371" s="47" t="s">
        <v>9085</v>
      </c>
      <c r="V2371" s="47" t="s">
        <v>9083</v>
      </c>
      <c r="W2371" s="47" t="s">
        <v>10853</v>
      </c>
      <c r="X2371" s="47"/>
      <c r="Y2371" s="47"/>
      <c r="Z2371" s="47">
        <v>4620</v>
      </c>
      <c r="AA2371" s="47">
        <v>1400</v>
      </c>
      <c r="AB2371" s="47" t="s">
        <v>10130</v>
      </c>
      <c r="AC2371" s="47"/>
      <c r="AD2371" s="47"/>
      <c r="AE2371" s="47"/>
      <c r="AF2371" s="47">
        <v>1485</v>
      </c>
      <c r="AG2371" s="47"/>
      <c r="AH2371" s="47">
        <v>18000</v>
      </c>
      <c r="AI2371" s="47"/>
      <c r="AJ2371" s="47"/>
    </row>
    <row r="2372" spans="1:36">
      <c r="A2372" s="374" t="s">
        <v>3745</v>
      </c>
      <c r="B2372" s="374">
        <v>1</v>
      </c>
      <c r="C2372" s="374" t="s">
        <v>593</v>
      </c>
      <c r="D2372" s="375" t="str">
        <f t="shared" si="488"/>
        <v>Lakeside Estate1</v>
      </c>
      <c r="E2372" s="375"/>
      <c r="F2372" s="375" t="s">
        <v>1294</v>
      </c>
      <c r="G2372" s="375" t="s">
        <v>3746</v>
      </c>
      <c r="H2372" s="375" t="s">
        <v>3747</v>
      </c>
      <c r="I2372" s="63" t="s">
        <v>3748</v>
      </c>
      <c r="J2372" s="47">
        <f>J$7</f>
        <v>3740</v>
      </c>
      <c r="K2372" s="46" t="s">
        <v>10735</v>
      </c>
      <c r="L2372" s="47"/>
      <c r="M2372" s="47"/>
      <c r="N2372" s="47"/>
      <c r="O2372" s="47"/>
      <c r="P2372" s="47"/>
      <c r="Q2372" s="47"/>
      <c r="R2372" s="47"/>
      <c r="S2372" s="47"/>
      <c r="T2372" s="47">
        <f>T$2</f>
        <v>780</v>
      </c>
      <c r="U2372" s="47"/>
      <c r="V2372" s="47"/>
      <c r="W2372" s="47"/>
      <c r="X2372" s="47"/>
      <c r="Y2372" s="47"/>
      <c r="Z2372" s="47">
        <f t="shared" si="491"/>
        <v>4620</v>
      </c>
      <c r="AA2372" s="47"/>
      <c r="AB2372" s="47"/>
      <c r="AC2372" s="47"/>
      <c r="AD2372" s="47"/>
      <c r="AE2372" s="47"/>
      <c r="AF2372" s="47">
        <f>AF$7</f>
        <v>1485</v>
      </c>
      <c r="AG2372" s="47"/>
      <c r="AH2372" s="47" t="str">
        <f>IFERROR(_xlfn.XLOOKUP(Table6[[#This Row],[Suburb]],Table5[Travel Surcharge],Table5[$$]),"")</f>
        <v/>
      </c>
      <c r="AI2372" s="47"/>
      <c r="AJ2372" s="47"/>
    </row>
    <row r="2373" spans="1:36">
      <c r="A2373" s="374" t="s">
        <v>3749</v>
      </c>
      <c r="B2373" s="374">
        <v>3</v>
      </c>
      <c r="C2373" s="374" t="s">
        <v>290</v>
      </c>
      <c r="D2373" s="375" t="str">
        <f t="shared" si="488"/>
        <v>Langley Park3</v>
      </c>
      <c r="E2373" s="375" t="s">
        <v>3750</v>
      </c>
      <c r="F2373" s="375"/>
      <c r="G2373" s="375" t="s">
        <v>3751</v>
      </c>
      <c r="H2373" s="375" t="s">
        <v>1933</v>
      </c>
      <c r="I2373" s="63" t="s">
        <v>3752</v>
      </c>
      <c r="J2373" s="47">
        <f>J$7</f>
        <v>3740</v>
      </c>
      <c r="K2373" s="46" t="s">
        <v>10735</v>
      </c>
      <c r="L2373" s="47"/>
      <c r="M2373" s="47"/>
      <c r="N2373" s="47"/>
      <c r="O2373" s="47"/>
      <c r="P2373" s="47"/>
      <c r="Q2373" s="47">
        <f>Q$2</f>
        <v>0</v>
      </c>
      <c r="R2373" s="47"/>
      <c r="S2373" s="47"/>
      <c r="T2373" s="47"/>
      <c r="U2373" s="47"/>
      <c r="V2373" s="47"/>
      <c r="W2373" s="47"/>
      <c r="X2373" s="47"/>
      <c r="Y2373" s="47"/>
      <c r="Z2373" s="47">
        <f t="shared" si="491"/>
        <v>4620</v>
      </c>
      <c r="AA2373" s="47"/>
      <c r="AB2373" s="47"/>
      <c r="AC2373" s="47"/>
      <c r="AD2373" s="47"/>
      <c r="AE2373" s="47"/>
      <c r="AF2373" s="47"/>
      <c r="AG2373" s="47"/>
      <c r="AH2373" s="47">
        <f>IFERROR(_xlfn.XLOOKUP(Table6[[#This Row],[Suburb]],Table5[Travel Surcharge],Table5[$$]),"")</f>
        <v>7000</v>
      </c>
      <c r="AI2373" s="47"/>
      <c r="AJ2373" s="47"/>
    </row>
    <row r="2374" spans="1:36">
      <c r="A2374" s="374" t="s">
        <v>3749</v>
      </c>
      <c r="B2374" s="374">
        <v>4</v>
      </c>
      <c r="C2374" s="374" t="s">
        <v>290</v>
      </c>
      <c r="D2374" s="375" t="str">
        <f t="shared" si="488"/>
        <v>Langley Park4</v>
      </c>
      <c r="E2374" s="375" t="s">
        <v>3753</v>
      </c>
      <c r="F2374" s="375"/>
      <c r="G2374" s="375" t="s">
        <v>3751</v>
      </c>
      <c r="H2374" s="375" t="s">
        <v>1933</v>
      </c>
      <c r="I2374" s="63" t="s">
        <v>3752</v>
      </c>
      <c r="J2374" s="47">
        <f>J$7</f>
        <v>3740</v>
      </c>
      <c r="K2374" s="46" t="s">
        <v>10735</v>
      </c>
      <c r="L2374" s="47"/>
      <c r="M2374" s="47"/>
      <c r="N2374" s="47"/>
      <c r="O2374" s="47"/>
      <c r="P2374" s="47"/>
      <c r="Q2374" s="47">
        <f>Q$2</f>
        <v>0</v>
      </c>
      <c r="R2374" s="47"/>
      <c r="S2374" s="47"/>
      <c r="T2374" s="47"/>
      <c r="U2374" s="47"/>
      <c r="V2374" s="47"/>
      <c r="W2374" s="47"/>
      <c r="X2374" s="47"/>
      <c r="Y2374" s="47"/>
      <c r="Z2374" s="47">
        <f t="shared" si="491"/>
        <v>4620</v>
      </c>
      <c r="AA2374" s="47"/>
      <c r="AB2374" s="47"/>
      <c r="AC2374" s="47"/>
      <c r="AD2374" s="47"/>
      <c r="AE2374" s="47"/>
      <c r="AF2374" s="47"/>
      <c r="AG2374" s="47"/>
      <c r="AH2374" s="47">
        <f>IFERROR(_xlfn.XLOOKUP(Table6[[#This Row],[Suburb]],Table5[Travel Surcharge],Table5[$$]),"")</f>
        <v>7000</v>
      </c>
      <c r="AI2374" s="47"/>
      <c r="AJ2374" s="47"/>
    </row>
    <row r="2375" spans="1:36">
      <c r="A2375" s="374" t="s">
        <v>3749</v>
      </c>
      <c r="B2375" s="374">
        <v>5</v>
      </c>
      <c r="C2375" s="374" t="s">
        <v>290</v>
      </c>
      <c r="D2375" s="375" t="str">
        <f t="shared" si="488"/>
        <v>Langley Park5</v>
      </c>
      <c r="E2375" s="375" t="s">
        <v>3754</v>
      </c>
      <c r="F2375" s="375"/>
      <c r="G2375" s="375" t="s">
        <v>3751</v>
      </c>
      <c r="H2375" s="375" t="s">
        <v>1933</v>
      </c>
      <c r="I2375" s="63" t="s">
        <v>3752</v>
      </c>
      <c r="J2375" s="47">
        <f>J$7</f>
        <v>3740</v>
      </c>
      <c r="K2375" s="46" t="s">
        <v>10735</v>
      </c>
      <c r="L2375" s="47"/>
      <c r="M2375" s="47"/>
      <c r="N2375" s="47"/>
      <c r="O2375" s="47"/>
      <c r="P2375" s="47"/>
      <c r="Q2375" s="47">
        <f>Q$2</f>
        <v>0</v>
      </c>
      <c r="R2375" s="47"/>
      <c r="S2375" s="47"/>
      <c r="T2375" s="47"/>
      <c r="U2375" s="47"/>
      <c r="V2375" s="47"/>
      <c r="W2375" s="47"/>
      <c r="X2375" s="47"/>
      <c r="Y2375" s="47"/>
      <c r="Z2375" s="47">
        <f t="shared" si="491"/>
        <v>4620</v>
      </c>
      <c r="AA2375" s="47"/>
      <c r="AB2375" s="47"/>
      <c r="AC2375" s="47"/>
      <c r="AD2375" s="47"/>
      <c r="AE2375" s="47"/>
      <c r="AF2375" s="47"/>
      <c r="AG2375" s="47"/>
      <c r="AH2375" s="47">
        <f>IFERROR(_xlfn.XLOOKUP(Table6[[#This Row],[Suburb]],Table5[Travel Surcharge],Table5[$$]),"")</f>
        <v>7000</v>
      </c>
      <c r="AI2375" s="47"/>
      <c r="AJ2375" s="47"/>
    </row>
    <row r="2376" spans="1:36">
      <c r="A2376" s="374" t="s">
        <v>9565</v>
      </c>
      <c r="B2376" s="374">
        <v>2</v>
      </c>
      <c r="C2376" s="374" t="s">
        <v>302</v>
      </c>
      <c r="D2376" s="375" t="str">
        <f t="shared" si="488"/>
        <v>Lantix2</v>
      </c>
      <c r="E2376" s="375" t="s">
        <v>9566</v>
      </c>
      <c r="F2376" s="375"/>
      <c r="G2376" s="375"/>
      <c r="H2376" s="375"/>
      <c r="I2376" s="63"/>
      <c r="J2376" s="47"/>
      <c r="K2376" s="46" t="s">
        <v>10735</v>
      </c>
      <c r="L2376" s="47"/>
      <c r="M2376" s="47"/>
      <c r="N2376" s="47"/>
      <c r="O2376" s="47">
        <f>O$7</f>
        <v>4950</v>
      </c>
      <c r="P2376" s="47"/>
      <c r="Q2376" s="47">
        <f>Q$2</f>
        <v>0</v>
      </c>
      <c r="R2376" s="47"/>
      <c r="S2376" s="47"/>
      <c r="T2376" s="47"/>
      <c r="U2376" s="47"/>
      <c r="V2376" s="47"/>
      <c r="W2376" s="47"/>
      <c r="X2376" s="47"/>
      <c r="Y2376" s="47"/>
      <c r="Z2376" s="47">
        <f t="shared" si="491"/>
        <v>4620</v>
      </c>
      <c r="AA2376" s="47"/>
      <c r="AB2376" s="47"/>
      <c r="AC2376" s="47"/>
      <c r="AD2376" s="47"/>
      <c r="AE2376" s="47"/>
      <c r="AF2376" s="47"/>
      <c r="AG2376" s="47"/>
      <c r="AH2376" s="47">
        <f>IFERROR(_xlfn.XLOOKUP(Table6[[#This Row],[Suburb]],Table5[Travel Surcharge],Table5[$$]),"")</f>
        <v>7000</v>
      </c>
      <c r="AI2376" s="47"/>
      <c r="AJ2376" s="47"/>
    </row>
    <row r="2377" spans="1:36">
      <c r="A2377" s="374" t="s">
        <v>3755</v>
      </c>
      <c r="B2377" s="374">
        <v>1</v>
      </c>
      <c r="C2377" s="374" t="s">
        <v>794</v>
      </c>
      <c r="D2377" s="375" t="str">
        <f t="shared" si="488"/>
        <v>Lara Lakes1</v>
      </c>
      <c r="E2377" s="375" t="s">
        <v>3756</v>
      </c>
      <c r="F2377" s="375" t="s">
        <v>1366</v>
      </c>
      <c r="G2377" s="375" t="s">
        <v>797</v>
      </c>
      <c r="H2377" s="375" t="s">
        <v>798</v>
      </c>
      <c r="I2377" s="63" t="s">
        <v>799</v>
      </c>
      <c r="J2377" s="47"/>
      <c r="K2377" s="46" t="s">
        <v>7938</v>
      </c>
      <c r="L2377" s="47"/>
      <c r="M2377" s="47"/>
      <c r="N2377" s="47"/>
      <c r="O2377" s="47"/>
      <c r="P2377" s="47"/>
      <c r="Q2377" s="47"/>
      <c r="R2377" s="47"/>
      <c r="S2377" s="47" t="s">
        <v>3757</v>
      </c>
      <c r="T2377" s="47"/>
      <c r="U2377" s="47"/>
      <c r="V2377" s="47"/>
      <c r="W2377" s="47"/>
      <c r="X2377" s="47"/>
      <c r="Y2377" s="47"/>
      <c r="Z2377" s="47">
        <f t="shared" si="491"/>
        <v>4620</v>
      </c>
      <c r="AA2377" s="47"/>
      <c r="AB2377" s="47"/>
      <c r="AC2377" s="47"/>
      <c r="AD2377" s="47"/>
      <c r="AE2377" s="47"/>
      <c r="AF2377" s="47"/>
      <c r="AG2377" s="47"/>
      <c r="AH2377" s="47" t="str">
        <f>IFERROR(_xlfn.XLOOKUP(Table6[[#This Row],[Suburb]],Table5[Travel Surcharge],Table5[$$]),"")</f>
        <v/>
      </c>
      <c r="AI2377" s="47"/>
      <c r="AJ2377" s="47"/>
    </row>
    <row r="2378" spans="1:36">
      <c r="A2378" s="374" t="s">
        <v>3755</v>
      </c>
      <c r="B2378" s="374">
        <v>2</v>
      </c>
      <c r="C2378" s="374" t="s">
        <v>794</v>
      </c>
      <c r="D2378" s="375" t="str">
        <f t="shared" si="488"/>
        <v>Lara Lakes2</v>
      </c>
      <c r="E2378" s="375" t="s">
        <v>3758</v>
      </c>
      <c r="F2378" s="375" t="s">
        <v>1366</v>
      </c>
      <c r="G2378" s="375" t="s">
        <v>797</v>
      </c>
      <c r="H2378" s="375" t="s">
        <v>798</v>
      </c>
      <c r="I2378" s="63" t="s">
        <v>799</v>
      </c>
      <c r="J2378" s="47"/>
      <c r="K2378" s="46" t="s">
        <v>7938</v>
      </c>
      <c r="L2378" s="47"/>
      <c r="M2378" s="47"/>
      <c r="N2378" s="47"/>
      <c r="O2378" s="47"/>
      <c r="P2378" s="47"/>
      <c r="Q2378" s="47"/>
      <c r="R2378" s="47"/>
      <c r="S2378" s="47" t="s">
        <v>3757</v>
      </c>
      <c r="T2378" s="47"/>
      <c r="U2378" s="47"/>
      <c r="V2378" s="47"/>
      <c r="W2378" s="47"/>
      <c r="X2378" s="47"/>
      <c r="Y2378" s="47"/>
      <c r="Z2378" s="47">
        <f t="shared" si="491"/>
        <v>4620</v>
      </c>
      <c r="AA2378" s="47"/>
      <c r="AB2378" s="47"/>
      <c r="AC2378" s="47"/>
      <c r="AD2378" s="47"/>
      <c r="AE2378" s="47"/>
      <c r="AF2378" s="47"/>
      <c r="AG2378" s="47"/>
      <c r="AH2378" s="47" t="str">
        <f>IFERROR(_xlfn.XLOOKUP(Table6[[#This Row],[Suburb]],Table5[Travel Surcharge],Table5[$$]),"")</f>
        <v/>
      </c>
      <c r="AI2378" s="47"/>
      <c r="AJ2378" s="47"/>
    </row>
    <row r="2379" spans="1:36">
      <c r="A2379" s="374" t="s">
        <v>3755</v>
      </c>
      <c r="B2379" s="374">
        <v>3</v>
      </c>
      <c r="C2379" s="374" t="s">
        <v>794</v>
      </c>
      <c r="D2379" s="375" t="str">
        <f t="shared" si="488"/>
        <v>Lara Lakes3</v>
      </c>
      <c r="E2379" s="375" t="s">
        <v>3759</v>
      </c>
      <c r="F2379" s="375" t="s">
        <v>1366</v>
      </c>
      <c r="G2379" s="375" t="s">
        <v>797</v>
      </c>
      <c r="H2379" s="375" t="s">
        <v>798</v>
      </c>
      <c r="I2379" s="63" t="s">
        <v>799</v>
      </c>
      <c r="J2379" s="47"/>
      <c r="K2379" s="46" t="s">
        <v>7938</v>
      </c>
      <c r="L2379" s="47"/>
      <c r="M2379" s="47"/>
      <c r="N2379" s="47"/>
      <c r="O2379" s="47"/>
      <c r="P2379" s="47"/>
      <c r="Q2379" s="47"/>
      <c r="R2379" s="47"/>
      <c r="S2379" s="47" t="s">
        <v>3757</v>
      </c>
      <c r="T2379" s="47"/>
      <c r="U2379" s="47"/>
      <c r="V2379" s="47"/>
      <c r="W2379" s="47"/>
      <c r="X2379" s="47"/>
      <c r="Y2379" s="47"/>
      <c r="Z2379" s="47">
        <f t="shared" si="491"/>
        <v>4620</v>
      </c>
      <c r="AA2379" s="47"/>
      <c r="AB2379" s="47"/>
      <c r="AC2379" s="47"/>
      <c r="AD2379" s="47"/>
      <c r="AE2379" s="47"/>
      <c r="AF2379" s="47"/>
      <c r="AG2379" s="47"/>
      <c r="AH2379" s="47" t="str">
        <f>IFERROR(_xlfn.XLOOKUP(Table6[[#This Row],[Suburb]],Table5[Travel Surcharge],Table5[$$]),"")</f>
        <v/>
      </c>
      <c r="AI2379" s="47"/>
      <c r="AJ2379" s="47"/>
    </row>
    <row r="2380" spans="1:36">
      <c r="A2380" s="374" t="s">
        <v>3755</v>
      </c>
      <c r="B2380" s="374">
        <v>4</v>
      </c>
      <c r="C2380" s="374" t="s">
        <v>794</v>
      </c>
      <c r="D2380" s="375" t="str">
        <f t="shared" si="488"/>
        <v>Lara Lakes4</v>
      </c>
      <c r="E2380" s="375" t="s">
        <v>3760</v>
      </c>
      <c r="F2380" s="375" t="s">
        <v>1366</v>
      </c>
      <c r="G2380" s="375" t="s">
        <v>797</v>
      </c>
      <c r="H2380" s="375" t="s">
        <v>798</v>
      </c>
      <c r="I2380" s="63" t="s">
        <v>799</v>
      </c>
      <c r="J2380" s="47"/>
      <c r="K2380" s="46" t="s">
        <v>7938</v>
      </c>
      <c r="L2380" s="47"/>
      <c r="M2380" s="47"/>
      <c r="N2380" s="47"/>
      <c r="O2380" s="47"/>
      <c r="P2380" s="47"/>
      <c r="Q2380" s="47"/>
      <c r="R2380" s="47"/>
      <c r="S2380" s="47" t="s">
        <v>3757</v>
      </c>
      <c r="T2380" s="47"/>
      <c r="U2380" s="47"/>
      <c r="V2380" s="47"/>
      <c r="W2380" s="47"/>
      <c r="X2380" s="47"/>
      <c r="Y2380" s="47"/>
      <c r="Z2380" s="47">
        <f t="shared" si="491"/>
        <v>4620</v>
      </c>
      <c r="AA2380" s="47"/>
      <c r="AB2380" s="47"/>
      <c r="AC2380" s="47"/>
      <c r="AD2380" s="47"/>
      <c r="AE2380" s="47"/>
      <c r="AF2380" s="47"/>
      <c r="AG2380" s="47"/>
      <c r="AH2380" s="47" t="str">
        <f>IFERROR(_xlfn.XLOOKUP(Table6[[#This Row],[Suburb]],Table5[Travel Surcharge],Table5[$$]),"")</f>
        <v/>
      </c>
      <c r="AI2380" s="47"/>
      <c r="AJ2380" s="47"/>
    </row>
    <row r="2381" spans="1:36">
      <c r="A2381" s="374" t="s">
        <v>3755</v>
      </c>
      <c r="B2381" s="374">
        <v>5</v>
      </c>
      <c r="C2381" s="374" t="s">
        <v>794</v>
      </c>
      <c r="D2381" s="375" t="str">
        <f t="shared" si="488"/>
        <v>Lara Lakes5</v>
      </c>
      <c r="E2381" s="375" t="s">
        <v>3761</v>
      </c>
      <c r="F2381" s="375" t="s">
        <v>1366</v>
      </c>
      <c r="G2381" s="375" t="s">
        <v>797</v>
      </c>
      <c r="H2381" s="375" t="s">
        <v>798</v>
      </c>
      <c r="I2381" s="63" t="s">
        <v>799</v>
      </c>
      <c r="J2381" s="47"/>
      <c r="K2381" s="46" t="s">
        <v>7938</v>
      </c>
      <c r="L2381" s="47"/>
      <c r="M2381" s="47"/>
      <c r="N2381" s="47"/>
      <c r="O2381" s="47"/>
      <c r="P2381" s="47"/>
      <c r="Q2381" s="47"/>
      <c r="R2381" s="47"/>
      <c r="S2381" s="47" t="s">
        <v>3757</v>
      </c>
      <c r="T2381" s="47"/>
      <c r="U2381" s="47"/>
      <c r="V2381" s="47"/>
      <c r="W2381" s="47"/>
      <c r="X2381" s="47"/>
      <c r="Y2381" s="47"/>
      <c r="Z2381" s="47">
        <f t="shared" si="491"/>
        <v>4620</v>
      </c>
      <c r="AA2381" s="47"/>
      <c r="AB2381" s="47"/>
      <c r="AC2381" s="47"/>
      <c r="AD2381" s="47"/>
      <c r="AE2381" s="47"/>
      <c r="AF2381" s="47"/>
      <c r="AG2381" s="47"/>
      <c r="AH2381" s="47" t="str">
        <f>IFERROR(_xlfn.XLOOKUP(Table6[[#This Row],[Suburb]],Table5[Travel Surcharge],Table5[$$]),"")</f>
        <v/>
      </c>
      <c r="AI2381" s="47"/>
      <c r="AJ2381" s="47"/>
    </row>
    <row r="2382" spans="1:36">
      <c r="A2382" s="157" t="s">
        <v>3755</v>
      </c>
      <c r="B2382" s="157">
        <v>6</v>
      </c>
      <c r="C2382" s="157" t="s">
        <v>794</v>
      </c>
      <c r="D2382" s="157" t="str">
        <f t="shared" ref="D2382:D2418" si="494">CONCATENATE(A2382,B2382)</f>
        <v>Lara Lakes6</v>
      </c>
      <c r="E2382" s="157" t="s">
        <v>8480</v>
      </c>
      <c r="F2382" s="157" t="s">
        <v>1366</v>
      </c>
      <c r="G2382" s="157" t="s">
        <v>797</v>
      </c>
      <c r="H2382" s="157" t="s">
        <v>798</v>
      </c>
      <c r="I2382" s="158" t="s">
        <v>799</v>
      </c>
      <c r="J2382" s="47"/>
      <c r="K2382" s="46" t="s">
        <v>7938</v>
      </c>
      <c r="L2382" s="47"/>
      <c r="M2382" s="47"/>
      <c r="N2382" s="47"/>
      <c r="O2382" s="47"/>
      <c r="P2382" s="47"/>
      <c r="Q2382" s="47"/>
      <c r="R2382" s="47"/>
      <c r="S2382" s="47" t="s">
        <v>3757</v>
      </c>
      <c r="T2382" s="47"/>
      <c r="U2382" s="47"/>
      <c r="V2382" s="47"/>
      <c r="W2382" s="47"/>
      <c r="X2382" s="47"/>
      <c r="Y2382" s="47"/>
      <c r="Z2382" s="47">
        <f t="shared" si="491"/>
        <v>4620</v>
      </c>
      <c r="AA2382" s="47"/>
      <c r="AB2382" s="47"/>
      <c r="AC2382" s="47"/>
      <c r="AD2382" s="47"/>
      <c r="AE2382" s="47"/>
      <c r="AF2382" s="47"/>
      <c r="AG2382" s="47"/>
      <c r="AH2382" s="47" t="str">
        <f>IFERROR(_xlfn.XLOOKUP(Table6[[#This Row],[Suburb]],Table5[Travel Surcharge],Table5[$$]),"")</f>
        <v/>
      </c>
      <c r="AI2382" s="47"/>
      <c r="AJ2382" s="47"/>
    </row>
    <row r="2383" spans="1:36">
      <c r="A2383" s="157" t="s">
        <v>3755</v>
      </c>
      <c r="B2383" s="157">
        <v>7</v>
      </c>
      <c r="C2383" s="157" t="s">
        <v>794</v>
      </c>
      <c r="D2383" s="157" t="str">
        <f t="shared" si="494"/>
        <v>Lara Lakes7</v>
      </c>
      <c r="E2383" s="157" t="s">
        <v>9741</v>
      </c>
      <c r="F2383" s="157" t="s">
        <v>1366</v>
      </c>
      <c r="G2383" s="157" t="s">
        <v>797</v>
      </c>
      <c r="H2383" s="157" t="s">
        <v>798</v>
      </c>
      <c r="I2383" s="158" t="s">
        <v>799</v>
      </c>
      <c r="J2383" s="47"/>
      <c r="K2383" s="46" t="s">
        <v>7938</v>
      </c>
      <c r="L2383" s="47"/>
      <c r="M2383" s="47"/>
      <c r="N2383" s="47"/>
      <c r="O2383" s="47"/>
      <c r="P2383" s="47"/>
      <c r="Q2383" s="47"/>
      <c r="R2383" s="47"/>
      <c r="S2383" s="47" t="s">
        <v>3757</v>
      </c>
      <c r="T2383" s="47"/>
      <c r="U2383" s="47"/>
      <c r="V2383" s="47"/>
      <c r="W2383" s="47"/>
      <c r="X2383" s="47"/>
      <c r="Y2383" s="47"/>
      <c r="Z2383" s="47">
        <f t="shared" si="491"/>
        <v>4620</v>
      </c>
      <c r="AA2383" s="47"/>
      <c r="AB2383" s="47"/>
      <c r="AC2383" s="47"/>
      <c r="AD2383" s="47"/>
      <c r="AE2383" s="47"/>
      <c r="AF2383" s="47"/>
      <c r="AG2383" s="47"/>
      <c r="AH2383" s="47" t="str">
        <f>IFERROR(_xlfn.XLOOKUP(Table6[[#This Row],[Suburb]],Table5[Travel Surcharge],Table5[$$]),"")</f>
        <v/>
      </c>
      <c r="AI2383" s="47"/>
      <c r="AJ2383" s="47"/>
    </row>
    <row r="2384" spans="1:36">
      <c r="A2384" s="374" t="s">
        <v>3755</v>
      </c>
      <c r="B2384" s="374">
        <v>8</v>
      </c>
      <c r="C2384" s="374" t="s">
        <v>794</v>
      </c>
      <c r="D2384" s="375" t="str">
        <f t="shared" si="494"/>
        <v>Lara Lakes8</v>
      </c>
      <c r="E2384" s="375" t="s">
        <v>9949</v>
      </c>
      <c r="F2384" s="375" t="s">
        <v>1366</v>
      </c>
      <c r="G2384" s="375" t="s">
        <v>797</v>
      </c>
      <c r="H2384" s="375" t="s">
        <v>798</v>
      </c>
      <c r="I2384" s="63" t="s">
        <v>799</v>
      </c>
      <c r="J2384" s="47"/>
      <c r="K2384" s="46" t="s">
        <v>7938</v>
      </c>
      <c r="L2384" s="47"/>
      <c r="M2384" s="47"/>
      <c r="N2384" s="47"/>
      <c r="O2384" s="47"/>
      <c r="P2384" s="47"/>
      <c r="Q2384" s="47"/>
      <c r="R2384" s="47"/>
      <c r="S2384" s="47" t="s">
        <v>3757</v>
      </c>
      <c r="T2384" s="47"/>
      <c r="U2384" s="47"/>
      <c r="V2384" s="47"/>
      <c r="W2384" s="47"/>
      <c r="X2384" s="47"/>
      <c r="Y2384" s="47"/>
      <c r="Z2384" s="47">
        <v>4620</v>
      </c>
      <c r="AA2384" s="47"/>
      <c r="AB2384" s="47"/>
      <c r="AC2384" s="47"/>
      <c r="AD2384" s="47"/>
      <c r="AE2384" s="47"/>
      <c r="AF2384" s="47"/>
      <c r="AG2384" s="47"/>
      <c r="AH2384" s="47" t="str">
        <f>IFERROR(_xlfn.XLOOKUP(Table6[[#This Row],[Suburb]],Table5[Travel Surcharge],Table5[$$]),"")</f>
        <v/>
      </c>
      <c r="AI2384" s="47"/>
      <c r="AJ2384" s="47"/>
    </row>
    <row r="2385" spans="1:36">
      <c r="A2385" s="374" t="s">
        <v>3755</v>
      </c>
      <c r="B2385" s="374">
        <v>10</v>
      </c>
      <c r="C2385" s="374" t="s">
        <v>794</v>
      </c>
      <c r="D2385" s="375" t="str">
        <f t="shared" si="494"/>
        <v>Lara Lakes10</v>
      </c>
      <c r="E2385" s="375" t="s">
        <v>10174</v>
      </c>
      <c r="F2385" s="375" t="s">
        <v>1366</v>
      </c>
      <c r="G2385" s="375" t="s">
        <v>797</v>
      </c>
      <c r="H2385" s="375" t="s">
        <v>798</v>
      </c>
      <c r="I2385" s="63" t="s">
        <v>799</v>
      </c>
      <c r="J2385" s="47"/>
      <c r="K2385" s="46" t="s">
        <v>7938</v>
      </c>
      <c r="L2385" s="47"/>
      <c r="M2385" s="47"/>
      <c r="N2385" s="47"/>
      <c r="O2385" s="47"/>
      <c r="P2385" s="47"/>
      <c r="Q2385" s="47"/>
      <c r="R2385" s="47"/>
      <c r="S2385" s="47" t="s">
        <v>3757</v>
      </c>
      <c r="T2385" s="47"/>
      <c r="U2385" s="47"/>
      <c r="V2385" s="47"/>
      <c r="W2385" s="47"/>
      <c r="X2385" s="47"/>
      <c r="Y2385" s="47"/>
      <c r="Z2385" s="47">
        <v>4620</v>
      </c>
      <c r="AA2385" s="47"/>
      <c r="AB2385" s="47"/>
      <c r="AC2385" s="47"/>
      <c r="AD2385" s="47"/>
      <c r="AE2385" s="47"/>
      <c r="AF2385" s="47"/>
      <c r="AG2385" s="47"/>
      <c r="AH2385" s="47" t="s">
        <v>9976</v>
      </c>
      <c r="AI2385" s="47"/>
      <c r="AJ2385" s="47"/>
    </row>
    <row r="2386" spans="1:36">
      <c r="A2386" s="374" t="s">
        <v>3755</v>
      </c>
      <c r="B2386" s="374">
        <v>11</v>
      </c>
      <c r="C2386" s="374" t="s">
        <v>794</v>
      </c>
      <c r="D2386" s="375" t="str">
        <f t="shared" si="494"/>
        <v>Lara Lakes11</v>
      </c>
      <c r="E2386" s="375" t="s">
        <v>10713</v>
      </c>
      <c r="F2386" s="375" t="s">
        <v>1366</v>
      </c>
      <c r="G2386" s="375" t="s">
        <v>797</v>
      </c>
      <c r="H2386" s="375" t="s">
        <v>798</v>
      </c>
      <c r="I2386" s="63" t="s">
        <v>799</v>
      </c>
      <c r="J2386" s="47"/>
      <c r="K2386" s="46" t="s">
        <v>7938</v>
      </c>
      <c r="L2386" s="47"/>
      <c r="M2386" s="47"/>
      <c r="N2386" s="47"/>
      <c r="O2386" s="47"/>
      <c r="P2386" s="47"/>
      <c r="Q2386" s="47"/>
      <c r="R2386" s="47"/>
      <c r="S2386" s="47" t="s">
        <v>3757</v>
      </c>
      <c r="T2386" s="47"/>
      <c r="U2386" s="47"/>
      <c r="V2386" s="47"/>
      <c r="W2386" s="47"/>
      <c r="X2386" s="47"/>
      <c r="Y2386" s="47"/>
      <c r="Z2386" s="47">
        <v>4620</v>
      </c>
      <c r="AA2386" s="47"/>
      <c r="AB2386" s="47"/>
      <c r="AC2386" s="47"/>
      <c r="AD2386" s="47"/>
      <c r="AE2386" s="47"/>
      <c r="AF2386" s="47"/>
      <c r="AG2386" s="47"/>
      <c r="AH2386" s="47" t="s">
        <v>9976</v>
      </c>
      <c r="AI2386" s="47"/>
      <c r="AJ2386" s="47"/>
    </row>
    <row r="2387" spans="1:36">
      <c r="A2387" s="374" t="s">
        <v>3762</v>
      </c>
      <c r="B2387" s="374">
        <v>7</v>
      </c>
      <c r="C2387" s="374" t="s">
        <v>794</v>
      </c>
      <c r="D2387" s="375" t="str">
        <f t="shared" si="494"/>
        <v>Lara Views Estate7</v>
      </c>
      <c r="E2387" s="375" t="s">
        <v>3763</v>
      </c>
      <c r="F2387" s="375" t="s">
        <v>1366</v>
      </c>
      <c r="G2387" s="375" t="s">
        <v>1367</v>
      </c>
      <c r="H2387" s="375" t="s">
        <v>3764</v>
      </c>
      <c r="I2387" s="63" t="s">
        <v>1368</v>
      </c>
      <c r="J2387" s="47"/>
      <c r="K2387" s="46" t="s">
        <v>7938</v>
      </c>
      <c r="L2387" s="47"/>
      <c r="M2387" s="47"/>
      <c r="N2387" s="47"/>
      <c r="O2387" s="47"/>
      <c r="P2387" s="47"/>
      <c r="Q2387" s="47">
        <v>0</v>
      </c>
      <c r="R2387" s="47"/>
      <c r="S2387" s="47"/>
      <c r="T2387" s="47"/>
      <c r="U2387" s="47"/>
      <c r="V2387" s="47"/>
      <c r="W2387" s="47"/>
      <c r="X2387" s="47"/>
      <c r="Y2387" s="47"/>
      <c r="Z2387" s="47">
        <f t="shared" si="491"/>
        <v>4620</v>
      </c>
      <c r="AA2387" s="47"/>
      <c r="AB2387" s="47"/>
      <c r="AC2387" s="47"/>
      <c r="AD2387" s="47"/>
      <c r="AE2387" s="47"/>
      <c r="AF2387" s="47"/>
      <c r="AG2387" s="47"/>
      <c r="AH2387" s="47" t="str">
        <f>IFERROR(_xlfn.XLOOKUP(Table6[[#This Row],[Suburb]],Table5[Travel Surcharge],Table5[$$]),"")</f>
        <v/>
      </c>
      <c r="AI2387" s="47"/>
      <c r="AJ2387" s="47"/>
    </row>
    <row r="2388" spans="1:36">
      <c r="A2388" s="374" t="s">
        <v>3765</v>
      </c>
      <c r="B2388" s="374">
        <v>1</v>
      </c>
      <c r="C2388" s="374" t="s">
        <v>802</v>
      </c>
      <c r="D2388" s="375" t="str">
        <f t="shared" si="494"/>
        <v>Laurier1</v>
      </c>
      <c r="E2388" s="375" t="s">
        <v>3766</v>
      </c>
      <c r="F2388" s="375" t="s">
        <v>3641</v>
      </c>
      <c r="G2388" s="375" t="s">
        <v>2658</v>
      </c>
      <c r="H2388" s="375" t="s">
        <v>3767</v>
      </c>
      <c r="I2388" s="63" t="s">
        <v>3768</v>
      </c>
      <c r="J2388" s="47">
        <f>J$7</f>
        <v>3740</v>
      </c>
      <c r="K2388" s="46" t="s">
        <v>10735</v>
      </c>
      <c r="L2388" s="47"/>
      <c r="M2388" s="47"/>
      <c r="N2388" s="47" t="s">
        <v>3769</v>
      </c>
      <c r="O2388" s="47"/>
      <c r="P2388" s="47"/>
      <c r="Q2388" s="47"/>
      <c r="R2388" s="47">
        <f>R$2</f>
        <v>540</v>
      </c>
      <c r="S2388" s="47"/>
      <c r="T2388" s="47"/>
      <c r="U2388" s="47"/>
      <c r="V2388" s="47"/>
      <c r="W2388" s="47"/>
      <c r="X2388" s="47"/>
      <c r="Y2388" s="47"/>
      <c r="Z2388" s="47">
        <f t="shared" si="491"/>
        <v>4620</v>
      </c>
      <c r="AA2388" s="47">
        <f>AA$7</f>
        <v>1400</v>
      </c>
      <c r="AB2388" s="47"/>
      <c r="AC2388" s="47"/>
      <c r="AD2388" s="47"/>
      <c r="AE2388" s="47"/>
      <c r="AF2388" s="47">
        <f>AF$7</f>
        <v>1485</v>
      </c>
      <c r="AG2388" s="47"/>
      <c r="AH2388" s="47" t="str">
        <f>IFERROR(_xlfn.XLOOKUP(Table6[[#This Row],[Suburb]],Table5[Travel Surcharge],Table5[$$]),"")</f>
        <v/>
      </c>
      <c r="AI2388" s="47"/>
      <c r="AJ2388" s="47"/>
    </row>
    <row r="2389" spans="1:36">
      <c r="A2389" s="374" t="s">
        <v>3765</v>
      </c>
      <c r="B2389" s="374">
        <v>2</v>
      </c>
      <c r="C2389" s="374" t="s">
        <v>802</v>
      </c>
      <c r="D2389" s="375" t="str">
        <f t="shared" si="494"/>
        <v>Laurier2</v>
      </c>
      <c r="E2389" s="375" t="s">
        <v>3766</v>
      </c>
      <c r="F2389" s="375" t="s">
        <v>3641</v>
      </c>
      <c r="G2389" s="375" t="s">
        <v>2658</v>
      </c>
      <c r="H2389" s="375" t="s">
        <v>3767</v>
      </c>
      <c r="I2389" s="63" t="s">
        <v>3768</v>
      </c>
      <c r="J2389" s="47">
        <f>J$7</f>
        <v>3740</v>
      </c>
      <c r="K2389" s="46" t="s">
        <v>10735</v>
      </c>
      <c r="L2389" s="47"/>
      <c r="M2389" s="47"/>
      <c r="N2389" s="47" t="s">
        <v>3769</v>
      </c>
      <c r="O2389" s="47"/>
      <c r="P2389" s="47"/>
      <c r="Q2389" s="47"/>
      <c r="R2389" s="47">
        <f>R$2</f>
        <v>540</v>
      </c>
      <c r="S2389" s="47"/>
      <c r="T2389" s="47"/>
      <c r="U2389" s="47"/>
      <c r="V2389" s="47"/>
      <c r="W2389" s="47"/>
      <c r="X2389" s="47"/>
      <c r="Y2389" s="47"/>
      <c r="Z2389" s="47">
        <f t="shared" si="491"/>
        <v>4620</v>
      </c>
      <c r="AA2389" s="47">
        <f>AA$7</f>
        <v>1400</v>
      </c>
      <c r="AB2389" s="47"/>
      <c r="AC2389" s="47"/>
      <c r="AD2389" s="47"/>
      <c r="AE2389" s="47"/>
      <c r="AF2389" s="47">
        <f>AF$7</f>
        <v>1485</v>
      </c>
      <c r="AG2389" s="47"/>
      <c r="AH2389" s="47" t="str">
        <f>IFERROR(_xlfn.XLOOKUP(Table6[[#This Row],[Suburb]],Table5[Travel Surcharge],Table5[$$]),"")</f>
        <v/>
      </c>
      <c r="AI2389" s="47"/>
      <c r="AJ2389" s="47"/>
    </row>
    <row r="2390" spans="1:36">
      <c r="A2390" s="374" t="s">
        <v>3770</v>
      </c>
      <c r="B2390" s="374">
        <v>1</v>
      </c>
      <c r="C2390" s="374" t="s">
        <v>1381</v>
      </c>
      <c r="D2390" s="375" t="str">
        <f t="shared" si="494"/>
        <v>Lavender Estate1</v>
      </c>
      <c r="E2390" s="375" t="s">
        <v>3771</v>
      </c>
      <c r="F2390" s="375" t="s">
        <v>2836</v>
      </c>
      <c r="G2390" s="375" t="s">
        <v>3772</v>
      </c>
      <c r="H2390" s="375"/>
      <c r="I2390" s="63" t="s">
        <v>3773</v>
      </c>
      <c r="J2390" s="47"/>
      <c r="K2390" s="46" t="s">
        <v>10735</v>
      </c>
      <c r="L2390" s="47"/>
      <c r="M2390" s="47"/>
      <c r="N2390" s="47"/>
      <c r="O2390" s="47"/>
      <c r="P2390" s="47"/>
      <c r="Q2390" s="47">
        <f t="shared" ref="Q2390:Q2397" si="495">Q$2</f>
        <v>0</v>
      </c>
      <c r="R2390" s="47"/>
      <c r="S2390" s="47"/>
      <c r="T2390" s="47"/>
      <c r="U2390" s="47"/>
      <c r="V2390" s="47"/>
      <c r="W2390" s="47"/>
      <c r="X2390" s="47"/>
      <c r="Y2390" s="47"/>
      <c r="Z2390" s="47">
        <f t="shared" si="491"/>
        <v>4620</v>
      </c>
      <c r="AA2390" s="47"/>
      <c r="AB2390" s="47"/>
      <c r="AC2390" s="47"/>
      <c r="AD2390" s="47"/>
      <c r="AE2390" s="47"/>
      <c r="AF2390" s="47"/>
      <c r="AG2390" s="47"/>
      <c r="AH2390" s="47" t="str">
        <f>IFERROR(_xlfn.XLOOKUP(Table6[[#This Row],[Suburb]],Table5[Travel Surcharge],Table5[$$]),"")</f>
        <v/>
      </c>
      <c r="AI2390" s="47"/>
      <c r="AJ2390" s="47"/>
    </row>
    <row r="2391" spans="1:36">
      <c r="A2391" s="374" t="s">
        <v>3770</v>
      </c>
      <c r="B2391" s="374">
        <v>2</v>
      </c>
      <c r="C2391" s="374" t="s">
        <v>1381</v>
      </c>
      <c r="D2391" s="375" t="str">
        <f t="shared" si="494"/>
        <v>Lavender Estate2</v>
      </c>
      <c r="E2391" s="375" t="s">
        <v>3774</v>
      </c>
      <c r="F2391" s="375" t="s">
        <v>2836</v>
      </c>
      <c r="G2391" s="375" t="s">
        <v>3772</v>
      </c>
      <c r="H2391" s="375"/>
      <c r="I2391" s="63" t="s">
        <v>3773</v>
      </c>
      <c r="J2391" s="47"/>
      <c r="K2391" s="46" t="s">
        <v>10735</v>
      </c>
      <c r="L2391" s="47"/>
      <c r="M2391" s="47"/>
      <c r="N2391" s="47"/>
      <c r="O2391" s="47"/>
      <c r="P2391" s="47"/>
      <c r="Q2391" s="47">
        <f t="shared" si="495"/>
        <v>0</v>
      </c>
      <c r="R2391" s="47"/>
      <c r="S2391" s="47"/>
      <c r="T2391" s="47"/>
      <c r="U2391" s="47"/>
      <c r="V2391" s="47"/>
      <c r="W2391" s="47"/>
      <c r="X2391" s="47"/>
      <c r="Y2391" s="47"/>
      <c r="Z2391" s="47">
        <f t="shared" si="491"/>
        <v>4620</v>
      </c>
      <c r="AA2391" s="47"/>
      <c r="AB2391" s="47"/>
      <c r="AC2391" s="47"/>
      <c r="AD2391" s="47"/>
      <c r="AE2391" s="47"/>
      <c r="AF2391" s="47"/>
      <c r="AG2391" s="47"/>
      <c r="AH2391" s="47" t="str">
        <f>IFERROR(_xlfn.XLOOKUP(Table6[[#This Row],[Suburb]],Table5[Travel Surcharge],Table5[$$]),"")</f>
        <v/>
      </c>
      <c r="AI2391" s="47"/>
      <c r="AJ2391" s="47"/>
    </row>
    <row r="2392" spans="1:36">
      <c r="A2392" s="374" t="s">
        <v>3770</v>
      </c>
      <c r="B2392" s="374">
        <v>3</v>
      </c>
      <c r="C2392" s="374" t="s">
        <v>1381</v>
      </c>
      <c r="D2392" s="375" t="str">
        <f t="shared" si="494"/>
        <v>Lavender Estate3</v>
      </c>
      <c r="E2392" s="375" t="s">
        <v>3775</v>
      </c>
      <c r="F2392" s="375" t="s">
        <v>2836</v>
      </c>
      <c r="G2392" s="375" t="s">
        <v>3772</v>
      </c>
      <c r="H2392" s="375"/>
      <c r="I2392" s="63" t="s">
        <v>3773</v>
      </c>
      <c r="J2392" s="47"/>
      <c r="K2392" s="46" t="s">
        <v>10735</v>
      </c>
      <c r="L2392" s="47"/>
      <c r="M2392" s="47"/>
      <c r="N2392" s="47"/>
      <c r="O2392" s="47"/>
      <c r="P2392" s="47"/>
      <c r="Q2392" s="47">
        <f t="shared" si="495"/>
        <v>0</v>
      </c>
      <c r="R2392" s="47"/>
      <c r="S2392" s="47"/>
      <c r="T2392" s="47"/>
      <c r="U2392" s="47"/>
      <c r="V2392" s="47"/>
      <c r="W2392" s="47"/>
      <c r="X2392" s="47"/>
      <c r="Y2392" s="47"/>
      <c r="Z2392" s="47">
        <f t="shared" si="491"/>
        <v>4620</v>
      </c>
      <c r="AA2392" s="47"/>
      <c r="AB2392" s="47"/>
      <c r="AC2392" s="47"/>
      <c r="AD2392" s="47"/>
      <c r="AE2392" s="47"/>
      <c r="AF2392" s="47"/>
      <c r="AG2392" s="47"/>
      <c r="AH2392" s="47" t="str">
        <f>IFERROR(_xlfn.XLOOKUP(Table6[[#This Row],[Suburb]],Table5[Travel Surcharge],Table5[$$]),"")</f>
        <v/>
      </c>
      <c r="AI2392" s="47"/>
      <c r="AJ2392" s="47"/>
    </row>
    <row r="2393" spans="1:36">
      <c r="A2393" s="374" t="s">
        <v>3770</v>
      </c>
      <c r="B2393" s="374">
        <v>4</v>
      </c>
      <c r="C2393" s="374" t="s">
        <v>1381</v>
      </c>
      <c r="D2393" s="375" t="str">
        <f t="shared" si="494"/>
        <v>Lavender Estate4</v>
      </c>
      <c r="E2393" s="375" t="s">
        <v>3776</v>
      </c>
      <c r="F2393" s="375" t="s">
        <v>2836</v>
      </c>
      <c r="G2393" s="375" t="s">
        <v>3772</v>
      </c>
      <c r="H2393" s="375"/>
      <c r="I2393" s="63" t="s">
        <v>3773</v>
      </c>
      <c r="J2393" s="47"/>
      <c r="K2393" s="46" t="s">
        <v>10735</v>
      </c>
      <c r="L2393" s="47"/>
      <c r="M2393" s="47"/>
      <c r="N2393" s="47"/>
      <c r="O2393" s="47"/>
      <c r="P2393" s="47"/>
      <c r="Q2393" s="47">
        <f t="shared" si="495"/>
        <v>0</v>
      </c>
      <c r="R2393" s="47"/>
      <c r="S2393" s="47"/>
      <c r="T2393" s="47"/>
      <c r="U2393" s="47"/>
      <c r="V2393" s="47"/>
      <c r="W2393" s="47"/>
      <c r="X2393" s="47"/>
      <c r="Y2393" s="47"/>
      <c r="Z2393" s="47">
        <f t="shared" si="491"/>
        <v>4620</v>
      </c>
      <c r="AA2393" s="47"/>
      <c r="AB2393" s="47"/>
      <c r="AC2393" s="47"/>
      <c r="AD2393" s="47"/>
      <c r="AE2393" s="47"/>
      <c r="AF2393" s="47"/>
      <c r="AG2393" s="47"/>
      <c r="AH2393" s="47" t="str">
        <f>IFERROR(_xlfn.XLOOKUP(Table6[[#This Row],[Suburb]],Table5[Travel Surcharge],Table5[$$]),"")</f>
        <v/>
      </c>
      <c r="AI2393" s="47"/>
      <c r="AJ2393" s="47"/>
    </row>
    <row r="2394" spans="1:36">
      <c r="A2394" s="374" t="s">
        <v>3770</v>
      </c>
      <c r="B2394" s="374">
        <v>5</v>
      </c>
      <c r="C2394" s="374" t="s">
        <v>1381</v>
      </c>
      <c r="D2394" s="375" t="str">
        <f t="shared" si="494"/>
        <v>Lavender Estate5</v>
      </c>
      <c r="E2394" s="375" t="s">
        <v>3777</v>
      </c>
      <c r="F2394" s="375" t="s">
        <v>2836</v>
      </c>
      <c r="G2394" s="375" t="s">
        <v>3772</v>
      </c>
      <c r="H2394" s="375"/>
      <c r="I2394" s="63" t="s">
        <v>3773</v>
      </c>
      <c r="J2394" s="47"/>
      <c r="K2394" s="46" t="s">
        <v>10735</v>
      </c>
      <c r="L2394" s="47"/>
      <c r="M2394" s="47"/>
      <c r="N2394" s="47"/>
      <c r="O2394" s="47"/>
      <c r="P2394" s="47"/>
      <c r="Q2394" s="47">
        <f t="shared" si="495"/>
        <v>0</v>
      </c>
      <c r="R2394" s="47"/>
      <c r="S2394" s="47"/>
      <c r="T2394" s="47"/>
      <c r="U2394" s="47"/>
      <c r="V2394" s="47"/>
      <c r="W2394" s="47"/>
      <c r="X2394" s="47"/>
      <c r="Y2394" s="47"/>
      <c r="Z2394" s="47">
        <f t="shared" si="491"/>
        <v>4620</v>
      </c>
      <c r="AA2394" s="47"/>
      <c r="AB2394" s="47"/>
      <c r="AC2394" s="47"/>
      <c r="AD2394" s="47"/>
      <c r="AE2394" s="47"/>
      <c r="AF2394" s="47"/>
      <c r="AG2394" s="47"/>
      <c r="AH2394" s="47" t="str">
        <f>IFERROR(_xlfn.XLOOKUP(Table6[[#This Row],[Suburb]],Table5[Travel Surcharge],Table5[$$]),"")</f>
        <v/>
      </c>
      <c r="AI2394" s="47"/>
      <c r="AJ2394" s="47"/>
    </row>
    <row r="2395" spans="1:36">
      <c r="A2395" s="374" t="s">
        <v>3770</v>
      </c>
      <c r="B2395" s="374">
        <v>6</v>
      </c>
      <c r="C2395" s="374" t="s">
        <v>1381</v>
      </c>
      <c r="D2395" s="375" t="str">
        <f t="shared" si="494"/>
        <v>Lavender Estate6</v>
      </c>
      <c r="E2395" s="375" t="s">
        <v>3778</v>
      </c>
      <c r="F2395" s="375" t="s">
        <v>2836</v>
      </c>
      <c r="G2395" s="375" t="s">
        <v>3772</v>
      </c>
      <c r="H2395" s="375"/>
      <c r="I2395" s="63" t="s">
        <v>3773</v>
      </c>
      <c r="J2395" s="47"/>
      <c r="K2395" s="46" t="s">
        <v>10735</v>
      </c>
      <c r="L2395" s="47"/>
      <c r="M2395" s="47"/>
      <c r="N2395" s="47"/>
      <c r="O2395" s="47"/>
      <c r="P2395" s="47"/>
      <c r="Q2395" s="47">
        <f t="shared" si="495"/>
        <v>0</v>
      </c>
      <c r="R2395" s="47"/>
      <c r="S2395" s="47"/>
      <c r="T2395" s="47"/>
      <c r="U2395" s="47"/>
      <c r="V2395" s="47"/>
      <c r="W2395" s="47"/>
      <c r="X2395" s="47"/>
      <c r="Y2395" s="47"/>
      <c r="Z2395" s="47">
        <f t="shared" ref="Z2395:Z2428" si="496">Z$7</f>
        <v>4620</v>
      </c>
      <c r="AA2395" s="47"/>
      <c r="AB2395" s="47"/>
      <c r="AC2395" s="47"/>
      <c r="AD2395" s="47"/>
      <c r="AE2395" s="47"/>
      <c r="AF2395" s="47"/>
      <c r="AG2395" s="47"/>
      <c r="AH2395" s="47" t="str">
        <f>IFERROR(_xlfn.XLOOKUP(Table6[[#This Row],[Suburb]],Table5[Travel Surcharge],Table5[$$]),"")</f>
        <v/>
      </c>
      <c r="AI2395" s="47"/>
      <c r="AJ2395" s="47"/>
    </row>
    <row r="2396" spans="1:36">
      <c r="A2396" s="374" t="s">
        <v>3770</v>
      </c>
      <c r="B2396" s="374">
        <v>7</v>
      </c>
      <c r="C2396" s="374" t="s">
        <v>1381</v>
      </c>
      <c r="D2396" s="375" t="str">
        <f t="shared" si="494"/>
        <v>Lavender Estate7</v>
      </c>
      <c r="E2396" s="375" t="s">
        <v>3779</v>
      </c>
      <c r="F2396" s="375" t="s">
        <v>2836</v>
      </c>
      <c r="G2396" s="375" t="s">
        <v>3772</v>
      </c>
      <c r="H2396" s="375"/>
      <c r="I2396" s="63" t="s">
        <v>3773</v>
      </c>
      <c r="J2396" s="47"/>
      <c r="K2396" s="46" t="s">
        <v>10735</v>
      </c>
      <c r="L2396" s="47"/>
      <c r="M2396" s="47"/>
      <c r="N2396" s="47"/>
      <c r="O2396" s="47"/>
      <c r="P2396" s="47"/>
      <c r="Q2396" s="47">
        <f t="shared" si="495"/>
        <v>0</v>
      </c>
      <c r="R2396" s="47"/>
      <c r="S2396" s="47"/>
      <c r="T2396" s="47"/>
      <c r="U2396" s="47"/>
      <c r="V2396" s="47"/>
      <c r="W2396" s="47"/>
      <c r="X2396" s="47"/>
      <c r="Y2396" s="47"/>
      <c r="Z2396" s="47">
        <f t="shared" si="496"/>
        <v>4620</v>
      </c>
      <c r="AA2396" s="47"/>
      <c r="AB2396" s="47"/>
      <c r="AC2396" s="47"/>
      <c r="AD2396" s="47"/>
      <c r="AE2396" s="47"/>
      <c r="AF2396" s="47"/>
      <c r="AG2396" s="47"/>
      <c r="AH2396" s="47" t="str">
        <f>IFERROR(_xlfn.XLOOKUP(Table6[[#This Row],[Suburb]],Table5[Travel Surcharge],Table5[$$]),"")</f>
        <v/>
      </c>
      <c r="AI2396" s="47"/>
      <c r="AJ2396" s="47"/>
    </row>
    <row r="2397" spans="1:36">
      <c r="A2397" s="374" t="s">
        <v>3770</v>
      </c>
      <c r="B2397" s="374">
        <v>8</v>
      </c>
      <c r="C2397" s="374" t="s">
        <v>1381</v>
      </c>
      <c r="D2397" s="375" t="str">
        <f t="shared" si="494"/>
        <v>Lavender Estate8</v>
      </c>
      <c r="E2397" s="375" t="s">
        <v>3771</v>
      </c>
      <c r="F2397" s="375" t="s">
        <v>2836</v>
      </c>
      <c r="G2397" s="375" t="s">
        <v>3772</v>
      </c>
      <c r="H2397" s="375"/>
      <c r="I2397" s="63" t="s">
        <v>3773</v>
      </c>
      <c r="J2397" s="47"/>
      <c r="K2397" s="46" t="s">
        <v>10735</v>
      </c>
      <c r="L2397" s="47"/>
      <c r="M2397" s="47"/>
      <c r="N2397" s="47"/>
      <c r="O2397" s="47"/>
      <c r="P2397" s="47"/>
      <c r="Q2397" s="47">
        <f t="shared" si="495"/>
        <v>0</v>
      </c>
      <c r="R2397" s="47"/>
      <c r="S2397" s="47"/>
      <c r="T2397" s="47"/>
      <c r="U2397" s="47"/>
      <c r="V2397" s="47"/>
      <c r="W2397" s="47"/>
      <c r="X2397" s="47"/>
      <c r="Y2397" s="47"/>
      <c r="Z2397" s="47">
        <f t="shared" si="496"/>
        <v>4620</v>
      </c>
      <c r="AA2397" s="47"/>
      <c r="AB2397" s="47"/>
      <c r="AC2397" s="47"/>
      <c r="AD2397" s="47"/>
      <c r="AE2397" s="47"/>
      <c r="AF2397" s="47"/>
      <c r="AG2397" s="47"/>
      <c r="AH2397" s="47" t="str">
        <f>IFERROR(_xlfn.XLOOKUP(Table6[[#This Row],[Suburb]],Table5[Travel Surcharge],Table5[$$]),"")</f>
        <v/>
      </c>
      <c r="AI2397" s="47"/>
      <c r="AJ2397" s="47"/>
    </row>
    <row r="2398" spans="1:36">
      <c r="A2398" s="374" t="s">
        <v>3780</v>
      </c>
      <c r="B2398" s="374">
        <v>2</v>
      </c>
      <c r="C2398" s="374" t="s">
        <v>1024</v>
      </c>
      <c r="D2398" s="375" t="str">
        <f t="shared" si="494"/>
        <v>Lavinia Estate2</v>
      </c>
      <c r="E2398" s="375" t="s">
        <v>3781</v>
      </c>
      <c r="F2398" s="375" t="s">
        <v>3782</v>
      </c>
      <c r="G2398" s="375" t="s">
        <v>3783</v>
      </c>
      <c r="H2398" s="375" t="s">
        <v>3784</v>
      </c>
      <c r="I2398" s="63" t="s">
        <v>3785</v>
      </c>
      <c r="J2398" s="47">
        <f>J$7</f>
        <v>3740</v>
      </c>
      <c r="K2398" s="46" t="s">
        <v>10735</v>
      </c>
      <c r="L2398" s="47"/>
      <c r="M2398" s="47"/>
      <c r="N2398" s="47"/>
      <c r="O2398" s="47"/>
      <c r="P2398" s="47"/>
      <c r="Q2398" s="47"/>
      <c r="R2398" s="47">
        <f>R$2</f>
        <v>540</v>
      </c>
      <c r="S2398" s="47"/>
      <c r="T2398" s="47"/>
      <c r="U2398" s="47"/>
      <c r="V2398" s="47"/>
      <c r="W2398" s="47"/>
      <c r="X2398" s="47"/>
      <c r="Y2398" s="47"/>
      <c r="Z2398" s="47">
        <f t="shared" si="496"/>
        <v>4620</v>
      </c>
      <c r="AA2398" s="47"/>
      <c r="AB2398" s="47"/>
      <c r="AC2398" s="47"/>
      <c r="AD2398" s="47" t="s">
        <v>1</v>
      </c>
      <c r="AE2398" s="47"/>
      <c r="AF2398" s="47"/>
      <c r="AG2398" s="47"/>
      <c r="AH2398" s="47" t="str">
        <f>IFERROR(_xlfn.XLOOKUP(Table6[[#This Row],[Suburb]],Table5[Travel Surcharge],Table5[$$]),"")</f>
        <v/>
      </c>
      <c r="AI2398" s="47"/>
      <c r="AJ2398" s="47"/>
    </row>
    <row r="2399" spans="1:36">
      <c r="A2399" s="374" t="s">
        <v>3786</v>
      </c>
      <c r="B2399" s="374">
        <v>1</v>
      </c>
      <c r="C2399" s="374" t="s">
        <v>1024</v>
      </c>
      <c r="D2399" s="375" t="str">
        <f t="shared" si="494"/>
        <v>Layaland Estate1</v>
      </c>
      <c r="E2399" s="375" t="s">
        <v>1855</v>
      </c>
      <c r="F2399" s="375"/>
      <c r="G2399" s="375" t="s">
        <v>1856</v>
      </c>
      <c r="H2399" s="375" t="s">
        <v>1857</v>
      </c>
      <c r="I2399" s="63"/>
      <c r="J2399" s="47">
        <f>J$7</f>
        <v>3740</v>
      </c>
      <c r="K2399" s="46" t="s">
        <v>10735</v>
      </c>
      <c r="L2399" s="47"/>
      <c r="M2399" s="47"/>
      <c r="N2399" s="47"/>
      <c r="O2399" s="47"/>
      <c r="P2399" s="47"/>
      <c r="Q2399" s="47">
        <f>Q$2</f>
        <v>0</v>
      </c>
      <c r="R2399" s="47"/>
      <c r="S2399" s="47"/>
      <c r="T2399" s="47"/>
      <c r="U2399" s="47"/>
      <c r="V2399" s="47"/>
      <c r="W2399" s="47"/>
      <c r="X2399" s="47"/>
      <c r="Y2399" s="47"/>
      <c r="Z2399" s="47">
        <f t="shared" si="496"/>
        <v>4620</v>
      </c>
      <c r="AA2399" s="47"/>
      <c r="AB2399" s="47"/>
      <c r="AC2399" s="47"/>
      <c r="AD2399" s="47"/>
      <c r="AE2399" s="47"/>
      <c r="AF2399" s="47"/>
      <c r="AG2399" s="47"/>
      <c r="AH2399" s="47" t="str">
        <f>IFERROR(_xlfn.XLOOKUP(Table6[[#This Row],[Suburb]],Table5[Travel Surcharge],Table5[$$]),"")</f>
        <v/>
      </c>
      <c r="AI2399" s="47"/>
      <c r="AJ2399" s="47"/>
    </row>
    <row r="2400" spans="1:36">
      <c r="A2400" s="374" t="s">
        <v>3790</v>
      </c>
      <c r="B2400" s="374">
        <v>1</v>
      </c>
      <c r="C2400" s="374" t="s">
        <v>1024</v>
      </c>
      <c r="D2400" s="375" t="str">
        <f t="shared" si="494"/>
        <v>Leafwood1</v>
      </c>
      <c r="E2400" s="375" t="s">
        <v>3791</v>
      </c>
      <c r="F2400" s="375"/>
      <c r="G2400" s="375" t="s">
        <v>1675</v>
      </c>
      <c r="H2400" s="375" t="s">
        <v>1676</v>
      </c>
      <c r="I2400" s="63" t="s">
        <v>1677</v>
      </c>
      <c r="J2400" s="47"/>
      <c r="K2400" s="46" t="s">
        <v>10735</v>
      </c>
      <c r="L2400" s="47"/>
      <c r="M2400" s="47"/>
      <c r="N2400" s="47"/>
      <c r="O2400" s="47"/>
      <c r="P2400" s="47"/>
      <c r="Q2400" s="47">
        <f>Q$2</f>
        <v>0</v>
      </c>
      <c r="R2400" s="47"/>
      <c r="S2400" s="47"/>
      <c r="T2400" s="47"/>
      <c r="U2400" s="47"/>
      <c r="V2400" s="47"/>
      <c r="W2400" s="47"/>
      <c r="X2400" s="47"/>
      <c r="Y2400" s="47"/>
      <c r="Z2400" s="47">
        <f t="shared" si="496"/>
        <v>4620</v>
      </c>
      <c r="AA2400" s="47"/>
      <c r="AB2400" s="47"/>
      <c r="AC2400" s="47"/>
      <c r="AD2400" s="47"/>
      <c r="AE2400" s="47"/>
      <c r="AF2400" s="47"/>
      <c r="AG2400" s="47"/>
      <c r="AH2400" s="47" t="str">
        <f>IFERROR(_xlfn.XLOOKUP(Table6[[#This Row],[Suburb]],Table5[Travel Surcharge],Table5[$$]),"")</f>
        <v/>
      </c>
      <c r="AI2400" s="47"/>
      <c r="AJ2400" s="47"/>
    </row>
    <row r="2401" spans="1:36">
      <c r="A2401" s="374" t="s">
        <v>3787</v>
      </c>
      <c r="B2401" s="374">
        <v>1</v>
      </c>
      <c r="C2401" s="374" t="s">
        <v>394</v>
      </c>
      <c r="D2401" s="375" t="str">
        <f t="shared" si="494"/>
        <v>Leafy1</v>
      </c>
      <c r="E2401" s="375" t="s">
        <v>3788</v>
      </c>
      <c r="F2401" s="375"/>
      <c r="G2401" s="375" t="s">
        <v>397</v>
      </c>
      <c r="H2401" s="375" t="s">
        <v>398</v>
      </c>
      <c r="I2401" s="63" t="s">
        <v>3789</v>
      </c>
      <c r="J2401" s="47"/>
      <c r="K2401" s="46" t="s">
        <v>10735</v>
      </c>
      <c r="L2401" s="47"/>
      <c r="M2401" s="47"/>
      <c r="N2401" s="47"/>
      <c r="O2401" s="47"/>
      <c r="P2401" s="47"/>
      <c r="Q2401" s="47">
        <f>Q$2</f>
        <v>0</v>
      </c>
      <c r="R2401" s="47"/>
      <c r="S2401" s="47"/>
      <c r="T2401" s="47"/>
      <c r="U2401" s="47"/>
      <c r="V2401" s="47"/>
      <c r="W2401" s="47"/>
      <c r="X2401" s="47"/>
      <c r="Y2401" s="47"/>
      <c r="Z2401" s="47">
        <f t="shared" si="496"/>
        <v>4620</v>
      </c>
      <c r="AA2401" s="47"/>
      <c r="AB2401" s="47"/>
      <c r="AC2401" s="47"/>
      <c r="AD2401" s="47"/>
      <c r="AE2401" s="47"/>
      <c r="AF2401" s="47"/>
      <c r="AG2401" s="47"/>
      <c r="AH2401" s="47" t="str">
        <f>IFERROR(_xlfn.XLOOKUP(Table6[[#This Row],[Suburb]],Table5[Travel Surcharge],Table5[$$]),"")</f>
        <v/>
      </c>
      <c r="AI2401" s="47"/>
      <c r="AJ2401" s="47"/>
    </row>
    <row r="2402" spans="1:36">
      <c r="A2402" s="374" t="s">
        <v>3792</v>
      </c>
      <c r="B2402" s="374">
        <v>1</v>
      </c>
      <c r="C2402" s="374" t="s">
        <v>283</v>
      </c>
      <c r="D2402" s="375" t="str">
        <f t="shared" si="494"/>
        <v>Leopold Estate1</v>
      </c>
      <c r="E2402" s="375" t="s">
        <v>3793</v>
      </c>
      <c r="F2402" s="375" t="s">
        <v>1366</v>
      </c>
      <c r="G2402" s="375" t="s">
        <v>1367</v>
      </c>
      <c r="H2402" s="375">
        <v>52741643</v>
      </c>
      <c r="I2402" s="63" t="s">
        <v>1368</v>
      </c>
      <c r="J2402" s="47">
        <f>J$7</f>
        <v>3740</v>
      </c>
      <c r="K2402" s="46" t="s">
        <v>10735</v>
      </c>
      <c r="L2402" s="47"/>
      <c r="M2402" s="47"/>
      <c r="N2402" s="47"/>
      <c r="O2402" s="47"/>
      <c r="P2402" s="47"/>
      <c r="Q2402" s="47"/>
      <c r="R2402" s="47"/>
      <c r="S2402" s="47" t="s">
        <v>463</v>
      </c>
      <c r="T2402" s="47"/>
      <c r="U2402" s="47"/>
      <c r="V2402" s="47"/>
      <c r="W2402" s="47"/>
      <c r="X2402" s="47"/>
      <c r="Y2402" s="47"/>
      <c r="Z2402" s="47">
        <f t="shared" si="496"/>
        <v>4620</v>
      </c>
      <c r="AA2402" s="47"/>
      <c r="AB2402" s="47"/>
      <c r="AC2402" s="47"/>
      <c r="AD2402" s="47"/>
      <c r="AE2402" s="47"/>
      <c r="AF2402" s="47"/>
      <c r="AG2402" s="47"/>
      <c r="AH2402" s="47">
        <f>IFERROR(_xlfn.XLOOKUP(Table6[[#This Row],[Suburb]],Table5[Travel Surcharge],Table5[$$]),"")</f>
        <v>1500</v>
      </c>
      <c r="AI2402" s="47"/>
      <c r="AJ2402" s="47"/>
    </row>
    <row r="2403" spans="1:36">
      <c r="A2403" s="374" t="s">
        <v>10121</v>
      </c>
      <c r="B2403" s="374">
        <v>1</v>
      </c>
      <c r="C2403" s="374" t="s">
        <v>10122</v>
      </c>
      <c r="D2403" s="375" t="str">
        <f>CONCATENATE(A2403,B2403)</f>
        <v>Leopold Green Estate1</v>
      </c>
      <c r="E2403" s="375" t="s">
        <v>10123</v>
      </c>
      <c r="F2403" s="375"/>
      <c r="G2403" s="375"/>
      <c r="H2403" s="375"/>
      <c r="I2403" s="63"/>
      <c r="J2403" s="47" t="s">
        <v>10125</v>
      </c>
      <c r="K2403" s="46" t="s">
        <v>10735</v>
      </c>
      <c r="L2403" s="47" t="s">
        <v>10124</v>
      </c>
      <c r="M2403" s="47"/>
      <c r="N2403" s="47"/>
      <c r="O2403" s="47"/>
      <c r="P2403" s="47"/>
      <c r="Q2403" s="47">
        <v>0</v>
      </c>
      <c r="R2403" s="47"/>
      <c r="S2403" s="47"/>
      <c r="T2403" s="47"/>
      <c r="U2403" s="47"/>
      <c r="V2403" s="47"/>
      <c r="W2403" s="47"/>
      <c r="X2403" s="47"/>
      <c r="Y2403" s="47"/>
      <c r="Z2403" s="47">
        <f>Z$7</f>
        <v>4620</v>
      </c>
      <c r="AA2403" s="47"/>
      <c r="AB2403" s="47"/>
      <c r="AC2403" s="47"/>
      <c r="AD2403" s="47"/>
      <c r="AE2403" s="47"/>
      <c r="AF2403" s="47"/>
      <c r="AG2403" s="47"/>
      <c r="AH2403" s="47">
        <v>1500</v>
      </c>
      <c r="AI2403" s="47"/>
      <c r="AJ2403" s="47"/>
    </row>
    <row r="2404" spans="1:36">
      <c r="A2404" s="374" t="s">
        <v>11002</v>
      </c>
      <c r="B2404" s="374">
        <v>10</v>
      </c>
      <c r="C2404" s="374" t="s">
        <v>802</v>
      </c>
      <c r="D2404" s="375" t="str">
        <f>CONCATENATE(A2404,B2404)</f>
        <v>Lera Estate10</v>
      </c>
      <c r="E2404" s="375" t="s">
        <v>11001</v>
      </c>
      <c r="F2404" s="375" t="s">
        <v>3087</v>
      </c>
      <c r="G2404" s="375" t="s">
        <v>11003</v>
      </c>
      <c r="H2404" s="375" t="s">
        <v>11004</v>
      </c>
      <c r="I2404" s="63" t="s">
        <v>11005</v>
      </c>
      <c r="J2404" s="47">
        <v>3740</v>
      </c>
      <c r="K2404" s="46" t="s">
        <v>7938</v>
      </c>
      <c r="L2404" s="47">
        <v>1210</v>
      </c>
      <c r="M2404" s="47" t="s">
        <v>11006</v>
      </c>
      <c r="N2404" s="47" t="s">
        <v>11007</v>
      </c>
      <c r="O2404" s="47"/>
      <c r="P2404" s="47"/>
      <c r="Q2404" s="47" t="s">
        <v>11008</v>
      </c>
      <c r="R2404" s="47"/>
      <c r="S2404" s="47"/>
      <c r="T2404" s="47"/>
      <c r="U2404" s="47">
        <v>430</v>
      </c>
      <c r="V2404" s="47"/>
      <c r="W2404" s="47"/>
      <c r="X2404" s="47"/>
      <c r="Y2404" s="47"/>
      <c r="Z2404" s="47">
        <f>Z$7</f>
        <v>4620</v>
      </c>
      <c r="AA2404" s="47">
        <v>1400</v>
      </c>
      <c r="AB2404" s="47"/>
      <c r="AC2404" s="47"/>
      <c r="AD2404" s="47"/>
      <c r="AE2404" s="47"/>
      <c r="AF2404" s="47">
        <v>1485</v>
      </c>
      <c r="AG2404" s="47"/>
      <c r="AH2404" s="47" t="e">
        <f>IF((COUNTIF(#REF!,C2404)&gt;0),(IF('Pricing Sheet'!$C$3&lt;&gt;"",(VLOOKUP(C2404,AQ:AQ,2,FALSE)),(VLOOKUP(C2404,AQ:AQ,3,FALSE)))),"")</f>
        <v>#REF!</v>
      </c>
      <c r="AI2404" s="47"/>
      <c r="AJ2404" s="47"/>
    </row>
    <row r="2405" spans="1:36">
      <c r="A2405" s="374" t="s">
        <v>3794</v>
      </c>
      <c r="B2405" s="374">
        <v>2</v>
      </c>
      <c r="C2405" s="374" t="s">
        <v>302</v>
      </c>
      <c r="D2405" s="375" t="str">
        <f t="shared" si="494"/>
        <v>Liberty Park2</v>
      </c>
      <c r="E2405" s="375" t="s">
        <v>3795</v>
      </c>
      <c r="F2405" s="375"/>
      <c r="G2405" s="375"/>
      <c r="H2405" s="375"/>
      <c r="I2405" s="63"/>
      <c r="J2405" s="47">
        <f>J$7</f>
        <v>3740</v>
      </c>
      <c r="K2405" s="46" t="s">
        <v>10735</v>
      </c>
      <c r="L2405" s="47"/>
      <c r="M2405" s="47"/>
      <c r="N2405" s="47" t="s">
        <v>3796</v>
      </c>
      <c r="O2405" s="47"/>
      <c r="P2405" s="47"/>
      <c r="Q2405" s="47"/>
      <c r="R2405" s="47">
        <f>R$2</f>
        <v>540</v>
      </c>
      <c r="S2405" s="47"/>
      <c r="T2405" s="47"/>
      <c r="U2405" s="47"/>
      <c r="V2405" s="47"/>
      <c r="W2405" s="47"/>
      <c r="X2405" s="47"/>
      <c r="Y2405" s="47"/>
      <c r="Z2405" s="47">
        <f t="shared" si="496"/>
        <v>4620</v>
      </c>
      <c r="AA2405" s="47"/>
      <c r="AB2405" s="47"/>
      <c r="AC2405" s="47"/>
      <c r="AD2405" s="47"/>
      <c r="AE2405" s="47"/>
      <c r="AF2405" s="47"/>
      <c r="AG2405" s="47"/>
      <c r="AH2405" s="47">
        <f>IFERROR(_xlfn.XLOOKUP(Table6[[#This Row],[Suburb]],Table5[Travel Surcharge],Table5[$$]),"")</f>
        <v>7000</v>
      </c>
      <c r="AI2405" s="47"/>
      <c r="AJ2405" s="47"/>
    </row>
    <row r="2406" spans="1:36">
      <c r="A2406" s="374" t="s">
        <v>3797</v>
      </c>
      <c r="B2406" s="374">
        <v>1</v>
      </c>
      <c r="C2406" s="374" t="s">
        <v>1590</v>
      </c>
      <c r="D2406" s="375" t="str">
        <f t="shared" si="494"/>
        <v>Life Estate1</v>
      </c>
      <c r="E2406" s="375" t="s">
        <v>3798</v>
      </c>
      <c r="F2406" s="375" t="s">
        <v>1470</v>
      </c>
      <c r="G2406" s="375" t="s">
        <v>3799</v>
      </c>
      <c r="H2406" s="375" t="s">
        <v>3800</v>
      </c>
      <c r="I2406" s="63" t="s">
        <v>3801</v>
      </c>
      <c r="J2406" s="47"/>
      <c r="K2406" s="46" t="s">
        <v>7938</v>
      </c>
      <c r="L2406" s="47"/>
      <c r="M2406" s="47">
        <f t="shared" ref="M2406:M2419" si="497">M$7</f>
        <v>1430.0000000000002</v>
      </c>
      <c r="N2406" s="47"/>
      <c r="O2406" s="47"/>
      <c r="P2406" s="47"/>
      <c r="Q2406" s="47"/>
      <c r="R2406" s="47"/>
      <c r="S2406" s="47"/>
      <c r="T2406" s="47"/>
      <c r="U2406" s="47">
        <f t="shared" ref="U2406:U2419" si="498">U$2</f>
        <v>430</v>
      </c>
      <c r="V2406" s="47"/>
      <c r="W2406" s="47"/>
      <c r="X2406" s="47"/>
      <c r="Y2406" s="47"/>
      <c r="Z2406" s="47">
        <f t="shared" si="496"/>
        <v>4620</v>
      </c>
      <c r="AA2406" s="47"/>
      <c r="AB2406" s="47"/>
      <c r="AC2406" s="47"/>
      <c r="AD2406" s="47"/>
      <c r="AE2406" s="47"/>
      <c r="AF2406" s="47"/>
      <c r="AG2406" s="47"/>
      <c r="AH2406" s="47" t="str">
        <f>IFERROR(_xlfn.XLOOKUP(Table6[[#This Row],[Suburb]],Table5[Travel Surcharge],Table5[$$]),"")</f>
        <v/>
      </c>
      <c r="AI2406" s="47"/>
      <c r="AJ2406" s="47"/>
    </row>
    <row r="2407" spans="1:36">
      <c r="A2407" s="374" t="s">
        <v>3797</v>
      </c>
      <c r="B2407" s="374">
        <v>2</v>
      </c>
      <c r="C2407" s="374" t="s">
        <v>1590</v>
      </c>
      <c r="D2407" s="375" t="str">
        <f t="shared" si="494"/>
        <v>Life Estate2</v>
      </c>
      <c r="E2407" s="375" t="s">
        <v>3802</v>
      </c>
      <c r="F2407" s="375" t="s">
        <v>1470</v>
      </c>
      <c r="G2407" s="375" t="s">
        <v>3799</v>
      </c>
      <c r="H2407" s="375" t="s">
        <v>3800</v>
      </c>
      <c r="I2407" s="63" t="s">
        <v>3801</v>
      </c>
      <c r="J2407" s="47"/>
      <c r="K2407" s="46" t="s">
        <v>7938</v>
      </c>
      <c r="L2407" s="47"/>
      <c r="M2407" s="47">
        <f t="shared" si="497"/>
        <v>1430.0000000000002</v>
      </c>
      <c r="N2407" s="47"/>
      <c r="O2407" s="47"/>
      <c r="P2407" s="47"/>
      <c r="Q2407" s="47"/>
      <c r="R2407" s="47"/>
      <c r="S2407" s="47"/>
      <c r="T2407" s="47"/>
      <c r="U2407" s="47">
        <f t="shared" si="498"/>
        <v>430</v>
      </c>
      <c r="V2407" s="47"/>
      <c r="W2407" s="47"/>
      <c r="X2407" s="47"/>
      <c r="Y2407" s="47"/>
      <c r="Z2407" s="47">
        <f t="shared" si="496"/>
        <v>4620</v>
      </c>
      <c r="AA2407" s="47"/>
      <c r="AB2407" s="47"/>
      <c r="AC2407" s="47"/>
      <c r="AD2407" s="47"/>
      <c r="AE2407" s="47"/>
      <c r="AF2407" s="47"/>
      <c r="AG2407" s="47"/>
      <c r="AH2407" s="47" t="str">
        <f>IFERROR(_xlfn.XLOOKUP(Table6[[#This Row],[Suburb]],Table5[Travel Surcharge],Table5[$$]),"")</f>
        <v/>
      </c>
      <c r="AI2407" s="47"/>
      <c r="AJ2407" s="47"/>
    </row>
    <row r="2408" spans="1:36">
      <c r="A2408" s="374" t="s">
        <v>3797</v>
      </c>
      <c r="B2408" s="374">
        <v>3</v>
      </c>
      <c r="C2408" s="374" t="s">
        <v>1590</v>
      </c>
      <c r="D2408" s="375" t="str">
        <f t="shared" si="494"/>
        <v>Life Estate3</v>
      </c>
      <c r="E2408" s="375" t="s">
        <v>3803</v>
      </c>
      <c r="F2408" s="375" t="s">
        <v>1470</v>
      </c>
      <c r="G2408" s="375" t="s">
        <v>3799</v>
      </c>
      <c r="H2408" s="375" t="s">
        <v>3800</v>
      </c>
      <c r="I2408" s="63" t="s">
        <v>3801</v>
      </c>
      <c r="J2408" s="47"/>
      <c r="K2408" s="46" t="s">
        <v>7938</v>
      </c>
      <c r="L2408" s="47"/>
      <c r="M2408" s="47">
        <f t="shared" si="497"/>
        <v>1430.0000000000002</v>
      </c>
      <c r="N2408" s="47"/>
      <c r="O2408" s="47"/>
      <c r="P2408" s="47"/>
      <c r="Q2408" s="47"/>
      <c r="R2408" s="47"/>
      <c r="S2408" s="47"/>
      <c r="T2408" s="47"/>
      <c r="U2408" s="47">
        <f t="shared" si="498"/>
        <v>430</v>
      </c>
      <c r="V2408" s="47"/>
      <c r="W2408" s="47"/>
      <c r="X2408" s="47"/>
      <c r="Y2408" s="47"/>
      <c r="Z2408" s="47">
        <f t="shared" si="496"/>
        <v>4620</v>
      </c>
      <c r="AA2408" s="47"/>
      <c r="AB2408" s="47"/>
      <c r="AC2408" s="47"/>
      <c r="AD2408" s="47"/>
      <c r="AE2408" s="47"/>
      <c r="AF2408" s="47"/>
      <c r="AG2408" s="47"/>
      <c r="AH2408" s="47" t="str">
        <f>IFERROR(_xlfn.XLOOKUP(Table6[[#This Row],[Suburb]],Table5[Travel Surcharge],Table5[$$]),"")</f>
        <v/>
      </c>
      <c r="AI2408" s="47"/>
      <c r="AJ2408" s="47"/>
    </row>
    <row r="2409" spans="1:36">
      <c r="A2409" s="374" t="s">
        <v>3797</v>
      </c>
      <c r="B2409" s="374">
        <v>4</v>
      </c>
      <c r="C2409" s="374" t="s">
        <v>1590</v>
      </c>
      <c r="D2409" s="375" t="str">
        <f t="shared" si="494"/>
        <v>Life Estate4</v>
      </c>
      <c r="E2409" s="375" t="s">
        <v>3804</v>
      </c>
      <c r="F2409" s="375" t="s">
        <v>1470</v>
      </c>
      <c r="G2409" s="375" t="s">
        <v>3799</v>
      </c>
      <c r="H2409" s="375" t="s">
        <v>3800</v>
      </c>
      <c r="I2409" s="63" t="s">
        <v>3801</v>
      </c>
      <c r="J2409" s="47"/>
      <c r="K2409" s="46" t="s">
        <v>7938</v>
      </c>
      <c r="L2409" s="47"/>
      <c r="M2409" s="47">
        <f t="shared" si="497"/>
        <v>1430.0000000000002</v>
      </c>
      <c r="N2409" s="47"/>
      <c r="O2409" s="47"/>
      <c r="P2409" s="47"/>
      <c r="Q2409" s="47"/>
      <c r="R2409" s="47"/>
      <c r="S2409" s="47"/>
      <c r="T2409" s="47"/>
      <c r="U2409" s="47">
        <f t="shared" si="498"/>
        <v>430</v>
      </c>
      <c r="V2409" s="47"/>
      <c r="W2409" s="47"/>
      <c r="X2409" s="47"/>
      <c r="Y2409" s="47"/>
      <c r="Z2409" s="47">
        <f t="shared" si="496"/>
        <v>4620</v>
      </c>
      <c r="AA2409" s="47"/>
      <c r="AB2409" s="47"/>
      <c r="AC2409" s="47"/>
      <c r="AD2409" s="47"/>
      <c r="AE2409" s="47"/>
      <c r="AF2409" s="47"/>
      <c r="AG2409" s="47"/>
      <c r="AH2409" s="47" t="str">
        <f>IFERROR(_xlfn.XLOOKUP(Table6[[#This Row],[Suburb]],Table5[Travel Surcharge],Table5[$$]),"")</f>
        <v/>
      </c>
      <c r="AI2409" s="47"/>
      <c r="AJ2409" s="47"/>
    </row>
    <row r="2410" spans="1:36">
      <c r="A2410" s="374" t="s">
        <v>3797</v>
      </c>
      <c r="B2410" s="374">
        <v>5</v>
      </c>
      <c r="C2410" s="374" t="s">
        <v>1590</v>
      </c>
      <c r="D2410" s="375" t="str">
        <f t="shared" si="494"/>
        <v>Life Estate5</v>
      </c>
      <c r="E2410" s="375" t="s">
        <v>3805</v>
      </c>
      <c r="F2410" s="375" t="s">
        <v>1470</v>
      </c>
      <c r="G2410" s="375" t="s">
        <v>3799</v>
      </c>
      <c r="H2410" s="375" t="s">
        <v>3800</v>
      </c>
      <c r="I2410" s="63" t="s">
        <v>3801</v>
      </c>
      <c r="J2410" s="47"/>
      <c r="K2410" s="46" t="s">
        <v>7938</v>
      </c>
      <c r="L2410" s="47"/>
      <c r="M2410" s="47">
        <f t="shared" si="497"/>
        <v>1430.0000000000002</v>
      </c>
      <c r="N2410" s="47"/>
      <c r="O2410" s="47"/>
      <c r="P2410" s="47"/>
      <c r="Q2410" s="47"/>
      <c r="R2410" s="47"/>
      <c r="S2410" s="47"/>
      <c r="T2410" s="47"/>
      <c r="U2410" s="47">
        <f t="shared" si="498"/>
        <v>430</v>
      </c>
      <c r="V2410" s="47"/>
      <c r="W2410" s="47"/>
      <c r="X2410" s="47"/>
      <c r="Y2410" s="47"/>
      <c r="Z2410" s="47">
        <f t="shared" si="496"/>
        <v>4620</v>
      </c>
      <c r="AA2410" s="47"/>
      <c r="AB2410" s="47"/>
      <c r="AC2410" s="47"/>
      <c r="AD2410" s="47"/>
      <c r="AE2410" s="47"/>
      <c r="AF2410" s="47"/>
      <c r="AG2410" s="47"/>
      <c r="AH2410" s="47" t="str">
        <f>IFERROR(_xlfn.XLOOKUP(Table6[[#This Row],[Suburb]],Table5[Travel Surcharge],Table5[$$]),"")</f>
        <v/>
      </c>
      <c r="AI2410" s="47"/>
      <c r="AJ2410" s="47"/>
    </row>
    <row r="2411" spans="1:36">
      <c r="A2411" s="374" t="s">
        <v>3797</v>
      </c>
      <c r="B2411" s="374">
        <v>6</v>
      </c>
      <c r="C2411" s="374" t="s">
        <v>1590</v>
      </c>
      <c r="D2411" s="375" t="str">
        <f t="shared" si="494"/>
        <v>Life Estate6</v>
      </c>
      <c r="E2411" s="375" t="s">
        <v>3806</v>
      </c>
      <c r="F2411" s="375" t="s">
        <v>1470</v>
      </c>
      <c r="G2411" s="375" t="s">
        <v>3799</v>
      </c>
      <c r="H2411" s="375" t="s">
        <v>3800</v>
      </c>
      <c r="I2411" s="63" t="s">
        <v>3801</v>
      </c>
      <c r="J2411" s="47"/>
      <c r="K2411" s="46" t="s">
        <v>7938</v>
      </c>
      <c r="L2411" s="47"/>
      <c r="M2411" s="47">
        <f t="shared" si="497"/>
        <v>1430.0000000000002</v>
      </c>
      <c r="N2411" s="47"/>
      <c r="O2411" s="47"/>
      <c r="P2411" s="47"/>
      <c r="Q2411" s="47"/>
      <c r="R2411" s="47"/>
      <c r="S2411" s="47"/>
      <c r="T2411" s="47"/>
      <c r="U2411" s="47">
        <f t="shared" si="498"/>
        <v>430</v>
      </c>
      <c r="V2411" s="47"/>
      <c r="W2411" s="47"/>
      <c r="X2411" s="47"/>
      <c r="Y2411" s="47"/>
      <c r="Z2411" s="47">
        <f t="shared" si="496"/>
        <v>4620</v>
      </c>
      <c r="AA2411" s="47"/>
      <c r="AB2411" s="47"/>
      <c r="AC2411" s="47"/>
      <c r="AD2411" s="47"/>
      <c r="AE2411" s="47"/>
      <c r="AF2411" s="47"/>
      <c r="AG2411" s="47"/>
      <c r="AH2411" s="47" t="str">
        <f>IFERROR(_xlfn.XLOOKUP(Table6[[#This Row],[Suburb]],Table5[Travel Surcharge],Table5[$$]),"")</f>
        <v/>
      </c>
      <c r="AI2411" s="47"/>
      <c r="AJ2411" s="47"/>
    </row>
    <row r="2412" spans="1:36">
      <c r="A2412" s="374" t="s">
        <v>3797</v>
      </c>
      <c r="B2412" s="374">
        <v>9</v>
      </c>
      <c r="C2412" s="374" t="s">
        <v>1590</v>
      </c>
      <c r="D2412" s="375" t="str">
        <f t="shared" si="494"/>
        <v>Life Estate9</v>
      </c>
      <c r="E2412" s="375" t="s">
        <v>3807</v>
      </c>
      <c r="F2412" s="375" t="s">
        <v>1470</v>
      </c>
      <c r="G2412" s="375" t="s">
        <v>3799</v>
      </c>
      <c r="H2412" s="375" t="s">
        <v>3800</v>
      </c>
      <c r="I2412" s="63" t="s">
        <v>3801</v>
      </c>
      <c r="J2412" s="47"/>
      <c r="K2412" s="46" t="s">
        <v>7938</v>
      </c>
      <c r="L2412" s="47"/>
      <c r="M2412" s="47">
        <f t="shared" si="497"/>
        <v>1430.0000000000002</v>
      </c>
      <c r="N2412" s="47"/>
      <c r="O2412" s="47"/>
      <c r="P2412" s="47"/>
      <c r="Q2412" s="47"/>
      <c r="R2412" s="47"/>
      <c r="S2412" s="47"/>
      <c r="T2412" s="47"/>
      <c r="U2412" s="47">
        <f t="shared" si="498"/>
        <v>430</v>
      </c>
      <c r="V2412" s="47"/>
      <c r="W2412" s="47"/>
      <c r="X2412" s="47"/>
      <c r="Y2412" s="47"/>
      <c r="Z2412" s="47">
        <f t="shared" si="496"/>
        <v>4620</v>
      </c>
      <c r="AA2412" s="47"/>
      <c r="AB2412" s="47"/>
      <c r="AC2412" s="47"/>
      <c r="AD2412" s="47"/>
      <c r="AE2412" s="47"/>
      <c r="AF2412" s="47"/>
      <c r="AG2412" s="47"/>
      <c r="AH2412" s="47" t="str">
        <f>IFERROR(_xlfn.XLOOKUP(Table6[[#This Row],[Suburb]],Table5[Travel Surcharge],Table5[$$]),"")</f>
        <v/>
      </c>
      <c r="AI2412" s="47"/>
      <c r="AJ2412" s="47"/>
    </row>
    <row r="2413" spans="1:36">
      <c r="A2413" s="374" t="s">
        <v>3797</v>
      </c>
      <c r="B2413" s="374">
        <v>10</v>
      </c>
      <c r="C2413" s="374" t="s">
        <v>1590</v>
      </c>
      <c r="D2413" s="375" t="str">
        <f t="shared" si="494"/>
        <v>Life Estate10</v>
      </c>
      <c r="E2413" s="375" t="s">
        <v>3808</v>
      </c>
      <c r="F2413" s="375" t="s">
        <v>1470</v>
      </c>
      <c r="G2413" s="375" t="s">
        <v>3799</v>
      </c>
      <c r="H2413" s="375" t="s">
        <v>3800</v>
      </c>
      <c r="I2413" s="63" t="s">
        <v>3801</v>
      </c>
      <c r="J2413" s="47"/>
      <c r="K2413" s="46" t="s">
        <v>7938</v>
      </c>
      <c r="L2413" s="47"/>
      <c r="M2413" s="47">
        <f t="shared" si="497"/>
        <v>1430.0000000000002</v>
      </c>
      <c r="N2413" s="47"/>
      <c r="O2413" s="47"/>
      <c r="P2413" s="47"/>
      <c r="Q2413" s="47"/>
      <c r="R2413" s="47"/>
      <c r="S2413" s="47"/>
      <c r="T2413" s="47"/>
      <c r="U2413" s="47">
        <f t="shared" si="498"/>
        <v>430</v>
      </c>
      <c r="V2413" s="47"/>
      <c r="W2413" s="47"/>
      <c r="X2413" s="47"/>
      <c r="Y2413" s="47"/>
      <c r="Z2413" s="47">
        <f t="shared" si="496"/>
        <v>4620</v>
      </c>
      <c r="AA2413" s="47"/>
      <c r="AB2413" s="47"/>
      <c r="AC2413" s="47"/>
      <c r="AD2413" s="47"/>
      <c r="AE2413" s="47"/>
      <c r="AF2413" s="47"/>
      <c r="AG2413" s="47"/>
      <c r="AH2413" s="47" t="str">
        <f>IFERROR(_xlfn.XLOOKUP(Table6[[#This Row],[Suburb]],Table5[Travel Surcharge],Table5[$$]),"")</f>
        <v/>
      </c>
      <c r="AI2413" s="47"/>
      <c r="AJ2413" s="47"/>
    </row>
    <row r="2414" spans="1:36">
      <c r="A2414" s="374" t="s">
        <v>3797</v>
      </c>
      <c r="B2414" s="374">
        <v>11</v>
      </c>
      <c r="C2414" s="374" t="s">
        <v>1590</v>
      </c>
      <c r="D2414" s="375" t="str">
        <f t="shared" si="494"/>
        <v>Life Estate11</v>
      </c>
      <c r="E2414" s="375" t="s">
        <v>3809</v>
      </c>
      <c r="F2414" s="375" t="s">
        <v>1470</v>
      </c>
      <c r="G2414" s="375" t="s">
        <v>3799</v>
      </c>
      <c r="H2414" s="375" t="s">
        <v>3800</v>
      </c>
      <c r="I2414" s="63" t="s">
        <v>3801</v>
      </c>
      <c r="J2414" s="47"/>
      <c r="K2414" s="46" t="s">
        <v>7938</v>
      </c>
      <c r="L2414" s="47"/>
      <c r="M2414" s="47">
        <f t="shared" si="497"/>
        <v>1430.0000000000002</v>
      </c>
      <c r="N2414" s="47"/>
      <c r="O2414" s="47"/>
      <c r="P2414" s="47"/>
      <c r="Q2414" s="47"/>
      <c r="R2414" s="47"/>
      <c r="S2414" s="47"/>
      <c r="T2414" s="47"/>
      <c r="U2414" s="47">
        <f t="shared" si="498"/>
        <v>430</v>
      </c>
      <c r="V2414" s="47"/>
      <c r="W2414" s="47"/>
      <c r="X2414" s="47"/>
      <c r="Y2414" s="47"/>
      <c r="Z2414" s="47">
        <f t="shared" si="496"/>
        <v>4620</v>
      </c>
      <c r="AA2414" s="47"/>
      <c r="AB2414" s="47"/>
      <c r="AC2414" s="47"/>
      <c r="AD2414" s="47"/>
      <c r="AE2414" s="47"/>
      <c r="AF2414" s="47"/>
      <c r="AG2414" s="47"/>
      <c r="AH2414" s="47" t="str">
        <f>IFERROR(_xlfn.XLOOKUP(Table6[[#This Row],[Suburb]],Table5[Travel Surcharge],Table5[$$]),"")</f>
        <v/>
      </c>
      <c r="AI2414" s="47"/>
      <c r="AJ2414" s="47"/>
    </row>
    <row r="2415" spans="1:36">
      <c r="A2415" s="374" t="s">
        <v>3797</v>
      </c>
      <c r="B2415" s="374">
        <v>12</v>
      </c>
      <c r="C2415" s="374" t="s">
        <v>1590</v>
      </c>
      <c r="D2415" s="375" t="str">
        <f t="shared" si="494"/>
        <v>Life Estate12</v>
      </c>
      <c r="E2415" s="375" t="s">
        <v>3810</v>
      </c>
      <c r="F2415" s="375" t="s">
        <v>1470</v>
      </c>
      <c r="G2415" s="375" t="s">
        <v>3799</v>
      </c>
      <c r="H2415" s="375" t="s">
        <v>3800</v>
      </c>
      <c r="I2415" s="63" t="s">
        <v>3801</v>
      </c>
      <c r="J2415" s="47"/>
      <c r="K2415" s="46" t="s">
        <v>7938</v>
      </c>
      <c r="L2415" s="47"/>
      <c r="M2415" s="47">
        <f t="shared" si="497"/>
        <v>1430.0000000000002</v>
      </c>
      <c r="N2415" s="47"/>
      <c r="O2415" s="47"/>
      <c r="P2415" s="47"/>
      <c r="Q2415" s="47"/>
      <c r="R2415" s="47"/>
      <c r="S2415" s="47"/>
      <c r="T2415" s="47"/>
      <c r="U2415" s="47">
        <f t="shared" si="498"/>
        <v>430</v>
      </c>
      <c r="V2415" s="47"/>
      <c r="W2415" s="47"/>
      <c r="X2415" s="47"/>
      <c r="Y2415" s="47"/>
      <c r="Z2415" s="47">
        <f t="shared" si="496"/>
        <v>4620</v>
      </c>
      <c r="AA2415" s="47"/>
      <c r="AB2415" s="47"/>
      <c r="AC2415" s="47"/>
      <c r="AD2415" s="47"/>
      <c r="AE2415" s="47"/>
      <c r="AF2415" s="47"/>
      <c r="AG2415" s="47"/>
      <c r="AH2415" s="47" t="str">
        <f>IFERROR(_xlfn.XLOOKUP(Table6[[#This Row],[Suburb]],Table5[Travel Surcharge],Table5[$$]),"")</f>
        <v/>
      </c>
      <c r="AI2415" s="47"/>
      <c r="AJ2415" s="47"/>
    </row>
    <row r="2416" spans="1:36">
      <c r="A2416" s="374" t="s">
        <v>3797</v>
      </c>
      <c r="B2416" s="374">
        <v>13</v>
      </c>
      <c r="C2416" s="374" t="s">
        <v>1590</v>
      </c>
      <c r="D2416" s="375" t="str">
        <f t="shared" si="494"/>
        <v>Life Estate13</v>
      </c>
      <c r="E2416" s="375" t="s">
        <v>3811</v>
      </c>
      <c r="F2416" s="375" t="s">
        <v>1470</v>
      </c>
      <c r="G2416" s="375" t="s">
        <v>3799</v>
      </c>
      <c r="H2416" s="375" t="s">
        <v>3800</v>
      </c>
      <c r="I2416" s="63" t="s">
        <v>3801</v>
      </c>
      <c r="J2416" s="47"/>
      <c r="K2416" s="46" t="s">
        <v>7938</v>
      </c>
      <c r="L2416" s="47"/>
      <c r="M2416" s="47">
        <f t="shared" si="497"/>
        <v>1430.0000000000002</v>
      </c>
      <c r="N2416" s="47"/>
      <c r="O2416" s="47"/>
      <c r="P2416" s="47"/>
      <c r="Q2416" s="47"/>
      <c r="R2416" s="47"/>
      <c r="S2416" s="47"/>
      <c r="T2416" s="47"/>
      <c r="U2416" s="47">
        <f t="shared" si="498"/>
        <v>430</v>
      </c>
      <c r="V2416" s="47"/>
      <c r="W2416" s="47"/>
      <c r="X2416" s="47"/>
      <c r="Y2416" s="47"/>
      <c r="Z2416" s="47">
        <f t="shared" si="496"/>
        <v>4620</v>
      </c>
      <c r="AA2416" s="47"/>
      <c r="AB2416" s="47"/>
      <c r="AC2416" s="47"/>
      <c r="AD2416" s="47"/>
      <c r="AE2416" s="47"/>
      <c r="AF2416" s="47"/>
      <c r="AG2416" s="47"/>
      <c r="AH2416" s="47" t="str">
        <f>IFERROR(_xlfn.XLOOKUP(Table6[[#This Row],[Suburb]],Table5[Travel Surcharge],Table5[$$]),"")</f>
        <v/>
      </c>
      <c r="AI2416" s="47"/>
      <c r="AJ2416" s="47"/>
    </row>
    <row r="2417" spans="1:36">
      <c r="A2417" s="374" t="s">
        <v>3797</v>
      </c>
      <c r="B2417" s="374">
        <v>16</v>
      </c>
      <c r="C2417" s="374" t="s">
        <v>1590</v>
      </c>
      <c r="D2417" s="375" t="str">
        <f t="shared" si="494"/>
        <v>Life Estate16</v>
      </c>
      <c r="E2417" s="375" t="s">
        <v>3814</v>
      </c>
      <c r="F2417" s="375" t="s">
        <v>1470</v>
      </c>
      <c r="G2417" s="375" t="s">
        <v>3799</v>
      </c>
      <c r="H2417" s="375" t="s">
        <v>3800</v>
      </c>
      <c r="I2417" s="63" t="s">
        <v>3801</v>
      </c>
      <c r="J2417" s="47"/>
      <c r="K2417" s="46" t="s">
        <v>7938</v>
      </c>
      <c r="L2417" s="47"/>
      <c r="M2417" s="47">
        <f t="shared" si="497"/>
        <v>1430.0000000000002</v>
      </c>
      <c r="N2417" s="47"/>
      <c r="O2417" s="47"/>
      <c r="P2417" s="47"/>
      <c r="Q2417" s="47"/>
      <c r="R2417" s="47"/>
      <c r="S2417" s="47"/>
      <c r="T2417" s="47"/>
      <c r="U2417" s="47">
        <f t="shared" si="498"/>
        <v>430</v>
      </c>
      <c r="V2417" s="47"/>
      <c r="W2417" s="47"/>
      <c r="X2417" s="47"/>
      <c r="Y2417" s="47"/>
      <c r="Z2417" s="47">
        <f t="shared" si="496"/>
        <v>4620</v>
      </c>
      <c r="AA2417" s="47"/>
      <c r="AB2417" s="47"/>
      <c r="AC2417" s="47"/>
      <c r="AD2417" s="47"/>
      <c r="AE2417" s="47"/>
      <c r="AF2417" s="47"/>
      <c r="AG2417" s="47"/>
      <c r="AH2417" s="47" t="str">
        <f>IFERROR(_xlfn.XLOOKUP(Table6[[#This Row],[Suburb]],Table5[Travel Surcharge],Table5[$$]),"")</f>
        <v/>
      </c>
      <c r="AI2417" s="47"/>
      <c r="AJ2417" s="47"/>
    </row>
    <row r="2418" spans="1:36">
      <c r="A2418" s="374" t="s">
        <v>3797</v>
      </c>
      <c r="B2418" s="374" t="s">
        <v>1936</v>
      </c>
      <c r="C2418" s="374" t="s">
        <v>1590</v>
      </c>
      <c r="D2418" s="375" t="str">
        <f t="shared" si="494"/>
        <v>Life Estate15A</v>
      </c>
      <c r="E2418" s="375" t="s">
        <v>3812</v>
      </c>
      <c r="F2418" s="375" t="s">
        <v>1470</v>
      </c>
      <c r="G2418" s="375" t="s">
        <v>3799</v>
      </c>
      <c r="H2418" s="375" t="s">
        <v>3800</v>
      </c>
      <c r="I2418" s="63" t="s">
        <v>3801</v>
      </c>
      <c r="J2418" s="47"/>
      <c r="K2418" s="46" t="s">
        <v>7938</v>
      </c>
      <c r="L2418" s="47"/>
      <c r="M2418" s="47">
        <f t="shared" si="497"/>
        <v>1430.0000000000002</v>
      </c>
      <c r="N2418" s="47"/>
      <c r="O2418" s="47"/>
      <c r="P2418" s="47"/>
      <c r="Q2418" s="47"/>
      <c r="R2418" s="47"/>
      <c r="S2418" s="47"/>
      <c r="T2418" s="47"/>
      <c r="U2418" s="47">
        <f t="shared" si="498"/>
        <v>430</v>
      </c>
      <c r="V2418" s="47"/>
      <c r="W2418" s="47"/>
      <c r="X2418" s="47"/>
      <c r="Y2418" s="47"/>
      <c r="Z2418" s="47">
        <f t="shared" si="496"/>
        <v>4620</v>
      </c>
      <c r="AA2418" s="47"/>
      <c r="AB2418" s="47"/>
      <c r="AC2418" s="47"/>
      <c r="AD2418" s="47"/>
      <c r="AE2418" s="47"/>
      <c r="AF2418" s="47"/>
      <c r="AG2418" s="47"/>
      <c r="AH2418" s="47" t="str">
        <f>IFERROR(_xlfn.XLOOKUP(Table6[[#This Row],[Suburb]],Table5[Travel Surcharge],Table5[$$]),"")</f>
        <v/>
      </c>
      <c r="AI2418" s="47"/>
      <c r="AJ2418" s="47"/>
    </row>
    <row r="2419" spans="1:36">
      <c r="A2419" s="374" t="s">
        <v>3797</v>
      </c>
      <c r="B2419" s="374" t="s">
        <v>2717</v>
      </c>
      <c r="C2419" s="374" t="s">
        <v>1590</v>
      </c>
      <c r="D2419" s="375" t="str">
        <f t="shared" ref="D2419:D2467" si="499">CONCATENATE(A2419,B2419)</f>
        <v>Life Estate15B</v>
      </c>
      <c r="E2419" s="375" t="s">
        <v>3813</v>
      </c>
      <c r="F2419" s="375" t="s">
        <v>1470</v>
      </c>
      <c r="G2419" s="375" t="s">
        <v>3799</v>
      </c>
      <c r="H2419" s="375" t="s">
        <v>3800</v>
      </c>
      <c r="I2419" s="63" t="s">
        <v>3801</v>
      </c>
      <c r="J2419" s="47"/>
      <c r="K2419" s="46" t="s">
        <v>7938</v>
      </c>
      <c r="L2419" s="47"/>
      <c r="M2419" s="47">
        <f t="shared" si="497"/>
        <v>1430.0000000000002</v>
      </c>
      <c r="N2419" s="47"/>
      <c r="O2419" s="47"/>
      <c r="P2419" s="47"/>
      <c r="Q2419" s="47"/>
      <c r="R2419" s="47"/>
      <c r="S2419" s="47"/>
      <c r="T2419" s="47"/>
      <c r="U2419" s="47">
        <f t="shared" si="498"/>
        <v>430</v>
      </c>
      <c r="V2419" s="47"/>
      <c r="W2419" s="47"/>
      <c r="X2419" s="47"/>
      <c r="Y2419" s="47"/>
      <c r="Z2419" s="47">
        <f t="shared" si="496"/>
        <v>4620</v>
      </c>
      <c r="AA2419" s="47"/>
      <c r="AB2419" s="47"/>
      <c r="AC2419" s="47"/>
      <c r="AD2419" s="47"/>
      <c r="AE2419" s="47"/>
      <c r="AF2419" s="47"/>
      <c r="AG2419" s="47"/>
      <c r="AH2419" s="47" t="str">
        <f>IFERROR(_xlfn.XLOOKUP(Table6[[#This Row],[Suburb]],Table5[Travel Surcharge],Table5[$$]),"")</f>
        <v/>
      </c>
      <c r="AI2419" s="47"/>
      <c r="AJ2419" s="47"/>
    </row>
    <row r="2420" spans="1:36">
      <c r="A2420" s="374" t="s">
        <v>3815</v>
      </c>
      <c r="B2420" s="374">
        <v>2</v>
      </c>
      <c r="C2420" s="374" t="s">
        <v>1042</v>
      </c>
      <c r="D2420" s="375" t="str">
        <f t="shared" si="499"/>
        <v>Lilium Estate2</v>
      </c>
      <c r="E2420" s="375" t="s">
        <v>3816</v>
      </c>
      <c r="F2420" s="375" t="s">
        <v>3782</v>
      </c>
      <c r="G2420" s="375" t="s">
        <v>3817</v>
      </c>
      <c r="H2420" s="375" t="s">
        <v>3818</v>
      </c>
      <c r="I2420" s="63" t="s">
        <v>3819</v>
      </c>
      <c r="J2420" s="47">
        <f t="shared" ref="J2420:J2430" si="500">J$7</f>
        <v>3740</v>
      </c>
      <c r="K2420" s="46" t="s">
        <v>7938</v>
      </c>
      <c r="L2420" s="47"/>
      <c r="M2420" s="47"/>
      <c r="N2420" s="47" t="s">
        <v>3820</v>
      </c>
      <c r="O2420" s="47"/>
      <c r="P2420" s="47"/>
      <c r="Q2420" s="47">
        <f t="shared" ref="Q2420:Q2430" si="501">Q$2</f>
        <v>0</v>
      </c>
      <c r="R2420" s="47"/>
      <c r="S2420" s="47"/>
      <c r="T2420" s="47"/>
      <c r="U2420" s="47"/>
      <c r="V2420" s="47"/>
      <c r="W2420" s="47"/>
      <c r="X2420" s="47"/>
      <c r="Y2420" s="47"/>
      <c r="Z2420" s="47">
        <f t="shared" si="496"/>
        <v>4620</v>
      </c>
      <c r="AA2420" s="47">
        <f t="shared" ref="AA2420:AA2432" si="502">AA$7</f>
        <v>1400</v>
      </c>
      <c r="AB2420" s="47"/>
      <c r="AC2420" s="47"/>
      <c r="AD2420" s="47"/>
      <c r="AE2420" s="47"/>
      <c r="AF2420" s="47"/>
      <c r="AG2420" s="47"/>
      <c r="AH2420" s="47" t="str">
        <f>IFERROR(_xlfn.XLOOKUP(Table6[[#This Row],[Suburb]],Table5[Travel Surcharge],Table5[$$]),"")</f>
        <v/>
      </c>
      <c r="AI2420" s="47"/>
      <c r="AJ2420" s="47"/>
    </row>
    <row r="2421" spans="1:36">
      <c r="A2421" s="374" t="s">
        <v>3815</v>
      </c>
      <c r="B2421" s="374">
        <v>3</v>
      </c>
      <c r="C2421" s="374" t="s">
        <v>1042</v>
      </c>
      <c r="D2421" s="375" t="str">
        <f t="shared" si="499"/>
        <v>Lilium Estate3</v>
      </c>
      <c r="E2421" s="375" t="s">
        <v>3821</v>
      </c>
      <c r="F2421" s="375" t="s">
        <v>3782</v>
      </c>
      <c r="G2421" s="375" t="s">
        <v>3817</v>
      </c>
      <c r="H2421" s="375" t="s">
        <v>3818</v>
      </c>
      <c r="I2421" s="63" t="s">
        <v>3819</v>
      </c>
      <c r="J2421" s="47">
        <f t="shared" si="500"/>
        <v>3740</v>
      </c>
      <c r="K2421" s="46" t="s">
        <v>7938</v>
      </c>
      <c r="L2421" s="47"/>
      <c r="M2421" s="47"/>
      <c r="N2421" s="47" t="s">
        <v>3820</v>
      </c>
      <c r="O2421" s="47"/>
      <c r="P2421" s="47"/>
      <c r="Q2421" s="47">
        <f t="shared" si="501"/>
        <v>0</v>
      </c>
      <c r="R2421" s="47"/>
      <c r="S2421" s="47"/>
      <c r="T2421" s="47"/>
      <c r="U2421" s="47"/>
      <c r="V2421" s="47"/>
      <c r="W2421" s="47"/>
      <c r="X2421" s="47"/>
      <c r="Y2421" s="47"/>
      <c r="Z2421" s="47">
        <f t="shared" si="496"/>
        <v>4620</v>
      </c>
      <c r="AA2421" s="47">
        <f t="shared" si="502"/>
        <v>1400</v>
      </c>
      <c r="AB2421" s="47"/>
      <c r="AC2421" s="47"/>
      <c r="AD2421" s="47"/>
      <c r="AE2421" s="47"/>
      <c r="AF2421" s="47"/>
      <c r="AG2421" s="47"/>
      <c r="AH2421" s="47" t="str">
        <f>IFERROR(_xlfn.XLOOKUP(Table6[[#This Row],[Suburb]],Table5[Travel Surcharge],Table5[$$]),"")</f>
        <v/>
      </c>
      <c r="AI2421" s="47"/>
      <c r="AJ2421" s="47"/>
    </row>
    <row r="2422" spans="1:36">
      <c r="A2422" s="374" t="s">
        <v>3815</v>
      </c>
      <c r="B2422" s="374">
        <v>4</v>
      </c>
      <c r="C2422" s="374" t="s">
        <v>1042</v>
      </c>
      <c r="D2422" s="375" t="str">
        <f t="shared" si="499"/>
        <v>Lilium Estate4</v>
      </c>
      <c r="E2422" s="375" t="s">
        <v>3822</v>
      </c>
      <c r="F2422" s="375" t="s">
        <v>3782</v>
      </c>
      <c r="G2422" s="375" t="s">
        <v>3817</v>
      </c>
      <c r="H2422" s="375" t="s">
        <v>3818</v>
      </c>
      <c r="I2422" s="63" t="s">
        <v>3819</v>
      </c>
      <c r="J2422" s="47">
        <f t="shared" si="500"/>
        <v>3740</v>
      </c>
      <c r="K2422" s="46" t="s">
        <v>7938</v>
      </c>
      <c r="L2422" s="47"/>
      <c r="M2422" s="47"/>
      <c r="N2422" s="47" t="s">
        <v>3820</v>
      </c>
      <c r="O2422" s="47"/>
      <c r="P2422" s="47"/>
      <c r="Q2422" s="47">
        <f t="shared" si="501"/>
        <v>0</v>
      </c>
      <c r="R2422" s="47"/>
      <c r="S2422" s="47"/>
      <c r="T2422" s="47"/>
      <c r="U2422" s="47"/>
      <c r="V2422" s="47"/>
      <c r="W2422" s="47"/>
      <c r="X2422" s="47"/>
      <c r="Y2422" s="47"/>
      <c r="Z2422" s="47">
        <f t="shared" si="496"/>
        <v>4620</v>
      </c>
      <c r="AA2422" s="47">
        <f t="shared" si="502"/>
        <v>1400</v>
      </c>
      <c r="AB2422" s="47"/>
      <c r="AC2422" s="47"/>
      <c r="AD2422" s="47"/>
      <c r="AE2422" s="47"/>
      <c r="AF2422" s="47"/>
      <c r="AG2422" s="47"/>
      <c r="AH2422" s="47" t="str">
        <f>IFERROR(_xlfn.XLOOKUP(Table6[[#This Row],[Suburb]],Table5[Travel Surcharge],Table5[$$]),"")</f>
        <v/>
      </c>
      <c r="AI2422" s="47"/>
      <c r="AJ2422" s="47"/>
    </row>
    <row r="2423" spans="1:36">
      <c r="A2423" s="374" t="s">
        <v>3815</v>
      </c>
      <c r="B2423" s="374">
        <v>5</v>
      </c>
      <c r="C2423" s="374" t="s">
        <v>1042</v>
      </c>
      <c r="D2423" s="375" t="str">
        <f t="shared" si="499"/>
        <v>Lilium Estate5</v>
      </c>
      <c r="E2423" s="375" t="s">
        <v>3823</v>
      </c>
      <c r="F2423" s="375" t="s">
        <v>3782</v>
      </c>
      <c r="G2423" s="375" t="s">
        <v>3817</v>
      </c>
      <c r="H2423" s="375" t="s">
        <v>3818</v>
      </c>
      <c r="I2423" s="63" t="s">
        <v>3819</v>
      </c>
      <c r="J2423" s="47">
        <f t="shared" si="500"/>
        <v>3740</v>
      </c>
      <c r="K2423" s="46" t="s">
        <v>7938</v>
      </c>
      <c r="L2423" s="47"/>
      <c r="M2423" s="47"/>
      <c r="N2423" s="47" t="s">
        <v>3820</v>
      </c>
      <c r="O2423" s="47"/>
      <c r="P2423" s="47"/>
      <c r="Q2423" s="47">
        <f t="shared" si="501"/>
        <v>0</v>
      </c>
      <c r="R2423" s="47"/>
      <c r="S2423" s="47"/>
      <c r="T2423" s="47"/>
      <c r="U2423" s="47"/>
      <c r="V2423" s="47"/>
      <c r="W2423" s="47"/>
      <c r="X2423" s="47"/>
      <c r="Y2423" s="47"/>
      <c r="Z2423" s="47">
        <f t="shared" si="496"/>
        <v>4620</v>
      </c>
      <c r="AA2423" s="47">
        <f t="shared" si="502"/>
        <v>1400</v>
      </c>
      <c r="AB2423" s="47"/>
      <c r="AC2423" s="47"/>
      <c r="AD2423" s="47"/>
      <c r="AE2423" s="47"/>
      <c r="AF2423" s="47"/>
      <c r="AG2423" s="47"/>
      <c r="AH2423" s="47" t="str">
        <f>IFERROR(_xlfn.XLOOKUP(Table6[[#This Row],[Suburb]],Table5[Travel Surcharge],Table5[$$]),"")</f>
        <v/>
      </c>
      <c r="AI2423" s="47"/>
      <c r="AJ2423" s="47"/>
    </row>
    <row r="2424" spans="1:36">
      <c r="A2424" s="374" t="s">
        <v>3815</v>
      </c>
      <c r="B2424" s="374">
        <v>6</v>
      </c>
      <c r="C2424" s="374" t="s">
        <v>1042</v>
      </c>
      <c r="D2424" s="375" t="str">
        <f t="shared" si="499"/>
        <v>Lilium Estate6</v>
      </c>
      <c r="E2424" s="375" t="s">
        <v>3824</v>
      </c>
      <c r="F2424" s="375" t="s">
        <v>3782</v>
      </c>
      <c r="G2424" s="375" t="s">
        <v>3817</v>
      </c>
      <c r="H2424" s="375" t="s">
        <v>3818</v>
      </c>
      <c r="I2424" s="63" t="s">
        <v>3819</v>
      </c>
      <c r="J2424" s="47">
        <f t="shared" si="500"/>
        <v>3740</v>
      </c>
      <c r="K2424" s="46" t="s">
        <v>7938</v>
      </c>
      <c r="L2424" s="47"/>
      <c r="M2424" s="47"/>
      <c r="N2424" s="47" t="s">
        <v>3825</v>
      </c>
      <c r="O2424" s="47"/>
      <c r="P2424" s="47"/>
      <c r="Q2424" s="47">
        <f t="shared" si="501"/>
        <v>0</v>
      </c>
      <c r="R2424" s="47"/>
      <c r="S2424" s="47"/>
      <c r="T2424" s="47"/>
      <c r="U2424" s="47"/>
      <c r="V2424" s="47"/>
      <c r="W2424" s="47"/>
      <c r="X2424" s="47"/>
      <c r="Y2424" s="47"/>
      <c r="Z2424" s="47">
        <f t="shared" si="496"/>
        <v>4620</v>
      </c>
      <c r="AA2424" s="47">
        <f t="shared" si="502"/>
        <v>1400</v>
      </c>
      <c r="AB2424" s="47"/>
      <c r="AC2424" s="47"/>
      <c r="AD2424" s="47"/>
      <c r="AE2424" s="47"/>
      <c r="AF2424" s="47"/>
      <c r="AG2424" s="47"/>
      <c r="AH2424" s="47" t="str">
        <f>IFERROR(_xlfn.XLOOKUP(Table6[[#This Row],[Suburb]],Table5[Travel Surcharge],Table5[$$]),"")</f>
        <v/>
      </c>
      <c r="AI2424" s="47"/>
      <c r="AJ2424" s="47"/>
    </row>
    <row r="2425" spans="1:36">
      <c r="A2425" s="374" t="s">
        <v>3815</v>
      </c>
      <c r="B2425" s="374">
        <v>7</v>
      </c>
      <c r="C2425" s="374" t="s">
        <v>1042</v>
      </c>
      <c r="D2425" s="375" t="str">
        <f t="shared" si="499"/>
        <v>Lilium Estate7</v>
      </c>
      <c r="E2425" s="375" t="s">
        <v>3826</v>
      </c>
      <c r="F2425" s="375" t="s">
        <v>3782</v>
      </c>
      <c r="G2425" s="375" t="s">
        <v>3817</v>
      </c>
      <c r="H2425" s="375" t="s">
        <v>3818</v>
      </c>
      <c r="I2425" s="63" t="s">
        <v>3819</v>
      </c>
      <c r="J2425" s="47">
        <f t="shared" si="500"/>
        <v>3740</v>
      </c>
      <c r="K2425" s="46" t="s">
        <v>7938</v>
      </c>
      <c r="L2425" s="47"/>
      <c r="M2425" s="47"/>
      <c r="N2425" s="47" t="s">
        <v>3827</v>
      </c>
      <c r="O2425" s="47"/>
      <c r="P2425" s="47"/>
      <c r="Q2425" s="47">
        <f t="shared" si="501"/>
        <v>0</v>
      </c>
      <c r="R2425" s="47"/>
      <c r="S2425" s="47"/>
      <c r="T2425" s="47"/>
      <c r="U2425" s="47"/>
      <c r="V2425" s="47"/>
      <c r="W2425" s="47"/>
      <c r="X2425" s="47"/>
      <c r="Y2425" s="47"/>
      <c r="Z2425" s="47">
        <f t="shared" si="496"/>
        <v>4620</v>
      </c>
      <c r="AA2425" s="47">
        <f t="shared" si="502"/>
        <v>1400</v>
      </c>
      <c r="AB2425" s="47"/>
      <c r="AC2425" s="47"/>
      <c r="AD2425" s="47"/>
      <c r="AE2425" s="47"/>
      <c r="AF2425" s="47"/>
      <c r="AG2425" s="47"/>
      <c r="AH2425" s="47" t="str">
        <f>IFERROR(_xlfn.XLOOKUP(Table6[[#This Row],[Suburb]],Table5[Travel Surcharge],Table5[$$]),"")</f>
        <v/>
      </c>
      <c r="AI2425" s="47"/>
      <c r="AJ2425" s="47"/>
    </row>
    <row r="2426" spans="1:36">
      <c r="A2426" s="374" t="s">
        <v>3815</v>
      </c>
      <c r="B2426" s="374">
        <v>8</v>
      </c>
      <c r="C2426" s="374" t="s">
        <v>1042</v>
      </c>
      <c r="D2426" s="375" t="str">
        <f t="shared" si="499"/>
        <v>Lilium Estate8</v>
      </c>
      <c r="E2426" s="375" t="s">
        <v>3828</v>
      </c>
      <c r="F2426" s="375" t="s">
        <v>3782</v>
      </c>
      <c r="G2426" s="375" t="s">
        <v>3817</v>
      </c>
      <c r="H2426" s="375" t="s">
        <v>3818</v>
      </c>
      <c r="I2426" s="63" t="s">
        <v>3819</v>
      </c>
      <c r="J2426" s="47">
        <f t="shared" si="500"/>
        <v>3740</v>
      </c>
      <c r="K2426" s="46" t="s">
        <v>7938</v>
      </c>
      <c r="L2426" s="47"/>
      <c r="M2426" s="47"/>
      <c r="N2426" s="47" t="s">
        <v>3829</v>
      </c>
      <c r="O2426" s="47"/>
      <c r="P2426" s="47"/>
      <c r="Q2426" s="47">
        <f t="shared" si="501"/>
        <v>0</v>
      </c>
      <c r="R2426" s="47"/>
      <c r="S2426" s="47"/>
      <c r="T2426" s="47"/>
      <c r="U2426" s="47"/>
      <c r="V2426" s="47"/>
      <c r="W2426" s="47"/>
      <c r="X2426" s="47"/>
      <c r="Y2426" s="47"/>
      <c r="Z2426" s="47">
        <f t="shared" si="496"/>
        <v>4620</v>
      </c>
      <c r="AA2426" s="47">
        <f t="shared" si="502"/>
        <v>1400</v>
      </c>
      <c r="AB2426" s="47"/>
      <c r="AC2426" s="47"/>
      <c r="AD2426" s="47"/>
      <c r="AE2426" s="47"/>
      <c r="AF2426" s="47"/>
      <c r="AG2426" s="47"/>
      <c r="AH2426" s="47" t="str">
        <f>IFERROR(_xlfn.XLOOKUP(Table6[[#This Row],[Suburb]],Table5[Travel Surcharge],Table5[$$]),"")</f>
        <v/>
      </c>
      <c r="AI2426" s="47"/>
      <c r="AJ2426" s="47"/>
    </row>
    <row r="2427" spans="1:36">
      <c r="A2427" s="374" t="s">
        <v>3815</v>
      </c>
      <c r="B2427" s="374">
        <v>9</v>
      </c>
      <c r="C2427" s="374" t="s">
        <v>1042</v>
      </c>
      <c r="D2427" s="375" t="str">
        <f t="shared" si="499"/>
        <v>Lilium Estate9</v>
      </c>
      <c r="E2427" s="375" t="s">
        <v>3830</v>
      </c>
      <c r="F2427" s="375" t="s">
        <v>3782</v>
      </c>
      <c r="G2427" s="375" t="s">
        <v>3817</v>
      </c>
      <c r="H2427" s="375" t="s">
        <v>3818</v>
      </c>
      <c r="I2427" s="63" t="s">
        <v>3819</v>
      </c>
      <c r="J2427" s="47">
        <f t="shared" si="500"/>
        <v>3740</v>
      </c>
      <c r="K2427" s="46" t="s">
        <v>7938</v>
      </c>
      <c r="L2427" s="47"/>
      <c r="M2427" s="47"/>
      <c r="N2427" s="47" t="s">
        <v>3829</v>
      </c>
      <c r="O2427" s="47"/>
      <c r="P2427" s="47"/>
      <c r="Q2427" s="47">
        <f t="shared" si="501"/>
        <v>0</v>
      </c>
      <c r="R2427" s="47"/>
      <c r="S2427" s="47"/>
      <c r="T2427" s="47"/>
      <c r="U2427" s="47"/>
      <c r="V2427" s="47"/>
      <c r="W2427" s="47"/>
      <c r="X2427" s="47"/>
      <c r="Y2427" s="47"/>
      <c r="Z2427" s="47">
        <f t="shared" si="496"/>
        <v>4620</v>
      </c>
      <c r="AA2427" s="47">
        <f t="shared" si="502"/>
        <v>1400</v>
      </c>
      <c r="AB2427" s="47"/>
      <c r="AC2427" s="47"/>
      <c r="AD2427" s="47"/>
      <c r="AE2427" s="47"/>
      <c r="AF2427" s="47"/>
      <c r="AG2427" s="47"/>
      <c r="AH2427" s="47" t="str">
        <f>IFERROR(_xlfn.XLOOKUP(Table6[[#This Row],[Suburb]],Table5[Travel Surcharge],Table5[$$]),"")</f>
        <v/>
      </c>
      <c r="AI2427" s="47"/>
      <c r="AJ2427" s="47"/>
    </row>
    <row r="2428" spans="1:36">
      <c r="A2428" s="374" t="s">
        <v>3815</v>
      </c>
      <c r="B2428" s="374">
        <v>10</v>
      </c>
      <c r="C2428" s="374" t="s">
        <v>1042</v>
      </c>
      <c r="D2428" s="375" t="str">
        <f t="shared" si="499"/>
        <v>Lilium Estate10</v>
      </c>
      <c r="E2428" s="375" t="s">
        <v>3831</v>
      </c>
      <c r="F2428" s="375" t="s">
        <v>3782</v>
      </c>
      <c r="G2428" s="375" t="s">
        <v>3817</v>
      </c>
      <c r="H2428" s="375" t="s">
        <v>3818</v>
      </c>
      <c r="I2428" s="63" t="s">
        <v>3819</v>
      </c>
      <c r="J2428" s="47">
        <f t="shared" si="500"/>
        <v>3740</v>
      </c>
      <c r="K2428" s="46" t="s">
        <v>7938</v>
      </c>
      <c r="L2428" s="47"/>
      <c r="M2428" s="47"/>
      <c r="N2428" s="47" t="s">
        <v>3829</v>
      </c>
      <c r="O2428" s="47"/>
      <c r="P2428" s="47"/>
      <c r="Q2428" s="47">
        <f t="shared" si="501"/>
        <v>0</v>
      </c>
      <c r="R2428" s="47"/>
      <c r="S2428" s="47"/>
      <c r="T2428" s="47"/>
      <c r="U2428" s="47"/>
      <c r="V2428" s="47"/>
      <c r="W2428" s="47"/>
      <c r="X2428" s="47"/>
      <c r="Y2428" s="47"/>
      <c r="Z2428" s="47">
        <f t="shared" si="496"/>
        <v>4620</v>
      </c>
      <c r="AA2428" s="47">
        <f t="shared" si="502"/>
        <v>1400</v>
      </c>
      <c r="AB2428" s="47"/>
      <c r="AC2428" s="47"/>
      <c r="AD2428" s="47"/>
      <c r="AE2428" s="47"/>
      <c r="AF2428" s="47"/>
      <c r="AG2428" s="47"/>
      <c r="AH2428" s="47" t="str">
        <f>IFERROR(_xlfn.XLOOKUP(Table6[[#This Row],[Suburb]],Table5[Travel Surcharge],Table5[$$]),"")</f>
        <v/>
      </c>
      <c r="AI2428" s="47"/>
      <c r="AJ2428" s="47"/>
    </row>
    <row r="2429" spans="1:36">
      <c r="A2429" s="374" t="s">
        <v>3815</v>
      </c>
      <c r="B2429" s="374">
        <v>11</v>
      </c>
      <c r="C2429" s="374" t="s">
        <v>1042</v>
      </c>
      <c r="D2429" s="375" t="str">
        <f t="shared" si="499"/>
        <v>Lilium Estate11</v>
      </c>
      <c r="E2429" s="375" t="s">
        <v>3832</v>
      </c>
      <c r="F2429" s="375" t="s">
        <v>3782</v>
      </c>
      <c r="G2429" s="375" t="s">
        <v>3817</v>
      </c>
      <c r="H2429" s="375" t="s">
        <v>3818</v>
      </c>
      <c r="I2429" s="63" t="s">
        <v>3819</v>
      </c>
      <c r="J2429" s="47">
        <f t="shared" si="500"/>
        <v>3740</v>
      </c>
      <c r="K2429" s="46" t="s">
        <v>7938</v>
      </c>
      <c r="L2429" s="47"/>
      <c r="M2429" s="47"/>
      <c r="N2429" s="47" t="s">
        <v>3829</v>
      </c>
      <c r="O2429" s="47"/>
      <c r="P2429" s="47"/>
      <c r="Q2429" s="47">
        <f t="shared" si="501"/>
        <v>0</v>
      </c>
      <c r="R2429" s="47"/>
      <c r="S2429" s="47"/>
      <c r="T2429" s="47"/>
      <c r="U2429" s="47"/>
      <c r="V2429" s="47"/>
      <c r="W2429" s="47"/>
      <c r="X2429" s="47"/>
      <c r="Y2429" s="47"/>
      <c r="Z2429" s="47">
        <f t="shared" ref="Z2429:Z2467" si="503">Z$7</f>
        <v>4620</v>
      </c>
      <c r="AA2429" s="47">
        <f t="shared" si="502"/>
        <v>1400</v>
      </c>
      <c r="AB2429" s="47"/>
      <c r="AC2429" s="47"/>
      <c r="AD2429" s="47"/>
      <c r="AE2429" s="47"/>
      <c r="AF2429" s="47"/>
      <c r="AG2429" s="47"/>
      <c r="AH2429" s="47" t="str">
        <f>IFERROR(_xlfn.XLOOKUP(Table6[[#This Row],[Suburb]],Table5[Travel Surcharge],Table5[$$]),"")</f>
        <v/>
      </c>
      <c r="AI2429" s="47"/>
      <c r="AJ2429" s="47"/>
    </row>
    <row r="2430" spans="1:36">
      <c r="A2430" s="374" t="s">
        <v>3815</v>
      </c>
      <c r="B2430" s="374" t="s">
        <v>754</v>
      </c>
      <c r="C2430" s="374" t="s">
        <v>1042</v>
      </c>
      <c r="D2430" s="375" t="str">
        <f t="shared" si="499"/>
        <v>Lilium Estate10A</v>
      </c>
      <c r="E2430" s="375" t="s">
        <v>3831</v>
      </c>
      <c r="F2430" s="375" t="s">
        <v>3782</v>
      </c>
      <c r="G2430" s="375" t="s">
        <v>3817</v>
      </c>
      <c r="H2430" s="375" t="s">
        <v>3818</v>
      </c>
      <c r="I2430" s="63" t="s">
        <v>3819</v>
      </c>
      <c r="J2430" s="47">
        <f t="shared" si="500"/>
        <v>3740</v>
      </c>
      <c r="K2430" s="46" t="s">
        <v>7938</v>
      </c>
      <c r="L2430" s="47"/>
      <c r="M2430" s="47"/>
      <c r="N2430" s="47" t="s">
        <v>3829</v>
      </c>
      <c r="O2430" s="47"/>
      <c r="P2430" s="47"/>
      <c r="Q2430" s="47">
        <f t="shared" si="501"/>
        <v>0</v>
      </c>
      <c r="R2430" s="47"/>
      <c r="S2430" s="47"/>
      <c r="T2430" s="47"/>
      <c r="U2430" s="47"/>
      <c r="V2430" s="47"/>
      <c r="W2430" s="47"/>
      <c r="X2430" s="47"/>
      <c r="Y2430" s="47"/>
      <c r="Z2430" s="47">
        <f t="shared" si="503"/>
        <v>4620</v>
      </c>
      <c r="AA2430" s="47">
        <f t="shared" si="502"/>
        <v>1400</v>
      </c>
      <c r="AB2430" s="47"/>
      <c r="AC2430" s="47"/>
      <c r="AD2430" s="47"/>
      <c r="AE2430" s="47"/>
      <c r="AF2430" s="47"/>
      <c r="AG2430" s="47"/>
      <c r="AH2430" s="47" t="str">
        <f>IFERROR(_xlfn.XLOOKUP(Table6[[#This Row],[Suburb]],Table5[Travel Surcharge],Table5[$$]),"")</f>
        <v/>
      </c>
      <c r="AI2430" s="47"/>
      <c r="AJ2430" s="47"/>
    </row>
    <row r="2431" spans="1:36">
      <c r="A2431" s="374" t="s">
        <v>3833</v>
      </c>
      <c r="B2431" s="374">
        <v>1</v>
      </c>
      <c r="C2431" s="374" t="s">
        <v>287</v>
      </c>
      <c r="D2431" s="375" t="str">
        <f t="shared" si="499"/>
        <v>Lillifield1</v>
      </c>
      <c r="E2431" s="375" t="s">
        <v>3834</v>
      </c>
      <c r="F2431" s="375" t="s">
        <v>3533</v>
      </c>
      <c r="G2431" s="375" t="s">
        <v>3835</v>
      </c>
      <c r="H2431" s="375" t="s">
        <v>3836</v>
      </c>
      <c r="I2431" s="63" t="s">
        <v>3837</v>
      </c>
      <c r="J2431" s="47"/>
      <c r="K2431" s="46" t="s">
        <v>10735</v>
      </c>
      <c r="L2431" s="47" t="s">
        <v>3838</v>
      </c>
      <c r="M2431" s="47">
        <f>M$7</f>
        <v>1430.0000000000002</v>
      </c>
      <c r="N2431" s="47" t="s">
        <v>3839</v>
      </c>
      <c r="O2431" s="47">
        <f>O$7</f>
        <v>4950</v>
      </c>
      <c r="P2431" s="47" t="s">
        <v>3840</v>
      </c>
      <c r="Q2431" s="47"/>
      <c r="R2431" s="47" t="s">
        <v>3841</v>
      </c>
      <c r="S2431" s="47" t="s">
        <v>463</v>
      </c>
      <c r="T2431" s="47"/>
      <c r="U2431" s="47"/>
      <c r="V2431" s="47"/>
      <c r="W2431" s="47"/>
      <c r="X2431" s="47">
        <f>X$7</f>
        <v>3000</v>
      </c>
      <c r="Y2431" s="47"/>
      <c r="Z2431" s="47">
        <f t="shared" si="503"/>
        <v>4620</v>
      </c>
      <c r="AA2431" s="47">
        <f t="shared" si="502"/>
        <v>1400</v>
      </c>
      <c r="AB2431" s="47"/>
      <c r="AC2431" s="47"/>
      <c r="AD2431" s="47"/>
      <c r="AE2431" s="47"/>
      <c r="AF2431" s="47">
        <f>AF$7</f>
        <v>1485</v>
      </c>
      <c r="AG2431" s="47"/>
      <c r="AH2431" s="47">
        <f>IFERROR(_xlfn.XLOOKUP(Table6[[#This Row],[Suburb]],Table5[Travel Surcharge],Table5[$$]),"")</f>
        <v>7000</v>
      </c>
      <c r="AI2431" s="47">
        <f>AI$7</f>
        <v>1650.0000000000002</v>
      </c>
      <c r="AJ2431" s="47"/>
    </row>
    <row r="2432" spans="1:36">
      <c r="A2432" s="157" t="s">
        <v>3833</v>
      </c>
      <c r="B2432" s="157">
        <v>2</v>
      </c>
      <c r="C2432" s="157" t="s">
        <v>8331</v>
      </c>
      <c r="D2432" s="157" t="str">
        <f t="shared" si="499"/>
        <v>Lillifield2</v>
      </c>
      <c r="E2432" s="157" t="s">
        <v>8396</v>
      </c>
      <c r="F2432" s="157" t="s">
        <v>3533</v>
      </c>
      <c r="G2432" s="157" t="s">
        <v>3835</v>
      </c>
      <c r="H2432" s="157" t="s">
        <v>8393</v>
      </c>
      <c r="I2432" s="158" t="s">
        <v>3837</v>
      </c>
      <c r="J2432" s="47"/>
      <c r="K2432" s="46" t="s">
        <v>10735</v>
      </c>
      <c r="L2432" s="47" t="s">
        <v>8394</v>
      </c>
      <c r="M2432" s="47">
        <f>M$7</f>
        <v>1430.0000000000002</v>
      </c>
      <c r="N2432" s="47" t="s">
        <v>8395</v>
      </c>
      <c r="O2432" s="47">
        <f>O$7</f>
        <v>4950</v>
      </c>
      <c r="P2432" s="47" t="s">
        <v>3840</v>
      </c>
      <c r="Q2432" s="47"/>
      <c r="R2432" s="47" t="s">
        <v>8294</v>
      </c>
      <c r="S2432" s="47" t="s">
        <v>463</v>
      </c>
      <c r="T2432" s="47"/>
      <c r="U2432" s="47"/>
      <c r="V2432" s="47"/>
      <c r="W2432" s="47"/>
      <c r="X2432" s="47">
        <f>X$7</f>
        <v>3000</v>
      </c>
      <c r="Y2432" s="47"/>
      <c r="Z2432" s="47">
        <f t="shared" si="503"/>
        <v>4620</v>
      </c>
      <c r="AA2432" s="47">
        <f t="shared" si="502"/>
        <v>1400</v>
      </c>
      <c r="AB2432" s="47"/>
      <c r="AC2432" s="47"/>
      <c r="AD2432" s="47"/>
      <c r="AE2432" s="47"/>
      <c r="AF2432" s="47">
        <f>AF$7</f>
        <v>1485</v>
      </c>
      <c r="AG2432" s="47"/>
      <c r="AH2432" s="47">
        <v>7000</v>
      </c>
      <c r="AI2432" s="47">
        <f>AI$7</f>
        <v>1650.0000000000002</v>
      </c>
      <c r="AJ2432" s="47"/>
    </row>
    <row r="2433" spans="1:36">
      <c r="A2433" s="374" t="s">
        <v>3833</v>
      </c>
      <c r="B2433" s="374">
        <v>3</v>
      </c>
      <c r="C2433" s="374" t="s">
        <v>287</v>
      </c>
      <c r="D2433" s="375" t="str">
        <f t="shared" si="499"/>
        <v>Lillifield3</v>
      </c>
      <c r="E2433" s="375" t="s">
        <v>10478</v>
      </c>
      <c r="F2433" s="375" t="s">
        <v>3533</v>
      </c>
      <c r="G2433" s="375" t="s">
        <v>3835</v>
      </c>
      <c r="H2433" s="375" t="s">
        <v>3836</v>
      </c>
      <c r="I2433" s="63" t="s">
        <v>3837</v>
      </c>
      <c r="J2433" s="47"/>
      <c r="K2433" s="46" t="s">
        <v>10735</v>
      </c>
      <c r="L2433" s="47" t="s">
        <v>3838</v>
      </c>
      <c r="M2433" s="47">
        <v>1430.0000000000002</v>
      </c>
      <c r="N2433" s="47" t="s">
        <v>3839</v>
      </c>
      <c r="O2433" s="47">
        <v>4950</v>
      </c>
      <c r="P2433" s="47" t="s">
        <v>3840</v>
      </c>
      <c r="Q2433" s="47"/>
      <c r="R2433" s="47" t="s">
        <v>3841</v>
      </c>
      <c r="S2433" s="47" t="s">
        <v>463</v>
      </c>
      <c r="T2433" s="47"/>
      <c r="U2433" s="47"/>
      <c r="V2433" s="47"/>
      <c r="W2433" s="47"/>
      <c r="X2433" s="47">
        <v>3000</v>
      </c>
      <c r="Y2433" s="47"/>
      <c r="Z2433" s="47">
        <v>4620</v>
      </c>
      <c r="AA2433" s="47">
        <v>1400</v>
      </c>
      <c r="AB2433" s="47"/>
      <c r="AC2433" s="47"/>
      <c r="AD2433" s="47"/>
      <c r="AE2433" s="47"/>
      <c r="AF2433" s="47">
        <v>1485</v>
      </c>
      <c r="AG2433" s="47"/>
      <c r="AH2433" s="47">
        <v>7000</v>
      </c>
      <c r="AI2433" s="47">
        <v>1650.0000000000002</v>
      </c>
      <c r="AJ2433" s="47"/>
    </row>
    <row r="2434" spans="1:36">
      <c r="A2434" s="374" t="s">
        <v>3842</v>
      </c>
      <c r="B2434" s="374">
        <v>3</v>
      </c>
      <c r="C2434" s="374" t="s">
        <v>3843</v>
      </c>
      <c r="D2434" s="375" t="str">
        <f t="shared" si="499"/>
        <v>Lilydale Estate3</v>
      </c>
      <c r="E2434" s="375" t="s">
        <v>3844</v>
      </c>
      <c r="F2434" s="375" t="s">
        <v>493</v>
      </c>
      <c r="G2434" s="375" t="s">
        <v>3845</v>
      </c>
      <c r="H2434" s="375" t="s">
        <v>495</v>
      </c>
      <c r="I2434" s="63" t="s">
        <v>496</v>
      </c>
      <c r="J2434" s="47">
        <f t="shared" ref="J2434:J2441" si="504">J$7</f>
        <v>3740</v>
      </c>
      <c r="K2434" s="46" t="s">
        <v>10735</v>
      </c>
      <c r="L2434" s="47"/>
      <c r="M2434" s="47"/>
      <c r="N2434" s="47"/>
      <c r="O2434" s="47"/>
      <c r="P2434" s="47"/>
      <c r="Q2434" s="47">
        <f>Q$2</f>
        <v>0</v>
      </c>
      <c r="R2434" s="47"/>
      <c r="S2434" s="47"/>
      <c r="T2434" s="47"/>
      <c r="U2434" s="47"/>
      <c r="V2434" s="47"/>
      <c r="W2434" s="47"/>
      <c r="X2434" s="47"/>
      <c r="Y2434" s="47"/>
      <c r="Z2434" s="47">
        <f t="shared" si="503"/>
        <v>4620</v>
      </c>
      <c r="AA2434" s="47"/>
      <c r="AB2434" s="47"/>
      <c r="AC2434" s="47"/>
      <c r="AD2434" s="47"/>
      <c r="AE2434" s="47"/>
      <c r="AF2434" s="47"/>
      <c r="AG2434" s="47"/>
      <c r="AH2434" s="47" t="str">
        <f>IFERROR(_xlfn.XLOOKUP(Table6[[#This Row],[Suburb]],Table5[Travel Surcharge],Table5[$$]),"")</f>
        <v/>
      </c>
      <c r="AI2434" s="47"/>
      <c r="AJ2434" s="47"/>
    </row>
    <row r="2435" spans="1:36">
      <c r="A2435" s="374" t="s">
        <v>3846</v>
      </c>
      <c r="B2435" s="374">
        <v>1</v>
      </c>
      <c r="C2435" s="374" t="s">
        <v>1412</v>
      </c>
      <c r="D2435" s="375" t="str">
        <f t="shared" si="499"/>
        <v>Little Creek Estate1</v>
      </c>
      <c r="E2435" s="375" t="s">
        <v>3847</v>
      </c>
      <c r="F2435" s="375" t="s">
        <v>1428</v>
      </c>
      <c r="G2435" s="375" t="s">
        <v>3848</v>
      </c>
      <c r="H2435" s="375" t="s">
        <v>3849</v>
      </c>
      <c r="I2435" s="63" t="s">
        <v>3850</v>
      </c>
      <c r="J2435" s="47">
        <f t="shared" si="504"/>
        <v>3740</v>
      </c>
      <c r="K2435" s="46" t="s">
        <v>7938</v>
      </c>
      <c r="L2435" s="47">
        <f>L$7</f>
        <v>1210</v>
      </c>
      <c r="M2435" s="47" t="s">
        <v>3851</v>
      </c>
      <c r="N2435" s="47"/>
      <c r="O2435" s="47"/>
      <c r="P2435" s="47"/>
      <c r="Q2435" s="47"/>
      <c r="R2435" s="47"/>
      <c r="S2435" s="47"/>
      <c r="T2435" s="47"/>
      <c r="U2435" s="47">
        <f>U$2</f>
        <v>430</v>
      </c>
      <c r="V2435" s="47"/>
      <c r="W2435" s="47"/>
      <c r="X2435" s="47"/>
      <c r="Y2435" s="47"/>
      <c r="Z2435" s="47">
        <f t="shared" si="503"/>
        <v>4620</v>
      </c>
      <c r="AA2435" s="47"/>
      <c r="AB2435" s="47"/>
      <c r="AC2435" s="47"/>
      <c r="AD2435" s="47"/>
      <c r="AE2435" s="47"/>
      <c r="AF2435" s="47">
        <f>AF$7</f>
        <v>1485</v>
      </c>
      <c r="AG2435" s="47"/>
      <c r="AH2435" s="47" t="str">
        <f>IFERROR(_xlfn.XLOOKUP(Table6[[#This Row],[Suburb]],Table5[Travel Surcharge],Table5[$$]),"")</f>
        <v/>
      </c>
      <c r="AI2435" s="47">
        <f>AI$7</f>
        <v>1650.0000000000002</v>
      </c>
      <c r="AJ2435" s="47"/>
    </row>
    <row r="2436" spans="1:36">
      <c r="A2436" s="374" t="s">
        <v>3852</v>
      </c>
      <c r="B2436" s="374">
        <v>1</v>
      </c>
      <c r="C2436" s="374" t="s">
        <v>502</v>
      </c>
      <c r="D2436" s="375" t="str">
        <f t="shared" si="499"/>
        <v>Little Green Estate1</v>
      </c>
      <c r="E2436" s="375" t="s">
        <v>3853</v>
      </c>
      <c r="F2436" s="375" t="s">
        <v>444</v>
      </c>
      <c r="G2436" s="375" t="s">
        <v>445</v>
      </c>
      <c r="H2436" s="375" t="s">
        <v>3854</v>
      </c>
      <c r="I2436" s="63" t="s">
        <v>447</v>
      </c>
      <c r="J2436" s="47">
        <f t="shared" si="504"/>
        <v>3740</v>
      </c>
      <c r="K2436" s="46" t="s">
        <v>10735</v>
      </c>
      <c r="L2436" s="47"/>
      <c r="M2436" s="47">
        <f t="shared" ref="M2436:M2441" si="505">M$7</f>
        <v>1430.0000000000002</v>
      </c>
      <c r="N2436" s="47"/>
      <c r="O2436" s="47"/>
      <c r="P2436" s="47"/>
      <c r="Q2436" s="47"/>
      <c r="R2436" s="47"/>
      <c r="S2436" s="47"/>
      <c r="T2436" s="47">
        <f t="shared" ref="T2436:T2441" si="506">T$2</f>
        <v>780</v>
      </c>
      <c r="U2436" s="47"/>
      <c r="V2436" s="47"/>
      <c r="W2436" s="47"/>
      <c r="X2436" s="47"/>
      <c r="Y2436" s="47"/>
      <c r="Z2436" s="47">
        <f t="shared" si="503"/>
        <v>4620</v>
      </c>
      <c r="AA2436" s="47"/>
      <c r="AB2436" s="47"/>
      <c r="AC2436" s="47"/>
      <c r="AD2436" s="47"/>
      <c r="AE2436" s="47"/>
      <c r="AF2436" s="47"/>
      <c r="AG2436" s="47"/>
      <c r="AH2436" s="47" t="str">
        <f>IFERROR(_xlfn.XLOOKUP(Table6[[#This Row],[Suburb]],Table5[Travel Surcharge],Table5[$$]),"")</f>
        <v/>
      </c>
      <c r="AI2436" s="47"/>
      <c r="AJ2436" s="47"/>
    </row>
    <row r="2437" spans="1:36">
      <c r="A2437" s="374" t="s">
        <v>3852</v>
      </c>
      <c r="B2437" s="374">
        <v>3</v>
      </c>
      <c r="C2437" s="374" t="s">
        <v>502</v>
      </c>
      <c r="D2437" s="375" t="str">
        <f t="shared" si="499"/>
        <v>Little Green Estate3</v>
      </c>
      <c r="E2437" s="375" t="s">
        <v>3855</v>
      </c>
      <c r="F2437" s="375" t="s">
        <v>444</v>
      </c>
      <c r="G2437" s="375" t="s">
        <v>445</v>
      </c>
      <c r="H2437" s="375" t="s">
        <v>3854</v>
      </c>
      <c r="I2437" s="63" t="s">
        <v>447</v>
      </c>
      <c r="J2437" s="47">
        <f t="shared" si="504"/>
        <v>3740</v>
      </c>
      <c r="K2437" s="46" t="s">
        <v>10735</v>
      </c>
      <c r="L2437" s="47"/>
      <c r="M2437" s="47">
        <f t="shared" si="505"/>
        <v>1430.0000000000002</v>
      </c>
      <c r="N2437" s="47"/>
      <c r="O2437" s="47"/>
      <c r="P2437" s="47"/>
      <c r="Q2437" s="47"/>
      <c r="R2437" s="47"/>
      <c r="S2437" s="47"/>
      <c r="T2437" s="47">
        <f t="shared" si="506"/>
        <v>780</v>
      </c>
      <c r="U2437" s="47"/>
      <c r="V2437" s="47"/>
      <c r="W2437" s="47"/>
      <c r="X2437" s="47"/>
      <c r="Y2437" s="47"/>
      <c r="Z2437" s="47">
        <f t="shared" si="503"/>
        <v>4620</v>
      </c>
      <c r="AA2437" s="47"/>
      <c r="AB2437" s="47"/>
      <c r="AC2437" s="47"/>
      <c r="AD2437" s="47"/>
      <c r="AE2437" s="47"/>
      <c r="AF2437" s="47"/>
      <c r="AG2437" s="47"/>
      <c r="AH2437" s="47" t="str">
        <f>IFERROR(_xlfn.XLOOKUP(Table6[[#This Row],[Suburb]],Table5[Travel Surcharge],Table5[$$]),"")</f>
        <v/>
      </c>
      <c r="AI2437" s="47"/>
      <c r="AJ2437" s="47"/>
    </row>
    <row r="2438" spans="1:36">
      <c r="A2438" s="374" t="s">
        <v>3852</v>
      </c>
      <c r="B2438" s="374">
        <v>4</v>
      </c>
      <c r="C2438" s="374" t="s">
        <v>502</v>
      </c>
      <c r="D2438" s="375" t="str">
        <f t="shared" si="499"/>
        <v>Little Green Estate4</v>
      </c>
      <c r="E2438" s="375" t="s">
        <v>3856</v>
      </c>
      <c r="F2438" s="375" t="s">
        <v>444</v>
      </c>
      <c r="G2438" s="375" t="s">
        <v>445</v>
      </c>
      <c r="H2438" s="375" t="s">
        <v>3854</v>
      </c>
      <c r="I2438" s="63" t="s">
        <v>447</v>
      </c>
      <c r="J2438" s="47">
        <f t="shared" si="504"/>
        <v>3740</v>
      </c>
      <c r="K2438" s="46" t="s">
        <v>10735</v>
      </c>
      <c r="L2438" s="47"/>
      <c r="M2438" s="47">
        <f t="shared" si="505"/>
        <v>1430.0000000000002</v>
      </c>
      <c r="N2438" s="47"/>
      <c r="O2438" s="47"/>
      <c r="P2438" s="47"/>
      <c r="Q2438" s="47"/>
      <c r="R2438" s="47"/>
      <c r="S2438" s="47"/>
      <c r="T2438" s="47">
        <f t="shared" si="506"/>
        <v>780</v>
      </c>
      <c r="U2438" s="47"/>
      <c r="V2438" s="47"/>
      <c r="W2438" s="47"/>
      <c r="X2438" s="47"/>
      <c r="Y2438" s="47"/>
      <c r="Z2438" s="47">
        <f t="shared" si="503"/>
        <v>4620</v>
      </c>
      <c r="AA2438" s="47"/>
      <c r="AB2438" s="47"/>
      <c r="AC2438" s="47"/>
      <c r="AD2438" s="47"/>
      <c r="AE2438" s="47"/>
      <c r="AF2438" s="47"/>
      <c r="AG2438" s="47"/>
      <c r="AH2438" s="47" t="str">
        <f>IFERROR(_xlfn.XLOOKUP(Table6[[#This Row],[Suburb]],Table5[Travel Surcharge],Table5[$$]),"")</f>
        <v/>
      </c>
      <c r="AI2438" s="47"/>
      <c r="AJ2438" s="47"/>
    </row>
    <row r="2439" spans="1:36">
      <c r="A2439" s="374" t="s">
        <v>3852</v>
      </c>
      <c r="B2439" s="374">
        <v>5</v>
      </c>
      <c r="C2439" s="374" t="s">
        <v>502</v>
      </c>
      <c r="D2439" s="375" t="str">
        <f t="shared" si="499"/>
        <v>Little Green Estate5</v>
      </c>
      <c r="E2439" s="375" t="s">
        <v>3857</v>
      </c>
      <c r="F2439" s="375" t="s">
        <v>444</v>
      </c>
      <c r="G2439" s="375" t="s">
        <v>445</v>
      </c>
      <c r="H2439" s="375" t="s">
        <v>3854</v>
      </c>
      <c r="I2439" s="63" t="s">
        <v>447</v>
      </c>
      <c r="J2439" s="47">
        <f t="shared" si="504"/>
        <v>3740</v>
      </c>
      <c r="K2439" s="46" t="s">
        <v>10735</v>
      </c>
      <c r="L2439" s="47"/>
      <c r="M2439" s="47">
        <f t="shared" si="505"/>
        <v>1430.0000000000002</v>
      </c>
      <c r="N2439" s="47"/>
      <c r="O2439" s="47"/>
      <c r="P2439" s="47"/>
      <c r="Q2439" s="47"/>
      <c r="R2439" s="47"/>
      <c r="S2439" s="47"/>
      <c r="T2439" s="47">
        <f t="shared" si="506"/>
        <v>780</v>
      </c>
      <c r="U2439" s="47"/>
      <c r="V2439" s="47"/>
      <c r="W2439" s="47"/>
      <c r="X2439" s="47"/>
      <c r="Y2439" s="47"/>
      <c r="Z2439" s="47">
        <f t="shared" si="503"/>
        <v>4620</v>
      </c>
      <c r="AA2439" s="47"/>
      <c r="AB2439" s="47"/>
      <c r="AC2439" s="47"/>
      <c r="AD2439" s="47"/>
      <c r="AE2439" s="47"/>
      <c r="AF2439" s="47"/>
      <c r="AG2439" s="47"/>
      <c r="AH2439" s="47" t="str">
        <f>IFERROR(_xlfn.XLOOKUP(Table6[[#This Row],[Suburb]],Table5[Travel Surcharge],Table5[$$]),"")</f>
        <v/>
      </c>
      <c r="AI2439" s="47"/>
      <c r="AJ2439" s="47"/>
    </row>
    <row r="2440" spans="1:36">
      <c r="A2440" s="374" t="s">
        <v>3852</v>
      </c>
      <c r="B2440" s="374">
        <v>6</v>
      </c>
      <c r="C2440" s="374" t="s">
        <v>502</v>
      </c>
      <c r="D2440" s="375" t="str">
        <f t="shared" si="499"/>
        <v>Little Green Estate6</v>
      </c>
      <c r="E2440" s="375" t="s">
        <v>3857</v>
      </c>
      <c r="F2440" s="375" t="s">
        <v>444</v>
      </c>
      <c r="G2440" s="375" t="s">
        <v>445</v>
      </c>
      <c r="H2440" s="375" t="s">
        <v>3854</v>
      </c>
      <c r="I2440" s="63" t="s">
        <v>447</v>
      </c>
      <c r="J2440" s="47">
        <f t="shared" si="504"/>
        <v>3740</v>
      </c>
      <c r="K2440" s="46" t="s">
        <v>10735</v>
      </c>
      <c r="L2440" s="47"/>
      <c r="M2440" s="47">
        <f t="shared" si="505"/>
        <v>1430.0000000000002</v>
      </c>
      <c r="N2440" s="47"/>
      <c r="O2440" s="47"/>
      <c r="P2440" s="47"/>
      <c r="Q2440" s="47"/>
      <c r="R2440" s="47"/>
      <c r="S2440" s="47"/>
      <c r="T2440" s="47">
        <f t="shared" si="506"/>
        <v>780</v>
      </c>
      <c r="U2440" s="47"/>
      <c r="V2440" s="47"/>
      <c r="W2440" s="47"/>
      <c r="X2440" s="47"/>
      <c r="Y2440" s="47"/>
      <c r="Z2440" s="47">
        <f t="shared" si="503"/>
        <v>4620</v>
      </c>
      <c r="AA2440" s="47"/>
      <c r="AB2440" s="47"/>
      <c r="AC2440" s="47"/>
      <c r="AD2440" s="47"/>
      <c r="AE2440" s="47"/>
      <c r="AF2440" s="47"/>
      <c r="AG2440" s="47"/>
      <c r="AH2440" s="47" t="str">
        <f>IFERROR(_xlfn.XLOOKUP(Table6[[#This Row],[Suburb]],Table5[Travel Surcharge],Table5[$$]),"")</f>
        <v/>
      </c>
      <c r="AI2440" s="47"/>
      <c r="AJ2440" s="47"/>
    </row>
    <row r="2441" spans="1:36">
      <c r="A2441" s="374" t="s">
        <v>3852</v>
      </c>
      <c r="B2441" s="374">
        <v>7</v>
      </c>
      <c r="C2441" s="374" t="s">
        <v>502</v>
      </c>
      <c r="D2441" s="375" t="str">
        <f t="shared" si="499"/>
        <v>Little Green Estate7</v>
      </c>
      <c r="E2441" s="375" t="s">
        <v>3858</v>
      </c>
      <c r="F2441" s="375" t="s">
        <v>444</v>
      </c>
      <c r="G2441" s="375" t="s">
        <v>445</v>
      </c>
      <c r="H2441" s="375" t="s">
        <v>3854</v>
      </c>
      <c r="I2441" s="63" t="s">
        <v>447</v>
      </c>
      <c r="J2441" s="47">
        <f t="shared" si="504"/>
        <v>3740</v>
      </c>
      <c r="K2441" s="46" t="s">
        <v>10735</v>
      </c>
      <c r="L2441" s="47"/>
      <c r="M2441" s="47">
        <f t="shared" si="505"/>
        <v>1430.0000000000002</v>
      </c>
      <c r="N2441" s="47"/>
      <c r="O2441" s="47"/>
      <c r="P2441" s="47"/>
      <c r="Q2441" s="47"/>
      <c r="R2441" s="47"/>
      <c r="S2441" s="47"/>
      <c r="T2441" s="47">
        <f t="shared" si="506"/>
        <v>780</v>
      </c>
      <c r="U2441" s="47"/>
      <c r="V2441" s="47"/>
      <c r="W2441" s="47"/>
      <c r="X2441" s="47"/>
      <c r="Y2441" s="47"/>
      <c r="Z2441" s="47">
        <f t="shared" si="503"/>
        <v>4620</v>
      </c>
      <c r="AA2441" s="47"/>
      <c r="AB2441" s="47"/>
      <c r="AC2441" s="47"/>
      <c r="AD2441" s="47"/>
      <c r="AE2441" s="47"/>
      <c r="AF2441" s="47"/>
      <c r="AG2441" s="47"/>
      <c r="AH2441" s="47" t="str">
        <f>IFERROR(_xlfn.XLOOKUP(Table6[[#This Row],[Suburb]],Table5[Travel Surcharge],Table5[$$]),"")</f>
        <v/>
      </c>
      <c r="AI2441" s="47"/>
      <c r="AJ2441" s="47"/>
    </row>
    <row r="2442" spans="1:36">
      <c r="A2442" s="374" t="s">
        <v>9893</v>
      </c>
      <c r="B2442" s="374">
        <v>1</v>
      </c>
      <c r="C2442" s="374" t="s">
        <v>3430</v>
      </c>
      <c r="D2442" s="375" t="str">
        <f>CONCATENATE(A2442,B2442)</f>
        <v>Little Hampton1</v>
      </c>
      <c r="E2442" s="375" t="s">
        <v>9894</v>
      </c>
      <c r="F2442" s="375"/>
      <c r="G2442" s="375"/>
      <c r="H2442" s="375"/>
      <c r="I2442" s="63"/>
      <c r="J2442" s="47">
        <v>3740</v>
      </c>
      <c r="K2442" s="46" t="s">
        <v>10735</v>
      </c>
      <c r="L2442" s="47">
        <v>1210</v>
      </c>
      <c r="M2442" s="47"/>
      <c r="N2442" s="47"/>
      <c r="O2442" s="47"/>
      <c r="P2442" s="47" t="s">
        <v>9901</v>
      </c>
      <c r="Q2442" s="47">
        <v>0</v>
      </c>
      <c r="R2442" s="47"/>
      <c r="S2442" s="47"/>
      <c r="T2442" s="47"/>
      <c r="U2442" s="47"/>
      <c r="V2442" s="47" t="s">
        <v>9898</v>
      </c>
      <c r="W2442" s="47" t="s">
        <v>9895</v>
      </c>
      <c r="X2442" s="47"/>
      <c r="Y2442" s="47"/>
      <c r="Z2442" s="47">
        <f>Z$7</f>
        <v>4620</v>
      </c>
      <c r="AA2442" s="47"/>
      <c r="AB2442" s="47"/>
      <c r="AC2442" s="47"/>
      <c r="AD2442" s="47" t="s">
        <v>9897</v>
      </c>
      <c r="AE2442" s="47" t="s">
        <v>9896</v>
      </c>
      <c r="AF2442" s="47"/>
      <c r="AG2442" s="47"/>
      <c r="AH2442" s="47" t="str">
        <f>IFERROR(_xlfn.XLOOKUP(Table6[[#This Row],[Suburb]],Table5[Travel Surcharge],Table5[$$]),"")</f>
        <v/>
      </c>
      <c r="AI2442" s="47"/>
      <c r="AJ2442" s="47"/>
    </row>
    <row r="2443" spans="1:36">
      <c r="A2443" s="374" t="s">
        <v>9893</v>
      </c>
      <c r="B2443" s="374">
        <v>2</v>
      </c>
      <c r="C2443" s="374" t="s">
        <v>3430</v>
      </c>
      <c r="D2443" s="375" t="str">
        <f>CONCATENATE(A2443,B2443)</f>
        <v>Little Hampton2</v>
      </c>
      <c r="E2443" s="375" t="s">
        <v>9894</v>
      </c>
      <c r="F2443" s="375"/>
      <c r="G2443" s="375"/>
      <c r="H2443" s="375"/>
      <c r="I2443" s="63"/>
      <c r="J2443" s="47">
        <v>3740</v>
      </c>
      <c r="K2443" s="46" t="s">
        <v>10735</v>
      </c>
      <c r="L2443" s="47">
        <v>1210</v>
      </c>
      <c r="M2443" s="47"/>
      <c r="N2443" s="47"/>
      <c r="O2443" s="47"/>
      <c r="P2443" s="47" t="s">
        <v>9901</v>
      </c>
      <c r="Q2443" s="47">
        <v>0</v>
      </c>
      <c r="R2443" s="47"/>
      <c r="S2443" s="47"/>
      <c r="T2443" s="47"/>
      <c r="U2443" s="47"/>
      <c r="V2443" s="47" t="s">
        <v>9898</v>
      </c>
      <c r="W2443" s="47" t="s">
        <v>9895</v>
      </c>
      <c r="X2443" s="47"/>
      <c r="Y2443" s="47"/>
      <c r="Z2443" s="47">
        <v>4620</v>
      </c>
      <c r="AA2443" s="47"/>
      <c r="AB2443" s="47"/>
      <c r="AC2443" s="47"/>
      <c r="AD2443" s="47" t="s">
        <v>9897</v>
      </c>
      <c r="AE2443" s="47" t="s">
        <v>9896</v>
      </c>
      <c r="AF2443" s="47"/>
      <c r="AG2443" s="47"/>
      <c r="AH2443" s="47" t="s">
        <v>9976</v>
      </c>
      <c r="AI2443" s="47"/>
      <c r="AJ2443" s="47"/>
    </row>
    <row r="2444" spans="1:36">
      <c r="A2444" s="374" t="s">
        <v>9893</v>
      </c>
      <c r="B2444" s="374">
        <v>4</v>
      </c>
      <c r="C2444" s="374" t="s">
        <v>3430</v>
      </c>
      <c r="D2444" s="375" t="str">
        <f>CONCATENATE(A2444,B2444)</f>
        <v>Little Hampton4</v>
      </c>
      <c r="E2444" s="375" t="s">
        <v>9894</v>
      </c>
      <c r="F2444" s="375"/>
      <c r="G2444" s="375"/>
      <c r="H2444" s="375"/>
      <c r="I2444" s="63"/>
      <c r="J2444" s="47">
        <v>3740</v>
      </c>
      <c r="K2444" s="46" t="s">
        <v>10735</v>
      </c>
      <c r="L2444" s="47">
        <v>1210</v>
      </c>
      <c r="M2444" s="47"/>
      <c r="N2444" s="47"/>
      <c r="O2444" s="47"/>
      <c r="P2444" s="47" t="s">
        <v>9901</v>
      </c>
      <c r="Q2444" s="47">
        <v>0</v>
      </c>
      <c r="R2444" s="47"/>
      <c r="S2444" s="47"/>
      <c r="T2444" s="47"/>
      <c r="U2444" s="47"/>
      <c r="V2444" s="47" t="s">
        <v>9898</v>
      </c>
      <c r="W2444" s="47" t="s">
        <v>9895</v>
      </c>
      <c r="X2444" s="47"/>
      <c r="Y2444" s="47"/>
      <c r="Z2444" s="47">
        <v>4620</v>
      </c>
      <c r="AA2444" s="47"/>
      <c r="AB2444" s="47"/>
      <c r="AC2444" s="47"/>
      <c r="AD2444" s="47" t="s">
        <v>9897</v>
      </c>
      <c r="AE2444" s="47" t="s">
        <v>9896</v>
      </c>
      <c r="AF2444" s="47"/>
      <c r="AG2444" s="47"/>
      <c r="AH2444" s="47" t="s">
        <v>9976</v>
      </c>
      <c r="AI2444" s="47"/>
      <c r="AJ2444" s="47"/>
    </row>
    <row r="2445" spans="1:36">
      <c r="A2445" s="374" t="s">
        <v>3859</v>
      </c>
      <c r="B2445" s="374">
        <v>1</v>
      </c>
      <c r="C2445" s="374" t="s">
        <v>1660</v>
      </c>
      <c r="D2445" s="375" t="str">
        <f t="shared" si="499"/>
        <v>Little Springs1</v>
      </c>
      <c r="E2445" s="375" t="s">
        <v>3860</v>
      </c>
      <c r="F2445" s="375"/>
      <c r="G2445" s="375" t="s">
        <v>3861</v>
      </c>
      <c r="H2445" s="375" t="s">
        <v>3862</v>
      </c>
      <c r="I2445" s="63" t="s">
        <v>3863</v>
      </c>
      <c r="J2445" s="47"/>
      <c r="K2445" s="46" t="s">
        <v>7938</v>
      </c>
      <c r="L2445" s="47">
        <f>L$7</f>
        <v>1210</v>
      </c>
      <c r="M2445" s="47"/>
      <c r="N2445" s="47" t="s">
        <v>3864</v>
      </c>
      <c r="O2445" s="47" t="s">
        <v>3865</v>
      </c>
      <c r="P2445" s="47" t="s">
        <v>1846</v>
      </c>
      <c r="Q2445" s="47"/>
      <c r="R2445" s="47">
        <f>R$2</f>
        <v>540</v>
      </c>
      <c r="S2445" s="47"/>
      <c r="T2445" s="47"/>
      <c r="U2445" s="47"/>
      <c r="V2445" s="47"/>
      <c r="W2445" s="47"/>
      <c r="X2445" s="47"/>
      <c r="Y2445" s="47"/>
      <c r="Z2445" s="47">
        <f t="shared" si="503"/>
        <v>4620</v>
      </c>
      <c r="AA2445" s="47"/>
      <c r="AB2445" s="47"/>
      <c r="AC2445" s="47"/>
      <c r="AD2445" s="47" t="s">
        <v>1</v>
      </c>
      <c r="AE2445" s="47"/>
      <c r="AF2445" s="47">
        <f t="shared" ref="AF2445:AF2455" si="507">AF$7</f>
        <v>1485</v>
      </c>
      <c r="AG2445" s="47"/>
      <c r="AH2445" s="47" t="str">
        <f>IFERROR(_xlfn.XLOOKUP(Table6[[#This Row],[Suburb]],Table5[Travel Surcharge],Table5[$$]),"")</f>
        <v/>
      </c>
      <c r="AI2445" s="47"/>
      <c r="AJ2445" s="47"/>
    </row>
    <row r="2446" spans="1:36">
      <c r="A2446" s="374" t="s">
        <v>3859</v>
      </c>
      <c r="B2446" s="374">
        <v>2</v>
      </c>
      <c r="C2446" s="374" t="s">
        <v>1660</v>
      </c>
      <c r="D2446" s="375" t="str">
        <f t="shared" si="499"/>
        <v>Little Springs2</v>
      </c>
      <c r="E2446" s="375" t="s">
        <v>9902</v>
      </c>
      <c r="F2446" s="375"/>
      <c r="G2446" s="375" t="s">
        <v>3861</v>
      </c>
      <c r="H2446" s="375" t="s">
        <v>3862</v>
      </c>
      <c r="I2446" s="63" t="s">
        <v>3863</v>
      </c>
      <c r="J2446" s="47"/>
      <c r="K2446" s="46" t="s">
        <v>7938</v>
      </c>
      <c r="L2446" s="47">
        <v>1210</v>
      </c>
      <c r="M2446" s="47"/>
      <c r="N2446" s="47" t="s">
        <v>3864</v>
      </c>
      <c r="O2446" s="47" t="s">
        <v>3865</v>
      </c>
      <c r="P2446" s="47" t="s">
        <v>1846</v>
      </c>
      <c r="Q2446" s="47"/>
      <c r="R2446" s="47">
        <v>540</v>
      </c>
      <c r="S2446" s="47"/>
      <c r="T2446" s="47"/>
      <c r="U2446" s="47"/>
      <c r="V2446" s="47"/>
      <c r="W2446" s="47"/>
      <c r="X2446" s="47"/>
      <c r="Y2446" s="47"/>
      <c r="Z2446" s="47">
        <v>4620</v>
      </c>
      <c r="AA2446" s="47"/>
      <c r="AB2446" s="47"/>
      <c r="AC2446" s="47"/>
      <c r="AD2446" s="47" t="s">
        <v>1</v>
      </c>
      <c r="AE2446" s="47"/>
      <c r="AF2446" s="47">
        <v>1485</v>
      </c>
      <c r="AG2446" s="47"/>
      <c r="AH2446" s="47" t="str">
        <f>IFERROR(_xlfn.XLOOKUP(Table6[[#This Row],[Suburb]],Table5[Travel Surcharge],Table5[$$]),"")</f>
        <v/>
      </c>
      <c r="AI2446" s="47"/>
      <c r="AJ2446" s="47"/>
    </row>
    <row r="2447" spans="1:36">
      <c r="A2447" s="374" t="s">
        <v>3859</v>
      </c>
      <c r="B2447" s="374">
        <v>3</v>
      </c>
      <c r="C2447" s="374" t="s">
        <v>1660</v>
      </c>
      <c r="D2447" s="375" t="str">
        <f t="shared" si="499"/>
        <v>Little Springs3</v>
      </c>
      <c r="E2447" s="375" t="s">
        <v>3868</v>
      </c>
      <c r="F2447" s="375"/>
      <c r="G2447" s="375" t="s">
        <v>3861</v>
      </c>
      <c r="H2447" s="375" t="s">
        <v>3862</v>
      </c>
      <c r="I2447" s="63" t="s">
        <v>3863</v>
      </c>
      <c r="J2447" s="47"/>
      <c r="K2447" s="46" t="s">
        <v>7938</v>
      </c>
      <c r="L2447" s="47">
        <f>L$7</f>
        <v>1210</v>
      </c>
      <c r="M2447" s="47"/>
      <c r="N2447" s="47" t="s">
        <v>3864</v>
      </c>
      <c r="O2447" s="47" t="s">
        <v>3865</v>
      </c>
      <c r="P2447" s="47" t="s">
        <v>1846</v>
      </c>
      <c r="Q2447" s="47"/>
      <c r="R2447" s="47">
        <f>R$2</f>
        <v>540</v>
      </c>
      <c r="S2447" s="47"/>
      <c r="T2447" s="47"/>
      <c r="U2447" s="47"/>
      <c r="V2447" s="47"/>
      <c r="W2447" s="47"/>
      <c r="X2447" s="47"/>
      <c r="Y2447" s="47"/>
      <c r="Z2447" s="47">
        <f t="shared" si="503"/>
        <v>4620</v>
      </c>
      <c r="AA2447" s="47"/>
      <c r="AB2447" s="47"/>
      <c r="AC2447" s="47"/>
      <c r="AD2447" s="47" t="s">
        <v>1</v>
      </c>
      <c r="AE2447" s="47"/>
      <c r="AF2447" s="47">
        <f t="shared" si="507"/>
        <v>1485</v>
      </c>
      <c r="AG2447" s="47"/>
      <c r="AH2447" s="47" t="str">
        <f>IFERROR(_xlfn.XLOOKUP(Table6[[#This Row],[Suburb]],Table5[Travel Surcharge],Table5[$$]),"")</f>
        <v/>
      </c>
      <c r="AI2447" s="47"/>
      <c r="AJ2447" s="47"/>
    </row>
    <row r="2448" spans="1:36">
      <c r="A2448" s="374" t="s">
        <v>3859</v>
      </c>
      <c r="B2448" s="374">
        <v>4</v>
      </c>
      <c r="C2448" s="374" t="s">
        <v>1660</v>
      </c>
      <c r="D2448" s="375" t="str">
        <f t="shared" si="499"/>
        <v>Little Springs4</v>
      </c>
      <c r="E2448" s="375" t="s">
        <v>3869</v>
      </c>
      <c r="F2448" s="375"/>
      <c r="G2448" s="375" t="s">
        <v>3861</v>
      </c>
      <c r="H2448" s="375" t="s">
        <v>3862</v>
      </c>
      <c r="I2448" s="63" t="s">
        <v>3863</v>
      </c>
      <c r="J2448" s="47"/>
      <c r="K2448" s="46" t="s">
        <v>7938</v>
      </c>
      <c r="L2448" s="47">
        <f>L$7</f>
        <v>1210</v>
      </c>
      <c r="M2448" s="47"/>
      <c r="N2448" s="47" t="s">
        <v>3864</v>
      </c>
      <c r="O2448" s="47" t="s">
        <v>3865</v>
      </c>
      <c r="P2448" s="47" t="s">
        <v>1846</v>
      </c>
      <c r="Q2448" s="47"/>
      <c r="R2448" s="47">
        <f>R$2</f>
        <v>540</v>
      </c>
      <c r="S2448" s="47"/>
      <c r="T2448" s="47"/>
      <c r="U2448" s="47"/>
      <c r="V2448" s="47"/>
      <c r="W2448" s="47"/>
      <c r="X2448" s="47"/>
      <c r="Y2448" s="47"/>
      <c r="Z2448" s="47">
        <f t="shared" si="503"/>
        <v>4620</v>
      </c>
      <c r="AA2448" s="47"/>
      <c r="AB2448" s="47"/>
      <c r="AC2448" s="47"/>
      <c r="AD2448" s="47" t="s">
        <v>1</v>
      </c>
      <c r="AE2448" s="47"/>
      <c r="AF2448" s="47">
        <f t="shared" si="507"/>
        <v>1485</v>
      </c>
      <c r="AG2448" s="47"/>
      <c r="AH2448" s="47" t="str">
        <f>IFERROR(_xlfn.XLOOKUP(Table6[[#This Row],[Suburb]],Table5[Travel Surcharge],Table5[$$]),"")</f>
        <v/>
      </c>
      <c r="AI2448" s="47"/>
      <c r="AJ2448" s="47"/>
    </row>
    <row r="2449" spans="1:36">
      <c r="A2449" s="374" t="s">
        <v>3859</v>
      </c>
      <c r="B2449" s="374">
        <v>5</v>
      </c>
      <c r="C2449" s="374" t="s">
        <v>1660</v>
      </c>
      <c r="D2449" s="375" t="str">
        <f t="shared" si="499"/>
        <v>Little Springs5</v>
      </c>
      <c r="E2449" s="375" t="s">
        <v>9903</v>
      </c>
      <c r="F2449" s="375"/>
      <c r="G2449" s="375" t="s">
        <v>3861</v>
      </c>
      <c r="H2449" s="375" t="s">
        <v>3862</v>
      </c>
      <c r="I2449" s="63" t="s">
        <v>3863</v>
      </c>
      <c r="J2449" s="47"/>
      <c r="K2449" s="46" t="s">
        <v>7938</v>
      </c>
      <c r="L2449" s="47">
        <v>1210</v>
      </c>
      <c r="M2449" s="47"/>
      <c r="N2449" s="47" t="s">
        <v>3864</v>
      </c>
      <c r="O2449" s="47" t="s">
        <v>3865</v>
      </c>
      <c r="P2449" s="47" t="s">
        <v>1846</v>
      </c>
      <c r="Q2449" s="47"/>
      <c r="R2449" s="47">
        <v>540</v>
      </c>
      <c r="S2449" s="47"/>
      <c r="T2449" s="47"/>
      <c r="U2449" s="47"/>
      <c r="V2449" s="47"/>
      <c r="W2449" s="47"/>
      <c r="X2449" s="47"/>
      <c r="Y2449" s="47"/>
      <c r="Z2449" s="47">
        <v>4620</v>
      </c>
      <c r="AA2449" s="47"/>
      <c r="AB2449" s="47"/>
      <c r="AC2449" s="47"/>
      <c r="AD2449" s="47" t="s">
        <v>1</v>
      </c>
      <c r="AE2449" s="47"/>
      <c r="AF2449" s="47">
        <v>1485</v>
      </c>
      <c r="AG2449" s="47"/>
      <c r="AH2449" s="47" t="str">
        <f>IFERROR(_xlfn.XLOOKUP(Table6[[#This Row],[Suburb]],Table5[Travel Surcharge],Table5[$$]),"")</f>
        <v/>
      </c>
      <c r="AI2449" s="47"/>
      <c r="AJ2449" s="47"/>
    </row>
    <row r="2450" spans="1:36">
      <c r="A2450" s="374" t="s">
        <v>3859</v>
      </c>
      <c r="B2450" s="374">
        <v>6</v>
      </c>
      <c r="C2450" s="374" t="s">
        <v>1660</v>
      </c>
      <c r="D2450" s="375" t="str">
        <f t="shared" si="499"/>
        <v>Little Springs6</v>
      </c>
      <c r="E2450" s="375" t="s">
        <v>9904</v>
      </c>
      <c r="F2450" s="375"/>
      <c r="G2450" s="375" t="s">
        <v>3861</v>
      </c>
      <c r="H2450" s="375" t="s">
        <v>3862</v>
      </c>
      <c r="I2450" s="63" t="s">
        <v>3863</v>
      </c>
      <c r="J2450" s="47"/>
      <c r="K2450" s="46" t="s">
        <v>7938</v>
      </c>
      <c r="L2450" s="47">
        <v>1210</v>
      </c>
      <c r="M2450" s="47"/>
      <c r="N2450" s="47" t="s">
        <v>3864</v>
      </c>
      <c r="O2450" s="47" t="s">
        <v>3865</v>
      </c>
      <c r="P2450" s="47" t="s">
        <v>1846</v>
      </c>
      <c r="Q2450" s="47"/>
      <c r="R2450" s="47">
        <v>540</v>
      </c>
      <c r="S2450" s="47"/>
      <c r="T2450" s="47"/>
      <c r="U2450" s="47"/>
      <c r="V2450" s="47"/>
      <c r="W2450" s="47"/>
      <c r="X2450" s="47"/>
      <c r="Y2450" s="47"/>
      <c r="Z2450" s="47">
        <v>4620</v>
      </c>
      <c r="AA2450" s="47"/>
      <c r="AB2450" s="47"/>
      <c r="AC2450" s="47"/>
      <c r="AD2450" s="47" t="s">
        <v>1</v>
      </c>
      <c r="AE2450" s="47"/>
      <c r="AF2450" s="47">
        <v>1485</v>
      </c>
      <c r="AG2450" s="47"/>
      <c r="AH2450" s="47" t="str">
        <f>IFERROR(_xlfn.XLOOKUP(Table6[[#This Row],[Suburb]],Table5[Travel Surcharge],Table5[$$]),"")</f>
        <v/>
      </c>
      <c r="AI2450" s="47"/>
      <c r="AJ2450" s="47"/>
    </row>
    <row r="2451" spans="1:36">
      <c r="A2451" s="374" t="s">
        <v>3859</v>
      </c>
      <c r="B2451" s="374">
        <v>8</v>
      </c>
      <c r="C2451" s="374" t="s">
        <v>1660</v>
      </c>
      <c r="D2451" s="375" t="str">
        <f t="shared" si="499"/>
        <v>Little Springs8</v>
      </c>
      <c r="E2451" s="375" t="s">
        <v>9905</v>
      </c>
      <c r="F2451" s="375"/>
      <c r="G2451" s="375" t="s">
        <v>3861</v>
      </c>
      <c r="H2451" s="375" t="s">
        <v>3862</v>
      </c>
      <c r="I2451" s="63" t="s">
        <v>3863</v>
      </c>
      <c r="J2451" s="47"/>
      <c r="K2451" s="46" t="s">
        <v>7938</v>
      </c>
      <c r="L2451" s="47">
        <v>1210</v>
      </c>
      <c r="M2451" s="47"/>
      <c r="N2451" s="47" t="s">
        <v>3864</v>
      </c>
      <c r="O2451" s="47" t="s">
        <v>3865</v>
      </c>
      <c r="P2451" s="47" t="s">
        <v>1846</v>
      </c>
      <c r="Q2451" s="47"/>
      <c r="R2451" s="47">
        <v>540</v>
      </c>
      <c r="S2451" s="47"/>
      <c r="T2451" s="47"/>
      <c r="U2451" s="47"/>
      <c r="V2451" s="47"/>
      <c r="W2451" s="47"/>
      <c r="X2451" s="47"/>
      <c r="Y2451" s="47"/>
      <c r="Z2451" s="47">
        <v>4620</v>
      </c>
      <c r="AA2451" s="47"/>
      <c r="AB2451" s="47"/>
      <c r="AC2451" s="47"/>
      <c r="AD2451" s="47" t="s">
        <v>1</v>
      </c>
      <c r="AE2451" s="47"/>
      <c r="AF2451" s="47">
        <v>1485</v>
      </c>
      <c r="AG2451" s="47"/>
      <c r="AH2451" s="47" t="str">
        <f>IFERROR(_xlfn.XLOOKUP(Table6[[#This Row],[Suburb]],Table5[Travel Surcharge],Table5[$$]),"")</f>
        <v/>
      </c>
      <c r="AI2451" s="47"/>
      <c r="AJ2451" s="47"/>
    </row>
    <row r="2452" spans="1:36">
      <c r="A2452" s="374" t="s">
        <v>3859</v>
      </c>
      <c r="B2452" s="374" t="s">
        <v>3866</v>
      </c>
      <c r="C2452" s="374" t="s">
        <v>1660</v>
      </c>
      <c r="D2452" s="375" t="str">
        <f t="shared" si="499"/>
        <v>Little Springs1a</v>
      </c>
      <c r="E2452" s="375" t="s">
        <v>3867</v>
      </c>
      <c r="F2452" s="375"/>
      <c r="G2452" s="375" t="s">
        <v>3861</v>
      </c>
      <c r="H2452" s="375" t="s">
        <v>3862</v>
      </c>
      <c r="I2452" s="63" t="s">
        <v>3863</v>
      </c>
      <c r="J2452" s="47"/>
      <c r="K2452" s="46" t="s">
        <v>7938</v>
      </c>
      <c r="L2452" s="47">
        <f>L$7</f>
        <v>1210</v>
      </c>
      <c r="M2452" s="47"/>
      <c r="N2452" s="47" t="s">
        <v>3864</v>
      </c>
      <c r="O2452" s="47" t="s">
        <v>3865</v>
      </c>
      <c r="P2452" s="47" t="s">
        <v>1846</v>
      </c>
      <c r="Q2452" s="47"/>
      <c r="R2452" s="47">
        <f>R$2</f>
        <v>540</v>
      </c>
      <c r="S2452" s="47"/>
      <c r="T2452" s="47"/>
      <c r="U2452" s="47"/>
      <c r="V2452" s="47"/>
      <c r="W2452" s="47"/>
      <c r="X2452" s="47"/>
      <c r="Y2452" s="47"/>
      <c r="Z2452" s="47">
        <f t="shared" si="503"/>
        <v>4620</v>
      </c>
      <c r="AA2452" s="47"/>
      <c r="AB2452" s="47"/>
      <c r="AC2452" s="47"/>
      <c r="AD2452" s="47" t="s">
        <v>1</v>
      </c>
      <c r="AE2452" s="47"/>
      <c r="AF2452" s="47">
        <f t="shared" si="507"/>
        <v>1485</v>
      </c>
      <c r="AG2452" s="47"/>
      <c r="AH2452" s="47" t="str">
        <f>IFERROR(_xlfn.XLOOKUP(Table6[[#This Row],[Suburb]],Table5[Travel Surcharge],Table5[$$]),"")</f>
        <v/>
      </c>
      <c r="AI2452" s="47"/>
      <c r="AJ2452" s="47"/>
    </row>
    <row r="2453" spans="1:36">
      <c r="A2453" s="374" t="s">
        <v>3870</v>
      </c>
      <c r="B2453" s="374">
        <v>2</v>
      </c>
      <c r="C2453" s="374" t="s">
        <v>388</v>
      </c>
      <c r="D2453" s="375" t="str">
        <f t="shared" si="499"/>
        <v>Lochaven Estate2</v>
      </c>
      <c r="E2453" s="375" t="s">
        <v>3871</v>
      </c>
      <c r="F2453" s="375" t="s">
        <v>2664</v>
      </c>
      <c r="G2453" s="375" t="s">
        <v>1702</v>
      </c>
      <c r="H2453" s="375" t="s">
        <v>3872</v>
      </c>
      <c r="I2453" s="63" t="s">
        <v>3873</v>
      </c>
      <c r="J2453" s="47">
        <f>J$7</f>
        <v>3740</v>
      </c>
      <c r="K2453" s="46" t="s">
        <v>10735</v>
      </c>
      <c r="L2453" s="47"/>
      <c r="M2453" s="47"/>
      <c r="N2453" s="47"/>
      <c r="O2453" s="47"/>
      <c r="P2453" s="47"/>
      <c r="Q2453" s="47"/>
      <c r="R2453" s="47"/>
      <c r="S2453" s="47"/>
      <c r="T2453" s="47"/>
      <c r="U2453" s="47">
        <f>U$2</f>
        <v>430</v>
      </c>
      <c r="V2453" s="47"/>
      <c r="W2453" s="47"/>
      <c r="X2453" s="47"/>
      <c r="Y2453" s="47"/>
      <c r="Z2453" s="47">
        <f t="shared" si="503"/>
        <v>4620</v>
      </c>
      <c r="AA2453" s="47"/>
      <c r="AB2453" s="47"/>
      <c r="AC2453" s="47"/>
      <c r="AD2453" s="47"/>
      <c r="AE2453" s="47"/>
      <c r="AF2453" s="47">
        <f t="shared" si="507"/>
        <v>1485</v>
      </c>
      <c r="AG2453" s="47"/>
      <c r="AH2453" s="47" t="str">
        <f>IFERROR(_xlfn.XLOOKUP(Table6[[#This Row],[Suburb]],Table5[Travel Surcharge],Table5[$$]),"")</f>
        <v/>
      </c>
      <c r="AI2453" s="47"/>
      <c r="AJ2453" s="47"/>
    </row>
    <row r="2454" spans="1:36">
      <c r="A2454" s="374" t="s">
        <v>3870</v>
      </c>
      <c r="B2454" s="374">
        <v>7</v>
      </c>
      <c r="C2454" s="374" t="s">
        <v>388</v>
      </c>
      <c r="D2454" s="375" t="str">
        <f t="shared" si="499"/>
        <v>Lochaven Estate7</v>
      </c>
      <c r="E2454" s="375" t="s">
        <v>3874</v>
      </c>
      <c r="F2454" s="375" t="s">
        <v>2664</v>
      </c>
      <c r="G2454" s="375" t="s">
        <v>1702</v>
      </c>
      <c r="H2454" s="375" t="s">
        <v>3872</v>
      </c>
      <c r="I2454" s="63" t="s">
        <v>3873</v>
      </c>
      <c r="J2454" s="47">
        <f>J$7</f>
        <v>3740</v>
      </c>
      <c r="K2454" s="46" t="s">
        <v>10735</v>
      </c>
      <c r="L2454" s="47"/>
      <c r="M2454" s="47"/>
      <c r="N2454" s="47"/>
      <c r="O2454" s="47"/>
      <c r="P2454" s="47"/>
      <c r="Q2454" s="47"/>
      <c r="R2454" s="47"/>
      <c r="S2454" s="47"/>
      <c r="T2454" s="47"/>
      <c r="U2454" s="47">
        <f>U$2</f>
        <v>430</v>
      </c>
      <c r="V2454" s="47"/>
      <c r="W2454" s="47"/>
      <c r="X2454" s="47"/>
      <c r="Y2454" s="47"/>
      <c r="Z2454" s="47">
        <f t="shared" si="503"/>
        <v>4620</v>
      </c>
      <c r="AA2454" s="47"/>
      <c r="AB2454" s="47"/>
      <c r="AC2454" s="47"/>
      <c r="AD2454" s="47"/>
      <c r="AE2454" s="47"/>
      <c r="AF2454" s="47">
        <f t="shared" si="507"/>
        <v>1485</v>
      </c>
      <c r="AG2454" s="47"/>
      <c r="AH2454" s="47" t="str">
        <f>IFERROR(_xlfn.XLOOKUP(Table6[[#This Row],[Suburb]],Table5[Travel Surcharge],Table5[$$]),"")</f>
        <v/>
      </c>
      <c r="AI2454" s="47"/>
      <c r="AJ2454" s="47"/>
    </row>
    <row r="2455" spans="1:36">
      <c r="A2455" s="374" t="s">
        <v>3870</v>
      </c>
      <c r="B2455" s="374">
        <v>10</v>
      </c>
      <c r="C2455" s="374" t="s">
        <v>388</v>
      </c>
      <c r="D2455" s="375" t="str">
        <f t="shared" si="499"/>
        <v>Lochaven Estate10</v>
      </c>
      <c r="E2455" s="375" t="s">
        <v>3875</v>
      </c>
      <c r="F2455" s="375" t="s">
        <v>2664</v>
      </c>
      <c r="G2455" s="375" t="s">
        <v>1702</v>
      </c>
      <c r="H2455" s="375" t="s">
        <v>3872</v>
      </c>
      <c r="I2455" s="63" t="s">
        <v>3873</v>
      </c>
      <c r="J2455" s="47">
        <f>J$7</f>
        <v>3740</v>
      </c>
      <c r="K2455" s="46" t="s">
        <v>10735</v>
      </c>
      <c r="L2455" s="47"/>
      <c r="M2455" s="47"/>
      <c r="N2455" s="47"/>
      <c r="O2455" s="47"/>
      <c r="P2455" s="47"/>
      <c r="Q2455" s="47"/>
      <c r="R2455" s="47"/>
      <c r="S2455" s="47"/>
      <c r="T2455" s="47"/>
      <c r="U2455" s="47">
        <f>U$2</f>
        <v>430</v>
      </c>
      <c r="V2455" s="47"/>
      <c r="W2455" s="47"/>
      <c r="X2455" s="47"/>
      <c r="Y2455" s="47"/>
      <c r="Z2455" s="47">
        <f t="shared" si="503"/>
        <v>4620</v>
      </c>
      <c r="AA2455" s="47"/>
      <c r="AB2455" s="47"/>
      <c r="AC2455" s="47"/>
      <c r="AD2455" s="47"/>
      <c r="AE2455" s="47"/>
      <c r="AF2455" s="47">
        <f t="shared" si="507"/>
        <v>1485</v>
      </c>
      <c r="AG2455" s="47"/>
      <c r="AH2455" s="47" t="str">
        <f>IFERROR(_xlfn.XLOOKUP(Table6[[#This Row],[Suburb]],Table5[Travel Surcharge],Table5[$$]),"")</f>
        <v/>
      </c>
      <c r="AI2455" s="47"/>
      <c r="AJ2455" s="47"/>
    </row>
    <row r="2456" spans="1:36">
      <c r="A2456" s="374" t="s">
        <v>10312</v>
      </c>
      <c r="B2456" s="374">
        <v>1</v>
      </c>
      <c r="C2456" s="374" t="s">
        <v>287</v>
      </c>
      <c r="D2456" s="375" t="str">
        <f>CONCATENATE(A2456,B2456)</f>
        <v>Loom Estate1</v>
      </c>
      <c r="E2456" s="375" t="s">
        <v>10307</v>
      </c>
      <c r="F2456" s="375"/>
      <c r="G2456" s="375"/>
      <c r="H2456" s="375"/>
      <c r="I2456" s="63"/>
      <c r="J2456" s="47" t="s">
        <v>10306</v>
      </c>
      <c r="K2456" s="46" t="s">
        <v>10735</v>
      </c>
      <c r="L2456" s="47">
        <v>1210</v>
      </c>
      <c r="M2456" s="47" t="s">
        <v>10309</v>
      </c>
      <c r="N2456" s="47" t="s">
        <v>10308</v>
      </c>
      <c r="O2456" s="47" t="s">
        <v>10310</v>
      </c>
      <c r="P2456" s="47" t="s">
        <v>10311</v>
      </c>
      <c r="Q2456" s="47"/>
      <c r="R2456" s="47"/>
      <c r="S2456" s="47"/>
      <c r="T2456" s="47"/>
      <c r="U2456" s="47">
        <v>540</v>
      </c>
      <c r="V2456" s="47"/>
      <c r="W2456" s="47"/>
      <c r="X2456" s="47"/>
      <c r="Y2456" s="47"/>
      <c r="Z2456" s="47">
        <f>Z$7</f>
        <v>4620</v>
      </c>
      <c r="AA2456" s="47"/>
      <c r="AB2456" s="47"/>
      <c r="AC2456" s="47"/>
      <c r="AD2456" s="47"/>
      <c r="AE2456" s="47"/>
      <c r="AF2456" s="47"/>
      <c r="AG2456" s="47"/>
      <c r="AH2456" s="47">
        <v>7000</v>
      </c>
      <c r="AI2456" s="47"/>
      <c r="AJ2456" s="47"/>
    </row>
    <row r="2457" spans="1:36">
      <c r="A2457" s="374" t="s">
        <v>10312</v>
      </c>
      <c r="B2457" s="374">
        <v>2</v>
      </c>
      <c r="C2457" s="374" t="s">
        <v>287</v>
      </c>
      <c r="D2457" s="375" t="str">
        <f>CONCATENATE(A2457,B2457)</f>
        <v>Loom Estate2</v>
      </c>
      <c r="E2457" s="375" t="s">
        <v>10313</v>
      </c>
      <c r="F2457" s="375"/>
      <c r="G2457" s="375"/>
      <c r="H2457" s="375"/>
      <c r="I2457" s="63"/>
      <c r="J2457" s="47" t="s">
        <v>10306</v>
      </c>
      <c r="K2457" s="46" t="s">
        <v>10735</v>
      </c>
      <c r="L2457" s="47">
        <v>1210</v>
      </c>
      <c r="M2457" s="47" t="s">
        <v>10309</v>
      </c>
      <c r="N2457" s="47" t="s">
        <v>10308</v>
      </c>
      <c r="O2457" s="47" t="s">
        <v>10310</v>
      </c>
      <c r="P2457" s="47" t="s">
        <v>10311</v>
      </c>
      <c r="Q2457" s="47"/>
      <c r="R2457" s="47"/>
      <c r="S2457" s="47"/>
      <c r="T2457" s="47"/>
      <c r="U2457" s="47">
        <v>540</v>
      </c>
      <c r="V2457" s="47"/>
      <c r="W2457" s="47"/>
      <c r="X2457" s="47"/>
      <c r="Y2457" s="47"/>
      <c r="Z2457" s="47">
        <v>4620</v>
      </c>
      <c r="AA2457" s="47"/>
      <c r="AB2457" s="47"/>
      <c r="AC2457" s="47"/>
      <c r="AD2457" s="47"/>
      <c r="AE2457" s="47"/>
      <c r="AF2457" s="47"/>
      <c r="AG2457" s="47"/>
      <c r="AH2457" s="47">
        <v>7000</v>
      </c>
      <c r="AI2457" s="47"/>
      <c r="AJ2457" s="47"/>
    </row>
    <row r="2458" spans="1:36">
      <c r="A2458" s="374" t="s">
        <v>10312</v>
      </c>
      <c r="B2458" s="374">
        <v>3</v>
      </c>
      <c r="C2458" s="374" t="s">
        <v>287</v>
      </c>
      <c r="D2458" s="375" t="str">
        <f>CONCATENATE(A2458,B2458)</f>
        <v>Loom Estate3</v>
      </c>
      <c r="E2458" s="375" t="s">
        <v>10739</v>
      </c>
      <c r="F2458" s="375"/>
      <c r="G2458" s="375"/>
      <c r="H2458" s="375"/>
      <c r="I2458" s="63"/>
      <c r="J2458" s="47" t="s">
        <v>10306</v>
      </c>
      <c r="K2458" s="46" t="s">
        <v>10735</v>
      </c>
      <c r="L2458" s="47">
        <v>1210</v>
      </c>
      <c r="M2458" s="47" t="s">
        <v>10309</v>
      </c>
      <c r="N2458" s="47" t="s">
        <v>10308</v>
      </c>
      <c r="O2458" s="47" t="s">
        <v>10310</v>
      </c>
      <c r="P2458" s="47" t="s">
        <v>10311</v>
      </c>
      <c r="Q2458" s="47"/>
      <c r="R2458" s="47"/>
      <c r="S2458" s="47"/>
      <c r="T2458" s="47"/>
      <c r="U2458" s="47">
        <v>540</v>
      </c>
      <c r="V2458" s="47"/>
      <c r="W2458" s="47"/>
      <c r="X2458" s="47"/>
      <c r="Y2458" s="47"/>
      <c r="Z2458" s="47">
        <v>4620</v>
      </c>
      <c r="AA2458" s="47"/>
      <c r="AB2458" s="47"/>
      <c r="AC2458" s="47"/>
      <c r="AD2458" s="47"/>
      <c r="AE2458" s="47"/>
      <c r="AF2458" s="47"/>
      <c r="AG2458" s="47"/>
      <c r="AH2458" s="47">
        <v>7000</v>
      </c>
      <c r="AI2458" s="47"/>
      <c r="AJ2458" s="47"/>
    </row>
    <row r="2459" spans="1:36">
      <c r="A2459" s="374" t="s">
        <v>10312</v>
      </c>
      <c r="B2459" s="374">
        <v>4</v>
      </c>
      <c r="C2459" s="374" t="s">
        <v>287</v>
      </c>
      <c r="D2459" s="375" t="str">
        <f>CONCATENATE(A2459,B2459)</f>
        <v>Loom Estate4</v>
      </c>
      <c r="E2459" s="375" t="s">
        <v>10804</v>
      </c>
      <c r="F2459" s="375"/>
      <c r="G2459" s="375"/>
      <c r="H2459" s="375"/>
      <c r="I2459" s="63"/>
      <c r="J2459" s="47" t="s">
        <v>10306</v>
      </c>
      <c r="K2459" s="46" t="s">
        <v>10735</v>
      </c>
      <c r="L2459" s="47">
        <v>1210</v>
      </c>
      <c r="M2459" s="47" t="s">
        <v>10309</v>
      </c>
      <c r="N2459" s="47" t="s">
        <v>10308</v>
      </c>
      <c r="O2459" s="47" t="s">
        <v>10310</v>
      </c>
      <c r="P2459" s="47" t="s">
        <v>10311</v>
      </c>
      <c r="Q2459" s="47"/>
      <c r="R2459" s="47"/>
      <c r="S2459" s="47"/>
      <c r="T2459" s="47"/>
      <c r="U2459" s="47">
        <v>540</v>
      </c>
      <c r="V2459" s="47"/>
      <c r="W2459" s="47"/>
      <c r="X2459" s="47"/>
      <c r="Y2459" s="47"/>
      <c r="Z2459" s="47">
        <v>4620</v>
      </c>
      <c r="AA2459" s="47"/>
      <c r="AB2459" s="47"/>
      <c r="AC2459" s="47"/>
      <c r="AD2459" s="47"/>
      <c r="AE2459" s="47"/>
      <c r="AF2459" s="47"/>
      <c r="AG2459" s="47"/>
      <c r="AH2459" s="47">
        <v>7000</v>
      </c>
      <c r="AI2459" s="47"/>
      <c r="AJ2459" s="47"/>
    </row>
    <row r="2460" spans="1:36">
      <c r="A2460" s="374" t="s">
        <v>3876</v>
      </c>
      <c r="B2460" s="374">
        <v>1</v>
      </c>
      <c r="C2460" s="374" t="s">
        <v>300</v>
      </c>
      <c r="D2460" s="375" t="str">
        <f t="shared" si="499"/>
        <v>Lord Place Estate1</v>
      </c>
      <c r="E2460" s="375" t="s">
        <v>3877</v>
      </c>
      <c r="F2460" s="375" t="s">
        <v>3878</v>
      </c>
      <c r="G2460" s="375" t="s">
        <v>3879</v>
      </c>
      <c r="H2460" s="375" t="s">
        <v>3880</v>
      </c>
      <c r="I2460" s="63" t="s">
        <v>3881</v>
      </c>
      <c r="J2460" s="47">
        <f>J$7</f>
        <v>3740</v>
      </c>
      <c r="K2460" s="46" t="s">
        <v>10735</v>
      </c>
      <c r="L2460" s="47" t="s">
        <v>3882</v>
      </c>
      <c r="M2460" s="47"/>
      <c r="N2460" s="47"/>
      <c r="O2460" s="47"/>
      <c r="P2460" s="47"/>
      <c r="Q2460" s="47"/>
      <c r="R2460" s="47" t="s">
        <v>3883</v>
      </c>
      <c r="S2460" s="47"/>
      <c r="T2460" s="47"/>
      <c r="U2460" s="47"/>
      <c r="V2460" s="47"/>
      <c r="W2460" s="47"/>
      <c r="X2460" s="47"/>
      <c r="Y2460" s="47"/>
      <c r="Z2460" s="47">
        <f t="shared" si="503"/>
        <v>4620</v>
      </c>
      <c r="AA2460" s="47"/>
      <c r="AB2460" s="47"/>
      <c r="AC2460" s="47"/>
      <c r="AD2460" s="47"/>
      <c r="AE2460" s="47"/>
      <c r="AF2460" s="47"/>
      <c r="AG2460" s="47"/>
      <c r="AH2460" s="47">
        <f>IFERROR(_xlfn.XLOOKUP(Table6[[#This Row],[Suburb]],Table5[Travel Surcharge],Table5[$$]),"")</f>
        <v>12000</v>
      </c>
      <c r="AI2460" s="47"/>
      <c r="AJ2460" s="47"/>
    </row>
    <row r="2461" spans="1:36">
      <c r="A2461" s="374" t="s">
        <v>9581</v>
      </c>
      <c r="B2461" s="374" t="s">
        <v>606</v>
      </c>
      <c r="C2461" s="374" t="s">
        <v>293</v>
      </c>
      <c r="D2461" s="375" t="str">
        <f t="shared" si="499"/>
        <v>Lucas Central3A</v>
      </c>
      <c r="E2461" s="375" t="s">
        <v>9582</v>
      </c>
      <c r="F2461" s="375"/>
      <c r="G2461" s="375"/>
      <c r="H2461" s="375"/>
      <c r="I2461" s="63"/>
      <c r="J2461" s="47"/>
      <c r="K2461" s="46" t="s">
        <v>10735</v>
      </c>
      <c r="L2461" s="47"/>
      <c r="M2461" s="47"/>
      <c r="N2461" s="47"/>
      <c r="O2461" s="47">
        <f>O$7</f>
        <v>4950</v>
      </c>
      <c r="P2461" s="47"/>
      <c r="Q2461" s="47"/>
      <c r="R2461" s="47"/>
      <c r="S2461" s="47" t="s">
        <v>463</v>
      </c>
      <c r="T2461" s="47"/>
      <c r="U2461" s="47"/>
      <c r="V2461" s="47"/>
      <c r="W2461" s="47"/>
      <c r="X2461" s="47"/>
      <c r="Y2461" s="47"/>
      <c r="Z2461" s="47">
        <f t="shared" si="503"/>
        <v>4620</v>
      </c>
      <c r="AA2461" s="47"/>
      <c r="AB2461" s="47"/>
      <c r="AC2461" s="47"/>
      <c r="AD2461" s="47"/>
      <c r="AE2461" s="47"/>
      <c r="AF2461" s="47"/>
      <c r="AG2461" s="47"/>
      <c r="AH2461" s="47">
        <f>IFERROR(_xlfn.XLOOKUP(Table6[[#This Row],[Suburb]],Table5[Travel Surcharge],Table5[$$]),"")</f>
        <v>8000</v>
      </c>
      <c r="AI2461" s="47"/>
      <c r="AJ2461" s="47">
        <v>4400</v>
      </c>
    </row>
    <row r="2462" spans="1:36">
      <c r="A2462" s="374" t="s">
        <v>9581</v>
      </c>
      <c r="B2462" s="374" t="s">
        <v>10364</v>
      </c>
      <c r="C2462" s="374" t="s">
        <v>293</v>
      </c>
      <c r="D2462" s="375" t="str">
        <f t="shared" si="499"/>
        <v>Lucas Central3F</v>
      </c>
      <c r="E2462" s="375" t="s">
        <v>10365</v>
      </c>
      <c r="F2462" s="375"/>
      <c r="G2462" s="375"/>
      <c r="H2462" s="375"/>
      <c r="I2462" s="63"/>
      <c r="J2462" s="47"/>
      <c r="K2462" s="46" t="s">
        <v>10735</v>
      </c>
      <c r="L2462" s="47"/>
      <c r="M2462" s="47"/>
      <c r="N2462" s="47"/>
      <c r="O2462" s="47">
        <v>4950</v>
      </c>
      <c r="P2462" s="47"/>
      <c r="Q2462" s="47"/>
      <c r="R2462" s="47"/>
      <c r="S2462" s="47" t="s">
        <v>463</v>
      </c>
      <c r="T2462" s="47"/>
      <c r="U2462" s="47"/>
      <c r="V2462" s="47"/>
      <c r="W2462" s="47"/>
      <c r="X2462" s="47"/>
      <c r="Y2462" s="47"/>
      <c r="Z2462" s="47">
        <v>4620</v>
      </c>
      <c r="AA2462" s="47"/>
      <c r="AB2462" s="47"/>
      <c r="AC2462" s="47"/>
      <c r="AD2462" s="47"/>
      <c r="AE2462" s="47"/>
      <c r="AF2462" s="47"/>
      <c r="AG2462" s="47"/>
      <c r="AH2462" s="47">
        <v>8000</v>
      </c>
      <c r="AI2462" s="47"/>
      <c r="AJ2462" s="47">
        <v>4400</v>
      </c>
    </row>
    <row r="2463" spans="1:36">
      <c r="A2463" s="374" t="s">
        <v>9581</v>
      </c>
      <c r="B2463" s="374" t="s">
        <v>9585</v>
      </c>
      <c r="C2463" s="374" t="s">
        <v>293</v>
      </c>
      <c r="D2463" s="375" t="str">
        <f t="shared" si="499"/>
        <v>Lucas Central3H</v>
      </c>
      <c r="E2463" s="375" t="s">
        <v>9586</v>
      </c>
      <c r="F2463" s="375"/>
      <c r="G2463" s="375"/>
      <c r="H2463" s="375"/>
      <c r="I2463" s="63"/>
      <c r="J2463" s="47"/>
      <c r="K2463" s="46" t="s">
        <v>10735</v>
      </c>
      <c r="L2463" s="47" t="s">
        <v>9587</v>
      </c>
      <c r="M2463" s="47">
        <f>M$7</f>
        <v>1430.0000000000002</v>
      </c>
      <c r="N2463" s="47"/>
      <c r="O2463" s="47">
        <f>O$7</f>
        <v>4950</v>
      </c>
      <c r="P2463" s="47"/>
      <c r="Q2463" s="47"/>
      <c r="R2463" s="47"/>
      <c r="S2463" s="47" t="s">
        <v>463</v>
      </c>
      <c r="T2463" s="47"/>
      <c r="U2463" s="47"/>
      <c r="V2463" s="47"/>
      <c r="W2463" s="47"/>
      <c r="X2463" s="47"/>
      <c r="Y2463" s="47"/>
      <c r="Z2463" s="47">
        <f t="shared" si="503"/>
        <v>4620</v>
      </c>
      <c r="AA2463" s="47"/>
      <c r="AB2463" s="47"/>
      <c r="AC2463" s="47"/>
      <c r="AD2463" s="47"/>
      <c r="AE2463" s="47"/>
      <c r="AF2463" s="47"/>
      <c r="AG2463" s="47"/>
      <c r="AH2463" s="47">
        <f>IFERROR(_xlfn.XLOOKUP(Table6[[#This Row],[Suburb]],Table5[Travel Surcharge],Table5[$$]),"")</f>
        <v>8000</v>
      </c>
      <c r="AI2463" s="47"/>
      <c r="AJ2463" s="47">
        <v>4400</v>
      </c>
    </row>
    <row r="2464" spans="1:36">
      <c r="A2464" s="374" t="s">
        <v>9581</v>
      </c>
      <c r="B2464" s="374" t="s">
        <v>10786</v>
      </c>
      <c r="C2464" s="374" t="s">
        <v>293</v>
      </c>
      <c r="D2464" s="375" t="str">
        <f t="shared" si="499"/>
        <v>Lucas Central3GB</v>
      </c>
      <c r="E2464" s="375" t="s">
        <v>10787</v>
      </c>
      <c r="F2464" s="375"/>
      <c r="G2464" s="375"/>
      <c r="H2464" s="375"/>
      <c r="I2464" s="63"/>
      <c r="J2464" s="47"/>
      <c r="K2464" s="46" t="s">
        <v>10735</v>
      </c>
      <c r="L2464" s="47" t="s">
        <v>9587</v>
      </c>
      <c r="M2464" s="47">
        <v>1430.0000000000002</v>
      </c>
      <c r="N2464" s="47"/>
      <c r="O2464" s="47">
        <v>4950</v>
      </c>
      <c r="P2464" s="47"/>
      <c r="Q2464" s="47"/>
      <c r="R2464" s="47"/>
      <c r="S2464" s="47" t="s">
        <v>463</v>
      </c>
      <c r="T2464" s="47"/>
      <c r="U2464" s="47"/>
      <c r="V2464" s="47"/>
      <c r="W2464" s="47"/>
      <c r="X2464" s="47"/>
      <c r="Y2464" s="47"/>
      <c r="Z2464" s="47">
        <v>4620</v>
      </c>
      <c r="AA2464" s="47"/>
      <c r="AB2464" s="47"/>
      <c r="AC2464" s="47"/>
      <c r="AD2464" s="47"/>
      <c r="AE2464" s="47"/>
      <c r="AF2464" s="47"/>
      <c r="AG2464" s="47"/>
      <c r="AH2464" s="47">
        <v>8000</v>
      </c>
      <c r="AI2464" s="47"/>
      <c r="AJ2464" s="47">
        <v>4400</v>
      </c>
    </row>
    <row r="2465" spans="1:36">
      <c r="A2465" s="374" t="s">
        <v>10186</v>
      </c>
      <c r="B2465" s="374" t="s">
        <v>10187</v>
      </c>
      <c r="C2465" s="374"/>
      <c r="D2465" s="375" t="str">
        <f>CONCATENATE(A2465,B2465)</f>
        <v>Lucas EstateC4</v>
      </c>
      <c r="E2465" s="375"/>
      <c r="F2465" s="375"/>
      <c r="G2465" s="375"/>
      <c r="H2465" s="375"/>
      <c r="I2465" s="63"/>
      <c r="J2465" s="47" t="s">
        <v>10188</v>
      </c>
      <c r="K2465" s="46" t="s">
        <v>10735</v>
      </c>
      <c r="L2465" s="47" t="s">
        <v>10189</v>
      </c>
      <c r="M2465" s="47" t="s">
        <v>10190</v>
      </c>
      <c r="N2465" s="47"/>
      <c r="O2465" s="47">
        <f>O$7</f>
        <v>4950</v>
      </c>
      <c r="P2465" s="47"/>
      <c r="Q2465" s="47"/>
      <c r="R2465" s="47"/>
      <c r="S2465" s="47" t="s">
        <v>463</v>
      </c>
      <c r="T2465" s="47"/>
      <c r="U2465" s="47"/>
      <c r="V2465" s="47"/>
      <c r="W2465" s="47"/>
      <c r="X2465" s="47"/>
      <c r="Y2465" s="47"/>
      <c r="Z2465" s="47">
        <f>Z$7</f>
        <v>4620</v>
      </c>
      <c r="AA2465" s="47"/>
      <c r="AB2465" s="47"/>
      <c r="AC2465" s="47"/>
      <c r="AD2465" s="47"/>
      <c r="AE2465" s="47"/>
      <c r="AF2465" s="47"/>
      <c r="AG2465" s="47"/>
      <c r="AH2465" s="47">
        <v>8000</v>
      </c>
      <c r="AI2465" s="47"/>
      <c r="AJ2465" s="47">
        <v>4400</v>
      </c>
    </row>
    <row r="2466" spans="1:36">
      <c r="A2466" s="374" t="s">
        <v>3884</v>
      </c>
      <c r="B2466" s="374" t="s">
        <v>3885</v>
      </c>
      <c r="C2466" s="374" t="s">
        <v>303</v>
      </c>
      <c r="D2466" s="375" t="str">
        <f t="shared" si="499"/>
        <v>Lucas Dawn EstateD1</v>
      </c>
      <c r="E2466" s="375" t="s">
        <v>3886</v>
      </c>
      <c r="F2466" s="375" t="s">
        <v>3887</v>
      </c>
      <c r="G2466" s="375" t="s">
        <v>576</v>
      </c>
      <c r="H2466" s="375" t="s">
        <v>3888</v>
      </c>
      <c r="I2466" s="63" t="s">
        <v>3889</v>
      </c>
      <c r="J2466" s="47"/>
      <c r="K2466" s="46" t="s">
        <v>10735</v>
      </c>
      <c r="L2466" s="47" t="s">
        <v>3890</v>
      </c>
      <c r="M2466" s="47"/>
      <c r="N2466" s="47"/>
      <c r="O2466" s="47">
        <f>O$7</f>
        <v>4950</v>
      </c>
      <c r="P2466" s="47"/>
      <c r="Q2466" s="47"/>
      <c r="R2466" s="47"/>
      <c r="S2466" s="47" t="s">
        <v>463</v>
      </c>
      <c r="T2466" s="47" t="s">
        <v>3891</v>
      </c>
      <c r="U2466" s="47"/>
      <c r="V2466" s="47"/>
      <c r="W2466" s="47"/>
      <c r="X2466" s="47"/>
      <c r="Y2466" s="47"/>
      <c r="Z2466" s="47">
        <f t="shared" si="503"/>
        <v>4620</v>
      </c>
      <c r="AA2466" s="47"/>
      <c r="AB2466" s="47"/>
      <c r="AC2466" s="47"/>
      <c r="AD2466" s="47"/>
      <c r="AE2466" s="47"/>
      <c r="AF2466" s="47"/>
      <c r="AG2466" s="47"/>
      <c r="AH2466" s="47">
        <f>IFERROR(_xlfn.XLOOKUP(Table6[[#This Row],[Suburb]],Table5[Travel Surcharge],Table5[$$]),"")</f>
        <v>8000</v>
      </c>
      <c r="AI2466" s="47"/>
      <c r="AJ2466" s="47">
        <f>AJ$7</f>
        <v>4400</v>
      </c>
    </row>
    <row r="2467" spans="1:36">
      <c r="A2467" s="157" t="s">
        <v>7629</v>
      </c>
      <c r="B2467" s="157" t="s">
        <v>5782</v>
      </c>
      <c r="C2467" s="157" t="s">
        <v>303</v>
      </c>
      <c r="D2467" s="157" t="str">
        <f t="shared" si="499"/>
        <v>Lucas Gibson4E</v>
      </c>
      <c r="E2467" s="157" t="s">
        <v>7630</v>
      </c>
      <c r="F2467" s="157" t="s">
        <v>3887</v>
      </c>
      <c r="G2467" s="157" t="s">
        <v>576</v>
      </c>
      <c r="H2467" s="157" t="s">
        <v>3888</v>
      </c>
      <c r="I2467" s="158" t="s">
        <v>3889</v>
      </c>
      <c r="J2467" s="47"/>
      <c r="K2467" s="46" t="s">
        <v>10735</v>
      </c>
      <c r="L2467" s="47"/>
      <c r="M2467" s="47" t="s">
        <v>3890</v>
      </c>
      <c r="N2467" s="47" t="s">
        <v>3894</v>
      </c>
      <c r="O2467" s="47">
        <f>O$7</f>
        <v>4950</v>
      </c>
      <c r="P2467" s="47" t="s">
        <v>3895</v>
      </c>
      <c r="Q2467" s="47"/>
      <c r="R2467" s="47"/>
      <c r="S2467" s="47" t="s">
        <v>463</v>
      </c>
      <c r="T2467" s="47" t="s">
        <v>3891</v>
      </c>
      <c r="U2467" s="47"/>
      <c r="V2467" s="47"/>
      <c r="W2467" s="47"/>
      <c r="X2467" s="47"/>
      <c r="Y2467" s="47"/>
      <c r="Z2467" s="47">
        <f t="shared" si="503"/>
        <v>4620</v>
      </c>
      <c r="AA2467" s="47"/>
      <c r="AB2467" s="47"/>
      <c r="AC2467" s="47"/>
      <c r="AD2467" s="47"/>
      <c r="AE2467" s="47"/>
      <c r="AF2467" s="47">
        <f>AF$7</f>
        <v>1485</v>
      </c>
      <c r="AG2467" s="47"/>
      <c r="AH2467" s="47">
        <f>IFERROR(_xlfn.XLOOKUP(Table6[[#This Row],[Suburb]],Table5[Travel Surcharge],Table5[$$]),"")</f>
        <v>8000</v>
      </c>
      <c r="AI2467" s="47"/>
      <c r="AJ2467" s="47">
        <f>AJ$7</f>
        <v>4400</v>
      </c>
    </row>
    <row r="2468" spans="1:36">
      <c r="A2468" s="374" t="s">
        <v>3892</v>
      </c>
      <c r="B2468" s="374" t="s">
        <v>9533</v>
      </c>
      <c r="C2468" s="374" t="s">
        <v>303</v>
      </c>
      <c r="D2468" s="375" t="s">
        <v>9534</v>
      </c>
      <c r="E2468" s="375" t="s">
        <v>9535</v>
      </c>
      <c r="F2468" s="375" t="s">
        <v>3887</v>
      </c>
      <c r="G2468" s="375" t="s">
        <v>576</v>
      </c>
      <c r="H2468" s="375" t="s">
        <v>3888</v>
      </c>
      <c r="I2468" s="63" t="s">
        <v>3889</v>
      </c>
      <c r="J2468" s="47"/>
      <c r="K2468" s="46" t="s">
        <v>10735</v>
      </c>
      <c r="L2468" s="47"/>
      <c r="M2468" s="47" t="s">
        <v>3890</v>
      </c>
      <c r="N2468" s="47" t="s">
        <v>3894</v>
      </c>
      <c r="O2468" s="47">
        <v>4950</v>
      </c>
      <c r="P2468" s="47" t="s">
        <v>3895</v>
      </c>
      <c r="Q2468" s="47"/>
      <c r="R2468" s="47"/>
      <c r="S2468" s="47" t="s">
        <v>463</v>
      </c>
      <c r="T2468" s="47" t="s">
        <v>3891</v>
      </c>
      <c r="U2468" s="47"/>
      <c r="V2468" s="47"/>
      <c r="W2468" s="47"/>
      <c r="X2468" s="47"/>
      <c r="Y2468" s="47"/>
      <c r="Z2468" s="47">
        <v>4620</v>
      </c>
      <c r="AA2468" s="47"/>
      <c r="AB2468" s="47"/>
      <c r="AC2468" s="47"/>
      <c r="AD2468" s="47"/>
      <c r="AE2468" s="47"/>
      <c r="AF2468" s="47">
        <v>1650.0000000000002</v>
      </c>
      <c r="AG2468" s="47"/>
      <c r="AH2468" s="47">
        <f>IFERROR(_xlfn.XLOOKUP(Table6[[#This Row],[Suburb]],Table5[Travel Surcharge],Table5[$$]),"")</f>
        <v>8000</v>
      </c>
      <c r="AI2468" s="47"/>
      <c r="AJ2468" s="47">
        <v>4400</v>
      </c>
    </row>
    <row r="2469" spans="1:36">
      <c r="A2469" s="374" t="s">
        <v>3892</v>
      </c>
      <c r="B2469" s="374" t="s">
        <v>507</v>
      </c>
      <c r="C2469" s="374" t="s">
        <v>303</v>
      </c>
      <c r="D2469" s="375" t="str">
        <f t="shared" ref="D2469:D2505" si="508">CONCATENATE(A2469,B2469)</f>
        <v>Lucas Grange Estate1B</v>
      </c>
      <c r="E2469" s="375" t="s">
        <v>3893</v>
      </c>
      <c r="F2469" s="375" t="s">
        <v>3887</v>
      </c>
      <c r="G2469" s="375" t="s">
        <v>576</v>
      </c>
      <c r="H2469" s="375" t="s">
        <v>3888</v>
      </c>
      <c r="I2469" s="63" t="s">
        <v>3889</v>
      </c>
      <c r="J2469" s="47"/>
      <c r="K2469" s="46" t="s">
        <v>10735</v>
      </c>
      <c r="L2469" s="47"/>
      <c r="M2469" s="47" t="s">
        <v>3890</v>
      </c>
      <c r="N2469" s="47" t="s">
        <v>3894</v>
      </c>
      <c r="O2469" s="47">
        <f t="shared" ref="O2469:O2487" si="509">O$7</f>
        <v>4950</v>
      </c>
      <c r="P2469" s="47" t="s">
        <v>3895</v>
      </c>
      <c r="Q2469" s="47"/>
      <c r="R2469" s="47"/>
      <c r="S2469" s="47" t="s">
        <v>463</v>
      </c>
      <c r="T2469" s="47" t="s">
        <v>3891</v>
      </c>
      <c r="U2469" s="47"/>
      <c r="V2469" s="47"/>
      <c r="W2469" s="47"/>
      <c r="X2469" s="47"/>
      <c r="Y2469" s="47"/>
      <c r="Z2469" s="47">
        <f t="shared" ref="Z2469:Z2487" si="510">Z$7</f>
        <v>4620</v>
      </c>
      <c r="AA2469" s="47"/>
      <c r="AB2469" s="47"/>
      <c r="AC2469" s="47"/>
      <c r="AD2469" s="47"/>
      <c r="AE2469" s="47"/>
      <c r="AF2469" s="47">
        <f t="shared" ref="AF2469:AF2481" si="511">AF$7</f>
        <v>1485</v>
      </c>
      <c r="AG2469" s="47"/>
      <c r="AH2469" s="47">
        <f>IFERROR(_xlfn.XLOOKUP(Table6[[#This Row],[Suburb]],Table5[Travel Surcharge],Table5[$$]),"")</f>
        <v>8000</v>
      </c>
      <c r="AI2469" s="47"/>
      <c r="AJ2469" s="47">
        <f t="shared" ref="AJ2469:AJ2505" si="512">AJ$7</f>
        <v>4400</v>
      </c>
    </row>
    <row r="2470" spans="1:36">
      <c r="A2470" s="374" t="s">
        <v>3892</v>
      </c>
      <c r="B2470" s="374" t="s">
        <v>3896</v>
      </c>
      <c r="C2470" s="374" t="s">
        <v>303</v>
      </c>
      <c r="D2470" s="375" t="str">
        <f t="shared" si="508"/>
        <v>Lucas Grange Estate1F</v>
      </c>
      <c r="E2470" s="375" t="s">
        <v>3897</v>
      </c>
      <c r="F2470" s="375" t="s">
        <v>3887</v>
      </c>
      <c r="G2470" s="375" t="s">
        <v>576</v>
      </c>
      <c r="H2470" s="375" t="s">
        <v>3888</v>
      </c>
      <c r="I2470" s="63" t="s">
        <v>3889</v>
      </c>
      <c r="J2470" s="47"/>
      <c r="K2470" s="46" t="s">
        <v>10735</v>
      </c>
      <c r="L2470" s="47"/>
      <c r="M2470" s="47" t="s">
        <v>3890</v>
      </c>
      <c r="N2470" s="47" t="s">
        <v>3894</v>
      </c>
      <c r="O2470" s="47">
        <f t="shared" si="509"/>
        <v>4950</v>
      </c>
      <c r="P2470" s="47" t="s">
        <v>3895</v>
      </c>
      <c r="Q2470" s="47"/>
      <c r="R2470" s="47"/>
      <c r="S2470" s="47" t="s">
        <v>463</v>
      </c>
      <c r="T2470" s="47" t="s">
        <v>3891</v>
      </c>
      <c r="U2470" s="47"/>
      <c r="V2470" s="47"/>
      <c r="W2470" s="47"/>
      <c r="X2470" s="47"/>
      <c r="Y2470" s="47"/>
      <c r="Z2470" s="47">
        <f t="shared" si="510"/>
        <v>4620</v>
      </c>
      <c r="AA2470" s="47"/>
      <c r="AB2470" s="47"/>
      <c r="AC2470" s="47"/>
      <c r="AD2470" s="47"/>
      <c r="AE2470" s="47"/>
      <c r="AF2470" s="47">
        <f t="shared" si="511"/>
        <v>1485</v>
      </c>
      <c r="AG2470" s="47"/>
      <c r="AH2470" s="47">
        <f>IFERROR(_xlfn.XLOOKUP(Table6[[#This Row],[Suburb]],Table5[Travel Surcharge],Table5[$$]),"")</f>
        <v>8000</v>
      </c>
      <c r="AI2470" s="47"/>
      <c r="AJ2470" s="47">
        <f t="shared" si="512"/>
        <v>4400</v>
      </c>
    </row>
    <row r="2471" spans="1:36">
      <c r="A2471" s="374" t="s">
        <v>3892</v>
      </c>
      <c r="B2471" s="374" t="s">
        <v>3898</v>
      </c>
      <c r="C2471" s="374" t="s">
        <v>303</v>
      </c>
      <c r="D2471" s="375" t="str">
        <f t="shared" si="508"/>
        <v>Lucas Grange Estate1G</v>
      </c>
      <c r="E2471" s="375" t="s">
        <v>3899</v>
      </c>
      <c r="F2471" s="375" t="s">
        <v>3887</v>
      </c>
      <c r="G2471" s="375" t="s">
        <v>576</v>
      </c>
      <c r="H2471" s="375" t="s">
        <v>3888</v>
      </c>
      <c r="I2471" s="63" t="s">
        <v>3889</v>
      </c>
      <c r="J2471" s="47"/>
      <c r="K2471" s="46" t="s">
        <v>10735</v>
      </c>
      <c r="L2471" s="47"/>
      <c r="M2471" s="47" t="s">
        <v>3890</v>
      </c>
      <c r="N2471" s="47" t="s">
        <v>3894</v>
      </c>
      <c r="O2471" s="47">
        <f t="shared" si="509"/>
        <v>4950</v>
      </c>
      <c r="P2471" s="47" t="s">
        <v>3895</v>
      </c>
      <c r="Q2471" s="47"/>
      <c r="R2471" s="47"/>
      <c r="S2471" s="47" t="s">
        <v>463</v>
      </c>
      <c r="T2471" s="47" t="s">
        <v>3891</v>
      </c>
      <c r="U2471" s="47"/>
      <c r="V2471" s="47"/>
      <c r="W2471" s="47"/>
      <c r="X2471" s="47"/>
      <c r="Y2471" s="47"/>
      <c r="Z2471" s="47">
        <f t="shared" si="510"/>
        <v>4620</v>
      </c>
      <c r="AA2471" s="47"/>
      <c r="AB2471" s="47"/>
      <c r="AC2471" s="47"/>
      <c r="AD2471" s="47"/>
      <c r="AE2471" s="47"/>
      <c r="AF2471" s="47">
        <f t="shared" si="511"/>
        <v>1485</v>
      </c>
      <c r="AG2471" s="47"/>
      <c r="AH2471" s="47">
        <f>IFERROR(_xlfn.XLOOKUP(Table6[[#This Row],[Suburb]],Table5[Travel Surcharge],Table5[$$]),"")</f>
        <v>8000</v>
      </c>
      <c r="AI2471" s="47"/>
      <c r="AJ2471" s="47">
        <f t="shared" si="512"/>
        <v>4400</v>
      </c>
    </row>
    <row r="2472" spans="1:36">
      <c r="A2472" s="374" t="s">
        <v>3892</v>
      </c>
      <c r="B2472" s="374" t="s">
        <v>3900</v>
      </c>
      <c r="C2472" s="374" t="s">
        <v>303</v>
      </c>
      <c r="D2472" s="375" t="str">
        <f t="shared" si="508"/>
        <v>Lucas Grange Estate1J</v>
      </c>
      <c r="E2472" s="375" t="s">
        <v>3901</v>
      </c>
      <c r="F2472" s="375" t="s">
        <v>3887</v>
      </c>
      <c r="G2472" s="375" t="s">
        <v>576</v>
      </c>
      <c r="H2472" s="375" t="s">
        <v>3888</v>
      </c>
      <c r="I2472" s="63" t="s">
        <v>3889</v>
      </c>
      <c r="J2472" s="47"/>
      <c r="K2472" s="46" t="s">
        <v>10735</v>
      </c>
      <c r="L2472" s="47"/>
      <c r="M2472" s="47" t="s">
        <v>3890</v>
      </c>
      <c r="N2472" s="47" t="s">
        <v>3894</v>
      </c>
      <c r="O2472" s="47">
        <f t="shared" si="509"/>
        <v>4950</v>
      </c>
      <c r="P2472" s="47" t="s">
        <v>3895</v>
      </c>
      <c r="Q2472" s="47"/>
      <c r="R2472" s="47"/>
      <c r="S2472" s="47" t="s">
        <v>463</v>
      </c>
      <c r="T2472" s="47" t="s">
        <v>3891</v>
      </c>
      <c r="U2472" s="47"/>
      <c r="V2472" s="47"/>
      <c r="W2472" s="47"/>
      <c r="X2472" s="47"/>
      <c r="Y2472" s="47"/>
      <c r="Z2472" s="47">
        <f t="shared" si="510"/>
        <v>4620</v>
      </c>
      <c r="AA2472" s="47"/>
      <c r="AB2472" s="47"/>
      <c r="AC2472" s="47"/>
      <c r="AD2472" s="47"/>
      <c r="AE2472" s="47"/>
      <c r="AF2472" s="47">
        <f t="shared" si="511"/>
        <v>1485</v>
      </c>
      <c r="AG2472" s="47"/>
      <c r="AH2472" s="47">
        <f>IFERROR(_xlfn.XLOOKUP(Table6[[#This Row],[Suburb]],Table5[Travel Surcharge],Table5[$$]),"")</f>
        <v>8000</v>
      </c>
      <c r="AI2472" s="47"/>
      <c r="AJ2472" s="47">
        <f t="shared" si="512"/>
        <v>4400</v>
      </c>
    </row>
    <row r="2473" spans="1:36">
      <c r="A2473" s="374" t="s">
        <v>3892</v>
      </c>
      <c r="B2473" s="374" t="s">
        <v>718</v>
      </c>
      <c r="C2473" s="374" t="s">
        <v>303</v>
      </c>
      <c r="D2473" s="375" t="str">
        <f t="shared" si="508"/>
        <v>Lucas Grange Estate2A</v>
      </c>
      <c r="E2473" s="375" t="s">
        <v>3902</v>
      </c>
      <c r="F2473" s="375" t="s">
        <v>3887</v>
      </c>
      <c r="G2473" s="375" t="s">
        <v>576</v>
      </c>
      <c r="H2473" s="375" t="s">
        <v>3888</v>
      </c>
      <c r="I2473" s="63" t="s">
        <v>3889</v>
      </c>
      <c r="J2473" s="47"/>
      <c r="K2473" s="46" t="s">
        <v>10735</v>
      </c>
      <c r="L2473" s="47"/>
      <c r="M2473" s="47" t="s">
        <v>3890</v>
      </c>
      <c r="N2473" s="47" t="s">
        <v>3894</v>
      </c>
      <c r="O2473" s="47">
        <f t="shared" si="509"/>
        <v>4950</v>
      </c>
      <c r="P2473" s="47" t="s">
        <v>3895</v>
      </c>
      <c r="Q2473" s="47"/>
      <c r="R2473" s="47"/>
      <c r="S2473" s="47" t="s">
        <v>463</v>
      </c>
      <c r="T2473" s="47" t="s">
        <v>3891</v>
      </c>
      <c r="U2473" s="47"/>
      <c r="V2473" s="47"/>
      <c r="W2473" s="47"/>
      <c r="X2473" s="47"/>
      <c r="Y2473" s="47"/>
      <c r="Z2473" s="47">
        <f t="shared" si="510"/>
        <v>4620</v>
      </c>
      <c r="AA2473" s="47"/>
      <c r="AB2473" s="47"/>
      <c r="AC2473" s="47"/>
      <c r="AD2473" s="47"/>
      <c r="AE2473" s="47"/>
      <c r="AF2473" s="47">
        <f t="shared" si="511"/>
        <v>1485</v>
      </c>
      <c r="AG2473" s="47"/>
      <c r="AH2473" s="47">
        <f>IFERROR(_xlfn.XLOOKUP(Table6[[#This Row],[Suburb]],Table5[Travel Surcharge],Table5[$$]),"")</f>
        <v>8000</v>
      </c>
      <c r="AI2473" s="47"/>
      <c r="AJ2473" s="47">
        <f t="shared" si="512"/>
        <v>4400</v>
      </c>
    </row>
    <row r="2474" spans="1:36">
      <c r="A2474" s="374" t="s">
        <v>3892</v>
      </c>
      <c r="B2474" s="374" t="s">
        <v>604</v>
      </c>
      <c r="C2474" s="374" t="s">
        <v>303</v>
      </c>
      <c r="D2474" s="375" t="str">
        <f t="shared" si="508"/>
        <v>Lucas Grange Estate2B</v>
      </c>
      <c r="E2474" s="375" t="s">
        <v>3902</v>
      </c>
      <c r="F2474" s="375" t="s">
        <v>3887</v>
      </c>
      <c r="G2474" s="375" t="s">
        <v>576</v>
      </c>
      <c r="H2474" s="375" t="s">
        <v>3888</v>
      </c>
      <c r="I2474" s="63" t="s">
        <v>3889</v>
      </c>
      <c r="J2474" s="47"/>
      <c r="K2474" s="46" t="s">
        <v>10735</v>
      </c>
      <c r="L2474" s="47"/>
      <c r="M2474" s="47" t="s">
        <v>3890</v>
      </c>
      <c r="N2474" s="47" t="s">
        <v>3894</v>
      </c>
      <c r="O2474" s="47">
        <f t="shared" si="509"/>
        <v>4950</v>
      </c>
      <c r="P2474" s="47" t="s">
        <v>3895</v>
      </c>
      <c r="Q2474" s="47"/>
      <c r="R2474" s="47"/>
      <c r="S2474" s="47" t="s">
        <v>463</v>
      </c>
      <c r="T2474" s="47" t="s">
        <v>3891</v>
      </c>
      <c r="U2474" s="47"/>
      <c r="V2474" s="47"/>
      <c r="W2474" s="47"/>
      <c r="X2474" s="47"/>
      <c r="Y2474" s="47"/>
      <c r="Z2474" s="47">
        <f t="shared" si="510"/>
        <v>4620</v>
      </c>
      <c r="AA2474" s="47"/>
      <c r="AB2474" s="47"/>
      <c r="AC2474" s="47"/>
      <c r="AD2474" s="47"/>
      <c r="AE2474" s="47"/>
      <c r="AF2474" s="47">
        <f t="shared" si="511"/>
        <v>1485</v>
      </c>
      <c r="AG2474" s="47"/>
      <c r="AH2474" s="47">
        <f>IFERROR(_xlfn.XLOOKUP(Table6[[#This Row],[Suburb]],Table5[Travel Surcharge],Table5[$$]),"")</f>
        <v>8000</v>
      </c>
      <c r="AI2474" s="47"/>
      <c r="AJ2474" s="47">
        <f t="shared" si="512"/>
        <v>4400</v>
      </c>
    </row>
    <row r="2475" spans="1:36">
      <c r="A2475" s="374" t="s">
        <v>3892</v>
      </c>
      <c r="B2475" s="374" t="s">
        <v>1050</v>
      </c>
      <c r="C2475" s="374" t="s">
        <v>303</v>
      </c>
      <c r="D2475" s="375" t="str">
        <f t="shared" si="508"/>
        <v>Lucas Grange Estate2C</v>
      </c>
      <c r="E2475" s="375" t="s">
        <v>3903</v>
      </c>
      <c r="F2475" s="375" t="s">
        <v>3887</v>
      </c>
      <c r="G2475" s="375" t="s">
        <v>576</v>
      </c>
      <c r="H2475" s="375" t="s">
        <v>3888</v>
      </c>
      <c r="I2475" s="63" t="s">
        <v>3889</v>
      </c>
      <c r="J2475" s="47"/>
      <c r="K2475" s="46" t="s">
        <v>10735</v>
      </c>
      <c r="L2475" s="47"/>
      <c r="M2475" s="47" t="s">
        <v>3890</v>
      </c>
      <c r="N2475" s="47" t="s">
        <v>3894</v>
      </c>
      <c r="O2475" s="47">
        <f t="shared" si="509"/>
        <v>4950</v>
      </c>
      <c r="P2475" s="47" t="s">
        <v>3895</v>
      </c>
      <c r="Q2475" s="47"/>
      <c r="R2475" s="47"/>
      <c r="S2475" s="47" t="s">
        <v>463</v>
      </c>
      <c r="T2475" s="47" t="s">
        <v>3891</v>
      </c>
      <c r="U2475" s="47"/>
      <c r="V2475" s="47"/>
      <c r="W2475" s="47"/>
      <c r="X2475" s="47"/>
      <c r="Y2475" s="47"/>
      <c r="Z2475" s="47">
        <f t="shared" si="510"/>
        <v>4620</v>
      </c>
      <c r="AA2475" s="47"/>
      <c r="AB2475" s="47"/>
      <c r="AC2475" s="47"/>
      <c r="AD2475" s="47"/>
      <c r="AE2475" s="47"/>
      <c r="AF2475" s="47">
        <f t="shared" si="511"/>
        <v>1485</v>
      </c>
      <c r="AG2475" s="47"/>
      <c r="AH2475" s="47">
        <f>IFERROR(_xlfn.XLOOKUP(Table6[[#This Row],[Suburb]],Table5[Travel Surcharge],Table5[$$]),"")</f>
        <v>8000</v>
      </c>
      <c r="AI2475" s="47"/>
      <c r="AJ2475" s="47">
        <f t="shared" si="512"/>
        <v>4400</v>
      </c>
    </row>
    <row r="2476" spans="1:36">
      <c r="A2476" s="374" t="s">
        <v>3892</v>
      </c>
      <c r="B2476" s="374" t="s">
        <v>3904</v>
      </c>
      <c r="C2476" s="374" t="s">
        <v>303</v>
      </c>
      <c r="D2476" s="375" t="str">
        <f t="shared" si="508"/>
        <v>Lucas Grange Estate2G</v>
      </c>
      <c r="E2476" s="375" t="s">
        <v>3905</v>
      </c>
      <c r="F2476" s="375" t="s">
        <v>3887</v>
      </c>
      <c r="G2476" s="375" t="s">
        <v>576</v>
      </c>
      <c r="H2476" s="375" t="s">
        <v>3888</v>
      </c>
      <c r="I2476" s="63" t="s">
        <v>3889</v>
      </c>
      <c r="J2476" s="47"/>
      <c r="K2476" s="46" t="s">
        <v>10735</v>
      </c>
      <c r="L2476" s="47"/>
      <c r="M2476" s="47" t="s">
        <v>3890</v>
      </c>
      <c r="N2476" s="47" t="s">
        <v>3894</v>
      </c>
      <c r="O2476" s="47">
        <f t="shared" si="509"/>
        <v>4950</v>
      </c>
      <c r="P2476" s="47" t="s">
        <v>3895</v>
      </c>
      <c r="Q2476" s="47"/>
      <c r="R2476" s="47"/>
      <c r="S2476" s="47" t="s">
        <v>463</v>
      </c>
      <c r="T2476" s="47" t="s">
        <v>3891</v>
      </c>
      <c r="U2476" s="47"/>
      <c r="V2476" s="47"/>
      <c r="W2476" s="47"/>
      <c r="X2476" s="47"/>
      <c r="Y2476" s="47"/>
      <c r="Z2476" s="47">
        <f t="shared" si="510"/>
        <v>4620</v>
      </c>
      <c r="AA2476" s="47"/>
      <c r="AB2476" s="47"/>
      <c r="AC2476" s="47"/>
      <c r="AD2476" s="47"/>
      <c r="AE2476" s="47"/>
      <c r="AF2476" s="47">
        <f t="shared" si="511"/>
        <v>1485</v>
      </c>
      <c r="AG2476" s="47"/>
      <c r="AH2476" s="47">
        <f>IFERROR(_xlfn.XLOOKUP(Table6[[#This Row],[Suburb]],Table5[Travel Surcharge],Table5[$$]),"")</f>
        <v>8000</v>
      </c>
      <c r="AI2476" s="47"/>
      <c r="AJ2476" s="47">
        <f t="shared" si="512"/>
        <v>4400</v>
      </c>
    </row>
    <row r="2477" spans="1:36">
      <c r="A2477" s="374" t="s">
        <v>3892</v>
      </c>
      <c r="B2477" s="374" t="s">
        <v>7677</v>
      </c>
      <c r="C2477" s="374" t="s">
        <v>303</v>
      </c>
      <c r="D2477" s="375" t="str">
        <f t="shared" si="508"/>
        <v>Lucas Grange Estate2E</v>
      </c>
      <c r="E2477" s="375" t="s">
        <v>7678</v>
      </c>
      <c r="F2477" s="375" t="s">
        <v>3887</v>
      </c>
      <c r="G2477" s="375" t="s">
        <v>576</v>
      </c>
      <c r="H2477" s="375" t="s">
        <v>3888</v>
      </c>
      <c r="I2477" s="63" t="s">
        <v>3889</v>
      </c>
      <c r="J2477" s="47"/>
      <c r="K2477" s="46" t="s">
        <v>10735</v>
      </c>
      <c r="L2477" s="47"/>
      <c r="M2477" s="47" t="s">
        <v>3890</v>
      </c>
      <c r="N2477" s="47" t="s">
        <v>3894</v>
      </c>
      <c r="O2477" s="47">
        <f t="shared" si="509"/>
        <v>4950</v>
      </c>
      <c r="P2477" s="47" t="s">
        <v>3895</v>
      </c>
      <c r="Q2477" s="47"/>
      <c r="R2477" s="47"/>
      <c r="S2477" s="47" t="s">
        <v>463</v>
      </c>
      <c r="T2477" s="47" t="s">
        <v>3891</v>
      </c>
      <c r="U2477" s="47"/>
      <c r="V2477" s="47"/>
      <c r="W2477" s="47"/>
      <c r="X2477" s="47"/>
      <c r="Y2477" s="47"/>
      <c r="Z2477" s="47">
        <f t="shared" si="510"/>
        <v>4620</v>
      </c>
      <c r="AA2477" s="47"/>
      <c r="AB2477" s="47"/>
      <c r="AC2477" s="47"/>
      <c r="AD2477" s="47"/>
      <c r="AE2477" s="47"/>
      <c r="AF2477" s="47">
        <f t="shared" si="511"/>
        <v>1485</v>
      </c>
      <c r="AG2477" s="47"/>
      <c r="AH2477" s="47">
        <f>IFERROR(_xlfn.XLOOKUP(Table6[[#This Row],[Suburb]],Table5[Travel Surcharge],Table5[$$]),"")</f>
        <v>8000</v>
      </c>
      <c r="AI2477" s="47"/>
      <c r="AJ2477" s="47">
        <f t="shared" si="512"/>
        <v>4400</v>
      </c>
    </row>
    <row r="2478" spans="1:36">
      <c r="A2478" s="374" t="s">
        <v>3892</v>
      </c>
      <c r="B2478" s="374" t="s">
        <v>615</v>
      </c>
      <c r="C2478" s="374" t="s">
        <v>303</v>
      </c>
      <c r="D2478" s="375" t="str">
        <f t="shared" si="508"/>
        <v>Lucas Grange Estate4C</v>
      </c>
      <c r="E2478" s="375" t="s">
        <v>3906</v>
      </c>
      <c r="F2478" s="375" t="s">
        <v>3887</v>
      </c>
      <c r="G2478" s="375" t="s">
        <v>576</v>
      </c>
      <c r="H2478" s="375" t="s">
        <v>3888</v>
      </c>
      <c r="I2478" s="63" t="s">
        <v>3889</v>
      </c>
      <c r="J2478" s="47"/>
      <c r="K2478" s="46" t="s">
        <v>10735</v>
      </c>
      <c r="L2478" s="47"/>
      <c r="M2478" s="47" t="s">
        <v>3890</v>
      </c>
      <c r="N2478" s="47" t="s">
        <v>3894</v>
      </c>
      <c r="O2478" s="47">
        <f t="shared" si="509"/>
        <v>4950</v>
      </c>
      <c r="P2478" s="47" t="s">
        <v>3895</v>
      </c>
      <c r="Q2478" s="47"/>
      <c r="R2478" s="47"/>
      <c r="S2478" s="47" t="s">
        <v>463</v>
      </c>
      <c r="T2478" s="47" t="s">
        <v>3891</v>
      </c>
      <c r="U2478" s="47"/>
      <c r="V2478" s="47"/>
      <c r="W2478" s="47"/>
      <c r="X2478" s="47"/>
      <c r="Y2478" s="47"/>
      <c r="Z2478" s="47">
        <f t="shared" si="510"/>
        <v>4620</v>
      </c>
      <c r="AA2478" s="47"/>
      <c r="AB2478" s="47"/>
      <c r="AC2478" s="47"/>
      <c r="AD2478" s="47"/>
      <c r="AE2478" s="47"/>
      <c r="AF2478" s="47">
        <f t="shared" si="511"/>
        <v>1485</v>
      </c>
      <c r="AG2478" s="47"/>
      <c r="AH2478" s="47">
        <f>IFERROR(_xlfn.XLOOKUP(Table6[[#This Row],[Suburb]],Table5[Travel Surcharge],Table5[$$]),"")</f>
        <v>8000</v>
      </c>
      <c r="AI2478" s="47"/>
      <c r="AJ2478" s="47">
        <f t="shared" si="512"/>
        <v>4400</v>
      </c>
    </row>
    <row r="2479" spans="1:36">
      <c r="A2479" s="374" t="s">
        <v>3892</v>
      </c>
      <c r="B2479" s="374" t="s">
        <v>5043</v>
      </c>
      <c r="C2479" s="374" t="s">
        <v>303</v>
      </c>
      <c r="D2479" s="375" t="str">
        <f t="shared" si="508"/>
        <v>Lucas Grange Estate4D</v>
      </c>
      <c r="E2479" s="375" t="s">
        <v>9680</v>
      </c>
      <c r="F2479" s="375" t="s">
        <v>3887</v>
      </c>
      <c r="G2479" s="375" t="s">
        <v>576</v>
      </c>
      <c r="H2479" s="375" t="s">
        <v>3888</v>
      </c>
      <c r="I2479" s="63" t="s">
        <v>3889</v>
      </c>
      <c r="J2479" s="47"/>
      <c r="K2479" s="46" t="s">
        <v>10735</v>
      </c>
      <c r="L2479" s="47"/>
      <c r="M2479" s="47" t="s">
        <v>3890</v>
      </c>
      <c r="N2479" s="47" t="s">
        <v>3894</v>
      </c>
      <c r="O2479" s="47">
        <f t="shared" si="509"/>
        <v>4950</v>
      </c>
      <c r="P2479" s="47" t="s">
        <v>3895</v>
      </c>
      <c r="Q2479" s="47"/>
      <c r="R2479" s="47"/>
      <c r="S2479" s="47" t="s">
        <v>463</v>
      </c>
      <c r="T2479" s="47" t="s">
        <v>3891</v>
      </c>
      <c r="U2479" s="47"/>
      <c r="V2479" s="47"/>
      <c r="W2479" s="47"/>
      <c r="X2479" s="47"/>
      <c r="Y2479" s="47"/>
      <c r="Z2479" s="47">
        <f t="shared" si="510"/>
        <v>4620</v>
      </c>
      <c r="AA2479" s="47"/>
      <c r="AB2479" s="47"/>
      <c r="AC2479" s="47"/>
      <c r="AD2479" s="47"/>
      <c r="AE2479" s="47"/>
      <c r="AF2479" s="47">
        <f t="shared" si="511"/>
        <v>1485</v>
      </c>
      <c r="AG2479" s="47"/>
      <c r="AH2479" s="47">
        <f>IFERROR(_xlfn.XLOOKUP(Table6[[#This Row],[Suburb]],Table5[Travel Surcharge],Table5[$$]),"")</f>
        <v>8000</v>
      </c>
      <c r="AI2479" s="47"/>
      <c r="AJ2479" s="47">
        <f t="shared" si="512"/>
        <v>4400</v>
      </c>
    </row>
    <row r="2480" spans="1:36">
      <c r="A2480" s="374" t="s">
        <v>3892</v>
      </c>
      <c r="B2480" s="374" t="s">
        <v>3907</v>
      </c>
      <c r="C2480" s="374" t="s">
        <v>303</v>
      </c>
      <c r="D2480" s="375" t="str">
        <f t="shared" si="508"/>
        <v>Lucas Grange Estate4F</v>
      </c>
      <c r="E2480" s="375" t="s">
        <v>3908</v>
      </c>
      <c r="F2480" s="375" t="s">
        <v>3887</v>
      </c>
      <c r="G2480" s="375" t="s">
        <v>576</v>
      </c>
      <c r="H2480" s="375" t="s">
        <v>3888</v>
      </c>
      <c r="I2480" s="63" t="s">
        <v>3889</v>
      </c>
      <c r="J2480" s="47"/>
      <c r="K2480" s="46" t="s">
        <v>10735</v>
      </c>
      <c r="L2480" s="47"/>
      <c r="M2480" s="47" t="s">
        <v>3890</v>
      </c>
      <c r="N2480" s="47" t="s">
        <v>3894</v>
      </c>
      <c r="O2480" s="47">
        <f t="shared" si="509"/>
        <v>4950</v>
      </c>
      <c r="P2480" s="47" t="s">
        <v>3895</v>
      </c>
      <c r="Q2480" s="47"/>
      <c r="R2480" s="47"/>
      <c r="S2480" s="47" t="s">
        <v>463</v>
      </c>
      <c r="T2480" s="47" t="s">
        <v>3891</v>
      </c>
      <c r="U2480" s="47"/>
      <c r="V2480" s="47"/>
      <c r="W2480" s="47"/>
      <c r="X2480" s="47"/>
      <c r="Y2480" s="47"/>
      <c r="Z2480" s="47">
        <f t="shared" si="510"/>
        <v>4620</v>
      </c>
      <c r="AA2480" s="47"/>
      <c r="AB2480" s="47"/>
      <c r="AC2480" s="47"/>
      <c r="AD2480" s="47"/>
      <c r="AE2480" s="47"/>
      <c r="AF2480" s="47">
        <f t="shared" si="511"/>
        <v>1485</v>
      </c>
      <c r="AG2480" s="47"/>
      <c r="AH2480" s="47">
        <f>IFERROR(_xlfn.XLOOKUP(Table6[[#This Row],[Suburb]],Table5[Travel Surcharge],Table5[$$]),"")</f>
        <v>8000</v>
      </c>
      <c r="AI2480" s="47"/>
      <c r="AJ2480" s="47">
        <f t="shared" si="512"/>
        <v>4400</v>
      </c>
    </row>
    <row r="2481" spans="1:36">
      <c r="A2481" s="374" t="s">
        <v>7936</v>
      </c>
      <c r="B2481" s="171">
        <v>13</v>
      </c>
      <c r="C2481" s="374" t="s">
        <v>303</v>
      </c>
      <c r="D2481" s="375" t="str">
        <f t="shared" si="508"/>
        <v>Lucas Grange Estate (Butler Street Stage)13</v>
      </c>
      <c r="E2481" s="375" t="s">
        <v>7937</v>
      </c>
      <c r="F2481" s="375" t="s">
        <v>3887</v>
      </c>
      <c r="G2481" s="375" t="s">
        <v>576</v>
      </c>
      <c r="H2481" s="375" t="s">
        <v>3888</v>
      </c>
      <c r="I2481" s="63" t="s">
        <v>3889</v>
      </c>
      <c r="J2481" s="47"/>
      <c r="K2481" s="46" t="s">
        <v>10735</v>
      </c>
      <c r="L2481" s="47"/>
      <c r="M2481" s="47" t="s">
        <v>3890</v>
      </c>
      <c r="N2481" s="47" t="s">
        <v>3894</v>
      </c>
      <c r="O2481" s="47">
        <f t="shared" si="509"/>
        <v>4950</v>
      </c>
      <c r="P2481" s="47" t="s">
        <v>3895</v>
      </c>
      <c r="Q2481" s="47"/>
      <c r="R2481" s="47"/>
      <c r="S2481" s="47" t="s">
        <v>463</v>
      </c>
      <c r="T2481" s="47" t="s">
        <v>3891</v>
      </c>
      <c r="U2481" s="47"/>
      <c r="V2481" s="47"/>
      <c r="W2481" s="47"/>
      <c r="X2481" s="47"/>
      <c r="Y2481" s="47"/>
      <c r="Z2481" s="47">
        <f t="shared" si="510"/>
        <v>4620</v>
      </c>
      <c r="AA2481" s="47"/>
      <c r="AB2481" s="47"/>
      <c r="AC2481" s="47"/>
      <c r="AD2481" s="47"/>
      <c r="AE2481" s="47"/>
      <c r="AF2481" s="47">
        <f t="shared" si="511"/>
        <v>1485</v>
      </c>
      <c r="AG2481" s="47"/>
      <c r="AH2481" s="47">
        <f>IFERROR(_xlfn.XLOOKUP(Table6[[#This Row],[Suburb]],Table5[Travel Surcharge],Table5[$$]),"")</f>
        <v>8000</v>
      </c>
      <c r="AI2481" s="47"/>
      <c r="AJ2481" s="47">
        <f t="shared" si="512"/>
        <v>4400</v>
      </c>
    </row>
    <row r="2482" spans="1:36">
      <c r="A2482" s="374" t="s">
        <v>3909</v>
      </c>
      <c r="B2482" s="374" t="s">
        <v>3910</v>
      </c>
      <c r="C2482" s="374" t="s">
        <v>303</v>
      </c>
      <c r="D2482" s="375" t="str">
        <f t="shared" si="508"/>
        <v>Lucas Landing EstateB5</v>
      </c>
      <c r="E2482" s="375" t="s">
        <v>3911</v>
      </c>
      <c r="F2482" s="375" t="s">
        <v>3887</v>
      </c>
      <c r="G2482" s="375" t="s">
        <v>576</v>
      </c>
      <c r="H2482" s="375" t="s">
        <v>3888</v>
      </c>
      <c r="I2482" s="63" t="s">
        <v>3889</v>
      </c>
      <c r="J2482" s="47"/>
      <c r="K2482" s="46" t="s">
        <v>10735</v>
      </c>
      <c r="L2482" s="47"/>
      <c r="M2482" s="47"/>
      <c r="N2482" s="47"/>
      <c r="O2482" s="47">
        <f t="shared" si="509"/>
        <v>4950</v>
      </c>
      <c r="P2482" s="47"/>
      <c r="Q2482" s="47"/>
      <c r="R2482" s="47"/>
      <c r="S2482" s="47" t="s">
        <v>463</v>
      </c>
      <c r="T2482" s="47" t="s">
        <v>3891</v>
      </c>
      <c r="U2482" s="47"/>
      <c r="V2482" s="47"/>
      <c r="W2482" s="47"/>
      <c r="X2482" s="47"/>
      <c r="Y2482" s="47"/>
      <c r="Z2482" s="47">
        <f t="shared" si="510"/>
        <v>4620</v>
      </c>
      <c r="AA2482" s="47"/>
      <c r="AB2482" s="47"/>
      <c r="AC2482" s="47"/>
      <c r="AD2482" s="47"/>
      <c r="AE2482" s="47"/>
      <c r="AF2482" s="47"/>
      <c r="AG2482" s="47"/>
      <c r="AH2482" s="47">
        <f>IFERROR(_xlfn.XLOOKUP(Table6[[#This Row],[Suburb]],Table5[Travel Surcharge],Table5[$$]),"")</f>
        <v>8000</v>
      </c>
      <c r="AI2482" s="47"/>
      <c r="AJ2482" s="47">
        <f t="shared" si="512"/>
        <v>4400</v>
      </c>
    </row>
    <row r="2483" spans="1:36">
      <c r="A2483" s="374" t="s">
        <v>3909</v>
      </c>
      <c r="B2483" s="374" t="s">
        <v>3912</v>
      </c>
      <c r="C2483" s="374" t="s">
        <v>303</v>
      </c>
      <c r="D2483" s="375" t="str">
        <f t="shared" si="508"/>
        <v>Lucas Landing EstateE3</v>
      </c>
      <c r="E2483" s="375" t="s">
        <v>3913</v>
      </c>
      <c r="F2483" s="375" t="s">
        <v>3887</v>
      </c>
      <c r="G2483" s="375" t="s">
        <v>576</v>
      </c>
      <c r="H2483" s="375" t="s">
        <v>3888</v>
      </c>
      <c r="I2483" s="63" t="s">
        <v>3889</v>
      </c>
      <c r="J2483" s="47"/>
      <c r="K2483" s="46" t="s">
        <v>10735</v>
      </c>
      <c r="L2483" s="47"/>
      <c r="M2483" s="47"/>
      <c r="N2483" s="47"/>
      <c r="O2483" s="47">
        <f t="shared" si="509"/>
        <v>4950</v>
      </c>
      <c r="P2483" s="47"/>
      <c r="Q2483" s="47"/>
      <c r="R2483" s="47"/>
      <c r="S2483" s="47" t="s">
        <v>463</v>
      </c>
      <c r="T2483" s="47" t="s">
        <v>3891</v>
      </c>
      <c r="U2483" s="47"/>
      <c r="V2483" s="47"/>
      <c r="W2483" s="47"/>
      <c r="X2483" s="47"/>
      <c r="Y2483" s="47"/>
      <c r="Z2483" s="47">
        <f t="shared" si="510"/>
        <v>4620</v>
      </c>
      <c r="AA2483" s="47"/>
      <c r="AB2483" s="47"/>
      <c r="AC2483" s="47"/>
      <c r="AD2483" s="47"/>
      <c r="AE2483" s="47"/>
      <c r="AF2483" s="47"/>
      <c r="AG2483" s="47"/>
      <c r="AH2483" s="47">
        <f>IFERROR(_xlfn.XLOOKUP(Table6[[#This Row],[Suburb]],Table5[Travel Surcharge],Table5[$$]),"")</f>
        <v>8000</v>
      </c>
      <c r="AI2483" s="47"/>
      <c r="AJ2483" s="47">
        <f t="shared" si="512"/>
        <v>4400</v>
      </c>
    </row>
    <row r="2484" spans="1:36">
      <c r="A2484" s="374" t="s">
        <v>3914</v>
      </c>
      <c r="B2484" s="374" t="s">
        <v>3915</v>
      </c>
      <c r="C2484" s="374" t="s">
        <v>303</v>
      </c>
      <c r="D2484" s="375" t="str">
        <f t="shared" si="508"/>
        <v>Lucas Metro EstateZ2</v>
      </c>
      <c r="E2484" s="375" t="s">
        <v>3916</v>
      </c>
      <c r="F2484" s="375" t="s">
        <v>3887</v>
      </c>
      <c r="G2484" s="375" t="s">
        <v>576</v>
      </c>
      <c r="H2484" s="375" t="s">
        <v>3888</v>
      </c>
      <c r="I2484" s="63" t="s">
        <v>3889</v>
      </c>
      <c r="J2484" s="47"/>
      <c r="K2484" s="46" t="s">
        <v>10735</v>
      </c>
      <c r="L2484" s="47"/>
      <c r="M2484" s="47"/>
      <c r="N2484" s="47"/>
      <c r="O2484" s="47">
        <f t="shared" si="509"/>
        <v>4950</v>
      </c>
      <c r="P2484" s="47"/>
      <c r="Q2484" s="47"/>
      <c r="R2484" s="47"/>
      <c r="S2484" s="47" t="s">
        <v>463</v>
      </c>
      <c r="T2484" s="47" t="s">
        <v>3891</v>
      </c>
      <c r="U2484" s="47"/>
      <c r="V2484" s="47"/>
      <c r="W2484" s="47"/>
      <c r="X2484" s="47"/>
      <c r="Y2484" s="47"/>
      <c r="Z2484" s="47">
        <f t="shared" si="510"/>
        <v>4620</v>
      </c>
      <c r="AA2484" s="47"/>
      <c r="AB2484" s="47"/>
      <c r="AC2484" s="47"/>
      <c r="AD2484" s="47"/>
      <c r="AE2484" s="47"/>
      <c r="AF2484" s="47"/>
      <c r="AG2484" s="47"/>
      <c r="AH2484" s="47">
        <f>IFERROR(_xlfn.XLOOKUP(Table6[[#This Row],[Suburb]],Table5[Travel Surcharge],Table5[$$]),"")</f>
        <v>8000</v>
      </c>
      <c r="AI2484" s="47"/>
      <c r="AJ2484" s="47">
        <f t="shared" si="512"/>
        <v>4400</v>
      </c>
    </row>
    <row r="2485" spans="1:36">
      <c r="A2485" s="374" t="s">
        <v>10785</v>
      </c>
      <c r="B2485" s="374" t="s">
        <v>10786</v>
      </c>
      <c r="C2485" s="374" t="s">
        <v>303</v>
      </c>
      <c r="D2485" s="375" t="str">
        <f>CONCATENATE(A2485,B2485)</f>
        <v>Lucas Parkside3GB</v>
      </c>
      <c r="E2485" s="375" t="s">
        <v>10787</v>
      </c>
      <c r="F2485" s="375" t="s">
        <v>3887</v>
      </c>
      <c r="G2485" s="375" t="s">
        <v>576</v>
      </c>
      <c r="H2485" s="375" t="s">
        <v>3888</v>
      </c>
      <c r="I2485" s="63" t="s">
        <v>3889</v>
      </c>
      <c r="J2485" s="47"/>
      <c r="K2485" s="46" t="s">
        <v>10735</v>
      </c>
      <c r="L2485" s="47" t="s">
        <v>3890</v>
      </c>
      <c r="M2485" s="47"/>
      <c r="N2485" s="47"/>
      <c r="O2485" s="47">
        <f>O$7</f>
        <v>4950</v>
      </c>
      <c r="P2485" s="47" t="s">
        <v>10788</v>
      </c>
      <c r="Q2485" s="47" t="s">
        <v>10789</v>
      </c>
      <c r="R2485" s="47"/>
      <c r="S2485" s="47" t="s">
        <v>463</v>
      </c>
      <c r="T2485" s="47" t="s">
        <v>3891</v>
      </c>
      <c r="U2485" s="47"/>
      <c r="V2485" s="47"/>
      <c r="W2485" s="47"/>
      <c r="X2485" s="47"/>
      <c r="Y2485" s="47"/>
      <c r="Z2485" s="47">
        <f>Z$7</f>
        <v>4620</v>
      </c>
      <c r="AA2485" s="47"/>
      <c r="AB2485" s="47"/>
      <c r="AC2485" s="47"/>
      <c r="AD2485" s="47"/>
      <c r="AE2485" s="47"/>
      <c r="AF2485" s="47"/>
      <c r="AG2485" s="47"/>
      <c r="AH2485" s="47">
        <v>8000</v>
      </c>
      <c r="AI2485" s="47"/>
      <c r="AJ2485" s="47"/>
    </row>
    <row r="2486" spans="1:36">
      <c r="A2486" s="374" t="s">
        <v>3917</v>
      </c>
      <c r="B2486" s="374" t="s">
        <v>3920</v>
      </c>
      <c r="C2486" s="374" t="s">
        <v>303</v>
      </c>
      <c r="D2486" s="375" t="str">
        <f t="shared" si="508"/>
        <v>Lucas PlatinumF3B</v>
      </c>
      <c r="E2486" s="375" t="s">
        <v>3919</v>
      </c>
      <c r="F2486" s="375" t="s">
        <v>3887</v>
      </c>
      <c r="G2486" s="375" t="s">
        <v>576</v>
      </c>
      <c r="H2486" s="375" t="s">
        <v>3888</v>
      </c>
      <c r="I2486" s="63" t="s">
        <v>3889</v>
      </c>
      <c r="J2486" s="47"/>
      <c r="K2486" s="46" t="s">
        <v>10735</v>
      </c>
      <c r="L2486" s="47" t="s">
        <v>3890</v>
      </c>
      <c r="M2486" s="47"/>
      <c r="N2486" s="47"/>
      <c r="O2486" s="47">
        <f t="shared" si="509"/>
        <v>4950</v>
      </c>
      <c r="P2486" s="47"/>
      <c r="Q2486" s="47"/>
      <c r="R2486" s="47"/>
      <c r="S2486" s="47" t="s">
        <v>463</v>
      </c>
      <c r="T2486" s="47" t="s">
        <v>3891</v>
      </c>
      <c r="U2486" s="47"/>
      <c r="V2486" s="47"/>
      <c r="W2486" s="47"/>
      <c r="X2486" s="47"/>
      <c r="Y2486" s="47"/>
      <c r="Z2486" s="47">
        <f t="shared" si="510"/>
        <v>4620</v>
      </c>
      <c r="AA2486" s="47"/>
      <c r="AB2486" s="47"/>
      <c r="AC2486" s="47"/>
      <c r="AD2486" s="47"/>
      <c r="AE2486" s="47"/>
      <c r="AF2486" s="47"/>
      <c r="AG2486" s="47"/>
      <c r="AH2486" s="47">
        <f>IFERROR(_xlfn.XLOOKUP(Table6[[#This Row],[Suburb]],Table5[Travel Surcharge],Table5[$$]),"")</f>
        <v>8000</v>
      </c>
      <c r="AI2486" s="47"/>
      <c r="AJ2486" s="47">
        <f t="shared" si="512"/>
        <v>4400</v>
      </c>
    </row>
    <row r="2487" spans="1:36">
      <c r="A2487" s="374" t="s">
        <v>3917</v>
      </c>
      <c r="B2487" s="374" t="s">
        <v>3918</v>
      </c>
      <c r="C2487" s="374" t="s">
        <v>303</v>
      </c>
      <c r="D2487" s="375" t="str">
        <f t="shared" si="508"/>
        <v>Lucas PlatinumF5</v>
      </c>
      <c r="E2487" s="375" t="s">
        <v>3919</v>
      </c>
      <c r="F2487" s="375" t="s">
        <v>3887</v>
      </c>
      <c r="G2487" s="375" t="s">
        <v>576</v>
      </c>
      <c r="H2487" s="375" t="s">
        <v>3888</v>
      </c>
      <c r="I2487" s="63" t="s">
        <v>3889</v>
      </c>
      <c r="J2487" s="47"/>
      <c r="K2487" s="46" t="s">
        <v>10735</v>
      </c>
      <c r="L2487" s="47" t="s">
        <v>3890</v>
      </c>
      <c r="M2487" s="47"/>
      <c r="N2487" s="47"/>
      <c r="O2487" s="47">
        <f t="shared" si="509"/>
        <v>4950</v>
      </c>
      <c r="P2487" s="47"/>
      <c r="Q2487" s="47"/>
      <c r="R2487" s="47"/>
      <c r="S2487" s="47" t="s">
        <v>463</v>
      </c>
      <c r="T2487" s="47" t="s">
        <v>3891</v>
      </c>
      <c r="U2487" s="47"/>
      <c r="V2487" s="47"/>
      <c r="W2487" s="47"/>
      <c r="X2487" s="47"/>
      <c r="Y2487" s="47"/>
      <c r="Z2487" s="47">
        <f t="shared" si="510"/>
        <v>4620</v>
      </c>
      <c r="AA2487" s="47"/>
      <c r="AB2487" s="47"/>
      <c r="AC2487" s="47"/>
      <c r="AD2487" s="47"/>
      <c r="AE2487" s="47"/>
      <c r="AF2487" s="47"/>
      <c r="AG2487" s="47"/>
      <c r="AH2487" s="47">
        <f>IFERROR(_xlfn.XLOOKUP(Table6[[#This Row],[Suburb]],Table5[Travel Surcharge],Table5[$$]),"")</f>
        <v>8000</v>
      </c>
      <c r="AI2487" s="47"/>
      <c r="AJ2487" s="47">
        <f t="shared" si="512"/>
        <v>4400</v>
      </c>
    </row>
    <row r="2488" spans="1:36">
      <c r="A2488" s="374" t="s">
        <v>3917</v>
      </c>
      <c r="B2488" s="374" t="s">
        <v>3924</v>
      </c>
      <c r="C2488" s="374" t="s">
        <v>303</v>
      </c>
      <c r="D2488" s="375" t="str">
        <f t="shared" si="508"/>
        <v>Lucas PlatinumM1</v>
      </c>
      <c r="E2488" s="375" t="s">
        <v>3925</v>
      </c>
      <c r="F2488" s="375" t="s">
        <v>3887</v>
      </c>
      <c r="G2488" s="375" t="s">
        <v>576</v>
      </c>
      <c r="H2488" s="375" t="s">
        <v>3888</v>
      </c>
      <c r="I2488" s="63" t="s">
        <v>3889</v>
      </c>
      <c r="J2488" s="47"/>
      <c r="K2488" s="46" t="s">
        <v>10735</v>
      </c>
      <c r="L2488" s="47" t="s">
        <v>3890</v>
      </c>
      <c r="M2488" s="47" t="s">
        <v>3923</v>
      </c>
      <c r="N2488" s="47" t="s">
        <v>3926</v>
      </c>
      <c r="O2488" s="47">
        <v>4950</v>
      </c>
      <c r="P2488" s="47"/>
      <c r="Q2488" s="47"/>
      <c r="R2488" s="47"/>
      <c r="S2488" s="47" t="s">
        <v>463</v>
      </c>
      <c r="T2488" s="47" t="s">
        <v>3891</v>
      </c>
      <c r="U2488" s="47"/>
      <c r="V2488" s="47"/>
      <c r="W2488" s="47"/>
      <c r="X2488" s="47"/>
      <c r="Y2488" s="47"/>
      <c r="Z2488" s="47">
        <v>4620</v>
      </c>
      <c r="AA2488" s="47"/>
      <c r="AB2488" s="47"/>
      <c r="AC2488" s="47"/>
      <c r="AD2488" s="47"/>
      <c r="AE2488" s="47"/>
      <c r="AF2488" s="47">
        <v>1650.0000000000002</v>
      </c>
      <c r="AG2488" s="47"/>
      <c r="AH2488" s="47">
        <f>IFERROR(_xlfn.XLOOKUP(Table6[[#This Row],[Suburb]],Table5[Travel Surcharge],Table5[$$]),"")</f>
        <v>8000</v>
      </c>
      <c r="AI2488" s="47"/>
      <c r="AJ2488" s="47">
        <f t="shared" si="512"/>
        <v>4400</v>
      </c>
    </row>
    <row r="2489" spans="1:36">
      <c r="A2489" s="374" t="s">
        <v>3917</v>
      </c>
      <c r="B2489" s="374" t="s">
        <v>3921</v>
      </c>
      <c r="C2489" s="374" t="s">
        <v>303</v>
      </c>
      <c r="D2489" s="375" t="str">
        <f t="shared" si="508"/>
        <v>Lucas PlatinumM2</v>
      </c>
      <c r="E2489" s="375" t="s">
        <v>3922</v>
      </c>
      <c r="F2489" s="375" t="s">
        <v>3887</v>
      </c>
      <c r="G2489" s="375" t="s">
        <v>576</v>
      </c>
      <c r="H2489" s="375" t="s">
        <v>3888</v>
      </c>
      <c r="I2489" s="63" t="s">
        <v>3889</v>
      </c>
      <c r="J2489" s="47"/>
      <c r="K2489" s="46" t="s">
        <v>10735</v>
      </c>
      <c r="L2489" s="47" t="s">
        <v>3890</v>
      </c>
      <c r="M2489" s="47" t="s">
        <v>3923</v>
      </c>
      <c r="N2489" s="47"/>
      <c r="O2489" s="47">
        <f t="shared" ref="O2489:O2505" si="513">O$7</f>
        <v>4950</v>
      </c>
      <c r="P2489" s="47"/>
      <c r="Q2489" s="47"/>
      <c r="R2489" s="47"/>
      <c r="S2489" s="47" t="s">
        <v>463</v>
      </c>
      <c r="T2489" s="47" t="s">
        <v>3891</v>
      </c>
      <c r="U2489" s="47"/>
      <c r="V2489" s="47"/>
      <c r="W2489" s="47"/>
      <c r="X2489" s="47"/>
      <c r="Y2489" s="47"/>
      <c r="Z2489" s="47">
        <f t="shared" ref="Z2489:Z2505" si="514">Z$7</f>
        <v>4620</v>
      </c>
      <c r="AA2489" s="47"/>
      <c r="AB2489" s="47"/>
      <c r="AC2489" s="47"/>
      <c r="AD2489" s="47"/>
      <c r="AE2489" s="47"/>
      <c r="AF2489" s="47">
        <f>AF$7</f>
        <v>1485</v>
      </c>
      <c r="AG2489" s="47"/>
      <c r="AH2489" s="47">
        <f>IFERROR(_xlfn.XLOOKUP(Table6[[#This Row],[Suburb]],Table5[Travel Surcharge],Table5[$$]),"")</f>
        <v>8000</v>
      </c>
      <c r="AI2489" s="47"/>
      <c r="AJ2489" s="47">
        <f t="shared" si="512"/>
        <v>4400</v>
      </c>
    </row>
    <row r="2490" spans="1:36">
      <c r="A2490" s="157" t="s">
        <v>3917</v>
      </c>
      <c r="B2490" s="157" t="s">
        <v>7762</v>
      </c>
      <c r="C2490" s="157" t="s">
        <v>303</v>
      </c>
      <c r="D2490" s="157" t="str">
        <f t="shared" si="508"/>
        <v>Lucas PlatinumM3</v>
      </c>
      <c r="E2490" s="157" t="s">
        <v>7763</v>
      </c>
      <c r="F2490" s="157" t="s">
        <v>3887</v>
      </c>
      <c r="G2490" s="157" t="s">
        <v>576</v>
      </c>
      <c r="H2490" s="157" t="s">
        <v>3888</v>
      </c>
      <c r="I2490" s="158" t="s">
        <v>3889</v>
      </c>
      <c r="J2490" s="47"/>
      <c r="K2490" s="46" t="s">
        <v>10735</v>
      </c>
      <c r="L2490" s="47" t="s">
        <v>3890</v>
      </c>
      <c r="M2490" s="47" t="s">
        <v>3923</v>
      </c>
      <c r="N2490" s="47"/>
      <c r="O2490" s="47">
        <f t="shared" si="513"/>
        <v>4950</v>
      </c>
      <c r="P2490" s="47"/>
      <c r="Q2490" s="47"/>
      <c r="R2490" s="47"/>
      <c r="S2490" s="47" t="s">
        <v>463</v>
      </c>
      <c r="T2490" s="47" t="s">
        <v>3891</v>
      </c>
      <c r="U2490" s="47"/>
      <c r="V2490" s="47"/>
      <c r="W2490" s="47"/>
      <c r="X2490" s="47"/>
      <c r="Y2490" s="47"/>
      <c r="Z2490" s="47">
        <f t="shared" si="514"/>
        <v>4620</v>
      </c>
      <c r="AA2490" s="47"/>
      <c r="AB2490" s="47"/>
      <c r="AC2490" s="47"/>
      <c r="AD2490" s="47"/>
      <c r="AE2490" s="47"/>
      <c r="AF2490" s="47">
        <f>AF$7</f>
        <v>1485</v>
      </c>
      <c r="AG2490" s="47"/>
      <c r="AH2490" s="47">
        <f>IFERROR(_xlfn.XLOOKUP(Table6[[#This Row],[Suburb]],Table5[Travel Surcharge],Table5[$$]),"")</f>
        <v>8000</v>
      </c>
      <c r="AI2490" s="47"/>
      <c r="AJ2490" s="47">
        <f t="shared" si="512"/>
        <v>4400</v>
      </c>
    </row>
    <row r="2491" spans="1:36">
      <c r="A2491" s="374" t="s">
        <v>3917</v>
      </c>
      <c r="B2491" s="374" t="s">
        <v>10762</v>
      </c>
      <c r="C2491" s="374" t="s">
        <v>303</v>
      </c>
      <c r="D2491" s="375" t="s">
        <v>10763</v>
      </c>
      <c r="E2491" s="375" t="s">
        <v>10764</v>
      </c>
      <c r="F2491" s="375" t="s">
        <v>3887</v>
      </c>
      <c r="G2491" s="375" t="s">
        <v>576</v>
      </c>
      <c r="H2491" s="375" t="s">
        <v>3888</v>
      </c>
      <c r="I2491" s="63" t="s">
        <v>3889</v>
      </c>
      <c r="J2491" s="47"/>
      <c r="K2491" s="46" t="s">
        <v>10735</v>
      </c>
      <c r="L2491" s="47" t="s">
        <v>3890</v>
      </c>
      <c r="M2491" s="47" t="s">
        <v>3923</v>
      </c>
      <c r="N2491" s="47"/>
      <c r="O2491" s="47">
        <v>4950</v>
      </c>
      <c r="P2491" s="47"/>
      <c r="Q2491" s="47"/>
      <c r="R2491" s="47"/>
      <c r="S2491" s="47" t="s">
        <v>463</v>
      </c>
      <c r="T2491" s="47" t="s">
        <v>3891</v>
      </c>
      <c r="U2491" s="47"/>
      <c r="V2491" s="47"/>
      <c r="W2491" s="47"/>
      <c r="X2491" s="47"/>
      <c r="Y2491" s="47"/>
      <c r="Z2491" s="47">
        <v>4620</v>
      </c>
      <c r="AA2491" s="47"/>
      <c r="AB2491" s="47"/>
      <c r="AC2491" s="47"/>
      <c r="AD2491" s="47"/>
      <c r="AE2491" s="47"/>
      <c r="AF2491" s="47">
        <v>650</v>
      </c>
      <c r="AG2491" s="47"/>
      <c r="AH2491" s="47">
        <v>8000</v>
      </c>
      <c r="AI2491" s="47"/>
      <c r="AJ2491" s="47">
        <v>4400</v>
      </c>
    </row>
    <row r="2492" spans="1:36">
      <c r="A2492" s="374" t="s">
        <v>3927</v>
      </c>
      <c r="B2492" s="374" t="s">
        <v>3928</v>
      </c>
      <c r="C2492" s="374" t="s">
        <v>303</v>
      </c>
      <c r="D2492" s="375" t="str">
        <f t="shared" si="508"/>
        <v>Lucas Rise EstateC1</v>
      </c>
      <c r="E2492" s="375" t="s">
        <v>3929</v>
      </c>
      <c r="F2492" s="375" t="s">
        <v>3887</v>
      </c>
      <c r="G2492" s="375" t="s">
        <v>576</v>
      </c>
      <c r="H2492" s="375" t="s">
        <v>3888</v>
      </c>
      <c r="I2492" s="63" t="s">
        <v>3889</v>
      </c>
      <c r="J2492" s="47"/>
      <c r="K2492" s="46" t="s">
        <v>10735</v>
      </c>
      <c r="L2492" s="47" t="s">
        <v>3890</v>
      </c>
      <c r="M2492" s="47"/>
      <c r="N2492" s="47"/>
      <c r="O2492" s="47">
        <f t="shared" si="513"/>
        <v>4950</v>
      </c>
      <c r="P2492" s="47"/>
      <c r="Q2492" s="47"/>
      <c r="R2492" s="47"/>
      <c r="S2492" s="47" t="s">
        <v>463</v>
      </c>
      <c r="T2492" s="47" t="s">
        <v>3891</v>
      </c>
      <c r="U2492" s="47"/>
      <c r="V2492" s="47"/>
      <c r="W2492" s="47"/>
      <c r="X2492" s="47"/>
      <c r="Y2492" s="47"/>
      <c r="Z2492" s="47">
        <f t="shared" si="514"/>
        <v>4620</v>
      </c>
      <c r="AA2492" s="47"/>
      <c r="AB2492" s="47"/>
      <c r="AC2492" s="47"/>
      <c r="AD2492" s="47"/>
      <c r="AE2492" s="47"/>
      <c r="AF2492" s="47"/>
      <c r="AG2492" s="47"/>
      <c r="AH2492" s="47">
        <f>IFERROR(_xlfn.XLOOKUP(Table6[[#This Row],[Suburb]],Table5[Travel Surcharge],Table5[$$]),"")</f>
        <v>8000</v>
      </c>
      <c r="AI2492" s="47"/>
      <c r="AJ2492" s="47">
        <f t="shared" si="512"/>
        <v>4400</v>
      </c>
    </row>
    <row r="2493" spans="1:36">
      <c r="A2493" s="374" t="s">
        <v>3927</v>
      </c>
      <c r="B2493" s="374" t="s">
        <v>3930</v>
      </c>
      <c r="C2493" s="374" t="s">
        <v>303</v>
      </c>
      <c r="D2493" s="375" t="str">
        <f t="shared" si="508"/>
        <v>Lucas Rise EstateC2</v>
      </c>
      <c r="E2493" s="375" t="s">
        <v>3931</v>
      </c>
      <c r="F2493" s="375" t="s">
        <v>3887</v>
      </c>
      <c r="G2493" s="375" t="s">
        <v>576</v>
      </c>
      <c r="H2493" s="375" t="s">
        <v>3888</v>
      </c>
      <c r="I2493" s="63" t="s">
        <v>3889</v>
      </c>
      <c r="J2493" s="47"/>
      <c r="K2493" s="46" t="s">
        <v>10735</v>
      </c>
      <c r="L2493" s="47" t="s">
        <v>3890</v>
      </c>
      <c r="M2493" s="47"/>
      <c r="N2493" s="47"/>
      <c r="O2493" s="47">
        <f t="shared" si="513"/>
        <v>4950</v>
      </c>
      <c r="P2493" s="47"/>
      <c r="Q2493" s="47"/>
      <c r="R2493" s="47"/>
      <c r="S2493" s="47" t="s">
        <v>463</v>
      </c>
      <c r="T2493" s="47" t="s">
        <v>3891</v>
      </c>
      <c r="U2493" s="47"/>
      <c r="V2493" s="47"/>
      <c r="W2493" s="47"/>
      <c r="X2493" s="47"/>
      <c r="Y2493" s="47"/>
      <c r="Z2493" s="47">
        <f t="shared" si="514"/>
        <v>4620</v>
      </c>
      <c r="AA2493" s="47"/>
      <c r="AB2493" s="47"/>
      <c r="AC2493" s="47"/>
      <c r="AD2493" s="47"/>
      <c r="AE2493" s="47"/>
      <c r="AF2493" s="47"/>
      <c r="AG2493" s="47"/>
      <c r="AH2493" s="47">
        <f>IFERROR(_xlfn.XLOOKUP(Table6[[#This Row],[Suburb]],Table5[Travel Surcharge],Table5[$$]),"")</f>
        <v>8000</v>
      </c>
      <c r="AI2493" s="47"/>
      <c r="AJ2493" s="47">
        <f t="shared" si="512"/>
        <v>4400</v>
      </c>
    </row>
    <row r="2494" spans="1:36">
      <c r="A2494" s="374" t="s">
        <v>3927</v>
      </c>
      <c r="B2494" s="374" t="s">
        <v>3932</v>
      </c>
      <c r="C2494" s="374" t="s">
        <v>303</v>
      </c>
      <c r="D2494" s="375" t="str">
        <f t="shared" si="508"/>
        <v>Lucas Rise EstateC3</v>
      </c>
      <c r="E2494" s="375" t="s">
        <v>3933</v>
      </c>
      <c r="F2494" s="375" t="s">
        <v>3887</v>
      </c>
      <c r="G2494" s="375" t="s">
        <v>576</v>
      </c>
      <c r="H2494" s="375" t="s">
        <v>3888</v>
      </c>
      <c r="I2494" s="63" t="s">
        <v>3889</v>
      </c>
      <c r="J2494" s="47"/>
      <c r="K2494" s="46" t="s">
        <v>10735</v>
      </c>
      <c r="L2494" s="47" t="s">
        <v>3890</v>
      </c>
      <c r="M2494" s="47"/>
      <c r="N2494" s="47"/>
      <c r="O2494" s="47">
        <f t="shared" si="513"/>
        <v>4950</v>
      </c>
      <c r="P2494" s="47"/>
      <c r="Q2494" s="47"/>
      <c r="R2494" s="47"/>
      <c r="S2494" s="47" t="s">
        <v>463</v>
      </c>
      <c r="T2494" s="47" t="s">
        <v>3891</v>
      </c>
      <c r="U2494" s="47"/>
      <c r="V2494" s="47"/>
      <c r="W2494" s="47"/>
      <c r="X2494" s="47"/>
      <c r="Y2494" s="47"/>
      <c r="Z2494" s="47">
        <f t="shared" si="514"/>
        <v>4620</v>
      </c>
      <c r="AA2494" s="47"/>
      <c r="AB2494" s="47"/>
      <c r="AC2494" s="47"/>
      <c r="AD2494" s="47"/>
      <c r="AE2494" s="47"/>
      <c r="AF2494" s="47"/>
      <c r="AG2494" s="47"/>
      <c r="AH2494" s="47">
        <f>IFERROR(_xlfn.XLOOKUP(Table6[[#This Row],[Suburb]],Table5[Travel Surcharge],Table5[$$]),"")</f>
        <v>8000</v>
      </c>
      <c r="AI2494" s="47"/>
      <c r="AJ2494" s="47">
        <f t="shared" si="512"/>
        <v>4400</v>
      </c>
    </row>
    <row r="2495" spans="1:36">
      <c r="A2495" s="374" t="s">
        <v>3927</v>
      </c>
      <c r="B2495" s="374" t="s">
        <v>3934</v>
      </c>
      <c r="C2495" s="374" t="s">
        <v>303</v>
      </c>
      <c r="D2495" s="375" t="str">
        <f t="shared" si="508"/>
        <v>Lucas Rise EstateE1</v>
      </c>
      <c r="E2495" s="375" t="s">
        <v>3935</v>
      </c>
      <c r="F2495" s="375" t="s">
        <v>3887</v>
      </c>
      <c r="G2495" s="375" t="s">
        <v>576</v>
      </c>
      <c r="H2495" s="375" t="s">
        <v>3888</v>
      </c>
      <c r="I2495" s="63" t="s">
        <v>3889</v>
      </c>
      <c r="J2495" s="47"/>
      <c r="K2495" s="46" t="s">
        <v>10735</v>
      </c>
      <c r="L2495" s="47" t="s">
        <v>3890</v>
      </c>
      <c r="M2495" s="47"/>
      <c r="N2495" s="47"/>
      <c r="O2495" s="47">
        <f t="shared" si="513"/>
        <v>4950</v>
      </c>
      <c r="P2495" s="47"/>
      <c r="Q2495" s="47"/>
      <c r="R2495" s="47"/>
      <c r="S2495" s="47" t="s">
        <v>463</v>
      </c>
      <c r="T2495" s="47" t="s">
        <v>3891</v>
      </c>
      <c r="U2495" s="47"/>
      <c r="V2495" s="47"/>
      <c r="W2495" s="47"/>
      <c r="X2495" s="47"/>
      <c r="Y2495" s="47"/>
      <c r="Z2495" s="47">
        <f t="shared" si="514"/>
        <v>4620</v>
      </c>
      <c r="AA2495" s="47"/>
      <c r="AB2495" s="47"/>
      <c r="AC2495" s="47"/>
      <c r="AD2495" s="47"/>
      <c r="AE2495" s="47"/>
      <c r="AF2495" s="47"/>
      <c r="AG2495" s="47"/>
      <c r="AH2495" s="47">
        <f>IFERROR(_xlfn.XLOOKUP(Table6[[#This Row],[Suburb]],Table5[Travel Surcharge],Table5[$$]),"")</f>
        <v>8000</v>
      </c>
      <c r="AI2495" s="47"/>
      <c r="AJ2495" s="47">
        <f t="shared" si="512"/>
        <v>4400</v>
      </c>
    </row>
    <row r="2496" spans="1:36">
      <c r="A2496" s="374" t="s">
        <v>3927</v>
      </c>
      <c r="B2496" s="374" t="s">
        <v>3936</v>
      </c>
      <c r="C2496" s="374" t="s">
        <v>303</v>
      </c>
      <c r="D2496" s="375" t="str">
        <f t="shared" si="508"/>
        <v>Lucas Rise EstateE2</v>
      </c>
      <c r="E2496" s="375" t="s">
        <v>3937</v>
      </c>
      <c r="F2496" s="375" t="s">
        <v>3887</v>
      </c>
      <c r="G2496" s="375" t="s">
        <v>576</v>
      </c>
      <c r="H2496" s="375" t="s">
        <v>3888</v>
      </c>
      <c r="I2496" s="63" t="s">
        <v>3889</v>
      </c>
      <c r="J2496" s="47"/>
      <c r="K2496" s="46" t="s">
        <v>10735</v>
      </c>
      <c r="L2496" s="47" t="s">
        <v>3890</v>
      </c>
      <c r="M2496" s="47"/>
      <c r="N2496" s="47"/>
      <c r="O2496" s="47">
        <f t="shared" si="513"/>
        <v>4950</v>
      </c>
      <c r="P2496" s="47"/>
      <c r="Q2496" s="47"/>
      <c r="R2496" s="47"/>
      <c r="S2496" s="47" t="s">
        <v>463</v>
      </c>
      <c r="T2496" s="47" t="s">
        <v>3891</v>
      </c>
      <c r="U2496" s="47"/>
      <c r="V2496" s="47"/>
      <c r="W2496" s="47"/>
      <c r="X2496" s="47"/>
      <c r="Y2496" s="47"/>
      <c r="Z2496" s="47">
        <f t="shared" si="514"/>
        <v>4620</v>
      </c>
      <c r="AA2496" s="47"/>
      <c r="AB2496" s="47"/>
      <c r="AC2496" s="47"/>
      <c r="AD2496" s="47"/>
      <c r="AE2496" s="47"/>
      <c r="AF2496" s="47"/>
      <c r="AG2496" s="47"/>
      <c r="AH2496" s="47">
        <f>IFERROR(_xlfn.XLOOKUP(Table6[[#This Row],[Suburb]],Table5[Travel Surcharge],Table5[$$]),"")</f>
        <v>8000</v>
      </c>
      <c r="AI2496" s="47"/>
      <c r="AJ2496" s="47">
        <f t="shared" si="512"/>
        <v>4400</v>
      </c>
    </row>
    <row r="2497" spans="1:36">
      <c r="A2497" s="374" t="s">
        <v>3927</v>
      </c>
      <c r="B2497" s="374" t="s">
        <v>3938</v>
      </c>
      <c r="C2497" s="374" t="s">
        <v>303</v>
      </c>
      <c r="D2497" s="375" t="str">
        <f t="shared" si="508"/>
        <v>Lucas Rise EstateF1</v>
      </c>
      <c r="E2497" s="375" t="s">
        <v>3939</v>
      </c>
      <c r="F2497" s="375" t="s">
        <v>3887</v>
      </c>
      <c r="G2497" s="375" t="s">
        <v>576</v>
      </c>
      <c r="H2497" s="375" t="s">
        <v>3888</v>
      </c>
      <c r="I2497" s="63" t="s">
        <v>3889</v>
      </c>
      <c r="J2497" s="47"/>
      <c r="K2497" s="46" t="s">
        <v>10735</v>
      </c>
      <c r="L2497" s="47" t="s">
        <v>3890</v>
      </c>
      <c r="M2497" s="47"/>
      <c r="N2497" s="47"/>
      <c r="O2497" s="47">
        <f t="shared" si="513"/>
        <v>4950</v>
      </c>
      <c r="P2497" s="47"/>
      <c r="Q2497" s="47"/>
      <c r="R2497" s="47"/>
      <c r="S2497" s="47" t="s">
        <v>463</v>
      </c>
      <c r="T2497" s="47" t="s">
        <v>3891</v>
      </c>
      <c r="U2497" s="47"/>
      <c r="V2497" s="47"/>
      <c r="W2497" s="47"/>
      <c r="X2497" s="47"/>
      <c r="Y2497" s="47"/>
      <c r="Z2497" s="47">
        <f t="shared" si="514"/>
        <v>4620</v>
      </c>
      <c r="AA2497" s="47"/>
      <c r="AB2497" s="47"/>
      <c r="AC2497" s="47"/>
      <c r="AD2497" s="47"/>
      <c r="AE2497" s="47"/>
      <c r="AF2497" s="47"/>
      <c r="AG2497" s="47"/>
      <c r="AH2497" s="47">
        <f>IFERROR(_xlfn.XLOOKUP(Table6[[#This Row],[Suburb]],Table5[Travel Surcharge],Table5[$$]),"")</f>
        <v>8000</v>
      </c>
      <c r="AI2497" s="47"/>
      <c r="AJ2497" s="47">
        <f t="shared" si="512"/>
        <v>4400</v>
      </c>
    </row>
    <row r="2498" spans="1:36">
      <c r="A2498" s="374" t="s">
        <v>3927</v>
      </c>
      <c r="B2498" s="374" t="s">
        <v>3940</v>
      </c>
      <c r="C2498" s="374" t="s">
        <v>303</v>
      </c>
      <c r="D2498" s="375" t="str">
        <f t="shared" si="508"/>
        <v>Lucas Rise EstateF2</v>
      </c>
      <c r="E2498" s="375" t="s">
        <v>3941</v>
      </c>
      <c r="F2498" s="375" t="s">
        <v>3887</v>
      </c>
      <c r="G2498" s="375" t="s">
        <v>576</v>
      </c>
      <c r="H2498" s="375" t="s">
        <v>3888</v>
      </c>
      <c r="I2498" s="63" t="s">
        <v>3889</v>
      </c>
      <c r="J2498" s="47"/>
      <c r="K2498" s="46" t="s">
        <v>10735</v>
      </c>
      <c r="L2498" s="47" t="s">
        <v>3890</v>
      </c>
      <c r="M2498" s="47"/>
      <c r="N2498" s="47"/>
      <c r="O2498" s="47">
        <f t="shared" si="513"/>
        <v>4950</v>
      </c>
      <c r="P2498" s="47"/>
      <c r="Q2498" s="47"/>
      <c r="R2498" s="47"/>
      <c r="S2498" s="47" t="s">
        <v>463</v>
      </c>
      <c r="T2498" s="47" t="s">
        <v>3891</v>
      </c>
      <c r="U2498" s="47"/>
      <c r="V2498" s="47"/>
      <c r="W2498" s="47"/>
      <c r="X2498" s="47"/>
      <c r="Y2498" s="47"/>
      <c r="Z2498" s="47">
        <f t="shared" si="514"/>
        <v>4620</v>
      </c>
      <c r="AA2498" s="47"/>
      <c r="AB2498" s="47"/>
      <c r="AC2498" s="47"/>
      <c r="AD2498" s="47"/>
      <c r="AE2498" s="47"/>
      <c r="AF2498" s="47"/>
      <c r="AG2498" s="47"/>
      <c r="AH2498" s="47">
        <f>IFERROR(_xlfn.XLOOKUP(Table6[[#This Row],[Suburb]],Table5[Travel Surcharge],Table5[$$]),"")</f>
        <v>8000</v>
      </c>
      <c r="AI2498" s="47"/>
      <c r="AJ2498" s="47">
        <f t="shared" si="512"/>
        <v>4400</v>
      </c>
    </row>
    <row r="2499" spans="1:36">
      <c r="A2499" s="374" t="s">
        <v>3927</v>
      </c>
      <c r="B2499" s="374" t="s">
        <v>3942</v>
      </c>
      <c r="C2499" s="374" t="s">
        <v>303</v>
      </c>
      <c r="D2499" s="375" t="str">
        <f t="shared" si="508"/>
        <v>Lucas Rise EstateF3</v>
      </c>
      <c r="E2499" s="375" t="s">
        <v>3943</v>
      </c>
      <c r="F2499" s="375" t="s">
        <v>3887</v>
      </c>
      <c r="G2499" s="375" t="s">
        <v>576</v>
      </c>
      <c r="H2499" s="375" t="s">
        <v>3888</v>
      </c>
      <c r="I2499" s="63" t="s">
        <v>3889</v>
      </c>
      <c r="J2499" s="47"/>
      <c r="K2499" s="46" t="s">
        <v>10735</v>
      </c>
      <c r="L2499" s="47" t="s">
        <v>3890</v>
      </c>
      <c r="M2499" s="47"/>
      <c r="N2499" s="47"/>
      <c r="O2499" s="47">
        <f t="shared" si="513"/>
        <v>4950</v>
      </c>
      <c r="P2499" s="47"/>
      <c r="Q2499" s="47"/>
      <c r="R2499" s="47"/>
      <c r="S2499" s="47" t="s">
        <v>463</v>
      </c>
      <c r="T2499" s="47" t="s">
        <v>3891</v>
      </c>
      <c r="U2499" s="47"/>
      <c r="V2499" s="47"/>
      <c r="W2499" s="47"/>
      <c r="X2499" s="47"/>
      <c r="Y2499" s="47"/>
      <c r="Z2499" s="47">
        <f t="shared" si="514"/>
        <v>4620</v>
      </c>
      <c r="AA2499" s="47"/>
      <c r="AB2499" s="47"/>
      <c r="AC2499" s="47"/>
      <c r="AD2499" s="47"/>
      <c r="AE2499" s="47"/>
      <c r="AF2499" s="47"/>
      <c r="AG2499" s="47"/>
      <c r="AH2499" s="47">
        <f>IFERROR(_xlfn.XLOOKUP(Table6[[#This Row],[Suburb]],Table5[Travel Surcharge],Table5[$$]),"")</f>
        <v>8000</v>
      </c>
      <c r="AI2499" s="47"/>
      <c r="AJ2499" s="47">
        <f t="shared" si="512"/>
        <v>4400</v>
      </c>
    </row>
    <row r="2500" spans="1:36">
      <c r="A2500" s="374" t="s">
        <v>3927</v>
      </c>
      <c r="B2500" s="374" t="s">
        <v>3944</v>
      </c>
      <c r="C2500" s="374" t="s">
        <v>303</v>
      </c>
      <c r="D2500" s="375" t="str">
        <f t="shared" si="508"/>
        <v>Lucas Rise EstateG1</v>
      </c>
      <c r="E2500" s="375" t="s">
        <v>3945</v>
      </c>
      <c r="F2500" s="375" t="s">
        <v>3887</v>
      </c>
      <c r="G2500" s="375" t="s">
        <v>576</v>
      </c>
      <c r="H2500" s="375" t="s">
        <v>3888</v>
      </c>
      <c r="I2500" s="63" t="s">
        <v>3889</v>
      </c>
      <c r="J2500" s="47"/>
      <c r="K2500" s="46" t="s">
        <v>10735</v>
      </c>
      <c r="L2500" s="47" t="s">
        <v>3890</v>
      </c>
      <c r="M2500" s="47"/>
      <c r="N2500" s="47"/>
      <c r="O2500" s="47">
        <f t="shared" si="513"/>
        <v>4950</v>
      </c>
      <c r="P2500" s="47"/>
      <c r="Q2500" s="47"/>
      <c r="R2500" s="47"/>
      <c r="S2500" s="47" t="s">
        <v>463</v>
      </c>
      <c r="T2500" s="47" t="s">
        <v>3891</v>
      </c>
      <c r="U2500" s="47"/>
      <c r="V2500" s="47"/>
      <c r="W2500" s="47"/>
      <c r="X2500" s="47"/>
      <c r="Y2500" s="47"/>
      <c r="Z2500" s="47">
        <f t="shared" si="514"/>
        <v>4620</v>
      </c>
      <c r="AA2500" s="47"/>
      <c r="AB2500" s="47"/>
      <c r="AC2500" s="47"/>
      <c r="AD2500" s="47"/>
      <c r="AE2500" s="47"/>
      <c r="AF2500" s="47"/>
      <c r="AG2500" s="47"/>
      <c r="AH2500" s="47">
        <f>IFERROR(_xlfn.XLOOKUP(Table6[[#This Row],[Suburb]],Table5[Travel Surcharge],Table5[$$]),"")</f>
        <v>8000</v>
      </c>
      <c r="AI2500" s="47"/>
      <c r="AJ2500" s="47">
        <f t="shared" si="512"/>
        <v>4400</v>
      </c>
    </row>
    <row r="2501" spans="1:36">
      <c r="A2501" s="374" t="s">
        <v>3927</v>
      </c>
      <c r="B2501" s="374" t="s">
        <v>3946</v>
      </c>
      <c r="C2501" s="374" t="s">
        <v>303</v>
      </c>
      <c r="D2501" s="375" t="str">
        <f t="shared" si="508"/>
        <v>Lucas Rise EstateG2</v>
      </c>
      <c r="E2501" s="375" t="s">
        <v>3945</v>
      </c>
      <c r="F2501" s="375" t="s">
        <v>3887</v>
      </c>
      <c r="G2501" s="375" t="s">
        <v>576</v>
      </c>
      <c r="H2501" s="375" t="s">
        <v>3888</v>
      </c>
      <c r="I2501" s="63" t="s">
        <v>3889</v>
      </c>
      <c r="J2501" s="47"/>
      <c r="K2501" s="46" t="s">
        <v>10735</v>
      </c>
      <c r="L2501" s="47" t="s">
        <v>3890</v>
      </c>
      <c r="M2501" s="47"/>
      <c r="N2501" s="47"/>
      <c r="O2501" s="47">
        <f t="shared" si="513"/>
        <v>4950</v>
      </c>
      <c r="P2501" s="47"/>
      <c r="Q2501" s="47"/>
      <c r="R2501" s="47"/>
      <c r="S2501" s="47" t="s">
        <v>463</v>
      </c>
      <c r="T2501" s="47" t="s">
        <v>3891</v>
      </c>
      <c r="U2501" s="47"/>
      <c r="V2501" s="47"/>
      <c r="W2501" s="47"/>
      <c r="X2501" s="47"/>
      <c r="Y2501" s="47"/>
      <c r="Z2501" s="47">
        <f t="shared" si="514"/>
        <v>4620</v>
      </c>
      <c r="AA2501" s="47"/>
      <c r="AB2501" s="47"/>
      <c r="AC2501" s="47"/>
      <c r="AD2501" s="47"/>
      <c r="AE2501" s="47"/>
      <c r="AF2501" s="47"/>
      <c r="AG2501" s="47"/>
      <c r="AH2501" s="47">
        <f>IFERROR(_xlfn.XLOOKUP(Table6[[#This Row],[Suburb]],Table5[Travel Surcharge],Table5[$$]),"")</f>
        <v>8000</v>
      </c>
      <c r="AI2501" s="47"/>
      <c r="AJ2501" s="47">
        <f t="shared" si="512"/>
        <v>4400</v>
      </c>
    </row>
    <row r="2502" spans="1:36">
      <c r="A2502" s="374" t="s">
        <v>3927</v>
      </c>
      <c r="B2502" s="374" t="s">
        <v>3947</v>
      </c>
      <c r="C2502" s="374" t="s">
        <v>303</v>
      </c>
      <c r="D2502" s="375" t="str">
        <f t="shared" si="508"/>
        <v>Lucas Rise EstateG3</v>
      </c>
      <c r="E2502" s="375" t="s">
        <v>3948</v>
      </c>
      <c r="F2502" s="375" t="s">
        <v>3887</v>
      </c>
      <c r="G2502" s="375" t="s">
        <v>576</v>
      </c>
      <c r="H2502" s="375" t="s">
        <v>3888</v>
      </c>
      <c r="I2502" s="63" t="s">
        <v>3889</v>
      </c>
      <c r="J2502" s="47"/>
      <c r="K2502" s="46" t="s">
        <v>10735</v>
      </c>
      <c r="L2502" s="47" t="s">
        <v>3890</v>
      </c>
      <c r="M2502" s="47"/>
      <c r="N2502" s="47"/>
      <c r="O2502" s="47">
        <f t="shared" si="513"/>
        <v>4950</v>
      </c>
      <c r="P2502" s="47"/>
      <c r="Q2502" s="47"/>
      <c r="R2502" s="47"/>
      <c r="S2502" s="47" t="s">
        <v>463</v>
      </c>
      <c r="T2502" s="47" t="s">
        <v>3891</v>
      </c>
      <c r="U2502" s="47"/>
      <c r="V2502" s="47"/>
      <c r="W2502" s="47"/>
      <c r="X2502" s="47"/>
      <c r="Y2502" s="47"/>
      <c r="Z2502" s="47">
        <f t="shared" si="514"/>
        <v>4620</v>
      </c>
      <c r="AA2502" s="47"/>
      <c r="AB2502" s="47"/>
      <c r="AC2502" s="47"/>
      <c r="AD2502" s="47"/>
      <c r="AE2502" s="47"/>
      <c r="AF2502" s="47"/>
      <c r="AG2502" s="47"/>
      <c r="AH2502" s="47">
        <f>IFERROR(_xlfn.XLOOKUP(Table6[[#This Row],[Suburb]],Table5[Travel Surcharge],Table5[$$]),"")</f>
        <v>8000</v>
      </c>
      <c r="AI2502" s="47"/>
      <c r="AJ2502" s="47">
        <f t="shared" si="512"/>
        <v>4400</v>
      </c>
    </row>
    <row r="2503" spans="1:36">
      <c r="A2503" s="374" t="s">
        <v>3927</v>
      </c>
      <c r="B2503" s="374" t="s">
        <v>3949</v>
      </c>
      <c r="C2503" s="374" t="s">
        <v>303</v>
      </c>
      <c r="D2503" s="375" t="str">
        <f t="shared" si="508"/>
        <v>Lucas Rise EstateG4</v>
      </c>
      <c r="E2503" s="375" t="s">
        <v>3950</v>
      </c>
      <c r="F2503" s="375" t="s">
        <v>3887</v>
      </c>
      <c r="G2503" s="375" t="s">
        <v>576</v>
      </c>
      <c r="H2503" s="375" t="s">
        <v>3888</v>
      </c>
      <c r="I2503" s="63" t="s">
        <v>3889</v>
      </c>
      <c r="J2503" s="47"/>
      <c r="K2503" s="46" t="s">
        <v>10735</v>
      </c>
      <c r="L2503" s="47" t="s">
        <v>3890</v>
      </c>
      <c r="M2503" s="47"/>
      <c r="N2503" s="47"/>
      <c r="O2503" s="47">
        <f t="shared" si="513"/>
        <v>4950</v>
      </c>
      <c r="P2503" s="47"/>
      <c r="Q2503" s="47"/>
      <c r="R2503" s="47"/>
      <c r="S2503" s="47" t="s">
        <v>463</v>
      </c>
      <c r="T2503" s="47" t="s">
        <v>3891</v>
      </c>
      <c r="U2503" s="47"/>
      <c r="V2503" s="47"/>
      <c r="W2503" s="47"/>
      <c r="X2503" s="47"/>
      <c r="Y2503" s="47"/>
      <c r="Z2503" s="47">
        <f t="shared" si="514"/>
        <v>4620</v>
      </c>
      <c r="AA2503" s="47"/>
      <c r="AB2503" s="47"/>
      <c r="AC2503" s="47"/>
      <c r="AD2503" s="47"/>
      <c r="AE2503" s="47"/>
      <c r="AF2503" s="47"/>
      <c r="AG2503" s="47"/>
      <c r="AH2503" s="47">
        <f>IFERROR(_xlfn.XLOOKUP(Table6[[#This Row],[Suburb]],Table5[Travel Surcharge],Table5[$$]),"")</f>
        <v>8000</v>
      </c>
      <c r="AI2503" s="47"/>
      <c r="AJ2503" s="47">
        <f t="shared" si="512"/>
        <v>4400</v>
      </c>
    </row>
    <row r="2504" spans="1:36">
      <c r="A2504" s="374" t="s">
        <v>3927</v>
      </c>
      <c r="B2504" s="374" t="s">
        <v>3951</v>
      </c>
      <c r="C2504" s="374" t="s">
        <v>303</v>
      </c>
      <c r="D2504" s="375" t="str">
        <f t="shared" si="508"/>
        <v>Lucas Rise EstateH4</v>
      </c>
      <c r="E2504" s="375" t="s">
        <v>3952</v>
      </c>
      <c r="F2504" s="375" t="s">
        <v>3887</v>
      </c>
      <c r="G2504" s="375" t="s">
        <v>576</v>
      </c>
      <c r="H2504" s="375" t="s">
        <v>3888</v>
      </c>
      <c r="I2504" s="63" t="s">
        <v>3889</v>
      </c>
      <c r="J2504" s="47"/>
      <c r="K2504" s="46" t="s">
        <v>10735</v>
      </c>
      <c r="L2504" s="47" t="s">
        <v>3890</v>
      </c>
      <c r="M2504" s="47"/>
      <c r="N2504" s="47"/>
      <c r="O2504" s="47">
        <f t="shared" si="513"/>
        <v>4950</v>
      </c>
      <c r="P2504" s="47"/>
      <c r="Q2504" s="47"/>
      <c r="R2504" s="47"/>
      <c r="S2504" s="47" t="s">
        <v>463</v>
      </c>
      <c r="T2504" s="47" t="s">
        <v>3891</v>
      </c>
      <c r="U2504" s="47"/>
      <c r="V2504" s="47"/>
      <c r="W2504" s="47"/>
      <c r="X2504" s="47"/>
      <c r="Y2504" s="47"/>
      <c r="Z2504" s="47">
        <f t="shared" si="514"/>
        <v>4620</v>
      </c>
      <c r="AA2504" s="47"/>
      <c r="AB2504" s="47"/>
      <c r="AC2504" s="47"/>
      <c r="AD2504" s="47"/>
      <c r="AE2504" s="47"/>
      <c r="AF2504" s="47"/>
      <c r="AG2504" s="47"/>
      <c r="AH2504" s="47">
        <f>IFERROR(_xlfn.XLOOKUP(Table6[[#This Row],[Suburb]],Table5[Travel Surcharge],Table5[$$]),"")</f>
        <v>8000</v>
      </c>
      <c r="AI2504" s="47"/>
      <c r="AJ2504" s="47">
        <f t="shared" si="512"/>
        <v>4400</v>
      </c>
    </row>
    <row r="2505" spans="1:36">
      <c r="A2505" s="374" t="s">
        <v>3927</v>
      </c>
      <c r="B2505" s="374" t="s">
        <v>3953</v>
      </c>
      <c r="C2505" s="374" t="s">
        <v>303</v>
      </c>
      <c r="D2505" s="375" t="str">
        <f t="shared" si="508"/>
        <v>Lucas Rise EstateX12</v>
      </c>
      <c r="E2505" s="375" t="s">
        <v>3954</v>
      </c>
      <c r="F2505" s="375" t="s">
        <v>3887</v>
      </c>
      <c r="G2505" s="375" t="s">
        <v>576</v>
      </c>
      <c r="H2505" s="375" t="s">
        <v>3888</v>
      </c>
      <c r="I2505" s="63" t="s">
        <v>3889</v>
      </c>
      <c r="J2505" s="47"/>
      <c r="K2505" s="46" t="s">
        <v>10735</v>
      </c>
      <c r="L2505" s="47" t="s">
        <v>3890</v>
      </c>
      <c r="M2505" s="47"/>
      <c r="N2505" s="47"/>
      <c r="O2505" s="47">
        <f t="shared" si="513"/>
        <v>4950</v>
      </c>
      <c r="P2505" s="47"/>
      <c r="Q2505" s="47"/>
      <c r="R2505" s="47"/>
      <c r="S2505" s="47" t="s">
        <v>463</v>
      </c>
      <c r="T2505" s="47" t="s">
        <v>3891</v>
      </c>
      <c r="U2505" s="47"/>
      <c r="V2505" s="47"/>
      <c r="W2505" s="47"/>
      <c r="X2505" s="47"/>
      <c r="Y2505" s="47"/>
      <c r="Z2505" s="47">
        <f t="shared" si="514"/>
        <v>4620</v>
      </c>
      <c r="AA2505" s="47"/>
      <c r="AB2505" s="47"/>
      <c r="AC2505" s="47"/>
      <c r="AD2505" s="47"/>
      <c r="AE2505" s="47"/>
      <c r="AF2505" s="47"/>
      <c r="AG2505" s="47"/>
      <c r="AH2505" s="47">
        <f>IFERROR(_xlfn.XLOOKUP(Table6[[#This Row],[Suburb]],Table5[Travel Surcharge],Table5[$$]),"")</f>
        <v>8000</v>
      </c>
      <c r="AI2505" s="47"/>
      <c r="AJ2505" s="47">
        <f t="shared" si="512"/>
        <v>4400</v>
      </c>
    </row>
    <row r="2506" spans="1:36">
      <c r="A2506" s="374" t="s">
        <v>3955</v>
      </c>
      <c r="B2506" s="374" t="s">
        <v>9793</v>
      </c>
      <c r="C2506" s="374" t="s">
        <v>303</v>
      </c>
      <c r="D2506" s="375" t="s">
        <v>9794</v>
      </c>
      <c r="E2506" s="375" t="s">
        <v>9795</v>
      </c>
      <c r="F2506" s="375" t="s">
        <v>3887</v>
      </c>
      <c r="G2506" s="375" t="s">
        <v>576</v>
      </c>
      <c r="H2506" s="375" t="s">
        <v>3888</v>
      </c>
      <c r="I2506" s="63" t="s">
        <v>3889</v>
      </c>
      <c r="J2506" s="47"/>
      <c r="K2506" s="46" t="s">
        <v>10735</v>
      </c>
      <c r="L2506" s="47" t="s">
        <v>3890</v>
      </c>
      <c r="M2506" s="47"/>
      <c r="N2506" s="47" t="s">
        <v>3958</v>
      </c>
      <c r="O2506" s="47">
        <v>4950</v>
      </c>
      <c r="P2506" s="47"/>
      <c r="Q2506" s="47"/>
      <c r="R2506" s="47"/>
      <c r="S2506" s="47" t="s">
        <v>463</v>
      </c>
      <c r="T2506" s="47" t="s">
        <v>3891</v>
      </c>
      <c r="U2506" s="47"/>
      <c r="V2506" s="47"/>
      <c r="W2506" s="47"/>
      <c r="X2506" s="47"/>
      <c r="Y2506" s="47"/>
      <c r="Z2506" s="47">
        <v>4620</v>
      </c>
      <c r="AA2506" s="47"/>
      <c r="AB2506" s="47"/>
      <c r="AC2506" s="47"/>
      <c r="AD2506" s="47"/>
      <c r="AE2506" s="47"/>
      <c r="AF2506" s="47">
        <v>1485</v>
      </c>
      <c r="AG2506" s="47"/>
      <c r="AH2506" s="47">
        <f>IFERROR(_xlfn.XLOOKUP(Table6[[#This Row],[Suburb]],Table5[Travel Surcharge],Table5[$$]),"")</f>
        <v>8000</v>
      </c>
      <c r="AI2506" s="47"/>
      <c r="AJ2506" s="47">
        <v>4400</v>
      </c>
    </row>
    <row r="2507" spans="1:36">
      <c r="A2507" s="374" t="s">
        <v>3955</v>
      </c>
      <c r="B2507" s="374" t="s">
        <v>3956</v>
      </c>
      <c r="C2507" s="374" t="s">
        <v>303</v>
      </c>
      <c r="D2507" s="375" t="str">
        <f t="shared" ref="D2507:D2522" si="515">CONCATENATE(A2507,B2507)</f>
        <v>Lucas SanctuaryH1</v>
      </c>
      <c r="E2507" s="375" t="s">
        <v>3957</v>
      </c>
      <c r="F2507" s="375" t="s">
        <v>3887</v>
      </c>
      <c r="G2507" s="375" t="s">
        <v>576</v>
      </c>
      <c r="H2507" s="375" t="s">
        <v>3888</v>
      </c>
      <c r="I2507" s="63" t="s">
        <v>3889</v>
      </c>
      <c r="J2507" s="47"/>
      <c r="K2507" s="46" t="s">
        <v>10735</v>
      </c>
      <c r="L2507" s="47" t="s">
        <v>3890</v>
      </c>
      <c r="M2507" s="47"/>
      <c r="N2507" s="47" t="s">
        <v>3958</v>
      </c>
      <c r="O2507" s="47">
        <f t="shared" ref="O2507:O2519" si="516">O$7</f>
        <v>4950</v>
      </c>
      <c r="P2507" s="47"/>
      <c r="Q2507" s="47"/>
      <c r="R2507" s="47"/>
      <c r="S2507" s="47" t="s">
        <v>463</v>
      </c>
      <c r="T2507" s="47" t="s">
        <v>3891</v>
      </c>
      <c r="U2507" s="47"/>
      <c r="V2507" s="47"/>
      <c r="W2507" s="47"/>
      <c r="X2507" s="47"/>
      <c r="Y2507" s="47"/>
      <c r="Z2507" s="47">
        <f t="shared" ref="Z2507:Z2522" si="517">Z$7</f>
        <v>4620</v>
      </c>
      <c r="AA2507" s="47"/>
      <c r="AB2507" s="47"/>
      <c r="AC2507" s="47"/>
      <c r="AD2507" s="47"/>
      <c r="AE2507" s="47"/>
      <c r="AF2507" s="47">
        <f t="shared" ref="AF2507:AF2518" si="518">AF$7</f>
        <v>1485</v>
      </c>
      <c r="AG2507" s="47"/>
      <c r="AH2507" s="47">
        <f>IFERROR(_xlfn.XLOOKUP(Table6[[#This Row],[Suburb]],Table5[Travel Surcharge],Table5[$$]),"")</f>
        <v>8000</v>
      </c>
      <c r="AI2507" s="47"/>
      <c r="AJ2507" s="47">
        <f t="shared" ref="AJ2507:AJ2518" si="519">AJ$7</f>
        <v>4400</v>
      </c>
    </row>
    <row r="2508" spans="1:36">
      <c r="A2508" s="374" t="s">
        <v>3955</v>
      </c>
      <c r="B2508" s="374" t="s">
        <v>3959</v>
      </c>
      <c r="C2508" s="374" t="s">
        <v>303</v>
      </c>
      <c r="D2508" s="375" t="str">
        <f t="shared" si="515"/>
        <v>Lucas SanctuaryH2</v>
      </c>
      <c r="E2508" s="375" t="s">
        <v>3960</v>
      </c>
      <c r="F2508" s="375" t="s">
        <v>3887</v>
      </c>
      <c r="G2508" s="375" t="s">
        <v>576</v>
      </c>
      <c r="H2508" s="375" t="s">
        <v>3888</v>
      </c>
      <c r="I2508" s="63" t="s">
        <v>3889</v>
      </c>
      <c r="J2508" s="47"/>
      <c r="K2508" s="46" t="s">
        <v>10735</v>
      </c>
      <c r="L2508" s="47" t="s">
        <v>3890</v>
      </c>
      <c r="M2508" s="47"/>
      <c r="N2508" s="47" t="s">
        <v>3958</v>
      </c>
      <c r="O2508" s="47">
        <f t="shared" si="516"/>
        <v>4950</v>
      </c>
      <c r="P2508" s="47"/>
      <c r="Q2508" s="47"/>
      <c r="R2508" s="47"/>
      <c r="S2508" s="47" t="s">
        <v>463</v>
      </c>
      <c r="T2508" s="47" t="s">
        <v>3891</v>
      </c>
      <c r="U2508" s="47"/>
      <c r="V2508" s="47"/>
      <c r="W2508" s="47"/>
      <c r="X2508" s="47"/>
      <c r="Y2508" s="47"/>
      <c r="Z2508" s="47">
        <f t="shared" si="517"/>
        <v>4620</v>
      </c>
      <c r="AA2508" s="47"/>
      <c r="AB2508" s="47"/>
      <c r="AC2508" s="47"/>
      <c r="AD2508" s="47"/>
      <c r="AE2508" s="47"/>
      <c r="AF2508" s="47">
        <f t="shared" si="518"/>
        <v>1485</v>
      </c>
      <c r="AG2508" s="47"/>
      <c r="AH2508" s="47">
        <f>IFERROR(_xlfn.XLOOKUP(Table6[[#This Row],[Suburb]],Table5[Travel Surcharge],Table5[$$]),"")</f>
        <v>8000</v>
      </c>
      <c r="AI2508" s="47"/>
      <c r="AJ2508" s="47">
        <f t="shared" si="519"/>
        <v>4400</v>
      </c>
    </row>
    <row r="2509" spans="1:36">
      <c r="A2509" s="374" t="s">
        <v>3955</v>
      </c>
      <c r="B2509" s="374" t="s">
        <v>3961</v>
      </c>
      <c r="C2509" s="374" t="s">
        <v>303</v>
      </c>
      <c r="D2509" s="375" t="str">
        <f t="shared" si="515"/>
        <v>Lucas SanctuaryH3</v>
      </c>
      <c r="E2509" s="375" t="s">
        <v>3962</v>
      </c>
      <c r="F2509" s="375" t="s">
        <v>3887</v>
      </c>
      <c r="G2509" s="375" t="s">
        <v>576</v>
      </c>
      <c r="H2509" s="375" t="s">
        <v>3888</v>
      </c>
      <c r="I2509" s="63" t="s">
        <v>3889</v>
      </c>
      <c r="J2509" s="47"/>
      <c r="K2509" s="46" t="s">
        <v>10735</v>
      </c>
      <c r="L2509" s="47" t="s">
        <v>3890</v>
      </c>
      <c r="M2509" s="47"/>
      <c r="N2509" s="47" t="s">
        <v>3963</v>
      </c>
      <c r="O2509" s="47">
        <f t="shared" si="516"/>
        <v>4950</v>
      </c>
      <c r="P2509" s="47"/>
      <c r="Q2509" s="47"/>
      <c r="R2509" s="47"/>
      <c r="S2509" s="47" t="s">
        <v>463</v>
      </c>
      <c r="T2509" s="47" t="s">
        <v>3891</v>
      </c>
      <c r="U2509" s="47"/>
      <c r="V2509" s="47"/>
      <c r="W2509" s="47"/>
      <c r="X2509" s="47"/>
      <c r="Y2509" s="47"/>
      <c r="Z2509" s="47">
        <f t="shared" si="517"/>
        <v>4620</v>
      </c>
      <c r="AA2509" s="47"/>
      <c r="AB2509" s="47"/>
      <c r="AC2509" s="47"/>
      <c r="AD2509" s="47"/>
      <c r="AE2509" s="47"/>
      <c r="AF2509" s="47">
        <f t="shared" si="518"/>
        <v>1485</v>
      </c>
      <c r="AG2509" s="47"/>
      <c r="AH2509" s="47">
        <f>IFERROR(_xlfn.XLOOKUP(Table6[[#This Row],[Suburb]],Table5[Travel Surcharge],Table5[$$]),"")</f>
        <v>8000</v>
      </c>
      <c r="AI2509" s="47"/>
      <c r="AJ2509" s="47">
        <f t="shared" si="519"/>
        <v>4400</v>
      </c>
    </row>
    <row r="2510" spans="1:36">
      <c r="A2510" s="374" t="s">
        <v>3955</v>
      </c>
      <c r="B2510" s="374" t="s">
        <v>3951</v>
      </c>
      <c r="C2510" s="374" t="s">
        <v>303</v>
      </c>
      <c r="D2510" s="375" t="str">
        <f t="shared" si="515"/>
        <v>Lucas SanctuaryH4</v>
      </c>
      <c r="E2510" s="375" t="s">
        <v>3952</v>
      </c>
      <c r="F2510" s="375" t="s">
        <v>3887</v>
      </c>
      <c r="G2510" s="375" t="s">
        <v>576</v>
      </c>
      <c r="H2510" s="375" t="s">
        <v>3888</v>
      </c>
      <c r="I2510" s="63" t="s">
        <v>3889</v>
      </c>
      <c r="J2510" s="47"/>
      <c r="K2510" s="46" t="s">
        <v>10735</v>
      </c>
      <c r="L2510" s="47" t="s">
        <v>3890</v>
      </c>
      <c r="M2510" s="47"/>
      <c r="N2510" s="47" t="s">
        <v>3958</v>
      </c>
      <c r="O2510" s="47">
        <f t="shared" si="516"/>
        <v>4950</v>
      </c>
      <c r="P2510" s="47"/>
      <c r="Q2510" s="47"/>
      <c r="R2510" s="47"/>
      <c r="S2510" s="47" t="s">
        <v>463</v>
      </c>
      <c r="T2510" s="47" t="s">
        <v>3891</v>
      </c>
      <c r="U2510" s="47"/>
      <c r="V2510" s="47"/>
      <c r="W2510" s="47"/>
      <c r="X2510" s="47"/>
      <c r="Y2510" s="47"/>
      <c r="Z2510" s="47">
        <f t="shared" si="517"/>
        <v>4620</v>
      </c>
      <c r="AA2510" s="47"/>
      <c r="AB2510" s="47"/>
      <c r="AC2510" s="47"/>
      <c r="AD2510" s="47"/>
      <c r="AE2510" s="47"/>
      <c r="AF2510" s="47">
        <f t="shared" si="518"/>
        <v>1485</v>
      </c>
      <c r="AG2510" s="47"/>
      <c r="AH2510" s="47">
        <f>IFERROR(_xlfn.XLOOKUP(Table6[[#This Row],[Suburb]],Table5[Travel Surcharge],Table5[$$]),"")</f>
        <v>8000</v>
      </c>
      <c r="AI2510" s="47"/>
      <c r="AJ2510" s="47">
        <f t="shared" si="519"/>
        <v>4400</v>
      </c>
    </row>
    <row r="2511" spans="1:36">
      <c r="A2511" s="374" t="s">
        <v>3955</v>
      </c>
      <c r="B2511" s="374" t="s">
        <v>3964</v>
      </c>
      <c r="C2511" s="374" t="s">
        <v>303</v>
      </c>
      <c r="D2511" s="375" t="str">
        <f t="shared" si="515"/>
        <v>Lucas SanctuaryJ1</v>
      </c>
      <c r="E2511" s="375" t="s">
        <v>3965</v>
      </c>
      <c r="F2511" s="375" t="s">
        <v>3887</v>
      </c>
      <c r="G2511" s="375" t="s">
        <v>576</v>
      </c>
      <c r="H2511" s="375" t="s">
        <v>3888</v>
      </c>
      <c r="I2511" s="63" t="s">
        <v>3889</v>
      </c>
      <c r="J2511" s="47"/>
      <c r="K2511" s="46" t="s">
        <v>10735</v>
      </c>
      <c r="L2511" s="47" t="s">
        <v>3890</v>
      </c>
      <c r="M2511" s="47"/>
      <c r="N2511" s="47" t="s">
        <v>3958</v>
      </c>
      <c r="O2511" s="47">
        <f t="shared" si="516"/>
        <v>4950</v>
      </c>
      <c r="P2511" s="47"/>
      <c r="Q2511" s="47"/>
      <c r="R2511" s="47"/>
      <c r="S2511" s="47" t="s">
        <v>463</v>
      </c>
      <c r="T2511" s="47" t="s">
        <v>3891</v>
      </c>
      <c r="U2511" s="47"/>
      <c r="V2511" s="47"/>
      <c r="W2511" s="47"/>
      <c r="X2511" s="47"/>
      <c r="Y2511" s="47"/>
      <c r="Z2511" s="47">
        <f t="shared" si="517"/>
        <v>4620</v>
      </c>
      <c r="AA2511" s="47"/>
      <c r="AB2511" s="47"/>
      <c r="AC2511" s="47"/>
      <c r="AD2511" s="47"/>
      <c r="AE2511" s="47"/>
      <c r="AF2511" s="47">
        <f t="shared" si="518"/>
        <v>1485</v>
      </c>
      <c r="AG2511" s="47"/>
      <c r="AH2511" s="47">
        <f>IFERROR(_xlfn.XLOOKUP(Table6[[#This Row],[Suburb]],Table5[Travel Surcharge],Table5[$$]),"")</f>
        <v>8000</v>
      </c>
      <c r="AI2511" s="47"/>
      <c r="AJ2511" s="47">
        <f t="shared" si="519"/>
        <v>4400</v>
      </c>
    </row>
    <row r="2512" spans="1:36">
      <c r="A2512" s="157" t="s">
        <v>3955</v>
      </c>
      <c r="B2512" s="157" t="s">
        <v>7759</v>
      </c>
      <c r="C2512" s="157" t="s">
        <v>303</v>
      </c>
      <c r="D2512" s="157" t="str">
        <f t="shared" si="515"/>
        <v>Lucas SanctuaryJ2</v>
      </c>
      <c r="E2512" s="157" t="s">
        <v>7760</v>
      </c>
      <c r="F2512" s="157" t="s">
        <v>3887</v>
      </c>
      <c r="G2512" s="157" t="s">
        <v>576</v>
      </c>
      <c r="H2512" s="157" t="s">
        <v>3888</v>
      </c>
      <c r="I2512" s="158" t="s">
        <v>3889</v>
      </c>
      <c r="J2512" s="47"/>
      <c r="K2512" s="46" t="s">
        <v>10735</v>
      </c>
      <c r="L2512" s="47" t="s">
        <v>3890</v>
      </c>
      <c r="M2512" s="47"/>
      <c r="N2512" s="47" t="s">
        <v>3958</v>
      </c>
      <c r="O2512" s="47">
        <f t="shared" si="516"/>
        <v>4950</v>
      </c>
      <c r="P2512" s="47"/>
      <c r="Q2512" s="47"/>
      <c r="R2512" s="47"/>
      <c r="S2512" s="47" t="s">
        <v>463</v>
      </c>
      <c r="T2512" s="47" t="s">
        <v>3891</v>
      </c>
      <c r="U2512" s="47"/>
      <c r="V2512" s="47"/>
      <c r="W2512" s="47"/>
      <c r="X2512" s="47"/>
      <c r="Y2512" s="47"/>
      <c r="Z2512" s="47">
        <f t="shared" si="517"/>
        <v>4620</v>
      </c>
      <c r="AA2512" s="47"/>
      <c r="AB2512" s="47"/>
      <c r="AC2512" s="47"/>
      <c r="AD2512" s="47"/>
      <c r="AE2512" s="47"/>
      <c r="AF2512" s="47">
        <f t="shared" si="518"/>
        <v>1485</v>
      </c>
      <c r="AG2512" s="47"/>
      <c r="AH2512" s="47">
        <f>IFERROR(_xlfn.XLOOKUP(Table6[[#This Row],[Suburb]],Table5[Travel Surcharge],Table5[$$]),"")</f>
        <v>8000</v>
      </c>
      <c r="AI2512" s="47"/>
      <c r="AJ2512" s="47">
        <f t="shared" si="519"/>
        <v>4400</v>
      </c>
    </row>
    <row r="2513" spans="1:36">
      <c r="A2513" s="374" t="s">
        <v>3955</v>
      </c>
      <c r="B2513" s="374" t="s">
        <v>3966</v>
      </c>
      <c r="C2513" s="374" t="s">
        <v>303</v>
      </c>
      <c r="D2513" s="375" t="str">
        <f t="shared" si="515"/>
        <v>Lucas SanctuaryK1</v>
      </c>
      <c r="E2513" s="375" t="s">
        <v>3967</v>
      </c>
      <c r="F2513" s="375" t="s">
        <v>3887</v>
      </c>
      <c r="G2513" s="375" t="s">
        <v>576</v>
      </c>
      <c r="H2513" s="375" t="s">
        <v>3888</v>
      </c>
      <c r="I2513" s="63" t="s">
        <v>3889</v>
      </c>
      <c r="J2513" s="47"/>
      <c r="K2513" s="46" t="s">
        <v>10735</v>
      </c>
      <c r="L2513" s="47" t="s">
        <v>3890</v>
      </c>
      <c r="M2513" s="47"/>
      <c r="N2513" s="47" t="s">
        <v>3958</v>
      </c>
      <c r="O2513" s="47">
        <f t="shared" si="516"/>
        <v>4950</v>
      </c>
      <c r="P2513" s="47"/>
      <c r="Q2513" s="47"/>
      <c r="R2513" s="47"/>
      <c r="S2513" s="47" t="s">
        <v>463</v>
      </c>
      <c r="T2513" s="47" t="s">
        <v>3891</v>
      </c>
      <c r="U2513" s="47"/>
      <c r="V2513" s="47"/>
      <c r="W2513" s="47"/>
      <c r="X2513" s="47"/>
      <c r="Y2513" s="47"/>
      <c r="Z2513" s="47">
        <f t="shared" si="517"/>
        <v>4620</v>
      </c>
      <c r="AA2513" s="47"/>
      <c r="AB2513" s="47"/>
      <c r="AC2513" s="47"/>
      <c r="AD2513" s="47"/>
      <c r="AE2513" s="47"/>
      <c r="AF2513" s="47">
        <f t="shared" si="518"/>
        <v>1485</v>
      </c>
      <c r="AG2513" s="47"/>
      <c r="AH2513" s="47">
        <f>IFERROR(_xlfn.XLOOKUP(Table6[[#This Row],[Suburb]],Table5[Travel Surcharge],Table5[$$]),"")</f>
        <v>8000</v>
      </c>
      <c r="AI2513" s="47"/>
      <c r="AJ2513" s="47">
        <f t="shared" si="519"/>
        <v>4400</v>
      </c>
    </row>
    <row r="2514" spans="1:36">
      <c r="A2514" s="374" t="s">
        <v>3955</v>
      </c>
      <c r="B2514" s="374" t="s">
        <v>3968</v>
      </c>
      <c r="C2514" s="374" t="s">
        <v>303</v>
      </c>
      <c r="D2514" s="375" t="str">
        <f t="shared" si="515"/>
        <v>Lucas SanctuaryK2</v>
      </c>
      <c r="E2514" s="375" t="s">
        <v>3969</v>
      </c>
      <c r="F2514" s="375" t="s">
        <v>3887</v>
      </c>
      <c r="G2514" s="375" t="s">
        <v>576</v>
      </c>
      <c r="H2514" s="375" t="s">
        <v>3888</v>
      </c>
      <c r="I2514" s="63" t="s">
        <v>3889</v>
      </c>
      <c r="J2514" s="47"/>
      <c r="K2514" s="46" t="s">
        <v>10735</v>
      </c>
      <c r="L2514" s="47" t="s">
        <v>3890</v>
      </c>
      <c r="M2514" s="47"/>
      <c r="N2514" s="47" t="s">
        <v>3958</v>
      </c>
      <c r="O2514" s="47">
        <f t="shared" si="516"/>
        <v>4950</v>
      </c>
      <c r="P2514" s="47" t="s">
        <v>3970</v>
      </c>
      <c r="Q2514" s="47"/>
      <c r="R2514" s="47"/>
      <c r="S2514" s="47" t="s">
        <v>463</v>
      </c>
      <c r="T2514" s="47" t="s">
        <v>3891</v>
      </c>
      <c r="U2514" s="47"/>
      <c r="V2514" s="47"/>
      <c r="W2514" s="47"/>
      <c r="X2514" s="47"/>
      <c r="Y2514" s="47"/>
      <c r="Z2514" s="47">
        <f t="shared" si="517"/>
        <v>4620</v>
      </c>
      <c r="AA2514" s="47"/>
      <c r="AB2514" s="47"/>
      <c r="AC2514" s="47"/>
      <c r="AD2514" s="47"/>
      <c r="AE2514" s="47"/>
      <c r="AF2514" s="47">
        <f t="shared" si="518"/>
        <v>1485</v>
      </c>
      <c r="AG2514" s="47"/>
      <c r="AH2514" s="47">
        <f>IFERROR(_xlfn.XLOOKUP(Table6[[#This Row],[Suburb]],Table5[Travel Surcharge],Table5[$$]),"")</f>
        <v>8000</v>
      </c>
      <c r="AI2514" s="47"/>
      <c r="AJ2514" s="47">
        <f t="shared" si="519"/>
        <v>4400</v>
      </c>
    </row>
    <row r="2515" spans="1:36">
      <c r="A2515" s="374" t="s">
        <v>3955</v>
      </c>
      <c r="B2515" s="374" t="s">
        <v>3971</v>
      </c>
      <c r="C2515" s="374" t="s">
        <v>303</v>
      </c>
      <c r="D2515" s="375" t="str">
        <f t="shared" si="515"/>
        <v>Lucas SanctuaryK3</v>
      </c>
      <c r="E2515" s="375" t="s">
        <v>3972</v>
      </c>
      <c r="F2515" s="375" t="s">
        <v>3887</v>
      </c>
      <c r="G2515" s="375" t="s">
        <v>576</v>
      </c>
      <c r="H2515" s="375" t="s">
        <v>3888</v>
      </c>
      <c r="I2515" s="63" t="s">
        <v>3889</v>
      </c>
      <c r="J2515" s="47"/>
      <c r="K2515" s="46" t="s">
        <v>10735</v>
      </c>
      <c r="L2515" s="47" t="s">
        <v>3890</v>
      </c>
      <c r="M2515" s="47"/>
      <c r="N2515" s="47" t="s">
        <v>3958</v>
      </c>
      <c r="O2515" s="47">
        <f t="shared" si="516"/>
        <v>4950</v>
      </c>
      <c r="P2515" s="47" t="s">
        <v>3970</v>
      </c>
      <c r="Q2515" s="47"/>
      <c r="R2515" s="47"/>
      <c r="S2515" s="47" t="s">
        <v>463</v>
      </c>
      <c r="T2515" s="47" t="s">
        <v>3891</v>
      </c>
      <c r="U2515" s="47"/>
      <c r="V2515" s="47"/>
      <c r="W2515" s="47"/>
      <c r="X2515" s="47"/>
      <c r="Y2515" s="47"/>
      <c r="Z2515" s="47">
        <f t="shared" si="517"/>
        <v>4620</v>
      </c>
      <c r="AA2515" s="47"/>
      <c r="AB2515" s="47"/>
      <c r="AC2515" s="47"/>
      <c r="AD2515" s="47"/>
      <c r="AE2515" s="47"/>
      <c r="AF2515" s="47">
        <f t="shared" si="518"/>
        <v>1485</v>
      </c>
      <c r="AG2515" s="47"/>
      <c r="AH2515" s="47">
        <f>IFERROR(_xlfn.XLOOKUP(Table6[[#This Row],[Suburb]],Table5[Travel Surcharge],Table5[$$]),"")</f>
        <v>8000</v>
      </c>
      <c r="AI2515" s="47"/>
      <c r="AJ2515" s="47">
        <f t="shared" si="519"/>
        <v>4400</v>
      </c>
    </row>
    <row r="2516" spans="1:36">
      <c r="A2516" s="374" t="s">
        <v>3955</v>
      </c>
      <c r="B2516" s="374" t="s">
        <v>3973</v>
      </c>
      <c r="C2516" s="374" t="s">
        <v>303</v>
      </c>
      <c r="D2516" s="375" t="str">
        <f t="shared" si="515"/>
        <v>Lucas SanctuaryL1</v>
      </c>
      <c r="E2516" s="375" t="s">
        <v>3974</v>
      </c>
      <c r="F2516" s="375" t="s">
        <v>3887</v>
      </c>
      <c r="G2516" s="375" t="s">
        <v>576</v>
      </c>
      <c r="H2516" s="375" t="s">
        <v>3888</v>
      </c>
      <c r="I2516" s="63" t="s">
        <v>3889</v>
      </c>
      <c r="J2516" s="47"/>
      <c r="K2516" s="46" t="s">
        <v>10735</v>
      </c>
      <c r="L2516" s="47" t="s">
        <v>3890</v>
      </c>
      <c r="M2516" s="47"/>
      <c r="N2516" s="47" t="s">
        <v>3958</v>
      </c>
      <c r="O2516" s="47">
        <f t="shared" si="516"/>
        <v>4950</v>
      </c>
      <c r="P2516" s="47" t="s">
        <v>3970</v>
      </c>
      <c r="Q2516" s="47"/>
      <c r="R2516" s="47"/>
      <c r="S2516" s="47" t="s">
        <v>463</v>
      </c>
      <c r="T2516" s="47" t="s">
        <v>3891</v>
      </c>
      <c r="U2516" s="47"/>
      <c r="V2516" s="47"/>
      <c r="W2516" s="47"/>
      <c r="X2516" s="47"/>
      <c r="Y2516" s="47"/>
      <c r="Z2516" s="47">
        <f t="shared" si="517"/>
        <v>4620</v>
      </c>
      <c r="AA2516" s="47"/>
      <c r="AB2516" s="47"/>
      <c r="AC2516" s="47"/>
      <c r="AD2516" s="47"/>
      <c r="AE2516" s="47"/>
      <c r="AF2516" s="47">
        <f t="shared" si="518"/>
        <v>1485</v>
      </c>
      <c r="AG2516" s="47"/>
      <c r="AH2516" s="47">
        <f>IFERROR(_xlfn.XLOOKUP(Table6[[#This Row],[Suburb]],Table5[Travel Surcharge],Table5[$$]),"")</f>
        <v>8000</v>
      </c>
      <c r="AI2516" s="47"/>
      <c r="AJ2516" s="47">
        <f t="shared" si="519"/>
        <v>4400</v>
      </c>
    </row>
    <row r="2517" spans="1:36">
      <c r="A2517" s="374" t="s">
        <v>3955</v>
      </c>
      <c r="B2517" s="374" t="s">
        <v>3975</v>
      </c>
      <c r="C2517" s="374" t="s">
        <v>303</v>
      </c>
      <c r="D2517" s="375" t="str">
        <f t="shared" si="515"/>
        <v>Lucas SanctuaryL2</v>
      </c>
      <c r="E2517" s="375" t="s">
        <v>3976</v>
      </c>
      <c r="F2517" s="375" t="s">
        <v>3887</v>
      </c>
      <c r="G2517" s="375" t="s">
        <v>576</v>
      </c>
      <c r="H2517" s="375" t="s">
        <v>3888</v>
      </c>
      <c r="I2517" s="63" t="s">
        <v>3889</v>
      </c>
      <c r="J2517" s="47"/>
      <c r="K2517" s="46" t="s">
        <v>10735</v>
      </c>
      <c r="L2517" s="47" t="s">
        <v>3890</v>
      </c>
      <c r="M2517" s="47"/>
      <c r="N2517" s="47" t="s">
        <v>3958</v>
      </c>
      <c r="O2517" s="47">
        <f t="shared" si="516"/>
        <v>4950</v>
      </c>
      <c r="P2517" s="47" t="s">
        <v>3970</v>
      </c>
      <c r="Q2517" s="47"/>
      <c r="R2517" s="47"/>
      <c r="S2517" s="47" t="s">
        <v>463</v>
      </c>
      <c r="T2517" s="47" t="s">
        <v>3891</v>
      </c>
      <c r="U2517" s="47"/>
      <c r="V2517" s="47"/>
      <c r="W2517" s="47"/>
      <c r="X2517" s="47"/>
      <c r="Y2517" s="47"/>
      <c r="Z2517" s="47">
        <f t="shared" si="517"/>
        <v>4620</v>
      </c>
      <c r="AA2517" s="47"/>
      <c r="AB2517" s="47"/>
      <c r="AC2517" s="47"/>
      <c r="AD2517" s="47"/>
      <c r="AE2517" s="47"/>
      <c r="AF2517" s="47">
        <f t="shared" si="518"/>
        <v>1485</v>
      </c>
      <c r="AG2517" s="47"/>
      <c r="AH2517" s="47">
        <f>IFERROR(_xlfn.XLOOKUP(Table6[[#This Row],[Suburb]],Table5[Travel Surcharge],Table5[$$]),"")</f>
        <v>8000</v>
      </c>
      <c r="AI2517" s="47"/>
      <c r="AJ2517" s="47">
        <f t="shared" si="519"/>
        <v>4400</v>
      </c>
    </row>
    <row r="2518" spans="1:36">
      <c r="A2518" s="374" t="s">
        <v>3955</v>
      </c>
      <c r="B2518" s="374" t="s">
        <v>7665</v>
      </c>
      <c r="C2518" s="374" t="s">
        <v>303</v>
      </c>
      <c r="D2518" s="375" t="str">
        <f t="shared" si="515"/>
        <v>Lucas SanctuaryL4</v>
      </c>
      <c r="E2518" s="375" t="s">
        <v>7666</v>
      </c>
      <c r="F2518" s="375" t="s">
        <v>3887</v>
      </c>
      <c r="G2518" s="375" t="s">
        <v>576</v>
      </c>
      <c r="H2518" s="375" t="s">
        <v>3888</v>
      </c>
      <c r="I2518" s="63" t="s">
        <v>3889</v>
      </c>
      <c r="J2518" s="47"/>
      <c r="K2518" s="46" t="s">
        <v>10735</v>
      </c>
      <c r="L2518" s="47" t="s">
        <v>3890</v>
      </c>
      <c r="M2518" s="47"/>
      <c r="N2518" s="47" t="s">
        <v>3958</v>
      </c>
      <c r="O2518" s="47">
        <f t="shared" si="516"/>
        <v>4950</v>
      </c>
      <c r="P2518" s="47" t="s">
        <v>3970</v>
      </c>
      <c r="Q2518" s="47"/>
      <c r="R2518" s="47"/>
      <c r="S2518" s="47" t="s">
        <v>463</v>
      </c>
      <c r="T2518" s="47" t="s">
        <v>3891</v>
      </c>
      <c r="U2518" s="47"/>
      <c r="V2518" s="47"/>
      <c r="W2518" s="47"/>
      <c r="X2518" s="47"/>
      <c r="Y2518" s="47"/>
      <c r="Z2518" s="47">
        <f t="shared" si="517"/>
        <v>4620</v>
      </c>
      <c r="AA2518" s="47"/>
      <c r="AB2518" s="47"/>
      <c r="AC2518" s="47"/>
      <c r="AD2518" s="47"/>
      <c r="AE2518" s="47"/>
      <c r="AF2518" s="47">
        <f t="shared" si="518"/>
        <v>1485</v>
      </c>
      <c r="AG2518" s="47"/>
      <c r="AH2518" s="47">
        <f>IFERROR(_xlfn.XLOOKUP(Table6[[#This Row],[Suburb]],Table5[Travel Surcharge],Table5[$$]),"")</f>
        <v>8000</v>
      </c>
      <c r="AI2518" s="47"/>
      <c r="AJ2518" s="47">
        <f t="shared" si="519"/>
        <v>4400</v>
      </c>
    </row>
    <row r="2519" spans="1:36">
      <c r="A2519" s="374" t="s">
        <v>9386</v>
      </c>
      <c r="B2519" s="374">
        <v>1</v>
      </c>
      <c r="C2519" s="374" t="s">
        <v>294</v>
      </c>
      <c r="D2519" s="375" t="str">
        <f t="shared" si="515"/>
        <v>Lucio1</v>
      </c>
      <c r="E2519" s="375" t="s">
        <v>9387</v>
      </c>
      <c r="F2519" s="375"/>
      <c r="G2519" s="375"/>
      <c r="H2519" s="375"/>
      <c r="I2519" s="63"/>
      <c r="J2519" s="47" t="s">
        <v>10232</v>
      </c>
      <c r="K2519" s="46" t="s">
        <v>10735</v>
      </c>
      <c r="L2519" s="47"/>
      <c r="M2519" s="47"/>
      <c r="N2519" s="47"/>
      <c r="O2519" s="47">
        <f t="shared" si="516"/>
        <v>4950</v>
      </c>
      <c r="P2519" s="47"/>
      <c r="Q2519" s="47">
        <f>Q$2</f>
        <v>0</v>
      </c>
      <c r="R2519" s="47"/>
      <c r="S2519" s="47"/>
      <c r="T2519" s="47"/>
      <c r="U2519" s="47"/>
      <c r="V2519" s="47"/>
      <c r="W2519" s="47"/>
      <c r="X2519" s="47"/>
      <c r="Y2519" s="47"/>
      <c r="Z2519" s="47">
        <f t="shared" si="517"/>
        <v>4620</v>
      </c>
      <c r="AA2519" s="47"/>
      <c r="AB2519" s="47"/>
      <c r="AC2519" s="47"/>
      <c r="AD2519" s="47"/>
      <c r="AE2519" s="47"/>
      <c r="AF2519" s="47"/>
      <c r="AG2519" s="47"/>
      <c r="AH2519" s="47">
        <f>IFERROR(_xlfn.XLOOKUP(Table6[[#This Row],[Suburb]],Table5[Travel Surcharge],Table5[$$]),"")</f>
        <v>8000</v>
      </c>
      <c r="AI2519" s="47"/>
      <c r="AJ2519" s="47"/>
    </row>
    <row r="2520" spans="1:36">
      <c r="A2520" s="374" t="s">
        <v>3977</v>
      </c>
      <c r="B2520" s="374">
        <v>1</v>
      </c>
      <c r="C2520" s="374" t="s">
        <v>529</v>
      </c>
      <c r="D2520" s="375" t="str">
        <f t="shared" si="515"/>
        <v>Lyall Park Estate1</v>
      </c>
      <c r="E2520" s="375" t="s">
        <v>3978</v>
      </c>
      <c r="F2520" s="375" t="s">
        <v>3979</v>
      </c>
      <c r="G2520" s="375" t="s">
        <v>3980</v>
      </c>
      <c r="H2520" s="375" t="s">
        <v>2350</v>
      </c>
      <c r="I2520" s="63" t="s">
        <v>3064</v>
      </c>
      <c r="J2520" s="47">
        <f>J$7</f>
        <v>3740</v>
      </c>
      <c r="K2520" s="46" t="s">
        <v>10735</v>
      </c>
      <c r="L2520" s="47"/>
      <c r="M2520" s="47"/>
      <c r="N2520" s="47"/>
      <c r="O2520" s="47"/>
      <c r="P2520" s="47"/>
      <c r="Q2520" s="47">
        <f>Q$2</f>
        <v>0</v>
      </c>
      <c r="R2520" s="47"/>
      <c r="S2520" s="47"/>
      <c r="T2520" s="47"/>
      <c r="U2520" s="47"/>
      <c r="V2520" s="47"/>
      <c r="W2520" s="47"/>
      <c r="X2520" s="47"/>
      <c r="Y2520" s="47"/>
      <c r="Z2520" s="47">
        <f t="shared" si="517"/>
        <v>4620</v>
      </c>
      <c r="AA2520" s="47"/>
      <c r="AB2520" s="47"/>
      <c r="AC2520" s="47"/>
      <c r="AD2520" s="47"/>
      <c r="AE2520" s="47"/>
      <c r="AF2520" s="47"/>
      <c r="AG2520" s="47"/>
      <c r="AH2520" s="47" t="str">
        <f>IFERROR(_xlfn.XLOOKUP(Table6[[#This Row],[Suburb]],Table5[Travel Surcharge],Table5[$$]),"")</f>
        <v/>
      </c>
      <c r="AI2520" s="47"/>
      <c r="AJ2520" s="47"/>
    </row>
    <row r="2521" spans="1:36">
      <c r="A2521" s="374" t="s">
        <v>10628</v>
      </c>
      <c r="B2521" s="374">
        <v>1</v>
      </c>
      <c r="C2521" s="374" t="s">
        <v>10629</v>
      </c>
      <c r="D2521" s="375" t="str">
        <f>CONCATENATE(A2521,B2521)</f>
        <v>Lyndale1</v>
      </c>
      <c r="E2521" s="375"/>
      <c r="F2521" s="375"/>
      <c r="G2521" s="375"/>
      <c r="H2521" s="375" t="s">
        <v>10630</v>
      </c>
      <c r="I2521" s="63" t="s">
        <v>10631</v>
      </c>
      <c r="J2521" s="47"/>
      <c r="K2521" s="46"/>
      <c r="L2521" s="47"/>
      <c r="M2521" s="47"/>
      <c r="N2521" s="47"/>
      <c r="O2521" s="47">
        <f>O$7</f>
        <v>4950</v>
      </c>
      <c r="P2521" s="47"/>
      <c r="Q2521" s="47"/>
      <c r="R2521" s="47"/>
      <c r="S2521" s="47">
        <f>S$2</f>
        <v>590</v>
      </c>
      <c r="T2521" s="47"/>
      <c r="U2521" s="47"/>
      <c r="V2521" s="47"/>
      <c r="W2521" s="47"/>
      <c r="X2521" s="47"/>
      <c r="Y2521" s="47"/>
      <c r="Z2521" s="47">
        <f>Z$7</f>
        <v>4620</v>
      </c>
      <c r="AA2521" s="47"/>
      <c r="AB2521" s="47"/>
      <c r="AC2521" s="47"/>
      <c r="AD2521" s="47"/>
      <c r="AE2521" s="47"/>
      <c r="AF2521" s="47"/>
      <c r="AG2521" s="47"/>
      <c r="AH2521" s="47" t="e">
        <f>IF((COUNTIF(#REF!,C2521)&gt;0),(IF('Pricing Sheet'!$C$3&lt;&gt;"",(VLOOKUP(C2521,AQ:AQ,2,FALSE)),(VLOOKUP(C2521,AQ:AQ,3,FALSE)))),"")</f>
        <v>#REF!</v>
      </c>
      <c r="AI2521" s="47"/>
      <c r="AJ2521" s="47"/>
    </row>
    <row r="2522" spans="1:36">
      <c r="A2522" s="374" t="s">
        <v>3981</v>
      </c>
      <c r="B2522" s="374">
        <v>28</v>
      </c>
      <c r="C2522" s="374" t="s">
        <v>631</v>
      </c>
      <c r="D2522" s="375" t="str">
        <f t="shared" si="515"/>
        <v>Lynbrook Estate28</v>
      </c>
      <c r="E2522" s="375" t="s">
        <v>3982</v>
      </c>
      <c r="F2522" s="375" t="s">
        <v>1440</v>
      </c>
      <c r="G2522" s="375" t="s">
        <v>3983</v>
      </c>
      <c r="H2522" s="375" t="s">
        <v>3872</v>
      </c>
      <c r="I2522" s="63" t="s">
        <v>3984</v>
      </c>
      <c r="J2522" s="47">
        <f>J$7</f>
        <v>3740</v>
      </c>
      <c r="K2522" s="46" t="s">
        <v>7938</v>
      </c>
      <c r="L2522" s="47">
        <f>L$7</f>
        <v>1210</v>
      </c>
      <c r="M2522" s="47" t="s">
        <v>3985</v>
      </c>
      <c r="N2522" s="47"/>
      <c r="O2522" s="47"/>
      <c r="P2522" s="47"/>
      <c r="Q2522" s="47"/>
      <c r="R2522" s="47"/>
      <c r="S2522" s="47"/>
      <c r="T2522" s="47">
        <f>T$2</f>
        <v>780</v>
      </c>
      <c r="U2522" s="47"/>
      <c r="V2522" s="47"/>
      <c r="W2522" s="47"/>
      <c r="X2522" s="47"/>
      <c r="Y2522" s="47"/>
      <c r="Z2522" s="47">
        <f t="shared" si="517"/>
        <v>4620</v>
      </c>
      <c r="AA2522" s="47"/>
      <c r="AB2522" s="47"/>
      <c r="AC2522" s="47">
        <f>AC$7</f>
        <v>5200</v>
      </c>
      <c r="AD2522" s="47"/>
      <c r="AE2522" s="47"/>
      <c r="AF2522" s="47"/>
      <c r="AG2522" s="47"/>
      <c r="AH2522" s="47" t="str">
        <f>IFERROR(_xlfn.XLOOKUP(Table6[[#This Row],[Suburb]],Table5[Travel Surcharge],Table5[$$]),"")</f>
        <v/>
      </c>
      <c r="AI2522" s="47"/>
      <c r="AJ2522" s="47"/>
    </row>
    <row r="2523" spans="1:36">
      <c r="A2523" s="374" t="s">
        <v>3986</v>
      </c>
      <c r="B2523" s="374">
        <v>19</v>
      </c>
      <c r="C2523" s="374" t="s">
        <v>455</v>
      </c>
      <c r="D2523" s="375" t="s">
        <v>9759</v>
      </c>
      <c r="E2523" s="375" t="s">
        <v>9760</v>
      </c>
      <c r="F2523" s="375" t="s">
        <v>3225</v>
      </c>
      <c r="G2523" s="375" t="s">
        <v>3988</v>
      </c>
      <c r="H2523" s="375" t="s">
        <v>3989</v>
      </c>
      <c r="I2523" s="63"/>
      <c r="J2523" s="47">
        <v>3740</v>
      </c>
      <c r="K2523" s="46" t="s">
        <v>10735</v>
      </c>
      <c r="L2523" s="47"/>
      <c r="M2523" s="47">
        <v>1430.0000000000002</v>
      </c>
      <c r="N2523" s="47" t="s">
        <v>3990</v>
      </c>
      <c r="O2523" s="47" t="s">
        <v>3991</v>
      </c>
      <c r="P2523" s="47"/>
      <c r="Q2523" s="47"/>
      <c r="R2523" s="47"/>
      <c r="S2523" s="47" t="s">
        <v>3992</v>
      </c>
      <c r="T2523" s="47"/>
      <c r="U2523" s="47"/>
      <c r="V2523" s="47"/>
      <c r="W2523" s="47"/>
      <c r="X2523" s="47" t="s">
        <v>3993</v>
      </c>
      <c r="Y2523" s="47"/>
      <c r="Z2523" s="47">
        <v>4620</v>
      </c>
      <c r="AA2523" s="47" t="s">
        <v>3994</v>
      </c>
      <c r="AB2523" s="47"/>
      <c r="AC2523" s="47"/>
      <c r="AD2523" s="47" t="s">
        <v>1</v>
      </c>
      <c r="AE2523" s="47"/>
      <c r="AF2523" s="47">
        <v>1485</v>
      </c>
      <c r="AG2523" s="47" t="s">
        <v>464</v>
      </c>
      <c r="AH2523" s="47" t="str">
        <f>IFERROR(_xlfn.XLOOKUP(Table6[[#This Row],[Suburb]],Table5[Travel Surcharge],Table5[$$]),"")</f>
        <v/>
      </c>
      <c r="AI2523" s="47"/>
      <c r="AJ2523" s="47"/>
    </row>
    <row r="2524" spans="1:36">
      <c r="A2524" s="374" t="s">
        <v>3986</v>
      </c>
      <c r="B2524" s="374">
        <v>7</v>
      </c>
      <c r="C2524" s="374" t="s">
        <v>455</v>
      </c>
      <c r="D2524" s="375" t="str">
        <f t="shared" ref="D2524:D2557" si="520">CONCATENATE(A2524,B2524)</f>
        <v>Lyndarum North7</v>
      </c>
      <c r="E2524" s="375" t="s">
        <v>3987</v>
      </c>
      <c r="F2524" s="375" t="s">
        <v>3225</v>
      </c>
      <c r="G2524" s="375" t="s">
        <v>3988</v>
      </c>
      <c r="H2524" s="375" t="s">
        <v>3989</v>
      </c>
      <c r="I2524" s="63"/>
      <c r="J2524" s="47">
        <f t="shared" ref="J2524:J2541" si="521">J$7</f>
        <v>3740</v>
      </c>
      <c r="K2524" s="46" t="s">
        <v>10735</v>
      </c>
      <c r="L2524" s="47"/>
      <c r="M2524" s="47">
        <f t="shared" ref="M2524:M2531" si="522">M$7</f>
        <v>1430.0000000000002</v>
      </c>
      <c r="N2524" s="47" t="s">
        <v>3990</v>
      </c>
      <c r="O2524" s="47" t="s">
        <v>3991</v>
      </c>
      <c r="P2524" s="47"/>
      <c r="Q2524" s="47"/>
      <c r="R2524" s="47"/>
      <c r="S2524" s="47" t="s">
        <v>3992</v>
      </c>
      <c r="T2524" s="47"/>
      <c r="U2524" s="47"/>
      <c r="V2524" s="47"/>
      <c r="W2524" s="47"/>
      <c r="X2524" s="47" t="s">
        <v>3993</v>
      </c>
      <c r="Y2524" s="47"/>
      <c r="Z2524" s="47">
        <f t="shared" ref="Z2524:Z2531" si="523">Z$7</f>
        <v>4620</v>
      </c>
      <c r="AA2524" s="47" t="s">
        <v>3994</v>
      </c>
      <c r="AB2524" s="47"/>
      <c r="AC2524" s="47"/>
      <c r="AD2524" s="47" t="s">
        <v>1</v>
      </c>
      <c r="AE2524" s="47"/>
      <c r="AF2524" s="47">
        <f t="shared" ref="AF2524:AF2531" si="524">AF$7</f>
        <v>1485</v>
      </c>
      <c r="AG2524" s="47" t="s">
        <v>464</v>
      </c>
      <c r="AH2524" s="47" t="str">
        <f>IFERROR(_xlfn.XLOOKUP(Table6[[#This Row],[Suburb]],Table5[Travel Surcharge],Table5[$$]),"")</f>
        <v/>
      </c>
      <c r="AI2524" s="47"/>
      <c r="AJ2524" s="47"/>
    </row>
    <row r="2525" spans="1:36">
      <c r="A2525" s="374" t="s">
        <v>3986</v>
      </c>
      <c r="B2525" s="374">
        <v>8</v>
      </c>
      <c r="C2525" s="374" t="s">
        <v>455</v>
      </c>
      <c r="D2525" s="375" t="str">
        <f t="shared" si="520"/>
        <v>Lyndarum North8</v>
      </c>
      <c r="E2525" s="375" t="s">
        <v>3995</v>
      </c>
      <c r="F2525" s="375" t="s">
        <v>3225</v>
      </c>
      <c r="G2525" s="375" t="s">
        <v>3988</v>
      </c>
      <c r="H2525" s="375" t="s">
        <v>3989</v>
      </c>
      <c r="I2525" s="63"/>
      <c r="J2525" s="47">
        <f t="shared" si="521"/>
        <v>3740</v>
      </c>
      <c r="K2525" s="46" t="s">
        <v>10735</v>
      </c>
      <c r="L2525" s="47"/>
      <c r="M2525" s="47">
        <f t="shared" si="522"/>
        <v>1430.0000000000002</v>
      </c>
      <c r="N2525" s="47" t="s">
        <v>3990</v>
      </c>
      <c r="O2525" s="47" t="s">
        <v>3991</v>
      </c>
      <c r="P2525" s="47"/>
      <c r="Q2525" s="47"/>
      <c r="R2525" s="47"/>
      <c r="S2525" s="47" t="s">
        <v>3992</v>
      </c>
      <c r="T2525" s="47"/>
      <c r="U2525" s="47"/>
      <c r="V2525" s="47"/>
      <c r="W2525" s="47"/>
      <c r="X2525" s="47" t="s">
        <v>3993</v>
      </c>
      <c r="Y2525" s="47"/>
      <c r="Z2525" s="47">
        <f t="shared" si="523"/>
        <v>4620</v>
      </c>
      <c r="AA2525" s="47" t="s">
        <v>3994</v>
      </c>
      <c r="AB2525" s="47"/>
      <c r="AC2525" s="47"/>
      <c r="AD2525" s="47" t="s">
        <v>1</v>
      </c>
      <c r="AE2525" s="47"/>
      <c r="AF2525" s="47">
        <f t="shared" si="524"/>
        <v>1485</v>
      </c>
      <c r="AG2525" s="47" t="s">
        <v>464</v>
      </c>
      <c r="AH2525" s="47" t="str">
        <f>IFERROR(_xlfn.XLOOKUP(Table6[[#This Row],[Suburb]],Table5[Travel Surcharge],Table5[$$]),"")</f>
        <v/>
      </c>
      <c r="AI2525" s="47"/>
      <c r="AJ2525" s="47"/>
    </row>
    <row r="2526" spans="1:36">
      <c r="A2526" s="374" t="s">
        <v>3986</v>
      </c>
      <c r="B2526" s="374">
        <v>9</v>
      </c>
      <c r="C2526" s="374" t="s">
        <v>455</v>
      </c>
      <c r="D2526" s="375" t="str">
        <f t="shared" si="520"/>
        <v>Lyndarum North9</v>
      </c>
      <c r="E2526" s="375" t="s">
        <v>3996</v>
      </c>
      <c r="F2526" s="375" t="s">
        <v>3225</v>
      </c>
      <c r="G2526" s="375" t="s">
        <v>3988</v>
      </c>
      <c r="H2526" s="375" t="s">
        <v>3989</v>
      </c>
      <c r="I2526" s="63"/>
      <c r="J2526" s="47">
        <f t="shared" si="521"/>
        <v>3740</v>
      </c>
      <c r="K2526" s="46" t="s">
        <v>10735</v>
      </c>
      <c r="L2526" s="47"/>
      <c r="M2526" s="47">
        <f t="shared" si="522"/>
        <v>1430.0000000000002</v>
      </c>
      <c r="N2526" s="47" t="s">
        <v>3990</v>
      </c>
      <c r="O2526" s="47" t="s">
        <v>3991</v>
      </c>
      <c r="P2526" s="47"/>
      <c r="Q2526" s="47"/>
      <c r="R2526" s="47"/>
      <c r="S2526" s="47" t="s">
        <v>3992</v>
      </c>
      <c r="T2526" s="47"/>
      <c r="U2526" s="47"/>
      <c r="V2526" s="47"/>
      <c r="W2526" s="47"/>
      <c r="X2526" s="47" t="s">
        <v>3993</v>
      </c>
      <c r="Y2526" s="47"/>
      <c r="Z2526" s="47">
        <f t="shared" si="523"/>
        <v>4620</v>
      </c>
      <c r="AA2526" s="47" t="s">
        <v>3994</v>
      </c>
      <c r="AB2526" s="47"/>
      <c r="AC2526" s="47"/>
      <c r="AD2526" s="47" t="s">
        <v>1</v>
      </c>
      <c r="AE2526" s="47"/>
      <c r="AF2526" s="47">
        <f t="shared" si="524"/>
        <v>1485</v>
      </c>
      <c r="AG2526" s="47" t="s">
        <v>464</v>
      </c>
      <c r="AH2526" s="47" t="str">
        <f>IFERROR(_xlfn.XLOOKUP(Table6[[#This Row],[Suburb]],Table5[Travel Surcharge],Table5[$$]),"")</f>
        <v/>
      </c>
      <c r="AI2526" s="47"/>
      <c r="AJ2526" s="47"/>
    </row>
    <row r="2527" spans="1:36">
      <c r="A2527" s="374" t="s">
        <v>3986</v>
      </c>
      <c r="B2527" s="374">
        <v>10</v>
      </c>
      <c r="C2527" s="374" t="s">
        <v>455</v>
      </c>
      <c r="D2527" s="375" t="str">
        <f t="shared" si="520"/>
        <v>Lyndarum North10</v>
      </c>
      <c r="E2527" s="375" t="s">
        <v>3997</v>
      </c>
      <c r="F2527" s="375" t="s">
        <v>3225</v>
      </c>
      <c r="G2527" s="375" t="s">
        <v>3988</v>
      </c>
      <c r="H2527" s="375" t="s">
        <v>3989</v>
      </c>
      <c r="I2527" s="63"/>
      <c r="J2527" s="47">
        <f t="shared" si="521"/>
        <v>3740</v>
      </c>
      <c r="K2527" s="46" t="s">
        <v>10735</v>
      </c>
      <c r="L2527" s="47"/>
      <c r="M2527" s="47">
        <f t="shared" si="522"/>
        <v>1430.0000000000002</v>
      </c>
      <c r="N2527" s="47" t="s">
        <v>3990</v>
      </c>
      <c r="O2527" s="47" t="s">
        <v>3991</v>
      </c>
      <c r="P2527" s="47"/>
      <c r="Q2527" s="47"/>
      <c r="R2527" s="47"/>
      <c r="S2527" s="47" t="s">
        <v>3992</v>
      </c>
      <c r="T2527" s="47"/>
      <c r="U2527" s="47"/>
      <c r="V2527" s="47"/>
      <c r="W2527" s="47"/>
      <c r="X2527" s="47" t="s">
        <v>3993</v>
      </c>
      <c r="Y2527" s="47"/>
      <c r="Z2527" s="47">
        <f t="shared" si="523"/>
        <v>4620</v>
      </c>
      <c r="AA2527" s="47" t="s">
        <v>3994</v>
      </c>
      <c r="AB2527" s="47"/>
      <c r="AC2527" s="47"/>
      <c r="AD2527" s="47" t="s">
        <v>1</v>
      </c>
      <c r="AE2527" s="47"/>
      <c r="AF2527" s="47">
        <f t="shared" si="524"/>
        <v>1485</v>
      </c>
      <c r="AG2527" s="47" t="s">
        <v>464</v>
      </c>
      <c r="AH2527" s="47" t="str">
        <f>IFERROR(_xlfn.XLOOKUP(Table6[[#This Row],[Suburb]],Table5[Travel Surcharge],Table5[$$]),"")</f>
        <v/>
      </c>
      <c r="AI2527" s="47"/>
      <c r="AJ2527" s="47"/>
    </row>
    <row r="2528" spans="1:36">
      <c r="A2528" s="374" t="s">
        <v>3986</v>
      </c>
      <c r="B2528" s="374">
        <v>12</v>
      </c>
      <c r="C2528" s="374" t="s">
        <v>455</v>
      </c>
      <c r="D2528" s="375" t="str">
        <f t="shared" si="520"/>
        <v>Lyndarum North12</v>
      </c>
      <c r="E2528" s="375" t="s">
        <v>3998</v>
      </c>
      <c r="F2528" s="375" t="s">
        <v>3225</v>
      </c>
      <c r="G2528" s="375" t="s">
        <v>3988</v>
      </c>
      <c r="H2528" s="375" t="s">
        <v>3989</v>
      </c>
      <c r="I2528" s="63"/>
      <c r="J2528" s="47">
        <f t="shared" si="521"/>
        <v>3740</v>
      </c>
      <c r="K2528" s="46" t="s">
        <v>10735</v>
      </c>
      <c r="L2528" s="47"/>
      <c r="M2528" s="47">
        <f t="shared" si="522"/>
        <v>1430.0000000000002</v>
      </c>
      <c r="N2528" s="47" t="s">
        <v>3990</v>
      </c>
      <c r="O2528" s="47" t="s">
        <v>3991</v>
      </c>
      <c r="P2528" s="47"/>
      <c r="Q2528" s="47"/>
      <c r="R2528" s="47"/>
      <c r="S2528" s="47" t="s">
        <v>3992</v>
      </c>
      <c r="T2528" s="47"/>
      <c r="U2528" s="47"/>
      <c r="V2528" s="47"/>
      <c r="W2528" s="47"/>
      <c r="X2528" s="47" t="s">
        <v>3993</v>
      </c>
      <c r="Y2528" s="47"/>
      <c r="Z2528" s="47">
        <f t="shared" si="523"/>
        <v>4620</v>
      </c>
      <c r="AA2528" s="47" t="s">
        <v>3994</v>
      </c>
      <c r="AB2528" s="47"/>
      <c r="AC2528" s="47"/>
      <c r="AD2528" s="47" t="s">
        <v>1</v>
      </c>
      <c r="AE2528" s="47"/>
      <c r="AF2528" s="47">
        <f t="shared" si="524"/>
        <v>1485</v>
      </c>
      <c r="AG2528" s="47" t="s">
        <v>464</v>
      </c>
      <c r="AH2528" s="47" t="str">
        <f>IFERROR(_xlfn.XLOOKUP(Table6[[#This Row],[Suburb]],Table5[Travel Surcharge],Table5[$$]),"")</f>
        <v/>
      </c>
      <c r="AI2528" s="47"/>
      <c r="AJ2528" s="47"/>
    </row>
    <row r="2529" spans="1:36">
      <c r="A2529" s="374" t="s">
        <v>3986</v>
      </c>
      <c r="B2529" s="374">
        <v>16</v>
      </c>
      <c r="C2529" s="374" t="s">
        <v>455</v>
      </c>
      <c r="D2529" s="375" t="str">
        <f t="shared" si="520"/>
        <v>Lyndarum North16</v>
      </c>
      <c r="E2529" s="375" t="s">
        <v>10396</v>
      </c>
      <c r="F2529" s="375" t="s">
        <v>3225</v>
      </c>
      <c r="G2529" s="375" t="s">
        <v>3988</v>
      </c>
      <c r="H2529" s="375" t="s">
        <v>3989</v>
      </c>
      <c r="I2529" s="63"/>
      <c r="J2529" s="47">
        <v>3740</v>
      </c>
      <c r="K2529" s="46" t="s">
        <v>10735</v>
      </c>
      <c r="L2529" s="47"/>
      <c r="M2529" s="47">
        <v>1430.0000000000002</v>
      </c>
      <c r="N2529" s="47" t="s">
        <v>3990</v>
      </c>
      <c r="O2529" s="47" t="s">
        <v>3991</v>
      </c>
      <c r="P2529" s="47"/>
      <c r="Q2529" s="47"/>
      <c r="R2529" s="47"/>
      <c r="S2529" s="47" t="s">
        <v>3992</v>
      </c>
      <c r="T2529" s="47"/>
      <c r="U2529" s="47"/>
      <c r="V2529" s="47"/>
      <c r="W2529" s="47"/>
      <c r="X2529" s="47" t="s">
        <v>3993</v>
      </c>
      <c r="Y2529" s="47"/>
      <c r="Z2529" s="47">
        <v>4620</v>
      </c>
      <c r="AA2529" s="47" t="s">
        <v>3994</v>
      </c>
      <c r="AB2529" s="47"/>
      <c r="AC2529" s="47"/>
      <c r="AD2529" s="47" t="s">
        <v>1</v>
      </c>
      <c r="AE2529" s="47"/>
      <c r="AF2529" s="47">
        <v>1485</v>
      </c>
      <c r="AG2529" s="47" t="s">
        <v>464</v>
      </c>
      <c r="AH2529" s="47" t="s">
        <v>9976</v>
      </c>
      <c r="AI2529" s="47"/>
      <c r="AJ2529" s="47"/>
    </row>
    <row r="2530" spans="1:36">
      <c r="A2530" s="157" t="s">
        <v>3986</v>
      </c>
      <c r="B2530" s="157">
        <v>17</v>
      </c>
      <c r="C2530" s="157" t="s">
        <v>455</v>
      </c>
      <c r="D2530" s="157" t="str">
        <f t="shared" si="520"/>
        <v>Lyndarum North17</v>
      </c>
      <c r="E2530" s="157" t="s">
        <v>8254</v>
      </c>
      <c r="F2530" s="157" t="s">
        <v>3225</v>
      </c>
      <c r="G2530" s="157" t="s">
        <v>3988</v>
      </c>
      <c r="H2530" s="157" t="s">
        <v>3989</v>
      </c>
      <c r="I2530" s="158"/>
      <c r="J2530" s="47">
        <f t="shared" si="521"/>
        <v>3740</v>
      </c>
      <c r="K2530" s="46" t="s">
        <v>10735</v>
      </c>
      <c r="L2530" s="47"/>
      <c r="M2530" s="47">
        <f t="shared" si="522"/>
        <v>1430.0000000000002</v>
      </c>
      <c r="N2530" s="47" t="s">
        <v>3990</v>
      </c>
      <c r="O2530" s="47" t="s">
        <v>3991</v>
      </c>
      <c r="P2530" s="47"/>
      <c r="Q2530" s="47"/>
      <c r="R2530" s="47"/>
      <c r="S2530" s="47" t="s">
        <v>3992</v>
      </c>
      <c r="T2530" s="47"/>
      <c r="U2530" s="47"/>
      <c r="V2530" s="47"/>
      <c r="W2530" s="47"/>
      <c r="X2530" s="47" t="s">
        <v>3993</v>
      </c>
      <c r="Y2530" s="47"/>
      <c r="Z2530" s="47">
        <f t="shared" si="523"/>
        <v>4620</v>
      </c>
      <c r="AA2530" s="47" t="s">
        <v>3994</v>
      </c>
      <c r="AB2530" s="47"/>
      <c r="AC2530" s="47"/>
      <c r="AD2530" s="47" t="s">
        <v>1</v>
      </c>
      <c r="AE2530" s="47"/>
      <c r="AF2530" s="47">
        <f t="shared" si="524"/>
        <v>1485</v>
      </c>
      <c r="AG2530" s="47" t="s">
        <v>464</v>
      </c>
      <c r="AH2530" s="47" t="str">
        <f>IFERROR(_xlfn.XLOOKUP(Table6[[#This Row],[Suburb]],Table5[Travel Surcharge],Table5[$$]),"")</f>
        <v/>
      </c>
      <c r="AI2530" s="47"/>
      <c r="AJ2530" s="47"/>
    </row>
    <row r="2531" spans="1:36">
      <c r="A2531" s="157" t="s">
        <v>3986</v>
      </c>
      <c r="B2531" s="157">
        <v>18</v>
      </c>
      <c r="C2531" s="157" t="s">
        <v>455</v>
      </c>
      <c r="D2531" s="157" t="str">
        <f t="shared" si="520"/>
        <v>Lyndarum North18</v>
      </c>
      <c r="E2531" s="157" t="s">
        <v>9507</v>
      </c>
      <c r="F2531" s="157" t="s">
        <v>3225</v>
      </c>
      <c r="G2531" s="157" t="s">
        <v>3988</v>
      </c>
      <c r="H2531" s="157" t="s">
        <v>3989</v>
      </c>
      <c r="I2531" s="158"/>
      <c r="J2531" s="47">
        <f t="shared" si="521"/>
        <v>3740</v>
      </c>
      <c r="K2531" s="46" t="s">
        <v>10735</v>
      </c>
      <c r="L2531" s="47"/>
      <c r="M2531" s="47">
        <f t="shared" si="522"/>
        <v>1430.0000000000002</v>
      </c>
      <c r="N2531" s="47" t="s">
        <v>3990</v>
      </c>
      <c r="O2531" s="47" t="s">
        <v>3991</v>
      </c>
      <c r="P2531" s="47"/>
      <c r="Q2531" s="47"/>
      <c r="R2531" s="47"/>
      <c r="S2531" s="47" t="s">
        <v>3992</v>
      </c>
      <c r="T2531" s="47"/>
      <c r="U2531" s="47"/>
      <c r="V2531" s="47"/>
      <c r="W2531" s="47"/>
      <c r="X2531" s="47" t="s">
        <v>3993</v>
      </c>
      <c r="Y2531" s="47"/>
      <c r="Z2531" s="47">
        <f t="shared" si="523"/>
        <v>4620</v>
      </c>
      <c r="AA2531" s="47" t="s">
        <v>3994</v>
      </c>
      <c r="AB2531" s="47"/>
      <c r="AC2531" s="47"/>
      <c r="AD2531" s="47" t="s">
        <v>1</v>
      </c>
      <c r="AE2531" s="47"/>
      <c r="AF2531" s="47">
        <f t="shared" si="524"/>
        <v>1485</v>
      </c>
      <c r="AG2531" s="47" t="s">
        <v>464</v>
      </c>
      <c r="AH2531" s="47" t="str">
        <f>IFERROR(_xlfn.XLOOKUP(Table6[[#This Row],[Suburb]],Table5[Travel Surcharge],Table5[$$]),"")</f>
        <v/>
      </c>
      <c r="AI2531" s="47"/>
      <c r="AJ2531" s="47"/>
    </row>
    <row r="2532" spans="1:36">
      <c r="A2532" s="374" t="s">
        <v>3986</v>
      </c>
      <c r="B2532" s="374">
        <v>20</v>
      </c>
      <c r="C2532" s="374" t="s">
        <v>455</v>
      </c>
      <c r="D2532" s="157" t="str">
        <f t="shared" si="520"/>
        <v>Lyndarum North20</v>
      </c>
      <c r="E2532" s="375" t="s">
        <v>10098</v>
      </c>
      <c r="F2532" s="375" t="s">
        <v>3225</v>
      </c>
      <c r="G2532" s="375" t="s">
        <v>3988</v>
      </c>
      <c r="H2532" s="375" t="s">
        <v>3989</v>
      </c>
      <c r="I2532" s="63"/>
      <c r="J2532" s="47">
        <v>3740</v>
      </c>
      <c r="K2532" s="46" t="s">
        <v>10735</v>
      </c>
      <c r="L2532" s="47"/>
      <c r="M2532" s="47">
        <v>1430.0000000000002</v>
      </c>
      <c r="N2532" s="47" t="s">
        <v>3990</v>
      </c>
      <c r="O2532" s="47" t="s">
        <v>3991</v>
      </c>
      <c r="P2532" s="47"/>
      <c r="Q2532" s="47"/>
      <c r="R2532" s="47"/>
      <c r="S2532" s="47" t="s">
        <v>3992</v>
      </c>
      <c r="T2532" s="47"/>
      <c r="U2532" s="47"/>
      <c r="V2532" s="47"/>
      <c r="W2532" s="47"/>
      <c r="X2532" s="47" t="s">
        <v>3993</v>
      </c>
      <c r="Y2532" s="47"/>
      <c r="Z2532" s="47">
        <v>4620</v>
      </c>
      <c r="AA2532" s="47" t="s">
        <v>3994</v>
      </c>
      <c r="AB2532" s="47"/>
      <c r="AC2532" s="47"/>
      <c r="AD2532" s="47" t="s">
        <v>1</v>
      </c>
      <c r="AE2532" s="47"/>
      <c r="AF2532" s="47">
        <v>1485</v>
      </c>
      <c r="AG2532" s="47" t="s">
        <v>464</v>
      </c>
      <c r="AH2532" s="47" t="s">
        <v>9976</v>
      </c>
      <c r="AI2532" s="47"/>
      <c r="AJ2532" s="47"/>
    </row>
    <row r="2533" spans="1:36">
      <c r="A2533" s="374" t="s">
        <v>3999</v>
      </c>
      <c r="B2533" s="374">
        <v>1</v>
      </c>
      <c r="C2533" s="374" t="s">
        <v>631</v>
      </c>
      <c r="D2533" s="375" t="str">
        <f t="shared" si="520"/>
        <v>Lyra1</v>
      </c>
      <c r="E2533" s="375" t="s">
        <v>8752</v>
      </c>
      <c r="F2533" s="375" t="s">
        <v>650</v>
      </c>
      <c r="G2533" s="375"/>
      <c r="H2533" s="375"/>
      <c r="I2533" s="63"/>
      <c r="J2533" s="47">
        <f t="shared" si="521"/>
        <v>3740</v>
      </c>
      <c r="K2533" s="46" t="s">
        <v>10735</v>
      </c>
      <c r="L2533" s="47" t="s">
        <v>3838</v>
      </c>
      <c r="M2533" s="47">
        <v>1430.0000000000002</v>
      </c>
      <c r="N2533" s="47"/>
      <c r="O2533" s="47"/>
      <c r="P2533" s="47"/>
      <c r="Q2533" s="47"/>
      <c r="R2533" s="47"/>
      <c r="S2533" s="47" t="s">
        <v>967</v>
      </c>
      <c r="T2533" s="47"/>
      <c r="U2533" s="47"/>
      <c r="V2533" s="47"/>
      <c r="W2533" s="47" t="s">
        <v>4001</v>
      </c>
      <c r="X2533" s="47"/>
      <c r="Y2533" s="47"/>
      <c r="Z2533" s="47">
        <v>4620</v>
      </c>
      <c r="AA2533" s="47" t="s">
        <v>4002</v>
      </c>
      <c r="AB2533" s="47"/>
      <c r="AC2533" s="47"/>
      <c r="AD2533" s="47" t="s">
        <v>1</v>
      </c>
      <c r="AE2533" s="47"/>
      <c r="AF2533" s="47"/>
      <c r="AG2533" s="47"/>
      <c r="AH2533" s="47" t="str">
        <f>IFERROR(_xlfn.XLOOKUP(Table6[[#This Row],[Suburb]],Table5[Travel Surcharge],Table5[$$]),"")</f>
        <v/>
      </c>
      <c r="AI2533" s="47"/>
      <c r="AJ2533" s="47"/>
    </row>
    <row r="2534" spans="1:36">
      <c r="A2534" s="374" t="s">
        <v>3999</v>
      </c>
      <c r="B2534" s="374">
        <v>2</v>
      </c>
      <c r="C2534" s="374" t="s">
        <v>631</v>
      </c>
      <c r="D2534" s="375" t="str">
        <f t="shared" si="520"/>
        <v>Lyra2</v>
      </c>
      <c r="E2534" s="375" t="s">
        <v>9002</v>
      </c>
      <c r="F2534" s="375" t="s">
        <v>650</v>
      </c>
      <c r="G2534" s="375"/>
      <c r="H2534" s="375"/>
      <c r="I2534" s="63"/>
      <c r="J2534" s="47">
        <f t="shared" si="521"/>
        <v>3740</v>
      </c>
      <c r="K2534" s="46" t="s">
        <v>10735</v>
      </c>
      <c r="L2534" s="47" t="s">
        <v>3838</v>
      </c>
      <c r="M2534" s="47">
        <v>1430.0000000000002</v>
      </c>
      <c r="N2534" s="47"/>
      <c r="O2534" s="47"/>
      <c r="P2534" s="47"/>
      <c r="Q2534" s="47"/>
      <c r="R2534" s="47"/>
      <c r="S2534" s="47" t="s">
        <v>967</v>
      </c>
      <c r="T2534" s="47"/>
      <c r="U2534" s="47"/>
      <c r="V2534" s="47"/>
      <c r="W2534" s="47" t="s">
        <v>4001</v>
      </c>
      <c r="X2534" s="47"/>
      <c r="Y2534" s="47"/>
      <c r="Z2534" s="47">
        <v>4620</v>
      </c>
      <c r="AA2534" s="47" t="s">
        <v>4002</v>
      </c>
      <c r="AB2534" s="47"/>
      <c r="AC2534" s="47"/>
      <c r="AD2534" s="47" t="s">
        <v>1</v>
      </c>
      <c r="AE2534" s="47"/>
      <c r="AF2534" s="47"/>
      <c r="AG2534" s="47"/>
      <c r="AH2534" s="47" t="str">
        <f>IFERROR(_xlfn.XLOOKUP(Table6[[#This Row],[Suburb]],Table5[Travel Surcharge],Table5[$$]),"")</f>
        <v/>
      </c>
      <c r="AI2534" s="47"/>
      <c r="AJ2534" s="47"/>
    </row>
    <row r="2535" spans="1:36">
      <c r="A2535" s="374" t="s">
        <v>3999</v>
      </c>
      <c r="B2535" s="374">
        <v>3</v>
      </c>
      <c r="C2535" s="374" t="s">
        <v>631</v>
      </c>
      <c r="D2535" s="375" t="str">
        <f t="shared" si="520"/>
        <v>Lyra3</v>
      </c>
      <c r="E2535" s="375" t="s">
        <v>4000</v>
      </c>
      <c r="F2535" s="375" t="s">
        <v>650</v>
      </c>
      <c r="G2535" s="375"/>
      <c r="H2535" s="375"/>
      <c r="I2535" s="63"/>
      <c r="J2535" s="47">
        <f t="shared" si="521"/>
        <v>3740</v>
      </c>
      <c r="K2535" s="46" t="s">
        <v>10735</v>
      </c>
      <c r="L2535" s="47" t="s">
        <v>3838</v>
      </c>
      <c r="M2535" s="47">
        <v>1430.0000000000002</v>
      </c>
      <c r="N2535" s="47"/>
      <c r="O2535" s="47"/>
      <c r="P2535" s="47"/>
      <c r="Q2535" s="47"/>
      <c r="R2535" s="47"/>
      <c r="S2535" s="47" t="s">
        <v>967</v>
      </c>
      <c r="T2535" s="47"/>
      <c r="U2535" s="47"/>
      <c r="V2535" s="47"/>
      <c r="W2535" s="47" t="s">
        <v>4001</v>
      </c>
      <c r="X2535" s="47"/>
      <c r="Y2535" s="47"/>
      <c r="Z2535" s="47">
        <v>4620</v>
      </c>
      <c r="AA2535" s="47" t="s">
        <v>4002</v>
      </c>
      <c r="AB2535" s="47"/>
      <c r="AC2535" s="47"/>
      <c r="AD2535" s="47" t="s">
        <v>1</v>
      </c>
      <c r="AE2535" s="47"/>
      <c r="AF2535" s="47"/>
      <c r="AG2535" s="47"/>
      <c r="AH2535" s="47" t="str">
        <f>IFERROR(_xlfn.XLOOKUP(Table6[[#This Row],[Suburb]],Table5[Travel Surcharge],Table5[$$]),"")</f>
        <v/>
      </c>
      <c r="AI2535" s="47"/>
      <c r="AJ2535" s="47"/>
    </row>
    <row r="2536" spans="1:36">
      <c r="A2536" s="374" t="s">
        <v>3999</v>
      </c>
      <c r="B2536" s="374">
        <v>4</v>
      </c>
      <c r="C2536" s="374" t="s">
        <v>631</v>
      </c>
      <c r="D2536" s="375" t="str">
        <f t="shared" si="520"/>
        <v>Lyra4</v>
      </c>
      <c r="E2536" s="375" t="s">
        <v>9008</v>
      </c>
      <c r="F2536" s="375" t="s">
        <v>650</v>
      </c>
      <c r="G2536" s="375"/>
      <c r="H2536" s="375"/>
      <c r="I2536" s="63"/>
      <c r="J2536" s="47">
        <f t="shared" si="521"/>
        <v>3740</v>
      </c>
      <c r="K2536" s="46" t="s">
        <v>10735</v>
      </c>
      <c r="L2536" s="47" t="s">
        <v>3838</v>
      </c>
      <c r="M2536" s="47">
        <v>1430.0000000000002</v>
      </c>
      <c r="N2536" s="47"/>
      <c r="O2536" s="47"/>
      <c r="P2536" s="47"/>
      <c r="Q2536" s="47"/>
      <c r="R2536" s="47"/>
      <c r="S2536" s="47" t="s">
        <v>967</v>
      </c>
      <c r="T2536" s="47"/>
      <c r="U2536" s="47"/>
      <c r="V2536" s="47"/>
      <c r="W2536" s="47" t="s">
        <v>4001</v>
      </c>
      <c r="X2536" s="47"/>
      <c r="Y2536" s="47"/>
      <c r="Z2536" s="47">
        <v>4620</v>
      </c>
      <c r="AA2536" s="47" t="s">
        <v>4002</v>
      </c>
      <c r="AB2536" s="47"/>
      <c r="AC2536" s="47"/>
      <c r="AD2536" s="47" t="s">
        <v>1</v>
      </c>
      <c r="AE2536" s="47"/>
      <c r="AF2536" s="47"/>
      <c r="AG2536" s="47"/>
      <c r="AH2536" s="47" t="str">
        <f>IFERROR(_xlfn.XLOOKUP(Table6[[#This Row],[Suburb]],Table5[Travel Surcharge],Table5[$$]),"")</f>
        <v/>
      </c>
      <c r="AI2536" s="47"/>
      <c r="AJ2536" s="47"/>
    </row>
    <row r="2537" spans="1:36">
      <c r="A2537" s="374" t="s">
        <v>3999</v>
      </c>
      <c r="B2537" s="374">
        <v>5</v>
      </c>
      <c r="C2537" s="374" t="s">
        <v>631</v>
      </c>
      <c r="D2537" s="375" t="str">
        <f t="shared" si="520"/>
        <v>Lyra5</v>
      </c>
      <c r="E2537" s="375" t="s">
        <v>9612</v>
      </c>
      <c r="F2537" s="375" t="s">
        <v>650</v>
      </c>
      <c r="G2537" s="375"/>
      <c r="H2537" s="375"/>
      <c r="I2537" s="63"/>
      <c r="J2537" s="47">
        <f t="shared" si="521"/>
        <v>3740</v>
      </c>
      <c r="K2537" s="46" t="s">
        <v>10735</v>
      </c>
      <c r="L2537" s="47" t="s">
        <v>3838</v>
      </c>
      <c r="M2537" s="47">
        <v>1430.0000000000002</v>
      </c>
      <c r="N2537" s="47"/>
      <c r="O2537" s="47"/>
      <c r="P2537" s="47"/>
      <c r="Q2537" s="47"/>
      <c r="R2537" s="47"/>
      <c r="S2537" s="47" t="s">
        <v>967</v>
      </c>
      <c r="T2537" s="47"/>
      <c r="U2537" s="47"/>
      <c r="V2537" s="47"/>
      <c r="W2537" s="47" t="s">
        <v>4001</v>
      </c>
      <c r="X2537" s="47"/>
      <c r="Y2537" s="47"/>
      <c r="Z2537" s="47">
        <v>4620</v>
      </c>
      <c r="AA2537" s="47" t="s">
        <v>4002</v>
      </c>
      <c r="AB2537" s="47"/>
      <c r="AC2537" s="47"/>
      <c r="AD2537" s="47" t="s">
        <v>1</v>
      </c>
      <c r="AE2537" s="47"/>
      <c r="AF2537" s="47"/>
      <c r="AG2537" s="47"/>
      <c r="AH2537" s="47" t="str">
        <f>IFERROR(_xlfn.XLOOKUP(Table6[[#This Row],[Suburb]],Table5[Travel Surcharge],Table5[$$]),"")</f>
        <v/>
      </c>
      <c r="AI2537" s="47"/>
      <c r="AJ2537" s="47"/>
    </row>
    <row r="2538" spans="1:36">
      <c r="A2538" s="157" t="s">
        <v>3999</v>
      </c>
      <c r="B2538" s="157">
        <v>6</v>
      </c>
      <c r="C2538" s="157" t="s">
        <v>631</v>
      </c>
      <c r="D2538" s="157" t="str">
        <f t="shared" si="520"/>
        <v>Lyra6</v>
      </c>
      <c r="E2538" s="157" t="s">
        <v>7766</v>
      </c>
      <c r="F2538" s="157" t="s">
        <v>650</v>
      </c>
      <c r="G2538" s="157"/>
      <c r="H2538" s="157"/>
      <c r="I2538" s="158"/>
      <c r="J2538" s="47">
        <f t="shared" si="521"/>
        <v>3740</v>
      </c>
      <c r="K2538" s="46" t="s">
        <v>10735</v>
      </c>
      <c r="L2538" s="47" t="s">
        <v>3838</v>
      </c>
      <c r="M2538" s="47">
        <v>1430.0000000000002</v>
      </c>
      <c r="N2538" s="47"/>
      <c r="O2538" s="47"/>
      <c r="P2538" s="47"/>
      <c r="Q2538" s="47"/>
      <c r="R2538" s="47"/>
      <c r="S2538" s="47" t="s">
        <v>967</v>
      </c>
      <c r="T2538" s="47"/>
      <c r="U2538" s="47"/>
      <c r="V2538" s="47"/>
      <c r="W2538" s="47" t="s">
        <v>4001</v>
      </c>
      <c r="X2538" s="47"/>
      <c r="Y2538" s="47"/>
      <c r="Z2538" s="47">
        <v>4620</v>
      </c>
      <c r="AA2538" s="47" t="s">
        <v>4002</v>
      </c>
      <c r="AB2538" s="47"/>
      <c r="AC2538" s="47"/>
      <c r="AD2538" s="47" t="s">
        <v>1</v>
      </c>
      <c r="AE2538" s="47"/>
      <c r="AF2538" s="47"/>
      <c r="AG2538" s="47"/>
      <c r="AH2538" s="47" t="str">
        <f>IFERROR(_xlfn.XLOOKUP(Table6[[#This Row],[Suburb]],Table5[Travel Surcharge],Table5[$$]),"")</f>
        <v/>
      </c>
      <c r="AI2538" s="47"/>
      <c r="AJ2538" s="47"/>
    </row>
    <row r="2539" spans="1:36">
      <c r="A2539" s="157" t="s">
        <v>3999</v>
      </c>
      <c r="B2539" s="157">
        <v>7</v>
      </c>
      <c r="C2539" s="157" t="s">
        <v>631</v>
      </c>
      <c r="D2539" s="157" t="str">
        <f t="shared" si="520"/>
        <v>Lyra7</v>
      </c>
      <c r="E2539" s="157" t="s">
        <v>8469</v>
      </c>
      <c r="F2539" s="157" t="s">
        <v>650</v>
      </c>
      <c r="G2539" s="157"/>
      <c r="H2539" s="157"/>
      <c r="I2539" s="158"/>
      <c r="J2539" s="47">
        <f t="shared" si="521"/>
        <v>3740</v>
      </c>
      <c r="K2539" s="46" t="s">
        <v>10735</v>
      </c>
      <c r="L2539" s="47" t="s">
        <v>3838</v>
      </c>
      <c r="M2539" s="47">
        <v>1430.0000000000002</v>
      </c>
      <c r="N2539" s="47"/>
      <c r="O2539" s="47"/>
      <c r="P2539" s="47"/>
      <c r="Q2539" s="47"/>
      <c r="R2539" s="47"/>
      <c r="S2539" s="47" t="s">
        <v>967</v>
      </c>
      <c r="T2539" s="47"/>
      <c r="U2539" s="47"/>
      <c r="V2539" s="47"/>
      <c r="W2539" s="47" t="s">
        <v>4001</v>
      </c>
      <c r="X2539" s="47"/>
      <c r="Y2539" s="47"/>
      <c r="Z2539" s="47">
        <v>4620</v>
      </c>
      <c r="AA2539" s="47" t="s">
        <v>4002</v>
      </c>
      <c r="AB2539" s="47"/>
      <c r="AC2539" s="47"/>
      <c r="AD2539" s="47" t="s">
        <v>1</v>
      </c>
      <c r="AE2539" s="47"/>
      <c r="AF2539" s="47"/>
      <c r="AG2539" s="47"/>
      <c r="AH2539" s="47" t="str">
        <f>IFERROR(_xlfn.XLOOKUP(Table6[[#This Row],[Suburb]],Table5[Travel Surcharge],Table5[$$]),"")</f>
        <v/>
      </c>
      <c r="AI2539" s="47"/>
      <c r="AJ2539" s="47"/>
    </row>
    <row r="2540" spans="1:36">
      <c r="A2540" s="157" t="s">
        <v>3999</v>
      </c>
      <c r="B2540" s="157">
        <v>8</v>
      </c>
      <c r="C2540" s="157" t="s">
        <v>631</v>
      </c>
      <c r="D2540" s="157" t="str">
        <f t="shared" si="520"/>
        <v>Lyra8</v>
      </c>
      <c r="E2540" s="157" t="s">
        <v>9188</v>
      </c>
      <c r="F2540" s="157" t="s">
        <v>650</v>
      </c>
      <c r="G2540" s="157"/>
      <c r="H2540" s="157"/>
      <c r="I2540" s="158"/>
      <c r="J2540" s="47">
        <f t="shared" si="521"/>
        <v>3740</v>
      </c>
      <c r="K2540" s="46" t="s">
        <v>10735</v>
      </c>
      <c r="L2540" s="47" t="s">
        <v>3838</v>
      </c>
      <c r="M2540" s="47">
        <v>1430.0000000000002</v>
      </c>
      <c r="N2540" s="47"/>
      <c r="O2540" s="47"/>
      <c r="P2540" s="47"/>
      <c r="Q2540" s="47"/>
      <c r="R2540" s="47"/>
      <c r="S2540" s="47" t="s">
        <v>967</v>
      </c>
      <c r="T2540" s="47"/>
      <c r="U2540" s="47"/>
      <c r="V2540" s="47"/>
      <c r="W2540" s="47" t="s">
        <v>4001</v>
      </c>
      <c r="X2540" s="47"/>
      <c r="Y2540" s="47"/>
      <c r="Z2540" s="47">
        <v>4620</v>
      </c>
      <c r="AA2540" s="47" t="s">
        <v>4002</v>
      </c>
      <c r="AB2540" s="47"/>
      <c r="AC2540" s="47"/>
      <c r="AD2540" s="47" t="s">
        <v>1</v>
      </c>
      <c r="AE2540" s="47"/>
      <c r="AF2540" s="47"/>
      <c r="AG2540" s="47"/>
      <c r="AH2540" s="47" t="str">
        <f>IFERROR(_xlfn.XLOOKUP(Table6[[#This Row],[Suburb]],Table5[Travel Surcharge],Table5[$$]),"")</f>
        <v/>
      </c>
      <c r="AI2540" s="47"/>
      <c r="AJ2540" s="47"/>
    </row>
    <row r="2541" spans="1:36">
      <c r="A2541" s="374" t="s">
        <v>4003</v>
      </c>
      <c r="B2541" s="374">
        <v>1</v>
      </c>
      <c r="C2541" s="374" t="s">
        <v>1024</v>
      </c>
      <c r="D2541" s="375" t="str">
        <f t="shared" si="520"/>
        <v>M Estate1</v>
      </c>
      <c r="E2541" s="375" t="s">
        <v>4004</v>
      </c>
      <c r="F2541" s="375" t="s">
        <v>4005</v>
      </c>
      <c r="G2541" s="375"/>
      <c r="H2541" s="375" t="s">
        <v>4006</v>
      </c>
      <c r="I2541" s="63" t="s">
        <v>4007</v>
      </c>
      <c r="J2541" s="47">
        <f t="shared" si="521"/>
        <v>3740</v>
      </c>
      <c r="K2541" s="46" t="s">
        <v>7938</v>
      </c>
      <c r="L2541" s="47"/>
      <c r="M2541" s="47">
        <f>M$7</f>
        <v>1430.0000000000002</v>
      </c>
      <c r="N2541" s="47"/>
      <c r="O2541" s="47"/>
      <c r="P2541" s="47"/>
      <c r="Q2541" s="47">
        <f>Q$2</f>
        <v>0</v>
      </c>
      <c r="R2541" s="47"/>
      <c r="S2541" s="47"/>
      <c r="T2541" s="47"/>
      <c r="U2541" s="47"/>
      <c r="V2541" s="47"/>
      <c r="W2541" s="47"/>
      <c r="X2541" s="47"/>
      <c r="Y2541" s="47"/>
      <c r="Z2541" s="47">
        <f t="shared" ref="Z2541:Z2572" si="525">Z$7</f>
        <v>4620</v>
      </c>
      <c r="AA2541" s="47"/>
      <c r="AB2541" s="47"/>
      <c r="AC2541" s="47"/>
      <c r="AD2541" s="47"/>
      <c r="AE2541" s="47"/>
      <c r="AF2541" s="47">
        <f>AF$7</f>
        <v>1485</v>
      </c>
      <c r="AG2541" s="47"/>
      <c r="AH2541" s="47" t="str">
        <f>IFERROR(_xlfn.XLOOKUP(Table6[[#This Row],[Suburb]],Table5[Travel Surcharge],Table5[$$]),"")</f>
        <v/>
      </c>
      <c r="AI2541" s="47">
        <f>AI$7</f>
        <v>1650.0000000000002</v>
      </c>
      <c r="AJ2541" s="47"/>
    </row>
    <row r="2542" spans="1:36">
      <c r="A2542" s="374" t="s">
        <v>9409</v>
      </c>
      <c r="B2542" s="374">
        <v>1</v>
      </c>
      <c r="C2542" s="374" t="s">
        <v>9410</v>
      </c>
      <c r="D2542" s="375" t="str">
        <f t="shared" si="520"/>
        <v>Madison Hill1</v>
      </c>
      <c r="E2542" s="375" t="s">
        <v>9411</v>
      </c>
      <c r="F2542" s="375"/>
      <c r="G2542" s="375" t="s">
        <v>2110</v>
      </c>
      <c r="H2542" s="375" t="s">
        <v>2111</v>
      </c>
      <c r="I2542" s="63" t="s">
        <v>4167</v>
      </c>
      <c r="J2542" s="47"/>
      <c r="K2542" s="46" t="s">
        <v>10735</v>
      </c>
      <c r="L2542" s="47"/>
      <c r="M2542" s="47"/>
      <c r="N2542" s="47"/>
      <c r="O2542" s="47">
        <f>O$7</f>
        <v>4950</v>
      </c>
      <c r="P2542" s="47" t="s">
        <v>9412</v>
      </c>
      <c r="Q2542" s="47"/>
      <c r="R2542" s="47"/>
      <c r="S2542" s="47">
        <f>S$2</f>
        <v>590</v>
      </c>
      <c r="T2542" s="47"/>
      <c r="U2542" s="47"/>
      <c r="V2542" s="47"/>
      <c r="W2542" s="47"/>
      <c r="X2542" s="47"/>
      <c r="Y2542" s="47"/>
      <c r="Z2542" s="47">
        <f t="shared" si="525"/>
        <v>4620</v>
      </c>
      <c r="AA2542" s="47"/>
      <c r="AB2542" s="47"/>
      <c r="AC2542" s="47"/>
      <c r="AD2542" s="47"/>
      <c r="AE2542" s="47"/>
      <c r="AF2542" s="47"/>
      <c r="AG2542" s="47"/>
      <c r="AH2542" s="47" t="str">
        <f>IFERROR(_xlfn.XLOOKUP(Table6[[#This Row],[Suburb]],Table5[Travel Surcharge],Table5[$$]),"")</f>
        <v/>
      </c>
      <c r="AI2542" s="47"/>
      <c r="AJ2542" s="47"/>
    </row>
    <row r="2543" spans="1:36">
      <c r="A2543" s="374" t="s">
        <v>4008</v>
      </c>
      <c r="B2543" s="374">
        <v>4</v>
      </c>
      <c r="C2543" s="374" t="s">
        <v>2371</v>
      </c>
      <c r="D2543" s="375" t="str">
        <f t="shared" si="520"/>
        <v>Mail Run Estate4</v>
      </c>
      <c r="E2543" s="375" t="s">
        <v>4009</v>
      </c>
      <c r="F2543" s="375"/>
      <c r="G2543" s="375"/>
      <c r="H2543" s="375"/>
      <c r="I2543" s="63"/>
      <c r="J2543" s="47"/>
      <c r="K2543" s="46" t="s">
        <v>10735</v>
      </c>
      <c r="L2543" s="47">
        <f t="shared" ref="L2543:L2548" si="526">L$7</f>
        <v>1210</v>
      </c>
      <c r="M2543" s="47"/>
      <c r="N2543" s="47"/>
      <c r="O2543" s="47">
        <f>O$7</f>
        <v>4950</v>
      </c>
      <c r="P2543" s="47"/>
      <c r="Q2543" s="47">
        <f>Q$2</f>
        <v>0</v>
      </c>
      <c r="R2543" s="47"/>
      <c r="S2543" s="47"/>
      <c r="T2543" s="47"/>
      <c r="U2543" s="47"/>
      <c r="V2543" s="47" t="s">
        <v>4010</v>
      </c>
      <c r="W2543" s="47" t="s">
        <v>4011</v>
      </c>
      <c r="X2543" s="47"/>
      <c r="Y2543" s="47"/>
      <c r="Z2543" s="47">
        <f t="shared" si="525"/>
        <v>4620</v>
      </c>
      <c r="AA2543" s="47"/>
      <c r="AB2543" s="47"/>
      <c r="AC2543" s="47"/>
      <c r="AD2543" s="47"/>
      <c r="AE2543" s="47"/>
      <c r="AF2543" s="47"/>
      <c r="AG2543" s="47"/>
      <c r="AH2543" s="47">
        <f>IFERROR(_xlfn.XLOOKUP(Table6[[#This Row],[Suburb]],Table5[Travel Surcharge],Table5[$$]),"")</f>
        <v>4000</v>
      </c>
      <c r="AI2543" s="47"/>
      <c r="AJ2543" s="47"/>
    </row>
    <row r="2544" spans="1:36">
      <c r="A2544" s="374" t="s">
        <v>4008</v>
      </c>
      <c r="B2544" s="374">
        <v>7</v>
      </c>
      <c r="C2544" s="374" t="s">
        <v>2371</v>
      </c>
      <c r="D2544" s="375" t="str">
        <f t="shared" si="520"/>
        <v>Mail Run Estate7</v>
      </c>
      <c r="E2544" s="375" t="s">
        <v>4012</v>
      </c>
      <c r="F2544" s="375"/>
      <c r="G2544" s="375"/>
      <c r="H2544" s="375"/>
      <c r="I2544" s="63"/>
      <c r="J2544" s="47"/>
      <c r="K2544" s="46" t="s">
        <v>10735</v>
      </c>
      <c r="L2544" s="47">
        <f t="shared" si="526"/>
        <v>1210</v>
      </c>
      <c r="M2544" s="47"/>
      <c r="N2544" s="47"/>
      <c r="O2544" s="47">
        <f>O$7</f>
        <v>4950</v>
      </c>
      <c r="P2544" s="47"/>
      <c r="Q2544" s="47">
        <f>Q$2</f>
        <v>0</v>
      </c>
      <c r="R2544" s="47"/>
      <c r="S2544" s="47"/>
      <c r="T2544" s="47"/>
      <c r="U2544" s="47"/>
      <c r="V2544" s="47" t="s">
        <v>4010</v>
      </c>
      <c r="W2544" s="47" t="s">
        <v>4011</v>
      </c>
      <c r="X2544" s="47"/>
      <c r="Y2544" s="47"/>
      <c r="Z2544" s="47">
        <f t="shared" si="525"/>
        <v>4620</v>
      </c>
      <c r="AA2544" s="47"/>
      <c r="AB2544" s="47"/>
      <c r="AC2544" s="47"/>
      <c r="AD2544" s="47"/>
      <c r="AE2544" s="47"/>
      <c r="AF2544" s="47"/>
      <c r="AG2544" s="47"/>
      <c r="AH2544" s="47">
        <f>IFERROR(_xlfn.XLOOKUP(Table6[[#This Row],[Suburb]],Table5[Travel Surcharge],Table5[$$]),"")</f>
        <v>4000</v>
      </c>
      <c r="AI2544" s="47"/>
      <c r="AJ2544" s="47"/>
    </row>
    <row r="2545" spans="1:36">
      <c r="A2545" s="374" t="s">
        <v>4013</v>
      </c>
      <c r="B2545" s="374">
        <v>1</v>
      </c>
      <c r="C2545" s="374" t="s">
        <v>862</v>
      </c>
      <c r="D2545" s="375" t="str">
        <f t="shared" si="520"/>
        <v>Majesty1</v>
      </c>
      <c r="E2545" s="375" t="s">
        <v>4014</v>
      </c>
      <c r="F2545" s="375" t="s">
        <v>4015</v>
      </c>
      <c r="G2545" s="375" t="s">
        <v>494</v>
      </c>
      <c r="H2545" s="375" t="s">
        <v>1521</v>
      </c>
      <c r="I2545" s="63" t="s">
        <v>4016</v>
      </c>
      <c r="J2545" s="47"/>
      <c r="K2545" s="46" t="s">
        <v>10735</v>
      </c>
      <c r="L2545" s="47">
        <f t="shared" si="526"/>
        <v>1210</v>
      </c>
      <c r="M2545" s="47" t="s">
        <v>4017</v>
      </c>
      <c r="N2545" s="47" t="s">
        <v>4018</v>
      </c>
      <c r="O2545" s="47"/>
      <c r="P2545" s="47"/>
      <c r="Q2545" s="47"/>
      <c r="R2545" s="47">
        <f>R$2</f>
        <v>540</v>
      </c>
      <c r="S2545" s="47"/>
      <c r="T2545" s="47"/>
      <c r="U2545" s="47"/>
      <c r="V2545" s="47"/>
      <c r="W2545" s="47"/>
      <c r="X2545" s="47"/>
      <c r="Y2545" s="47"/>
      <c r="Z2545" s="47">
        <f t="shared" si="525"/>
        <v>4620</v>
      </c>
      <c r="AA2545" s="47" t="s">
        <v>4019</v>
      </c>
      <c r="AB2545" s="47" t="s">
        <v>4020</v>
      </c>
      <c r="AC2545" s="47"/>
      <c r="AD2545" s="47"/>
      <c r="AE2545" s="47"/>
      <c r="AF2545" s="47">
        <f>AF$7</f>
        <v>1485</v>
      </c>
      <c r="AG2545" s="47"/>
      <c r="AH2545" s="47" t="str">
        <f>IFERROR(_xlfn.XLOOKUP(Table6[[#This Row],[Suburb]],Table5[Travel Surcharge],Table5[$$]),"")</f>
        <v/>
      </c>
      <c r="AI2545" s="47">
        <f>AI$7</f>
        <v>1650.0000000000002</v>
      </c>
      <c r="AJ2545" s="47"/>
    </row>
    <row r="2546" spans="1:36">
      <c r="A2546" s="374" t="s">
        <v>4013</v>
      </c>
      <c r="B2546" s="374">
        <v>2</v>
      </c>
      <c r="C2546" s="374" t="s">
        <v>862</v>
      </c>
      <c r="D2546" s="375" t="str">
        <f t="shared" si="520"/>
        <v>Majesty2</v>
      </c>
      <c r="E2546" s="375" t="s">
        <v>4021</v>
      </c>
      <c r="F2546" s="375" t="s">
        <v>4015</v>
      </c>
      <c r="G2546" s="375" t="s">
        <v>494</v>
      </c>
      <c r="H2546" s="375" t="s">
        <v>4022</v>
      </c>
      <c r="I2546" s="63" t="s">
        <v>4016</v>
      </c>
      <c r="J2546" s="47"/>
      <c r="K2546" s="46" t="s">
        <v>10735</v>
      </c>
      <c r="L2546" s="47">
        <f t="shared" si="526"/>
        <v>1210</v>
      </c>
      <c r="M2546" s="47" t="s">
        <v>4017</v>
      </c>
      <c r="N2546" s="47" t="s">
        <v>4018</v>
      </c>
      <c r="O2546" s="47"/>
      <c r="P2546" s="47"/>
      <c r="Q2546" s="47"/>
      <c r="R2546" s="47">
        <f>R$2</f>
        <v>540</v>
      </c>
      <c r="S2546" s="47"/>
      <c r="T2546" s="47"/>
      <c r="U2546" s="47"/>
      <c r="V2546" s="47"/>
      <c r="W2546" s="47"/>
      <c r="X2546" s="47"/>
      <c r="Y2546" s="47"/>
      <c r="Z2546" s="47">
        <f t="shared" si="525"/>
        <v>4620</v>
      </c>
      <c r="AA2546" s="47" t="s">
        <v>4019</v>
      </c>
      <c r="AB2546" s="47" t="s">
        <v>4020</v>
      </c>
      <c r="AC2546" s="47"/>
      <c r="AD2546" s="47"/>
      <c r="AE2546" s="47"/>
      <c r="AF2546" s="47">
        <f>AF$7</f>
        <v>1485</v>
      </c>
      <c r="AG2546" s="47"/>
      <c r="AH2546" s="47" t="str">
        <f>IFERROR(_xlfn.XLOOKUP(Table6[[#This Row],[Suburb]],Table5[Travel Surcharge],Table5[$$]),"")</f>
        <v/>
      </c>
      <c r="AI2546" s="47">
        <f>AI$7</f>
        <v>1650.0000000000002</v>
      </c>
      <c r="AJ2546" s="47"/>
    </row>
    <row r="2547" spans="1:36">
      <c r="A2547" s="374" t="s">
        <v>4013</v>
      </c>
      <c r="B2547" s="374">
        <v>3</v>
      </c>
      <c r="C2547" s="374" t="s">
        <v>862</v>
      </c>
      <c r="D2547" s="375" t="str">
        <f t="shared" si="520"/>
        <v>Majesty3</v>
      </c>
      <c r="E2547" s="375" t="s">
        <v>4023</v>
      </c>
      <c r="F2547" s="375" t="s">
        <v>4015</v>
      </c>
      <c r="G2547" s="375" t="s">
        <v>494</v>
      </c>
      <c r="H2547" s="375" t="s">
        <v>4022</v>
      </c>
      <c r="I2547" s="63" t="s">
        <v>4016</v>
      </c>
      <c r="J2547" s="47"/>
      <c r="K2547" s="46" t="s">
        <v>10735</v>
      </c>
      <c r="L2547" s="47">
        <f t="shared" si="526"/>
        <v>1210</v>
      </c>
      <c r="M2547" s="47" t="s">
        <v>4017</v>
      </c>
      <c r="N2547" s="47" t="s">
        <v>4018</v>
      </c>
      <c r="O2547" s="47" t="s">
        <v>4024</v>
      </c>
      <c r="P2547" s="47"/>
      <c r="Q2547" s="47"/>
      <c r="R2547" s="47">
        <f>R$2</f>
        <v>540</v>
      </c>
      <c r="S2547" s="47"/>
      <c r="T2547" s="47"/>
      <c r="U2547" s="47"/>
      <c r="V2547" s="47"/>
      <c r="W2547" s="47"/>
      <c r="X2547" s="47"/>
      <c r="Y2547" s="47"/>
      <c r="Z2547" s="47">
        <f t="shared" si="525"/>
        <v>4620</v>
      </c>
      <c r="AA2547" s="47"/>
      <c r="AB2547" s="47"/>
      <c r="AC2547" s="47"/>
      <c r="AD2547" s="47"/>
      <c r="AE2547" s="47"/>
      <c r="AF2547" s="47">
        <f>AF$7</f>
        <v>1485</v>
      </c>
      <c r="AG2547" s="47"/>
      <c r="AH2547" s="47" t="str">
        <f>IFERROR(_xlfn.XLOOKUP(Table6[[#This Row],[Suburb]],Table5[Travel Surcharge],Table5[$$]),"")</f>
        <v/>
      </c>
      <c r="AI2547" s="47">
        <f>AI$7</f>
        <v>1650.0000000000002</v>
      </c>
      <c r="AJ2547" s="47"/>
    </row>
    <row r="2548" spans="1:36">
      <c r="A2548" s="374" t="s">
        <v>4013</v>
      </c>
      <c r="B2548" s="374">
        <v>4</v>
      </c>
      <c r="C2548" s="374" t="s">
        <v>862</v>
      </c>
      <c r="D2548" s="375" t="str">
        <f t="shared" si="520"/>
        <v>Majesty4</v>
      </c>
      <c r="E2548" s="375" t="s">
        <v>4025</v>
      </c>
      <c r="F2548" s="375" t="s">
        <v>4015</v>
      </c>
      <c r="G2548" s="375" t="s">
        <v>494</v>
      </c>
      <c r="H2548" s="375" t="s">
        <v>4022</v>
      </c>
      <c r="I2548" s="63" t="s">
        <v>4016</v>
      </c>
      <c r="J2548" s="47"/>
      <c r="K2548" s="46" t="s">
        <v>10735</v>
      </c>
      <c r="L2548" s="47">
        <f t="shared" si="526"/>
        <v>1210</v>
      </c>
      <c r="M2548" s="47" t="s">
        <v>4017</v>
      </c>
      <c r="N2548" s="47" t="s">
        <v>4018</v>
      </c>
      <c r="O2548" s="47" t="s">
        <v>4024</v>
      </c>
      <c r="P2548" s="47"/>
      <c r="Q2548" s="47"/>
      <c r="R2548" s="47">
        <f>R$2</f>
        <v>540</v>
      </c>
      <c r="S2548" s="47"/>
      <c r="T2548" s="47"/>
      <c r="U2548" s="47"/>
      <c r="V2548" s="47"/>
      <c r="W2548" s="47"/>
      <c r="X2548" s="47"/>
      <c r="Y2548" s="47"/>
      <c r="Z2548" s="47">
        <f t="shared" si="525"/>
        <v>4620</v>
      </c>
      <c r="AA2548" s="47"/>
      <c r="AB2548" s="47"/>
      <c r="AC2548" s="47"/>
      <c r="AD2548" s="47"/>
      <c r="AE2548" s="47"/>
      <c r="AF2548" s="47">
        <f>AF$7</f>
        <v>1485</v>
      </c>
      <c r="AG2548" s="47"/>
      <c r="AH2548" s="47" t="str">
        <f>IFERROR(_xlfn.XLOOKUP(Table6[[#This Row],[Suburb]],Table5[Travel Surcharge],Table5[$$]),"")</f>
        <v/>
      </c>
      <c r="AI2548" s="47">
        <f>AI$7</f>
        <v>1650.0000000000002</v>
      </c>
      <c r="AJ2548" s="47"/>
    </row>
    <row r="2549" spans="1:36">
      <c r="A2549" s="374" t="s">
        <v>4026</v>
      </c>
      <c r="B2549" s="374">
        <v>1</v>
      </c>
      <c r="C2549" s="374" t="s">
        <v>6881</v>
      </c>
      <c r="D2549" s="375" t="str">
        <f t="shared" si="520"/>
        <v>Mambourin Estate1</v>
      </c>
      <c r="E2549" s="375" t="s">
        <v>4027</v>
      </c>
      <c r="F2549" s="375" t="s">
        <v>4028</v>
      </c>
      <c r="G2549" s="375" t="s">
        <v>2780</v>
      </c>
      <c r="H2549" s="375" t="s">
        <v>2781</v>
      </c>
      <c r="I2549" s="63" t="s">
        <v>4029</v>
      </c>
      <c r="J2549" s="47">
        <f t="shared" ref="J2549:J2576" si="527">J$7</f>
        <v>3740</v>
      </c>
      <c r="K2549" s="46" t="s">
        <v>7938</v>
      </c>
      <c r="L2549" s="47"/>
      <c r="M2549" s="47">
        <v>1430.0000000000002</v>
      </c>
      <c r="N2549" s="47" t="s">
        <v>4030</v>
      </c>
      <c r="O2549" s="47"/>
      <c r="P2549" s="47"/>
      <c r="Q2549" s="47"/>
      <c r="R2549" s="47"/>
      <c r="S2549" s="47"/>
      <c r="T2549" s="47"/>
      <c r="U2549" s="47">
        <f t="shared" ref="U2549:U2572" si="528">U$2</f>
        <v>430</v>
      </c>
      <c r="V2549" s="47"/>
      <c r="W2549" s="47"/>
      <c r="X2549" s="47"/>
      <c r="Y2549" s="47"/>
      <c r="Z2549" s="47">
        <f t="shared" si="525"/>
        <v>4620</v>
      </c>
      <c r="AA2549" s="47"/>
      <c r="AB2549" s="47"/>
      <c r="AC2549" s="47"/>
      <c r="AD2549" s="47"/>
      <c r="AE2549" s="47"/>
      <c r="AF2549" s="47"/>
      <c r="AG2549" s="47"/>
      <c r="AH2549" s="47" t="str">
        <f>IFERROR(_xlfn.XLOOKUP(Table6[[#This Row],[Suburb]],Table5[Travel Surcharge],Table5[$$]),"")</f>
        <v/>
      </c>
      <c r="AI2549" s="47"/>
      <c r="AJ2549" s="47"/>
    </row>
    <row r="2550" spans="1:36">
      <c r="A2550" s="374" t="s">
        <v>4026</v>
      </c>
      <c r="B2550" s="374">
        <v>2</v>
      </c>
      <c r="C2550" s="374" t="s">
        <v>6881</v>
      </c>
      <c r="D2550" s="375" t="str">
        <f t="shared" si="520"/>
        <v>Mambourin Estate2</v>
      </c>
      <c r="E2550" s="375" t="s">
        <v>4027</v>
      </c>
      <c r="F2550" s="375" t="s">
        <v>4028</v>
      </c>
      <c r="G2550" s="375" t="s">
        <v>2780</v>
      </c>
      <c r="H2550" s="375" t="s">
        <v>2781</v>
      </c>
      <c r="I2550" s="63" t="s">
        <v>4029</v>
      </c>
      <c r="J2550" s="47">
        <f t="shared" si="527"/>
        <v>3740</v>
      </c>
      <c r="K2550" s="46" t="s">
        <v>7938</v>
      </c>
      <c r="L2550" s="47"/>
      <c r="M2550" s="47">
        <v>1430.0000000000002</v>
      </c>
      <c r="N2550" s="47" t="s">
        <v>4030</v>
      </c>
      <c r="O2550" s="47"/>
      <c r="P2550" s="47"/>
      <c r="Q2550" s="47"/>
      <c r="R2550" s="47"/>
      <c r="S2550" s="47"/>
      <c r="T2550" s="47"/>
      <c r="U2550" s="47">
        <f t="shared" si="528"/>
        <v>430</v>
      </c>
      <c r="V2550" s="47"/>
      <c r="W2550" s="47"/>
      <c r="X2550" s="47"/>
      <c r="Y2550" s="47"/>
      <c r="Z2550" s="47">
        <f t="shared" si="525"/>
        <v>4620</v>
      </c>
      <c r="AA2550" s="47"/>
      <c r="AB2550" s="47"/>
      <c r="AC2550" s="47"/>
      <c r="AD2550" s="47"/>
      <c r="AE2550" s="47"/>
      <c r="AF2550" s="47"/>
      <c r="AG2550" s="47"/>
      <c r="AH2550" s="47" t="str">
        <f>IFERROR(_xlfn.XLOOKUP(Table6[[#This Row],[Suburb]],Table5[Travel Surcharge],Table5[$$]),"")</f>
        <v/>
      </c>
      <c r="AI2550" s="47"/>
      <c r="AJ2550" s="47"/>
    </row>
    <row r="2551" spans="1:36">
      <c r="A2551" s="374" t="s">
        <v>4026</v>
      </c>
      <c r="B2551" s="374">
        <v>3</v>
      </c>
      <c r="C2551" s="374" t="s">
        <v>6881</v>
      </c>
      <c r="D2551" s="375" t="str">
        <f t="shared" si="520"/>
        <v>Mambourin Estate3</v>
      </c>
      <c r="E2551" s="375" t="s">
        <v>4031</v>
      </c>
      <c r="F2551" s="375" t="s">
        <v>4028</v>
      </c>
      <c r="G2551" s="375" t="s">
        <v>2780</v>
      </c>
      <c r="H2551" s="375" t="s">
        <v>2781</v>
      </c>
      <c r="I2551" s="63" t="s">
        <v>4029</v>
      </c>
      <c r="J2551" s="47">
        <f t="shared" si="527"/>
        <v>3740</v>
      </c>
      <c r="K2551" s="46" t="s">
        <v>7938</v>
      </c>
      <c r="L2551" s="47"/>
      <c r="M2551" s="47">
        <v>1430</v>
      </c>
      <c r="N2551" s="47" t="s">
        <v>4030</v>
      </c>
      <c r="O2551" s="47"/>
      <c r="P2551" s="47"/>
      <c r="Q2551" s="47"/>
      <c r="R2551" s="47"/>
      <c r="S2551" s="47"/>
      <c r="T2551" s="47"/>
      <c r="U2551" s="47">
        <f t="shared" si="528"/>
        <v>430</v>
      </c>
      <c r="V2551" s="47"/>
      <c r="W2551" s="47"/>
      <c r="X2551" s="47"/>
      <c r="Y2551" s="47"/>
      <c r="Z2551" s="47">
        <f t="shared" si="525"/>
        <v>4620</v>
      </c>
      <c r="AA2551" s="47"/>
      <c r="AB2551" s="47"/>
      <c r="AC2551" s="47"/>
      <c r="AD2551" s="47"/>
      <c r="AE2551" s="47"/>
      <c r="AF2551" s="47"/>
      <c r="AG2551" s="47"/>
      <c r="AH2551" s="47" t="str">
        <f>IFERROR(_xlfn.XLOOKUP(Table6[[#This Row],[Suburb]],Table5[Travel Surcharge],Table5[$$]),"")</f>
        <v/>
      </c>
      <c r="AI2551" s="47"/>
      <c r="AJ2551" s="47"/>
    </row>
    <row r="2552" spans="1:36">
      <c r="A2552" s="374" t="s">
        <v>4026</v>
      </c>
      <c r="B2552" s="374">
        <v>4</v>
      </c>
      <c r="C2552" s="374" t="s">
        <v>6881</v>
      </c>
      <c r="D2552" s="375" t="str">
        <f t="shared" si="520"/>
        <v>Mambourin Estate4</v>
      </c>
      <c r="E2552" s="375" t="s">
        <v>4032</v>
      </c>
      <c r="F2552" s="375" t="s">
        <v>4028</v>
      </c>
      <c r="G2552" s="375" t="s">
        <v>2780</v>
      </c>
      <c r="H2552" s="375" t="s">
        <v>2781</v>
      </c>
      <c r="I2552" s="63" t="s">
        <v>4029</v>
      </c>
      <c r="J2552" s="47">
        <f t="shared" si="527"/>
        <v>3740</v>
      </c>
      <c r="K2552" s="46" t="s">
        <v>7938</v>
      </c>
      <c r="L2552" s="47"/>
      <c r="M2552" s="47">
        <v>1430</v>
      </c>
      <c r="N2552" s="47" t="s">
        <v>4030</v>
      </c>
      <c r="O2552" s="47"/>
      <c r="P2552" s="47"/>
      <c r="Q2552" s="47"/>
      <c r="R2552" s="47"/>
      <c r="S2552" s="47"/>
      <c r="T2552" s="47"/>
      <c r="U2552" s="47">
        <f t="shared" si="528"/>
        <v>430</v>
      </c>
      <c r="V2552" s="47"/>
      <c r="W2552" s="47"/>
      <c r="X2552" s="47"/>
      <c r="Y2552" s="47"/>
      <c r="Z2552" s="47">
        <f t="shared" si="525"/>
        <v>4620</v>
      </c>
      <c r="AA2552" s="47"/>
      <c r="AB2552" s="47"/>
      <c r="AC2552" s="47"/>
      <c r="AD2552" s="47"/>
      <c r="AE2552" s="47"/>
      <c r="AF2552" s="47"/>
      <c r="AG2552" s="47"/>
      <c r="AH2552" s="47" t="str">
        <f>IFERROR(_xlfn.XLOOKUP(Table6[[#This Row],[Suburb]],Table5[Travel Surcharge],Table5[$$]),"")</f>
        <v/>
      </c>
      <c r="AI2552" s="47"/>
      <c r="AJ2552" s="47"/>
    </row>
    <row r="2553" spans="1:36">
      <c r="A2553" s="374" t="s">
        <v>4026</v>
      </c>
      <c r="B2553" s="374">
        <v>5</v>
      </c>
      <c r="C2553" s="374" t="s">
        <v>6881</v>
      </c>
      <c r="D2553" s="375" t="str">
        <f t="shared" si="520"/>
        <v>Mambourin Estate5</v>
      </c>
      <c r="E2553" s="375" t="s">
        <v>4033</v>
      </c>
      <c r="F2553" s="375" t="s">
        <v>4028</v>
      </c>
      <c r="G2553" s="375" t="s">
        <v>2780</v>
      </c>
      <c r="H2553" s="375" t="s">
        <v>2781</v>
      </c>
      <c r="I2553" s="63" t="s">
        <v>4029</v>
      </c>
      <c r="J2553" s="47">
        <f t="shared" si="527"/>
        <v>3740</v>
      </c>
      <c r="K2553" s="46" t="s">
        <v>7938</v>
      </c>
      <c r="L2553" s="47"/>
      <c r="M2553" s="47">
        <v>1430</v>
      </c>
      <c r="N2553" s="47" t="s">
        <v>4030</v>
      </c>
      <c r="O2553" s="47"/>
      <c r="P2553" s="47"/>
      <c r="Q2553" s="47"/>
      <c r="R2553" s="47"/>
      <c r="S2553" s="47"/>
      <c r="T2553" s="47"/>
      <c r="U2553" s="47">
        <f t="shared" si="528"/>
        <v>430</v>
      </c>
      <c r="V2553" s="47"/>
      <c r="W2553" s="47"/>
      <c r="X2553" s="47"/>
      <c r="Y2553" s="47"/>
      <c r="Z2553" s="47">
        <f t="shared" si="525"/>
        <v>4620</v>
      </c>
      <c r="AA2553" s="47"/>
      <c r="AB2553" s="47"/>
      <c r="AC2553" s="47"/>
      <c r="AD2553" s="47"/>
      <c r="AE2553" s="47"/>
      <c r="AF2553" s="47"/>
      <c r="AG2553" s="47"/>
      <c r="AH2553" s="47" t="str">
        <f>IFERROR(_xlfn.XLOOKUP(Table6[[#This Row],[Suburb]],Table5[Travel Surcharge],Table5[$$]),"")</f>
        <v/>
      </c>
      <c r="AI2553" s="47"/>
      <c r="AJ2553" s="47"/>
    </row>
    <row r="2554" spans="1:36">
      <c r="A2554" s="374" t="s">
        <v>4026</v>
      </c>
      <c r="B2554" s="374">
        <v>6</v>
      </c>
      <c r="C2554" s="374" t="s">
        <v>6881</v>
      </c>
      <c r="D2554" s="375" t="str">
        <f t="shared" si="520"/>
        <v>Mambourin Estate6</v>
      </c>
      <c r="E2554" s="375" t="s">
        <v>4034</v>
      </c>
      <c r="F2554" s="375" t="s">
        <v>4028</v>
      </c>
      <c r="G2554" s="375" t="s">
        <v>2780</v>
      </c>
      <c r="H2554" s="375" t="s">
        <v>2781</v>
      </c>
      <c r="I2554" s="63" t="s">
        <v>4029</v>
      </c>
      <c r="J2554" s="47">
        <f t="shared" si="527"/>
        <v>3740</v>
      </c>
      <c r="K2554" s="46" t="s">
        <v>7938</v>
      </c>
      <c r="L2554" s="47"/>
      <c r="M2554" s="47">
        <v>1430</v>
      </c>
      <c r="N2554" s="47" t="s">
        <v>4030</v>
      </c>
      <c r="O2554" s="47"/>
      <c r="P2554" s="47"/>
      <c r="Q2554" s="47"/>
      <c r="R2554" s="47"/>
      <c r="S2554" s="47"/>
      <c r="T2554" s="47"/>
      <c r="U2554" s="47">
        <f t="shared" si="528"/>
        <v>430</v>
      </c>
      <c r="V2554" s="47"/>
      <c r="W2554" s="47"/>
      <c r="X2554" s="47"/>
      <c r="Y2554" s="47"/>
      <c r="Z2554" s="47">
        <f t="shared" si="525"/>
        <v>4620</v>
      </c>
      <c r="AA2554" s="47"/>
      <c r="AB2554" s="47"/>
      <c r="AC2554" s="47"/>
      <c r="AD2554" s="47"/>
      <c r="AE2554" s="47"/>
      <c r="AF2554" s="47"/>
      <c r="AG2554" s="47"/>
      <c r="AH2554" s="47" t="str">
        <f>IFERROR(_xlfn.XLOOKUP(Table6[[#This Row],[Suburb]],Table5[Travel Surcharge],Table5[$$]),"")</f>
        <v/>
      </c>
      <c r="AI2554" s="47"/>
      <c r="AJ2554" s="47"/>
    </row>
    <row r="2555" spans="1:36">
      <c r="A2555" s="374" t="s">
        <v>4026</v>
      </c>
      <c r="B2555" s="374">
        <v>7</v>
      </c>
      <c r="C2555" s="374" t="s">
        <v>6881</v>
      </c>
      <c r="D2555" s="375" t="str">
        <f t="shared" si="520"/>
        <v>Mambourin Estate7</v>
      </c>
      <c r="E2555" s="375" t="s">
        <v>4035</v>
      </c>
      <c r="F2555" s="375" t="s">
        <v>4028</v>
      </c>
      <c r="G2555" s="375" t="s">
        <v>2780</v>
      </c>
      <c r="H2555" s="375" t="s">
        <v>2781</v>
      </c>
      <c r="I2555" s="63" t="s">
        <v>4029</v>
      </c>
      <c r="J2555" s="47">
        <f t="shared" si="527"/>
        <v>3740</v>
      </c>
      <c r="K2555" s="46" t="s">
        <v>7938</v>
      </c>
      <c r="L2555" s="47"/>
      <c r="M2555" s="47">
        <v>1430</v>
      </c>
      <c r="N2555" s="47" t="s">
        <v>4030</v>
      </c>
      <c r="O2555" s="47"/>
      <c r="P2555" s="47"/>
      <c r="Q2555" s="47"/>
      <c r="R2555" s="47"/>
      <c r="S2555" s="47"/>
      <c r="T2555" s="47"/>
      <c r="U2555" s="47">
        <f t="shared" si="528"/>
        <v>430</v>
      </c>
      <c r="V2555" s="47"/>
      <c r="W2555" s="47"/>
      <c r="X2555" s="47"/>
      <c r="Y2555" s="47"/>
      <c r="Z2555" s="47">
        <f t="shared" si="525"/>
        <v>4620</v>
      </c>
      <c r="AA2555" s="47"/>
      <c r="AB2555" s="47"/>
      <c r="AC2555" s="47"/>
      <c r="AD2555" s="47"/>
      <c r="AE2555" s="47"/>
      <c r="AF2555" s="47"/>
      <c r="AG2555" s="47"/>
      <c r="AH2555" s="47" t="str">
        <f>IFERROR(_xlfn.XLOOKUP(Table6[[#This Row],[Suburb]],Table5[Travel Surcharge],Table5[$$]),"")</f>
        <v/>
      </c>
      <c r="AI2555" s="47"/>
      <c r="AJ2555" s="47"/>
    </row>
    <row r="2556" spans="1:36">
      <c r="A2556" s="374" t="s">
        <v>4026</v>
      </c>
      <c r="B2556" s="374">
        <v>8</v>
      </c>
      <c r="C2556" s="374" t="s">
        <v>6881</v>
      </c>
      <c r="D2556" s="375" t="str">
        <f t="shared" si="520"/>
        <v>Mambourin Estate8</v>
      </c>
      <c r="E2556" s="375" t="s">
        <v>4036</v>
      </c>
      <c r="F2556" s="375" t="s">
        <v>4028</v>
      </c>
      <c r="G2556" s="375" t="s">
        <v>2780</v>
      </c>
      <c r="H2556" s="375" t="s">
        <v>2781</v>
      </c>
      <c r="I2556" s="63" t="s">
        <v>4029</v>
      </c>
      <c r="J2556" s="47">
        <f t="shared" si="527"/>
        <v>3740</v>
      </c>
      <c r="K2556" s="46" t="s">
        <v>7938</v>
      </c>
      <c r="L2556" s="47"/>
      <c r="M2556" s="47">
        <v>1430</v>
      </c>
      <c r="N2556" s="47" t="s">
        <v>4030</v>
      </c>
      <c r="O2556" s="47"/>
      <c r="P2556" s="47"/>
      <c r="Q2556" s="47"/>
      <c r="R2556" s="47"/>
      <c r="S2556" s="47"/>
      <c r="T2556" s="47"/>
      <c r="U2556" s="47">
        <f t="shared" si="528"/>
        <v>430</v>
      </c>
      <c r="V2556" s="47"/>
      <c r="W2556" s="47"/>
      <c r="X2556" s="47"/>
      <c r="Y2556" s="47"/>
      <c r="Z2556" s="47">
        <f t="shared" si="525"/>
        <v>4620</v>
      </c>
      <c r="AA2556" s="47"/>
      <c r="AB2556" s="47"/>
      <c r="AC2556" s="47"/>
      <c r="AD2556" s="47"/>
      <c r="AE2556" s="47"/>
      <c r="AF2556" s="47"/>
      <c r="AG2556" s="47"/>
      <c r="AH2556" s="47" t="str">
        <f>IFERROR(_xlfn.XLOOKUP(Table6[[#This Row],[Suburb]],Table5[Travel Surcharge],Table5[$$]),"")</f>
        <v/>
      </c>
      <c r="AI2556" s="47"/>
      <c r="AJ2556" s="47"/>
    </row>
    <row r="2557" spans="1:36">
      <c r="A2557" s="374" t="s">
        <v>4026</v>
      </c>
      <c r="B2557" s="374">
        <v>9</v>
      </c>
      <c r="C2557" s="374" t="s">
        <v>6881</v>
      </c>
      <c r="D2557" s="375" t="str">
        <f t="shared" si="520"/>
        <v>Mambourin Estate9</v>
      </c>
      <c r="E2557" s="375" t="s">
        <v>4037</v>
      </c>
      <c r="F2557" s="375" t="s">
        <v>4028</v>
      </c>
      <c r="G2557" s="375" t="s">
        <v>2780</v>
      </c>
      <c r="H2557" s="375" t="s">
        <v>2781</v>
      </c>
      <c r="I2557" s="63" t="s">
        <v>4029</v>
      </c>
      <c r="J2557" s="47">
        <f t="shared" si="527"/>
        <v>3740</v>
      </c>
      <c r="K2557" s="46" t="s">
        <v>7938</v>
      </c>
      <c r="L2557" s="47"/>
      <c r="M2557" s="47">
        <v>1430</v>
      </c>
      <c r="N2557" s="47" t="s">
        <v>4030</v>
      </c>
      <c r="O2557" s="47"/>
      <c r="P2557" s="47"/>
      <c r="Q2557" s="47"/>
      <c r="R2557" s="47"/>
      <c r="S2557" s="47"/>
      <c r="T2557" s="47"/>
      <c r="U2557" s="47">
        <f t="shared" si="528"/>
        <v>430</v>
      </c>
      <c r="V2557" s="47"/>
      <c r="W2557" s="47"/>
      <c r="X2557" s="47"/>
      <c r="Y2557" s="47"/>
      <c r="Z2557" s="47">
        <f t="shared" si="525"/>
        <v>4620</v>
      </c>
      <c r="AA2557" s="47"/>
      <c r="AB2557" s="47"/>
      <c r="AC2557" s="47"/>
      <c r="AD2557" s="47"/>
      <c r="AE2557" s="47"/>
      <c r="AF2557" s="47"/>
      <c r="AG2557" s="47"/>
      <c r="AH2557" s="47" t="str">
        <f>IFERROR(_xlfn.XLOOKUP(Table6[[#This Row],[Suburb]],Table5[Travel Surcharge],Table5[$$]),"")</f>
        <v/>
      </c>
      <c r="AI2557" s="47"/>
      <c r="AJ2557" s="47"/>
    </row>
    <row r="2558" spans="1:36">
      <c r="A2558" s="374" t="s">
        <v>4026</v>
      </c>
      <c r="B2558" s="374">
        <v>10</v>
      </c>
      <c r="C2558" s="374" t="s">
        <v>6881</v>
      </c>
      <c r="D2558" s="375" t="str">
        <f t="shared" ref="D2558:D2578" si="529">CONCATENATE(A2558,B2558)</f>
        <v>Mambourin Estate10</v>
      </c>
      <c r="E2558" s="375" t="s">
        <v>4038</v>
      </c>
      <c r="F2558" s="375" t="s">
        <v>4028</v>
      </c>
      <c r="G2558" s="375" t="s">
        <v>2780</v>
      </c>
      <c r="H2558" s="375" t="s">
        <v>2781</v>
      </c>
      <c r="I2558" s="63" t="s">
        <v>4029</v>
      </c>
      <c r="J2558" s="47">
        <f t="shared" si="527"/>
        <v>3740</v>
      </c>
      <c r="K2558" s="46" t="s">
        <v>7938</v>
      </c>
      <c r="L2558" s="47"/>
      <c r="M2558" s="47">
        <v>1430</v>
      </c>
      <c r="N2558" s="47" t="s">
        <v>4030</v>
      </c>
      <c r="O2558" s="47"/>
      <c r="P2558" s="47"/>
      <c r="Q2558" s="47"/>
      <c r="R2558" s="47"/>
      <c r="S2558" s="47"/>
      <c r="T2558" s="47"/>
      <c r="U2558" s="47">
        <f t="shared" si="528"/>
        <v>430</v>
      </c>
      <c r="V2558" s="47"/>
      <c r="W2558" s="47"/>
      <c r="X2558" s="47"/>
      <c r="Y2558" s="47"/>
      <c r="Z2558" s="47">
        <f t="shared" si="525"/>
        <v>4620</v>
      </c>
      <c r="AA2558" s="47"/>
      <c r="AB2558" s="47"/>
      <c r="AC2558" s="47"/>
      <c r="AD2558" s="47"/>
      <c r="AE2558" s="47"/>
      <c r="AF2558" s="47"/>
      <c r="AG2558" s="47"/>
      <c r="AH2558" s="47" t="str">
        <f>IFERROR(_xlfn.XLOOKUP(Table6[[#This Row],[Suburb]],Table5[Travel Surcharge],Table5[$$]),"")</f>
        <v/>
      </c>
      <c r="AI2558" s="47"/>
      <c r="AJ2558" s="47"/>
    </row>
    <row r="2559" spans="1:36">
      <c r="A2559" s="374" t="s">
        <v>4026</v>
      </c>
      <c r="B2559" s="374">
        <v>11</v>
      </c>
      <c r="C2559" s="374" t="s">
        <v>6881</v>
      </c>
      <c r="D2559" s="375" t="str">
        <f t="shared" si="529"/>
        <v>Mambourin Estate11</v>
      </c>
      <c r="E2559" s="375" t="s">
        <v>4039</v>
      </c>
      <c r="F2559" s="375" t="s">
        <v>4028</v>
      </c>
      <c r="G2559" s="375" t="s">
        <v>2780</v>
      </c>
      <c r="H2559" s="375" t="s">
        <v>2781</v>
      </c>
      <c r="I2559" s="63" t="s">
        <v>4029</v>
      </c>
      <c r="J2559" s="47">
        <f t="shared" si="527"/>
        <v>3740</v>
      </c>
      <c r="K2559" s="46" t="s">
        <v>7938</v>
      </c>
      <c r="L2559" s="47"/>
      <c r="M2559" s="47">
        <v>1430</v>
      </c>
      <c r="N2559" s="47" t="s">
        <v>4030</v>
      </c>
      <c r="O2559" s="47"/>
      <c r="P2559" s="47"/>
      <c r="Q2559" s="47"/>
      <c r="R2559" s="47"/>
      <c r="S2559" s="47"/>
      <c r="T2559" s="47"/>
      <c r="U2559" s="47">
        <f t="shared" si="528"/>
        <v>430</v>
      </c>
      <c r="V2559" s="47"/>
      <c r="W2559" s="47"/>
      <c r="X2559" s="47"/>
      <c r="Y2559" s="47"/>
      <c r="Z2559" s="47">
        <f t="shared" si="525"/>
        <v>4620</v>
      </c>
      <c r="AA2559" s="47"/>
      <c r="AB2559" s="47"/>
      <c r="AC2559" s="47"/>
      <c r="AD2559" s="47"/>
      <c r="AE2559" s="47"/>
      <c r="AF2559" s="47"/>
      <c r="AG2559" s="47"/>
      <c r="AH2559" s="47" t="str">
        <f>IFERROR(_xlfn.XLOOKUP(Table6[[#This Row],[Suburb]],Table5[Travel Surcharge],Table5[$$]),"")</f>
        <v/>
      </c>
      <c r="AI2559" s="47"/>
      <c r="AJ2559" s="47"/>
    </row>
    <row r="2560" spans="1:36">
      <c r="A2560" s="374" t="s">
        <v>4026</v>
      </c>
      <c r="B2560" s="374">
        <v>12</v>
      </c>
      <c r="C2560" s="374" t="s">
        <v>6881</v>
      </c>
      <c r="D2560" s="375" t="str">
        <f t="shared" si="529"/>
        <v>Mambourin Estate12</v>
      </c>
      <c r="E2560" s="375" t="s">
        <v>4040</v>
      </c>
      <c r="F2560" s="375" t="s">
        <v>4028</v>
      </c>
      <c r="G2560" s="375" t="s">
        <v>2780</v>
      </c>
      <c r="H2560" s="375" t="s">
        <v>2781</v>
      </c>
      <c r="I2560" s="63" t="s">
        <v>4029</v>
      </c>
      <c r="J2560" s="47">
        <f t="shared" si="527"/>
        <v>3740</v>
      </c>
      <c r="K2560" s="46" t="s">
        <v>7938</v>
      </c>
      <c r="L2560" s="47"/>
      <c r="M2560" s="47">
        <v>1430</v>
      </c>
      <c r="N2560" s="47" t="s">
        <v>4030</v>
      </c>
      <c r="O2560" s="47"/>
      <c r="P2560" s="47"/>
      <c r="Q2560" s="47"/>
      <c r="R2560" s="47"/>
      <c r="S2560" s="47"/>
      <c r="T2560" s="47"/>
      <c r="U2560" s="47">
        <f t="shared" si="528"/>
        <v>430</v>
      </c>
      <c r="V2560" s="47"/>
      <c r="W2560" s="47"/>
      <c r="X2560" s="47"/>
      <c r="Y2560" s="47"/>
      <c r="Z2560" s="47">
        <f t="shared" si="525"/>
        <v>4620</v>
      </c>
      <c r="AA2560" s="47"/>
      <c r="AB2560" s="47"/>
      <c r="AC2560" s="47"/>
      <c r="AD2560" s="47"/>
      <c r="AE2560" s="47"/>
      <c r="AF2560" s="47"/>
      <c r="AG2560" s="47"/>
      <c r="AH2560" s="47" t="str">
        <f>IFERROR(_xlfn.XLOOKUP(Table6[[#This Row],[Suburb]],Table5[Travel Surcharge],Table5[$$]),"")</f>
        <v/>
      </c>
      <c r="AI2560" s="47"/>
      <c r="AJ2560" s="47"/>
    </row>
    <row r="2561" spans="1:36">
      <c r="A2561" s="374" t="s">
        <v>4026</v>
      </c>
      <c r="B2561" s="374">
        <v>15</v>
      </c>
      <c r="C2561" s="374" t="s">
        <v>6881</v>
      </c>
      <c r="D2561" s="375" t="str">
        <f t="shared" si="529"/>
        <v>Mambourin Estate15</v>
      </c>
      <c r="E2561" s="375" t="s">
        <v>4041</v>
      </c>
      <c r="F2561" s="375" t="s">
        <v>4028</v>
      </c>
      <c r="G2561" s="375" t="s">
        <v>2780</v>
      </c>
      <c r="H2561" s="375" t="s">
        <v>2781</v>
      </c>
      <c r="I2561" s="63" t="s">
        <v>4029</v>
      </c>
      <c r="J2561" s="47">
        <f t="shared" si="527"/>
        <v>3740</v>
      </c>
      <c r="K2561" s="46" t="s">
        <v>7938</v>
      </c>
      <c r="L2561" s="47"/>
      <c r="M2561" s="47">
        <v>1430</v>
      </c>
      <c r="N2561" s="47" t="s">
        <v>4030</v>
      </c>
      <c r="O2561" s="47"/>
      <c r="P2561" s="47"/>
      <c r="Q2561" s="47"/>
      <c r="R2561" s="47"/>
      <c r="S2561" s="47"/>
      <c r="T2561" s="47"/>
      <c r="U2561" s="47">
        <f t="shared" si="528"/>
        <v>430</v>
      </c>
      <c r="V2561" s="47"/>
      <c r="W2561" s="47"/>
      <c r="X2561" s="47"/>
      <c r="Y2561" s="47"/>
      <c r="Z2561" s="47">
        <f t="shared" si="525"/>
        <v>4620</v>
      </c>
      <c r="AA2561" s="47"/>
      <c r="AB2561" s="47"/>
      <c r="AC2561" s="47"/>
      <c r="AD2561" s="47"/>
      <c r="AE2561" s="47"/>
      <c r="AF2561" s="47"/>
      <c r="AG2561" s="47"/>
      <c r="AH2561" s="47" t="str">
        <f>IFERROR(_xlfn.XLOOKUP(Table6[[#This Row],[Suburb]],Table5[Travel Surcharge],Table5[$$]),"")</f>
        <v/>
      </c>
      <c r="AI2561" s="47"/>
      <c r="AJ2561" s="47"/>
    </row>
    <row r="2562" spans="1:36">
      <c r="A2562" s="374" t="s">
        <v>4026</v>
      </c>
      <c r="B2562" s="374">
        <v>16</v>
      </c>
      <c r="C2562" s="374" t="s">
        <v>6881</v>
      </c>
      <c r="D2562" s="375" t="str">
        <f t="shared" si="529"/>
        <v>Mambourin Estate16</v>
      </c>
      <c r="E2562" s="375" t="s">
        <v>4042</v>
      </c>
      <c r="F2562" s="375" t="s">
        <v>4028</v>
      </c>
      <c r="G2562" s="375" t="s">
        <v>2780</v>
      </c>
      <c r="H2562" s="375" t="s">
        <v>2781</v>
      </c>
      <c r="I2562" s="63" t="s">
        <v>4029</v>
      </c>
      <c r="J2562" s="47">
        <f t="shared" si="527"/>
        <v>3740</v>
      </c>
      <c r="K2562" s="46" t="s">
        <v>7938</v>
      </c>
      <c r="L2562" s="47"/>
      <c r="M2562" s="47">
        <v>1430</v>
      </c>
      <c r="N2562" s="47" t="s">
        <v>4030</v>
      </c>
      <c r="O2562" s="47"/>
      <c r="P2562" s="47"/>
      <c r="Q2562" s="47"/>
      <c r="R2562" s="47"/>
      <c r="S2562" s="47"/>
      <c r="T2562" s="47"/>
      <c r="U2562" s="47">
        <f t="shared" si="528"/>
        <v>430</v>
      </c>
      <c r="V2562" s="47"/>
      <c r="W2562" s="47"/>
      <c r="X2562" s="47"/>
      <c r="Y2562" s="47"/>
      <c r="Z2562" s="47">
        <f t="shared" si="525"/>
        <v>4620</v>
      </c>
      <c r="AA2562" s="47"/>
      <c r="AB2562" s="47"/>
      <c r="AC2562" s="47"/>
      <c r="AD2562" s="47"/>
      <c r="AE2562" s="47"/>
      <c r="AF2562" s="47"/>
      <c r="AG2562" s="47"/>
      <c r="AH2562" s="47" t="str">
        <f>IFERROR(_xlfn.XLOOKUP(Table6[[#This Row],[Suburb]],Table5[Travel Surcharge],Table5[$$]),"")</f>
        <v/>
      </c>
      <c r="AI2562" s="47"/>
      <c r="AJ2562" s="47"/>
    </row>
    <row r="2563" spans="1:36">
      <c r="A2563" s="374" t="s">
        <v>4026</v>
      </c>
      <c r="B2563" s="374">
        <v>17</v>
      </c>
      <c r="C2563" s="374" t="s">
        <v>6881</v>
      </c>
      <c r="D2563" s="375" t="str">
        <f t="shared" si="529"/>
        <v>Mambourin Estate17</v>
      </c>
      <c r="E2563" s="375" t="s">
        <v>4043</v>
      </c>
      <c r="F2563" s="375" t="s">
        <v>4028</v>
      </c>
      <c r="G2563" s="375" t="s">
        <v>2780</v>
      </c>
      <c r="H2563" s="375" t="s">
        <v>2781</v>
      </c>
      <c r="I2563" s="63" t="s">
        <v>4029</v>
      </c>
      <c r="J2563" s="47">
        <f t="shared" si="527"/>
        <v>3740</v>
      </c>
      <c r="K2563" s="46" t="s">
        <v>7938</v>
      </c>
      <c r="L2563" s="47"/>
      <c r="M2563" s="47">
        <v>1430</v>
      </c>
      <c r="N2563" s="47" t="s">
        <v>4030</v>
      </c>
      <c r="O2563" s="47"/>
      <c r="P2563" s="47"/>
      <c r="Q2563" s="47"/>
      <c r="R2563" s="47"/>
      <c r="S2563" s="47"/>
      <c r="T2563" s="47"/>
      <c r="U2563" s="47">
        <f t="shared" si="528"/>
        <v>430</v>
      </c>
      <c r="V2563" s="47"/>
      <c r="W2563" s="47"/>
      <c r="X2563" s="47"/>
      <c r="Y2563" s="47"/>
      <c r="Z2563" s="47">
        <f t="shared" si="525"/>
        <v>4620</v>
      </c>
      <c r="AA2563" s="47"/>
      <c r="AB2563" s="47"/>
      <c r="AC2563" s="47"/>
      <c r="AD2563" s="47"/>
      <c r="AE2563" s="47"/>
      <c r="AF2563" s="47"/>
      <c r="AG2563" s="47"/>
      <c r="AH2563" s="47" t="str">
        <f>IFERROR(_xlfn.XLOOKUP(Table6[[#This Row],[Suburb]],Table5[Travel Surcharge],Table5[$$]),"")</f>
        <v/>
      </c>
      <c r="AI2563" s="47"/>
      <c r="AJ2563" s="47"/>
    </row>
    <row r="2564" spans="1:36">
      <c r="A2564" s="374" t="s">
        <v>4026</v>
      </c>
      <c r="B2564" s="374">
        <v>18</v>
      </c>
      <c r="C2564" s="374" t="s">
        <v>6881</v>
      </c>
      <c r="D2564" s="375" t="str">
        <f t="shared" si="529"/>
        <v>Mambourin Estate18</v>
      </c>
      <c r="E2564" s="375" t="s">
        <v>4044</v>
      </c>
      <c r="F2564" s="375" t="s">
        <v>4028</v>
      </c>
      <c r="G2564" s="375" t="s">
        <v>2780</v>
      </c>
      <c r="H2564" s="375" t="s">
        <v>2781</v>
      </c>
      <c r="I2564" s="63" t="s">
        <v>4029</v>
      </c>
      <c r="J2564" s="47">
        <f t="shared" si="527"/>
        <v>3740</v>
      </c>
      <c r="K2564" s="46" t="s">
        <v>7938</v>
      </c>
      <c r="L2564" s="47"/>
      <c r="M2564" s="47">
        <v>1430</v>
      </c>
      <c r="N2564" s="47" t="s">
        <v>4030</v>
      </c>
      <c r="O2564" s="47"/>
      <c r="P2564" s="47"/>
      <c r="Q2564" s="47"/>
      <c r="R2564" s="47"/>
      <c r="S2564" s="47"/>
      <c r="T2564" s="47"/>
      <c r="U2564" s="47">
        <f t="shared" si="528"/>
        <v>430</v>
      </c>
      <c r="V2564" s="47"/>
      <c r="W2564" s="47"/>
      <c r="X2564" s="47"/>
      <c r="Y2564" s="47"/>
      <c r="Z2564" s="47">
        <f t="shared" si="525"/>
        <v>4620</v>
      </c>
      <c r="AA2564" s="47"/>
      <c r="AB2564" s="47"/>
      <c r="AC2564" s="47"/>
      <c r="AD2564" s="47"/>
      <c r="AE2564" s="47"/>
      <c r="AF2564" s="47"/>
      <c r="AG2564" s="47"/>
      <c r="AH2564" s="47" t="str">
        <f>IFERROR(_xlfn.XLOOKUP(Table6[[#This Row],[Suburb]],Table5[Travel Surcharge],Table5[$$]),"")</f>
        <v/>
      </c>
      <c r="AI2564" s="47"/>
      <c r="AJ2564" s="47"/>
    </row>
    <row r="2565" spans="1:36">
      <c r="A2565" s="374" t="s">
        <v>4026</v>
      </c>
      <c r="B2565" s="374">
        <v>19</v>
      </c>
      <c r="C2565" s="374" t="s">
        <v>6881</v>
      </c>
      <c r="D2565" s="375" t="str">
        <f t="shared" si="529"/>
        <v>Mambourin Estate19</v>
      </c>
      <c r="E2565" s="375" t="s">
        <v>4045</v>
      </c>
      <c r="F2565" s="375" t="s">
        <v>4028</v>
      </c>
      <c r="G2565" s="375" t="s">
        <v>2780</v>
      </c>
      <c r="H2565" s="375" t="s">
        <v>2781</v>
      </c>
      <c r="I2565" s="63" t="s">
        <v>4029</v>
      </c>
      <c r="J2565" s="47">
        <f t="shared" si="527"/>
        <v>3740</v>
      </c>
      <c r="K2565" s="46" t="s">
        <v>7938</v>
      </c>
      <c r="L2565" s="47"/>
      <c r="M2565" s="47">
        <v>1430</v>
      </c>
      <c r="N2565" s="47" t="s">
        <v>4030</v>
      </c>
      <c r="O2565" s="47"/>
      <c r="P2565" s="47"/>
      <c r="Q2565" s="47"/>
      <c r="R2565" s="47"/>
      <c r="S2565" s="47"/>
      <c r="T2565" s="47"/>
      <c r="U2565" s="47">
        <f t="shared" si="528"/>
        <v>430</v>
      </c>
      <c r="V2565" s="47"/>
      <c r="W2565" s="47"/>
      <c r="X2565" s="47"/>
      <c r="Y2565" s="47"/>
      <c r="Z2565" s="47">
        <f t="shared" si="525"/>
        <v>4620</v>
      </c>
      <c r="AA2565" s="47"/>
      <c r="AB2565" s="47"/>
      <c r="AC2565" s="47"/>
      <c r="AD2565" s="47"/>
      <c r="AE2565" s="47"/>
      <c r="AF2565" s="47"/>
      <c r="AG2565" s="47"/>
      <c r="AH2565" s="47" t="str">
        <f>IFERROR(_xlfn.XLOOKUP(Table6[[#This Row],[Suburb]],Table5[Travel Surcharge],Table5[$$]),"")</f>
        <v/>
      </c>
      <c r="AI2565" s="47"/>
      <c r="AJ2565" s="47"/>
    </row>
    <row r="2566" spans="1:36">
      <c r="A2566" s="374" t="s">
        <v>4026</v>
      </c>
      <c r="B2566" s="374">
        <v>20</v>
      </c>
      <c r="C2566" s="374" t="s">
        <v>6881</v>
      </c>
      <c r="D2566" s="375" t="str">
        <f t="shared" si="529"/>
        <v>Mambourin Estate20</v>
      </c>
      <c r="E2566" s="375" t="s">
        <v>7658</v>
      </c>
      <c r="F2566" s="375" t="s">
        <v>4028</v>
      </c>
      <c r="G2566" s="375" t="s">
        <v>2780</v>
      </c>
      <c r="H2566" s="375" t="s">
        <v>2781</v>
      </c>
      <c r="I2566" s="63" t="s">
        <v>4029</v>
      </c>
      <c r="J2566" s="47">
        <f t="shared" si="527"/>
        <v>3740</v>
      </c>
      <c r="K2566" s="46" t="s">
        <v>7938</v>
      </c>
      <c r="L2566" s="47"/>
      <c r="M2566" s="47">
        <v>1430</v>
      </c>
      <c r="N2566" s="47" t="s">
        <v>4030</v>
      </c>
      <c r="O2566" s="47"/>
      <c r="P2566" s="47"/>
      <c r="Q2566" s="47"/>
      <c r="R2566" s="47"/>
      <c r="S2566" s="47"/>
      <c r="T2566" s="47"/>
      <c r="U2566" s="47">
        <f t="shared" si="528"/>
        <v>430</v>
      </c>
      <c r="V2566" s="47"/>
      <c r="W2566" s="47"/>
      <c r="X2566" s="47"/>
      <c r="Y2566" s="47"/>
      <c r="Z2566" s="47">
        <f t="shared" si="525"/>
        <v>4620</v>
      </c>
      <c r="AA2566" s="47"/>
      <c r="AB2566" s="47"/>
      <c r="AC2566" s="47"/>
      <c r="AD2566" s="47" t="s">
        <v>7659</v>
      </c>
      <c r="AE2566" s="47"/>
      <c r="AF2566" s="47"/>
      <c r="AG2566" s="47"/>
      <c r="AH2566" s="47" t="str">
        <f>IFERROR(_xlfn.XLOOKUP(Table6[[#This Row],[Suburb]],Table5[Travel Surcharge],Table5[$$]),"")</f>
        <v/>
      </c>
      <c r="AI2566" s="47"/>
      <c r="AJ2566" s="47"/>
    </row>
    <row r="2567" spans="1:36">
      <c r="A2567" s="157" t="s">
        <v>4026</v>
      </c>
      <c r="B2567" s="157">
        <v>21</v>
      </c>
      <c r="C2567" s="157" t="s">
        <v>6881</v>
      </c>
      <c r="D2567" s="157" t="str">
        <f t="shared" si="529"/>
        <v>Mambourin Estate21</v>
      </c>
      <c r="E2567" s="157" t="s">
        <v>8096</v>
      </c>
      <c r="F2567" s="157" t="s">
        <v>4028</v>
      </c>
      <c r="G2567" s="157" t="s">
        <v>2780</v>
      </c>
      <c r="H2567" s="157" t="s">
        <v>2781</v>
      </c>
      <c r="I2567" s="158" t="s">
        <v>4029</v>
      </c>
      <c r="J2567" s="47">
        <f t="shared" si="527"/>
        <v>3740</v>
      </c>
      <c r="K2567" s="46" t="s">
        <v>7938</v>
      </c>
      <c r="L2567" s="47"/>
      <c r="M2567" s="47">
        <v>1430</v>
      </c>
      <c r="N2567" s="47" t="s">
        <v>4030</v>
      </c>
      <c r="O2567" s="47"/>
      <c r="P2567" s="47"/>
      <c r="Q2567" s="47"/>
      <c r="R2567" s="47"/>
      <c r="S2567" s="47"/>
      <c r="T2567" s="47"/>
      <c r="U2567" s="47">
        <f t="shared" si="528"/>
        <v>430</v>
      </c>
      <c r="V2567" s="47"/>
      <c r="W2567" s="47"/>
      <c r="X2567" s="47"/>
      <c r="Y2567" s="47"/>
      <c r="Z2567" s="47">
        <f t="shared" si="525"/>
        <v>4620</v>
      </c>
      <c r="AA2567" s="47"/>
      <c r="AB2567" s="47"/>
      <c r="AC2567" s="47"/>
      <c r="AD2567" s="47" t="s">
        <v>7659</v>
      </c>
      <c r="AE2567" s="47"/>
      <c r="AF2567" s="47"/>
      <c r="AG2567" s="47"/>
      <c r="AH2567" s="47" t="str">
        <f>IFERROR(_xlfn.XLOOKUP(Table6[[#This Row],[Suburb]],Table5[Travel Surcharge],Table5[$$]),"")</f>
        <v/>
      </c>
      <c r="AI2567" s="47"/>
      <c r="AJ2567" s="47"/>
    </row>
    <row r="2568" spans="1:36">
      <c r="A2568" s="157" t="s">
        <v>4026</v>
      </c>
      <c r="B2568" s="157">
        <v>22</v>
      </c>
      <c r="C2568" s="157" t="s">
        <v>6881</v>
      </c>
      <c r="D2568" s="157" t="str">
        <f t="shared" si="529"/>
        <v>Mambourin Estate22</v>
      </c>
      <c r="E2568" s="157" t="s">
        <v>8030</v>
      </c>
      <c r="F2568" s="157" t="s">
        <v>4028</v>
      </c>
      <c r="G2568" s="157" t="s">
        <v>2780</v>
      </c>
      <c r="H2568" s="157" t="s">
        <v>2781</v>
      </c>
      <c r="I2568" s="158" t="s">
        <v>4029</v>
      </c>
      <c r="J2568" s="47">
        <f t="shared" si="527"/>
        <v>3740</v>
      </c>
      <c r="K2568" s="46" t="s">
        <v>7938</v>
      </c>
      <c r="L2568" s="47"/>
      <c r="M2568" s="47">
        <v>1430</v>
      </c>
      <c r="N2568" s="47" t="s">
        <v>4030</v>
      </c>
      <c r="O2568" s="47"/>
      <c r="P2568" s="47"/>
      <c r="Q2568" s="47"/>
      <c r="R2568" s="47"/>
      <c r="S2568" s="47"/>
      <c r="T2568" s="47"/>
      <c r="U2568" s="47">
        <f t="shared" si="528"/>
        <v>430</v>
      </c>
      <c r="V2568" s="47"/>
      <c r="W2568" s="47"/>
      <c r="X2568" s="47"/>
      <c r="Y2568" s="47"/>
      <c r="Z2568" s="47">
        <f t="shared" si="525"/>
        <v>4620</v>
      </c>
      <c r="AA2568" s="47"/>
      <c r="AB2568" s="47"/>
      <c r="AC2568" s="47"/>
      <c r="AD2568" s="47"/>
      <c r="AE2568" s="47"/>
      <c r="AF2568" s="47"/>
      <c r="AG2568" s="47"/>
      <c r="AH2568" s="47" t="str">
        <f>IFERROR(_xlfn.XLOOKUP(Table6[[#This Row],[Suburb]],Table5[Travel Surcharge],Table5[$$]),"")</f>
        <v/>
      </c>
      <c r="AI2568" s="47"/>
      <c r="AJ2568" s="47"/>
    </row>
    <row r="2569" spans="1:36">
      <c r="A2569" s="374" t="s">
        <v>4026</v>
      </c>
      <c r="B2569" s="374">
        <v>23</v>
      </c>
      <c r="C2569" s="374" t="s">
        <v>6881</v>
      </c>
      <c r="D2569" s="375" t="str">
        <f t="shared" si="529"/>
        <v>Mambourin Estate23</v>
      </c>
      <c r="E2569" s="375" t="s">
        <v>4046</v>
      </c>
      <c r="F2569" s="375" t="s">
        <v>4028</v>
      </c>
      <c r="G2569" s="375" t="s">
        <v>2780</v>
      </c>
      <c r="H2569" s="375" t="s">
        <v>2781</v>
      </c>
      <c r="I2569" s="63" t="s">
        <v>4029</v>
      </c>
      <c r="J2569" s="47">
        <f t="shared" si="527"/>
        <v>3740</v>
      </c>
      <c r="K2569" s="46" t="s">
        <v>7938</v>
      </c>
      <c r="L2569" s="47"/>
      <c r="M2569" s="47">
        <v>1430</v>
      </c>
      <c r="N2569" s="47" t="s">
        <v>4030</v>
      </c>
      <c r="O2569" s="47"/>
      <c r="P2569" s="47"/>
      <c r="Q2569" s="47"/>
      <c r="R2569" s="47"/>
      <c r="S2569" s="47"/>
      <c r="T2569" s="47"/>
      <c r="U2569" s="47">
        <f t="shared" si="528"/>
        <v>430</v>
      </c>
      <c r="V2569" s="47"/>
      <c r="W2569" s="47"/>
      <c r="X2569" s="47"/>
      <c r="Y2569" s="47"/>
      <c r="Z2569" s="47">
        <f t="shared" si="525"/>
        <v>4620</v>
      </c>
      <c r="AA2569" s="47"/>
      <c r="AB2569" s="47"/>
      <c r="AC2569" s="47"/>
      <c r="AD2569" s="47"/>
      <c r="AE2569" s="47"/>
      <c r="AF2569" s="47"/>
      <c r="AG2569" s="47"/>
      <c r="AH2569" s="47" t="str">
        <f>IFERROR(_xlfn.XLOOKUP(Table6[[#This Row],[Suburb]],Table5[Travel Surcharge],Table5[$$]),"")</f>
        <v/>
      </c>
      <c r="AI2569" s="47"/>
      <c r="AJ2569" s="47"/>
    </row>
    <row r="2570" spans="1:36">
      <c r="A2570" s="374" t="s">
        <v>4026</v>
      </c>
      <c r="B2570" s="374">
        <v>27</v>
      </c>
      <c r="C2570" s="374" t="s">
        <v>6881</v>
      </c>
      <c r="D2570" s="375" t="str">
        <f t="shared" si="529"/>
        <v>Mambourin Estate27</v>
      </c>
      <c r="E2570" s="375" t="s">
        <v>6909</v>
      </c>
      <c r="F2570" s="375" t="s">
        <v>4028</v>
      </c>
      <c r="G2570" s="375" t="s">
        <v>2780</v>
      </c>
      <c r="H2570" s="375" t="s">
        <v>2781</v>
      </c>
      <c r="I2570" s="63" t="s">
        <v>4029</v>
      </c>
      <c r="J2570" s="47">
        <f t="shared" si="527"/>
        <v>3740</v>
      </c>
      <c r="K2570" s="46" t="s">
        <v>7938</v>
      </c>
      <c r="L2570" s="47"/>
      <c r="M2570" s="47">
        <v>1430</v>
      </c>
      <c r="N2570" s="47" t="s">
        <v>4030</v>
      </c>
      <c r="O2570" s="47"/>
      <c r="P2570" s="47"/>
      <c r="Q2570" s="47"/>
      <c r="R2570" s="47"/>
      <c r="S2570" s="47"/>
      <c r="T2570" s="47"/>
      <c r="U2570" s="47">
        <f t="shared" si="528"/>
        <v>430</v>
      </c>
      <c r="V2570" s="47"/>
      <c r="W2570" s="47"/>
      <c r="X2570" s="47"/>
      <c r="Y2570" s="47"/>
      <c r="Z2570" s="47">
        <f t="shared" si="525"/>
        <v>4620</v>
      </c>
      <c r="AA2570" s="47"/>
      <c r="AB2570" s="47"/>
      <c r="AC2570" s="47"/>
      <c r="AD2570" s="47"/>
      <c r="AE2570" s="47"/>
      <c r="AF2570" s="47"/>
      <c r="AG2570" s="47"/>
      <c r="AH2570" s="47" t="str">
        <f>IFERROR(_xlfn.XLOOKUP(Table6[[#This Row],[Suburb]],Table5[Travel Surcharge],Table5[$$]),"")</f>
        <v/>
      </c>
      <c r="AI2570" s="47"/>
      <c r="AJ2570" s="47"/>
    </row>
    <row r="2571" spans="1:36">
      <c r="A2571" s="374" t="s">
        <v>4026</v>
      </c>
      <c r="B2571" s="276" t="s">
        <v>6557</v>
      </c>
      <c r="C2571" s="374" t="s">
        <v>6881</v>
      </c>
      <c r="D2571" s="375" t="str">
        <f t="shared" si="529"/>
        <v>Mambourin Estate34B</v>
      </c>
      <c r="E2571" s="375" t="s">
        <v>10836</v>
      </c>
      <c r="F2571" s="375" t="s">
        <v>4028</v>
      </c>
      <c r="G2571" s="375" t="s">
        <v>2780</v>
      </c>
      <c r="H2571" s="375" t="s">
        <v>2781</v>
      </c>
      <c r="I2571" s="63" t="s">
        <v>4029</v>
      </c>
      <c r="J2571" s="47">
        <v>3740</v>
      </c>
      <c r="K2571" s="46" t="s">
        <v>7938</v>
      </c>
      <c r="L2571" s="47"/>
      <c r="M2571" s="47">
        <v>1430</v>
      </c>
      <c r="N2571" s="47" t="s">
        <v>4030</v>
      </c>
      <c r="O2571" s="47"/>
      <c r="P2571" s="47"/>
      <c r="Q2571" s="47"/>
      <c r="R2571" s="47"/>
      <c r="S2571" s="47"/>
      <c r="T2571" s="47"/>
      <c r="U2571" s="47">
        <v>430</v>
      </c>
      <c r="V2571" s="47"/>
      <c r="W2571" s="47"/>
      <c r="X2571" s="47"/>
      <c r="Y2571" s="47"/>
      <c r="Z2571" s="47">
        <v>4620</v>
      </c>
      <c r="AA2571" s="47"/>
      <c r="AB2571" s="47"/>
      <c r="AC2571" s="47"/>
      <c r="AD2571" s="47"/>
      <c r="AE2571" s="47"/>
      <c r="AF2571" s="47"/>
      <c r="AG2571" s="47"/>
      <c r="AH2571" s="47" t="s">
        <v>9976</v>
      </c>
      <c r="AI2571" s="47"/>
      <c r="AJ2571" s="47"/>
    </row>
    <row r="2572" spans="1:36">
      <c r="A2572" s="157" t="s">
        <v>4026</v>
      </c>
      <c r="B2572" s="157">
        <v>41</v>
      </c>
      <c r="C2572" s="157" t="s">
        <v>6881</v>
      </c>
      <c r="D2572" s="157" t="str">
        <f t="shared" si="529"/>
        <v>Mambourin Estate41</v>
      </c>
      <c r="E2572" s="157" t="s">
        <v>9493</v>
      </c>
      <c r="F2572" s="157" t="s">
        <v>4028</v>
      </c>
      <c r="G2572" s="157" t="s">
        <v>2780</v>
      </c>
      <c r="H2572" s="157" t="s">
        <v>2781</v>
      </c>
      <c r="I2572" s="158" t="s">
        <v>4029</v>
      </c>
      <c r="J2572" s="47">
        <f t="shared" si="527"/>
        <v>3740</v>
      </c>
      <c r="K2572" s="46" t="s">
        <v>7938</v>
      </c>
      <c r="L2572" s="47"/>
      <c r="M2572" s="47">
        <v>1430</v>
      </c>
      <c r="N2572" s="47" t="s">
        <v>4030</v>
      </c>
      <c r="O2572" s="47"/>
      <c r="P2572" s="47"/>
      <c r="Q2572" s="47"/>
      <c r="R2572" s="47"/>
      <c r="S2572" s="47"/>
      <c r="T2572" s="47"/>
      <c r="U2572" s="47">
        <f t="shared" si="528"/>
        <v>430</v>
      </c>
      <c r="V2572" s="47"/>
      <c r="W2572" s="47"/>
      <c r="X2572" s="47"/>
      <c r="Y2572" s="47"/>
      <c r="Z2572" s="47">
        <f t="shared" si="525"/>
        <v>4620</v>
      </c>
      <c r="AA2572" s="47"/>
      <c r="AB2572" s="47"/>
      <c r="AC2572" s="47"/>
      <c r="AD2572" s="47"/>
      <c r="AE2572" s="47"/>
      <c r="AF2572" s="47"/>
      <c r="AG2572" s="47"/>
      <c r="AH2572" s="47" t="str">
        <f>IFERROR(_xlfn.XLOOKUP(Table6[[#This Row],[Suburb]],Table5[Travel Surcharge],Table5[$$]),"")</f>
        <v/>
      </c>
      <c r="AI2572" s="47"/>
      <c r="AJ2572" s="47"/>
    </row>
    <row r="2573" spans="1:36">
      <c r="A2573" s="374" t="s">
        <v>9442</v>
      </c>
      <c r="B2573" s="374">
        <v>1</v>
      </c>
      <c r="C2573" s="374" t="s">
        <v>6881</v>
      </c>
      <c r="D2573" s="375" t="str">
        <f t="shared" si="529"/>
        <v>Mambourin Green1</v>
      </c>
      <c r="E2573" s="375" t="s">
        <v>9443</v>
      </c>
      <c r="F2573" s="375" t="s">
        <v>4028</v>
      </c>
      <c r="G2573" s="375" t="s">
        <v>9444</v>
      </c>
      <c r="H2573" s="375" t="s">
        <v>9445</v>
      </c>
      <c r="I2573" s="63" t="s">
        <v>9446</v>
      </c>
      <c r="J2573" s="47">
        <f t="shared" si="527"/>
        <v>3740</v>
      </c>
      <c r="K2573" s="46" t="s">
        <v>7938</v>
      </c>
      <c r="L2573" s="47">
        <f>L$7</f>
        <v>1210</v>
      </c>
      <c r="M2573" s="47"/>
      <c r="N2573" s="47"/>
      <c r="O2573" s="47"/>
      <c r="P2573" s="47"/>
      <c r="Q2573" s="47"/>
      <c r="R2573" s="47"/>
      <c r="S2573" s="47"/>
      <c r="T2573" s="47"/>
      <c r="U2573" s="47"/>
      <c r="V2573" s="47"/>
      <c r="W2573" s="47"/>
      <c r="X2573" s="47"/>
      <c r="Y2573" s="47"/>
      <c r="Z2573" s="47">
        <v>4620</v>
      </c>
      <c r="AA2573" s="47"/>
      <c r="AB2573" s="47"/>
      <c r="AC2573" s="47"/>
      <c r="AD2573" s="47"/>
      <c r="AE2573" s="47"/>
      <c r="AF2573" s="47">
        <f>AF$7</f>
        <v>1485</v>
      </c>
      <c r="AG2573" s="47"/>
      <c r="AH2573" s="47" t="str">
        <f>IFERROR(_xlfn.XLOOKUP(Table6[[#This Row],[Suburb]],Table5[Travel Surcharge],Table5[$$]),"")</f>
        <v/>
      </c>
      <c r="AI2573" s="47"/>
      <c r="AJ2573" s="47"/>
    </row>
    <row r="2574" spans="1:36">
      <c r="A2574" s="374" t="s">
        <v>9442</v>
      </c>
      <c r="B2574" s="374">
        <v>2</v>
      </c>
      <c r="C2574" s="374" t="s">
        <v>6881</v>
      </c>
      <c r="D2574" s="375" t="str">
        <f t="shared" si="529"/>
        <v>Mambourin Green2</v>
      </c>
      <c r="E2574" s="375" t="s">
        <v>9447</v>
      </c>
      <c r="F2574" s="375" t="s">
        <v>4028</v>
      </c>
      <c r="G2574" s="375" t="s">
        <v>9444</v>
      </c>
      <c r="H2574" s="375" t="s">
        <v>9445</v>
      </c>
      <c r="I2574" s="63" t="s">
        <v>9446</v>
      </c>
      <c r="J2574" s="47">
        <f t="shared" si="527"/>
        <v>3740</v>
      </c>
      <c r="K2574" s="46" t="s">
        <v>7938</v>
      </c>
      <c r="L2574" s="47">
        <f>L$7</f>
        <v>1210</v>
      </c>
      <c r="M2574" s="47"/>
      <c r="N2574" s="47"/>
      <c r="O2574" s="47"/>
      <c r="P2574" s="47"/>
      <c r="Q2574" s="47"/>
      <c r="R2574" s="47"/>
      <c r="S2574" s="47"/>
      <c r="T2574" s="47"/>
      <c r="U2574" s="47">
        <v>540</v>
      </c>
      <c r="V2574" s="47"/>
      <c r="W2574" s="47"/>
      <c r="X2574" s="47"/>
      <c r="Y2574" s="47"/>
      <c r="Z2574" s="47">
        <v>4620</v>
      </c>
      <c r="AA2574" s="47"/>
      <c r="AB2574" s="47"/>
      <c r="AC2574" s="47"/>
      <c r="AD2574" s="47"/>
      <c r="AE2574" s="47"/>
      <c r="AF2574" s="47">
        <f>AF$7</f>
        <v>1485</v>
      </c>
      <c r="AG2574" s="47"/>
      <c r="AH2574" s="47" t="str">
        <f>IFERROR(_xlfn.XLOOKUP(Table6[[#This Row],[Suburb]],Table5[Travel Surcharge],Table5[$$]),"")</f>
        <v/>
      </c>
      <c r="AI2574" s="47"/>
      <c r="AJ2574" s="47"/>
    </row>
    <row r="2575" spans="1:36">
      <c r="A2575" s="374" t="s">
        <v>9442</v>
      </c>
      <c r="B2575" s="374">
        <v>3</v>
      </c>
      <c r="C2575" s="374" t="s">
        <v>6881</v>
      </c>
      <c r="D2575" s="375" t="str">
        <f t="shared" si="529"/>
        <v>Mambourin Green3</v>
      </c>
      <c r="E2575" s="375" t="s">
        <v>9475</v>
      </c>
      <c r="F2575" s="375" t="s">
        <v>4028</v>
      </c>
      <c r="G2575" s="375" t="s">
        <v>9444</v>
      </c>
      <c r="H2575" s="375" t="s">
        <v>9445</v>
      </c>
      <c r="I2575" s="63" t="s">
        <v>9446</v>
      </c>
      <c r="J2575" s="47">
        <f t="shared" si="527"/>
        <v>3740</v>
      </c>
      <c r="K2575" s="46" t="s">
        <v>7938</v>
      </c>
      <c r="L2575" s="47">
        <f>L$7</f>
        <v>1210</v>
      </c>
      <c r="M2575" s="47"/>
      <c r="N2575" s="47"/>
      <c r="O2575" s="47"/>
      <c r="P2575" s="47"/>
      <c r="Q2575" s="47"/>
      <c r="R2575" s="47"/>
      <c r="S2575" s="47"/>
      <c r="T2575" s="47"/>
      <c r="U2575" s="47">
        <v>540</v>
      </c>
      <c r="V2575" s="47"/>
      <c r="W2575" s="47"/>
      <c r="X2575" s="47"/>
      <c r="Y2575" s="47"/>
      <c r="Z2575" s="47">
        <v>4620</v>
      </c>
      <c r="AA2575" s="47"/>
      <c r="AB2575" s="47"/>
      <c r="AC2575" s="47"/>
      <c r="AD2575" s="47"/>
      <c r="AE2575" s="47"/>
      <c r="AF2575" s="47">
        <f>AF$7</f>
        <v>1485</v>
      </c>
      <c r="AG2575" s="47"/>
      <c r="AH2575" s="47" t="str">
        <f>IFERROR(_xlfn.XLOOKUP(Table6[[#This Row],[Suburb]],Table5[Travel Surcharge],Table5[$$]),"")</f>
        <v/>
      </c>
      <c r="AI2575" s="47"/>
      <c r="AJ2575" s="47"/>
    </row>
    <row r="2576" spans="1:36">
      <c r="A2576" s="374" t="s">
        <v>9442</v>
      </c>
      <c r="B2576" s="374">
        <v>4</v>
      </c>
      <c r="C2576" s="374" t="s">
        <v>6881</v>
      </c>
      <c r="D2576" s="375" t="str">
        <f t="shared" si="529"/>
        <v>Mambourin Green4</v>
      </c>
      <c r="E2576" s="375" t="s">
        <v>9798</v>
      </c>
      <c r="F2576" s="375" t="s">
        <v>4028</v>
      </c>
      <c r="G2576" s="375" t="s">
        <v>9444</v>
      </c>
      <c r="H2576" s="375" t="s">
        <v>9445</v>
      </c>
      <c r="I2576" s="63" t="s">
        <v>9446</v>
      </c>
      <c r="J2576" s="47">
        <f t="shared" si="527"/>
        <v>3740</v>
      </c>
      <c r="K2576" s="46" t="s">
        <v>7938</v>
      </c>
      <c r="L2576" s="47">
        <f>L$7</f>
        <v>1210</v>
      </c>
      <c r="M2576" s="47"/>
      <c r="N2576" s="47"/>
      <c r="O2576" s="47"/>
      <c r="P2576" s="47"/>
      <c r="Q2576" s="47"/>
      <c r="R2576" s="47"/>
      <c r="S2576" s="47"/>
      <c r="T2576" s="47"/>
      <c r="U2576" s="47">
        <v>540</v>
      </c>
      <c r="V2576" s="47"/>
      <c r="W2576" s="47"/>
      <c r="X2576" s="47"/>
      <c r="Y2576" s="47"/>
      <c r="Z2576" s="47">
        <v>4620</v>
      </c>
      <c r="AA2576" s="47"/>
      <c r="AB2576" s="47"/>
      <c r="AC2576" s="47"/>
      <c r="AD2576" s="47"/>
      <c r="AE2576" s="47"/>
      <c r="AF2576" s="47">
        <f>AF$7</f>
        <v>1485</v>
      </c>
      <c r="AG2576" s="47"/>
      <c r="AH2576" s="47" t="str">
        <f>IFERROR(_xlfn.XLOOKUP(Table6[[#This Row],[Suburb]],Table5[Travel Surcharge],Table5[$$]),"")</f>
        <v/>
      </c>
      <c r="AI2576" s="47"/>
      <c r="AJ2576" s="47"/>
    </row>
    <row r="2577" spans="1:36">
      <c r="A2577" s="374" t="s">
        <v>9442</v>
      </c>
      <c r="B2577" s="374">
        <v>5</v>
      </c>
      <c r="C2577" s="374" t="s">
        <v>6881</v>
      </c>
      <c r="D2577" s="375" t="str">
        <f t="shared" si="529"/>
        <v>Mambourin Green5</v>
      </c>
      <c r="E2577" s="375" t="s">
        <v>10225</v>
      </c>
      <c r="F2577" s="375" t="s">
        <v>4028</v>
      </c>
      <c r="G2577" s="375" t="s">
        <v>9444</v>
      </c>
      <c r="H2577" s="375" t="s">
        <v>9445</v>
      </c>
      <c r="I2577" s="63" t="s">
        <v>9446</v>
      </c>
      <c r="J2577" s="47">
        <v>3740</v>
      </c>
      <c r="K2577" s="46" t="s">
        <v>7938</v>
      </c>
      <c r="L2577" s="47">
        <v>1210</v>
      </c>
      <c r="M2577" s="47"/>
      <c r="N2577" s="47"/>
      <c r="O2577" s="47"/>
      <c r="P2577" s="47"/>
      <c r="Q2577" s="47"/>
      <c r="R2577" s="47"/>
      <c r="S2577" s="47"/>
      <c r="T2577" s="47"/>
      <c r="U2577" s="47">
        <v>540</v>
      </c>
      <c r="V2577" s="47"/>
      <c r="W2577" s="47"/>
      <c r="X2577" s="47"/>
      <c r="Y2577" s="47"/>
      <c r="Z2577" s="47">
        <v>4620</v>
      </c>
      <c r="AA2577" s="47"/>
      <c r="AB2577" s="47"/>
      <c r="AC2577" s="47"/>
      <c r="AD2577" s="47"/>
      <c r="AE2577" s="47"/>
      <c r="AF2577" s="47">
        <v>1485</v>
      </c>
      <c r="AG2577" s="47"/>
      <c r="AH2577" s="47" t="s">
        <v>9976</v>
      </c>
      <c r="AI2577" s="47"/>
      <c r="AJ2577" s="47"/>
    </row>
    <row r="2578" spans="1:36">
      <c r="A2578" s="374" t="s">
        <v>9442</v>
      </c>
      <c r="B2578" s="374">
        <v>6</v>
      </c>
      <c r="C2578" s="374" t="s">
        <v>6881</v>
      </c>
      <c r="D2578" s="375" t="str">
        <f t="shared" si="529"/>
        <v>Mambourin Green6</v>
      </c>
      <c r="E2578" s="375" t="s">
        <v>10226</v>
      </c>
      <c r="F2578" s="375" t="s">
        <v>4028</v>
      </c>
      <c r="G2578" s="375" t="s">
        <v>9444</v>
      </c>
      <c r="H2578" s="375" t="s">
        <v>9445</v>
      </c>
      <c r="I2578" s="63" t="s">
        <v>9446</v>
      </c>
      <c r="J2578" s="47">
        <v>3740</v>
      </c>
      <c r="K2578" s="46" t="s">
        <v>7938</v>
      </c>
      <c r="L2578" s="47">
        <v>1210</v>
      </c>
      <c r="M2578" s="47"/>
      <c r="N2578" s="47"/>
      <c r="O2578" s="47"/>
      <c r="P2578" s="47"/>
      <c r="Q2578" s="47"/>
      <c r="R2578" s="47"/>
      <c r="S2578" s="47"/>
      <c r="T2578" s="47"/>
      <c r="U2578" s="47">
        <v>540</v>
      </c>
      <c r="V2578" s="47"/>
      <c r="W2578" s="47"/>
      <c r="X2578" s="47"/>
      <c r="Y2578" s="47"/>
      <c r="Z2578" s="47">
        <v>4620</v>
      </c>
      <c r="AA2578" s="47"/>
      <c r="AB2578" s="47"/>
      <c r="AC2578" s="47"/>
      <c r="AD2578" s="47"/>
      <c r="AE2578" s="47"/>
      <c r="AF2578" s="47">
        <v>1485</v>
      </c>
      <c r="AG2578" s="47"/>
      <c r="AH2578" s="47" t="s">
        <v>9976</v>
      </c>
      <c r="AI2578" s="47"/>
      <c r="AJ2578" s="47"/>
    </row>
    <row r="2579" spans="1:36">
      <c r="A2579" s="374" t="s">
        <v>4047</v>
      </c>
      <c r="B2579" s="374">
        <v>52</v>
      </c>
      <c r="C2579" s="374" t="s">
        <v>631</v>
      </c>
      <c r="D2579" s="375" t="s">
        <v>9606</v>
      </c>
      <c r="E2579" s="375" t="s">
        <v>9607</v>
      </c>
      <c r="F2579" s="375" t="s">
        <v>1440</v>
      </c>
      <c r="G2579" s="375" t="s">
        <v>3983</v>
      </c>
      <c r="H2579" s="375" t="s">
        <v>3872</v>
      </c>
      <c r="I2579" s="63" t="s">
        <v>3984</v>
      </c>
      <c r="J2579" s="47">
        <v>3740</v>
      </c>
      <c r="K2579" s="46" t="s">
        <v>7938</v>
      </c>
      <c r="L2579" s="47">
        <v>1210</v>
      </c>
      <c r="M2579" s="47" t="s">
        <v>3985</v>
      </c>
      <c r="N2579" s="47"/>
      <c r="O2579" s="47" t="s">
        <v>4048</v>
      </c>
      <c r="P2579" s="47"/>
      <c r="Q2579" s="47"/>
      <c r="R2579" s="47"/>
      <c r="S2579" s="47"/>
      <c r="T2579" s="47">
        <v>1420</v>
      </c>
      <c r="U2579" s="47"/>
      <c r="V2579" s="47"/>
      <c r="W2579" s="47"/>
      <c r="X2579" s="47"/>
      <c r="Y2579" s="47"/>
      <c r="Z2579" s="47">
        <v>4620</v>
      </c>
      <c r="AA2579" s="47"/>
      <c r="AB2579" s="47"/>
      <c r="AC2579" s="47">
        <v>5200</v>
      </c>
      <c r="AD2579" s="47"/>
      <c r="AE2579" s="47"/>
      <c r="AF2579" s="47"/>
      <c r="AG2579" s="47"/>
      <c r="AH2579" s="47" t="str">
        <f>IFERROR(_xlfn.XLOOKUP(Table6[[#This Row],[Suburb]],Table5[Travel Surcharge],Table5[$$]),"")</f>
        <v/>
      </c>
      <c r="AI2579" s="47"/>
      <c r="AJ2579" s="47"/>
    </row>
    <row r="2580" spans="1:36">
      <c r="A2580" s="374" t="s">
        <v>4047</v>
      </c>
      <c r="B2580" s="374">
        <v>53</v>
      </c>
      <c r="C2580" s="374" t="s">
        <v>631</v>
      </c>
      <c r="D2580" s="375" t="s">
        <v>9605</v>
      </c>
      <c r="E2580" s="375" t="s">
        <v>9608</v>
      </c>
      <c r="F2580" s="375" t="s">
        <v>1440</v>
      </c>
      <c r="G2580" s="375" t="s">
        <v>3983</v>
      </c>
      <c r="H2580" s="375" t="s">
        <v>3872</v>
      </c>
      <c r="I2580" s="63" t="s">
        <v>3984</v>
      </c>
      <c r="J2580" s="47">
        <v>3740</v>
      </c>
      <c r="K2580" s="46" t="s">
        <v>7938</v>
      </c>
      <c r="L2580" s="47">
        <v>1210</v>
      </c>
      <c r="M2580" s="47" t="s">
        <v>3985</v>
      </c>
      <c r="N2580" s="47"/>
      <c r="O2580" s="47" t="s">
        <v>4048</v>
      </c>
      <c r="P2580" s="47"/>
      <c r="Q2580" s="47"/>
      <c r="R2580" s="47"/>
      <c r="S2580" s="47"/>
      <c r="T2580" s="47">
        <v>1420</v>
      </c>
      <c r="U2580" s="47"/>
      <c r="V2580" s="47"/>
      <c r="W2580" s="47"/>
      <c r="X2580" s="47"/>
      <c r="Y2580" s="47"/>
      <c r="Z2580" s="47">
        <v>4620</v>
      </c>
      <c r="AA2580" s="47"/>
      <c r="AB2580" s="47"/>
      <c r="AC2580" s="47">
        <v>5200</v>
      </c>
      <c r="AD2580" s="47"/>
      <c r="AE2580" s="47"/>
      <c r="AF2580" s="47"/>
      <c r="AG2580" s="47"/>
      <c r="AH2580" s="47" t="str">
        <f>IFERROR(_xlfn.XLOOKUP(Table6[[#This Row],[Suburb]],Table5[Travel Surcharge],Table5[$$]),"")</f>
        <v/>
      </c>
      <c r="AI2580" s="47"/>
      <c r="AJ2580" s="47"/>
    </row>
    <row r="2581" spans="1:36">
      <c r="A2581" s="374" t="s">
        <v>4047</v>
      </c>
      <c r="B2581" s="374">
        <v>21</v>
      </c>
      <c r="C2581" s="374" t="s">
        <v>631</v>
      </c>
      <c r="D2581" s="375" t="str">
        <f>CONCATENATE(A2581,B2581)</f>
        <v>Mandalay Estate21</v>
      </c>
      <c r="E2581" s="375" t="s">
        <v>3982</v>
      </c>
      <c r="F2581" s="375" t="s">
        <v>1440</v>
      </c>
      <c r="G2581" s="375" t="s">
        <v>3983</v>
      </c>
      <c r="H2581" s="375" t="s">
        <v>3872</v>
      </c>
      <c r="I2581" s="63" t="s">
        <v>3984</v>
      </c>
      <c r="J2581" s="47">
        <f>J$7</f>
        <v>3740</v>
      </c>
      <c r="K2581" s="46" t="s">
        <v>7938</v>
      </c>
      <c r="L2581" s="47">
        <f>L$7</f>
        <v>1210</v>
      </c>
      <c r="M2581" s="47" t="s">
        <v>3985</v>
      </c>
      <c r="N2581" s="47"/>
      <c r="O2581" s="47" t="s">
        <v>4048</v>
      </c>
      <c r="P2581" s="47"/>
      <c r="Q2581" s="47"/>
      <c r="R2581" s="47"/>
      <c r="S2581" s="47"/>
      <c r="T2581" s="47">
        <f>T$2</f>
        <v>780</v>
      </c>
      <c r="U2581" s="47"/>
      <c r="V2581" s="47"/>
      <c r="W2581" s="47"/>
      <c r="X2581" s="47"/>
      <c r="Y2581" s="47"/>
      <c r="Z2581" s="47">
        <f>Z$7</f>
        <v>4620</v>
      </c>
      <c r="AA2581" s="47"/>
      <c r="AB2581" s="47"/>
      <c r="AC2581" s="47">
        <f>AC$7</f>
        <v>5200</v>
      </c>
      <c r="AD2581" s="47"/>
      <c r="AE2581" s="47"/>
      <c r="AF2581" s="47"/>
      <c r="AG2581" s="47"/>
      <c r="AH2581" s="47" t="str">
        <f>IFERROR(_xlfn.XLOOKUP(Table6[[#This Row],[Suburb]],Table5[Travel Surcharge],Table5[$$]),"")</f>
        <v/>
      </c>
      <c r="AI2581" s="47"/>
      <c r="AJ2581" s="47"/>
    </row>
    <row r="2582" spans="1:36">
      <c r="A2582" s="374" t="s">
        <v>4047</v>
      </c>
      <c r="B2582" s="374">
        <v>28</v>
      </c>
      <c r="C2582" s="374" t="s">
        <v>631</v>
      </c>
      <c r="D2582" s="375" t="str">
        <f>CONCATENATE(A2582,B2582)</f>
        <v>Mandalay Estate28</v>
      </c>
      <c r="E2582" s="375" t="s">
        <v>4049</v>
      </c>
      <c r="F2582" s="375" t="s">
        <v>1440</v>
      </c>
      <c r="G2582" s="375" t="s">
        <v>3983</v>
      </c>
      <c r="H2582" s="375" t="s">
        <v>3872</v>
      </c>
      <c r="I2582" s="63" t="s">
        <v>3984</v>
      </c>
      <c r="J2582" s="47">
        <f>J$7</f>
        <v>3740</v>
      </c>
      <c r="K2582" s="46" t="s">
        <v>7938</v>
      </c>
      <c r="L2582" s="47">
        <f>L$7</f>
        <v>1210</v>
      </c>
      <c r="M2582" s="47" t="s">
        <v>3985</v>
      </c>
      <c r="N2582" s="47"/>
      <c r="O2582" s="47" t="s">
        <v>4048</v>
      </c>
      <c r="P2582" s="47"/>
      <c r="Q2582" s="47"/>
      <c r="R2582" s="47"/>
      <c r="S2582" s="47"/>
      <c r="T2582" s="47">
        <f>T$2</f>
        <v>780</v>
      </c>
      <c r="U2582" s="47"/>
      <c r="V2582" s="47"/>
      <c r="W2582" s="47"/>
      <c r="X2582" s="47"/>
      <c r="Y2582" s="47"/>
      <c r="Z2582" s="47">
        <f>Z$7</f>
        <v>4620</v>
      </c>
      <c r="AA2582" s="47"/>
      <c r="AB2582" s="47"/>
      <c r="AC2582" s="47">
        <f>AC$7</f>
        <v>5200</v>
      </c>
      <c r="AD2582" s="47"/>
      <c r="AE2582" s="47"/>
      <c r="AF2582" s="47"/>
      <c r="AG2582" s="47"/>
      <c r="AH2582" s="47" t="str">
        <f>IFERROR(_xlfn.XLOOKUP(Table6[[#This Row],[Suburb]],Table5[Travel Surcharge],Table5[$$]),"")</f>
        <v/>
      </c>
      <c r="AI2582" s="47"/>
      <c r="AJ2582" s="47"/>
    </row>
    <row r="2583" spans="1:36">
      <c r="A2583" s="374" t="s">
        <v>4047</v>
      </c>
      <c r="B2583" s="374">
        <v>29</v>
      </c>
      <c r="C2583" s="374" t="s">
        <v>631</v>
      </c>
      <c r="D2583" s="375" t="str">
        <f>CONCATENATE(A2583,B2583)</f>
        <v>Mandalay Estate29</v>
      </c>
      <c r="E2583" s="375" t="s">
        <v>4050</v>
      </c>
      <c r="F2583" s="375" t="s">
        <v>1440</v>
      </c>
      <c r="G2583" s="375" t="s">
        <v>3983</v>
      </c>
      <c r="H2583" s="375" t="s">
        <v>3872</v>
      </c>
      <c r="I2583" s="63" t="s">
        <v>3984</v>
      </c>
      <c r="J2583" s="47">
        <f>J$7</f>
        <v>3740</v>
      </c>
      <c r="K2583" s="46" t="s">
        <v>7938</v>
      </c>
      <c r="L2583" s="47">
        <f>L$7</f>
        <v>1210</v>
      </c>
      <c r="M2583" s="47" t="s">
        <v>3985</v>
      </c>
      <c r="N2583" s="47"/>
      <c r="O2583" s="47" t="s">
        <v>4048</v>
      </c>
      <c r="P2583" s="47"/>
      <c r="Q2583" s="47"/>
      <c r="R2583" s="47"/>
      <c r="S2583" s="47"/>
      <c r="T2583" s="47">
        <f>T$2</f>
        <v>780</v>
      </c>
      <c r="U2583" s="47"/>
      <c r="V2583" s="47"/>
      <c r="W2583" s="47"/>
      <c r="X2583" s="47"/>
      <c r="Y2583" s="47"/>
      <c r="Z2583" s="47">
        <f>Z$7</f>
        <v>4620</v>
      </c>
      <c r="AA2583" s="47"/>
      <c r="AB2583" s="47"/>
      <c r="AC2583" s="47">
        <f>AC$7</f>
        <v>5200</v>
      </c>
      <c r="AD2583" s="47"/>
      <c r="AE2583" s="47"/>
      <c r="AF2583" s="47"/>
      <c r="AG2583" s="47"/>
      <c r="AH2583" s="47" t="str">
        <f>IFERROR(_xlfn.XLOOKUP(Table6[[#This Row],[Suburb]],Table5[Travel Surcharge],Table5[$$]),"")</f>
        <v/>
      </c>
      <c r="AI2583" s="47"/>
      <c r="AJ2583" s="47"/>
    </row>
    <row r="2584" spans="1:36">
      <c r="A2584" s="374" t="s">
        <v>4047</v>
      </c>
      <c r="B2584" s="374">
        <v>25</v>
      </c>
      <c r="C2584" s="374" t="s">
        <v>631</v>
      </c>
      <c r="D2584" s="375" t="s">
        <v>9336</v>
      </c>
      <c r="E2584" s="375" t="s">
        <v>9337</v>
      </c>
      <c r="F2584" s="375" t="s">
        <v>1440</v>
      </c>
      <c r="G2584" s="375" t="s">
        <v>3983</v>
      </c>
      <c r="H2584" s="375" t="s">
        <v>3872</v>
      </c>
      <c r="I2584" s="63" t="s">
        <v>3984</v>
      </c>
      <c r="J2584" s="47">
        <v>3740</v>
      </c>
      <c r="K2584" s="46" t="s">
        <v>7938</v>
      </c>
      <c r="L2584" s="47">
        <v>1210</v>
      </c>
      <c r="M2584" s="47" t="s">
        <v>3985</v>
      </c>
      <c r="N2584" s="47"/>
      <c r="O2584" s="47" t="s">
        <v>4048</v>
      </c>
      <c r="P2584" s="47"/>
      <c r="Q2584" s="47"/>
      <c r="R2584" s="47"/>
      <c r="S2584" s="47"/>
      <c r="T2584" s="47">
        <v>1420</v>
      </c>
      <c r="U2584" s="47"/>
      <c r="V2584" s="47"/>
      <c r="W2584" s="47"/>
      <c r="X2584" s="47"/>
      <c r="Y2584" s="47"/>
      <c r="Z2584" s="47">
        <v>4620</v>
      </c>
      <c r="AA2584" s="47"/>
      <c r="AB2584" s="47"/>
      <c r="AC2584" s="47">
        <v>5200</v>
      </c>
      <c r="AD2584" s="47"/>
      <c r="AE2584" s="47"/>
      <c r="AF2584" s="47"/>
      <c r="AG2584" s="47"/>
      <c r="AH2584" s="47" t="str">
        <f>IFERROR(_xlfn.XLOOKUP(Table6[[#This Row],[Suburb]],Table5[Travel Surcharge],Table5[$$]),"")</f>
        <v/>
      </c>
      <c r="AI2584" s="47"/>
      <c r="AJ2584" s="47"/>
    </row>
    <row r="2585" spans="1:36">
      <c r="A2585" s="374" t="s">
        <v>4047</v>
      </c>
      <c r="B2585" s="374">
        <v>30</v>
      </c>
      <c r="C2585" s="374" t="s">
        <v>631</v>
      </c>
      <c r="D2585" s="375" t="str">
        <f t="shared" ref="D2585:D2616" si="530">CONCATENATE(A2585,B2585)</f>
        <v>Mandalay Estate30</v>
      </c>
      <c r="E2585" s="375" t="s">
        <v>4051</v>
      </c>
      <c r="F2585" s="375" t="s">
        <v>1440</v>
      </c>
      <c r="G2585" s="375" t="s">
        <v>3983</v>
      </c>
      <c r="H2585" s="375" t="s">
        <v>3872</v>
      </c>
      <c r="I2585" s="63" t="s">
        <v>3984</v>
      </c>
      <c r="J2585" s="47">
        <f t="shared" ref="J2585:J2618" si="531">J$7</f>
        <v>3740</v>
      </c>
      <c r="K2585" s="46" t="s">
        <v>7938</v>
      </c>
      <c r="L2585" s="47">
        <f t="shared" ref="L2585:L2617" si="532">L$7</f>
        <v>1210</v>
      </c>
      <c r="M2585" s="47" t="s">
        <v>3985</v>
      </c>
      <c r="N2585" s="47"/>
      <c r="O2585" s="47" t="s">
        <v>4048</v>
      </c>
      <c r="P2585" s="47"/>
      <c r="Q2585" s="47"/>
      <c r="R2585" s="47"/>
      <c r="S2585" s="47"/>
      <c r="T2585" s="47">
        <f t="shared" ref="T2585:T2617" si="533">T$2</f>
        <v>780</v>
      </c>
      <c r="U2585" s="47"/>
      <c r="V2585" s="47"/>
      <c r="W2585" s="47"/>
      <c r="X2585" s="47"/>
      <c r="Y2585" s="47"/>
      <c r="Z2585" s="47">
        <f t="shared" ref="Z2585:Z2616" si="534">Z$7</f>
        <v>4620</v>
      </c>
      <c r="AA2585" s="47"/>
      <c r="AB2585" s="47"/>
      <c r="AC2585" s="47">
        <f t="shared" ref="AC2585:AC2617" si="535">AC$7</f>
        <v>5200</v>
      </c>
      <c r="AD2585" s="47"/>
      <c r="AE2585" s="47"/>
      <c r="AF2585" s="47"/>
      <c r="AG2585" s="47"/>
      <c r="AH2585" s="47" t="str">
        <f>IFERROR(_xlfn.XLOOKUP(Table6[[#This Row],[Suburb]],Table5[Travel Surcharge],Table5[$$]),"")</f>
        <v/>
      </c>
      <c r="AI2585" s="47"/>
      <c r="AJ2585" s="47"/>
    </row>
    <row r="2586" spans="1:36">
      <c r="A2586" s="374" t="s">
        <v>4047</v>
      </c>
      <c r="B2586" s="374">
        <v>31</v>
      </c>
      <c r="C2586" s="374" t="s">
        <v>631</v>
      </c>
      <c r="D2586" s="375" t="str">
        <f t="shared" si="530"/>
        <v>Mandalay Estate31</v>
      </c>
      <c r="E2586" s="375" t="s">
        <v>4052</v>
      </c>
      <c r="F2586" s="375" t="s">
        <v>1440</v>
      </c>
      <c r="G2586" s="375" t="s">
        <v>3983</v>
      </c>
      <c r="H2586" s="375" t="s">
        <v>3872</v>
      </c>
      <c r="I2586" s="63" t="s">
        <v>3984</v>
      </c>
      <c r="J2586" s="47">
        <f t="shared" si="531"/>
        <v>3740</v>
      </c>
      <c r="K2586" s="46" t="s">
        <v>7938</v>
      </c>
      <c r="L2586" s="47">
        <f t="shared" si="532"/>
        <v>1210</v>
      </c>
      <c r="M2586" s="47" t="s">
        <v>3985</v>
      </c>
      <c r="N2586" s="47"/>
      <c r="O2586" s="47" t="s">
        <v>4048</v>
      </c>
      <c r="P2586" s="47"/>
      <c r="Q2586" s="47"/>
      <c r="R2586" s="47"/>
      <c r="S2586" s="47"/>
      <c r="T2586" s="47">
        <f t="shared" si="533"/>
        <v>780</v>
      </c>
      <c r="U2586" s="47"/>
      <c r="V2586" s="47"/>
      <c r="W2586" s="47"/>
      <c r="X2586" s="47"/>
      <c r="Y2586" s="47"/>
      <c r="Z2586" s="47">
        <f t="shared" si="534"/>
        <v>4620</v>
      </c>
      <c r="AA2586" s="47"/>
      <c r="AB2586" s="47"/>
      <c r="AC2586" s="47">
        <f t="shared" si="535"/>
        <v>5200</v>
      </c>
      <c r="AD2586" s="47"/>
      <c r="AE2586" s="47"/>
      <c r="AF2586" s="47"/>
      <c r="AG2586" s="47"/>
      <c r="AH2586" s="47" t="str">
        <f>IFERROR(_xlfn.XLOOKUP(Table6[[#This Row],[Suburb]],Table5[Travel Surcharge],Table5[$$]),"")</f>
        <v/>
      </c>
      <c r="AI2586" s="47"/>
      <c r="AJ2586" s="47"/>
    </row>
    <row r="2587" spans="1:36">
      <c r="A2587" s="374" t="s">
        <v>4047</v>
      </c>
      <c r="B2587" s="374">
        <v>32</v>
      </c>
      <c r="C2587" s="374" t="s">
        <v>631</v>
      </c>
      <c r="D2587" s="375" t="str">
        <f t="shared" si="530"/>
        <v>Mandalay Estate32</v>
      </c>
      <c r="E2587" s="375" t="s">
        <v>4053</v>
      </c>
      <c r="F2587" s="375" t="s">
        <v>1440</v>
      </c>
      <c r="G2587" s="375" t="s">
        <v>3983</v>
      </c>
      <c r="H2587" s="375" t="s">
        <v>3872</v>
      </c>
      <c r="I2587" s="63" t="s">
        <v>3984</v>
      </c>
      <c r="J2587" s="47">
        <f t="shared" si="531"/>
        <v>3740</v>
      </c>
      <c r="K2587" s="46" t="s">
        <v>7938</v>
      </c>
      <c r="L2587" s="47">
        <f t="shared" si="532"/>
        <v>1210</v>
      </c>
      <c r="M2587" s="47" t="s">
        <v>3985</v>
      </c>
      <c r="N2587" s="47"/>
      <c r="O2587" s="47" t="s">
        <v>4048</v>
      </c>
      <c r="P2587" s="47"/>
      <c r="Q2587" s="47"/>
      <c r="R2587" s="47"/>
      <c r="S2587" s="47"/>
      <c r="T2587" s="47">
        <f t="shared" si="533"/>
        <v>780</v>
      </c>
      <c r="U2587" s="47"/>
      <c r="V2587" s="47"/>
      <c r="W2587" s="47"/>
      <c r="X2587" s="47"/>
      <c r="Y2587" s="47"/>
      <c r="Z2587" s="47">
        <f t="shared" si="534"/>
        <v>4620</v>
      </c>
      <c r="AA2587" s="47"/>
      <c r="AB2587" s="47"/>
      <c r="AC2587" s="47">
        <f t="shared" si="535"/>
        <v>5200</v>
      </c>
      <c r="AD2587" s="47"/>
      <c r="AE2587" s="47"/>
      <c r="AF2587" s="47"/>
      <c r="AG2587" s="47"/>
      <c r="AH2587" s="47" t="str">
        <f>IFERROR(_xlfn.XLOOKUP(Table6[[#This Row],[Suburb]],Table5[Travel Surcharge],Table5[$$]),"")</f>
        <v/>
      </c>
      <c r="AI2587" s="47"/>
      <c r="AJ2587" s="47"/>
    </row>
    <row r="2588" spans="1:36">
      <c r="A2588" s="374" t="s">
        <v>4047</v>
      </c>
      <c r="B2588" s="374">
        <v>33</v>
      </c>
      <c r="C2588" s="374" t="s">
        <v>631</v>
      </c>
      <c r="D2588" s="375" t="str">
        <f t="shared" si="530"/>
        <v>Mandalay Estate33</v>
      </c>
      <c r="E2588" s="375" t="s">
        <v>4054</v>
      </c>
      <c r="F2588" s="375" t="s">
        <v>1440</v>
      </c>
      <c r="G2588" s="375" t="s">
        <v>3983</v>
      </c>
      <c r="H2588" s="375" t="s">
        <v>3872</v>
      </c>
      <c r="I2588" s="63" t="s">
        <v>3984</v>
      </c>
      <c r="J2588" s="47">
        <f t="shared" si="531"/>
        <v>3740</v>
      </c>
      <c r="K2588" s="46" t="s">
        <v>7938</v>
      </c>
      <c r="L2588" s="47">
        <f t="shared" si="532"/>
        <v>1210</v>
      </c>
      <c r="M2588" s="47" t="s">
        <v>3985</v>
      </c>
      <c r="N2588" s="47"/>
      <c r="O2588" s="47" t="s">
        <v>4048</v>
      </c>
      <c r="P2588" s="47"/>
      <c r="Q2588" s="47"/>
      <c r="R2588" s="47"/>
      <c r="S2588" s="47"/>
      <c r="T2588" s="47">
        <f t="shared" si="533"/>
        <v>780</v>
      </c>
      <c r="U2588" s="47"/>
      <c r="V2588" s="47"/>
      <c r="W2588" s="47"/>
      <c r="X2588" s="47"/>
      <c r="Y2588" s="47"/>
      <c r="Z2588" s="47">
        <f t="shared" si="534"/>
        <v>4620</v>
      </c>
      <c r="AA2588" s="47"/>
      <c r="AB2588" s="47"/>
      <c r="AC2588" s="47">
        <f t="shared" si="535"/>
        <v>5200</v>
      </c>
      <c r="AD2588" s="47"/>
      <c r="AE2588" s="47"/>
      <c r="AF2588" s="47"/>
      <c r="AG2588" s="47"/>
      <c r="AH2588" s="47" t="str">
        <f>IFERROR(_xlfn.XLOOKUP(Table6[[#This Row],[Suburb]],Table5[Travel Surcharge],Table5[$$]),"")</f>
        <v/>
      </c>
      <c r="AI2588" s="47"/>
      <c r="AJ2588" s="47"/>
    </row>
    <row r="2589" spans="1:36">
      <c r="A2589" s="374" t="s">
        <v>4047</v>
      </c>
      <c r="B2589" s="374">
        <v>34</v>
      </c>
      <c r="C2589" s="374" t="s">
        <v>631</v>
      </c>
      <c r="D2589" s="375" t="str">
        <f t="shared" si="530"/>
        <v>Mandalay Estate34</v>
      </c>
      <c r="E2589" s="375" t="s">
        <v>4055</v>
      </c>
      <c r="F2589" s="375" t="s">
        <v>1440</v>
      </c>
      <c r="G2589" s="375" t="s">
        <v>3983</v>
      </c>
      <c r="H2589" s="375" t="s">
        <v>3872</v>
      </c>
      <c r="I2589" s="63" t="s">
        <v>3984</v>
      </c>
      <c r="J2589" s="47">
        <f t="shared" si="531"/>
        <v>3740</v>
      </c>
      <c r="K2589" s="46" t="s">
        <v>7938</v>
      </c>
      <c r="L2589" s="47">
        <f t="shared" si="532"/>
        <v>1210</v>
      </c>
      <c r="M2589" s="47" t="s">
        <v>3985</v>
      </c>
      <c r="N2589" s="47"/>
      <c r="O2589" s="47" t="s">
        <v>4048</v>
      </c>
      <c r="P2589" s="47"/>
      <c r="Q2589" s="47"/>
      <c r="R2589" s="47"/>
      <c r="S2589" s="47"/>
      <c r="T2589" s="47">
        <f t="shared" si="533"/>
        <v>780</v>
      </c>
      <c r="U2589" s="47"/>
      <c r="V2589" s="47"/>
      <c r="W2589" s="47"/>
      <c r="X2589" s="47"/>
      <c r="Y2589" s="47"/>
      <c r="Z2589" s="47">
        <f t="shared" si="534"/>
        <v>4620</v>
      </c>
      <c r="AA2589" s="47"/>
      <c r="AB2589" s="47"/>
      <c r="AC2589" s="47">
        <f t="shared" si="535"/>
        <v>5200</v>
      </c>
      <c r="AD2589" s="47"/>
      <c r="AE2589" s="47"/>
      <c r="AF2589" s="47"/>
      <c r="AG2589" s="47"/>
      <c r="AH2589" s="47" t="str">
        <f>IFERROR(_xlfn.XLOOKUP(Table6[[#This Row],[Suburb]],Table5[Travel Surcharge],Table5[$$]),"")</f>
        <v/>
      </c>
      <c r="AI2589" s="47"/>
      <c r="AJ2589" s="47"/>
    </row>
    <row r="2590" spans="1:36">
      <c r="A2590" s="374" t="s">
        <v>4047</v>
      </c>
      <c r="B2590" s="374">
        <v>35</v>
      </c>
      <c r="C2590" s="374" t="s">
        <v>631</v>
      </c>
      <c r="D2590" s="375" t="str">
        <f t="shared" si="530"/>
        <v>Mandalay Estate35</v>
      </c>
      <c r="E2590" s="375" t="s">
        <v>4056</v>
      </c>
      <c r="F2590" s="375" t="s">
        <v>1440</v>
      </c>
      <c r="G2590" s="375" t="s">
        <v>3983</v>
      </c>
      <c r="H2590" s="375" t="s">
        <v>3872</v>
      </c>
      <c r="I2590" s="63" t="s">
        <v>3984</v>
      </c>
      <c r="J2590" s="47">
        <f t="shared" si="531"/>
        <v>3740</v>
      </c>
      <c r="K2590" s="46" t="s">
        <v>7938</v>
      </c>
      <c r="L2590" s="47">
        <f t="shared" si="532"/>
        <v>1210</v>
      </c>
      <c r="M2590" s="47" t="s">
        <v>3985</v>
      </c>
      <c r="N2590" s="47"/>
      <c r="O2590" s="47" t="s">
        <v>4048</v>
      </c>
      <c r="P2590" s="47"/>
      <c r="Q2590" s="47"/>
      <c r="R2590" s="47"/>
      <c r="S2590" s="47"/>
      <c r="T2590" s="47">
        <f t="shared" si="533"/>
        <v>780</v>
      </c>
      <c r="U2590" s="47"/>
      <c r="V2590" s="47"/>
      <c r="W2590" s="47"/>
      <c r="X2590" s="47"/>
      <c r="Y2590" s="47"/>
      <c r="Z2590" s="47">
        <f t="shared" si="534"/>
        <v>4620</v>
      </c>
      <c r="AA2590" s="47"/>
      <c r="AB2590" s="47"/>
      <c r="AC2590" s="47">
        <f t="shared" si="535"/>
        <v>5200</v>
      </c>
      <c r="AD2590" s="47"/>
      <c r="AE2590" s="47"/>
      <c r="AF2590" s="47"/>
      <c r="AG2590" s="47"/>
      <c r="AH2590" s="47" t="str">
        <f>IFERROR(_xlfn.XLOOKUP(Table6[[#This Row],[Suburb]],Table5[Travel Surcharge],Table5[$$]),"")</f>
        <v/>
      </c>
      <c r="AI2590" s="47"/>
      <c r="AJ2590" s="47"/>
    </row>
    <row r="2591" spans="1:36">
      <c r="A2591" s="374" t="s">
        <v>4047</v>
      </c>
      <c r="B2591" s="374">
        <v>36</v>
      </c>
      <c r="C2591" s="374" t="s">
        <v>631</v>
      </c>
      <c r="D2591" s="375" t="str">
        <f t="shared" si="530"/>
        <v>Mandalay Estate36</v>
      </c>
      <c r="E2591" s="375" t="s">
        <v>4057</v>
      </c>
      <c r="F2591" s="375" t="s">
        <v>1440</v>
      </c>
      <c r="G2591" s="375" t="s">
        <v>3983</v>
      </c>
      <c r="H2591" s="375" t="s">
        <v>3872</v>
      </c>
      <c r="I2591" s="63" t="s">
        <v>3984</v>
      </c>
      <c r="J2591" s="47">
        <f t="shared" si="531"/>
        <v>3740</v>
      </c>
      <c r="K2591" s="46" t="s">
        <v>7938</v>
      </c>
      <c r="L2591" s="47">
        <f t="shared" si="532"/>
        <v>1210</v>
      </c>
      <c r="M2591" s="47" t="s">
        <v>3985</v>
      </c>
      <c r="N2591" s="47"/>
      <c r="O2591" s="47" t="s">
        <v>4048</v>
      </c>
      <c r="P2591" s="47"/>
      <c r="Q2591" s="47"/>
      <c r="R2591" s="47"/>
      <c r="S2591" s="47"/>
      <c r="T2591" s="47">
        <f t="shared" si="533"/>
        <v>780</v>
      </c>
      <c r="U2591" s="47"/>
      <c r="V2591" s="47"/>
      <c r="W2591" s="47"/>
      <c r="X2591" s="47"/>
      <c r="Y2591" s="47"/>
      <c r="Z2591" s="47">
        <f t="shared" si="534"/>
        <v>4620</v>
      </c>
      <c r="AA2591" s="47"/>
      <c r="AB2591" s="47"/>
      <c r="AC2591" s="47">
        <f t="shared" si="535"/>
        <v>5200</v>
      </c>
      <c r="AD2591" s="47"/>
      <c r="AE2591" s="47"/>
      <c r="AF2591" s="47"/>
      <c r="AG2591" s="47"/>
      <c r="AH2591" s="47" t="str">
        <f>IFERROR(_xlfn.XLOOKUP(Table6[[#This Row],[Suburb]],Table5[Travel Surcharge],Table5[$$]),"")</f>
        <v/>
      </c>
      <c r="AI2591" s="47"/>
      <c r="AJ2591" s="47"/>
    </row>
    <row r="2592" spans="1:36">
      <c r="A2592" s="374" t="s">
        <v>4047</v>
      </c>
      <c r="B2592" s="374">
        <v>37</v>
      </c>
      <c r="C2592" s="374" t="s">
        <v>631</v>
      </c>
      <c r="D2592" s="375" t="str">
        <f t="shared" si="530"/>
        <v>Mandalay Estate37</v>
      </c>
      <c r="E2592" s="375" t="s">
        <v>4058</v>
      </c>
      <c r="F2592" s="375" t="s">
        <v>1440</v>
      </c>
      <c r="G2592" s="375" t="s">
        <v>3983</v>
      </c>
      <c r="H2592" s="375" t="s">
        <v>3872</v>
      </c>
      <c r="I2592" s="63" t="s">
        <v>3984</v>
      </c>
      <c r="J2592" s="47">
        <f t="shared" si="531"/>
        <v>3740</v>
      </c>
      <c r="K2592" s="46" t="s">
        <v>7938</v>
      </c>
      <c r="L2592" s="47">
        <f t="shared" si="532"/>
        <v>1210</v>
      </c>
      <c r="M2592" s="47" t="s">
        <v>3985</v>
      </c>
      <c r="N2592" s="47"/>
      <c r="O2592" s="47" t="s">
        <v>4048</v>
      </c>
      <c r="P2592" s="47"/>
      <c r="Q2592" s="47"/>
      <c r="R2592" s="47"/>
      <c r="S2592" s="47"/>
      <c r="T2592" s="47">
        <f t="shared" si="533"/>
        <v>780</v>
      </c>
      <c r="U2592" s="47"/>
      <c r="V2592" s="47"/>
      <c r="W2592" s="47"/>
      <c r="X2592" s="47"/>
      <c r="Y2592" s="47"/>
      <c r="Z2592" s="47">
        <f t="shared" si="534"/>
        <v>4620</v>
      </c>
      <c r="AA2592" s="47"/>
      <c r="AB2592" s="47"/>
      <c r="AC2592" s="47">
        <f t="shared" si="535"/>
        <v>5200</v>
      </c>
      <c r="AD2592" s="47"/>
      <c r="AE2592" s="47"/>
      <c r="AF2592" s="47"/>
      <c r="AG2592" s="47"/>
      <c r="AH2592" s="47" t="str">
        <f>IFERROR(_xlfn.XLOOKUP(Table6[[#This Row],[Suburb]],Table5[Travel Surcharge],Table5[$$]),"")</f>
        <v/>
      </c>
      <c r="AI2592" s="47"/>
      <c r="AJ2592" s="47"/>
    </row>
    <row r="2593" spans="1:36">
      <c r="A2593" s="374" t="s">
        <v>4047</v>
      </c>
      <c r="B2593" s="374">
        <v>38</v>
      </c>
      <c r="C2593" s="374" t="s">
        <v>631</v>
      </c>
      <c r="D2593" s="375" t="str">
        <f t="shared" si="530"/>
        <v>Mandalay Estate38</v>
      </c>
      <c r="E2593" s="375" t="s">
        <v>4059</v>
      </c>
      <c r="F2593" s="375" t="s">
        <v>1440</v>
      </c>
      <c r="G2593" s="375" t="s">
        <v>3983</v>
      </c>
      <c r="H2593" s="375" t="s">
        <v>3872</v>
      </c>
      <c r="I2593" s="63" t="s">
        <v>3984</v>
      </c>
      <c r="J2593" s="47">
        <f t="shared" si="531"/>
        <v>3740</v>
      </c>
      <c r="K2593" s="46" t="s">
        <v>7938</v>
      </c>
      <c r="L2593" s="47">
        <f t="shared" si="532"/>
        <v>1210</v>
      </c>
      <c r="M2593" s="47" t="s">
        <v>3985</v>
      </c>
      <c r="N2593" s="47"/>
      <c r="O2593" s="47" t="s">
        <v>4048</v>
      </c>
      <c r="P2593" s="47"/>
      <c r="Q2593" s="47"/>
      <c r="R2593" s="47"/>
      <c r="S2593" s="47"/>
      <c r="T2593" s="47">
        <f t="shared" si="533"/>
        <v>780</v>
      </c>
      <c r="U2593" s="47"/>
      <c r="V2593" s="47"/>
      <c r="W2593" s="47"/>
      <c r="X2593" s="47"/>
      <c r="Y2593" s="47"/>
      <c r="Z2593" s="47">
        <f t="shared" si="534"/>
        <v>4620</v>
      </c>
      <c r="AA2593" s="47"/>
      <c r="AB2593" s="47"/>
      <c r="AC2593" s="47">
        <f t="shared" si="535"/>
        <v>5200</v>
      </c>
      <c r="AD2593" s="47"/>
      <c r="AE2593" s="47"/>
      <c r="AF2593" s="47"/>
      <c r="AG2593" s="47"/>
      <c r="AH2593" s="47" t="str">
        <f>IFERROR(_xlfn.XLOOKUP(Table6[[#This Row],[Suburb]],Table5[Travel Surcharge],Table5[$$]),"")</f>
        <v/>
      </c>
      <c r="AI2593" s="47"/>
      <c r="AJ2593" s="47"/>
    </row>
    <row r="2594" spans="1:36">
      <c r="A2594" s="374" t="s">
        <v>4047</v>
      </c>
      <c r="B2594" s="374">
        <v>39</v>
      </c>
      <c r="C2594" s="374" t="s">
        <v>631</v>
      </c>
      <c r="D2594" s="375" t="str">
        <f t="shared" si="530"/>
        <v>Mandalay Estate39</v>
      </c>
      <c r="E2594" s="375" t="s">
        <v>4061</v>
      </c>
      <c r="F2594" s="375" t="s">
        <v>1440</v>
      </c>
      <c r="G2594" s="375" t="s">
        <v>3983</v>
      </c>
      <c r="H2594" s="375" t="s">
        <v>3872</v>
      </c>
      <c r="I2594" s="63" t="s">
        <v>3984</v>
      </c>
      <c r="J2594" s="47">
        <f t="shared" si="531"/>
        <v>3740</v>
      </c>
      <c r="K2594" s="46" t="s">
        <v>7938</v>
      </c>
      <c r="L2594" s="47">
        <f t="shared" si="532"/>
        <v>1210</v>
      </c>
      <c r="M2594" s="47" t="s">
        <v>3985</v>
      </c>
      <c r="N2594" s="47"/>
      <c r="O2594" s="47" t="s">
        <v>4048</v>
      </c>
      <c r="P2594" s="47"/>
      <c r="Q2594" s="47"/>
      <c r="R2594" s="47"/>
      <c r="S2594" s="47"/>
      <c r="T2594" s="47">
        <f t="shared" si="533"/>
        <v>780</v>
      </c>
      <c r="U2594" s="47"/>
      <c r="V2594" s="47"/>
      <c r="W2594" s="47"/>
      <c r="X2594" s="47"/>
      <c r="Y2594" s="47"/>
      <c r="Z2594" s="47">
        <f t="shared" si="534"/>
        <v>4620</v>
      </c>
      <c r="AA2594" s="47"/>
      <c r="AB2594" s="47"/>
      <c r="AC2594" s="47">
        <f t="shared" si="535"/>
        <v>5200</v>
      </c>
      <c r="AD2594" s="47"/>
      <c r="AE2594" s="47"/>
      <c r="AF2594" s="47"/>
      <c r="AG2594" s="47"/>
      <c r="AH2594" s="47" t="str">
        <f>IFERROR(_xlfn.XLOOKUP(Table6[[#This Row],[Suburb]],Table5[Travel Surcharge],Table5[$$]),"")</f>
        <v/>
      </c>
      <c r="AI2594" s="47"/>
      <c r="AJ2594" s="47"/>
    </row>
    <row r="2595" spans="1:36">
      <c r="A2595" s="374" t="s">
        <v>4047</v>
      </c>
      <c r="B2595" s="374">
        <v>40</v>
      </c>
      <c r="C2595" s="374" t="s">
        <v>631</v>
      </c>
      <c r="D2595" s="375" t="str">
        <f t="shared" si="530"/>
        <v>Mandalay Estate40</v>
      </c>
      <c r="E2595" s="375" t="s">
        <v>4062</v>
      </c>
      <c r="F2595" s="375" t="s">
        <v>1440</v>
      </c>
      <c r="G2595" s="375" t="s">
        <v>3983</v>
      </c>
      <c r="H2595" s="375" t="s">
        <v>3872</v>
      </c>
      <c r="I2595" s="63" t="s">
        <v>3984</v>
      </c>
      <c r="J2595" s="47">
        <f t="shared" si="531"/>
        <v>3740</v>
      </c>
      <c r="K2595" s="46" t="s">
        <v>7938</v>
      </c>
      <c r="L2595" s="47">
        <f t="shared" si="532"/>
        <v>1210</v>
      </c>
      <c r="M2595" s="47" t="s">
        <v>3985</v>
      </c>
      <c r="N2595" s="47"/>
      <c r="O2595" s="47" t="s">
        <v>4048</v>
      </c>
      <c r="P2595" s="47"/>
      <c r="Q2595" s="47"/>
      <c r="R2595" s="47"/>
      <c r="S2595" s="47"/>
      <c r="T2595" s="47">
        <f t="shared" si="533"/>
        <v>780</v>
      </c>
      <c r="U2595" s="47"/>
      <c r="V2595" s="47"/>
      <c r="W2595" s="47"/>
      <c r="X2595" s="47"/>
      <c r="Y2595" s="47"/>
      <c r="Z2595" s="47">
        <f t="shared" si="534"/>
        <v>4620</v>
      </c>
      <c r="AA2595" s="47"/>
      <c r="AB2595" s="47"/>
      <c r="AC2595" s="47">
        <f t="shared" si="535"/>
        <v>5200</v>
      </c>
      <c r="AD2595" s="47"/>
      <c r="AE2595" s="47"/>
      <c r="AF2595" s="47"/>
      <c r="AG2595" s="47"/>
      <c r="AH2595" s="47" t="str">
        <f>IFERROR(_xlfn.XLOOKUP(Table6[[#This Row],[Suburb]],Table5[Travel Surcharge],Table5[$$]),"")</f>
        <v/>
      </c>
      <c r="AI2595" s="47"/>
      <c r="AJ2595" s="47"/>
    </row>
    <row r="2596" spans="1:36">
      <c r="A2596" s="374" t="s">
        <v>4047</v>
      </c>
      <c r="B2596" s="374">
        <v>41</v>
      </c>
      <c r="C2596" s="374" t="s">
        <v>631</v>
      </c>
      <c r="D2596" s="375" t="str">
        <f t="shared" si="530"/>
        <v>Mandalay Estate41</v>
      </c>
      <c r="E2596" s="375" t="s">
        <v>4063</v>
      </c>
      <c r="F2596" s="375" t="s">
        <v>1440</v>
      </c>
      <c r="G2596" s="375" t="s">
        <v>3983</v>
      </c>
      <c r="H2596" s="375" t="s">
        <v>3872</v>
      </c>
      <c r="I2596" s="63" t="s">
        <v>3984</v>
      </c>
      <c r="J2596" s="47">
        <f t="shared" si="531"/>
        <v>3740</v>
      </c>
      <c r="K2596" s="46" t="s">
        <v>7938</v>
      </c>
      <c r="L2596" s="47">
        <f t="shared" si="532"/>
        <v>1210</v>
      </c>
      <c r="M2596" s="47" t="s">
        <v>3985</v>
      </c>
      <c r="N2596" s="47"/>
      <c r="O2596" s="47" t="s">
        <v>4048</v>
      </c>
      <c r="P2596" s="47"/>
      <c r="Q2596" s="47"/>
      <c r="R2596" s="47"/>
      <c r="S2596" s="47"/>
      <c r="T2596" s="47">
        <f t="shared" si="533"/>
        <v>780</v>
      </c>
      <c r="U2596" s="47"/>
      <c r="V2596" s="47"/>
      <c r="W2596" s="47"/>
      <c r="X2596" s="47"/>
      <c r="Y2596" s="47"/>
      <c r="Z2596" s="47">
        <f t="shared" si="534"/>
        <v>4620</v>
      </c>
      <c r="AA2596" s="47"/>
      <c r="AB2596" s="47"/>
      <c r="AC2596" s="47">
        <f t="shared" si="535"/>
        <v>5200</v>
      </c>
      <c r="AD2596" s="47"/>
      <c r="AE2596" s="47"/>
      <c r="AF2596" s="47"/>
      <c r="AG2596" s="47"/>
      <c r="AH2596" s="47" t="str">
        <f>IFERROR(_xlfn.XLOOKUP(Table6[[#This Row],[Suburb]],Table5[Travel Surcharge],Table5[$$]),"")</f>
        <v/>
      </c>
      <c r="AI2596" s="47"/>
      <c r="AJ2596" s="47"/>
    </row>
    <row r="2597" spans="1:36">
      <c r="A2597" s="374" t="s">
        <v>4047</v>
      </c>
      <c r="B2597" s="374">
        <v>42</v>
      </c>
      <c r="C2597" s="374" t="s">
        <v>631</v>
      </c>
      <c r="D2597" s="375" t="str">
        <f t="shared" si="530"/>
        <v>Mandalay Estate42</v>
      </c>
      <c r="E2597" s="375" t="s">
        <v>4064</v>
      </c>
      <c r="F2597" s="375" t="s">
        <v>1440</v>
      </c>
      <c r="G2597" s="375" t="s">
        <v>3983</v>
      </c>
      <c r="H2597" s="375" t="s">
        <v>3872</v>
      </c>
      <c r="I2597" s="63" t="s">
        <v>3984</v>
      </c>
      <c r="J2597" s="47">
        <f t="shared" si="531"/>
        <v>3740</v>
      </c>
      <c r="K2597" s="46" t="s">
        <v>7938</v>
      </c>
      <c r="L2597" s="47">
        <f t="shared" si="532"/>
        <v>1210</v>
      </c>
      <c r="M2597" s="47" t="s">
        <v>3985</v>
      </c>
      <c r="N2597" s="47"/>
      <c r="O2597" s="47" t="s">
        <v>4048</v>
      </c>
      <c r="P2597" s="47"/>
      <c r="Q2597" s="47"/>
      <c r="R2597" s="47"/>
      <c r="S2597" s="47"/>
      <c r="T2597" s="47">
        <f t="shared" si="533"/>
        <v>780</v>
      </c>
      <c r="U2597" s="47"/>
      <c r="V2597" s="47"/>
      <c r="W2597" s="47"/>
      <c r="X2597" s="47"/>
      <c r="Y2597" s="47"/>
      <c r="Z2597" s="47">
        <f t="shared" si="534"/>
        <v>4620</v>
      </c>
      <c r="AA2597" s="47"/>
      <c r="AB2597" s="47"/>
      <c r="AC2597" s="47">
        <f t="shared" si="535"/>
        <v>5200</v>
      </c>
      <c r="AD2597" s="47"/>
      <c r="AE2597" s="47"/>
      <c r="AF2597" s="47"/>
      <c r="AG2597" s="47"/>
      <c r="AH2597" s="47" t="str">
        <f>IFERROR(_xlfn.XLOOKUP(Table6[[#This Row],[Suburb]],Table5[Travel Surcharge],Table5[$$]),"")</f>
        <v/>
      </c>
      <c r="AI2597" s="47"/>
      <c r="AJ2597" s="47"/>
    </row>
    <row r="2598" spans="1:36">
      <c r="A2598" s="374" t="s">
        <v>4047</v>
      </c>
      <c r="B2598" s="374">
        <v>43</v>
      </c>
      <c r="C2598" s="374" t="s">
        <v>631</v>
      </c>
      <c r="D2598" s="375" t="str">
        <f t="shared" si="530"/>
        <v>Mandalay Estate43</v>
      </c>
      <c r="E2598" s="375" t="s">
        <v>4065</v>
      </c>
      <c r="F2598" s="375" t="s">
        <v>1440</v>
      </c>
      <c r="G2598" s="375" t="s">
        <v>3983</v>
      </c>
      <c r="H2598" s="375" t="s">
        <v>3872</v>
      </c>
      <c r="I2598" s="63" t="s">
        <v>3984</v>
      </c>
      <c r="J2598" s="47">
        <f t="shared" si="531"/>
        <v>3740</v>
      </c>
      <c r="K2598" s="46" t="s">
        <v>7938</v>
      </c>
      <c r="L2598" s="47">
        <f t="shared" si="532"/>
        <v>1210</v>
      </c>
      <c r="M2598" s="47" t="s">
        <v>3985</v>
      </c>
      <c r="N2598" s="47"/>
      <c r="O2598" s="47" t="s">
        <v>4048</v>
      </c>
      <c r="P2598" s="47"/>
      <c r="Q2598" s="47"/>
      <c r="R2598" s="47"/>
      <c r="S2598" s="47"/>
      <c r="T2598" s="47">
        <f t="shared" si="533"/>
        <v>780</v>
      </c>
      <c r="U2598" s="47"/>
      <c r="V2598" s="47"/>
      <c r="W2598" s="47"/>
      <c r="X2598" s="47"/>
      <c r="Y2598" s="47"/>
      <c r="Z2598" s="47">
        <f t="shared" si="534"/>
        <v>4620</v>
      </c>
      <c r="AA2598" s="47"/>
      <c r="AB2598" s="47"/>
      <c r="AC2598" s="47">
        <f t="shared" si="535"/>
        <v>5200</v>
      </c>
      <c r="AD2598" s="47"/>
      <c r="AE2598" s="47"/>
      <c r="AF2598" s="47"/>
      <c r="AG2598" s="47"/>
      <c r="AH2598" s="47" t="str">
        <f>IFERROR(_xlfn.XLOOKUP(Table6[[#This Row],[Suburb]],Table5[Travel Surcharge],Table5[$$]),"")</f>
        <v/>
      </c>
      <c r="AI2598" s="47"/>
      <c r="AJ2598" s="47"/>
    </row>
    <row r="2599" spans="1:36">
      <c r="A2599" s="374" t="s">
        <v>4047</v>
      </c>
      <c r="B2599" s="374">
        <v>44</v>
      </c>
      <c r="C2599" s="374" t="s">
        <v>631</v>
      </c>
      <c r="D2599" s="375" t="str">
        <f t="shared" si="530"/>
        <v>Mandalay Estate44</v>
      </c>
      <c r="E2599" s="375" t="s">
        <v>4066</v>
      </c>
      <c r="F2599" s="375" t="s">
        <v>1440</v>
      </c>
      <c r="G2599" s="375" t="s">
        <v>3983</v>
      </c>
      <c r="H2599" s="375" t="s">
        <v>3872</v>
      </c>
      <c r="I2599" s="63" t="s">
        <v>3984</v>
      </c>
      <c r="J2599" s="47">
        <f t="shared" si="531"/>
        <v>3740</v>
      </c>
      <c r="K2599" s="46" t="s">
        <v>7938</v>
      </c>
      <c r="L2599" s="47">
        <f t="shared" si="532"/>
        <v>1210</v>
      </c>
      <c r="M2599" s="47" t="s">
        <v>3985</v>
      </c>
      <c r="N2599" s="47"/>
      <c r="O2599" s="47" t="s">
        <v>4048</v>
      </c>
      <c r="P2599" s="47"/>
      <c r="Q2599" s="47"/>
      <c r="R2599" s="47"/>
      <c r="S2599" s="47"/>
      <c r="T2599" s="47">
        <f t="shared" si="533"/>
        <v>780</v>
      </c>
      <c r="U2599" s="47"/>
      <c r="V2599" s="47"/>
      <c r="W2599" s="47"/>
      <c r="X2599" s="47"/>
      <c r="Y2599" s="47"/>
      <c r="Z2599" s="47">
        <f t="shared" si="534"/>
        <v>4620</v>
      </c>
      <c r="AA2599" s="47"/>
      <c r="AB2599" s="47"/>
      <c r="AC2599" s="47">
        <f t="shared" si="535"/>
        <v>5200</v>
      </c>
      <c r="AD2599" s="47"/>
      <c r="AE2599" s="47"/>
      <c r="AF2599" s="47"/>
      <c r="AG2599" s="47"/>
      <c r="AH2599" s="47" t="str">
        <f>IFERROR(_xlfn.XLOOKUP(Table6[[#This Row],[Suburb]],Table5[Travel Surcharge],Table5[$$]),"")</f>
        <v/>
      </c>
      <c r="AI2599" s="47"/>
      <c r="AJ2599" s="47"/>
    </row>
    <row r="2600" spans="1:36">
      <c r="A2600" s="374" t="s">
        <v>4047</v>
      </c>
      <c r="B2600" s="374">
        <v>45</v>
      </c>
      <c r="C2600" s="374" t="s">
        <v>631</v>
      </c>
      <c r="D2600" s="375" t="str">
        <f t="shared" si="530"/>
        <v>Mandalay Estate45</v>
      </c>
      <c r="E2600" s="375" t="s">
        <v>4067</v>
      </c>
      <c r="F2600" s="375" t="s">
        <v>1440</v>
      </c>
      <c r="G2600" s="375" t="s">
        <v>3983</v>
      </c>
      <c r="H2600" s="375" t="s">
        <v>3872</v>
      </c>
      <c r="I2600" s="63" t="s">
        <v>3984</v>
      </c>
      <c r="J2600" s="47">
        <f t="shared" si="531"/>
        <v>3740</v>
      </c>
      <c r="K2600" s="46" t="s">
        <v>7938</v>
      </c>
      <c r="L2600" s="47">
        <f t="shared" si="532"/>
        <v>1210</v>
      </c>
      <c r="M2600" s="47" t="s">
        <v>3985</v>
      </c>
      <c r="N2600" s="47"/>
      <c r="O2600" s="47" t="s">
        <v>4048</v>
      </c>
      <c r="P2600" s="47"/>
      <c r="Q2600" s="47"/>
      <c r="R2600" s="47"/>
      <c r="S2600" s="47"/>
      <c r="T2600" s="47">
        <f t="shared" si="533"/>
        <v>780</v>
      </c>
      <c r="U2600" s="47"/>
      <c r="V2600" s="47"/>
      <c r="W2600" s="47"/>
      <c r="X2600" s="47"/>
      <c r="Y2600" s="47"/>
      <c r="Z2600" s="47">
        <f t="shared" si="534"/>
        <v>4620</v>
      </c>
      <c r="AA2600" s="47"/>
      <c r="AB2600" s="47"/>
      <c r="AC2600" s="47">
        <f t="shared" si="535"/>
        <v>5200</v>
      </c>
      <c r="AD2600" s="47"/>
      <c r="AE2600" s="47"/>
      <c r="AF2600" s="47"/>
      <c r="AG2600" s="47"/>
      <c r="AH2600" s="47" t="str">
        <f>IFERROR(_xlfn.XLOOKUP(Table6[[#This Row],[Suburb]],Table5[Travel Surcharge],Table5[$$]),"")</f>
        <v/>
      </c>
      <c r="AI2600" s="47"/>
      <c r="AJ2600" s="47"/>
    </row>
    <row r="2601" spans="1:36">
      <c r="A2601" s="157" t="s">
        <v>4047</v>
      </c>
      <c r="B2601" s="157">
        <v>48</v>
      </c>
      <c r="C2601" s="157" t="s">
        <v>631</v>
      </c>
      <c r="D2601" s="157" t="str">
        <f t="shared" si="530"/>
        <v>Mandalay Estate48</v>
      </c>
      <c r="E2601" s="157" t="s">
        <v>7771</v>
      </c>
      <c r="F2601" s="157" t="s">
        <v>1440</v>
      </c>
      <c r="G2601" s="157" t="s">
        <v>3983</v>
      </c>
      <c r="H2601" s="157" t="s">
        <v>3872</v>
      </c>
      <c r="I2601" s="158" t="s">
        <v>3984</v>
      </c>
      <c r="J2601" s="47">
        <f t="shared" si="531"/>
        <v>3740</v>
      </c>
      <c r="K2601" s="46" t="s">
        <v>7938</v>
      </c>
      <c r="L2601" s="47">
        <f t="shared" si="532"/>
        <v>1210</v>
      </c>
      <c r="M2601" s="47" t="s">
        <v>3985</v>
      </c>
      <c r="N2601" s="47"/>
      <c r="O2601" s="47" t="s">
        <v>4048</v>
      </c>
      <c r="P2601" s="47"/>
      <c r="Q2601" s="47"/>
      <c r="R2601" s="47"/>
      <c r="S2601" s="47"/>
      <c r="T2601" s="47">
        <f t="shared" si="533"/>
        <v>780</v>
      </c>
      <c r="U2601" s="47"/>
      <c r="V2601" s="47"/>
      <c r="W2601" s="47"/>
      <c r="X2601" s="47"/>
      <c r="Y2601" s="47"/>
      <c r="Z2601" s="47">
        <f t="shared" si="534"/>
        <v>4620</v>
      </c>
      <c r="AA2601" s="47"/>
      <c r="AB2601" s="47"/>
      <c r="AC2601" s="47">
        <f t="shared" si="535"/>
        <v>5200</v>
      </c>
      <c r="AD2601" s="47"/>
      <c r="AE2601" s="47"/>
      <c r="AF2601" s="47"/>
      <c r="AG2601" s="47"/>
      <c r="AH2601" s="47" t="str">
        <f>IFERROR(_xlfn.XLOOKUP(Table6[[#This Row],[Suburb]],Table5[Travel Surcharge],Table5[$$]),"")</f>
        <v/>
      </c>
      <c r="AI2601" s="47"/>
      <c r="AJ2601" s="47"/>
    </row>
    <row r="2602" spans="1:36">
      <c r="A2602" s="374" t="s">
        <v>4047</v>
      </c>
      <c r="B2602" s="374">
        <v>49</v>
      </c>
      <c r="C2602" s="374" t="s">
        <v>631</v>
      </c>
      <c r="D2602" s="375" t="str">
        <f t="shared" si="530"/>
        <v>Mandalay Estate49</v>
      </c>
      <c r="E2602" s="375" t="s">
        <v>4071</v>
      </c>
      <c r="F2602" s="375" t="s">
        <v>1440</v>
      </c>
      <c r="G2602" s="375" t="s">
        <v>3983</v>
      </c>
      <c r="H2602" s="375" t="s">
        <v>3872</v>
      </c>
      <c r="I2602" s="63" t="s">
        <v>3984</v>
      </c>
      <c r="J2602" s="47">
        <f t="shared" si="531"/>
        <v>3740</v>
      </c>
      <c r="K2602" s="46" t="s">
        <v>7938</v>
      </c>
      <c r="L2602" s="47">
        <f t="shared" si="532"/>
        <v>1210</v>
      </c>
      <c r="M2602" s="47" t="s">
        <v>3985</v>
      </c>
      <c r="N2602" s="47"/>
      <c r="O2602" s="47" t="s">
        <v>4048</v>
      </c>
      <c r="P2602" s="47"/>
      <c r="Q2602" s="47"/>
      <c r="R2602" s="47"/>
      <c r="S2602" s="47"/>
      <c r="T2602" s="47">
        <f t="shared" si="533"/>
        <v>780</v>
      </c>
      <c r="U2602" s="47"/>
      <c r="V2602" s="47"/>
      <c r="W2602" s="47"/>
      <c r="X2602" s="47"/>
      <c r="Y2602" s="47"/>
      <c r="Z2602" s="47">
        <f t="shared" si="534"/>
        <v>4620</v>
      </c>
      <c r="AA2602" s="47"/>
      <c r="AB2602" s="47"/>
      <c r="AC2602" s="47">
        <f t="shared" si="535"/>
        <v>5200</v>
      </c>
      <c r="AD2602" s="47"/>
      <c r="AE2602" s="47"/>
      <c r="AF2602" s="47"/>
      <c r="AG2602" s="47"/>
      <c r="AH2602" s="47" t="str">
        <f>IFERROR(_xlfn.XLOOKUP(Table6[[#This Row],[Suburb]],Table5[Travel Surcharge],Table5[$$]),"")</f>
        <v/>
      </c>
      <c r="AI2602" s="47"/>
      <c r="AJ2602" s="47"/>
    </row>
    <row r="2603" spans="1:36">
      <c r="A2603" s="374" t="s">
        <v>4047</v>
      </c>
      <c r="B2603" s="374">
        <v>50</v>
      </c>
      <c r="C2603" s="374" t="s">
        <v>631</v>
      </c>
      <c r="D2603" s="375" t="str">
        <f t="shared" si="530"/>
        <v>Mandalay Estate50</v>
      </c>
      <c r="E2603" s="375" t="s">
        <v>4072</v>
      </c>
      <c r="F2603" s="375" t="s">
        <v>1440</v>
      </c>
      <c r="G2603" s="375" t="s">
        <v>3983</v>
      </c>
      <c r="H2603" s="375" t="s">
        <v>3872</v>
      </c>
      <c r="I2603" s="63" t="s">
        <v>3984</v>
      </c>
      <c r="J2603" s="47">
        <f t="shared" si="531"/>
        <v>3740</v>
      </c>
      <c r="K2603" s="46" t="s">
        <v>7938</v>
      </c>
      <c r="L2603" s="47">
        <f t="shared" si="532"/>
        <v>1210</v>
      </c>
      <c r="M2603" s="47" t="s">
        <v>3985</v>
      </c>
      <c r="N2603" s="47"/>
      <c r="O2603" s="47" t="s">
        <v>4048</v>
      </c>
      <c r="P2603" s="47"/>
      <c r="Q2603" s="47"/>
      <c r="R2603" s="47"/>
      <c r="S2603" s="47"/>
      <c r="T2603" s="47">
        <f t="shared" si="533"/>
        <v>780</v>
      </c>
      <c r="U2603" s="47"/>
      <c r="V2603" s="47"/>
      <c r="W2603" s="47"/>
      <c r="X2603" s="47"/>
      <c r="Y2603" s="47"/>
      <c r="Z2603" s="47">
        <f t="shared" si="534"/>
        <v>4620</v>
      </c>
      <c r="AA2603" s="47"/>
      <c r="AB2603" s="47"/>
      <c r="AC2603" s="47">
        <f t="shared" si="535"/>
        <v>5200</v>
      </c>
      <c r="AD2603" s="47"/>
      <c r="AE2603" s="47"/>
      <c r="AF2603" s="47"/>
      <c r="AG2603" s="47"/>
      <c r="AH2603" s="47" t="str">
        <f>IFERROR(_xlfn.XLOOKUP(Table6[[#This Row],[Suburb]],Table5[Travel Surcharge],Table5[$$]),"")</f>
        <v/>
      </c>
      <c r="AI2603" s="47"/>
      <c r="AJ2603" s="47"/>
    </row>
    <row r="2604" spans="1:36">
      <c r="A2604" s="374" t="s">
        <v>4047</v>
      </c>
      <c r="B2604" s="374">
        <v>51</v>
      </c>
      <c r="C2604" s="374" t="s">
        <v>631</v>
      </c>
      <c r="D2604" s="375" t="str">
        <f t="shared" si="530"/>
        <v>Mandalay Estate51</v>
      </c>
      <c r="E2604" s="375" t="s">
        <v>4073</v>
      </c>
      <c r="F2604" s="375" t="s">
        <v>1440</v>
      </c>
      <c r="G2604" s="375" t="s">
        <v>3983</v>
      </c>
      <c r="H2604" s="375" t="s">
        <v>3872</v>
      </c>
      <c r="I2604" s="63" t="s">
        <v>3984</v>
      </c>
      <c r="J2604" s="47">
        <f t="shared" si="531"/>
        <v>3740</v>
      </c>
      <c r="K2604" s="46" t="s">
        <v>7938</v>
      </c>
      <c r="L2604" s="47">
        <f t="shared" si="532"/>
        <v>1210</v>
      </c>
      <c r="M2604" s="47" t="s">
        <v>3985</v>
      </c>
      <c r="N2604" s="47"/>
      <c r="O2604" s="47" t="s">
        <v>4048</v>
      </c>
      <c r="P2604" s="47"/>
      <c r="Q2604" s="47"/>
      <c r="R2604" s="47"/>
      <c r="S2604" s="47"/>
      <c r="T2604" s="47">
        <f t="shared" si="533"/>
        <v>780</v>
      </c>
      <c r="U2604" s="47"/>
      <c r="V2604" s="47"/>
      <c r="W2604" s="47"/>
      <c r="X2604" s="47"/>
      <c r="Y2604" s="47"/>
      <c r="Z2604" s="47">
        <f t="shared" si="534"/>
        <v>4620</v>
      </c>
      <c r="AA2604" s="47"/>
      <c r="AB2604" s="47"/>
      <c r="AC2604" s="47">
        <f t="shared" si="535"/>
        <v>5200</v>
      </c>
      <c r="AD2604" s="47"/>
      <c r="AE2604" s="47"/>
      <c r="AF2604" s="47"/>
      <c r="AG2604" s="47"/>
      <c r="AH2604" s="47" t="str">
        <f>IFERROR(_xlfn.XLOOKUP(Table6[[#This Row],[Suburb]],Table5[Travel Surcharge],Table5[$$]),"")</f>
        <v/>
      </c>
      <c r="AI2604" s="47"/>
      <c r="AJ2604" s="47"/>
    </row>
    <row r="2605" spans="1:36">
      <c r="A2605" s="374" t="s">
        <v>4047</v>
      </c>
      <c r="B2605" s="374">
        <v>54</v>
      </c>
      <c r="C2605" s="374" t="s">
        <v>631</v>
      </c>
      <c r="D2605" s="375" t="str">
        <f t="shared" si="530"/>
        <v>Mandalay Estate54</v>
      </c>
      <c r="E2605" s="375" t="s">
        <v>4074</v>
      </c>
      <c r="F2605" s="375" t="s">
        <v>1440</v>
      </c>
      <c r="G2605" s="375" t="s">
        <v>3983</v>
      </c>
      <c r="H2605" s="375" t="s">
        <v>3872</v>
      </c>
      <c r="I2605" s="63" t="s">
        <v>3984</v>
      </c>
      <c r="J2605" s="47">
        <f t="shared" si="531"/>
        <v>3740</v>
      </c>
      <c r="K2605" s="46" t="s">
        <v>7938</v>
      </c>
      <c r="L2605" s="47">
        <f t="shared" si="532"/>
        <v>1210</v>
      </c>
      <c r="M2605" s="47" t="s">
        <v>3985</v>
      </c>
      <c r="N2605" s="47"/>
      <c r="O2605" s="47" t="s">
        <v>4048</v>
      </c>
      <c r="P2605" s="47"/>
      <c r="Q2605" s="47"/>
      <c r="R2605" s="47"/>
      <c r="S2605" s="47"/>
      <c r="T2605" s="47">
        <f t="shared" si="533"/>
        <v>780</v>
      </c>
      <c r="U2605" s="47"/>
      <c r="V2605" s="47"/>
      <c r="W2605" s="47"/>
      <c r="X2605" s="47"/>
      <c r="Y2605" s="47"/>
      <c r="Z2605" s="47">
        <f t="shared" si="534"/>
        <v>4620</v>
      </c>
      <c r="AA2605" s="47"/>
      <c r="AB2605" s="47"/>
      <c r="AC2605" s="47">
        <f t="shared" si="535"/>
        <v>5200</v>
      </c>
      <c r="AD2605" s="47"/>
      <c r="AE2605" s="47"/>
      <c r="AF2605" s="47"/>
      <c r="AG2605" s="47"/>
      <c r="AH2605" s="47" t="str">
        <f>IFERROR(_xlfn.XLOOKUP(Table6[[#This Row],[Suburb]],Table5[Travel Surcharge],Table5[$$]),"")</f>
        <v/>
      </c>
      <c r="AI2605" s="47"/>
      <c r="AJ2605" s="47"/>
    </row>
    <row r="2606" spans="1:36">
      <c r="A2606" s="374" t="s">
        <v>4047</v>
      </c>
      <c r="B2606" s="374">
        <v>55</v>
      </c>
      <c r="C2606" s="374" t="s">
        <v>631</v>
      </c>
      <c r="D2606" s="375" t="str">
        <f t="shared" si="530"/>
        <v>Mandalay Estate55</v>
      </c>
      <c r="E2606" s="375" t="s">
        <v>4075</v>
      </c>
      <c r="F2606" s="375" t="s">
        <v>1440</v>
      </c>
      <c r="G2606" s="375" t="s">
        <v>3983</v>
      </c>
      <c r="H2606" s="375" t="s">
        <v>3872</v>
      </c>
      <c r="I2606" s="63" t="s">
        <v>3984</v>
      </c>
      <c r="J2606" s="47">
        <f t="shared" si="531"/>
        <v>3740</v>
      </c>
      <c r="K2606" s="46" t="s">
        <v>7938</v>
      </c>
      <c r="L2606" s="47">
        <f t="shared" si="532"/>
        <v>1210</v>
      </c>
      <c r="M2606" s="47" t="s">
        <v>3985</v>
      </c>
      <c r="N2606" s="47"/>
      <c r="O2606" s="47" t="s">
        <v>4048</v>
      </c>
      <c r="P2606" s="47"/>
      <c r="Q2606" s="47"/>
      <c r="R2606" s="47"/>
      <c r="S2606" s="47"/>
      <c r="T2606" s="47">
        <f t="shared" si="533"/>
        <v>780</v>
      </c>
      <c r="U2606" s="47"/>
      <c r="V2606" s="47"/>
      <c r="W2606" s="47"/>
      <c r="X2606" s="47"/>
      <c r="Y2606" s="47"/>
      <c r="Z2606" s="47">
        <f t="shared" si="534"/>
        <v>4620</v>
      </c>
      <c r="AA2606" s="47"/>
      <c r="AB2606" s="47"/>
      <c r="AC2606" s="47">
        <f t="shared" si="535"/>
        <v>5200</v>
      </c>
      <c r="AD2606" s="47"/>
      <c r="AE2606" s="47"/>
      <c r="AF2606" s="47"/>
      <c r="AG2606" s="47"/>
      <c r="AH2606" s="47" t="str">
        <f>IFERROR(_xlfn.XLOOKUP(Table6[[#This Row],[Suburb]],Table5[Travel Surcharge],Table5[$$]),"")</f>
        <v/>
      </c>
      <c r="AI2606" s="47"/>
      <c r="AJ2606" s="47"/>
    </row>
    <row r="2607" spans="1:36">
      <c r="A2607" s="374" t="s">
        <v>4047</v>
      </c>
      <c r="B2607" s="374">
        <v>56</v>
      </c>
      <c r="C2607" s="374" t="s">
        <v>631</v>
      </c>
      <c r="D2607" s="375" t="str">
        <f t="shared" si="530"/>
        <v>Mandalay Estate56</v>
      </c>
      <c r="E2607" s="375" t="s">
        <v>4076</v>
      </c>
      <c r="F2607" s="375" t="s">
        <v>1440</v>
      </c>
      <c r="G2607" s="375" t="s">
        <v>3983</v>
      </c>
      <c r="H2607" s="375" t="s">
        <v>3872</v>
      </c>
      <c r="I2607" s="63" t="s">
        <v>3984</v>
      </c>
      <c r="J2607" s="47">
        <f t="shared" si="531"/>
        <v>3740</v>
      </c>
      <c r="K2607" s="46" t="s">
        <v>7938</v>
      </c>
      <c r="L2607" s="47">
        <f t="shared" si="532"/>
        <v>1210</v>
      </c>
      <c r="M2607" s="47" t="s">
        <v>3985</v>
      </c>
      <c r="N2607" s="47"/>
      <c r="O2607" s="47" t="s">
        <v>4048</v>
      </c>
      <c r="P2607" s="47"/>
      <c r="Q2607" s="47"/>
      <c r="R2607" s="47"/>
      <c r="S2607" s="47"/>
      <c r="T2607" s="47">
        <f t="shared" si="533"/>
        <v>780</v>
      </c>
      <c r="U2607" s="47"/>
      <c r="V2607" s="47"/>
      <c r="W2607" s="47"/>
      <c r="X2607" s="47"/>
      <c r="Y2607" s="47"/>
      <c r="Z2607" s="47">
        <f t="shared" si="534"/>
        <v>4620</v>
      </c>
      <c r="AA2607" s="47"/>
      <c r="AB2607" s="47"/>
      <c r="AC2607" s="47">
        <f t="shared" si="535"/>
        <v>5200</v>
      </c>
      <c r="AD2607" s="47"/>
      <c r="AE2607" s="47"/>
      <c r="AF2607" s="47"/>
      <c r="AG2607" s="47"/>
      <c r="AH2607" s="47" t="str">
        <f>IFERROR(_xlfn.XLOOKUP(Table6[[#This Row],[Suburb]],Table5[Travel Surcharge],Table5[$$]),"")</f>
        <v/>
      </c>
      <c r="AI2607" s="47"/>
      <c r="AJ2607" s="47"/>
    </row>
    <row r="2608" spans="1:36">
      <c r="A2608" s="374" t="s">
        <v>4047</v>
      </c>
      <c r="B2608" s="374">
        <v>63</v>
      </c>
      <c r="C2608" s="374" t="s">
        <v>631</v>
      </c>
      <c r="D2608" s="375" t="str">
        <f t="shared" si="530"/>
        <v>Mandalay Estate63</v>
      </c>
      <c r="E2608" s="375" t="s">
        <v>4077</v>
      </c>
      <c r="F2608" s="375" t="s">
        <v>1440</v>
      </c>
      <c r="G2608" s="375" t="s">
        <v>3983</v>
      </c>
      <c r="H2608" s="375" t="s">
        <v>3872</v>
      </c>
      <c r="I2608" s="63" t="s">
        <v>3984</v>
      </c>
      <c r="J2608" s="47">
        <f t="shared" si="531"/>
        <v>3740</v>
      </c>
      <c r="K2608" s="46" t="s">
        <v>7938</v>
      </c>
      <c r="L2608" s="47">
        <f t="shared" si="532"/>
        <v>1210</v>
      </c>
      <c r="M2608" s="47" t="s">
        <v>3985</v>
      </c>
      <c r="N2608" s="47"/>
      <c r="O2608" s="47" t="s">
        <v>4048</v>
      </c>
      <c r="P2608" s="47"/>
      <c r="Q2608" s="47"/>
      <c r="R2608" s="47"/>
      <c r="S2608" s="47"/>
      <c r="T2608" s="47">
        <f t="shared" si="533"/>
        <v>780</v>
      </c>
      <c r="U2608" s="47"/>
      <c r="V2608" s="47"/>
      <c r="W2608" s="47"/>
      <c r="X2608" s="47"/>
      <c r="Y2608" s="47"/>
      <c r="Z2608" s="47">
        <f t="shared" si="534"/>
        <v>4620</v>
      </c>
      <c r="AA2608" s="47"/>
      <c r="AB2608" s="47"/>
      <c r="AC2608" s="47">
        <f t="shared" si="535"/>
        <v>5200</v>
      </c>
      <c r="AD2608" s="47"/>
      <c r="AE2608" s="47"/>
      <c r="AF2608" s="47"/>
      <c r="AG2608" s="47"/>
      <c r="AH2608" s="47" t="str">
        <f>IFERROR(_xlfn.XLOOKUP(Table6[[#This Row],[Suburb]],Table5[Travel Surcharge],Table5[$$]),"")</f>
        <v/>
      </c>
      <c r="AI2608" s="47"/>
      <c r="AJ2608" s="47"/>
    </row>
    <row r="2609" spans="1:36">
      <c r="A2609" s="374" t="s">
        <v>4047</v>
      </c>
      <c r="B2609" s="374">
        <v>64</v>
      </c>
      <c r="C2609" s="374" t="s">
        <v>631</v>
      </c>
      <c r="D2609" s="375" t="str">
        <f t="shared" si="530"/>
        <v>Mandalay Estate64</v>
      </c>
      <c r="E2609" s="375" t="s">
        <v>4078</v>
      </c>
      <c r="F2609" s="375" t="s">
        <v>1440</v>
      </c>
      <c r="G2609" s="375" t="s">
        <v>3983</v>
      </c>
      <c r="H2609" s="375" t="s">
        <v>3872</v>
      </c>
      <c r="I2609" s="63" t="s">
        <v>3984</v>
      </c>
      <c r="J2609" s="47">
        <f t="shared" si="531"/>
        <v>3740</v>
      </c>
      <c r="K2609" s="46" t="s">
        <v>7938</v>
      </c>
      <c r="L2609" s="47">
        <f t="shared" si="532"/>
        <v>1210</v>
      </c>
      <c r="M2609" s="47" t="s">
        <v>3985</v>
      </c>
      <c r="N2609" s="47"/>
      <c r="O2609" s="47" t="s">
        <v>4048</v>
      </c>
      <c r="P2609" s="47"/>
      <c r="Q2609" s="47"/>
      <c r="R2609" s="47"/>
      <c r="S2609" s="47"/>
      <c r="T2609" s="47">
        <f t="shared" si="533"/>
        <v>780</v>
      </c>
      <c r="U2609" s="47"/>
      <c r="V2609" s="47"/>
      <c r="W2609" s="47"/>
      <c r="X2609" s="47"/>
      <c r="Y2609" s="47"/>
      <c r="Z2609" s="47">
        <f t="shared" si="534"/>
        <v>4620</v>
      </c>
      <c r="AA2609" s="47"/>
      <c r="AB2609" s="47"/>
      <c r="AC2609" s="47">
        <f t="shared" si="535"/>
        <v>5200</v>
      </c>
      <c r="AD2609" s="47"/>
      <c r="AE2609" s="47"/>
      <c r="AF2609" s="47"/>
      <c r="AG2609" s="47"/>
      <c r="AH2609" s="47" t="str">
        <f>IFERROR(_xlfn.XLOOKUP(Table6[[#This Row],[Suburb]],Table5[Travel Surcharge],Table5[$$]),"")</f>
        <v/>
      </c>
      <c r="AI2609" s="47"/>
      <c r="AJ2609" s="47"/>
    </row>
    <row r="2610" spans="1:36">
      <c r="A2610" s="374" t="s">
        <v>4047</v>
      </c>
      <c r="B2610" s="374">
        <v>65</v>
      </c>
      <c r="C2610" s="374" t="s">
        <v>631</v>
      </c>
      <c r="D2610" s="375" t="str">
        <f t="shared" si="530"/>
        <v>Mandalay Estate65</v>
      </c>
      <c r="E2610" s="375" t="s">
        <v>4079</v>
      </c>
      <c r="F2610" s="375" t="s">
        <v>1440</v>
      </c>
      <c r="G2610" s="375" t="s">
        <v>3983</v>
      </c>
      <c r="H2610" s="375" t="s">
        <v>3872</v>
      </c>
      <c r="I2610" s="63" t="s">
        <v>3984</v>
      </c>
      <c r="J2610" s="47">
        <f t="shared" si="531"/>
        <v>3740</v>
      </c>
      <c r="K2610" s="46" t="s">
        <v>7938</v>
      </c>
      <c r="L2610" s="47">
        <f t="shared" si="532"/>
        <v>1210</v>
      </c>
      <c r="M2610" s="47" t="s">
        <v>3985</v>
      </c>
      <c r="N2610" s="47"/>
      <c r="O2610" s="47" t="s">
        <v>4048</v>
      </c>
      <c r="P2610" s="47"/>
      <c r="Q2610" s="47"/>
      <c r="R2610" s="47"/>
      <c r="S2610" s="47"/>
      <c r="T2610" s="47">
        <f t="shared" si="533"/>
        <v>780</v>
      </c>
      <c r="U2610" s="47"/>
      <c r="V2610" s="47"/>
      <c r="W2610" s="47"/>
      <c r="X2610" s="47"/>
      <c r="Y2610" s="47"/>
      <c r="Z2610" s="47">
        <f t="shared" si="534"/>
        <v>4620</v>
      </c>
      <c r="AA2610" s="47"/>
      <c r="AB2610" s="47"/>
      <c r="AC2610" s="47">
        <f t="shared" si="535"/>
        <v>5200</v>
      </c>
      <c r="AD2610" s="47"/>
      <c r="AE2610" s="47"/>
      <c r="AF2610" s="47"/>
      <c r="AG2610" s="47"/>
      <c r="AH2610" s="47" t="str">
        <f>IFERROR(_xlfn.XLOOKUP(Table6[[#This Row],[Suburb]],Table5[Travel Surcharge],Table5[$$]),"")</f>
        <v/>
      </c>
      <c r="AI2610" s="47"/>
      <c r="AJ2610" s="47"/>
    </row>
    <row r="2611" spans="1:36">
      <c r="A2611" s="374" t="s">
        <v>4047</v>
      </c>
      <c r="B2611" s="374">
        <v>66</v>
      </c>
      <c r="C2611" s="374" t="s">
        <v>631</v>
      </c>
      <c r="D2611" s="375" t="str">
        <f t="shared" si="530"/>
        <v>Mandalay Estate66</v>
      </c>
      <c r="E2611" s="375" t="s">
        <v>4080</v>
      </c>
      <c r="F2611" s="375" t="s">
        <v>1440</v>
      </c>
      <c r="G2611" s="375" t="s">
        <v>3983</v>
      </c>
      <c r="H2611" s="375" t="s">
        <v>3872</v>
      </c>
      <c r="I2611" s="63" t="s">
        <v>3984</v>
      </c>
      <c r="J2611" s="47">
        <f t="shared" si="531"/>
        <v>3740</v>
      </c>
      <c r="K2611" s="46" t="s">
        <v>7938</v>
      </c>
      <c r="L2611" s="47">
        <f t="shared" si="532"/>
        <v>1210</v>
      </c>
      <c r="M2611" s="47" t="s">
        <v>3985</v>
      </c>
      <c r="N2611" s="47"/>
      <c r="O2611" s="47" t="s">
        <v>4048</v>
      </c>
      <c r="P2611" s="47"/>
      <c r="Q2611" s="47"/>
      <c r="R2611" s="47"/>
      <c r="S2611" s="47"/>
      <c r="T2611" s="47">
        <f t="shared" si="533"/>
        <v>780</v>
      </c>
      <c r="U2611" s="47"/>
      <c r="V2611" s="47"/>
      <c r="W2611" s="47"/>
      <c r="X2611" s="47"/>
      <c r="Y2611" s="47"/>
      <c r="Z2611" s="47">
        <f t="shared" si="534"/>
        <v>4620</v>
      </c>
      <c r="AA2611" s="47"/>
      <c r="AB2611" s="47"/>
      <c r="AC2611" s="47">
        <f t="shared" si="535"/>
        <v>5200</v>
      </c>
      <c r="AD2611" s="47"/>
      <c r="AE2611" s="47"/>
      <c r="AF2611" s="47"/>
      <c r="AG2611" s="47"/>
      <c r="AH2611" s="47" t="str">
        <f>IFERROR(_xlfn.XLOOKUP(Table6[[#This Row],[Suburb]],Table5[Travel Surcharge],Table5[$$]),"")</f>
        <v/>
      </c>
      <c r="AI2611" s="47"/>
      <c r="AJ2611" s="47"/>
    </row>
    <row r="2612" spans="1:36">
      <c r="A2612" s="374" t="s">
        <v>4047</v>
      </c>
      <c r="B2612" s="374">
        <v>67</v>
      </c>
      <c r="C2612" s="374" t="s">
        <v>631</v>
      </c>
      <c r="D2612" s="375" t="str">
        <f t="shared" si="530"/>
        <v>Mandalay Estate67</v>
      </c>
      <c r="E2612" s="375" t="s">
        <v>4081</v>
      </c>
      <c r="F2612" s="375" t="s">
        <v>1440</v>
      </c>
      <c r="G2612" s="375" t="s">
        <v>3983</v>
      </c>
      <c r="H2612" s="375" t="s">
        <v>3872</v>
      </c>
      <c r="I2612" s="63" t="s">
        <v>3984</v>
      </c>
      <c r="J2612" s="47">
        <f t="shared" si="531"/>
        <v>3740</v>
      </c>
      <c r="K2612" s="46" t="s">
        <v>7938</v>
      </c>
      <c r="L2612" s="47">
        <f t="shared" si="532"/>
        <v>1210</v>
      </c>
      <c r="M2612" s="47" t="s">
        <v>3985</v>
      </c>
      <c r="N2612" s="47"/>
      <c r="O2612" s="47" t="s">
        <v>4048</v>
      </c>
      <c r="P2612" s="47"/>
      <c r="Q2612" s="47"/>
      <c r="R2612" s="47"/>
      <c r="S2612" s="47"/>
      <c r="T2612" s="47">
        <f t="shared" si="533"/>
        <v>780</v>
      </c>
      <c r="U2612" s="47"/>
      <c r="V2612" s="47"/>
      <c r="W2612" s="47"/>
      <c r="X2612" s="47"/>
      <c r="Y2612" s="47"/>
      <c r="Z2612" s="47">
        <f t="shared" si="534"/>
        <v>4620</v>
      </c>
      <c r="AA2612" s="47"/>
      <c r="AB2612" s="47"/>
      <c r="AC2612" s="47">
        <f t="shared" si="535"/>
        <v>5200</v>
      </c>
      <c r="AD2612" s="47"/>
      <c r="AE2612" s="47"/>
      <c r="AF2612" s="47"/>
      <c r="AG2612" s="47"/>
      <c r="AH2612" s="47" t="str">
        <f>IFERROR(_xlfn.XLOOKUP(Table6[[#This Row],[Suburb]],Table5[Travel Surcharge],Table5[$$]),"")</f>
        <v/>
      </c>
      <c r="AI2612" s="47"/>
      <c r="AJ2612" s="47"/>
    </row>
    <row r="2613" spans="1:36">
      <c r="A2613" s="374" t="s">
        <v>4047</v>
      </c>
      <c r="B2613" s="374" t="s">
        <v>4082</v>
      </c>
      <c r="C2613" s="374" t="s">
        <v>631</v>
      </c>
      <c r="D2613" s="375" t="str">
        <f t="shared" si="530"/>
        <v>Mandalay Estate18A</v>
      </c>
      <c r="E2613" s="375" t="s">
        <v>4083</v>
      </c>
      <c r="F2613" s="375" t="s">
        <v>1440</v>
      </c>
      <c r="G2613" s="375" t="s">
        <v>3983</v>
      </c>
      <c r="H2613" s="375" t="s">
        <v>3872</v>
      </c>
      <c r="I2613" s="63" t="s">
        <v>3984</v>
      </c>
      <c r="J2613" s="47">
        <f t="shared" si="531"/>
        <v>3740</v>
      </c>
      <c r="K2613" s="46" t="s">
        <v>7938</v>
      </c>
      <c r="L2613" s="47">
        <f t="shared" si="532"/>
        <v>1210</v>
      </c>
      <c r="M2613" s="47" t="s">
        <v>3985</v>
      </c>
      <c r="N2613" s="47"/>
      <c r="O2613" s="47" t="s">
        <v>4048</v>
      </c>
      <c r="P2613" s="47"/>
      <c r="Q2613" s="47"/>
      <c r="R2613" s="47"/>
      <c r="S2613" s="47"/>
      <c r="T2613" s="47">
        <f t="shared" si="533"/>
        <v>780</v>
      </c>
      <c r="U2613" s="47"/>
      <c r="V2613" s="47"/>
      <c r="W2613" s="47"/>
      <c r="X2613" s="47"/>
      <c r="Y2613" s="47"/>
      <c r="Z2613" s="47">
        <f t="shared" si="534"/>
        <v>4620</v>
      </c>
      <c r="AA2613" s="47"/>
      <c r="AB2613" s="47"/>
      <c r="AC2613" s="47">
        <f t="shared" si="535"/>
        <v>5200</v>
      </c>
      <c r="AD2613" s="47"/>
      <c r="AE2613" s="47"/>
      <c r="AF2613" s="47"/>
      <c r="AG2613" s="47"/>
      <c r="AH2613" s="47" t="str">
        <f>IFERROR(_xlfn.XLOOKUP(Table6[[#This Row],[Suburb]],Table5[Travel Surcharge],Table5[$$]),"")</f>
        <v/>
      </c>
      <c r="AI2613" s="47"/>
      <c r="AJ2613" s="47"/>
    </row>
    <row r="2614" spans="1:36">
      <c r="A2614" s="374" t="s">
        <v>4047</v>
      </c>
      <c r="B2614" s="374" t="s">
        <v>4084</v>
      </c>
      <c r="C2614" s="374" t="s">
        <v>631</v>
      </c>
      <c r="D2614" s="375" t="str">
        <f t="shared" si="530"/>
        <v>Mandalay Estate23A</v>
      </c>
      <c r="E2614" s="375" t="s">
        <v>4085</v>
      </c>
      <c r="F2614" s="375" t="s">
        <v>1440</v>
      </c>
      <c r="G2614" s="375" t="s">
        <v>3983</v>
      </c>
      <c r="H2614" s="375" t="s">
        <v>3872</v>
      </c>
      <c r="I2614" s="63" t="s">
        <v>3984</v>
      </c>
      <c r="J2614" s="47">
        <f t="shared" si="531"/>
        <v>3740</v>
      </c>
      <c r="K2614" s="46" t="s">
        <v>7938</v>
      </c>
      <c r="L2614" s="47">
        <f t="shared" si="532"/>
        <v>1210</v>
      </c>
      <c r="M2614" s="47" t="s">
        <v>3985</v>
      </c>
      <c r="N2614" s="47"/>
      <c r="O2614" s="47" t="s">
        <v>4048</v>
      </c>
      <c r="P2614" s="47"/>
      <c r="Q2614" s="47"/>
      <c r="R2614" s="47"/>
      <c r="S2614" s="47"/>
      <c r="T2614" s="47">
        <f t="shared" si="533"/>
        <v>780</v>
      </c>
      <c r="U2614" s="47"/>
      <c r="V2614" s="47"/>
      <c r="W2614" s="47"/>
      <c r="X2614" s="47"/>
      <c r="Y2614" s="47"/>
      <c r="Z2614" s="47">
        <f t="shared" si="534"/>
        <v>4620</v>
      </c>
      <c r="AA2614" s="47"/>
      <c r="AB2614" s="47"/>
      <c r="AC2614" s="47">
        <f t="shared" si="535"/>
        <v>5200</v>
      </c>
      <c r="AD2614" s="47"/>
      <c r="AE2614" s="47"/>
      <c r="AF2614" s="47"/>
      <c r="AG2614" s="47"/>
      <c r="AH2614" s="47" t="str">
        <f>IFERROR(_xlfn.XLOOKUP(Table6[[#This Row],[Suburb]],Table5[Travel Surcharge],Table5[$$]),"")</f>
        <v/>
      </c>
      <c r="AI2614" s="47"/>
      <c r="AJ2614" s="47"/>
    </row>
    <row r="2615" spans="1:36">
      <c r="A2615" s="374" t="s">
        <v>4047</v>
      </c>
      <c r="B2615" s="374" t="s">
        <v>4060</v>
      </c>
      <c r="C2615" s="374" t="s">
        <v>631</v>
      </c>
      <c r="D2615" s="375" t="str">
        <f t="shared" si="530"/>
        <v>Mandalay Estate38B</v>
      </c>
      <c r="E2615" s="375" t="s">
        <v>4059</v>
      </c>
      <c r="F2615" s="375" t="s">
        <v>1440</v>
      </c>
      <c r="G2615" s="375" t="s">
        <v>3983</v>
      </c>
      <c r="H2615" s="375" t="s">
        <v>3872</v>
      </c>
      <c r="I2615" s="63" t="s">
        <v>3984</v>
      </c>
      <c r="J2615" s="47">
        <f t="shared" si="531"/>
        <v>3740</v>
      </c>
      <c r="K2615" s="46" t="s">
        <v>7938</v>
      </c>
      <c r="L2615" s="47">
        <f t="shared" si="532"/>
        <v>1210</v>
      </c>
      <c r="M2615" s="47" t="s">
        <v>3985</v>
      </c>
      <c r="N2615" s="47"/>
      <c r="O2615" s="47" t="s">
        <v>4048</v>
      </c>
      <c r="P2615" s="47"/>
      <c r="Q2615" s="47"/>
      <c r="R2615" s="47"/>
      <c r="S2615" s="47"/>
      <c r="T2615" s="47">
        <f t="shared" si="533"/>
        <v>780</v>
      </c>
      <c r="U2615" s="47"/>
      <c r="V2615" s="47"/>
      <c r="W2615" s="47"/>
      <c r="X2615" s="47"/>
      <c r="Y2615" s="47"/>
      <c r="Z2615" s="47">
        <f t="shared" si="534"/>
        <v>4620</v>
      </c>
      <c r="AA2615" s="47"/>
      <c r="AB2615" s="47"/>
      <c r="AC2615" s="47">
        <f t="shared" si="535"/>
        <v>5200</v>
      </c>
      <c r="AD2615" s="47"/>
      <c r="AE2615" s="47"/>
      <c r="AF2615" s="47"/>
      <c r="AG2615" s="47"/>
      <c r="AH2615" s="47" t="str">
        <f>IFERROR(_xlfn.XLOOKUP(Table6[[#This Row],[Suburb]],Table5[Travel Surcharge],Table5[$$]),"")</f>
        <v/>
      </c>
      <c r="AI2615" s="47"/>
      <c r="AJ2615" s="47"/>
    </row>
    <row r="2616" spans="1:36">
      <c r="A2616" s="374" t="s">
        <v>4047</v>
      </c>
      <c r="B2616" s="374" t="s">
        <v>900</v>
      </c>
      <c r="C2616" s="374" t="s">
        <v>631</v>
      </c>
      <c r="D2616" s="375" t="str">
        <f t="shared" si="530"/>
        <v>Mandalay Estate46A</v>
      </c>
      <c r="E2616" s="375" t="s">
        <v>4068</v>
      </c>
      <c r="F2616" s="375" t="s">
        <v>1440</v>
      </c>
      <c r="G2616" s="375" t="s">
        <v>3983</v>
      </c>
      <c r="H2616" s="375" t="s">
        <v>3872</v>
      </c>
      <c r="I2616" s="63" t="s">
        <v>3984</v>
      </c>
      <c r="J2616" s="47">
        <f t="shared" si="531"/>
        <v>3740</v>
      </c>
      <c r="K2616" s="46" t="s">
        <v>7938</v>
      </c>
      <c r="L2616" s="47">
        <f t="shared" si="532"/>
        <v>1210</v>
      </c>
      <c r="M2616" s="47" t="s">
        <v>3985</v>
      </c>
      <c r="N2616" s="47"/>
      <c r="O2616" s="47" t="s">
        <v>4048</v>
      </c>
      <c r="P2616" s="47"/>
      <c r="Q2616" s="47"/>
      <c r="R2616" s="47"/>
      <c r="S2616" s="47"/>
      <c r="T2616" s="47">
        <f t="shared" si="533"/>
        <v>780</v>
      </c>
      <c r="U2616" s="47"/>
      <c r="V2616" s="47"/>
      <c r="W2616" s="47"/>
      <c r="X2616" s="47"/>
      <c r="Y2616" s="47"/>
      <c r="Z2616" s="47">
        <f t="shared" si="534"/>
        <v>4620</v>
      </c>
      <c r="AA2616" s="47"/>
      <c r="AB2616" s="47"/>
      <c r="AC2616" s="47">
        <f t="shared" si="535"/>
        <v>5200</v>
      </c>
      <c r="AD2616" s="47"/>
      <c r="AE2616" s="47"/>
      <c r="AF2616" s="47"/>
      <c r="AG2616" s="47"/>
      <c r="AH2616" s="47" t="str">
        <f>IFERROR(_xlfn.XLOOKUP(Table6[[#This Row],[Suburb]],Table5[Travel Surcharge],Table5[$$]),"")</f>
        <v/>
      </c>
      <c r="AI2616" s="47"/>
      <c r="AJ2616" s="47"/>
    </row>
    <row r="2617" spans="1:36">
      <c r="A2617" s="374" t="s">
        <v>4047</v>
      </c>
      <c r="B2617" s="374" t="s">
        <v>4069</v>
      </c>
      <c r="C2617" s="374" t="s">
        <v>631</v>
      </c>
      <c r="D2617" s="375" t="str">
        <f t="shared" ref="D2617:D2649" si="536">CONCATENATE(A2617,B2617)</f>
        <v>Mandalay Estate47A</v>
      </c>
      <c r="E2617" s="375" t="s">
        <v>4070</v>
      </c>
      <c r="F2617" s="375" t="s">
        <v>1440</v>
      </c>
      <c r="G2617" s="375" t="s">
        <v>3983</v>
      </c>
      <c r="H2617" s="375" t="s">
        <v>3872</v>
      </c>
      <c r="I2617" s="63" t="s">
        <v>3984</v>
      </c>
      <c r="J2617" s="47">
        <f t="shared" si="531"/>
        <v>3740</v>
      </c>
      <c r="K2617" s="46" t="s">
        <v>7938</v>
      </c>
      <c r="L2617" s="47">
        <f t="shared" si="532"/>
        <v>1210</v>
      </c>
      <c r="M2617" s="47" t="s">
        <v>3985</v>
      </c>
      <c r="N2617" s="47"/>
      <c r="O2617" s="47" t="s">
        <v>4048</v>
      </c>
      <c r="P2617" s="47"/>
      <c r="Q2617" s="47"/>
      <c r="R2617" s="47"/>
      <c r="S2617" s="47"/>
      <c r="T2617" s="47">
        <f t="shared" si="533"/>
        <v>780</v>
      </c>
      <c r="U2617" s="47"/>
      <c r="V2617" s="47"/>
      <c r="W2617" s="47"/>
      <c r="X2617" s="47"/>
      <c r="Y2617" s="47"/>
      <c r="Z2617" s="47">
        <f t="shared" ref="Z2617:Z2649" si="537">Z$7</f>
        <v>4620</v>
      </c>
      <c r="AA2617" s="47"/>
      <c r="AB2617" s="47"/>
      <c r="AC2617" s="47">
        <f t="shared" si="535"/>
        <v>5200</v>
      </c>
      <c r="AD2617" s="47"/>
      <c r="AE2617" s="47"/>
      <c r="AF2617" s="47"/>
      <c r="AG2617" s="47"/>
      <c r="AH2617" s="47" t="str">
        <f>IFERROR(_xlfn.XLOOKUP(Table6[[#This Row],[Suburb]],Table5[Travel Surcharge],Table5[$$]),"")</f>
        <v/>
      </c>
      <c r="AI2617" s="47"/>
      <c r="AJ2617" s="47"/>
    </row>
    <row r="2618" spans="1:36">
      <c r="A2618" s="374" t="s">
        <v>4086</v>
      </c>
      <c r="B2618" s="374">
        <v>1</v>
      </c>
      <c r="C2618" s="374" t="s">
        <v>502</v>
      </c>
      <c r="D2618" s="375" t="str">
        <f t="shared" si="536"/>
        <v>Manhatten Place1</v>
      </c>
      <c r="E2618" s="375" t="s">
        <v>4087</v>
      </c>
      <c r="F2618" s="375"/>
      <c r="G2618" s="375"/>
      <c r="H2618" s="375"/>
      <c r="I2618" s="63"/>
      <c r="J2618" s="47">
        <f t="shared" si="531"/>
        <v>3740</v>
      </c>
      <c r="K2618" s="46" t="s">
        <v>7938</v>
      </c>
      <c r="L2618" s="47"/>
      <c r="M2618" s="47"/>
      <c r="N2618" s="47"/>
      <c r="O2618" s="47"/>
      <c r="P2618" s="47"/>
      <c r="Q2618" s="47">
        <f>Q$2</f>
        <v>0</v>
      </c>
      <c r="R2618" s="47"/>
      <c r="S2618" s="47"/>
      <c r="T2618" s="47"/>
      <c r="U2618" s="47"/>
      <c r="V2618" s="47"/>
      <c r="W2618" s="47"/>
      <c r="X2618" s="47"/>
      <c r="Y2618" s="47"/>
      <c r="Z2618" s="47">
        <f t="shared" si="537"/>
        <v>4620</v>
      </c>
      <c r="AA2618" s="47"/>
      <c r="AB2618" s="47"/>
      <c r="AC2618" s="47"/>
      <c r="AD2618" s="47"/>
      <c r="AE2618" s="47"/>
      <c r="AF2618" s="47"/>
      <c r="AG2618" s="47"/>
      <c r="AH2618" s="47" t="str">
        <f>IFERROR(_xlfn.XLOOKUP(Table6[[#This Row],[Suburb]],Table5[Travel Surcharge],Table5[$$]),"")</f>
        <v/>
      </c>
      <c r="AI2618" s="47"/>
      <c r="AJ2618" s="47"/>
    </row>
    <row r="2619" spans="1:36">
      <c r="A2619" s="374" t="s">
        <v>9560</v>
      </c>
      <c r="B2619" s="374">
        <v>1</v>
      </c>
      <c r="C2619" s="374" t="s">
        <v>3457</v>
      </c>
      <c r="D2619" s="375" t="str">
        <f t="shared" si="536"/>
        <v>Mannagum View1</v>
      </c>
      <c r="E2619" s="375" t="s">
        <v>9561</v>
      </c>
      <c r="F2619" s="375"/>
      <c r="G2619" s="375"/>
      <c r="H2619" s="375"/>
      <c r="I2619" s="63"/>
      <c r="J2619" s="47"/>
      <c r="K2619" s="46" t="s">
        <v>10735</v>
      </c>
      <c r="L2619" s="47">
        <f>L$7</f>
        <v>1210</v>
      </c>
      <c r="M2619" s="47" t="s">
        <v>9562</v>
      </c>
      <c r="N2619" s="47"/>
      <c r="O2619" s="47"/>
      <c r="P2619" s="47"/>
      <c r="Q2619" s="47"/>
      <c r="R2619" s="47"/>
      <c r="S2619" s="47" t="s">
        <v>637</v>
      </c>
      <c r="T2619" s="47"/>
      <c r="U2619" s="47"/>
      <c r="V2619" s="47"/>
      <c r="W2619" s="47"/>
      <c r="X2619" s="47"/>
      <c r="Y2619" s="47"/>
      <c r="Z2619" s="47">
        <f t="shared" si="537"/>
        <v>4620</v>
      </c>
      <c r="AA2619" s="47"/>
      <c r="AB2619" s="47"/>
      <c r="AC2619" s="47"/>
      <c r="AD2619" s="47"/>
      <c r="AE2619" s="47"/>
      <c r="AF2619" s="47"/>
      <c r="AG2619" s="47"/>
      <c r="AH2619" s="47">
        <f>IFERROR(_xlfn.XLOOKUP(Table6[[#This Row],[Suburb]],Table5[Travel Surcharge],Table5[$$]),"")</f>
        <v>8000</v>
      </c>
      <c r="AI2619" s="47"/>
      <c r="AJ2619" s="47"/>
    </row>
    <row r="2620" spans="1:36">
      <c r="A2620" s="374" t="s">
        <v>9560</v>
      </c>
      <c r="B2620" s="374">
        <v>2</v>
      </c>
      <c r="C2620" s="374" t="s">
        <v>3457</v>
      </c>
      <c r="D2620" s="375" t="str">
        <f t="shared" si="536"/>
        <v>Mannagum View2</v>
      </c>
      <c r="E2620" s="375" t="s">
        <v>9561</v>
      </c>
      <c r="F2620" s="375"/>
      <c r="G2620" s="375"/>
      <c r="H2620" s="375"/>
      <c r="I2620" s="63"/>
      <c r="J2620" s="47"/>
      <c r="K2620" s="46" t="s">
        <v>10735</v>
      </c>
      <c r="L2620" s="47">
        <v>1210</v>
      </c>
      <c r="M2620" s="47" t="s">
        <v>9562</v>
      </c>
      <c r="N2620" s="47"/>
      <c r="O2620" s="47"/>
      <c r="P2620" s="47"/>
      <c r="Q2620" s="47"/>
      <c r="R2620" s="47"/>
      <c r="S2620" s="47" t="s">
        <v>637</v>
      </c>
      <c r="T2620" s="47"/>
      <c r="U2620" s="47"/>
      <c r="V2620" s="47"/>
      <c r="W2620" s="47"/>
      <c r="X2620" s="47"/>
      <c r="Y2620" s="47"/>
      <c r="Z2620" s="47">
        <v>4620</v>
      </c>
      <c r="AA2620" s="47"/>
      <c r="AB2620" s="47"/>
      <c r="AC2620" s="47"/>
      <c r="AD2620" s="47"/>
      <c r="AE2620" s="47"/>
      <c r="AF2620" s="47"/>
      <c r="AG2620" s="47"/>
      <c r="AH2620" s="47">
        <v>8000</v>
      </c>
      <c r="AI2620" s="47"/>
      <c r="AJ2620" s="47"/>
    </row>
    <row r="2621" spans="1:36">
      <c r="A2621" s="374" t="s">
        <v>4088</v>
      </c>
      <c r="B2621" s="374">
        <v>135</v>
      </c>
      <c r="C2621" s="374" t="s">
        <v>2060</v>
      </c>
      <c r="D2621" s="375" t="str">
        <f t="shared" si="536"/>
        <v>Manor Lakes - Lollipop Hill Estate135</v>
      </c>
      <c r="E2621" s="375" t="s">
        <v>4089</v>
      </c>
      <c r="F2621" s="375" t="s">
        <v>4090</v>
      </c>
      <c r="G2621" s="375" t="s">
        <v>4091</v>
      </c>
      <c r="H2621" s="375" t="s">
        <v>4092</v>
      </c>
      <c r="I2621" s="63" t="s">
        <v>4093</v>
      </c>
      <c r="J2621" s="47">
        <f t="shared" ref="J2621:J2668" si="538">J$7</f>
        <v>3740</v>
      </c>
      <c r="K2621" s="46" t="s">
        <v>10735</v>
      </c>
      <c r="L2621" s="47"/>
      <c r="M2621" s="47">
        <f t="shared" ref="M2621:M2651" si="539">M$7</f>
        <v>1430.0000000000002</v>
      </c>
      <c r="N2621" s="47" t="s">
        <v>4094</v>
      </c>
      <c r="O2621" s="47"/>
      <c r="P2621" s="47"/>
      <c r="Q2621" s="47"/>
      <c r="R2621" s="47">
        <f t="shared" ref="R2621:R2668" si="540">R$2</f>
        <v>540</v>
      </c>
      <c r="S2621" s="47" t="s">
        <v>4095</v>
      </c>
      <c r="T2621" s="47" t="s">
        <v>4096</v>
      </c>
      <c r="U2621" s="47"/>
      <c r="V2621" s="47" t="s">
        <v>4097</v>
      </c>
      <c r="W2621" s="47"/>
      <c r="X2621" s="47"/>
      <c r="Y2621" s="47"/>
      <c r="Z2621" s="47">
        <f t="shared" si="537"/>
        <v>4620</v>
      </c>
      <c r="AA2621" s="47">
        <f t="shared" ref="AA2621:AA2668" si="541">AA$7</f>
        <v>1400</v>
      </c>
      <c r="AB2621" s="47"/>
      <c r="AC2621" s="47"/>
      <c r="AD2621" s="47"/>
      <c r="AE2621" s="47">
        <f t="shared" ref="AE2621:AF2651" si="542">AE$7</f>
        <v>5000</v>
      </c>
      <c r="AF2621" s="47">
        <f t="shared" si="542"/>
        <v>1485</v>
      </c>
      <c r="AG2621" s="47"/>
      <c r="AH2621" s="47" t="str">
        <f>IFERROR(_xlfn.XLOOKUP(Table6[[#This Row],[Suburb]],Table5[Travel Surcharge],Table5[$$]),"")</f>
        <v/>
      </c>
      <c r="AI2621" s="47">
        <f t="shared" ref="AI2621:AI2651" si="543">AI$7</f>
        <v>1650.0000000000002</v>
      </c>
      <c r="AJ2621" s="47"/>
    </row>
    <row r="2622" spans="1:36">
      <c r="A2622" s="374" t="s">
        <v>4088</v>
      </c>
      <c r="B2622" s="374">
        <v>136</v>
      </c>
      <c r="C2622" s="374" t="s">
        <v>2060</v>
      </c>
      <c r="D2622" s="375" t="str">
        <f t="shared" si="536"/>
        <v>Manor Lakes - Lollipop Hill Estate136</v>
      </c>
      <c r="E2622" s="375" t="s">
        <v>4098</v>
      </c>
      <c r="F2622" s="375" t="s">
        <v>4090</v>
      </c>
      <c r="G2622" s="375" t="s">
        <v>4091</v>
      </c>
      <c r="H2622" s="375" t="s">
        <v>4092</v>
      </c>
      <c r="I2622" s="63" t="s">
        <v>4093</v>
      </c>
      <c r="J2622" s="47">
        <f t="shared" si="538"/>
        <v>3740</v>
      </c>
      <c r="K2622" s="46" t="s">
        <v>10735</v>
      </c>
      <c r="L2622" s="47"/>
      <c r="M2622" s="47">
        <f t="shared" si="539"/>
        <v>1430.0000000000002</v>
      </c>
      <c r="N2622" s="47" t="s">
        <v>4094</v>
      </c>
      <c r="O2622" s="47"/>
      <c r="P2622" s="47"/>
      <c r="Q2622" s="47"/>
      <c r="R2622" s="47">
        <f t="shared" si="540"/>
        <v>540</v>
      </c>
      <c r="S2622" s="47" t="s">
        <v>4095</v>
      </c>
      <c r="T2622" s="47" t="s">
        <v>4096</v>
      </c>
      <c r="U2622" s="47"/>
      <c r="V2622" s="47" t="s">
        <v>4097</v>
      </c>
      <c r="W2622" s="47"/>
      <c r="X2622" s="47"/>
      <c r="Y2622" s="47"/>
      <c r="Z2622" s="47">
        <f t="shared" si="537"/>
        <v>4620</v>
      </c>
      <c r="AA2622" s="47">
        <f t="shared" si="541"/>
        <v>1400</v>
      </c>
      <c r="AB2622" s="47"/>
      <c r="AC2622" s="47"/>
      <c r="AD2622" s="47"/>
      <c r="AE2622" s="47">
        <f t="shared" si="542"/>
        <v>5000</v>
      </c>
      <c r="AF2622" s="47">
        <f t="shared" si="542"/>
        <v>1485</v>
      </c>
      <c r="AG2622" s="47"/>
      <c r="AH2622" s="47" t="str">
        <f>IFERROR(_xlfn.XLOOKUP(Table6[[#This Row],[Suburb]],Table5[Travel Surcharge],Table5[$$]),"")</f>
        <v/>
      </c>
      <c r="AI2622" s="47">
        <f t="shared" si="543"/>
        <v>1650.0000000000002</v>
      </c>
      <c r="AJ2622" s="47"/>
    </row>
    <row r="2623" spans="1:36">
      <c r="A2623" s="374" t="s">
        <v>4088</v>
      </c>
      <c r="B2623" s="374">
        <v>138</v>
      </c>
      <c r="C2623" s="374" t="s">
        <v>2060</v>
      </c>
      <c r="D2623" s="375" t="str">
        <f t="shared" si="536"/>
        <v>Manor Lakes - Lollipop Hill Estate138</v>
      </c>
      <c r="E2623" s="375" t="s">
        <v>4099</v>
      </c>
      <c r="F2623" s="375" t="s">
        <v>4090</v>
      </c>
      <c r="G2623" s="375" t="s">
        <v>4091</v>
      </c>
      <c r="H2623" s="375" t="s">
        <v>4092</v>
      </c>
      <c r="I2623" s="63" t="s">
        <v>4093</v>
      </c>
      <c r="J2623" s="47">
        <f t="shared" si="538"/>
        <v>3740</v>
      </c>
      <c r="K2623" s="46" t="s">
        <v>10735</v>
      </c>
      <c r="L2623" s="47"/>
      <c r="M2623" s="47">
        <f t="shared" si="539"/>
        <v>1430.0000000000002</v>
      </c>
      <c r="N2623" s="47" t="s">
        <v>4094</v>
      </c>
      <c r="O2623" s="47"/>
      <c r="P2623" s="47"/>
      <c r="Q2623" s="47"/>
      <c r="R2623" s="47">
        <f t="shared" si="540"/>
        <v>540</v>
      </c>
      <c r="S2623" s="47" t="s">
        <v>4095</v>
      </c>
      <c r="T2623" s="47" t="s">
        <v>4096</v>
      </c>
      <c r="U2623" s="47"/>
      <c r="V2623" s="47" t="s">
        <v>4097</v>
      </c>
      <c r="W2623" s="47"/>
      <c r="X2623" s="47"/>
      <c r="Y2623" s="47"/>
      <c r="Z2623" s="47">
        <f t="shared" si="537"/>
        <v>4620</v>
      </c>
      <c r="AA2623" s="47">
        <f t="shared" si="541"/>
        <v>1400</v>
      </c>
      <c r="AB2623" s="47"/>
      <c r="AC2623" s="47"/>
      <c r="AD2623" s="47"/>
      <c r="AE2623" s="47">
        <f t="shared" si="542"/>
        <v>5000</v>
      </c>
      <c r="AF2623" s="47">
        <f t="shared" si="542"/>
        <v>1485</v>
      </c>
      <c r="AG2623" s="47"/>
      <c r="AH2623" s="47" t="str">
        <f>IFERROR(_xlfn.XLOOKUP(Table6[[#This Row],[Suburb]],Table5[Travel Surcharge],Table5[$$]),"")</f>
        <v/>
      </c>
      <c r="AI2623" s="47">
        <f t="shared" si="543"/>
        <v>1650.0000000000002</v>
      </c>
      <c r="AJ2623" s="47"/>
    </row>
    <row r="2624" spans="1:36">
      <c r="A2624" s="374" t="s">
        <v>4088</v>
      </c>
      <c r="B2624" s="374">
        <v>140</v>
      </c>
      <c r="C2624" s="374" t="s">
        <v>2060</v>
      </c>
      <c r="D2624" s="375" t="str">
        <f t="shared" si="536"/>
        <v>Manor Lakes - Lollipop Hill Estate140</v>
      </c>
      <c r="E2624" s="375" t="s">
        <v>4100</v>
      </c>
      <c r="F2624" s="375" t="s">
        <v>4090</v>
      </c>
      <c r="G2624" s="375" t="s">
        <v>4091</v>
      </c>
      <c r="H2624" s="375" t="s">
        <v>4092</v>
      </c>
      <c r="I2624" s="63" t="s">
        <v>4093</v>
      </c>
      <c r="J2624" s="47">
        <f t="shared" si="538"/>
        <v>3740</v>
      </c>
      <c r="K2624" s="46" t="s">
        <v>10735</v>
      </c>
      <c r="L2624" s="47"/>
      <c r="M2624" s="47">
        <f t="shared" si="539"/>
        <v>1430.0000000000002</v>
      </c>
      <c r="N2624" s="47" t="s">
        <v>4094</v>
      </c>
      <c r="O2624" s="47"/>
      <c r="P2624" s="47"/>
      <c r="Q2624" s="47"/>
      <c r="R2624" s="47">
        <f t="shared" si="540"/>
        <v>540</v>
      </c>
      <c r="S2624" s="47" t="s">
        <v>4095</v>
      </c>
      <c r="T2624" s="47" t="s">
        <v>4096</v>
      </c>
      <c r="U2624" s="47"/>
      <c r="V2624" s="47" t="s">
        <v>4097</v>
      </c>
      <c r="W2624" s="47"/>
      <c r="X2624" s="47"/>
      <c r="Y2624" s="47"/>
      <c r="Z2624" s="47">
        <f t="shared" si="537"/>
        <v>4620</v>
      </c>
      <c r="AA2624" s="47">
        <f t="shared" si="541"/>
        <v>1400</v>
      </c>
      <c r="AB2624" s="47"/>
      <c r="AC2624" s="47"/>
      <c r="AD2624" s="47"/>
      <c r="AE2624" s="47">
        <f t="shared" si="542"/>
        <v>5000</v>
      </c>
      <c r="AF2624" s="47">
        <f t="shared" si="542"/>
        <v>1485</v>
      </c>
      <c r="AG2624" s="47"/>
      <c r="AH2624" s="47" t="str">
        <f>IFERROR(_xlfn.XLOOKUP(Table6[[#This Row],[Suburb]],Table5[Travel Surcharge],Table5[$$]),"")</f>
        <v/>
      </c>
      <c r="AI2624" s="47">
        <f t="shared" si="543"/>
        <v>1650.0000000000002</v>
      </c>
      <c r="AJ2624" s="47"/>
    </row>
    <row r="2625" spans="1:36">
      <c r="A2625" s="374" t="s">
        <v>4088</v>
      </c>
      <c r="B2625" s="374">
        <v>144</v>
      </c>
      <c r="C2625" s="374" t="s">
        <v>2060</v>
      </c>
      <c r="D2625" s="375" t="str">
        <f t="shared" si="536"/>
        <v>Manor Lakes - Lollipop Hill Estate144</v>
      </c>
      <c r="E2625" s="375" t="s">
        <v>4101</v>
      </c>
      <c r="F2625" s="375" t="s">
        <v>4090</v>
      </c>
      <c r="G2625" s="375" t="s">
        <v>4091</v>
      </c>
      <c r="H2625" s="375" t="s">
        <v>4092</v>
      </c>
      <c r="I2625" s="63" t="s">
        <v>4093</v>
      </c>
      <c r="J2625" s="47">
        <f t="shared" si="538"/>
        <v>3740</v>
      </c>
      <c r="K2625" s="46" t="s">
        <v>10735</v>
      </c>
      <c r="L2625" s="47"/>
      <c r="M2625" s="47">
        <f t="shared" si="539"/>
        <v>1430.0000000000002</v>
      </c>
      <c r="N2625" s="47" t="s">
        <v>4094</v>
      </c>
      <c r="O2625" s="47"/>
      <c r="P2625" s="47"/>
      <c r="Q2625" s="47"/>
      <c r="R2625" s="47">
        <f t="shared" si="540"/>
        <v>540</v>
      </c>
      <c r="S2625" s="47" t="s">
        <v>4095</v>
      </c>
      <c r="T2625" s="47" t="s">
        <v>4096</v>
      </c>
      <c r="U2625" s="47"/>
      <c r="V2625" s="47" t="s">
        <v>4097</v>
      </c>
      <c r="W2625" s="47"/>
      <c r="X2625" s="47"/>
      <c r="Y2625" s="47"/>
      <c r="Z2625" s="47">
        <f t="shared" si="537"/>
        <v>4620</v>
      </c>
      <c r="AA2625" s="47">
        <f t="shared" si="541"/>
        <v>1400</v>
      </c>
      <c r="AB2625" s="47"/>
      <c r="AC2625" s="47"/>
      <c r="AD2625" s="47"/>
      <c r="AE2625" s="47">
        <f t="shared" si="542"/>
        <v>5000</v>
      </c>
      <c r="AF2625" s="47">
        <f t="shared" si="542"/>
        <v>1485</v>
      </c>
      <c r="AG2625" s="47"/>
      <c r="AH2625" s="47" t="str">
        <f>IFERROR(_xlfn.XLOOKUP(Table6[[#This Row],[Suburb]],Table5[Travel Surcharge],Table5[$$]),"")</f>
        <v/>
      </c>
      <c r="AI2625" s="47">
        <f t="shared" si="543"/>
        <v>1650.0000000000002</v>
      </c>
      <c r="AJ2625" s="47"/>
    </row>
    <row r="2626" spans="1:36">
      <c r="A2626" s="374" t="s">
        <v>4088</v>
      </c>
      <c r="B2626" s="374">
        <v>149</v>
      </c>
      <c r="C2626" s="374" t="s">
        <v>2060</v>
      </c>
      <c r="D2626" s="375" t="str">
        <f t="shared" si="536"/>
        <v>Manor Lakes - Lollipop Hill Estate149</v>
      </c>
      <c r="E2626" s="375" t="s">
        <v>4102</v>
      </c>
      <c r="F2626" s="375" t="s">
        <v>4090</v>
      </c>
      <c r="G2626" s="375" t="s">
        <v>4091</v>
      </c>
      <c r="H2626" s="375" t="s">
        <v>4092</v>
      </c>
      <c r="I2626" s="63" t="s">
        <v>4093</v>
      </c>
      <c r="J2626" s="47">
        <f t="shared" si="538"/>
        <v>3740</v>
      </c>
      <c r="K2626" s="46" t="s">
        <v>10735</v>
      </c>
      <c r="L2626" s="47"/>
      <c r="M2626" s="47">
        <f t="shared" si="539"/>
        <v>1430.0000000000002</v>
      </c>
      <c r="N2626" s="47" t="s">
        <v>4094</v>
      </c>
      <c r="O2626" s="47"/>
      <c r="P2626" s="47"/>
      <c r="Q2626" s="47"/>
      <c r="R2626" s="47">
        <f t="shared" si="540"/>
        <v>540</v>
      </c>
      <c r="S2626" s="47" t="s">
        <v>4095</v>
      </c>
      <c r="T2626" s="47" t="s">
        <v>4096</v>
      </c>
      <c r="U2626" s="47"/>
      <c r="V2626" s="47" t="s">
        <v>4097</v>
      </c>
      <c r="W2626" s="47"/>
      <c r="X2626" s="47"/>
      <c r="Y2626" s="47"/>
      <c r="Z2626" s="47">
        <f t="shared" si="537"/>
        <v>4620</v>
      </c>
      <c r="AA2626" s="47">
        <f t="shared" si="541"/>
        <v>1400</v>
      </c>
      <c r="AB2626" s="47"/>
      <c r="AC2626" s="47"/>
      <c r="AD2626" s="47"/>
      <c r="AE2626" s="47">
        <f t="shared" si="542"/>
        <v>5000</v>
      </c>
      <c r="AF2626" s="47">
        <f t="shared" si="542"/>
        <v>1485</v>
      </c>
      <c r="AG2626" s="47"/>
      <c r="AH2626" s="47" t="str">
        <f>IFERROR(_xlfn.XLOOKUP(Table6[[#This Row],[Suburb]],Table5[Travel Surcharge],Table5[$$]),"")</f>
        <v/>
      </c>
      <c r="AI2626" s="47">
        <f t="shared" si="543"/>
        <v>1650.0000000000002</v>
      </c>
      <c r="AJ2626" s="47"/>
    </row>
    <row r="2627" spans="1:36">
      <c r="A2627" s="374" t="s">
        <v>4088</v>
      </c>
      <c r="B2627" s="374">
        <v>162</v>
      </c>
      <c r="C2627" s="374" t="s">
        <v>2060</v>
      </c>
      <c r="D2627" s="375" t="str">
        <f t="shared" si="536"/>
        <v>Manor Lakes - Lollipop Hill Estate162</v>
      </c>
      <c r="E2627" s="375" t="s">
        <v>4103</v>
      </c>
      <c r="F2627" s="375" t="s">
        <v>4090</v>
      </c>
      <c r="G2627" s="375" t="s">
        <v>4091</v>
      </c>
      <c r="H2627" s="375" t="s">
        <v>4092</v>
      </c>
      <c r="I2627" s="63" t="s">
        <v>4093</v>
      </c>
      <c r="J2627" s="47">
        <f t="shared" si="538"/>
        <v>3740</v>
      </c>
      <c r="K2627" s="46" t="s">
        <v>10735</v>
      </c>
      <c r="L2627" s="47"/>
      <c r="M2627" s="47">
        <f t="shared" si="539"/>
        <v>1430.0000000000002</v>
      </c>
      <c r="N2627" s="47" t="s">
        <v>4094</v>
      </c>
      <c r="O2627" s="47"/>
      <c r="P2627" s="47"/>
      <c r="Q2627" s="47"/>
      <c r="R2627" s="47">
        <f t="shared" si="540"/>
        <v>540</v>
      </c>
      <c r="S2627" s="47" t="s">
        <v>4095</v>
      </c>
      <c r="T2627" s="47" t="s">
        <v>4096</v>
      </c>
      <c r="U2627" s="47"/>
      <c r="V2627" s="47" t="s">
        <v>4097</v>
      </c>
      <c r="W2627" s="47"/>
      <c r="X2627" s="47"/>
      <c r="Y2627" s="47"/>
      <c r="Z2627" s="47">
        <f t="shared" si="537"/>
        <v>4620</v>
      </c>
      <c r="AA2627" s="47">
        <f t="shared" si="541"/>
        <v>1400</v>
      </c>
      <c r="AB2627" s="47"/>
      <c r="AC2627" s="47"/>
      <c r="AD2627" s="47"/>
      <c r="AE2627" s="47">
        <f t="shared" si="542"/>
        <v>5000</v>
      </c>
      <c r="AF2627" s="47">
        <f t="shared" si="542"/>
        <v>1485</v>
      </c>
      <c r="AG2627" s="47"/>
      <c r="AH2627" s="47" t="str">
        <f>IFERROR(_xlfn.XLOOKUP(Table6[[#This Row],[Suburb]],Table5[Travel Surcharge],Table5[$$]),"")</f>
        <v/>
      </c>
      <c r="AI2627" s="47">
        <f t="shared" si="543"/>
        <v>1650.0000000000002</v>
      </c>
      <c r="AJ2627" s="47"/>
    </row>
    <row r="2628" spans="1:36">
      <c r="A2628" s="374" t="s">
        <v>4088</v>
      </c>
      <c r="B2628" s="374">
        <v>166</v>
      </c>
      <c r="C2628" s="374" t="s">
        <v>2060</v>
      </c>
      <c r="D2628" s="375" t="str">
        <f t="shared" si="536"/>
        <v>Manor Lakes - Lollipop Hill Estate166</v>
      </c>
      <c r="E2628" s="375" t="s">
        <v>4104</v>
      </c>
      <c r="F2628" s="375" t="s">
        <v>4090</v>
      </c>
      <c r="G2628" s="375" t="s">
        <v>4091</v>
      </c>
      <c r="H2628" s="375" t="s">
        <v>4092</v>
      </c>
      <c r="I2628" s="63" t="s">
        <v>4093</v>
      </c>
      <c r="J2628" s="47">
        <f t="shared" si="538"/>
        <v>3740</v>
      </c>
      <c r="K2628" s="46" t="s">
        <v>10735</v>
      </c>
      <c r="L2628" s="47"/>
      <c r="M2628" s="47">
        <f t="shared" si="539"/>
        <v>1430.0000000000002</v>
      </c>
      <c r="N2628" s="47" t="s">
        <v>4094</v>
      </c>
      <c r="O2628" s="47"/>
      <c r="P2628" s="47"/>
      <c r="Q2628" s="47"/>
      <c r="R2628" s="47">
        <f t="shared" si="540"/>
        <v>540</v>
      </c>
      <c r="S2628" s="47" t="s">
        <v>4095</v>
      </c>
      <c r="T2628" s="47" t="s">
        <v>4096</v>
      </c>
      <c r="U2628" s="47"/>
      <c r="V2628" s="47" t="s">
        <v>4097</v>
      </c>
      <c r="W2628" s="47"/>
      <c r="X2628" s="47"/>
      <c r="Y2628" s="47"/>
      <c r="Z2628" s="47">
        <f t="shared" si="537"/>
        <v>4620</v>
      </c>
      <c r="AA2628" s="47">
        <f t="shared" si="541"/>
        <v>1400</v>
      </c>
      <c r="AB2628" s="47"/>
      <c r="AC2628" s="47"/>
      <c r="AD2628" s="47"/>
      <c r="AE2628" s="47">
        <f t="shared" si="542"/>
        <v>5000</v>
      </c>
      <c r="AF2628" s="47">
        <f t="shared" si="542"/>
        <v>1485</v>
      </c>
      <c r="AG2628" s="47"/>
      <c r="AH2628" s="47" t="str">
        <f>IFERROR(_xlfn.XLOOKUP(Table6[[#This Row],[Suburb]],Table5[Travel Surcharge],Table5[$$]),"")</f>
        <v/>
      </c>
      <c r="AI2628" s="47">
        <f t="shared" si="543"/>
        <v>1650.0000000000002</v>
      </c>
      <c r="AJ2628" s="47"/>
    </row>
    <row r="2629" spans="1:36">
      <c r="A2629" s="374" t="s">
        <v>4088</v>
      </c>
      <c r="B2629" s="374">
        <v>168</v>
      </c>
      <c r="C2629" s="374" t="s">
        <v>2060</v>
      </c>
      <c r="D2629" s="375" t="str">
        <f t="shared" si="536"/>
        <v>Manor Lakes - Lollipop Hill Estate168</v>
      </c>
      <c r="E2629" s="375" t="s">
        <v>4105</v>
      </c>
      <c r="F2629" s="375" t="s">
        <v>4090</v>
      </c>
      <c r="G2629" s="375" t="s">
        <v>4091</v>
      </c>
      <c r="H2629" s="375" t="s">
        <v>4092</v>
      </c>
      <c r="I2629" s="63" t="s">
        <v>4093</v>
      </c>
      <c r="J2629" s="47">
        <f t="shared" si="538"/>
        <v>3740</v>
      </c>
      <c r="K2629" s="46" t="s">
        <v>10735</v>
      </c>
      <c r="L2629" s="47"/>
      <c r="M2629" s="47">
        <f t="shared" si="539"/>
        <v>1430.0000000000002</v>
      </c>
      <c r="N2629" s="47" t="s">
        <v>4094</v>
      </c>
      <c r="O2629" s="47"/>
      <c r="P2629" s="47"/>
      <c r="Q2629" s="47"/>
      <c r="R2629" s="47">
        <f t="shared" si="540"/>
        <v>540</v>
      </c>
      <c r="S2629" s="47" t="s">
        <v>4095</v>
      </c>
      <c r="T2629" s="47" t="s">
        <v>4096</v>
      </c>
      <c r="U2629" s="47"/>
      <c r="V2629" s="47" t="s">
        <v>4097</v>
      </c>
      <c r="W2629" s="47"/>
      <c r="X2629" s="47"/>
      <c r="Y2629" s="47"/>
      <c r="Z2629" s="47">
        <f t="shared" si="537"/>
        <v>4620</v>
      </c>
      <c r="AA2629" s="47">
        <f t="shared" si="541"/>
        <v>1400</v>
      </c>
      <c r="AB2629" s="47"/>
      <c r="AC2629" s="47"/>
      <c r="AD2629" s="47"/>
      <c r="AE2629" s="47">
        <f t="shared" si="542"/>
        <v>5000</v>
      </c>
      <c r="AF2629" s="47">
        <f t="shared" si="542"/>
        <v>1485</v>
      </c>
      <c r="AG2629" s="47"/>
      <c r="AH2629" s="47" t="str">
        <f>IFERROR(_xlfn.XLOOKUP(Table6[[#This Row],[Suburb]],Table5[Travel Surcharge],Table5[$$]),"")</f>
        <v/>
      </c>
      <c r="AI2629" s="47">
        <f t="shared" si="543"/>
        <v>1650.0000000000002</v>
      </c>
      <c r="AJ2629" s="47"/>
    </row>
    <row r="2630" spans="1:36">
      <c r="A2630" s="374" t="s">
        <v>4088</v>
      </c>
      <c r="B2630" s="374">
        <v>169</v>
      </c>
      <c r="C2630" s="374" t="s">
        <v>2060</v>
      </c>
      <c r="D2630" s="375" t="str">
        <f t="shared" si="536"/>
        <v>Manor Lakes - Lollipop Hill Estate169</v>
      </c>
      <c r="E2630" s="375" t="s">
        <v>4106</v>
      </c>
      <c r="F2630" s="375" t="s">
        <v>4090</v>
      </c>
      <c r="G2630" s="375" t="s">
        <v>4091</v>
      </c>
      <c r="H2630" s="375" t="s">
        <v>4092</v>
      </c>
      <c r="I2630" s="63" t="s">
        <v>4093</v>
      </c>
      <c r="J2630" s="47">
        <f t="shared" si="538"/>
        <v>3740</v>
      </c>
      <c r="K2630" s="46" t="s">
        <v>10735</v>
      </c>
      <c r="L2630" s="47"/>
      <c r="M2630" s="47">
        <f t="shared" si="539"/>
        <v>1430.0000000000002</v>
      </c>
      <c r="N2630" s="47" t="s">
        <v>4094</v>
      </c>
      <c r="O2630" s="47"/>
      <c r="P2630" s="47"/>
      <c r="Q2630" s="47"/>
      <c r="R2630" s="47">
        <f t="shared" si="540"/>
        <v>540</v>
      </c>
      <c r="S2630" s="47" t="s">
        <v>4095</v>
      </c>
      <c r="T2630" s="47" t="s">
        <v>4096</v>
      </c>
      <c r="U2630" s="47"/>
      <c r="V2630" s="47" t="s">
        <v>4097</v>
      </c>
      <c r="W2630" s="47"/>
      <c r="X2630" s="47"/>
      <c r="Y2630" s="47"/>
      <c r="Z2630" s="47">
        <f t="shared" si="537"/>
        <v>4620</v>
      </c>
      <c r="AA2630" s="47">
        <f t="shared" si="541"/>
        <v>1400</v>
      </c>
      <c r="AB2630" s="47"/>
      <c r="AC2630" s="47"/>
      <c r="AD2630" s="47"/>
      <c r="AE2630" s="47">
        <f t="shared" si="542"/>
        <v>5000</v>
      </c>
      <c r="AF2630" s="47">
        <f t="shared" si="542"/>
        <v>1485</v>
      </c>
      <c r="AG2630" s="47"/>
      <c r="AH2630" s="47" t="str">
        <f>IFERROR(_xlfn.XLOOKUP(Table6[[#This Row],[Suburb]],Table5[Travel Surcharge],Table5[$$]),"")</f>
        <v/>
      </c>
      <c r="AI2630" s="47">
        <f t="shared" si="543"/>
        <v>1650.0000000000002</v>
      </c>
      <c r="AJ2630" s="47"/>
    </row>
    <row r="2631" spans="1:36">
      <c r="A2631" s="374" t="s">
        <v>4088</v>
      </c>
      <c r="B2631" s="374">
        <v>170</v>
      </c>
      <c r="C2631" s="374" t="s">
        <v>2060</v>
      </c>
      <c r="D2631" s="375" t="str">
        <f t="shared" si="536"/>
        <v>Manor Lakes - Lollipop Hill Estate170</v>
      </c>
      <c r="E2631" s="375" t="s">
        <v>4107</v>
      </c>
      <c r="F2631" s="375" t="s">
        <v>4090</v>
      </c>
      <c r="G2631" s="375" t="s">
        <v>4091</v>
      </c>
      <c r="H2631" s="375" t="s">
        <v>4092</v>
      </c>
      <c r="I2631" s="63" t="s">
        <v>4093</v>
      </c>
      <c r="J2631" s="47">
        <f t="shared" si="538"/>
        <v>3740</v>
      </c>
      <c r="K2631" s="46" t="s">
        <v>10735</v>
      </c>
      <c r="L2631" s="47"/>
      <c r="M2631" s="47">
        <f t="shared" si="539"/>
        <v>1430.0000000000002</v>
      </c>
      <c r="N2631" s="47" t="s">
        <v>4094</v>
      </c>
      <c r="O2631" s="47"/>
      <c r="P2631" s="47"/>
      <c r="Q2631" s="47"/>
      <c r="R2631" s="47">
        <f t="shared" si="540"/>
        <v>540</v>
      </c>
      <c r="S2631" s="47" t="s">
        <v>4095</v>
      </c>
      <c r="T2631" s="47" t="s">
        <v>4096</v>
      </c>
      <c r="U2631" s="47"/>
      <c r="V2631" s="47" t="s">
        <v>4097</v>
      </c>
      <c r="W2631" s="47"/>
      <c r="X2631" s="47"/>
      <c r="Y2631" s="47"/>
      <c r="Z2631" s="47">
        <f t="shared" si="537"/>
        <v>4620</v>
      </c>
      <c r="AA2631" s="47">
        <f t="shared" si="541"/>
        <v>1400</v>
      </c>
      <c r="AB2631" s="47"/>
      <c r="AC2631" s="47"/>
      <c r="AD2631" s="47"/>
      <c r="AE2631" s="47">
        <f t="shared" si="542"/>
        <v>5000</v>
      </c>
      <c r="AF2631" s="47">
        <f t="shared" si="542"/>
        <v>1485</v>
      </c>
      <c r="AG2631" s="47"/>
      <c r="AH2631" s="47" t="str">
        <f>IFERROR(_xlfn.XLOOKUP(Table6[[#This Row],[Suburb]],Table5[Travel Surcharge],Table5[$$]),"")</f>
        <v/>
      </c>
      <c r="AI2631" s="47">
        <f t="shared" si="543"/>
        <v>1650.0000000000002</v>
      </c>
      <c r="AJ2631" s="47"/>
    </row>
    <row r="2632" spans="1:36">
      <c r="A2632" s="374" t="s">
        <v>4088</v>
      </c>
      <c r="B2632" s="374">
        <v>171</v>
      </c>
      <c r="C2632" s="374" t="s">
        <v>2060</v>
      </c>
      <c r="D2632" s="375" t="str">
        <f t="shared" si="536"/>
        <v>Manor Lakes - Lollipop Hill Estate171</v>
      </c>
      <c r="E2632" s="375" t="s">
        <v>4108</v>
      </c>
      <c r="F2632" s="375" t="s">
        <v>4090</v>
      </c>
      <c r="G2632" s="375" t="s">
        <v>4091</v>
      </c>
      <c r="H2632" s="375" t="s">
        <v>4092</v>
      </c>
      <c r="I2632" s="63" t="s">
        <v>4093</v>
      </c>
      <c r="J2632" s="47">
        <f t="shared" si="538"/>
        <v>3740</v>
      </c>
      <c r="K2632" s="46" t="s">
        <v>10735</v>
      </c>
      <c r="L2632" s="47"/>
      <c r="M2632" s="47">
        <f t="shared" si="539"/>
        <v>1430.0000000000002</v>
      </c>
      <c r="N2632" s="47" t="s">
        <v>4094</v>
      </c>
      <c r="O2632" s="47"/>
      <c r="P2632" s="47"/>
      <c r="Q2632" s="47"/>
      <c r="R2632" s="47">
        <f t="shared" si="540"/>
        <v>540</v>
      </c>
      <c r="S2632" s="47" t="s">
        <v>4095</v>
      </c>
      <c r="T2632" s="47" t="s">
        <v>4096</v>
      </c>
      <c r="U2632" s="47"/>
      <c r="V2632" s="47" t="s">
        <v>4097</v>
      </c>
      <c r="W2632" s="47"/>
      <c r="X2632" s="47"/>
      <c r="Y2632" s="47"/>
      <c r="Z2632" s="47">
        <f t="shared" si="537"/>
        <v>4620</v>
      </c>
      <c r="AA2632" s="47">
        <f t="shared" si="541"/>
        <v>1400</v>
      </c>
      <c r="AB2632" s="47"/>
      <c r="AC2632" s="47"/>
      <c r="AD2632" s="47"/>
      <c r="AE2632" s="47">
        <f t="shared" si="542"/>
        <v>5000</v>
      </c>
      <c r="AF2632" s="47">
        <f t="shared" si="542"/>
        <v>1485</v>
      </c>
      <c r="AG2632" s="47"/>
      <c r="AH2632" s="47" t="str">
        <f>IFERROR(_xlfn.XLOOKUP(Table6[[#This Row],[Suburb]],Table5[Travel Surcharge],Table5[$$]),"")</f>
        <v/>
      </c>
      <c r="AI2632" s="47">
        <f t="shared" si="543"/>
        <v>1650.0000000000002</v>
      </c>
      <c r="AJ2632" s="47"/>
    </row>
    <row r="2633" spans="1:36">
      <c r="A2633" s="374" t="s">
        <v>4088</v>
      </c>
      <c r="B2633" s="374">
        <v>172</v>
      </c>
      <c r="C2633" s="374" t="s">
        <v>2060</v>
      </c>
      <c r="D2633" s="375" t="str">
        <f t="shared" si="536"/>
        <v>Manor Lakes - Lollipop Hill Estate172</v>
      </c>
      <c r="E2633" s="375" t="s">
        <v>4109</v>
      </c>
      <c r="F2633" s="375" t="s">
        <v>4090</v>
      </c>
      <c r="G2633" s="375" t="s">
        <v>4091</v>
      </c>
      <c r="H2633" s="375" t="s">
        <v>4092</v>
      </c>
      <c r="I2633" s="63" t="s">
        <v>4093</v>
      </c>
      <c r="J2633" s="47">
        <f t="shared" si="538"/>
        <v>3740</v>
      </c>
      <c r="K2633" s="46" t="s">
        <v>10735</v>
      </c>
      <c r="L2633" s="47"/>
      <c r="M2633" s="47">
        <f t="shared" si="539"/>
        <v>1430.0000000000002</v>
      </c>
      <c r="N2633" s="47" t="s">
        <v>4094</v>
      </c>
      <c r="O2633" s="47"/>
      <c r="P2633" s="47"/>
      <c r="Q2633" s="47"/>
      <c r="R2633" s="47">
        <f t="shared" si="540"/>
        <v>540</v>
      </c>
      <c r="S2633" s="47" t="s">
        <v>4095</v>
      </c>
      <c r="T2633" s="47" t="s">
        <v>4096</v>
      </c>
      <c r="U2633" s="47"/>
      <c r="V2633" s="47" t="s">
        <v>4097</v>
      </c>
      <c r="W2633" s="47"/>
      <c r="X2633" s="47"/>
      <c r="Y2633" s="47"/>
      <c r="Z2633" s="47">
        <f t="shared" si="537"/>
        <v>4620</v>
      </c>
      <c r="AA2633" s="47">
        <f t="shared" si="541"/>
        <v>1400</v>
      </c>
      <c r="AB2633" s="47"/>
      <c r="AC2633" s="47"/>
      <c r="AD2633" s="47"/>
      <c r="AE2633" s="47">
        <f t="shared" si="542"/>
        <v>5000</v>
      </c>
      <c r="AF2633" s="47">
        <f t="shared" si="542"/>
        <v>1485</v>
      </c>
      <c r="AG2633" s="47"/>
      <c r="AH2633" s="47" t="str">
        <f>IFERROR(_xlfn.XLOOKUP(Table6[[#This Row],[Suburb]],Table5[Travel Surcharge],Table5[$$]),"")</f>
        <v/>
      </c>
      <c r="AI2633" s="47">
        <f t="shared" si="543"/>
        <v>1650.0000000000002</v>
      </c>
      <c r="AJ2633" s="47"/>
    </row>
    <row r="2634" spans="1:36">
      <c r="A2634" s="374" t="s">
        <v>4088</v>
      </c>
      <c r="B2634" s="374">
        <v>173</v>
      </c>
      <c r="C2634" s="374" t="s">
        <v>2060</v>
      </c>
      <c r="D2634" s="375" t="str">
        <f t="shared" si="536"/>
        <v>Manor Lakes - Lollipop Hill Estate173</v>
      </c>
      <c r="E2634" s="375" t="s">
        <v>4110</v>
      </c>
      <c r="F2634" s="375" t="s">
        <v>4090</v>
      </c>
      <c r="G2634" s="375" t="s">
        <v>4091</v>
      </c>
      <c r="H2634" s="375" t="s">
        <v>4092</v>
      </c>
      <c r="I2634" s="63" t="s">
        <v>4093</v>
      </c>
      <c r="J2634" s="47">
        <f t="shared" si="538"/>
        <v>3740</v>
      </c>
      <c r="K2634" s="46" t="s">
        <v>10735</v>
      </c>
      <c r="L2634" s="47"/>
      <c r="M2634" s="47">
        <f t="shared" si="539"/>
        <v>1430.0000000000002</v>
      </c>
      <c r="N2634" s="47" t="s">
        <v>4094</v>
      </c>
      <c r="O2634" s="47"/>
      <c r="P2634" s="47"/>
      <c r="Q2634" s="47"/>
      <c r="R2634" s="47">
        <f t="shared" si="540"/>
        <v>540</v>
      </c>
      <c r="S2634" s="47" t="s">
        <v>4095</v>
      </c>
      <c r="T2634" s="47" t="s">
        <v>4096</v>
      </c>
      <c r="U2634" s="47"/>
      <c r="V2634" s="47" t="s">
        <v>4097</v>
      </c>
      <c r="W2634" s="47"/>
      <c r="X2634" s="47"/>
      <c r="Y2634" s="47"/>
      <c r="Z2634" s="47">
        <f t="shared" si="537"/>
        <v>4620</v>
      </c>
      <c r="AA2634" s="47">
        <f t="shared" si="541"/>
        <v>1400</v>
      </c>
      <c r="AB2634" s="47"/>
      <c r="AC2634" s="47"/>
      <c r="AD2634" s="47"/>
      <c r="AE2634" s="47">
        <f t="shared" si="542"/>
        <v>5000</v>
      </c>
      <c r="AF2634" s="47">
        <f t="shared" si="542"/>
        <v>1485</v>
      </c>
      <c r="AG2634" s="47"/>
      <c r="AH2634" s="47" t="str">
        <f>IFERROR(_xlfn.XLOOKUP(Table6[[#This Row],[Suburb]],Table5[Travel Surcharge],Table5[$$]),"")</f>
        <v/>
      </c>
      <c r="AI2634" s="47">
        <f t="shared" si="543"/>
        <v>1650.0000000000002</v>
      </c>
      <c r="AJ2634" s="47"/>
    </row>
    <row r="2635" spans="1:36">
      <c r="A2635" s="374" t="s">
        <v>4088</v>
      </c>
      <c r="B2635" s="374">
        <v>174</v>
      </c>
      <c r="C2635" s="374" t="s">
        <v>2060</v>
      </c>
      <c r="D2635" s="375" t="str">
        <f t="shared" si="536"/>
        <v>Manor Lakes - Lollipop Hill Estate174</v>
      </c>
      <c r="E2635" s="375" t="s">
        <v>4111</v>
      </c>
      <c r="F2635" s="375" t="s">
        <v>4090</v>
      </c>
      <c r="G2635" s="375" t="s">
        <v>4091</v>
      </c>
      <c r="H2635" s="375" t="s">
        <v>4092</v>
      </c>
      <c r="I2635" s="63" t="s">
        <v>4093</v>
      </c>
      <c r="J2635" s="47">
        <f t="shared" si="538"/>
        <v>3740</v>
      </c>
      <c r="K2635" s="46" t="s">
        <v>10735</v>
      </c>
      <c r="L2635" s="47"/>
      <c r="M2635" s="47">
        <f t="shared" si="539"/>
        <v>1430.0000000000002</v>
      </c>
      <c r="N2635" s="47" t="s">
        <v>4094</v>
      </c>
      <c r="O2635" s="47"/>
      <c r="P2635" s="47"/>
      <c r="Q2635" s="47"/>
      <c r="R2635" s="47">
        <f t="shared" si="540"/>
        <v>540</v>
      </c>
      <c r="S2635" s="47" t="s">
        <v>4095</v>
      </c>
      <c r="T2635" s="47" t="s">
        <v>4096</v>
      </c>
      <c r="U2635" s="47"/>
      <c r="V2635" s="47" t="s">
        <v>4097</v>
      </c>
      <c r="W2635" s="47"/>
      <c r="X2635" s="47"/>
      <c r="Y2635" s="47"/>
      <c r="Z2635" s="47">
        <f t="shared" si="537"/>
        <v>4620</v>
      </c>
      <c r="AA2635" s="47">
        <f t="shared" si="541"/>
        <v>1400</v>
      </c>
      <c r="AB2635" s="47"/>
      <c r="AC2635" s="47"/>
      <c r="AD2635" s="47"/>
      <c r="AE2635" s="47">
        <f t="shared" si="542"/>
        <v>5000</v>
      </c>
      <c r="AF2635" s="47">
        <f t="shared" si="542"/>
        <v>1485</v>
      </c>
      <c r="AG2635" s="47"/>
      <c r="AH2635" s="47" t="str">
        <f>IFERROR(_xlfn.XLOOKUP(Table6[[#This Row],[Suburb]],Table5[Travel Surcharge],Table5[$$]),"")</f>
        <v/>
      </c>
      <c r="AI2635" s="47">
        <f t="shared" si="543"/>
        <v>1650.0000000000002</v>
      </c>
      <c r="AJ2635" s="47"/>
    </row>
    <row r="2636" spans="1:36">
      <c r="A2636" s="374" t="s">
        <v>4088</v>
      </c>
      <c r="B2636" s="374">
        <v>175</v>
      </c>
      <c r="C2636" s="374" t="s">
        <v>2060</v>
      </c>
      <c r="D2636" s="375" t="str">
        <f t="shared" si="536"/>
        <v>Manor Lakes - Lollipop Hill Estate175</v>
      </c>
      <c r="E2636" s="375" t="s">
        <v>4112</v>
      </c>
      <c r="F2636" s="375" t="s">
        <v>4090</v>
      </c>
      <c r="G2636" s="375" t="s">
        <v>4091</v>
      </c>
      <c r="H2636" s="375" t="s">
        <v>4092</v>
      </c>
      <c r="I2636" s="63" t="s">
        <v>4093</v>
      </c>
      <c r="J2636" s="47">
        <f t="shared" si="538"/>
        <v>3740</v>
      </c>
      <c r="K2636" s="46" t="s">
        <v>10735</v>
      </c>
      <c r="L2636" s="47"/>
      <c r="M2636" s="47">
        <f t="shared" si="539"/>
        <v>1430.0000000000002</v>
      </c>
      <c r="N2636" s="47" t="s">
        <v>4094</v>
      </c>
      <c r="O2636" s="47"/>
      <c r="P2636" s="47"/>
      <c r="Q2636" s="47"/>
      <c r="R2636" s="47">
        <f t="shared" si="540"/>
        <v>540</v>
      </c>
      <c r="S2636" s="47" t="s">
        <v>4095</v>
      </c>
      <c r="T2636" s="47" t="s">
        <v>4096</v>
      </c>
      <c r="U2636" s="47"/>
      <c r="V2636" s="47" t="s">
        <v>1355</v>
      </c>
      <c r="W2636" s="47"/>
      <c r="X2636" s="47"/>
      <c r="Y2636" s="47"/>
      <c r="Z2636" s="47">
        <f t="shared" si="537"/>
        <v>4620</v>
      </c>
      <c r="AA2636" s="47">
        <f t="shared" si="541"/>
        <v>1400</v>
      </c>
      <c r="AB2636" s="47"/>
      <c r="AC2636" s="47"/>
      <c r="AD2636" s="47"/>
      <c r="AE2636" s="47">
        <f t="shared" si="542"/>
        <v>5000</v>
      </c>
      <c r="AF2636" s="47">
        <f t="shared" si="542"/>
        <v>1485</v>
      </c>
      <c r="AG2636" s="47"/>
      <c r="AH2636" s="47" t="str">
        <f>IFERROR(_xlfn.XLOOKUP(Table6[[#This Row],[Suburb]],Table5[Travel Surcharge],Table5[$$]),"")</f>
        <v/>
      </c>
      <c r="AI2636" s="47">
        <f t="shared" si="543"/>
        <v>1650.0000000000002</v>
      </c>
      <c r="AJ2636" s="47"/>
    </row>
    <row r="2637" spans="1:36">
      <c r="A2637" s="374" t="s">
        <v>4088</v>
      </c>
      <c r="B2637" s="374">
        <v>176</v>
      </c>
      <c r="C2637" s="374" t="s">
        <v>2060</v>
      </c>
      <c r="D2637" s="375" t="str">
        <f t="shared" si="536"/>
        <v>Manor Lakes - Lollipop Hill Estate176</v>
      </c>
      <c r="E2637" s="375" t="s">
        <v>4113</v>
      </c>
      <c r="F2637" s="375" t="s">
        <v>4090</v>
      </c>
      <c r="G2637" s="375" t="s">
        <v>4091</v>
      </c>
      <c r="H2637" s="375" t="s">
        <v>4092</v>
      </c>
      <c r="I2637" s="63" t="s">
        <v>4093</v>
      </c>
      <c r="J2637" s="47">
        <f t="shared" si="538"/>
        <v>3740</v>
      </c>
      <c r="K2637" s="46" t="s">
        <v>10735</v>
      </c>
      <c r="L2637" s="47"/>
      <c r="M2637" s="47">
        <f t="shared" si="539"/>
        <v>1430.0000000000002</v>
      </c>
      <c r="N2637" s="47" t="s">
        <v>4094</v>
      </c>
      <c r="O2637" s="47"/>
      <c r="P2637" s="47"/>
      <c r="Q2637" s="47"/>
      <c r="R2637" s="47">
        <f t="shared" si="540"/>
        <v>540</v>
      </c>
      <c r="S2637" s="47" t="s">
        <v>4095</v>
      </c>
      <c r="T2637" s="47" t="s">
        <v>4096</v>
      </c>
      <c r="U2637" s="47"/>
      <c r="V2637" s="47" t="s">
        <v>1355</v>
      </c>
      <c r="W2637" s="47"/>
      <c r="X2637" s="47"/>
      <c r="Y2637" s="47"/>
      <c r="Z2637" s="47">
        <f t="shared" si="537"/>
        <v>4620</v>
      </c>
      <c r="AA2637" s="47">
        <f t="shared" si="541"/>
        <v>1400</v>
      </c>
      <c r="AB2637" s="47"/>
      <c r="AC2637" s="47"/>
      <c r="AD2637" s="47"/>
      <c r="AE2637" s="47">
        <f t="shared" si="542"/>
        <v>5000</v>
      </c>
      <c r="AF2637" s="47">
        <f t="shared" si="542"/>
        <v>1485</v>
      </c>
      <c r="AG2637" s="47"/>
      <c r="AH2637" s="47" t="str">
        <f>IFERROR(_xlfn.XLOOKUP(Table6[[#This Row],[Suburb]],Table5[Travel Surcharge],Table5[$$]),"")</f>
        <v/>
      </c>
      <c r="AI2637" s="47">
        <f t="shared" si="543"/>
        <v>1650.0000000000002</v>
      </c>
      <c r="AJ2637" s="47"/>
    </row>
    <row r="2638" spans="1:36">
      <c r="A2638" s="374" t="s">
        <v>4088</v>
      </c>
      <c r="B2638" s="374">
        <v>177</v>
      </c>
      <c r="C2638" s="374" t="s">
        <v>2060</v>
      </c>
      <c r="D2638" s="375" t="str">
        <f t="shared" si="536"/>
        <v>Manor Lakes - Lollipop Hill Estate177</v>
      </c>
      <c r="E2638" s="375" t="s">
        <v>4114</v>
      </c>
      <c r="F2638" s="375" t="s">
        <v>4090</v>
      </c>
      <c r="G2638" s="375" t="s">
        <v>4091</v>
      </c>
      <c r="H2638" s="375" t="s">
        <v>4092</v>
      </c>
      <c r="I2638" s="63" t="s">
        <v>4093</v>
      </c>
      <c r="J2638" s="47">
        <f t="shared" si="538"/>
        <v>3740</v>
      </c>
      <c r="K2638" s="46" t="s">
        <v>10735</v>
      </c>
      <c r="L2638" s="47"/>
      <c r="M2638" s="47">
        <f t="shared" si="539"/>
        <v>1430.0000000000002</v>
      </c>
      <c r="N2638" s="47" t="s">
        <v>4094</v>
      </c>
      <c r="O2638" s="47"/>
      <c r="P2638" s="47"/>
      <c r="Q2638" s="47"/>
      <c r="R2638" s="47">
        <f t="shared" si="540"/>
        <v>540</v>
      </c>
      <c r="S2638" s="47" t="s">
        <v>4095</v>
      </c>
      <c r="T2638" s="47" t="s">
        <v>4096</v>
      </c>
      <c r="U2638" s="47"/>
      <c r="V2638" s="47" t="s">
        <v>1355</v>
      </c>
      <c r="W2638" s="47"/>
      <c r="X2638" s="47"/>
      <c r="Y2638" s="47"/>
      <c r="Z2638" s="47">
        <f t="shared" si="537"/>
        <v>4620</v>
      </c>
      <c r="AA2638" s="47">
        <f t="shared" si="541"/>
        <v>1400</v>
      </c>
      <c r="AB2638" s="47"/>
      <c r="AC2638" s="47"/>
      <c r="AD2638" s="47"/>
      <c r="AE2638" s="47">
        <f t="shared" si="542"/>
        <v>5000</v>
      </c>
      <c r="AF2638" s="47">
        <f t="shared" si="542"/>
        <v>1485</v>
      </c>
      <c r="AG2638" s="47"/>
      <c r="AH2638" s="47" t="str">
        <f>IFERROR(_xlfn.XLOOKUP(Table6[[#This Row],[Suburb]],Table5[Travel Surcharge],Table5[$$]),"")</f>
        <v/>
      </c>
      <c r="AI2638" s="47">
        <f t="shared" si="543"/>
        <v>1650.0000000000002</v>
      </c>
      <c r="AJ2638" s="47"/>
    </row>
    <row r="2639" spans="1:36">
      <c r="A2639" s="374" t="s">
        <v>4088</v>
      </c>
      <c r="B2639" s="374">
        <v>178</v>
      </c>
      <c r="C2639" s="374" t="s">
        <v>2060</v>
      </c>
      <c r="D2639" s="375" t="str">
        <f t="shared" si="536"/>
        <v>Manor Lakes - Lollipop Hill Estate178</v>
      </c>
      <c r="E2639" s="375" t="s">
        <v>4115</v>
      </c>
      <c r="F2639" s="375" t="s">
        <v>4090</v>
      </c>
      <c r="G2639" s="375" t="s">
        <v>4091</v>
      </c>
      <c r="H2639" s="375" t="s">
        <v>4092</v>
      </c>
      <c r="I2639" s="63" t="s">
        <v>4093</v>
      </c>
      <c r="J2639" s="47">
        <f t="shared" si="538"/>
        <v>3740</v>
      </c>
      <c r="K2639" s="46" t="s">
        <v>10735</v>
      </c>
      <c r="L2639" s="47"/>
      <c r="M2639" s="47">
        <f t="shared" si="539"/>
        <v>1430.0000000000002</v>
      </c>
      <c r="N2639" s="47" t="s">
        <v>4094</v>
      </c>
      <c r="O2639" s="47"/>
      <c r="P2639" s="47"/>
      <c r="Q2639" s="47"/>
      <c r="R2639" s="47">
        <f t="shared" si="540"/>
        <v>540</v>
      </c>
      <c r="S2639" s="47" t="s">
        <v>4095</v>
      </c>
      <c r="T2639" s="47" t="s">
        <v>4096</v>
      </c>
      <c r="U2639" s="47"/>
      <c r="V2639" s="47" t="s">
        <v>1355</v>
      </c>
      <c r="W2639" s="47"/>
      <c r="X2639" s="47"/>
      <c r="Y2639" s="47"/>
      <c r="Z2639" s="47">
        <f t="shared" si="537"/>
        <v>4620</v>
      </c>
      <c r="AA2639" s="47">
        <f t="shared" si="541"/>
        <v>1400</v>
      </c>
      <c r="AB2639" s="47"/>
      <c r="AC2639" s="47"/>
      <c r="AD2639" s="47"/>
      <c r="AE2639" s="47">
        <f t="shared" si="542"/>
        <v>5000</v>
      </c>
      <c r="AF2639" s="47">
        <f t="shared" si="542"/>
        <v>1485</v>
      </c>
      <c r="AG2639" s="47"/>
      <c r="AH2639" s="47" t="str">
        <f>IFERROR(_xlfn.XLOOKUP(Table6[[#This Row],[Suburb]],Table5[Travel Surcharge],Table5[$$]),"")</f>
        <v/>
      </c>
      <c r="AI2639" s="47">
        <f t="shared" si="543"/>
        <v>1650.0000000000002</v>
      </c>
      <c r="AJ2639" s="47"/>
    </row>
    <row r="2640" spans="1:36">
      <c r="A2640" s="374" t="s">
        <v>4088</v>
      </c>
      <c r="B2640" s="374">
        <v>179</v>
      </c>
      <c r="C2640" s="374" t="s">
        <v>2060</v>
      </c>
      <c r="D2640" s="375" t="str">
        <f t="shared" si="536"/>
        <v>Manor Lakes - Lollipop Hill Estate179</v>
      </c>
      <c r="E2640" s="375" t="s">
        <v>4116</v>
      </c>
      <c r="F2640" s="375" t="s">
        <v>4090</v>
      </c>
      <c r="G2640" s="375" t="s">
        <v>4091</v>
      </c>
      <c r="H2640" s="375" t="s">
        <v>4092</v>
      </c>
      <c r="I2640" s="63" t="s">
        <v>4093</v>
      </c>
      <c r="J2640" s="47">
        <f t="shared" si="538"/>
        <v>3740</v>
      </c>
      <c r="K2640" s="46" t="s">
        <v>10735</v>
      </c>
      <c r="L2640" s="47"/>
      <c r="M2640" s="47">
        <f t="shared" si="539"/>
        <v>1430.0000000000002</v>
      </c>
      <c r="N2640" s="47" t="s">
        <v>4094</v>
      </c>
      <c r="O2640" s="47"/>
      <c r="P2640" s="47"/>
      <c r="Q2640" s="47"/>
      <c r="R2640" s="47">
        <f t="shared" si="540"/>
        <v>540</v>
      </c>
      <c r="S2640" s="47" t="s">
        <v>4095</v>
      </c>
      <c r="T2640" s="47" t="s">
        <v>4096</v>
      </c>
      <c r="U2640" s="47"/>
      <c r="V2640" s="47" t="s">
        <v>1355</v>
      </c>
      <c r="W2640" s="47"/>
      <c r="X2640" s="47"/>
      <c r="Y2640" s="47"/>
      <c r="Z2640" s="47">
        <f t="shared" si="537"/>
        <v>4620</v>
      </c>
      <c r="AA2640" s="47">
        <f t="shared" si="541"/>
        <v>1400</v>
      </c>
      <c r="AB2640" s="47"/>
      <c r="AC2640" s="47"/>
      <c r="AD2640" s="47"/>
      <c r="AE2640" s="47">
        <f t="shared" si="542"/>
        <v>5000</v>
      </c>
      <c r="AF2640" s="47">
        <f t="shared" si="542"/>
        <v>1485</v>
      </c>
      <c r="AG2640" s="47"/>
      <c r="AH2640" s="47" t="str">
        <f>IFERROR(_xlfn.XLOOKUP(Table6[[#This Row],[Suburb]],Table5[Travel Surcharge],Table5[$$]),"")</f>
        <v/>
      </c>
      <c r="AI2640" s="47">
        <f t="shared" si="543"/>
        <v>1650.0000000000002</v>
      </c>
      <c r="AJ2640" s="47"/>
    </row>
    <row r="2641" spans="1:36">
      <c r="A2641" s="374" t="s">
        <v>4117</v>
      </c>
      <c r="B2641" s="374">
        <v>190</v>
      </c>
      <c r="C2641" s="374" t="s">
        <v>2060</v>
      </c>
      <c r="D2641" s="375" t="str">
        <f t="shared" si="536"/>
        <v>Manor Lakes - The Village190</v>
      </c>
      <c r="E2641" s="375" t="s">
        <v>4118</v>
      </c>
      <c r="F2641" s="375" t="s">
        <v>4090</v>
      </c>
      <c r="G2641" s="375" t="s">
        <v>4091</v>
      </c>
      <c r="H2641" s="375" t="s">
        <v>4092</v>
      </c>
      <c r="I2641" s="63" t="s">
        <v>4093</v>
      </c>
      <c r="J2641" s="47">
        <f t="shared" si="538"/>
        <v>3740</v>
      </c>
      <c r="K2641" s="46" t="s">
        <v>10735</v>
      </c>
      <c r="L2641" s="47" t="s">
        <v>4119</v>
      </c>
      <c r="M2641" s="47">
        <f t="shared" si="539"/>
        <v>1430.0000000000002</v>
      </c>
      <c r="N2641" s="47" t="s">
        <v>4094</v>
      </c>
      <c r="O2641" s="47" t="s">
        <v>4120</v>
      </c>
      <c r="P2641" s="47"/>
      <c r="Q2641" s="47"/>
      <c r="R2641" s="47">
        <f t="shared" si="540"/>
        <v>540</v>
      </c>
      <c r="S2641" s="47" t="s">
        <v>4095</v>
      </c>
      <c r="T2641" s="47" t="s">
        <v>4096</v>
      </c>
      <c r="U2641" s="47"/>
      <c r="V2641" s="47"/>
      <c r="W2641" s="47"/>
      <c r="X2641" s="47"/>
      <c r="Y2641" s="47"/>
      <c r="Z2641" s="47">
        <f t="shared" si="537"/>
        <v>4620</v>
      </c>
      <c r="AA2641" s="47">
        <f t="shared" si="541"/>
        <v>1400</v>
      </c>
      <c r="AB2641" s="47"/>
      <c r="AC2641" s="47"/>
      <c r="AD2641" s="47"/>
      <c r="AE2641" s="47">
        <f t="shared" si="542"/>
        <v>5000</v>
      </c>
      <c r="AF2641" s="47">
        <f t="shared" si="542"/>
        <v>1485</v>
      </c>
      <c r="AG2641" s="47"/>
      <c r="AH2641" s="47" t="str">
        <f>IFERROR(_xlfn.XLOOKUP(Table6[[#This Row],[Suburb]],Table5[Travel Surcharge],Table5[$$]),"")</f>
        <v/>
      </c>
      <c r="AI2641" s="47">
        <f t="shared" si="543"/>
        <v>1650.0000000000002</v>
      </c>
      <c r="AJ2641" s="47"/>
    </row>
    <row r="2642" spans="1:36">
      <c r="A2642" s="374" t="s">
        <v>4117</v>
      </c>
      <c r="B2642" s="374">
        <v>191</v>
      </c>
      <c r="C2642" s="374" t="s">
        <v>2060</v>
      </c>
      <c r="D2642" s="375" t="str">
        <f t="shared" si="536"/>
        <v>Manor Lakes - The Village191</v>
      </c>
      <c r="E2642" s="375" t="s">
        <v>7379</v>
      </c>
      <c r="F2642" s="375" t="s">
        <v>4090</v>
      </c>
      <c r="G2642" s="375" t="s">
        <v>4091</v>
      </c>
      <c r="H2642" s="375" t="s">
        <v>4092</v>
      </c>
      <c r="I2642" s="63" t="s">
        <v>4093</v>
      </c>
      <c r="J2642" s="47">
        <f t="shared" si="538"/>
        <v>3740</v>
      </c>
      <c r="K2642" s="46" t="s">
        <v>10735</v>
      </c>
      <c r="L2642" s="47" t="s">
        <v>4119</v>
      </c>
      <c r="M2642" s="47">
        <f t="shared" si="539"/>
        <v>1430.0000000000002</v>
      </c>
      <c r="N2642" s="47" t="s">
        <v>4094</v>
      </c>
      <c r="O2642" s="47" t="s">
        <v>7407</v>
      </c>
      <c r="P2642" s="47"/>
      <c r="Q2642" s="47"/>
      <c r="R2642" s="47">
        <f t="shared" si="540"/>
        <v>540</v>
      </c>
      <c r="S2642" s="47" t="s">
        <v>4095</v>
      </c>
      <c r="T2642" s="47" t="s">
        <v>4096</v>
      </c>
      <c r="U2642" s="47"/>
      <c r="V2642" s="47"/>
      <c r="W2642" s="47"/>
      <c r="X2642" s="47"/>
      <c r="Y2642" s="47"/>
      <c r="Z2642" s="47">
        <f t="shared" si="537"/>
        <v>4620</v>
      </c>
      <c r="AA2642" s="47">
        <f t="shared" si="541"/>
        <v>1400</v>
      </c>
      <c r="AB2642" s="47"/>
      <c r="AC2642" s="47"/>
      <c r="AD2642" s="47"/>
      <c r="AE2642" s="47">
        <f t="shared" si="542"/>
        <v>5000</v>
      </c>
      <c r="AF2642" s="47">
        <f t="shared" si="542"/>
        <v>1485</v>
      </c>
      <c r="AG2642" s="47"/>
      <c r="AH2642" s="47" t="str">
        <f>IFERROR(_xlfn.XLOOKUP(Table6[[#This Row],[Suburb]],Table5[Travel Surcharge],Table5[$$]),"")</f>
        <v/>
      </c>
      <c r="AI2642" s="47">
        <f t="shared" si="543"/>
        <v>1650.0000000000002</v>
      </c>
      <c r="AJ2642" s="47"/>
    </row>
    <row r="2643" spans="1:36">
      <c r="A2643" s="374" t="s">
        <v>4117</v>
      </c>
      <c r="B2643" s="374">
        <v>194</v>
      </c>
      <c r="C2643" s="374" t="s">
        <v>2060</v>
      </c>
      <c r="D2643" s="375" t="str">
        <f t="shared" si="536"/>
        <v>Manor Lakes - The Village194</v>
      </c>
      <c r="E2643" s="375" t="s">
        <v>4121</v>
      </c>
      <c r="F2643" s="375" t="s">
        <v>4090</v>
      </c>
      <c r="G2643" s="375" t="s">
        <v>4091</v>
      </c>
      <c r="H2643" s="375" t="s">
        <v>4092</v>
      </c>
      <c r="I2643" s="63" t="s">
        <v>4093</v>
      </c>
      <c r="J2643" s="47">
        <f t="shared" si="538"/>
        <v>3740</v>
      </c>
      <c r="K2643" s="46" t="s">
        <v>10735</v>
      </c>
      <c r="L2643" s="47" t="s">
        <v>4119</v>
      </c>
      <c r="M2643" s="47">
        <f t="shared" si="539"/>
        <v>1430.0000000000002</v>
      </c>
      <c r="N2643" s="47" t="s">
        <v>4094</v>
      </c>
      <c r="O2643" s="47" t="s">
        <v>4120</v>
      </c>
      <c r="P2643" s="47"/>
      <c r="Q2643" s="47"/>
      <c r="R2643" s="47">
        <f t="shared" si="540"/>
        <v>540</v>
      </c>
      <c r="S2643" s="47" t="s">
        <v>4095</v>
      </c>
      <c r="T2643" s="47" t="s">
        <v>4096</v>
      </c>
      <c r="U2643" s="47"/>
      <c r="V2643" s="47"/>
      <c r="W2643" s="47"/>
      <c r="X2643" s="47"/>
      <c r="Y2643" s="47"/>
      <c r="Z2643" s="47">
        <f t="shared" si="537"/>
        <v>4620</v>
      </c>
      <c r="AA2643" s="47">
        <f t="shared" si="541"/>
        <v>1400</v>
      </c>
      <c r="AB2643" s="47"/>
      <c r="AC2643" s="47"/>
      <c r="AD2643" s="47"/>
      <c r="AE2643" s="47">
        <f t="shared" si="542"/>
        <v>5000</v>
      </c>
      <c r="AF2643" s="47">
        <f t="shared" si="542"/>
        <v>1485</v>
      </c>
      <c r="AG2643" s="47"/>
      <c r="AH2643" s="47" t="str">
        <f>IFERROR(_xlfn.XLOOKUP(Table6[[#This Row],[Suburb]],Table5[Travel Surcharge],Table5[$$]),"")</f>
        <v/>
      </c>
      <c r="AI2643" s="47">
        <f t="shared" si="543"/>
        <v>1650.0000000000002</v>
      </c>
      <c r="AJ2643" s="47"/>
    </row>
    <row r="2644" spans="1:36">
      <c r="A2644" s="374" t="s">
        <v>4117</v>
      </c>
      <c r="B2644" s="374">
        <v>195</v>
      </c>
      <c r="C2644" s="374" t="s">
        <v>2060</v>
      </c>
      <c r="D2644" s="375" t="str">
        <f t="shared" si="536"/>
        <v>Manor Lakes - The Village195</v>
      </c>
      <c r="E2644" s="375" t="s">
        <v>4122</v>
      </c>
      <c r="F2644" s="375" t="s">
        <v>4090</v>
      </c>
      <c r="G2644" s="375" t="s">
        <v>4091</v>
      </c>
      <c r="H2644" s="375" t="s">
        <v>4092</v>
      </c>
      <c r="I2644" s="63" t="s">
        <v>4093</v>
      </c>
      <c r="J2644" s="47">
        <f t="shared" si="538"/>
        <v>3740</v>
      </c>
      <c r="K2644" s="46" t="s">
        <v>10735</v>
      </c>
      <c r="L2644" s="47" t="s">
        <v>4119</v>
      </c>
      <c r="M2644" s="47">
        <f t="shared" si="539"/>
        <v>1430.0000000000002</v>
      </c>
      <c r="N2644" s="47" t="s">
        <v>4094</v>
      </c>
      <c r="O2644" s="47"/>
      <c r="P2644" s="47"/>
      <c r="Q2644" s="47"/>
      <c r="R2644" s="47">
        <f t="shared" si="540"/>
        <v>540</v>
      </c>
      <c r="S2644" s="47" t="s">
        <v>4095</v>
      </c>
      <c r="T2644" s="47" t="s">
        <v>4096</v>
      </c>
      <c r="U2644" s="47"/>
      <c r="V2644" s="47"/>
      <c r="W2644" s="47"/>
      <c r="X2644" s="47"/>
      <c r="Y2644" s="47"/>
      <c r="Z2644" s="47">
        <f t="shared" si="537"/>
        <v>4620</v>
      </c>
      <c r="AA2644" s="47">
        <f t="shared" si="541"/>
        <v>1400</v>
      </c>
      <c r="AB2644" s="47"/>
      <c r="AC2644" s="47"/>
      <c r="AD2644" s="47"/>
      <c r="AE2644" s="47">
        <f t="shared" si="542"/>
        <v>5000</v>
      </c>
      <c r="AF2644" s="47">
        <f t="shared" si="542"/>
        <v>1485</v>
      </c>
      <c r="AG2644" s="47"/>
      <c r="AH2644" s="47" t="str">
        <f>IFERROR(_xlfn.XLOOKUP(Table6[[#This Row],[Suburb]],Table5[Travel Surcharge],Table5[$$]),"")</f>
        <v/>
      </c>
      <c r="AI2644" s="47">
        <f t="shared" si="543"/>
        <v>1650.0000000000002</v>
      </c>
      <c r="AJ2644" s="47"/>
    </row>
    <row r="2645" spans="1:36">
      <c r="A2645" s="374" t="s">
        <v>4117</v>
      </c>
      <c r="B2645" s="374">
        <v>196</v>
      </c>
      <c r="C2645" s="374" t="s">
        <v>2060</v>
      </c>
      <c r="D2645" s="375" t="str">
        <f t="shared" si="536"/>
        <v>Manor Lakes - The Village196</v>
      </c>
      <c r="E2645" s="375" t="s">
        <v>4123</v>
      </c>
      <c r="F2645" s="375" t="s">
        <v>4090</v>
      </c>
      <c r="G2645" s="375" t="s">
        <v>4091</v>
      </c>
      <c r="H2645" s="375" t="s">
        <v>4092</v>
      </c>
      <c r="I2645" s="63" t="s">
        <v>4093</v>
      </c>
      <c r="J2645" s="47">
        <f t="shared" si="538"/>
        <v>3740</v>
      </c>
      <c r="K2645" s="46" t="s">
        <v>10735</v>
      </c>
      <c r="L2645" s="47" t="s">
        <v>4119</v>
      </c>
      <c r="M2645" s="47">
        <f t="shared" si="539"/>
        <v>1430.0000000000002</v>
      </c>
      <c r="N2645" s="47" t="s">
        <v>4094</v>
      </c>
      <c r="O2645" s="47"/>
      <c r="P2645" s="47"/>
      <c r="Q2645" s="47"/>
      <c r="R2645" s="47">
        <f t="shared" si="540"/>
        <v>540</v>
      </c>
      <c r="S2645" s="47" t="s">
        <v>4095</v>
      </c>
      <c r="T2645" s="47" t="s">
        <v>4096</v>
      </c>
      <c r="U2645" s="47"/>
      <c r="V2645" s="47"/>
      <c r="W2645" s="47"/>
      <c r="X2645" s="47"/>
      <c r="Y2645" s="47"/>
      <c r="Z2645" s="47">
        <f t="shared" si="537"/>
        <v>4620</v>
      </c>
      <c r="AA2645" s="47">
        <f t="shared" si="541"/>
        <v>1400</v>
      </c>
      <c r="AB2645" s="47"/>
      <c r="AC2645" s="47"/>
      <c r="AD2645" s="47"/>
      <c r="AE2645" s="47">
        <f t="shared" si="542"/>
        <v>5000</v>
      </c>
      <c r="AF2645" s="47">
        <f t="shared" si="542"/>
        <v>1485</v>
      </c>
      <c r="AG2645" s="47"/>
      <c r="AH2645" s="47" t="str">
        <f>IFERROR(_xlfn.XLOOKUP(Table6[[#This Row],[Suburb]],Table5[Travel Surcharge],Table5[$$]),"")</f>
        <v/>
      </c>
      <c r="AI2645" s="47">
        <f t="shared" si="543"/>
        <v>1650.0000000000002</v>
      </c>
      <c r="AJ2645" s="47"/>
    </row>
    <row r="2646" spans="1:36">
      <c r="A2646" s="157" t="s">
        <v>4117</v>
      </c>
      <c r="B2646" s="157">
        <v>197</v>
      </c>
      <c r="C2646" s="157" t="s">
        <v>2060</v>
      </c>
      <c r="D2646" s="157" t="str">
        <f t="shared" si="536"/>
        <v>Manor Lakes - The Village197</v>
      </c>
      <c r="E2646" s="157" t="s">
        <v>8506</v>
      </c>
      <c r="F2646" s="157" t="s">
        <v>4090</v>
      </c>
      <c r="G2646" s="157" t="s">
        <v>4091</v>
      </c>
      <c r="H2646" s="157" t="s">
        <v>4092</v>
      </c>
      <c r="I2646" s="158" t="s">
        <v>4093</v>
      </c>
      <c r="J2646" s="47">
        <f t="shared" si="538"/>
        <v>3740</v>
      </c>
      <c r="K2646" s="46" t="s">
        <v>10735</v>
      </c>
      <c r="L2646" s="47" t="s">
        <v>4119</v>
      </c>
      <c r="M2646" s="47">
        <f t="shared" si="539"/>
        <v>1430.0000000000002</v>
      </c>
      <c r="N2646" s="47" t="s">
        <v>4094</v>
      </c>
      <c r="O2646" s="47"/>
      <c r="P2646" s="47"/>
      <c r="Q2646" s="47"/>
      <c r="R2646" s="47">
        <f t="shared" si="540"/>
        <v>540</v>
      </c>
      <c r="S2646" s="47" t="s">
        <v>4095</v>
      </c>
      <c r="T2646" s="47" t="s">
        <v>4096</v>
      </c>
      <c r="U2646" s="47"/>
      <c r="V2646" s="47"/>
      <c r="W2646" s="47"/>
      <c r="X2646" s="47"/>
      <c r="Y2646" s="47"/>
      <c r="Z2646" s="47">
        <f t="shared" si="537"/>
        <v>4620</v>
      </c>
      <c r="AA2646" s="47">
        <f t="shared" si="541"/>
        <v>1400</v>
      </c>
      <c r="AB2646" s="47"/>
      <c r="AC2646" s="47"/>
      <c r="AD2646" s="47"/>
      <c r="AE2646" s="47">
        <f t="shared" si="542"/>
        <v>5000</v>
      </c>
      <c r="AF2646" s="47">
        <f t="shared" si="542"/>
        <v>1485</v>
      </c>
      <c r="AG2646" s="47"/>
      <c r="AH2646" s="47" t="str">
        <f>IFERROR(_xlfn.XLOOKUP(Table6[[#This Row],[Suburb]],Table5[Travel Surcharge],Table5[$$]),"")</f>
        <v/>
      </c>
      <c r="AI2646" s="47">
        <f t="shared" si="543"/>
        <v>1650.0000000000002</v>
      </c>
      <c r="AJ2646" s="47"/>
    </row>
    <row r="2647" spans="1:36">
      <c r="A2647" s="157" t="s">
        <v>4117</v>
      </c>
      <c r="B2647" s="157">
        <v>198</v>
      </c>
      <c r="C2647" s="157" t="s">
        <v>7462</v>
      </c>
      <c r="D2647" s="157" t="str">
        <f t="shared" si="536"/>
        <v>Manor Lakes - The Village198</v>
      </c>
      <c r="E2647" s="157" t="s">
        <v>4134</v>
      </c>
      <c r="F2647" s="157" t="s">
        <v>4090</v>
      </c>
      <c r="G2647" s="157" t="s">
        <v>4091</v>
      </c>
      <c r="H2647" s="157" t="s">
        <v>7995</v>
      </c>
      <c r="I2647" s="158" t="s">
        <v>4093</v>
      </c>
      <c r="J2647" s="47">
        <f t="shared" si="538"/>
        <v>3740</v>
      </c>
      <c r="K2647" s="46" t="s">
        <v>10735</v>
      </c>
      <c r="L2647" s="47" t="s">
        <v>4119</v>
      </c>
      <c r="M2647" s="47">
        <f t="shared" si="539"/>
        <v>1430.0000000000002</v>
      </c>
      <c r="N2647" s="47" t="s">
        <v>4094</v>
      </c>
      <c r="O2647" s="47"/>
      <c r="P2647" s="47"/>
      <c r="Q2647" s="47"/>
      <c r="R2647" s="47">
        <f t="shared" si="540"/>
        <v>540</v>
      </c>
      <c r="S2647" s="47" t="s">
        <v>4095</v>
      </c>
      <c r="T2647" s="47" t="s">
        <v>4096</v>
      </c>
      <c r="U2647" s="47"/>
      <c r="V2647" s="47"/>
      <c r="W2647" s="47"/>
      <c r="X2647" s="47"/>
      <c r="Y2647" s="47"/>
      <c r="Z2647" s="47">
        <f t="shared" si="537"/>
        <v>4620</v>
      </c>
      <c r="AA2647" s="47">
        <f t="shared" si="541"/>
        <v>1400</v>
      </c>
      <c r="AB2647" s="47"/>
      <c r="AC2647" s="47"/>
      <c r="AD2647" s="47"/>
      <c r="AE2647" s="47">
        <f t="shared" si="542"/>
        <v>5000</v>
      </c>
      <c r="AF2647" s="47">
        <f t="shared" si="542"/>
        <v>1485</v>
      </c>
      <c r="AG2647" s="47"/>
      <c r="AH2647" s="47" t="str">
        <f>IFERROR(_xlfn.XLOOKUP(Table6[[#This Row],[Suburb]],Table5[Travel Surcharge],Table5[$$]),"")</f>
        <v/>
      </c>
      <c r="AI2647" s="47">
        <f t="shared" si="543"/>
        <v>1650.0000000000002</v>
      </c>
      <c r="AJ2647" s="47"/>
    </row>
    <row r="2648" spans="1:36">
      <c r="A2648" s="157" t="s">
        <v>4117</v>
      </c>
      <c r="B2648" s="157">
        <v>199</v>
      </c>
      <c r="C2648" s="157" t="s">
        <v>7462</v>
      </c>
      <c r="D2648" s="157" t="str">
        <f t="shared" si="536"/>
        <v>Manor Lakes - The Village199</v>
      </c>
      <c r="E2648" s="157" t="s">
        <v>7994</v>
      </c>
      <c r="F2648" s="157" t="s">
        <v>4090</v>
      </c>
      <c r="G2648" s="157" t="s">
        <v>4091</v>
      </c>
      <c r="H2648" s="157" t="s">
        <v>7463</v>
      </c>
      <c r="I2648" s="158" t="s">
        <v>4093</v>
      </c>
      <c r="J2648" s="47">
        <f t="shared" si="538"/>
        <v>3740</v>
      </c>
      <c r="K2648" s="46" t="s">
        <v>10735</v>
      </c>
      <c r="L2648" s="47" t="s">
        <v>4119</v>
      </c>
      <c r="M2648" s="47">
        <f t="shared" si="539"/>
        <v>1430.0000000000002</v>
      </c>
      <c r="N2648" s="47" t="s">
        <v>4094</v>
      </c>
      <c r="O2648" s="47"/>
      <c r="P2648" s="47"/>
      <c r="Q2648" s="47"/>
      <c r="R2648" s="47">
        <f t="shared" si="540"/>
        <v>540</v>
      </c>
      <c r="S2648" s="47" t="s">
        <v>4095</v>
      </c>
      <c r="T2648" s="47" t="s">
        <v>4096</v>
      </c>
      <c r="U2648" s="47"/>
      <c r="V2648" s="47"/>
      <c r="W2648" s="47"/>
      <c r="X2648" s="47"/>
      <c r="Y2648" s="47"/>
      <c r="Z2648" s="47">
        <f t="shared" si="537"/>
        <v>4620</v>
      </c>
      <c r="AA2648" s="47">
        <f t="shared" si="541"/>
        <v>1400</v>
      </c>
      <c r="AB2648" s="47"/>
      <c r="AC2648" s="47"/>
      <c r="AD2648" s="47"/>
      <c r="AE2648" s="47">
        <f t="shared" si="542"/>
        <v>5000</v>
      </c>
      <c r="AF2648" s="47">
        <f t="shared" si="542"/>
        <v>1485</v>
      </c>
      <c r="AG2648" s="47"/>
      <c r="AH2648" s="47" t="str">
        <f>IFERROR(_xlfn.XLOOKUP(Table6[[#This Row],[Suburb]],Table5[Travel Surcharge],Table5[$$]),"")</f>
        <v/>
      </c>
      <c r="AI2648" s="47">
        <f t="shared" si="543"/>
        <v>1650.0000000000002</v>
      </c>
      <c r="AJ2648" s="47"/>
    </row>
    <row r="2649" spans="1:36">
      <c r="A2649" s="157" t="s">
        <v>4117</v>
      </c>
      <c r="B2649" s="157">
        <v>201</v>
      </c>
      <c r="C2649" s="157" t="s">
        <v>7462</v>
      </c>
      <c r="D2649" s="157" t="str">
        <f t="shared" si="536"/>
        <v>Manor Lakes - The Village201</v>
      </c>
      <c r="E2649" s="157" t="s">
        <v>8780</v>
      </c>
      <c r="F2649" s="157" t="s">
        <v>4090</v>
      </c>
      <c r="G2649" s="157" t="s">
        <v>4091</v>
      </c>
      <c r="H2649" s="157" t="s">
        <v>7463</v>
      </c>
      <c r="I2649" s="158" t="s">
        <v>4093</v>
      </c>
      <c r="J2649" s="47">
        <f t="shared" si="538"/>
        <v>3740</v>
      </c>
      <c r="K2649" s="46" t="s">
        <v>10735</v>
      </c>
      <c r="L2649" s="47" t="s">
        <v>4119</v>
      </c>
      <c r="M2649" s="47">
        <f t="shared" si="539"/>
        <v>1430.0000000000002</v>
      </c>
      <c r="N2649" s="47" t="s">
        <v>4094</v>
      </c>
      <c r="O2649" s="47"/>
      <c r="P2649" s="47"/>
      <c r="Q2649" s="47"/>
      <c r="R2649" s="47">
        <f t="shared" si="540"/>
        <v>540</v>
      </c>
      <c r="S2649" s="47" t="s">
        <v>4095</v>
      </c>
      <c r="T2649" s="47" t="s">
        <v>4096</v>
      </c>
      <c r="U2649" s="47"/>
      <c r="V2649" s="47"/>
      <c r="W2649" s="47"/>
      <c r="X2649" s="47"/>
      <c r="Y2649" s="47"/>
      <c r="Z2649" s="47">
        <f t="shared" si="537"/>
        <v>4620</v>
      </c>
      <c r="AA2649" s="47">
        <f t="shared" si="541"/>
        <v>1400</v>
      </c>
      <c r="AB2649" s="47"/>
      <c r="AC2649" s="47"/>
      <c r="AD2649" s="47"/>
      <c r="AE2649" s="47">
        <f t="shared" si="542"/>
        <v>5000</v>
      </c>
      <c r="AF2649" s="47">
        <f t="shared" si="542"/>
        <v>1485</v>
      </c>
      <c r="AG2649" s="47"/>
      <c r="AH2649" s="47" t="str">
        <f>IFERROR(_xlfn.XLOOKUP(Table6[[#This Row],[Suburb]],Table5[Travel Surcharge],Table5[$$]),"")</f>
        <v/>
      </c>
      <c r="AI2649" s="47">
        <f t="shared" si="543"/>
        <v>1650.0000000000002</v>
      </c>
      <c r="AJ2649" s="47"/>
    </row>
    <row r="2650" spans="1:36">
      <c r="A2650" s="157" t="s">
        <v>4117</v>
      </c>
      <c r="B2650" s="157">
        <v>202</v>
      </c>
      <c r="C2650" s="157" t="s">
        <v>7462</v>
      </c>
      <c r="D2650" s="157" t="str">
        <f t="shared" ref="D2650:D2668" si="544">CONCATENATE(A2650,B2650)</f>
        <v>Manor Lakes - The Village202</v>
      </c>
      <c r="E2650" s="157" t="s">
        <v>9495</v>
      </c>
      <c r="F2650" s="157" t="s">
        <v>4090</v>
      </c>
      <c r="G2650" s="157" t="s">
        <v>4091</v>
      </c>
      <c r="H2650" s="157" t="s">
        <v>7463</v>
      </c>
      <c r="I2650" s="158" t="s">
        <v>4093</v>
      </c>
      <c r="J2650" s="47">
        <f t="shared" si="538"/>
        <v>3740</v>
      </c>
      <c r="K2650" s="46" t="s">
        <v>10735</v>
      </c>
      <c r="L2650" s="47" t="s">
        <v>4119</v>
      </c>
      <c r="M2650" s="47">
        <f t="shared" si="539"/>
        <v>1430.0000000000002</v>
      </c>
      <c r="N2650" s="47" t="s">
        <v>4094</v>
      </c>
      <c r="O2650" s="47"/>
      <c r="P2650" s="47"/>
      <c r="Q2650" s="47"/>
      <c r="R2650" s="47">
        <f t="shared" si="540"/>
        <v>540</v>
      </c>
      <c r="S2650" s="47" t="s">
        <v>4095</v>
      </c>
      <c r="T2650" s="47" t="s">
        <v>4096</v>
      </c>
      <c r="U2650" s="47"/>
      <c r="V2650" s="47"/>
      <c r="W2650" s="47"/>
      <c r="X2650" s="47"/>
      <c r="Y2650" s="47"/>
      <c r="Z2650" s="47">
        <f t="shared" ref="Z2650:Z2668" si="545">Z$7</f>
        <v>4620</v>
      </c>
      <c r="AA2650" s="47">
        <f t="shared" si="541"/>
        <v>1400</v>
      </c>
      <c r="AB2650" s="47"/>
      <c r="AC2650" s="47"/>
      <c r="AD2650" s="47"/>
      <c r="AE2650" s="47">
        <f t="shared" si="542"/>
        <v>5000</v>
      </c>
      <c r="AF2650" s="47">
        <f t="shared" si="542"/>
        <v>1485</v>
      </c>
      <c r="AG2650" s="47"/>
      <c r="AH2650" s="47" t="str">
        <f>IFERROR(_xlfn.XLOOKUP(Table6[[#This Row],[Suburb]],Table5[Travel Surcharge],Table5[$$]),"")</f>
        <v/>
      </c>
      <c r="AI2650" s="47">
        <f t="shared" si="543"/>
        <v>1650.0000000000002</v>
      </c>
      <c r="AJ2650" s="47"/>
    </row>
    <row r="2651" spans="1:36">
      <c r="A2651" s="157" t="s">
        <v>4117</v>
      </c>
      <c r="B2651" s="157">
        <v>203</v>
      </c>
      <c r="C2651" s="157" t="s">
        <v>7462</v>
      </c>
      <c r="D2651" s="157" t="str">
        <f t="shared" si="544"/>
        <v>Manor Lakes - The Village203</v>
      </c>
      <c r="E2651" s="157" t="s">
        <v>9801</v>
      </c>
      <c r="F2651" s="157" t="s">
        <v>4090</v>
      </c>
      <c r="G2651" s="157" t="s">
        <v>4091</v>
      </c>
      <c r="H2651" s="157" t="s">
        <v>7463</v>
      </c>
      <c r="I2651" s="158" t="s">
        <v>4093</v>
      </c>
      <c r="J2651" s="47">
        <f t="shared" si="538"/>
        <v>3740</v>
      </c>
      <c r="K2651" s="46" t="s">
        <v>10735</v>
      </c>
      <c r="L2651" s="47" t="s">
        <v>4119</v>
      </c>
      <c r="M2651" s="47">
        <f t="shared" si="539"/>
        <v>1430.0000000000002</v>
      </c>
      <c r="N2651" s="47" t="s">
        <v>4094</v>
      </c>
      <c r="O2651" s="47"/>
      <c r="P2651" s="47"/>
      <c r="Q2651" s="47"/>
      <c r="R2651" s="47">
        <f t="shared" si="540"/>
        <v>540</v>
      </c>
      <c r="S2651" s="47" t="s">
        <v>4095</v>
      </c>
      <c r="T2651" s="47" t="s">
        <v>4096</v>
      </c>
      <c r="U2651" s="47"/>
      <c r="V2651" s="47"/>
      <c r="W2651" s="47"/>
      <c r="X2651" s="47"/>
      <c r="Y2651" s="47"/>
      <c r="Z2651" s="47">
        <f t="shared" si="545"/>
        <v>4620</v>
      </c>
      <c r="AA2651" s="47">
        <f t="shared" si="541"/>
        <v>1400</v>
      </c>
      <c r="AB2651" s="47"/>
      <c r="AC2651" s="47"/>
      <c r="AD2651" s="47"/>
      <c r="AE2651" s="47">
        <f t="shared" si="542"/>
        <v>5000</v>
      </c>
      <c r="AF2651" s="47">
        <f t="shared" si="542"/>
        <v>1485</v>
      </c>
      <c r="AG2651" s="47"/>
      <c r="AH2651" s="47" t="str">
        <f>IFERROR(_xlfn.XLOOKUP(Table6[[#This Row],[Suburb]],Table5[Travel Surcharge],Table5[$$]),"")</f>
        <v/>
      </c>
      <c r="AI2651" s="47">
        <f t="shared" si="543"/>
        <v>1650.0000000000002</v>
      </c>
      <c r="AJ2651" s="47"/>
    </row>
    <row r="2652" spans="1:36">
      <c r="A2652" s="374" t="s">
        <v>4117</v>
      </c>
      <c r="B2652" s="374">
        <v>204</v>
      </c>
      <c r="C2652" s="374" t="s">
        <v>7462</v>
      </c>
      <c r="D2652" s="375" t="str">
        <f t="shared" si="544"/>
        <v>Manor Lakes - The Village204</v>
      </c>
      <c r="E2652" s="375" t="s">
        <v>10377</v>
      </c>
      <c r="F2652" s="375" t="s">
        <v>4090</v>
      </c>
      <c r="G2652" s="375" t="s">
        <v>4091</v>
      </c>
      <c r="H2652" s="375" t="s">
        <v>7463</v>
      </c>
      <c r="I2652" s="63" t="s">
        <v>4093</v>
      </c>
      <c r="J2652" s="47">
        <v>3740</v>
      </c>
      <c r="K2652" s="46" t="s">
        <v>10735</v>
      </c>
      <c r="L2652" s="47" t="s">
        <v>4119</v>
      </c>
      <c r="M2652" s="47">
        <v>1430.0000000000002</v>
      </c>
      <c r="N2652" s="47" t="s">
        <v>4094</v>
      </c>
      <c r="O2652" s="47"/>
      <c r="P2652" s="47"/>
      <c r="Q2652" s="47"/>
      <c r="R2652" s="47">
        <v>540</v>
      </c>
      <c r="S2652" s="47" t="s">
        <v>4095</v>
      </c>
      <c r="T2652" s="47" t="s">
        <v>4096</v>
      </c>
      <c r="U2652" s="47"/>
      <c r="V2652" s="47"/>
      <c r="W2652" s="47"/>
      <c r="X2652" s="47"/>
      <c r="Y2652" s="47"/>
      <c r="Z2652" s="47">
        <v>4620</v>
      </c>
      <c r="AA2652" s="47">
        <v>1400</v>
      </c>
      <c r="AB2652" s="47"/>
      <c r="AC2652" s="47"/>
      <c r="AD2652" s="47"/>
      <c r="AE2652" s="47">
        <v>5000</v>
      </c>
      <c r="AF2652" s="47">
        <v>1485</v>
      </c>
      <c r="AG2652" s="47"/>
      <c r="AH2652" s="47" t="s">
        <v>9976</v>
      </c>
      <c r="AI2652" s="47">
        <v>1650.0000000000002</v>
      </c>
      <c r="AJ2652" s="47"/>
    </row>
    <row r="2653" spans="1:36">
      <c r="A2653" s="374" t="s">
        <v>4117</v>
      </c>
      <c r="B2653" s="374">
        <v>205</v>
      </c>
      <c r="C2653" s="374" t="s">
        <v>7462</v>
      </c>
      <c r="D2653" s="375" t="str">
        <f t="shared" si="544"/>
        <v>Manor Lakes - The Village205</v>
      </c>
      <c r="E2653" s="375" t="s">
        <v>10797</v>
      </c>
      <c r="F2653" s="375" t="s">
        <v>4090</v>
      </c>
      <c r="G2653" s="375" t="s">
        <v>4091</v>
      </c>
      <c r="H2653" s="375" t="s">
        <v>7463</v>
      </c>
      <c r="I2653" s="63" t="s">
        <v>4093</v>
      </c>
      <c r="J2653" s="47">
        <v>3740</v>
      </c>
      <c r="K2653" s="46" t="s">
        <v>10735</v>
      </c>
      <c r="L2653" s="47" t="s">
        <v>4119</v>
      </c>
      <c r="M2653" s="47">
        <v>1430.0000000000002</v>
      </c>
      <c r="N2653" s="47" t="s">
        <v>4094</v>
      </c>
      <c r="O2653" s="47"/>
      <c r="P2653" s="47"/>
      <c r="Q2653" s="47"/>
      <c r="R2653" s="47">
        <v>540</v>
      </c>
      <c r="S2653" s="47" t="s">
        <v>4095</v>
      </c>
      <c r="T2653" s="47" t="s">
        <v>4096</v>
      </c>
      <c r="U2653" s="47"/>
      <c r="V2653" s="47"/>
      <c r="W2653" s="47"/>
      <c r="X2653" s="47"/>
      <c r="Y2653" s="47"/>
      <c r="Z2653" s="47">
        <v>4620</v>
      </c>
      <c r="AA2653" s="47">
        <v>1400</v>
      </c>
      <c r="AB2653" s="47"/>
      <c r="AC2653" s="47"/>
      <c r="AD2653" s="47"/>
      <c r="AE2653" s="47">
        <v>5000</v>
      </c>
      <c r="AF2653" s="47">
        <v>1485</v>
      </c>
      <c r="AG2653" s="47"/>
      <c r="AH2653" s="47" t="s">
        <v>9976</v>
      </c>
      <c r="AI2653" s="47">
        <v>1650.0000000000002</v>
      </c>
      <c r="AJ2653" s="47"/>
    </row>
    <row r="2654" spans="1:36">
      <c r="A2654" s="374" t="s">
        <v>4124</v>
      </c>
      <c r="B2654" s="374">
        <v>43</v>
      </c>
      <c r="C2654" s="374" t="s">
        <v>2060</v>
      </c>
      <c r="D2654" s="375" t="str">
        <f t="shared" si="544"/>
        <v>Manor Lakes Estate - Lakeside43</v>
      </c>
      <c r="E2654" s="375" t="s">
        <v>4125</v>
      </c>
      <c r="F2654" s="375" t="s">
        <v>4090</v>
      </c>
      <c r="G2654" s="375" t="s">
        <v>4091</v>
      </c>
      <c r="H2654" s="375" t="s">
        <v>4092</v>
      </c>
      <c r="I2654" s="63" t="s">
        <v>4093</v>
      </c>
      <c r="J2654" s="47">
        <f t="shared" si="538"/>
        <v>3740</v>
      </c>
      <c r="K2654" s="46" t="s">
        <v>10735</v>
      </c>
      <c r="L2654" s="47"/>
      <c r="M2654" s="47"/>
      <c r="N2654" s="47"/>
      <c r="O2654" s="47"/>
      <c r="P2654" s="47"/>
      <c r="Q2654" s="47"/>
      <c r="R2654" s="47">
        <f t="shared" si="540"/>
        <v>540</v>
      </c>
      <c r="S2654" s="47"/>
      <c r="T2654" s="47"/>
      <c r="U2654" s="47"/>
      <c r="V2654" s="47" t="s">
        <v>1355</v>
      </c>
      <c r="W2654" s="47"/>
      <c r="X2654" s="47">
        <f t="shared" ref="X2654:X2668" si="546">X$7</f>
        <v>3000</v>
      </c>
      <c r="Y2654" s="47"/>
      <c r="Z2654" s="47">
        <f t="shared" si="545"/>
        <v>4620</v>
      </c>
      <c r="AA2654" s="47">
        <f t="shared" si="541"/>
        <v>1400</v>
      </c>
      <c r="AB2654" s="47"/>
      <c r="AC2654" s="47"/>
      <c r="AD2654" s="47"/>
      <c r="AE2654" s="47"/>
      <c r="AF2654" s="47">
        <f t="shared" ref="AF2654:AF2668" si="547">AF$7</f>
        <v>1485</v>
      </c>
      <c r="AG2654" s="47"/>
      <c r="AH2654" s="47" t="str">
        <f>IFERROR(_xlfn.XLOOKUP(Table6[[#This Row],[Suburb]],Table5[Travel Surcharge],Table5[$$]),"")</f>
        <v/>
      </c>
      <c r="AI2654" s="47"/>
      <c r="AJ2654" s="47"/>
    </row>
    <row r="2655" spans="1:36">
      <c r="A2655" s="374" t="s">
        <v>4124</v>
      </c>
      <c r="B2655" s="374">
        <v>46</v>
      </c>
      <c r="C2655" s="374" t="s">
        <v>2060</v>
      </c>
      <c r="D2655" s="375" t="str">
        <f t="shared" si="544"/>
        <v>Manor Lakes Estate - Lakeside46</v>
      </c>
      <c r="E2655" s="375" t="s">
        <v>4126</v>
      </c>
      <c r="F2655" s="375" t="s">
        <v>4090</v>
      </c>
      <c r="G2655" s="375" t="s">
        <v>4091</v>
      </c>
      <c r="H2655" s="375" t="s">
        <v>4092</v>
      </c>
      <c r="I2655" s="63" t="s">
        <v>4093</v>
      </c>
      <c r="J2655" s="47">
        <f t="shared" si="538"/>
        <v>3740</v>
      </c>
      <c r="K2655" s="46" t="s">
        <v>10735</v>
      </c>
      <c r="L2655" s="47"/>
      <c r="M2655" s="47"/>
      <c r="N2655" s="47"/>
      <c r="O2655" s="47"/>
      <c r="P2655" s="47"/>
      <c r="Q2655" s="47"/>
      <c r="R2655" s="47">
        <f t="shared" si="540"/>
        <v>540</v>
      </c>
      <c r="S2655" s="47"/>
      <c r="T2655" s="47"/>
      <c r="U2655" s="47"/>
      <c r="V2655" s="47" t="s">
        <v>1355</v>
      </c>
      <c r="W2655" s="47"/>
      <c r="X2655" s="47">
        <f t="shared" si="546"/>
        <v>3000</v>
      </c>
      <c r="Y2655" s="47"/>
      <c r="Z2655" s="47">
        <f t="shared" si="545"/>
        <v>4620</v>
      </c>
      <c r="AA2655" s="47">
        <f t="shared" si="541"/>
        <v>1400</v>
      </c>
      <c r="AB2655" s="47"/>
      <c r="AC2655" s="47"/>
      <c r="AD2655" s="47"/>
      <c r="AE2655" s="47"/>
      <c r="AF2655" s="47">
        <f t="shared" si="547"/>
        <v>1485</v>
      </c>
      <c r="AG2655" s="47"/>
      <c r="AH2655" s="47" t="str">
        <f>IFERROR(_xlfn.XLOOKUP(Table6[[#This Row],[Suburb]],Table5[Travel Surcharge],Table5[$$]),"")</f>
        <v/>
      </c>
      <c r="AI2655" s="47"/>
      <c r="AJ2655" s="47"/>
    </row>
    <row r="2656" spans="1:36">
      <c r="A2656" s="374" t="s">
        <v>4124</v>
      </c>
      <c r="B2656" s="374">
        <v>49</v>
      </c>
      <c r="C2656" s="374" t="s">
        <v>2060</v>
      </c>
      <c r="D2656" s="375" t="str">
        <f t="shared" si="544"/>
        <v>Manor Lakes Estate - Lakeside49</v>
      </c>
      <c r="E2656" s="375" t="s">
        <v>4127</v>
      </c>
      <c r="F2656" s="375" t="s">
        <v>4090</v>
      </c>
      <c r="G2656" s="375" t="s">
        <v>4091</v>
      </c>
      <c r="H2656" s="375" t="s">
        <v>4092</v>
      </c>
      <c r="I2656" s="63" t="s">
        <v>4093</v>
      </c>
      <c r="J2656" s="47">
        <f t="shared" si="538"/>
        <v>3740</v>
      </c>
      <c r="K2656" s="46" t="s">
        <v>10735</v>
      </c>
      <c r="L2656" s="47"/>
      <c r="M2656" s="47"/>
      <c r="N2656" s="47"/>
      <c r="O2656" s="47"/>
      <c r="P2656" s="47"/>
      <c r="Q2656" s="47"/>
      <c r="R2656" s="47">
        <f t="shared" si="540"/>
        <v>540</v>
      </c>
      <c r="S2656" s="47"/>
      <c r="T2656" s="47"/>
      <c r="U2656" s="47"/>
      <c r="V2656" s="47" t="s">
        <v>1355</v>
      </c>
      <c r="W2656" s="47"/>
      <c r="X2656" s="47">
        <f t="shared" si="546"/>
        <v>3000</v>
      </c>
      <c r="Y2656" s="47"/>
      <c r="Z2656" s="47">
        <f t="shared" si="545"/>
        <v>4620</v>
      </c>
      <c r="AA2656" s="47">
        <f t="shared" si="541"/>
        <v>1400</v>
      </c>
      <c r="AB2656" s="47"/>
      <c r="AC2656" s="47"/>
      <c r="AD2656" s="47"/>
      <c r="AE2656" s="47"/>
      <c r="AF2656" s="47">
        <f t="shared" si="547"/>
        <v>1485</v>
      </c>
      <c r="AG2656" s="47"/>
      <c r="AH2656" s="47" t="str">
        <f>IFERROR(_xlfn.XLOOKUP(Table6[[#This Row],[Suburb]],Table5[Travel Surcharge],Table5[$$]),"")</f>
        <v/>
      </c>
      <c r="AI2656" s="47"/>
      <c r="AJ2656" s="47"/>
    </row>
    <row r="2657" spans="1:43">
      <c r="A2657" s="374" t="s">
        <v>4124</v>
      </c>
      <c r="B2657" s="374">
        <v>50</v>
      </c>
      <c r="C2657" s="374" t="s">
        <v>2060</v>
      </c>
      <c r="D2657" s="375" t="str">
        <f t="shared" si="544"/>
        <v>Manor Lakes Estate - Lakeside50</v>
      </c>
      <c r="E2657" s="375" t="s">
        <v>4128</v>
      </c>
      <c r="F2657" s="375" t="s">
        <v>4090</v>
      </c>
      <c r="G2657" s="375" t="s">
        <v>4091</v>
      </c>
      <c r="H2657" s="375" t="s">
        <v>4092</v>
      </c>
      <c r="I2657" s="63" t="s">
        <v>4093</v>
      </c>
      <c r="J2657" s="47">
        <f t="shared" si="538"/>
        <v>3740</v>
      </c>
      <c r="K2657" s="46" t="s">
        <v>10735</v>
      </c>
      <c r="L2657" s="47"/>
      <c r="M2657" s="47"/>
      <c r="N2657" s="47"/>
      <c r="O2657" s="47"/>
      <c r="P2657" s="47"/>
      <c r="Q2657" s="47"/>
      <c r="R2657" s="47">
        <f t="shared" si="540"/>
        <v>540</v>
      </c>
      <c r="S2657" s="47"/>
      <c r="T2657" s="47"/>
      <c r="U2657" s="47"/>
      <c r="V2657" s="47" t="s">
        <v>1355</v>
      </c>
      <c r="W2657" s="47"/>
      <c r="X2657" s="47">
        <f t="shared" si="546"/>
        <v>3000</v>
      </c>
      <c r="Y2657" s="47"/>
      <c r="Z2657" s="47">
        <f t="shared" si="545"/>
        <v>4620</v>
      </c>
      <c r="AA2657" s="47">
        <f t="shared" si="541"/>
        <v>1400</v>
      </c>
      <c r="AB2657" s="47"/>
      <c r="AC2657" s="47"/>
      <c r="AD2657" s="47"/>
      <c r="AE2657" s="47"/>
      <c r="AF2657" s="47">
        <f t="shared" si="547"/>
        <v>1485</v>
      </c>
      <c r="AG2657" s="47"/>
      <c r="AH2657" s="47" t="str">
        <f>IFERROR(_xlfn.XLOOKUP(Table6[[#This Row],[Suburb]],Table5[Travel Surcharge],Table5[$$]),"")</f>
        <v/>
      </c>
      <c r="AI2657" s="47"/>
      <c r="AJ2657" s="47"/>
    </row>
    <row r="2658" spans="1:43">
      <c r="A2658" s="374" t="s">
        <v>4124</v>
      </c>
      <c r="B2658" s="374">
        <v>51</v>
      </c>
      <c r="C2658" s="374" t="s">
        <v>2060</v>
      </c>
      <c r="D2658" s="375" t="str">
        <f t="shared" si="544"/>
        <v>Manor Lakes Estate - Lakeside51</v>
      </c>
      <c r="E2658" s="375" t="s">
        <v>4129</v>
      </c>
      <c r="F2658" s="375" t="s">
        <v>4090</v>
      </c>
      <c r="G2658" s="375" t="s">
        <v>4091</v>
      </c>
      <c r="H2658" s="375" t="s">
        <v>4092</v>
      </c>
      <c r="I2658" s="63" t="s">
        <v>4093</v>
      </c>
      <c r="J2658" s="47">
        <f t="shared" si="538"/>
        <v>3740</v>
      </c>
      <c r="K2658" s="46" t="s">
        <v>10735</v>
      </c>
      <c r="L2658" s="47"/>
      <c r="M2658" s="47"/>
      <c r="N2658" s="47"/>
      <c r="O2658" s="47"/>
      <c r="P2658" s="47"/>
      <c r="Q2658" s="47"/>
      <c r="R2658" s="47">
        <f t="shared" si="540"/>
        <v>540</v>
      </c>
      <c r="S2658" s="47"/>
      <c r="T2658" s="47"/>
      <c r="U2658" s="47"/>
      <c r="V2658" s="47" t="s">
        <v>1355</v>
      </c>
      <c r="W2658" s="47"/>
      <c r="X2658" s="47">
        <f t="shared" si="546"/>
        <v>3000</v>
      </c>
      <c r="Y2658" s="47"/>
      <c r="Z2658" s="47">
        <f t="shared" si="545"/>
        <v>4620</v>
      </c>
      <c r="AA2658" s="47">
        <f t="shared" si="541"/>
        <v>1400</v>
      </c>
      <c r="AB2658" s="47"/>
      <c r="AC2658" s="47"/>
      <c r="AD2658" s="47"/>
      <c r="AE2658" s="47"/>
      <c r="AF2658" s="47">
        <f t="shared" si="547"/>
        <v>1485</v>
      </c>
      <c r="AG2658" s="47"/>
      <c r="AH2658" s="47" t="str">
        <f>IFERROR(_xlfn.XLOOKUP(Table6[[#This Row],[Suburb]],Table5[Travel Surcharge],Table5[$$]),"")</f>
        <v/>
      </c>
      <c r="AI2658" s="47"/>
      <c r="AJ2658" s="47"/>
    </row>
    <row r="2659" spans="1:43">
      <c r="A2659" s="374" t="s">
        <v>4124</v>
      </c>
      <c r="B2659" s="374">
        <v>53</v>
      </c>
      <c r="C2659" s="374" t="s">
        <v>2060</v>
      </c>
      <c r="D2659" s="375" t="str">
        <f t="shared" si="544"/>
        <v>Manor Lakes Estate - Lakeside53</v>
      </c>
      <c r="E2659" s="375" t="s">
        <v>4130</v>
      </c>
      <c r="F2659" s="375" t="s">
        <v>4090</v>
      </c>
      <c r="G2659" s="375" t="s">
        <v>4091</v>
      </c>
      <c r="H2659" s="375" t="s">
        <v>4092</v>
      </c>
      <c r="I2659" s="63" t="s">
        <v>4093</v>
      </c>
      <c r="J2659" s="47">
        <f t="shared" si="538"/>
        <v>3740</v>
      </c>
      <c r="K2659" s="46" t="s">
        <v>10735</v>
      </c>
      <c r="L2659" s="47"/>
      <c r="M2659" s="47"/>
      <c r="N2659" s="47"/>
      <c r="O2659" s="47"/>
      <c r="P2659" s="47"/>
      <c r="Q2659" s="47"/>
      <c r="R2659" s="47">
        <f t="shared" si="540"/>
        <v>540</v>
      </c>
      <c r="S2659" s="47"/>
      <c r="T2659" s="47"/>
      <c r="U2659" s="47"/>
      <c r="V2659" s="47" t="s">
        <v>1355</v>
      </c>
      <c r="W2659" s="47"/>
      <c r="X2659" s="47">
        <f t="shared" si="546"/>
        <v>3000</v>
      </c>
      <c r="Y2659" s="47"/>
      <c r="Z2659" s="47">
        <f t="shared" si="545"/>
        <v>4620</v>
      </c>
      <c r="AA2659" s="47">
        <f t="shared" si="541"/>
        <v>1400</v>
      </c>
      <c r="AB2659" s="47"/>
      <c r="AC2659" s="47"/>
      <c r="AD2659" s="47"/>
      <c r="AE2659" s="47"/>
      <c r="AF2659" s="47">
        <f t="shared" si="547"/>
        <v>1485</v>
      </c>
      <c r="AG2659" s="47"/>
      <c r="AH2659" s="47" t="str">
        <f>IFERROR(_xlfn.XLOOKUP(Table6[[#This Row],[Suburb]],Table5[Travel Surcharge],Table5[$$]),"")</f>
        <v/>
      </c>
      <c r="AI2659" s="47"/>
      <c r="AJ2659" s="47"/>
    </row>
    <row r="2660" spans="1:43">
      <c r="A2660" s="374" t="s">
        <v>4124</v>
      </c>
      <c r="B2660" s="374">
        <v>62</v>
      </c>
      <c r="C2660" s="374" t="s">
        <v>2060</v>
      </c>
      <c r="D2660" s="375" t="str">
        <f t="shared" si="544"/>
        <v>Manor Lakes Estate - Lakeside62</v>
      </c>
      <c r="E2660" s="375" t="s">
        <v>4131</v>
      </c>
      <c r="F2660" s="375" t="s">
        <v>4090</v>
      </c>
      <c r="G2660" s="375" t="s">
        <v>4091</v>
      </c>
      <c r="H2660" s="375" t="s">
        <v>4092</v>
      </c>
      <c r="I2660" s="63" t="s">
        <v>4093</v>
      </c>
      <c r="J2660" s="47">
        <f t="shared" si="538"/>
        <v>3740</v>
      </c>
      <c r="K2660" s="46" t="s">
        <v>10735</v>
      </c>
      <c r="L2660" s="47"/>
      <c r="M2660" s="47"/>
      <c r="N2660" s="47"/>
      <c r="O2660" s="47"/>
      <c r="P2660" s="47"/>
      <c r="Q2660" s="47"/>
      <c r="R2660" s="47">
        <f t="shared" si="540"/>
        <v>540</v>
      </c>
      <c r="S2660" s="47"/>
      <c r="T2660" s="47"/>
      <c r="U2660" s="47"/>
      <c r="V2660" s="47" t="s">
        <v>1355</v>
      </c>
      <c r="W2660" s="47"/>
      <c r="X2660" s="47">
        <f t="shared" si="546"/>
        <v>3000</v>
      </c>
      <c r="Y2660" s="47"/>
      <c r="Z2660" s="47">
        <f t="shared" si="545"/>
        <v>4620</v>
      </c>
      <c r="AA2660" s="47">
        <f t="shared" si="541"/>
        <v>1400</v>
      </c>
      <c r="AB2660" s="47"/>
      <c r="AC2660" s="47"/>
      <c r="AD2660" s="47"/>
      <c r="AE2660" s="47"/>
      <c r="AF2660" s="47">
        <f t="shared" si="547"/>
        <v>1485</v>
      </c>
      <c r="AG2660" s="47"/>
      <c r="AH2660" s="47" t="str">
        <f>IFERROR(_xlfn.XLOOKUP(Table6[[#This Row],[Suburb]],Table5[Travel Surcharge],Table5[$$]),"")</f>
        <v/>
      </c>
      <c r="AI2660" s="47"/>
      <c r="AJ2660" s="47"/>
    </row>
    <row r="2661" spans="1:43">
      <c r="A2661" s="374" t="s">
        <v>4124</v>
      </c>
      <c r="B2661" s="374">
        <v>63</v>
      </c>
      <c r="C2661" s="374" t="s">
        <v>2060</v>
      </c>
      <c r="D2661" s="375" t="str">
        <f t="shared" si="544"/>
        <v>Manor Lakes Estate - Lakeside63</v>
      </c>
      <c r="E2661" s="375" t="s">
        <v>4132</v>
      </c>
      <c r="F2661" s="375" t="s">
        <v>4090</v>
      </c>
      <c r="G2661" s="375" t="s">
        <v>4091</v>
      </c>
      <c r="H2661" s="375" t="s">
        <v>4092</v>
      </c>
      <c r="I2661" s="63" t="s">
        <v>4093</v>
      </c>
      <c r="J2661" s="47">
        <f t="shared" si="538"/>
        <v>3740</v>
      </c>
      <c r="K2661" s="46" t="s">
        <v>10735</v>
      </c>
      <c r="L2661" s="47"/>
      <c r="M2661" s="47"/>
      <c r="N2661" s="47"/>
      <c r="O2661" s="47"/>
      <c r="P2661" s="47"/>
      <c r="Q2661" s="47"/>
      <c r="R2661" s="47">
        <f t="shared" si="540"/>
        <v>540</v>
      </c>
      <c r="S2661" s="47"/>
      <c r="T2661" s="47"/>
      <c r="U2661" s="47"/>
      <c r="V2661" s="47" t="s">
        <v>1355</v>
      </c>
      <c r="W2661" s="47"/>
      <c r="X2661" s="47">
        <f t="shared" si="546"/>
        <v>3000</v>
      </c>
      <c r="Y2661" s="47"/>
      <c r="Z2661" s="47">
        <f t="shared" si="545"/>
        <v>4620</v>
      </c>
      <c r="AA2661" s="47">
        <f t="shared" si="541"/>
        <v>1400</v>
      </c>
      <c r="AB2661" s="47"/>
      <c r="AC2661" s="47"/>
      <c r="AD2661" s="47"/>
      <c r="AE2661" s="47"/>
      <c r="AF2661" s="47">
        <f t="shared" si="547"/>
        <v>1485</v>
      </c>
      <c r="AG2661" s="47"/>
      <c r="AH2661" s="47" t="str">
        <f>IFERROR(_xlfn.XLOOKUP(Table6[[#This Row],[Suburb]],Table5[Travel Surcharge],Table5[$$]),"")</f>
        <v/>
      </c>
      <c r="AI2661" s="47"/>
      <c r="AJ2661" s="47"/>
    </row>
    <row r="2662" spans="1:43">
      <c r="A2662" s="374" t="s">
        <v>4124</v>
      </c>
      <c r="B2662" s="374">
        <v>134</v>
      </c>
      <c r="C2662" s="374" t="s">
        <v>2060</v>
      </c>
      <c r="D2662" s="375" t="str">
        <f t="shared" si="544"/>
        <v>Manor Lakes Estate - Lakeside134</v>
      </c>
      <c r="E2662" s="375"/>
      <c r="F2662" s="375" t="s">
        <v>4090</v>
      </c>
      <c r="G2662" s="375" t="s">
        <v>4091</v>
      </c>
      <c r="H2662" s="375" t="s">
        <v>4092</v>
      </c>
      <c r="I2662" s="63" t="s">
        <v>4093</v>
      </c>
      <c r="J2662" s="47">
        <f t="shared" si="538"/>
        <v>3740</v>
      </c>
      <c r="K2662" s="46" t="s">
        <v>10735</v>
      </c>
      <c r="L2662" s="47"/>
      <c r="M2662" s="47"/>
      <c r="N2662" s="47"/>
      <c r="O2662" s="47"/>
      <c r="P2662" s="47"/>
      <c r="Q2662" s="47"/>
      <c r="R2662" s="47">
        <f t="shared" si="540"/>
        <v>540</v>
      </c>
      <c r="S2662" s="47"/>
      <c r="T2662" s="47"/>
      <c r="U2662" s="47"/>
      <c r="V2662" s="47" t="s">
        <v>1355</v>
      </c>
      <c r="W2662" s="47"/>
      <c r="X2662" s="47">
        <f t="shared" si="546"/>
        <v>3000</v>
      </c>
      <c r="Y2662" s="47"/>
      <c r="Z2662" s="47">
        <f t="shared" si="545"/>
        <v>4620</v>
      </c>
      <c r="AA2662" s="47">
        <f t="shared" si="541"/>
        <v>1400</v>
      </c>
      <c r="AB2662" s="47"/>
      <c r="AC2662" s="47"/>
      <c r="AD2662" s="47"/>
      <c r="AE2662" s="47"/>
      <c r="AF2662" s="47">
        <f t="shared" si="547"/>
        <v>1485</v>
      </c>
      <c r="AG2662" s="47"/>
      <c r="AH2662" s="47" t="str">
        <f>IFERROR(_xlfn.XLOOKUP(Table6[[#This Row],[Suburb]],Table5[Travel Surcharge],Table5[$$]),"")</f>
        <v/>
      </c>
      <c r="AI2662" s="47"/>
      <c r="AJ2662" s="47"/>
    </row>
    <row r="2663" spans="1:43">
      <c r="A2663" s="374" t="s">
        <v>4124</v>
      </c>
      <c r="B2663" s="374">
        <v>167</v>
      </c>
      <c r="C2663" s="374" t="s">
        <v>2060</v>
      </c>
      <c r="D2663" s="375" t="str">
        <f t="shared" si="544"/>
        <v>Manor Lakes Estate - Lakeside167</v>
      </c>
      <c r="E2663" s="375" t="s">
        <v>4133</v>
      </c>
      <c r="F2663" s="375" t="s">
        <v>4090</v>
      </c>
      <c r="G2663" s="375" t="s">
        <v>4091</v>
      </c>
      <c r="H2663" s="375" t="s">
        <v>4092</v>
      </c>
      <c r="I2663" s="63" t="s">
        <v>4093</v>
      </c>
      <c r="J2663" s="47">
        <f t="shared" si="538"/>
        <v>3740</v>
      </c>
      <c r="K2663" s="46" t="s">
        <v>10735</v>
      </c>
      <c r="L2663" s="47"/>
      <c r="M2663" s="47"/>
      <c r="N2663" s="47"/>
      <c r="O2663" s="47"/>
      <c r="P2663" s="47"/>
      <c r="Q2663" s="47"/>
      <c r="R2663" s="47">
        <f t="shared" si="540"/>
        <v>540</v>
      </c>
      <c r="S2663" s="47"/>
      <c r="T2663" s="47"/>
      <c r="U2663" s="47"/>
      <c r="V2663" s="47" t="s">
        <v>1355</v>
      </c>
      <c r="W2663" s="47"/>
      <c r="X2663" s="47">
        <f t="shared" si="546"/>
        <v>3000</v>
      </c>
      <c r="Y2663" s="47"/>
      <c r="Z2663" s="47">
        <f t="shared" si="545"/>
        <v>4620</v>
      </c>
      <c r="AA2663" s="47">
        <f t="shared" si="541"/>
        <v>1400</v>
      </c>
      <c r="AB2663" s="47"/>
      <c r="AC2663" s="47"/>
      <c r="AD2663" s="47"/>
      <c r="AE2663" s="47"/>
      <c r="AF2663" s="47">
        <f t="shared" si="547"/>
        <v>1485</v>
      </c>
      <c r="AG2663" s="47"/>
      <c r="AH2663" s="47" t="str">
        <f>IFERROR(_xlfn.XLOOKUP(Table6[[#This Row],[Suburb]],Table5[Travel Surcharge],Table5[$$]),"")</f>
        <v/>
      </c>
      <c r="AI2663" s="47"/>
      <c r="AJ2663" s="47"/>
    </row>
    <row r="2664" spans="1:43">
      <c r="A2664" s="374" t="s">
        <v>4124</v>
      </c>
      <c r="B2664" s="374">
        <v>170</v>
      </c>
      <c r="C2664" s="374" t="s">
        <v>2060</v>
      </c>
      <c r="D2664" s="375" t="str">
        <f t="shared" si="544"/>
        <v>Manor Lakes Estate - Lakeside170</v>
      </c>
      <c r="E2664" s="375" t="s">
        <v>4107</v>
      </c>
      <c r="F2664" s="375" t="s">
        <v>4090</v>
      </c>
      <c r="G2664" s="375" t="s">
        <v>4091</v>
      </c>
      <c r="H2664" s="375" t="s">
        <v>4092</v>
      </c>
      <c r="I2664" s="63" t="s">
        <v>4093</v>
      </c>
      <c r="J2664" s="47">
        <f t="shared" si="538"/>
        <v>3740</v>
      </c>
      <c r="K2664" s="46" t="s">
        <v>10735</v>
      </c>
      <c r="L2664" s="47"/>
      <c r="M2664" s="47"/>
      <c r="N2664" s="47"/>
      <c r="O2664" s="47"/>
      <c r="P2664" s="47"/>
      <c r="Q2664" s="47"/>
      <c r="R2664" s="47">
        <f t="shared" si="540"/>
        <v>540</v>
      </c>
      <c r="S2664" s="47"/>
      <c r="T2664" s="47"/>
      <c r="U2664" s="47"/>
      <c r="V2664" s="47" t="s">
        <v>1355</v>
      </c>
      <c r="W2664" s="47"/>
      <c r="X2664" s="47">
        <f t="shared" si="546"/>
        <v>3000</v>
      </c>
      <c r="Y2664" s="47"/>
      <c r="Z2664" s="47">
        <f t="shared" si="545"/>
        <v>4620</v>
      </c>
      <c r="AA2664" s="47">
        <f t="shared" si="541"/>
        <v>1400</v>
      </c>
      <c r="AB2664" s="47"/>
      <c r="AC2664" s="47"/>
      <c r="AD2664" s="47"/>
      <c r="AE2664" s="47"/>
      <c r="AF2664" s="47">
        <f t="shared" si="547"/>
        <v>1485</v>
      </c>
      <c r="AG2664" s="47"/>
      <c r="AH2664" s="47" t="str">
        <f>IFERROR(_xlfn.XLOOKUP(Table6[[#This Row],[Suburb]],Table5[Travel Surcharge],Table5[$$]),"")</f>
        <v/>
      </c>
      <c r="AI2664" s="47"/>
      <c r="AJ2664" s="47"/>
    </row>
    <row r="2665" spans="1:43">
      <c r="A2665" s="374" t="s">
        <v>4124</v>
      </c>
      <c r="B2665" s="374">
        <v>173</v>
      </c>
      <c r="C2665" s="374" t="s">
        <v>2060</v>
      </c>
      <c r="D2665" s="375" t="str">
        <f t="shared" si="544"/>
        <v>Manor Lakes Estate - Lakeside173</v>
      </c>
      <c r="E2665" s="375" t="s">
        <v>4110</v>
      </c>
      <c r="F2665" s="375" t="s">
        <v>4090</v>
      </c>
      <c r="G2665" s="375" t="s">
        <v>4091</v>
      </c>
      <c r="H2665" s="375" t="s">
        <v>4092</v>
      </c>
      <c r="I2665" s="63" t="s">
        <v>4093</v>
      </c>
      <c r="J2665" s="47">
        <f t="shared" si="538"/>
        <v>3740</v>
      </c>
      <c r="K2665" s="46" t="s">
        <v>10735</v>
      </c>
      <c r="L2665" s="47"/>
      <c r="M2665" s="47"/>
      <c r="N2665" s="47"/>
      <c r="O2665" s="47"/>
      <c r="P2665" s="47"/>
      <c r="Q2665" s="47"/>
      <c r="R2665" s="47">
        <f t="shared" si="540"/>
        <v>540</v>
      </c>
      <c r="S2665" s="47"/>
      <c r="T2665" s="47"/>
      <c r="U2665" s="47"/>
      <c r="V2665" s="47" t="s">
        <v>1355</v>
      </c>
      <c r="W2665" s="47"/>
      <c r="X2665" s="47">
        <f t="shared" si="546"/>
        <v>3000</v>
      </c>
      <c r="Y2665" s="47"/>
      <c r="Z2665" s="47">
        <f t="shared" si="545"/>
        <v>4620</v>
      </c>
      <c r="AA2665" s="47">
        <f t="shared" si="541"/>
        <v>1400</v>
      </c>
      <c r="AB2665" s="47"/>
      <c r="AC2665" s="47"/>
      <c r="AD2665" s="47"/>
      <c r="AE2665" s="47"/>
      <c r="AF2665" s="47">
        <f t="shared" si="547"/>
        <v>1485</v>
      </c>
      <c r="AG2665" s="47"/>
      <c r="AH2665" s="47" t="str">
        <f>IFERROR(_xlfn.XLOOKUP(Table6[[#This Row],[Suburb]],Table5[Travel Surcharge],Table5[$$]),"")</f>
        <v/>
      </c>
      <c r="AI2665" s="47"/>
      <c r="AJ2665" s="47"/>
    </row>
    <row r="2666" spans="1:43">
      <c r="A2666" s="374" t="s">
        <v>4124</v>
      </c>
      <c r="B2666" s="374">
        <v>176</v>
      </c>
      <c r="C2666" s="374" t="s">
        <v>2060</v>
      </c>
      <c r="D2666" s="375" t="str">
        <f t="shared" si="544"/>
        <v>Manor Lakes Estate - Lakeside176</v>
      </c>
      <c r="E2666" s="375" t="s">
        <v>4113</v>
      </c>
      <c r="F2666" s="375" t="s">
        <v>4090</v>
      </c>
      <c r="G2666" s="375" t="s">
        <v>4091</v>
      </c>
      <c r="H2666" s="375" t="s">
        <v>4092</v>
      </c>
      <c r="I2666" s="63" t="s">
        <v>4093</v>
      </c>
      <c r="J2666" s="47">
        <f t="shared" si="538"/>
        <v>3740</v>
      </c>
      <c r="K2666" s="46" t="s">
        <v>10735</v>
      </c>
      <c r="L2666" s="47"/>
      <c r="M2666" s="47"/>
      <c r="N2666" s="47"/>
      <c r="O2666" s="47"/>
      <c r="P2666" s="47"/>
      <c r="Q2666" s="47"/>
      <c r="R2666" s="47">
        <f t="shared" si="540"/>
        <v>540</v>
      </c>
      <c r="S2666" s="47"/>
      <c r="T2666" s="47"/>
      <c r="U2666" s="47"/>
      <c r="V2666" s="47" t="s">
        <v>1355</v>
      </c>
      <c r="W2666" s="47"/>
      <c r="X2666" s="47">
        <f t="shared" si="546"/>
        <v>3000</v>
      </c>
      <c r="Y2666" s="47"/>
      <c r="Z2666" s="47">
        <f t="shared" si="545"/>
        <v>4620</v>
      </c>
      <c r="AA2666" s="47">
        <f t="shared" si="541"/>
        <v>1400</v>
      </c>
      <c r="AB2666" s="47"/>
      <c r="AC2666" s="47"/>
      <c r="AD2666" s="47"/>
      <c r="AE2666" s="47"/>
      <c r="AF2666" s="47">
        <f t="shared" si="547"/>
        <v>1485</v>
      </c>
      <c r="AG2666" s="47"/>
      <c r="AH2666" s="47" t="str">
        <f>IFERROR(_xlfn.XLOOKUP(Table6[[#This Row],[Suburb]],Table5[Travel Surcharge],Table5[$$]),"")</f>
        <v/>
      </c>
      <c r="AI2666" s="47"/>
      <c r="AJ2666" s="47"/>
    </row>
    <row r="2667" spans="1:43">
      <c r="A2667" s="374" t="s">
        <v>4124</v>
      </c>
      <c r="B2667" s="374">
        <v>178</v>
      </c>
      <c r="C2667" s="374" t="s">
        <v>2060</v>
      </c>
      <c r="D2667" s="375" t="str">
        <f t="shared" si="544"/>
        <v>Manor Lakes Estate - Lakeside178</v>
      </c>
      <c r="E2667" s="375" t="s">
        <v>4115</v>
      </c>
      <c r="F2667" s="375" t="s">
        <v>4090</v>
      </c>
      <c r="G2667" s="375" t="s">
        <v>4091</v>
      </c>
      <c r="H2667" s="375" t="s">
        <v>4092</v>
      </c>
      <c r="I2667" s="63" t="s">
        <v>4093</v>
      </c>
      <c r="J2667" s="47">
        <f t="shared" si="538"/>
        <v>3740</v>
      </c>
      <c r="K2667" s="46" t="s">
        <v>10735</v>
      </c>
      <c r="L2667" s="47"/>
      <c r="M2667" s="47"/>
      <c r="N2667" s="47"/>
      <c r="O2667" s="47"/>
      <c r="P2667" s="47"/>
      <c r="Q2667" s="47"/>
      <c r="R2667" s="47">
        <f t="shared" si="540"/>
        <v>540</v>
      </c>
      <c r="S2667" s="47"/>
      <c r="T2667" s="47"/>
      <c r="U2667" s="47"/>
      <c r="V2667" s="47" t="s">
        <v>1355</v>
      </c>
      <c r="W2667" s="47"/>
      <c r="X2667" s="47">
        <f t="shared" si="546"/>
        <v>3000</v>
      </c>
      <c r="Y2667" s="47"/>
      <c r="Z2667" s="47">
        <f t="shared" si="545"/>
        <v>4620</v>
      </c>
      <c r="AA2667" s="47">
        <f t="shared" si="541"/>
        <v>1400</v>
      </c>
      <c r="AB2667" s="47"/>
      <c r="AC2667" s="47"/>
      <c r="AD2667" s="47"/>
      <c r="AE2667" s="47"/>
      <c r="AF2667" s="47">
        <f t="shared" si="547"/>
        <v>1485</v>
      </c>
      <c r="AG2667" s="47"/>
      <c r="AH2667" s="47" t="str">
        <f>IFERROR(_xlfn.XLOOKUP(Table6[[#This Row],[Suburb]],Table5[Travel Surcharge],Table5[$$]),"")</f>
        <v/>
      </c>
      <c r="AI2667" s="47"/>
      <c r="AJ2667" s="47"/>
    </row>
    <row r="2668" spans="1:43">
      <c r="A2668" s="374" t="s">
        <v>4124</v>
      </c>
      <c r="B2668" s="374">
        <v>190</v>
      </c>
      <c r="C2668" s="374" t="s">
        <v>2060</v>
      </c>
      <c r="D2668" s="375" t="str">
        <f t="shared" si="544"/>
        <v>Manor Lakes Estate - Lakeside190</v>
      </c>
      <c r="E2668" s="375" t="s">
        <v>4118</v>
      </c>
      <c r="F2668" s="375" t="s">
        <v>4090</v>
      </c>
      <c r="G2668" s="375" t="s">
        <v>4091</v>
      </c>
      <c r="H2668" s="375" t="s">
        <v>4092</v>
      </c>
      <c r="I2668" s="63" t="s">
        <v>4093</v>
      </c>
      <c r="J2668" s="47">
        <f t="shared" si="538"/>
        <v>3740</v>
      </c>
      <c r="K2668" s="46" t="s">
        <v>10735</v>
      </c>
      <c r="L2668" s="47"/>
      <c r="M2668" s="47"/>
      <c r="N2668" s="47"/>
      <c r="O2668" s="47"/>
      <c r="P2668" s="47"/>
      <c r="Q2668" s="47"/>
      <c r="R2668" s="47">
        <f t="shared" si="540"/>
        <v>540</v>
      </c>
      <c r="S2668" s="47"/>
      <c r="T2668" s="47"/>
      <c r="U2668" s="47"/>
      <c r="V2668" s="47" t="s">
        <v>1355</v>
      </c>
      <c r="W2668" s="47"/>
      <c r="X2668" s="47">
        <f t="shared" si="546"/>
        <v>3000</v>
      </c>
      <c r="Y2668" s="47"/>
      <c r="Z2668" s="47">
        <f t="shared" si="545"/>
        <v>4620</v>
      </c>
      <c r="AA2668" s="47">
        <f t="shared" si="541"/>
        <v>1400</v>
      </c>
      <c r="AB2668" s="47"/>
      <c r="AC2668" s="47"/>
      <c r="AD2668" s="47"/>
      <c r="AE2668" s="47"/>
      <c r="AF2668" s="47">
        <f t="shared" si="547"/>
        <v>1485</v>
      </c>
      <c r="AG2668" s="47"/>
      <c r="AH2668" s="47" t="str">
        <f>IFERROR(_xlfn.XLOOKUP(Table6[[#This Row],[Suburb]],Table5[Travel Surcharge],Table5[$$]),"")</f>
        <v/>
      </c>
      <c r="AI2668" s="47"/>
      <c r="AJ2668" s="47"/>
    </row>
    <row r="2669" spans="1:43" s="382" customFormat="1">
      <c r="A2669" s="374" t="s">
        <v>4124</v>
      </c>
      <c r="B2669" s="374">
        <v>197</v>
      </c>
      <c r="C2669" s="374" t="s">
        <v>2060</v>
      </c>
      <c r="D2669" s="375" t="s">
        <v>9508</v>
      </c>
      <c r="E2669" s="375" t="s">
        <v>8506</v>
      </c>
      <c r="F2669" s="375" t="s">
        <v>4090</v>
      </c>
      <c r="G2669" s="375" t="s">
        <v>4091</v>
      </c>
      <c r="H2669" s="375" t="s">
        <v>4092</v>
      </c>
      <c r="I2669" s="63" t="s">
        <v>4093</v>
      </c>
      <c r="J2669" s="47">
        <v>3740</v>
      </c>
      <c r="K2669" s="46" t="s">
        <v>10735</v>
      </c>
      <c r="L2669" s="47"/>
      <c r="M2669" s="47"/>
      <c r="N2669" s="47"/>
      <c r="O2669" s="47"/>
      <c r="P2669" s="47"/>
      <c r="Q2669" s="47"/>
      <c r="R2669" s="47">
        <v>540</v>
      </c>
      <c r="S2669" s="47"/>
      <c r="T2669" s="47"/>
      <c r="U2669" s="47"/>
      <c r="V2669" s="47" t="s">
        <v>1355</v>
      </c>
      <c r="W2669" s="47"/>
      <c r="X2669" s="47">
        <v>3000</v>
      </c>
      <c r="Y2669" s="47"/>
      <c r="Z2669" s="47">
        <v>4620</v>
      </c>
      <c r="AA2669" s="47">
        <v>1400</v>
      </c>
      <c r="AB2669" s="47"/>
      <c r="AC2669" s="47"/>
      <c r="AD2669" s="47"/>
      <c r="AE2669" s="47"/>
      <c r="AF2669" s="47">
        <v>1650.0000000000002</v>
      </c>
      <c r="AG2669" s="47"/>
      <c r="AH2669" s="47" t="str">
        <f>IFERROR(_xlfn.XLOOKUP(Table6[[#This Row],[Suburb]],Table5[Travel Surcharge],Table5[$$]),"")</f>
        <v/>
      </c>
      <c r="AI2669" s="47"/>
      <c r="AJ2669" s="47"/>
      <c r="AM2669" s="179"/>
      <c r="AO2669"/>
      <c r="AP2669"/>
      <c r="AQ2669"/>
    </row>
    <row r="2670" spans="1:43">
      <c r="A2670" s="374" t="s">
        <v>4124</v>
      </c>
      <c r="B2670" s="374">
        <v>198</v>
      </c>
      <c r="C2670" s="374" t="s">
        <v>2060</v>
      </c>
      <c r="D2670" s="375" t="str">
        <f t="shared" ref="D2670:D2703" si="548">CONCATENATE(A2670,B2670)</f>
        <v>Manor Lakes Estate - Lakeside198</v>
      </c>
      <c r="E2670" s="375" t="s">
        <v>4134</v>
      </c>
      <c r="F2670" s="375" t="s">
        <v>4090</v>
      </c>
      <c r="G2670" s="375" t="s">
        <v>4091</v>
      </c>
      <c r="H2670" s="375" t="s">
        <v>4092</v>
      </c>
      <c r="I2670" t="s">
        <v>4093</v>
      </c>
      <c r="J2670" s="47">
        <f>J$7</f>
        <v>3740</v>
      </c>
      <c r="K2670" s="46" t="s">
        <v>10735</v>
      </c>
      <c r="L2670" s="47"/>
      <c r="M2670" s="47"/>
      <c r="N2670" s="47"/>
      <c r="O2670" s="47"/>
      <c r="P2670" s="47"/>
      <c r="Q2670" s="47"/>
      <c r="R2670" s="47">
        <f>R$2</f>
        <v>540</v>
      </c>
      <c r="S2670" s="47"/>
      <c r="T2670" s="47"/>
      <c r="U2670" s="47"/>
      <c r="V2670" s="47" t="s">
        <v>1355</v>
      </c>
      <c r="W2670" s="47"/>
      <c r="X2670" s="47">
        <f t="shared" ref="X2670:X2683" si="549">X$7</f>
        <v>3000</v>
      </c>
      <c r="Y2670" s="47"/>
      <c r="Z2670" s="47">
        <f t="shared" ref="Z2670:AA2672" si="550">Z$7</f>
        <v>4620</v>
      </c>
      <c r="AA2670" s="47">
        <f t="shared" si="550"/>
        <v>1400</v>
      </c>
      <c r="AB2670" s="47"/>
      <c r="AC2670" s="47"/>
      <c r="AD2670" s="47"/>
      <c r="AE2670" s="47"/>
      <c r="AF2670" s="47">
        <f>AF$7</f>
        <v>1485</v>
      </c>
      <c r="AG2670" s="47"/>
      <c r="AH2670" s="47" t="str">
        <f>IFERROR(_xlfn.XLOOKUP(Table6[[#This Row],[Suburb]],Table5[Travel Surcharge],Table5[$$]),"")</f>
        <v/>
      </c>
      <c r="AI2670" s="47"/>
      <c r="AJ2670" s="47"/>
      <c r="AO2670" s="382"/>
      <c r="AP2670" s="382"/>
      <c r="AQ2670" s="382"/>
    </row>
    <row r="2671" spans="1:43">
      <c r="A2671" s="157" t="s">
        <v>4124</v>
      </c>
      <c r="B2671" s="157">
        <v>199</v>
      </c>
      <c r="C2671" s="157" t="s">
        <v>2060</v>
      </c>
      <c r="D2671" s="157" t="str">
        <f t="shared" si="548"/>
        <v>Manor Lakes Estate - Lakeside199</v>
      </c>
      <c r="E2671" s="157" t="s">
        <v>7994</v>
      </c>
      <c r="F2671" s="157" t="s">
        <v>4090</v>
      </c>
      <c r="G2671" s="157" t="s">
        <v>4091</v>
      </c>
      <c r="H2671" s="157" t="s">
        <v>4092</v>
      </c>
      <c r="I2671" s="158" t="s">
        <v>4093</v>
      </c>
      <c r="J2671" s="47">
        <f>J$7</f>
        <v>3740</v>
      </c>
      <c r="K2671" s="46" t="s">
        <v>10735</v>
      </c>
      <c r="L2671" s="47"/>
      <c r="M2671" s="47"/>
      <c r="N2671" s="47"/>
      <c r="O2671" s="47"/>
      <c r="P2671" s="47"/>
      <c r="Q2671" s="47"/>
      <c r="R2671" s="47">
        <f>R$2</f>
        <v>540</v>
      </c>
      <c r="S2671" s="47"/>
      <c r="T2671" s="47"/>
      <c r="U2671" s="47"/>
      <c r="V2671" s="47" t="s">
        <v>1355</v>
      </c>
      <c r="W2671" s="47"/>
      <c r="X2671" s="47">
        <f t="shared" si="549"/>
        <v>3000</v>
      </c>
      <c r="Y2671" s="47"/>
      <c r="Z2671" s="47">
        <f t="shared" si="550"/>
        <v>4620</v>
      </c>
      <c r="AA2671" s="47">
        <f t="shared" si="550"/>
        <v>1400</v>
      </c>
      <c r="AB2671" s="47"/>
      <c r="AC2671" s="47"/>
      <c r="AD2671" s="47"/>
      <c r="AE2671" s="47"/>
      <c r="AF2671" s="47">
        <f>AF$7</f>
        <v>1485</v>
      </c>
      <c r="AG2671" s="47"/>
      <c r="AH2671" s="47" t="str">
        <f>IFERROR(_xlfn.XLOOKUP(Table6[[#This Row],[Suburb]],Table5[Travel Surcharge],Table5[$$]),"")</f>
        <v/>
      </c>
      <c r="AI2671" s="47"/>
      <c r="AJ2671" s="47"/>
    </row>
    <row r="2672" spans="1:43">
      <c r="A2672" s="374" t="s">
        <v>4124</v>
      </c>
      <c r="B2672" s="374" t="s">
        <v>4135</v>
      </c>
      <c r="C2672" s="374" t="s">
        <v>2060</v>
      </c>
      <c r="D2672" s="375" t="str">
        <f t="shared" si="548"/>
        <v>Manor Lakes Estate - Lakeside47B</v>
      </c>
      <c r="E2672" s="375" t="s">
        <v>4136</v>
      </c>
      <c r="F2672" s="375" t="s">
        <v>4090</v>
      </c>
      <c r="G2672" s="375" t="s">
        <v>4091</v>
      </c>
      <c r="H2672" s="375" t="s">
        <v>4092</v>
      </c>
      <c r="I2672" s="63" t="s">
        <v>4093</v>
      </c>
      <c r="J2672" s="47">
        <f>J$7</f>
        <v>3740</v>
      </c>
      <c r="K2672" s="46" t="s">
        <v>10735</v>
      </c>
      <c r="L2672" s="47"/>
      <c r="M2672" s="47"/>
      <c r="N2672" s="47"/>
      <c r="O2672" s="47"/>
      <c r="P2672" s="47"/>
      <c r="Q2672" s="47"/>
      <c r="R2672" s="47">
        <f>R$2</f>
        <v>540</v>
      </c>
      <c r="S2672" s="47"/>
      <c r="T2672" s="47"/>
      <c r="U2672" s="47"/>
      <c r="V2672" s="47" t="s">
        <v>1355</v>
      </c>
      <c r="W2672" s="47"/>
      <c r="X2672" s="47">
        <f t="shared" si="549"/>
        <v>3000</v>
      </c>
      <c r="Y2672" s="47"/>
      <c r="Z2672" s="47">
        <f t="shared" si="550"/>
        <v>4620</v>
      </c>
      <c r="AA2672" s="47">
        <f t="shared" si="550"/>
        <v>1400</v>
      </c>
      <c r="AB2672" s="47"/>
      <c r="AC2672" s="47"/>
      <c r="AD2672" s="47"/>
      <c r="AE2672" s="47"/>
      <c r="AF2672" s="47">
        <f>AF$7</f>
        <v>1485</v>
      </c>
      <c r="AG2672" s="47"/>
      <c r="AH2672" s="47" t="str">
        <f>IFERROR(_xlfn.XLOOKUP(Table6[[#This Row],[Suburb]],Table5[Travel Surcharge],Table5[$$]),"")</f>
        <v/>
      </c>
      <c r="AI2672" s="47"/>
      <c r="AJ2672" s="47"/>
    </row>
    <row r="2673" spans="1:36">
      <c r="A2673" s="374" t="s">
        <v>4137</v>
      </c>
      <c r="B2673" s="374">
        <v>1</v>
      </c>
      <c r="C2673" s="374" t="s">
        <v>794</v>
      </c>
      <c r="D2673" s="375" t="str">
        <f t="shared" si="548"/>
        <v>Manzeene Village Estate1</v>
      </c>
      <c r="E2673" s="375" t="s">
        <v>4138</v>
      </c>
      <c r="F2673" s="375" t="s">
        <v>1402</v>
      </c>
      <c r="G2673" s="375" t="s">
        <v>4139</v>
      </c>
      <c r="H2673" s="375" t="s">
        <v>4140</v>
      </c>
      <c r="I2673" s="63" t="s">
        <v>4141</v>
      </c>
      <c r="J2673" s="47"/>
      <c r="K2673" s="46" t="s">
        <v>10735</v>
      </c>
      <c r="L2673" s="47">
        <f t="shared" ref="L2673:L2684" si="551">L$7</f>
        <v>1210</v>
      </c>
      <c r="M2673" s="47"/>
      <c r="N2673" s="47" t="s">
        <v>1405</v>
      </c>
      <c r="O2673" s="47"/>
      <c r="P2673" s="47"/>
      <c r="Q2673" s="47"/>
      <c r="R2673" s="47"/>
      <c r="S2673" s="47"/>
      <c r="T2673" s="47"/>
      <c r="U2673" s="47">
        <f t="shared" ref="U2673:U2690" si="552">U$2</f>
        <v>430</v>
      </c>
      <c r="V2673" s="47"/>
      <c r="W2673" s="47"/>
      <c r="X2673" s="47">
        <f t="shared" si="549"/>
        <v>3000</v>
      </c>
      <c r="Y2673" s="47"/>
      <c r="Z2673" s="47">
        <f t="shared" ref="Z2673:Z2703" si="553">Z$7</f>
        <v>4620</v>
      </c>
      <c r="AA2673" s="47"/>
      <c r="AB2673" s="47"/>
      <c r="AC2673" s="47"/>
      <c r="AD2673" s="47"/>
      <c r="AE2673" s="47"/>
      <c r="AF2673" s="47"/>
      <c r="AG2673" s="47"/>
      <c r="AH2673" s="47" t="str">
        <f>IFERROR(_xlfn.XLOOKUP(Table6[[#This Row],[Suburb]],Table5[Travel Surcharge],Table5[$$]),"")</f>
        <v/>
      </c>
      <c r="AI2673" s="47"/>
      <c r="AJ2673" s="47"/>
    </row>
    <row r="2674" spans="1:36">
      <c r="A2674" s="374" t="s">
        <v>4137</v>
      </c>
      <c r="B2674" s="374">
        <v>2</v>
      </c>
      <c r="C2674" s="374" t="s">
        <v>794</v>
      </c>
      <c r="D2674" s="375" t="str">
        <f t="shared" si="548"/>
        <v>Manzeene Village Estate2</v>
      </c>
      <c r="E2674" s="375" t="s">
        <v>4142</v>
      </c>
      <c r="F2674" s="375" t="s">
        <v>1402</v>
      </c>
      <c r="G2674" s="375" t="s">
        <v>4139</v>
      </c>
      <c r="H2674" s="375" t="s">
        <v>4140</v>
      </c>
      <c r="I2674" s="63" t="s">
        <v>4141</v>
      </c>
      <c r="J2674" s="47"/>
      <c r="K2674" s="46" t="s">
        <v>10735</v>
      </c>
      <c r="L2674" s="47">
        <f t="shared" si="551"/>
        <v>1210</v>
      </c>
      <c r="M2674" s="47"/>
      <c r="N2674" s="47" t="s">
        <v>1405</v>
      </c>
      <c r="O2674" s="47"/>
      <c r="P2674" s="47"/>
      <c r="Q2674" s="47"/>
      <c r="R2674" s="47"/>
      <c r="S2674" s="47"/>
      <c r="T2674" s="47"/>
      <c r="U2674" s="47">
        <f t="shared" si="552"/>
        <v>430</v>
      </c>
      <c r="V2674" s="47"/>
      <c r="W2674" s="47"/>
      <c r="X2674" s="47">
        <f t="shared" si="549"/>
        <v>3000</v>
      </c>
      <c r="Y2674" s="47"/>
      <c r="Z2674" s="47">
        <f t="shared" si="553"/>
        <v>4620</v>
      </c>
      <c r="AA2674" s="47"/>
      <c r="AB2674" s="47"/>
      <c r="AC2674" s="47"/>
      <c r="AD2674" s="47"/>
      <c r="AE2674" s="47"/>
      <c r="AF2674" s="47"/>
      <c r="AG2674" s="47"/>
      <c r="AH2674" s="47" t="str">
        <f>IFERROR(_xlfn.XLOOKUP(Table6[[#This Row],[Suburb]],Table5[Travel Surcharge],Table5[$$]),"")</f>
        <v/>
      </c>
      <c r="AI2674" s="47"/>
      <c r="AJ2674" s="47"/>
    </row>
    <row r="2675" spans="1:36">
      <c r="A2675" s="374" t="s">
        <v>4137</v>
      </c>
      <c r="B2675" s="374">
        <v>3</v>
      </c>
      <c r="C2675" s="374" t="s">
        <v>794</v>
      </c>
      <c r="D2675" s="375" t="str">
        <f t="shared" si="548"/>
        <v>Manzeene Village Estate3</v>
      </c>
      <c r="E2675" s="375" t="s">
        <v>4143</v>
      </c>
      <c r="F2675" s="375" t="s">
        <v>1402</v>
      </c>
      <c r="G2675" s="375" t="s">
        <v>4139</v>
      </c>
      <c r="H2675" s="375" t="s">
        <v>4140</v>
      </c>
      <c r="I2675" s="63" t="s">
        <v>4141</v>
      </c>
      <c r="J2675" s="47"/>
      <c r="K2675" s="46" t="s">
        <v>10735</v>
      </c>
      <c r="L2675" s="47">
        <f t="shared" si="551"/>
        <v>1210</v>
      </c>
      <c r="M2675" s="47"/>
      <c r="N2675" s="47" t="s">
        <v>1405</v>
      </c>
      <c r="O2675" s="47"/>
      <c r="P2675" s="47"/>
      <c r="Q2675" s="47"/>
      <c r="R2675" s="47"/>
      <c r="S2675" s="47"/>
      <c r="T2675" s="47"/>
      <c r="U2675" s="47">
        <f t="shared" si="552"/>
        <v>430</v>
      </c>
      <c r="V2675" s="47"/>
      <c r="W2675" s="47"/>
      <c r="X2675" s="47">
        <f t="shared" si="549"/>
        <v>3000</v>
      </c>
      <c r="Y2675" s="47"/>
      <c r="Z2675" s="47">
        <f t="shared" si="553"/>
        <v>4620</v>
      </c>
      <c r="AA2675" s="47"/>
      <c r="AB2675" s="47"/>
      <c r="AC2675" s="47"/>
      <c r="AD2675" s="47"/>
      <c r="AE2675" s="47"/>
      <c r="AF2675" s="47"/>
      <c r="AG2675" s="47"/>
      <c r="AH2675" s="47" t="str">
        <f>IFERROR(_xlfn.XLOOKUP(Table6[[#This Row],[Suburb]],Table5[Travel Surcharge],Table5[$$]),"")</f>
        <v/>
      </c>
      <c r="AI2675" s="47"/>
      <c r="AJ2675" s="47"/>
    </row>
    <row r="2676" spans="1:36">
      <c r="A2676" s="374" t="s">
        <v>4137</v>
      </c>
      <c r="B2676" s="374">
        <v>4</v>
      </c>
      <c r="C2676" s="374" t="s">
        <v>794</v>
      </c>
      <c r="D2676" s="375" t="str">
        <f t="shared" si="548"/>
        <v>Manzeene Village Estate4</v>
      </c>
      <c r="E2676" s="375" t="s">
        <v>4144</v>
      </c>
      <c r="F2676" s="375" t="s">
        <v>1402</v>
      </c>
      <c r="G2676" s="375" t="s">
        <v>4139</v>
      </c>
      <c r="H2676" s="375" t="s">
        <v>4140</v>
      </c>
      <c r="I2676" s="63" t="s">
        <v>4141</v>
      </c>
      <c r="J2676" s="47"/>
      <c r="K2676" s="46" t="s">
        <v>10735</v>
      </c>
      <c r="L2676" s="47">
        <f t="shared" si="551"/>
        <v>1210</v>
      </c>
      <c r="M2676" s="47"/>
      <c r="N2676" s="47" t="s">
        <v>1405</v>
      </c>
      <c r="O2676" s="47"/>
      <c r="P2676" s="47"/>
      <c r="Q2676" s="47"/>
      <c r="R2676" s="47"/>
      <c r="S2676" s="47"/>
      <c r="T2676" s="47"/>
      <c r="U2676" s="47">
        <f t="shared" si="552"/>
        <v>430</v>
      </c>
      <c r="V2676" s="47"/>
      <c r="W2676" s="47"/>
      <c r="X2676" s="47">
        <f t="shared" si="549"/>
        <v>3000</v>
      </c>
      <c r="Y2676" s="47"/>
      <c r="Z2676" s="47">
        <f t="shared" si="553"/>
        <v>4620</v>
      </c>
      <c r="AA2676" s="47"/>
      <c r="AB2676" s="47"/>
      <c r="AC2676" s="47"/>
      <c r="AD2676" s="47"/>
      <c r="AE2676" s="47"/>
      <c r="AF2676" s="47"/>
      <c r="AG2676" s="47"/>
      <c r="AH2676" s="47" t="str">
        <f>IFERROR(_xlfn.XLOOKUP(Table6[[#This Row],[Suburb]],Table5[Travel Surcharge],Table5[$$]),"")</f>
        <v/>
      </c>
      <c r="AI2676" s="47"/>
      <c r="AJ2676" s="47"/>
    </row>
    <row r="2677" spans="1:36">
      <c r="A2677" s="374" t="s">
        <v>4137</v>
      </c>
      <c r="B2677" s="374">
        <v>5</v>
      </c>
      <c r="C2677" s="374" t="s">
        <v>794</v>
      </c>
      <c r="D2677" s="375" t="str">
        <f t="shared" si="548"/>
        <v>Manzeene Village Estate5</v>
      </c>
      <c r="E2677" s="375" t="s">
        <v>4145</v>
      </c>
      <c r="F2677" s="375" t="s">
        <v>1402</v>
      </c>
      <c r="G2677" s="375" t="s">
        <v>4139</v>
      </c>
      <c r="H2677" s="375" t="s">
        <v>4140</v>
      </c>
      <c r="I2677" s="63" t="s">
        <v>4141</v>
      </c>
      <c r="J2677" s="47"/>
      <c r="K2677" s="46" t="s">
        <v>10735</v>
      </c>
      <c r="L2677" s="47">
        <f t="shared" si="551"/>
        <v>1210</v>
      </c>
      <c r="M2677" s="47"/>
      <c r="N2677" s="47" t="s">
        <v>1405</v>
      </c>
      <c r="O2677" s="47"/>
      <c r="P2677" s="47"/>
      <c r="Q2677" s="47"/>
      <c r="R2677" s="47"/>
      <c r="S2677" s="47"/>
      <c r="T2677" s="47"/>
      <c r="U2677" s="47">
        <f t="shared" si="552"/>
        <v>430</v>
      </c>
      <c r="V2677" s="47"/>
      <c r="W2677" s="47"/>
      <c r="X2677" s="47">
        <f t="shared" si="549"/>
        <v>3000</v>
      </c>
      <c r="Y2677" s="47"/>
      <c r="Z2677" s="47">
        <f t="shared" si="553"/>
        <v>4620</v>
      </c>
      <c r="AA2677" s="47"/>
      <c r="AB2677" s="47"/>
      <c r="AC2677" s="47"/>
      <c r="AD2677" s="47"/>
      <c r="AE2677" s="47"/>
      <c r="AF2677" s="47"/>
      <c r="AG2677" s="47"/>
      <c r="AH2677" s="47" t="str">
        <f>IFERROR(_xlfn.XLOOKUP(Table6[[#This Row],[Suburb]],Table5[Travel Surcharge],Table5[$$]),"")</f>
        <v/>
      </c>
      <c r="AI2677" s="47"/>
      <c r="AJ2677" s="47"/>
    </row>
    <row r="2678" spans="1:36">
      <c r="A2678" s="374" t="s">
        <v>4137</v>
      </c>
      <c r="B2678" s="374">
        <v>6</v>
      </c>
      <c r="C2678" s="374" t="s">
        <v>794</v>
      </c>
      <c r="D2678" s="375" t="str">
        <f t="shared" si="548"/>
        <v>Manzeene Village Estate6</v>
      </c>
      <c r="E2678" s="375" t="s">
        <v>4146</v>
      </c>
      <c r="F2678" s="375" t="s">
        <v>1402</v>
      </c>
      <c r="G2678" s="375" t="s">
        <v>4139</v>
      </c>
      <c r="H2678" s="375" t="s">
        <v>4140</v>
      </c>
      <c r="I2678" s="63" t="s">
        <v>4141</v>
      </c>
      <c r="J2678" s="47"/>
      <c r="K2678" s="46" t="s">
        <v>10735</v>
      </c>
      <c r="L2678" s="47">
        <f t="shared" si="551"/>
        <v>1210</v>
      </c>
      <c r="M2678" s="47"/>
      <c r="N2678" s="47" t="s">
        <v>1405</v>
      </c>
      <c r="O2678" s="47"/>
      <c r="P2678" s="47"/>
      <c r="Q2678" s="47"/>
      <c r="R2678" s="47"/>
      <c r="S2678" s="47"/>
      <c r="T2678" s="47"/>
      <c r="U2678" s="47">
        <f t="shared" si="552"/>
        <v>430</v>
      </c>
      <c r="V2678" s="47"/>
      <c r="W2678" s="47"/>
      <c r="X2678" s="47">
        <f t="shared" si="549"/>
        <v>3000</v>
      </c>
      <c r="Y2678" s="47"/>
      <c r="Z2678" s="47">
        <f t="shared" si="553"/>
        <v>4620</v>
      </c>
      <c r="AA2678" s="47"/>
      <c r="AB2678" s="47"/>
      <c r="AC2678" s="47"/>
      <c r="AD2678" s="47"/>
      <c r="AE2678" s="47"/>
      <c r="AF2678" s="47"/>
      <c r="AG2678" s="47"/>
      <c r="AH2678" s="47" t="str">
        <f>IFERROR(_xlfn.XLOOKUP(Table6[[#This Row],[Suburb]],Table5[Travel Surcharge],Table5[$$]),"")</f>
        <v/>
      </c>
      <c r="AI2678" s="47"/>
      <c r="AJ2678" s="47"/>
    </row>
    <row r="2679" spans="1:36">
      <c r="A2679" s="374" t="s">
        <v>4137</v>
      </c>
      <c r="B2679" s="374">
        <v>7</v>
      </c>
      <c r="C2679" s="374" t="s">
        <v>794</v>
      </c>
      <c r="D2679" s="375" t="str">
        <f t="shared" si="548"/>
        <v>Manzeene Village Estate7</v>
      </c>
      <c r="E2679" s="375" t="s">
        <v>4147</v>
      </c>
      <c r="F2679" s="375" t="s">
        <v>1402</v>
      </c>
      <c r="G2679" s="375" t="s">
        <v>4139</v>
      </c>
      <c r="H2679" s="375" t="s">
        <v>4140</v>
      </c>
      <c r="I2679" s="63" t="s">
        <v>4141</v>
      </c>
      <c r="J2679" s="47"/>
      <c r="K2679" s="46" t="s">
        <v>10735</v>
      </c>
      <c r="L2679" s="47">
        <f t="shared" si="551"/>
        <v>1210</v>
      </c>
      <c r="M2679" s="47"/>
      <c r="N2679" s="47" t="s">
        <v>1405</v>
      </c>
      <c r="O2679" s="47"/>
      <c r="P2679" s="47"/>
      <c r="Q2679" s="47"/>
      <c r="R2679" s="47"/>
      <c r="S2679" s="47"/>
      <c r="T2679" s="47"/>
      <c r="U2679" s="47">
        <f t="shared" si="552"/>
        <v>430</v>
      </c>
      <c r="V2679" s="47"/>
      <c r="W2679" s="47"/>
      <c r="X2679" s="47">
        <f t="shared" si="549"/>
        <v>3000</v>
      </c>
      <c r="Y2679" s="47"/>
      <c r="Z2679" s="47">
        <f t="shared" si="553"/>
        <v>4620</v>
      </c>
      <c r="AA2679" s="47"/>
      <c r="AB2679" s="47"/>
      <c r="AC2679" s="47"/>
      <c r="AD2679" s="47"/>
      <c r="AE2679" s="47"/>
      <c r="AF2679" s="47"/>
      <c r="AG2679" s="47"/>
      <c r="AH2679" s="47" t="str">
        <f>IFERROR(_xlfn.XLOOKUP(Table6[[#This Row],[Suburb]],Table5[Travel Surcharge],Table5[$$]),"")</f>
        <v/>
      </c>
      <c r="AI2679" s="47"/>
      <c r="AJ2679" s="47"/>
    </row>
    <row r="2680" spans="1:36">
      <c r="A2680" s="374" t="s">
        <v>4137</v>
      </c>
      <c r="B2680" s="374">
        <v>8</v>
      </c>
      <c r="C2680" s="374" t="s">
        <v>794</v>
      </c>
      <c r="D2680" s="375" t="str">
        <f t="shared" si="548"/>
        <v>Manzeene Village Estate8</v>
      </c>
      <c r="E2680" s="375" t="s">
        <v>4148</v>
      </c>
      <c r="F2680" s="375" t="s">
        <v>1402</v>
      </c>
      <c r="G2680" s="375" t="s">
        <v>4139</v>
      </c>
      <c r="H2680" s="375" t="s">
        <v>4140</v>
      </c>
      <c r="I2680" s="63" t="s">
        <v>4141</v>
      </c>
      <c r="J2680" s="47"/>
      <c r="K2680" s="46" t="s">
        <v>10735</v>
      </c>
      <c r="L2680" s="47">
        <f t="shared" si="551"/>
        <v>1210</v>
      </c>
      <c r="M2680" s="47"/>
      <c r="N2680" s="47" t="s">
        <v>1405</v>
      </c>
      <c r="O2680" s="47"/>
      <c r="P2680" s="47"/>
      <c r="Q2680" s="47"/>
      <c r="R2680" s="47"/>
      <c r="S2680" s="47"/>
      <c r="T2680" s="47"/>
      <c r="U2680" s="47">
        <f t="shared" si="552"/>
        <v>430</v>
      </c>
      <c r="V2680" s="47"/>
      <c r="W2680" s="47"/>
      <c r="X2680" s="47">
        <f t="shared" si="549"/>
        <v>3000</v>
      </c>
      <c r="Y2680" s="47"/>
      <c r="Z2680" s="47">
        <f t="shared" si="553"/>
        <v>4620</v>
      </c>
      <c r="AA2680" s="47"/>
      <c r="AB2680" s="47"/>
      <c r="AC2680" s="47"/>
      <c r="AD2680" s="47"/>
      <c r="AE2680" s="47"/>
      <c r="AF2680" s="47"/>
      <c r="AG2680" s="47"/>
      <c r="AH2680" s="47" t="str">
        <f>IFERROR(_xlfn.XLOOKUP(Table6[[#This Row],[Suburb]],Table5[Travel Surcharge],Table5[$$]),"")</f>
        <v/>
      </c>
      <c r="AI2680" s="47"/>
      <c r="AJ2680" s="47"/>
    </row>
    <row r="2681" spans="1:36">
      <c r="A2681" s="374" t="s">
        <v>4137</v>
      </c>
      <c r="B2681" s="374">
        <v>11</v>
      </c>
      <c r="C2681" s="374" t="s">
        <v>794</v>
      </c>
      <c r="D2681" s="375" t="str">
        <f t="shared" si="548"/>
        <v>Manzeene Village Estate11</v>
      </c>
      <c r="E2681" s="375" t="s">
        <v>4150</v>
      </c>
      <c r="F2681" s="375" t="s">
        <v>1402</v>
      </c>
      <c r="G2681" s="375" t="s">
        <v>4139</v>
      </c>
      <c r="H2681" s="375" t="s">
        <v>4140</v>
      </c>
      <c r="I2681" s="63" t="s">
        <v>4141</v>
      </c>
      <c r="J2681" s="47"/>
      <c r="K2681" s="46" t="s">
        <v>10735</v>
      </c>
      <c r="L2681" s="47">
        <f t="shared" si="551"/>
        <v>1210</v>
      </c>
      <c r="M2681" s="47"/>
      <c r="N2681" s="47" t="s">
        <v>1405</v>
      </c>
      <c r="O2681" s="47"/>
      <c r="P2681" s="47"/>
      <c r="Q2681" s="47"/>
      <c r="R2681" s="47"/>
      <c r="S2681" s="47"/>
      <c r="T2681" s="47"/>
      <c r="U2681" s="47">
        <f t="shared" si="552"/>
        <v>430</v>
      </c>
      <c r="V2681" s="47"/>
      <c r="W2681" s="47"/>
      <c r="X2681" s="47">
        <f t="shared" si="549"/>
        <v>3000</v>
      </c>
      <c r="Y2681" s="47"/>
      <c r="Z2681" s="47">
        <f t="shared" si="553"/>
        <v>4620</v>
      </c>
      <c r="AA2681" s="47"/>
      <c r="AB2681" s="47"/>
      <c r="AC2681" s="47"/>
      <c r="AD2681" s="47"/>
      <c r="AE2681" s="47"/>
      <c r="AF2681" s="47"/>
      <c r="AG2681" s="47"/>
      <c r="AH2681" s="47" t="str">
        <f>IFERROR(_xlfn.XLOOKUP(Table6[[#This Row],[Suburb]],Table5[Travel Surcharge],Table5[$$]),"")</f>
        <v/>
      </c>
      <c r="AI2681" s="47"/>
      <c r="AJ2681" s="47"/>
    </row>
    <row r="2682" spans="1:36">
      <c r="A2682" s="374" t="s">
        <v>4137</v>
      </c>
      <c r="B2682" s="374">
        <v>12</v>
      </c>
      <c r="C2682" s="374" t="s">
        <v>794</v>
      </c>
      <c r="D2682" s="375" t="str">
        <f t="shared" si="548"/>
        <v>Manzeene Village Estate12</v>
      </c>
      <c r="E2682" s="375" t="s">
        <v>4151</v>
      </c>
      <c r="F2682" s="375" t="s">
        <v>1402</v>
      </c>
      <c r="G2682" s="375" t="s">
        <v>4139</v>
      </c>
      <c r="H2682" s="375" t="s">
        <v>4140</v>
      </c>
      <c r="I2682" s="63" t="s">
        <v>4141</v>
      </c>
      <c r="J2682" s="47"/>
      <c r="K2682" s="46" t="s">
        <v>10735</v>
      </c>
      <c r="L2682" s="47">
        <f t="shared" si="551"/>
        <v>1210</v>
      </c>
      <c r="M2682" s="47"/>
      <c r="N2682" s="47" t="s">
        <v>1405</v>
      </c>
      <c r="O2682" s="47"/>
      <c r="P2682" s="47"/>
      <c r="Q2682" s="47"/>
      <c r="R2682" s="47"/>
      <c r="S2682" s="47"/>
      <c r="T2682" s="47"/>
      <c r="U2682" s="47">
        <f t="shared" si="552"/>
        <v>430</v>
      </c>
      <c r="V2682" s="47"/>
      <c r="W2682" s="47"/>
      <c r="X2682" s="47">
        <f t="shared" si="549"/>
        <v>3000</v>
      </c>
      <c r="Y2682" s="47"/>
      <c r="Z2682" s="47">
        <f t="shared" si="553"/>
        <v>4620</v>
      </c>
      <c r="AA2682" s="47"/>
      <c r="AB2682" s="47"/>
      <c r="AC2682" s="47"/>
      <c r="AD2682" s="47"/>
      <c r="AE2682" s="47"/>
      <c r="AF2682" s="47"/>
      <c r="AG2682" s="47"/>
      <c r="AH2682" s="47" t="str">
        <f>IFERROR(_xlfn.XLOOKUP(Table6[[#This Row],[Suburb]],Table5[Travel Surcharge],Table5[$$]),"")</f>
        <v/>
      </c>
      <c r="AI2682" s="47"/>
      <c r="AJ2682" s="47"/>
    </row>
    <row r="2683" spans="1:36">
      <c r="A2683" s="374" t="s">
        <v>4137</v>
      </c>
      <c r="B2683" s="374" t="s">
        <v>710</v>
      </c>
      <c r="C2683" s="374" t="s">
        <v>794</v>
      </c>
      <c r="D2683" s="375" t="str">
        <f t="shared" si="548"/>
        <v>Manzeene Village Estate9B</v>
      </c>
      <c r="E2683" s="375" t="s">
        <v>4149</v>
      </c>
      <c r="F2683" s="375" t="s">
        <v>1402</v>
      </c>
      <c r="G2683" s="375" t="s">
        <v>4139</v>
      </c>
      <c r="H2683" s="375" t="s">
        <v>4140</v>
      </c>
      <c r="I2683" s="63" t="s">
        <v>4141</v>
      </c>
      <c r="J2683" s="47"/>
      <c r="K2683" s="46" t="s">
        <v>10735</v>
      </c>
      <c r="L2683" s="47">
        <f t="shared" si="551"/>
        <v>1210</v>
      </c>
      <c r="M2683" s="47"/>
      <c r="N2683" s="47" t="s">
        <v>1405</v>
      </c>
      <c r="O2683" s="47"/>
      <c r="P2683" s="47"/>
      <c r="Q2683" s="47"/>
      <c r="R2683" s="47"/>
      <c r="S2683" s="47"/>
      <c r="T2683" s="47"/>
      <c r="U2683" s="47">
        <f t="shared" si="552"/>
        <v>430</v>
      </c>
      <c r="V2683" s="47"/>
      <c r="W2683" s="47"/>
      <c r="X2683" s="47">
        <f t="shared" si="549"/>
        <v>3000</v>
      </c>
      <c r="Y2683" s="47"/>
      <c r="Z2683" s="47">
        <f t="shared" si="553"/>
        <v>4620</v>
      </c>
      <c r="AA2683" s="47"/>
      <c r="AB2683" s="47"/>
      <c r="AC2683" s="47"/>
      <c r="AD2683" s="47"/>
      <c r="AE2683" s="47"/>
      <c r="AF2683" s="47"/>
      <c r="AG2683" s="47"/>
      <c r="AH2683" s="47" t="str">
        <f>IFERROR(_xlfn.XLOOKUP(Table6[[#This Row],[Suburb]],Table5[Travel Surcharge],Table5[$$]),"")</f>
        <v/>
      </c>
      <c r="AI2683" s="47"/>
      <c r="AJ2683" s="47"/>
    </row>
    <row r="2684" spans="1:36">
      <c r="A2684" s="374" t="s">
        <v>4152</v>
      </c>
      <c r="B2684" s="374">
        <v>1</v>
      </c>
      <c r="C2684" s="374" t="s">
        <v>675</v>
      </c>
      <c r="D2684" s="375" t="str">
        <f t="shared" si="548"/>
        <v>Maple Grove1</v>
      </c>
      <c r="E2684" s="375" t="s">
        <v>4153</v>
      </c>
      <c r="F2684" s="375"/>
      <c r="G2684" s="375"/>
      <c r="H2684" s="375"/>
      <c r="I2684" s="63"/>
      <c r="J2684" s="47">
        <f>J$7</f>
        <v>3740</v>
      </c>
      <c r="K2684" s="46" t="s">
        <v>7938</v>
      </c>
      <c r="L2684" s="47">
        <f t="shared" si="551"/>
        <v>1210</v>
      </c>
      <c r="M2684" s="47" t="s">
        <v>4154</v>
      </c>
      <c r="N2684" s="47"/>
      <c r="O2684" s="47" t="s">
        <v>4155</v>
      </c>
      <c r="P2684" s="47"/>
      <c r="Q2684" s="47"/>
      <c r="R2684" s="47"/>
      <c r="S2684" s="47"/>
      <c r="T2684" s="47"/>
      <c r="U2684" s="47">
        <f t="shared" si="552"/>
        <v>430</v>
      </c>
      <c r="V2684" s="47"/>
      <c r="W2684" s="47"/>
      <c r="X2684" s="47"/>
      <c r="Y2684" s="47"/>
      <c r="Z2684" s="47">
        <f t="shared" si="553"/>
        <v>4620</v>
      </c>
      <c r="AA2684" s="47">
        <f t="shared" ref="AA2684:AA2692" si="554">AA$7</f>
        <v>1400</v>
      </c>
      <c r="AB2684" s="47"/>
      <c r="AC2684" s="47"/>
      <c r="AD2684" s="47"/>
      <c r="AE2684" s="47"/>
      <c r="AF2684" s="47">
        <f t="shared" ref="AF2684:AF2700" si="555">AF$7</f>
        <v>1485</v>
      </c>
      <c r="AG2684" s="47"/>
      <c r="AH2684" s="47" t="str">
        <f>IFERROR(_xlfn.XLOOKUP(Table6[[#This Row],[Suburb]],Table5[Travel Surcharge],Table5[$$]),"")</f>
        <v/>
      </c>
      <c r="AI2684" s="47"/>
      <c r="AJ2684" s="47"/>
    </row>
    <row r="2685" spans="1:36">
      <c r="A2685" s="374" t="s">
        <v>4152</v>
      </c>
      <c r="B2685" s="374">
        <v>2</v>
      </c>
      <c r="C2685" s="374" t="s">
        <v>675</v>
      </c>
      <c r="D2685" s="375" t="str">
        <f t="shared" si="548"/>
        <v>Maple Grove2</v>
      </c>
      <c r="E2685" s="375" t="s">
        <v>7380</v>
      </c>
      <c r="F2685" s="375"/>
      <c r="G2685" s="375"/>
      <c r="H2685" s="375"/>
      <c r="I2685" s="63"/>
      <c r="J2685" s="47">
        <f>J$7</f>
        <v>3740</v>
      </c>
      <c r="K2685" s="46" t="s">
        <v>7938</v>
      </c>
      <c r="L2685" s="47"/>
      <c r="M2685" s="47" t="s">
        <v>4154</v>
      </c>
      <c r="N2685" s="47"/>
      <c r="O2685" s="47" t="s">
        <v>7408</v>
      </c>
      <c r="P2685" s="47"/>
      <c r="Q2685" s="47"/>
      <c r="R2685" s="47"/>
      <c r="S2685" s="47"/>
      <c r="T2685" s="47"/>
      <c r="U2685" s="47">
        <f t="shared" si="552"/>
        <v>430</v>
      </c>
      <c r="V2685" s="47"/>
      <c r="W2685" s="47"/>
      <c r="X2685" s="47"/>
      <c r="Y2685" s="47"/>
      <c r="Z2685" s="47">
        <f t="shared" si="553"/>
        <v>4620</v>
      </c>
      <c r="AA2685" s="47">
        <f t="shared" si="554"/>
        <v>1400</v>
      </c>
      <c r="AB2685" s="47"/>
      <c r="AC2685" s="47"/>
      <c r="AD2685" s="47"/>
      <c r="AE2685" s="47"/>
      <c r="AF2685" s="47">
        <f t="shared" si="555"/>
        <v>1485</v>
      </c>
      <c r="AG2685" s="47"/>
      <c r="AH2685" s="47" t="str">
        <f>IFERROR(_xlfn.XLOOKUP(Table6[[#This Row],[Suburb]],Table5[Travel Surcharge],Table5[$$]),"")</f>
        <v/>
      </c>
      <c r="AI2685" s="47"/>
      <c r="AJ2685" s="47"/>
    </row>
    <row r="2686" spans="1:36">
      <c r="A2686" s="374" t="s">
        <v>4152</v>
      </c>
      <c r="B2686" s="374">
        <v>3</v>
      </c>
      <c r="C2686" s="374" t="s">
        <v>675</v>
      </c>
      <c r="D2686" s="375" t="str">
        <f t="shared" si="548"/>
        <v>Maple Grove3</v>
      </c>
      <c r="E2686" s="375" t="s">
        <v>9014</v>
      </c>
      <c r="F2686" s="375"/>
      <c r="G2686" s="375"/>
      <c r="H2686" s="375"/>
      <c r="I2686" s="63"/>
      <c r="J2686" s="47">
        <f>J$7</f>
        <v>3740</v>
      </c>
      <c r="K2686" s="46" t="s">
        <v>7938</v>
      </c>
      <c r="L2686" s="47"/>
      <c r="M2686" s="47" t="s">
        <v>4154</v>
      </c>
      <c r="N2686" s="47"/>
      <c r="O2686" s="47" t="s">
        <v>7408</v>
      </c>
      <c r="P2686" s="47"/>
      <c r="Q2686" s="47"/>
      <c r="R2686" s="47"/>
      <c r="S2686" s="47"/>
      <c r="T2686" s="47"/>
      <c r="U2686" s="47">
        <f t="shared" si="552"/>
        <v>430</v>
      </c>
      <c r="V2686" s="47"/>
      <c r="W2686" s="47"/>
      <c r="X2686" s="47"/>
      <c r="Y2686" s="47"/>
      <c r="Z2686" s="47">
        <f t="shared" si="553"/>
        <v>4620</v>
      </c>
      <c r="AA2686" s="47">
        <f t="shared" si="554"/>
        <v>1400</v>
      </c>
      <c r="AB2686" s="47"/>
      <c r="AC2686" s="47"/>
      <c r="AD2686" s="47"/>
      <c r="AE2686" s="47"/>
      <c r="AF2686" s="47">
        <f t="shared" si="555"/>
        <v>1485</v>
      </c>
      <c r="AG2686" s="47"/>
      <c r="AH2686" s="47" t="str">
        <f>IFERROR(_xlfn.XLOOKUP(Table6[[#This Row],[Suburb]],Table5[Travel Surcharge],Table5[$$]),"")</f>
        <v/>
      </c>
      <c r="AI2686" s="47"/>
      <c r="AJ2686" s="47"/>
    </row>
    <row r="2687" spans="1:36">
      <c r="A2687" s="374" t="s">
        <v>4152</v>
      </c>
      <c r="B2687" s="374">
        <v>4</v>
      </c>
      <c r="C2687" s="374" t="s">
        <v>675</v>
      </c>
      <c r="D2687" s="375" t="str">
        <f t="shared" si="548"/>
        <v>Maple Grove4</v>
      </c>
      <c r="E2687" s="375" t="s">
        <v>9761</v>
      </c>
      <c r="F2687" s="375"/>
      <c r="G2687" s="375"/>
      <c r="H2687" s="375"/>
      <c r="I2687" s="63"/>
      <c r="J2687" s="47">
        <f>J$7</f>
        <v>3740</v>
      </c>
      <c r="K2687" s="46" t="s">
        <v>7938</v>
      </c>
      <c r="L2687" s="47"/>
      <c r="M2687" s="47" t="s">
        <v>4154</v>
      </c>
      <c r="N2687" s="47"/>
      <c r="O2687" s="47" t="s">
        <v>7408</v>
      </c>
      <c r="P2687" s="47"/>
      <c r="Q2687" s="47"/>
      <c r="R2687" s="47"/>
      <c r="S2687" s="47"/>
      <c r="T2687" s="47"/>
      <c r="U2687" s="47">
        <f t="shared" si="552"/>
        <v>430</v>
      </c>
      <c r="V2687" s="47"/>
      <c r="W2687" s="47"/>
      <c r="X2687" s="47"/>
      <c r="Y2687" s="47"/>
      <c r="Z2687" s="47">
        <f t="shared" si="553"/>
        <v>4620</v>
      </c>
      <c r="AA2687" s="47">
        <f t="shared" si="554"/>
        <v>1400</v>
      </c>
      <c r="AB2687" s="47"/>
      <c r="AC2687" s="47"/>
      <c r="AD2687" s="47"/>
      <c r="AE2687" s="47"/>
      <c r="AF2687" s="47">
        <f t="shared" si="555"/>
        <v>1485</v>
      </c>
      <c r="AG2687" s="47"/>
      <c r="AH2687" s="47" t="str">
        <f>IFERROR(_xlfn.XLOOKUP(Table6[[#This Row],[Suburb]],Table5[Travel Surcharge],Table5[$$]),"")</f>
        <v/>
      </c>
      <c r="AI2687" s="47"/>
      <c r="AJ2687" s="47"/>
    </row>
    <row r="2688" spans="1:36">
      <c r="A2688" s="374" t="s">
        <v>4152</v>
      </c>
      <c r="B2688" s="374">
        <v>5</v>
      </c>
      <c r="C2688" s="374" t="s">
        <v>675</v>
      </c>
      <c r="D2688" s="375" t="str">
        <f t="shared" si="548"/>
        <v>Maple Grove5</v>
      </c>
      <c r="E2688" s="375" t="s">
        <v>10727</v>
      </c>
      <c r="F2688" s="375"/>
      <c r="G2688" s="375"/>
      <c r="H2688" s="375"/>
      <c r="I2688" s="63"/>
      <c r="J2688" s="47">
        <v>3740</v>
      </c>
      <c r="K2688" s="46" t="s">
        <v>7938</v>
      </c>
      <c r="L2688" s="47"/>
      <c r="M2688" s="47" t="s">
        <v>4154</v>
      </c>
      <c r="N2688" s="47"/>
      <c r="O2688" s="47" t="s">
        <v>7408</v>
      </c>
      <c r="P2688" s="47"/>
      <c r="Q2688" s="47"/>
      <c r="R2688" s="47"/>
      <c r="S2688" s="47"/>
      <c r="T2688" s="47"/>
      <c r="U2688" s="47">
        <v>540</v>
      </c>
      <c r="V2688" s="47"/>
      <c r="W2688" s="47"/>
      <c r="X2688" s="47"/>
      <c r="Y2688" s="47"/>
      <c r="Z2688" s="47">
        <v>4620</v>
      </c>
      <c r="AA2688" s="47">
        <v>1400</v>
      </c>
      <c r="AB2688" s="47"/>
      <c r="AC2688" s="47"/>
      <c r="AD2688" s="47"/>
      <c r="AE2688" s="47"/>
      <c r="AF2688" s="47">
        <v>1485</v>
      </c>
      <c r="AG2688" s="47"/>
      <c r="AH2688" s="47" t="s">
        <v>9976</v>
      </c>
      <c r="AI2688" s="47"/>
      <c r="AJ2688" s="47"/>
    </row>
    <row r="2689" spans="1:36">
      <c r="A2689" s="374" t="s">
        <v>4152</v>
      </c>
      <c r="B2689" s="374">
        <v>6</v>
      </c>
      <c r="C2689" s="374" t="s">
        <v>675</v>
      </c>
      <c r="D2689" s="375" t="str">
        <f t="shared" si="548"/>
        <v>Maple Grove6</v>
      </c>
      <c r="E2689" s="375" t="s">
        <v>10728</v>
      </c>
      <c r="F2689" s="375"/>
      <c r="G2689" s="375"/>
      <c r="H2689" s="375"/>
      <c r="I2689" s="63"/>
      <c r="J2689" s="47">
        <v>3740</v>
      </c>
      <c r="K2689" s="46" t="s">
        <v>7938</v>
      </c>
      <c r="L2689" s="47"/>
      <c r="M2689" s="47" t="s">
        <v>4154</v>
      </c>
      <c r="N2689" s="47"/>
      <c r="O2689" s="47" t="s">
        <v>7408</v>
      </c>
      <c r="P2689" s="47"/>
      <c r="Q2689" s="47"/>
      <c r="R2689" s="47"/>
      <c r="S2689" s="47"/>
      <c r="T2689" s="47"/>
      <c r="U2689" s="47">
        <v>540</v>
      </c>
      <c r="V2689" s="47"/>
      <c r="W2689" s="47"/>
      <c r="X2689" s="47"/>
      <c r="Y2689" s="47"/>
      <c r="Z2689" s="47">
        <v>4620</v>
      </c>
      <c r="AA2689" s="47">
        <v>1400</v>
      </c>
      <c r="AB2689" s="47"/>
      <c r="AC2689" s="47"/>
      <c r="AD2689" s="47"/>
      <c r="AE2689" s="47"/>
      <c r="AF2689" s="47">
        <v>1485</v>
      </c>
      <c r="AG2689" s="47"/>
      <c r="AH2689" s="47" t="s">
        <v>9976</v>
      </c>
      <c r="AI2689" s="47"/>
      <c r="AJ2689" s="47"/>
    </row>
    <row r="2690" spans="1:36">
      <c r="A2690" s="374" t="s">
        <v>4152</v>
      </c>
      <c r="B2690" s="374">
        <v>8</v>
      </c>
      <c r="C2690" s="374" t="s">
        <v>675</v>
      </c>
      <c r="D2690" s="375" t="str">
        <f t="shared" si="548"/>
        <v>Maple Grove8</v>
      </c>
      <c r="E2690" s="375" t="s">
        <v>9176</v>
      </c>
      <c r="F2690" s="375"/>
      <c r="G2690" s="375"/>
      <c r="H2690" s="375"/>
      <c r="I2690" s="63"/>
      <c r="J2690" s="47">
        <f>J$7</f>
        <v>3740</v>
      </c>
      <c r="K2690" s="46" t="s">
        <v>7938</v>
      </c>
      <c r="L2690" s="47"/>
      <c r="M2690" s="47" t="s">
        <v>4154</v>
      </c>
      <c r="N2690" s="47"/>
      <c r="O2690" s="47" t="s">
        <v>7408</v>
      </c>
      <c r="P2690" s="47"/>
      <c r="Q2690" s="47"/>
      <c r="R2690" s="47"/>
      <c r="S2690" s="47"/>
      <c r="T2690" s="47"/>
      <c r="U2690" s="47">
        <f t="shared" si="552"/>
        <v>430</v>
      </c>
      <c r="V2690" s="47"/>
      <c r="W2690" s="47"/>
      <c r="X2690" s="47"/>
      <c r="Y2690" s="47"/>
      <c r="Z2690" s="47">
        <f t="shared" si="553"/>
        <v>4620</v>
      </c>
      <c r="AA2690" s="47">
        <f t="shared" si="554"/>
        <v>1400</v>
      </c>
      <c r="AB2690" s="47"/>
      <c r="AC2690" s="47"/>
      <c r="AD2690" s="47"/>
      <c r="AE2690" s="47"/>
      <c r="AF2690" s="47">
        <f t="shared" si="555"/>
        <v>1485</v>
      </c>
      <c r="AG2690" s="47"/>
      <c r="AH2690" s="47" t="str">
        <f>IFERROR(_xlfn.XLOOKUP(Table6[[#This Row],[Suburb]],Table5[Travel Surcharge],Table5[$$]),"")</f>
        <v/>
      </c>
      <c r="AI2690" s="47"/>
      <c r="AJ2690" s="47"/>
    </row>
    <row r="2691" spans="1:36">
      <c r="A2691" s="157" t="s">
        <v>7480</v>
      </c>
      <c r="B2691" s="157">
        <v>1</v>
      </c>
      <c r="C2691" s="157" t="s">
        <v>293</v>
      </c>
      <c r="D2691" s="157" t="str">
        <f t="shared" si="548"/>
        <v>Maple Lane 1</v>
      </c>
      <c r="E2691" s="157" t="s">
        <v>7481</v>
      </c>
      <c r="F2691" s="157"/>
      <c r="G2691" s="157"/>
      <c r="H2691" s="157"/>
      <c r="I2691" s="158"/>
      <c r="J2691" s="47"/>
      <c r="K2691" s="46" t="s">
        <v>10735</v>
      </c>
      <c r="L2691" s="47"/>
      <c r="M2691" s="47">
        <f>M$7</f>
        <v>1430.0000000000002</v>
      </c>
      <c r="N2691" s="47" t="s">
        <v>7483</v>
      </c>
      <c r="O2691" s="47">
        <f>O$7</f>
        <v>4950</v>
      </c>
      <c r="P2691" s="47" t="s">
        <v>8788</v>
      </c>
      <c r="Q2691" s="47"/>
      <c r="R2691" s="47"/>
      <c r="S2691" s="47">
        <f>S$2</f>
        <v>590</v>
      </c>
      <c r="T2691" s="47"/>
      <c r="U2691" s="47"/>
      <c r="V2691" s="47" t="s">
        <v>7482</v>
      </c>
      <c r="W2691" s="47"/>
      <c r="X2691" s="47"/>
      <c r="Y2691" s="47"/>
      <c r="Z2691" s="47">
        <f t="shared" si="553"/>
        <v>4620</v>
      </c>
      <c r="AA2691" s="47">
        <f t="shared" si="554"/>
        <v>1400</v>
      </c>
      <c r="AB2691" s="47" t="s">
        <v>7484</v>
      </c>
      <c r="AC2691" s="47"/>
      <c r="AD2691" s="47"/>
      <c r="AE2691" s="47"/>
      <c r="AF2691" s="47">
        <f t="shared" si="555"/>
        <v>1485</v>
      </c>
      <c r="AG2691" s="47"/>
      <c r="AH2691" s="47">
        <f>IFERROR(_xlfn.XLOOKUP(Table6[[#This Row],[Suburb]],Table5[Travel Surcharge],Table5[$$]),"")</f>
        <v>8000</v>
      </c>
      <c r="AI2691" s="47"/>
      <c r="AJ2691" s="47">
        <f>AJ$7</f>
        <v>4400</v>
      </c>
    </row>
    <row r="2692" spans="1:36">
      <c r="A2692" s="374" t="s">
        <v>4156</v>
      </c>
      <c r="B2692" s="374">
        <v>1</v>
      </c>
      <c r="C2692" s="374" t="s">
        <v>293</v>
      </c>
      <c r="D2692" s="375" t="str">
        <f t="shared" si="548"/>
        <v>Maple Lane Rise1</v>
      </c>
      <c r="E2692" s="375" t="s">
        <v>4157</v>
      </c>
      <c r="F2692" s="375" t="s">
        <v>4158</v>
      </c>
      <c r="G2692" s="375" t="s">
        <v>4159</v>
      </c>
      <c r="H2692" s="375" t="s">
        <v>4160</v>
      </c>
      <c r="I2692" s="63"/>
      <c r="J2692" s="47"/>
      <c r="K2692" s="46" t="s">
        <v>10735</v>
      </c>
      <c r="L2692" s="47"/>
      <c r="M2692" s="47">
        <f>M$7</f>
        <v>1430.0000000000002</v>
      </c>
      <c r="N2692" s="47" t="s">
        <v>7483</v>
      </c>
      <c r="O2692" s="47">
        <f>O$7</f>
        <v>4950</v>
      </c>
      <c r="P2692" s="47" t="s">
        <v>8788</v>
      </c>
      <c r="Q2692" s="47"/>
      <c r="R2692" s="47"/>
      <c r="S2692" s="47" t="s">
        <v>4161</v>
      </c>
      <c r="T2692" s="47" t="s">
        <v>4162</v>
      </c>
      <c r="U2692" s="47"/>
      <c r="V2692" s="47" t="s">
        <v>4163</v>
      </c>
      <c r="W2692" s="47" t="s">
        <v>4164</v>
      </c>
      <c r="X2692" s="47"/>
      <c r="Y2692" s="47"/>
      <c r="Z2692" s="47">
        <f t="shared" si="553"/>
        <v>4620</v>
      </c>
      <c r="AA2692" s="47">
        <f t="shared" si="554"/>
        <v>1400</v>
      </c>
      <c r="AB2692" s="47"/>
      <c r="AC2692" s="47"/>
      <c r="AD2692" s="47"/>
      <c r="AE2692" s="47"/>
      <c r="AF2692" s="47">
        <f t="shared" si="555"/>
        <v>1485</v>
      </c>
      <c r="AG2692" s="47"/>
      <c r="AH2692" s="47">
        <f>IFERROR(_xlfn.XLOOKUP(Table6[[#This Row],[Suburb]],Table5[Travel Surcharge],Table5[$$]),"")</f>
        <v>8000</v>
      </c>
      <c r="AI2692" s="47"/>
      <c r="AJ2692" s="47">
        <f>AJ$7</f>
        <v>4400</v>
      </c>
    </row>
    <row r="2693" spans="1:36">
      <c r="A2693" s="374" t="s">
        <v>4165</v>
      </c>
      <c r="B2693" s="374">
        <v>1</v>
      </c>
      <c r="C2693" s="374" t="s">
        <v>1721</v>
      </c>
      <c r="D2693" s="375" t="str">
        <f t="shared" si="548"/>
        <v>Maplestone1</v>
      </c>
      <c r="E2693" s="375" t="s">
        <v>4166</v>
      </c>
      <c r="F2693" s="375" t="s">
        <v>1428</v>
      </c>
      <c r="G2693" s="375" t="s">
        <v>2110</v>
      </c>
      <c r="H2693" s="375" t="s">
        <v>2111</v>
      </c>
      <c r="I2693" s="63" t="s">
        <v>4167</v>
      </c>
      <c r="J2693" s="47">
        <f t="shared" ref="J2693:J2703" si="556">J$7</f>
        <v>3740</v>
      </c>
      <c r="K2693" s="46" t="s">
        <v>10735</v>
      </c>
      <c r="L2693" s="47">
        <f t="shared" ref="L2693:L2700" si="557">L$7</f>
        <v>1210</v>
      </c>
      <c r="M2693" s="47" t="s">
        <v>4168</v>
      </c>
      <c r="N2693" s="47"/>
      <c r="O2693" s="47" t="s">
        <v>4169</v>
      </c>
      <c r="P2693" s="47" t="s">
        <v>10907</v>
      </c>
      <c r="Q2693" s="47" t="s">
        <v>5179</v>
      </c>
      <c r="R2693" s="47" t="s">
        <v>10380</v>
      </c>
      <c r="S2693" s="47"/>
      <c r="T2693" s="47"/>
      <c r="U2693" s="47">
        <f t="shared" ref="U2693:U2700" si="558">U$2</f>
        <v>430</v>
      </c>
      <c r="V2693" s="47"/>
      <c r="W2693" s="47"/>
      <c r="X2693" s="47"/>
      <c r="Y2693" s="47"/>
      <c r="Z2693" s="47">
        <f t="shared" si="553"/>
        <v>4620</v>
      </c>
      <c r="AA2693" s="47"/>
      <c r="AB2693" s="47"/>
      <c r="AC2693" s="47"/>
      <c r="AD2693" s="47"/>
      <c r="AE2693" s="47"/>
      <c r="AF2693" s="47">
        <f t="shared" si="555"/>
        <v>1485</v>
      </c>
      <c r="AG2693" s="47"/>
      <c r="AH2693" s="47" t="str">
        <f>IFERROR(_xlfn.XLOOKUP(Table6[[#This Row],[Suburb]],Table5[Travel Surcharge],Table5[$$]),"")</f>
        <v/>
      </c>
      <c r="AI2693" s="47"/>
      <c r="AJ2693" s="47"/>
    </row>
    <row r="2694" spans="1:36">
      <c r="A2694" s="157" t="s">
        <v>4165</v>
      </c>
      <c r="B2694" s="157">
        <v>2</v>
      </c>
      <c r="C2694" s="157" t="s">
        <v>1721</v>
      </c>
      <c r="D2694" s="157" t="str">
        <f t="shared" si="548"/>
        <v>Maplestone2</v>
      </c>
      <c r="E2694" s="157" t="s">
        <v>7944</v>
      </c>
      <c r="F2694" s="157" t="s">
        <v>1428</v>
      </c>
      <c r="G2694" s="157" t="s">
        <v>2110</v>
      </c>
      <c r="H2694" s="157" t="s">
        <v>2111</v>
      </c>
      <c r="I2694" s="158" t="s">
        <v>4167</v>
      </c>
      <c r="J2694" s="47">
        <f t="shared" si="556"/>
        <v>3740</v>
      </c>
      <c r="K2694" s="46" t="s">
        <v>10735</v>
      </c>
      <c r="L2694" s="47">
        <f t="shared" si="557"/>
        <v>1210</v>
      </c>
      <c r="M2694" s="47" t="s">
        <v>4168</v>
      </c>
      <c r="N2694" s="47"/>
      <c r="O2694" s="47" t="s">
        <v>4169</v>
      </c>
      <c r="P2694" s="47" t="s">
        <v>10908</v>
      </c>
      <c r="Q2694" s="47" t="s">
        <v>8636</v>
      </c>
      <c r="R2694" s="47" t="s">
        <v>10380</v>
      </c>
      <c r="S2694" s="47"/>
      <c r="T2694" s="47"/>
      <c r="U2694" s="47">
        <f t="shared" si="558"/>
        <v>430</v>
      </c>
      <c r="V2694" s="47"/>
      <c r="W2694" s="47"/>
      <c r="X2694" s="47"/>
      <c r="Y2694" s="47"/>
      <c r="Z2694" s="47">
        <f t="shared" si="553"/>
        <v>4620</v>
      </c>
      <c r="AA2694" s="47"/>
      <c r="AB2694" s="47"/>
      <c r="AC2694" s="47"/>
      <c r="AD2694" s="47"/>
      <c r="AE2694" s="47"/>
      <c r="AF2694" s="47">
        <f t="shared" si="555"/>
        <v>1485</v>
      </c>
      <c r="AG2694" s="47"/>
      <c r="AH2694" s="47" t="str">
        <f>IFERROR(_xlfn.XLOOKUP(Table6[[#This Row],[Suburb]],Table5[Travel Surcharge],Table5[$$]),"")</f>
        <v/>
      </c>
      <c r="AI2694" s="47"/>
      <c r="AJ2694" s="47"/>
    </row>
    <row r="2695" spans="1:36">
      <c r="A2695" s="374" t="s">
        <v>4165</v>
      </c>
      <c r="B2695" s="374">
        <v>3</v>
      </c>
      <c r="C2695" s="374" t="s">
        <v>1721</v>
      </c>
      <c r="D2695" s="375" t="str">
        <f t="shared" si="548"/>
        <v>Maplestone3</v>
      </c>
      <c r="E2695" s="375" t="s">
        <v>4170</v>
      </c>
      <c r="F2695" s="375" t="s">
        <v>1428</v>
      </c>
      <c r="G2695" s="375" t="s">
        <v>2110</v>
      </c>
      <c r="H2695" s="375" t="s">
        <v>2111</v>
      </c>
      <c r="I2695" s="63" t="s">
        <v>4167</v>
      </c>
      <c r="J2695" s="47">
        <f t="shared" si="556"/>
        <v>3740</v>
      </c>
      <c r="K2695" s="46" t="s">
        <v>10735</v>
      </c>
      <c r="L2695" s="47">
        <f t="shared" si="557"/>
        <v>1210</v>
      </c>
      <c r="M2695" s="47" t="s">
        <v>4168</v>
      </c>
      <c r="N2695" s="47"/>
      <c r="O2695" s="47" t="s">
        <v>4169</v>
      </c>
      <c r="P2695" s="47" t="s">
        <v>10909</v>
      </c>
      <c r="Q2695" s="47" t="s">
        <v>10910</v>
      </c>
      <c r="R2695" s="47" t="s">
        <v>10380</v>
      </c>
      <c r="S2695" s="47"/>
      <c r="T2695" s="47"/>
      <c r="U2695" s="47">
        <f t="shared" si="558"/>
        <v>430</v>
      </c>
      <c r="V2695" s="47"/>
      <c r="W2695" s="47"/>
      <c r="X2695" s="47"/>
      <c r="Y2695" s="47"/>
      <c r="Z2695" s="47">
        <f t="shared" si="553"/>
        <v>4620</v>
      </c>
      <c r="AA2695" s="47"/>
      <c r="AB2695" s="47"/>
      <c r="AC2695" s="47"/>
      <c r="AD2695" s="47"/>
      <c r="AE2695" s="47"/>
      <c r="AF2695" s="47">
        <f t="shared" si="555"/>
        <v>1485</v>
      </c>
      <c r="AG2695" s="47"/>
      <c r="AH2695" s="47" t="str">
        <f>IFERROR(_xlfn.XLOOKUP(Table6[[#This Row],[Suburb]],Table5[Travel Surcharge],Table5[$$]),"")</f>
        <v/>
      </c>
      <c r="AI2695" s="47"/>
      <c r="AJ2695" s="47"/>
    </row>
    <row r="2696" spans="1:36">
      <c r="A2696" s="374" t="s">
        <v>4165</v>
      </c>
      <c r="B2696" s="374">
        <v>4</v>
      </c>
      <c r="C2696" s="374" t="s">
        <v>1721</v>
      </c>
      <c r="D2696" s="375" t="str">
        <f t="shared" si="548"/>
        <v>Maplestone4</v>
      </c>
      <c r="E2696" s="375" t="s">
        <v>4171</v>
      </c>
      <c r="F2696" s="375" t="s">
        <v>1428</v>
      </c>
      <c r="G2696" s="375" t="s">
        <v>2110</v>
      </c>
      <c r="H2696" s="375" t="s">
        <v>2111</v>
      </c>
      <c r="I2696" s="63" t="s">
        <v>4167</v>
      </c>
      <c r="J2696" s="47">
        <f t="shared" si="556"/>
        <v>3740</v>
      </c>
      <c r="K2696" s="46" t="s">
        <v>10735</v>
      </c>
      <c r="L2696" s="47">
        <f t="shared" si="557"/>
        <v>1210</v>
      </c>
      <c r="M2696" s="47" t="s">
        <v>4168</v>
      </c>
      <c r="N2696" s="47"/>
      <c r="O2696" s="47" t="s">
        <v>4169</v>
      </c>
      <c r="P2696" s="47" t="s">
        <v>10911</v>
      </c>
      <c r="Q2696" s="47" t="s">
        <v>10912</v>
      </c>
      <c r="R2696" s="47" t="s">
        <v>10380</v>
      </c>
      <c r="S2696" s="47"/>
      <c r="T2696" s="47"/>
      <c r="U2696" s="47">
        <f t="shared" si="558"/>
        <v>430</v>
      </c>
      <c r="V2696" s="47"/>
      <c r="W2696" s="47"/>
      <c r="X2696" s="47"/>
      <c r="Y2696" s="47"/>
      <c r="Z2696" s="47">
        <f t="shared" si="553"/>
        <v>4620</v>
      </c>
      <c r="AA2696" s="47"/>
      <c r="AB2696" s="47"/>
      <c r="AC2696" s="47"/>
      <c r="AD2696" s="47"/>
      <c r="AE2696" s="47"/>
      <c r="AF2696" s="47">
        <f t="shared" si="555"/>
        <v>1485</v>
      </c>
      <c r="AG2696" s="47"/>
      <c r="AH2696" s="47" t="str">
        <f>IFERROR(_xlfn.XLOOKUP(Table6[[#This Row],[Suburb]],Table5[Travel Surcharge],Table5[$$]),"")</f>
        <v/>
      </c>
      <c r="AI2696" s="47"/>
      <c r="AJ2696" s="47"/>
    </row>
    <row r="2697" spans="1:36">
      <c r="A2697" s="374" t="s">
        <v>4165</v>
      </c>
      <c r="B2697" s="374">
        <v>5</v>
      </c>
      <c r="C2697" s="374" t="s">
        <v>1721</v>
      </c>
      <c r="D2697" s="375" t="str">
        <f t="shared" si="548"/>
        <v>Maplestone5</v>
      </c>
      <c r="E2697" s="375" t="s">
        <v>4172</v>
      </c>
      <c r="F2697" s="375" t="s">
        <v>1428</v>
      </c>
      <c r="G2697" s="375" t="s">
        <v>2110</v>
      </c>
      <c r="H2697" s="375" t="s">
        <v>2111</v>
      </c>
      <c r="I2697" s="63" t="s">
        <v>4167</v>
      </c>
      <c r="J2697" s="47">
        <f t="shared" si="556"/>
        <v>3740</v>
      </c>
      <c r="K2697" s="46" t="s">
        <v>10735</v>
      </c>
      <c r="L2697" s="47">
        <f t="shared" si="557"/>
        <v>1210</v>
      </c>
      <c r="M2697" s="47" t="s">
        <v>4168</v>
      </c>
      <c r="N2697" s="47"/>
      <c r="O2697" s="47" t="s">
        <v>4169</v>
      </c>
      <c r="P2697" s="47" t="s">
        <v>10913</v>
      </c>
      <c r="Q2697" s="47" t="s">
        <v>10914</v>
      </c>
      <c r="R2697" s="47" t="s">
        <v>10380</v>
      </c>
      <c r="S2697" s="47"/>
      <c r="T2697" s="47"/>
      <c r="U2697" s="47">
        <f t="shared" si="558"/>
        <v>430</v>
      </c>
      <c r="V2697" s="47"/>
      <c r="W2697" s="47"/>
      <c r="X2697" s="47"/>
      <c r="Y2697" s="47"/>
      <c r="Z2697" s="47">
        <f t="shared" si="553"/>
        <v>4620</v>
      </c>
      <c r="AA2697" s="47"/>
      <c r="AB2697" s="47"/>
      <c r="AC2697" s="47"/>
      <c r="AD2697" s="47"/>
      <c r="AE2697" s="47"/>
      <c r="AF2697" s="47">
        <f t="shared" si="555"/>
        <v>1485</v>
      </c>
      <c r="AG2697" s="47"/>
      <c r="AH2697" s="47" t="str">
        <f>IFERROR(_xlfn.XLOOKUP(Table6[[#This Row],[Suburb]],Table5[Travel Surcharge],Table5[$$]),"")</f>
        <v/>
      </c>
      <c r="AI2697" s="47"/>
      <c r="AJ2697" s="47"/>
    </row>
    <row r="2698" spans="1:36">
      <c r="A2698" s="157" t="s">
        <v>4165</v>
      </c>
      <c r="B2698" s="157">
        <v>6</v>
      </c>
      <c r="C2698" s="157" t="s">
        <v>7410</v>
      </c>
      <c r="D2698" s="157" t="str">
        <f t="shared" si="548"/>
        <v>Maplestone6</v>
      </c>
      <c r="E2698" s="157" t="s">
        <v>8418</v>
      </c>
      <c r="F2698" s="157" t="s">
        <v>1428</v>
      </c>
      <c r="G2698" s="157" t="s">
        <v>2110</v>
      </c>
      <c r="H2698" s="157" t="s">
        <v>8419</v>
      </c>
      <c r="I2698" s="158" t="s">
        <v>4167</v>
      </c>
      <c r="J2698" s="47">
        <f t="shared" si="556"/>
        <v>3740</v>
      </c>
      <c r="K2698" s="46" t="s">
        <v>10735</v>
      </c>
      <c r="L2698" s="47">
        <f t="shared" si="557"/>
        <v>1210</v>
      </c>
      <c r="M2698" s="47" t="s">
        <v>4168</v>
      </c>
      <c r="N2698" s="47"/>
      <c r="O2698" s="47" t="s">
        <v>8417</v>
      </c>
      <c r="P2698" s="47" t="s">
        <v>10915</v>
      </c>
      <c r="Q2698" s="47" t="s">
        <v>10916</v>
      </c>
      <c r="R2698" s="47" t="s">
        <v>10380</v>
      </c>
      <c r="S2698" s="47"/>
      <c r="T2698" s="47"/>
      <c r="U2698" s="47">
        <f t="shared" si="558"/>
        <v>430</v>
      </c>
      <c r="V2698" s="47"/>
      <c r="W2698" s="47"/>
      <c r="X2698" s="47"/>
      <c r="Y2698" s="47"/>
      <c r="Z2698" s="47">
        <f t="shared" si="553"/>
        <v>4620</v>
      </c>
      <c r="AA2698" s="47"/>
      <c r="AB2698" s="47"/>
      <c r="AC2698" s="47"/>
      <c r="AD2698" s="47"/>
      <c r="AE2698" s="47"/>
      <c r="AF2698" s="47">
        <f t="shared" si="555"/>
        <v>1485</v>
      </c>
      <c r="AG2698" s="47"/>
      <c r="AH2698" s="47" t="str">
        <f>IFERROR(_xlfn.XLOOKUP(Table6[[#This Row],[Suburb]],Table5[Travel Surcharge],Table5[$$]),"")</f>
        <v/>
      </c>
      <c r="AI2698" s="47"/>
      <c r="AJ2698" s="47"/>
    </row>
    <row r="2699" spans="1:36">
      <c r="A2699" s="157" t="s">
        <v>4165</v>
      </c>
      <c r="B2699" s="157">
        <v>7</v>
      </c>
      <c r="C2699" s="157" t="s">
        <v>1721</v>
      </c>
      <c r="D2699" s="157" t="str">
        <f t="shared" si="548"/>
        <v>Maplestone7</v>
      </c>
      <c r="E2699" s="157" t="s">
        <v>7743</v>
      </c>
      <c r="F2699" s="157" t="s">
        <v>1428</v>
      </c>
      <c r="G2699" s="157" t="s">
        <v>2110</v>
      </c>
      <c r="H2699" s="157" t="s">
        <v>2111</v>
      </c>
      <c r="I2699" s="158" t="s">
        <v>4167</v>
      </c>
      <c r="J2699" s="47">
        <f t="shared" si="556"/>
        <v>3740</v>
      </c>
      <c r="K2699" s="46" t="s">
        <v>10735</v>
      </c>
      <c r="L2699" s="47">
        <f t="shared" si="557"/>
        <v>1210</v>
      </c>
      <c r="M2699" s="47" t="s">
        <v>4168</v>
      </c>
      <c r="N2699" s="47"/>
      <c r="O2699" s="47" t="s">
        <v>4169</v>
      </c>
      <c r="P2699" s="47" t="s">
        <v>10917</v>
      </c>
      <c r="Q2699" s="47" t="s">
        <v>10918</v>
      </c>
      <c r="R2699" s="47" t="s">
        <v>10380</v>
      </c>
      <c r="S2699" s="47"/>
      <c r="T2699" s="47"/>
      <c r="U2699" s="47">
        <f t="shared" si="558"/>
        <v>430</v>
      </c>
      <c r="V2699" s="47"/>
      <c r="W2699" s="47"/>
      <c r="X2699" s="47"/>
      <c r="Y2699" s="47"/>
      <c r="Z2699" s="47">
        <f t="shared" si="553"/>
        <v>4620</v>
      </c>
      <c r="AA2699" s="47"/>
      <c r="AB2699" s="47"/>
      <c r="AC2699" s="47"/>
      <c r="AD2699" s="47"/>
      <c r="AE2699" s="47"/>
      <c r="AF2699" s="47">
        <f t="shared" si="555"/>
        <v>1485</v>
      </c>
      <c r="AG2699" s="47"/>
      <c r="AH2699" s="47" t="str">
        <f>IFERROR(_xlfn.XLOOKUP(Table6[[#This Row],[Suburb]],Table5[Travel Surcharge],Table5[$$]),"")</f>
        <v/>
      </c>
      <c r="AI2699" s="47"/>
      <c r="AJ2699" s="47"/>
    </row>
    <row r="2700" spans="1:36">
      <c r="A2700" s="157" t="s">
        <v>4165</v>
      </c>
      <c r="B2700" s="157">
        <v>9</v>
      </c>
      <c r="C2700" s="157" t="s">
        <v>1721</v>
      </c>
      <c r="D2700" s="157" t="str">
        <f t="shared" si="548"/>
        <v>Maplestone9</v>
      </c>
      <c r="E2700" s="157" t="s">
        <v>9178</v>
      </c>
      <c r="F2700" s="157" t="s">
        <v>1428</v>
      </c>
      <c r="G2700" s="157" t="s">
        <v>2110</v>
      </c>
      <c r="H2700" s="157" t="s">
        <v>2111</v>
      </c>
      <c r="I2700" s="158" t="s">
        <v>4167</v>
      </c>
      <c r="J2700" s="47">
        <f t="shared" si="556"/>
        <v>3740</v>
      </c>
      <c r="K2700" s="46" t="s">
        <v>10735</v>
      </c>
      <c r="L2700" s="47">
        <f t="shared" si="557"/>
        <v>1210</v>
      </c>
      <c r="M2700" s="47" t="s">
        <v>4168</v>
      </c>
      <c r="N2700" s="47"/>
      <c r="O2700" s="47" t="s">
        <v>4169</v>
      </c>
      <c r="P2700" s="47" t="s">
        <v>10919</v>
      </c>
      <c r="Q2700" s="47" t="s">
        <v>10920</v>
      </c>
      <c r="R2700" s="47" t="s">
        <v>10380</v>
      </c>
      <c r="S2700" s="47"/>
      <c r="T2700" s="47"/>
      <c r="U2700" s="47">
        <f t="shared" si="558"/>
        <v>430</v>
      </c>
      <c r="V2700" s="47"/>
      <c r="W2700" s="47"/>
      <c r="X2700" s="47"/>
      <c r="Y2700" s="47"/>
      <c r="Z2700" s="47">
        <f t="shared" si="553"/>
        <v>4620</v>
      </c>
      <c r="AA2700" s="47"/>
      <c r="AB2700" s="47"/>
      <c r="AC2700" s="47"/>
      <c r="AD2700" s="47"/>
      <c r="AE2700" s="47"/>
      <c r="AF2700" s="47">
        <f t="shared" si="555"/>
        <v>1485</v>
      </c>
      <c r="AG2700" s="47"/>
      <c r="AH2700" s="47" t="str">
        <f>IFERROR(_xlfn.XLOOKUP(Table6[[#This Row],[Suburb]],Table5[Travel Surcharge],Table5[$$]),"")</f>
        <v/>
      </c>
      <c r="AI2700" s="47"/>
      <c r="AJ2700" s="47"/>
    </row>
    <row r="2701" spans="1:36">
      <c r="A2701" s="374" t="s">
        <v>4165</v>
      </c>
      <c r="B2701" s="374">
        <v>10</v>
      </c>
      <c r="C2701" s="374" t="s">
        <v>1721</v>
      </c>
      <c r="D2701" s="375" t="str">
        <f t="shared" si="548"/>
        <v>Maplestone10</v>
      </c>
      <c r="E2701" s="375" t="s">
        <v>9859</v>
      </c>
      <c r="F2701" s="375" t="s">
        <v>1428</v>
      </c>
      <c r="G2701" s="375" t="s">
        <v>2110</v>
      </c>
      <c r="H2701" s="375" t="s">
        <v>2111</v>
      </c>
      <c r="I2701" s="63" t="s">
        <v>4167</v>
      </c>
      <c r="J2701" s="47">
        <v>3740</v>
      </c>
      <c r="K2701" s="46" t="s">
        <v>10735</v>
      </c>
      <c r="L2701" s="47">
        <v>1210</v>
      </c>
      <c r="M2701" s="47" t="s">
        <v>4168</v>
      </c>
      <c r="N2701" s="47"/>
      <c r="O2701" s="47" t="s">
        <v>4169</v>
      </c>
      <c r="P2701" s="47" t="s">
        <v>10921</v>
      </c>
      <c r="Q2701" s="47" t="s">
        <v>10922</v>
      </c>
      <c r="R2701" s="47" t="s">
        <v>10380</v>
      </c>
      <c r="S2701" s="47"/>
      <c r="T2701" s="47"/>
      <c r="U2701" s="47">
        <v>540</v>
      </c>
      <c r="V2701" s="47"/>
      <c r="W2701" s="47"/>
      <c r="X2701" s="47"/>
      <c r="Y2701" s="47"/>
      <c r="Z2701" s="47">
        <v>4620</v>
      </c>
      <c r="AA2701" s="47"/>
      <c r="AB2701" s="47"/>
      <c r="AC2701" s="47"/>
      <c r="AD2701" s="47"/>
      <c r="AE2701" s="47"/>
      <c r="AF2701" s="47">
        <v>1485</v>
      </c>
      <c r="AG2701" s="47"/>
      <c r="AH2701" s="47" t="str">
        <f>IFERROR(_xlfn.XLOOKUP(Table6[[#This Row],[Suburb]],Table5[Travel Surcharge],Table5[$$]),"")</f>
        <v/>
      </c>
      <c r="AI2701" s="47"/>
      <c r="AJ2701" s="47"/>
    </row>
    <row r="2702" spans="1:36">
      <c r="A2702" s="374" t="s">
        <v>4165</v>
      </c>
      <c r="B2702" s="374">
        <v>12</v>
      </c>
      <c r="C2702" s="374" t="s">
        <v>1721</v>
      </c>
      <c r="D2702" s="375" t="str">
        <f t="shared" ref="D2702" si="559">CONCATENATE(A2702,B2702)</f>
        <v>Maplestone12</v>
      </c>
      <c r="E2702" s="375" t="s">
        <v>10689</v>
      </c>
      <c r="F2702" s="375" t="s">
        <v>1428</v>
      </c>
      <c r="G2702" s="375" t="s">
        <v>2110</v>
      </c>
      <c r="H2702" s="375" t="s">
        <v>2111</v>
      </c>
      <c r="I2702" s="63" t="s">
        <v>4167</v>
      </c>
      <c r="J2702" s="47">
        <v>3740</v>
      </c>
      <c r="K2702" s="46" t="s">
        <v>10735</v>
      </c>
      <c r="L2702" s="47">
        <v>1210</v>
      </c>
      <c r="M2702" s="47" t="s">
        <v>4168</v>
      </c>
      <c r="N2702" s="47"/>
      <c r="O2702" s="47" t="s">
        <v>4169</v>
      </c>
      <c r="P2702" s="47" t="s">
        <v>10923</v>
      </c>
      <c r="Q2702" s="47" t="s">
        <v>10924</v>
      </c>
      <c r="R2702" s="47" t="s">
        <v>10380</v>
      </c>
      <c r="S2702" s="47"/>
      <c r="T2702" s="47"/>
      <c r="U2702" s="47">
        <v>540</v>
      </c>
      <c r="V2702" s="47"/>
      <c r="W2702" s="47"/>
      <c r="X2702" s="47"/>
      <c r="Y2702" s="47"/>
      <c r="Z2702" s="47">
        <v>4620</v>
      </c>
      <c r="AA2702" s="47"/>
      <c r="AB2702" s="47"/>
      <c r="AC2702" s="47"/>
      <c r="AD2702" s="47"/>
      <c r="AE2702" s="47"/>
      <c r="AF2702" s="47">
        <v>1485</v>
      </c>
      <c r="AG2702" s="47"/>
      <c r="AH2702" s="47" t="str">
        <f>IFERROR(_xlfn.XLOOKUP(Table6[[#This Row],[Suburb]],Table5[Travel Surcharge],Table5[$$]),"")</f>
        <v/>
      </c>
      <c r="AI2702" s="47"/>
      <c r="AJ2702" s="47"/>
    </row>
    <row r="2703" spans="1:36">
      <c r="A2703" s="374" t="s">
        <v>4173</v>
      </c>
      <c r="B2703" s="374">
        <v>4</v>
      </c>
      <c r="C2703" s="374" t="s">
        <v>4174</v>
      </c>
      <c r="D2703" s="375" t="str">
        <f t="shared" si="548"/>
        <v>Maplewood4</v>
      </c>
      <c r="E2703" s="375" t="s">
        <v>4175</v>
      </c>
      <c r="F2703" s="375"/>
      <c r="G2703" s="375" t="s">
        <v>4176</v>
      </c>
      <c r="H2703" s="375" t="s">
        <v>1416</v>
      </c>
      <c r="I2703" s="63" t="s">
        <v>1417</v>
      </c>
      <c r="J2703" s="47">
        <f t="shared" si="556"/>
        <v>3740</v>
      </c>
      <c r="K2703" s="46" t="s">
        <v>7938</v>
      </c>
      <c r="L2703" s="47"/>
      <c r="M2703" s="47"/>
      <c r="N2703" s="47"/>
      <c r="O2703" s="47" t="s">
        <v>4177</v>
      </c>
      <c r="P2703" s="47"/>
      <c r="Q2703" s="47">
        <f>Q$2</f>
        <v>0</v>
      </c>
      <c r="R2703" s="47"/>
      <c r="S2703" s="47"/>
      <c r="T2703" s="47"/>
      <c r="U2703" s="47"/>
      <c r="V2703" s="47"/>
      <c r="W2703" s="47"/>
      <c r="X2703" s="47"/>
      <c r="Y2703" s="47"/>
      <c r="Z2703" s="47">
        <f t="shared" si="553"/>
        <v>4620</v>
      </c>
      <c r="AA2703" s="47"/>
      <c r="AB2703" s="47"/>
      <c r="AC2703" s="47"/>
      <c r="AD2703" s="47"/>
      <c r="AE2703" s="47"/>
      <c r="AF2703" s="47"/>
      <c r="AG2703" s="47"/>
      <c r="AH2703" s="47" t="str">
        <f>IFERROR(_xlfn.XLOOKUP(Table6[[#This Row],[Suburb]],Table5[Travel Surcharge],Table5[$$]),"")</f>
        <v/>
      </c>
      <c r="AI2703" s="47"/>
      <c r="AJ2703" s="47"/>
    </row>
    <row r="2704" spans="1:36">
      <c r="A2704" s="374" t="s">
        <v>4173</v>
      </c>
      <c r="B2704" s="374">
        <v>12</v>
      </c>
      <c r="C2704" s="374" t="s">
        <v>4174</v>
      </c>
      <c r="D2704" s="375" t="s">
        <v>9343</v>
      </c>
      <c r="E2704" s="375" t="s">
        <v>9344</v>
      </c>
      <c r="F2704" s="375"/>
      <c r="G2704" s="375" t="s">
        <v>4176</v>
      </c>
      <c r="H2704" s="375" t="s">
        <v>1416</v>
      </c>
      <c r="I2704" s="63" t="s">
        <v>1417</v>
      </c>
      <c r="J2704" s="47">
        <v>3740</v>
      </c>
      <c r="K2704" s="46" t="s">
        <v>7938</v>
      </c>
      <c r="L2704" s="47"/>
      <c r="M2704" s="47"/>
      <c r="N2704" s="47"/>
      <c r="O2704" s="47" t="s">
        <v>4177</v>
      </c>
      <c r="P2704" s="47"/>
      <c r="Q2704" s="47">
        <v>0</v>
      </c>
      <c r="R2704" s="47"/>
      <c r="S2704" s="47"/>
      <c r="T2704" s="47"/>
      <c r="U2704" s="47"/>
      <c r="V2704" s="47"/>
      <c r="W2704" s="47"/>
      <c r="X2704" s="47"/>
      <c r="Y2704" s="47"/>
      <c r="Z2704" s="47">
        <v>4620</v>
      </c>
      <c r="AA2704" s="47"/>
      <c r="AB2704" s="47"/>
      <c r="AC2704" s="47"/>
      <c r="AD2704" s="47"/>
      <c r="AE2704" s="47"/>
      <c r="AF2704" s="47"/>
      <c r="AG2704" s="47"/>
      <c r="AH2704" s="47" t="str">
        <f>IFERROR(_xlfn.XLOOKUP(Table6[[#This Row],[Suburb]],Table5[Travel Surcharge],Table5[$$]),"")</f>
        <v/>
      </c>
      <c r="AI2704" s="47"/>
      <c r="AJ2704" s="47"/>
    </row>
    <row r="2705" spans="1:36">
      <c r="A2705" s="374" t="s">
        <v>4173</v>
      </c>
      <c r="B2705" s="374">
        <v>6</v>
      </c>
      <c r="C2705" s="374" t="s">
        <v>4174</v>
      </c>
      <c r="D2705" s="375" t="str">
        <f t="shared" ref="D2705:D2740" si="560">CONCATENATE(A2705,B2705)</f>
        <v>Maplewood6</v>
      </c>
      <c r="E2705" s="375" t="s">
        <v>4178</v>
      </c>
      <c r="F2705" s="375"/>
      <c r="G2705" s="375" t="s">
        <v>4176</v>
      </c>
      <c r="H2705" s="375" t="s">
        <v>1416</v>
      </c>
      <c r="I2705" s="63" t="s">
        <v>1417</v>
      </c>
      <c r="J2705" s="47">
        <f t="shared" ref="J2705:J2727" si="561">J$7</f>
        <v>3740</v>
      </c>
      <c r="K2705" s="46" t="s">
        <v>7938</v>
      </c>
      <c r="L2705" s="47"/>
      <c r="M2705" s="47"/>
      <c r="N2705" s="47"/>
      <c r="O2705" s="47" t="s">
        <v>4177</v>
      </c>
      <c r="P2705" s="47"/>
      <c r="Q2705" s="47">
        <f t="shared" ref="Q2705:Q2710" si="562">Q$2</f>
        <v>0</v>
      </c>
      <c r="R2705" s="47"/>
      <c r="S2705" s="47"/>
      <c r="T2705" s="47"/>
      <c r="U2705" s="47"/>
      <c r="V2705" s="47"/>
      <c r="W2705" s="47"/>
      <c r="X2705" s="47"/>
      <c r="Y2705" s="47"/>
      <c r="Z2705" s="47">
        <f t="shared" ref="Z2705:Z2740" si="563">Z$7</f>
        <v>4620</v>
      </c>
      <c r="AA2705" s="47"/>
      <c r="AB2705" s="47"/>
      <c r="AC2705" s="47"/>
      <c r="AD2705" s="47"/>
      <c r="AE2705" s="47"/>
      <c r="AF2705" s="47"/>
      <c r="AG2705" s="47"/>
      <c r="AH2705" s="47" t="str">
        <f>IFERROR(_xlfn.XLOOKUP(Table6[[#This Row],[Suburb]],Table5[Travel Surcharge],Table5[$$]),"")</f>
        <v/>
      </c>
      <c r="AI2705" s="47"/>
      <c r="AJ2705" s="47"/>
    </row>
    <row r="2706" spans="1:36">
      <c r="A2706" s="374" t="s">
        <v>4173</v>
      </c>
      <c r="B2706" s="374">
        <v>7</v>
      </c>
      <c r="C2706" s="374" t="s">
        <v>4174</v>
      </c>
      <c r="D2706" s="375" t="str">
        <f t="shared" si="560"/>
        <v>Maplewood7</v>
      </c>
      <c r="E2706" s="375" t="s">
        <v>4179</v>
      </c>
      <c r="F2706" s="375"/>
      <c r="G2706" s="375" t="s">
        <v>4176</v>
      </c>
      <c r="H2706" s="375" t="s">
        <v>1416</v>
      </c>
      <c r="I2706" s="63" t="s">
        <v>1417</v>
      </c>
      <c r="J2706" s="47">
        <f t="shared" si="561"/>
        <v>3740</v>
      </c>
      <c r="K2706" s="46" t="s">
        <v>7938</v>
      </c>
      <c r="L2706" s="47"/>
      <c r="M2706" s="47"/>
      <c r="N2706" s="47"/>
      <c r="O2706" s="47" t="s">
        <v>4177</v>
      </c>
      <c r="P2706" s="47"/>
      <c r="Q2706" s="47">
        <f t="shared" si="562"/>
        <v>0</v>
      </c>
      <c r="R2706" s="47"/>
      <c r="S2706" s="47"/>
      <c r="T2706" s="47"/>
      <c r="U2706" s="47"/>
      <c r="V2706" s="47"/>
      <c r="W2706" s="47"/>
      <c r="X2706" s="47"/>
      <c r="Y2706" s="47"/>
      <c r="Z2706" s="47">
        <f t="shared" si="563"/>
        <v>4620</v>
      </c>
      <c r="AA2706" s="47"/>
      <c r="AB2706" s="47"/>
      <c r="AC2706" s="47"/>
      <c r="AD2706" s="47"/>
      <c r="AE2706" s="47"/>
      <c r="AF2706" s="47"/>
      <c r="AG2706" s="47"/>
      <c r="AH2706" s="47" t="str">
        <f>IFERROR(_xlfn.XLOOKUP(Table6[[#This Row],[Suburb]],Table5[Travel Surcharge],Table5[$$]),"")</f>
        <v/>
      </c>
      <c r="AI2706" s="47"/>
      <c r="AJ2706" s="47"/>
    </row>
    <row r="2707" spans="1:36">
      <c r="A2707" s="374" t="s">
        <v>4173</v>
      </c>
      <c r="B2707" s="374">
        <v>8</v>
      </c>
      <c r="C2707" s="374" t="s">
        <v>4174</v>
      </c>
      <c r="D2707" s="375" t="str">
        <f t="shared" si="560"/>
        <v>Maplewood8</v>
      </c>
      <c r="E2707" s="375" t="s">
        <v>4180</v>
      </c>
      <c r="F2707" s="375"/>
      <c r="G2707" s="375" t="s">
        <v>4176</v>
      </c>
      <c r="H2707" s="375" t="s">
        <v>1416</v>
      </c>
      <c r="I2707" s="63" t="s">
        <v>1417</v>
      </c>
      <c r="J2707" s="47">
        <f t="shared" si="561"/>
        <v>3740</v>
      </c>
      <c r="K2707" s="46" t="s">
        <v>7938</v>
      </c>
      <c r="L2707" s="47"/>
      <c r="M2707" s="47"/>
      <c r="N2707" s="47"/>
      <c r="O2707" s="47" t="s">
        <v>4177</v>
      </c>
      <c r="P2707" s="47"/>
      <c r="Q2707" s="47">
        <f t="shared" si="562"/>
        <v>0</v>
      </c>
      <c r="R2707" s="47"/>
      <c r="S2707" s="47"/>
      <c r="T2707" s="47"/>
      <c r="U2707" s="47"/>
      <c r="V2707" s="47"/>
      <c r="W2707" s="47"/>
      <c r="X2707" s="47"/>
      <c r="Y2707" s="47"/>
      <c r="Z2707" s="47">
        <f t="shared" si="563"/>
        <v>4620</v>
      </c>
      <c r="AA2707" s="47"/>
      <c r="AB2707" s="47"/>
      <c r="AC2707" s="47"/>
      <c r="AD2707" s="47"/>
      <c r="AE2707" s="47"/>
      <c r="AF2707" s="47"/>
      <c r="AG2707" s="47"/>
      <c r="AH2707" s="47" t="str">
        <f>IFERROR(_xlfn.XLOOKUP(Table6[[#This Row],[Suburb]],Table5[Travel Surcharge],Table5[$$]),"")</f>
        <v/>
      </c>
      <c r="AI2707" s="47"/>
      <c r="AJ2707" s="47"/>
    </row>
    <row r="2708" spans="1:36">
      <c r="A2708" s="374" t="s">
        <v>4173</v>
      </c>
      <c r="B2708" s="374">
        <v>9</v>
      </c>
      <c r="C2708" s="374" t="s">
        <v>4174</v>
      </c>
      <c r="D2708" s="375" t="str">
        <f t="shared" si="560"/>
        <v>Maplewood9</v>
      </c>
      <c r="E2708" s="375" t="s">
        <v>4181</v>
      </c>
      <c r="F2708" s="375"/>
      <c r="G2708" s="375" t="s">
        <v>4176</v>
      </c>
      <c r="H2708" s="375" t="s">
        <v>1416</v>
      </c>
      <c r="I2708" s="63" t="s">
        <v>1417</v>
      </c>
      <c r="J2708" s="47">
        <f t="shared" si="561"/>
        <v>3740</v>
      </c>
      <c r="K2708" s="46" t="s">
        <v>7938</v>
      </c>
      <c r="L2708" s="47"/>
      <c r="M2708" s="47"/>
      <c r="N2708" s="47"/>
      <c r="O2708" s="47" t="s">
        <v>4177</v>
      </c>
      <c r="P2708" s="47"/>
      <c r="Q2708" s="47">
        <f t="shared" si="562"/>
        <v>0</v>
      </c>
      <c r="R2708" s="47"/>
      <c r="S2708" s="47"/>
      <c r="T2708" s="47"/>
      <c r="U2708" s="47"/>
      <c r="V2708" s="47"/>
      <c r="W2708" s="47"/>
      <c r="X2708" s="47"/>
      <c r="Y2708" s="47"/>
      <c r="Z2708" s="47">
        <f t="shared" si="563"/>
        <v>4620</v>
      </c>
      <c r="AA2708" s="47"/>
      <c r="AB2708" s="47"/>
      <c r="AC2708" s="47"/>
      <c r="AD2708" s="47"/>
      <c r="AE2708" s="47"/>
      <c r="AF2708" s="47"/>
      <c r="AG2708" s="47"/>
      <c r="AH2708" s="47" t="str">
        <f>IFERROR(_xlfn.XLOOKUP(Table6[[#This Row],[Suburb]],Table5[Travel Surcharge],Table5[$$]),"")</f>
        <v/>
      </c>
      <c r="AI2708" s="47"/>
      <c r="AJ2708" s="47"/>
    </row>
    <row r="2709" spans="1:36">
      <c r="A2709" s="374" t="s">
        <v>4173</v>
      </c>
      <c r="B2709" s="374">
        <v>10</v>
      </c>
      <c r="C2709" s="374" t="s">
        <v>4174</v>
      </c>
      <c r="D2709" s="375" t="str">
        <f t="shared" si="560"/>
        <v>Maplewood10</v>
      </c>
      <c r="E2709" s="375" t="s">
        <v>4182</v>
      </c>
      <c r="F2709" s="375"/>
      <c r="G2709" s="375" t="s">
        <v>4176</v>
      </c>
      <c r="H2709" s="375" t="s">
        <v>1416</v>
      </c>
      <c r="I2709" s="63" t="s">
        <v>1417</v>
      </c>
      <c r="J2709" s="47">
        <f t="shared" si="561"/>
        <v>3740</v>
      </c>
      <c r="K2709" s="46" t="s">
        <v>7938</v>
      </c>
      <c r="L2709" s="47"/>
      <c r="M2709" s="47"/>
      <c r="N2709" s="47"/>
      <c r="O2709" s="47" t="s">
        <v>4177</v>
      </c>
      <c r="P2709" s="47"/>
      <c r="Q2709" s="47">
        <f t="shared" si="562"/>
        <v>0</v>
      </c>
      <c r="R2709" s="47"/>
      <c r="S2709" s="47"/>
      <c r="T2709" s="47"/>
      <c r="U2709" s="47"/>
      <c r="V2709" s="47"/>
      <c r="W2709" s="47"/>
      <c r="X2709" s="47"/>
      <c r="Y2709" s="47"/>
      <c r="Z2709" s="47">
        <f t="shared" si="563"/>
        <v>4620</v>
      </c>
      <c r="AA2709" s="47"/>
      <c r="AB2709" s="47"/>
      <c r="AC2709" s="47"/>
      <c r="AD2709" s="47"/>
      <c r="AE2709" s="47"/>
      <c r="AF2709" s="47"/>
      <c r="AG2709" s="47"/>
      <c r="AH2709" s="47" t="str">
        <f>IFERROR(_xlfn.XLOOKUP(Table6[[#This Row],[Suburb]],Table5[Travel Surcharge],Table5[$$]),"")</f>
        <v/>
      </c>
      <c r="AI2709" s="47"/>
      <c r="AJ2709" s="47"/>
    </row>
    <row r="2710" spans="1:36">
      <c r="A2710" s="157" t="s">
        <v>4173</v>
      </c>
      <c r="B2710" s="157">
        <v>11</v>
      </c>
      <c r="C2710" s="157" t="s">
        <v>4174</v>
      </c>
      <c r="D2710" s="157" t="str">
        <f t="shared" si="560"/>
        <v>Maplewood11</v>
      </c>
      <c r="E2710" s="157" t="s">
        <v>8467</v>
      </c>
      <c r="F2710" s="157"/>
      <c r="G2710" s="157" t="s">
        <v>4176</v>
      </c>
      <c r="H2710" s="157" t="s">
        <v>1416</v>
      </c>
      <c r="I2710" s="158" t="s">
        <v>1417</v>
      </c>
      <c r="J2710" s="47">
        <f t="shared" si="561"/>
        <v>3740</v>
      </c>
      <c r="K2710" s="46" t="s">
        <v>7938</v>
      </c>
      <c r="L2710" s="47"/>
      <c r="M2710" s="47"/>
      <c r="N2710" s="47"/>
      <c r="O2710" s="47" t="s">
        <v>4177</v>
      </c>
      <c r="P2710" s="47"/>
      <c r="Q2710" s="47">
        <f t="shared" si="562"/>
        <v>0</v>
      </c>
      <c r="R2710" s="47"/>
      <c r="S2710" s="47"/>
      <c r="T2710" s="47"/>
      <c r="U2710" s="47"/>
      <c r="V2710" s="47"/>
      <c r="W2710" s="47"/>
      <c r="X2710" s="47"/>
      <c r="Y2710" s="47"/>
      <c r="Z2710" s="47">
        <f t="shared" si="563"/>
        <v>4620</v>
      </c>
      <c r="AA2710" s="47"/>
      <c r="AB2710" s="47"/>
      <c r="AC2710" s="47"/>
      <c r="AD2710" s="47"/>
      <c r="AE2710" s="47"/>
      <c r="AF2710" s="47"/>
      <c r="AG2710" s="47"/>
      <c r="AH2710" s="47" t="str">
        <f>IFERROR(_xlfn.XLOOKUP(Table6[[#This Row],[Suburb]],Table5[Travel Surcharge],Table5[$$]),"")</f>
        <v/>
      </c>
      <c r="AI2710" s="47"/>
      <c r="AJ2710" s="47"/>
    </row>
    <row r="2711" spans="1:36">
      <c r="A2711" s="374" t="s">
        <v>4183</v>
      </c>
      <c r="B2711" s="374">
        <v>1</v>
      </c>
      <c r="C2711" s="374" t="s">
        <v>502</v>
      </c>
      <c r="D2711" s="375" t="str">
        <f t="shared" si="560"/>
        <v>Marigold Estate1</v>
      </c>
      <c r="E2711" s="375" t="s">
        <v>4184</v>
      </c>
      <c r="F2711" s="375" t="s">
        <v>1602</v>
      </c>
      <c r="G2711" s="375" t="s">
        <v>4185</v>
      </c>
      <c r="H2711" s="375" t="s">
        <v>4186</v>
      </c>
      <c r="I2711" s="63" t="s">
        <v>4187</v>
      </c>
      <c r="J2711" s="47">
        <f t="shared" si="561"/>
        <v>3740</v>
      </c>
      <c r="K2711" s="46" t="s">
        <v>10735</v>
      </c>
      <c r="L2711" s="47">
        <f t="shared" ref="L2711:L2723" si="564">L$7</f>
        <v>1210</v>
      </c>
      <c r="M2711" s="47"/>
      <c r="N2711" s="47" t="s">
        <v>4188</v>
      </c>
      <c r="O2711" s="47"/>
      <c r="P2711" s="47"/>
      <c r="Q2711" s="47" t="s">
        <v>4189</v>
      </c>
      <c r="R2711" s="47"/>
      <c r="S2711" s="47" t="s">
        <v>4190</v>
      </c>
      <c r="T2711" s="47">
        <f t="shared" ref="T2711:T2725" si="565">T$2</f>
        <v>780</v>
      </c>
      <c r="U2711" s="47"/>
      <c r="V2711" s="47"/>
      <c r="W2711" s="47"/>
      <c r="X2711" s="47"/>
      <c r="Y2711" s="47"/>
      <c r="Z2711" s="47">
        <f t="shared" si="563"/>
        <v>4620</v>
      </c>
      <c r="AA2711" s="47">
        <f t="shared" ref="AA2711:AA2725" si="566">AA$7</f>
        <v>1400</v>
      </c>
      <c r="AB2711" s="47"/>
      <c r="AC2711" s="47"/>
      <c r="AD2711" s="47" t="s">
        <v>1</v>
      </c>
      <c r="AE2711" s="47"/>
      <c r="AF2711" s="47">
        <f t="shared" ref="AF2711:AF2725" si="567">AF$7</f>
        <v>1485</v>
      </c>
      <c r="AG2711" s="47"/>
      <c r="AH2711" s="47" t="str">
        <f>IFERROR(_xlfn.XLOOKUP(Table6[[#This Row],[Suburb]],Table5[Travel Surcharge],Table5[$$]),"")</f>
        <v/>
      </c>
      <c r="AI2711" s="47">
        <f t="shared" ref="AI2711:AI2723" si="568">AI$7</f>
        <v>1650.0000000000002</v>
      </c>
      <c r="AJ2711" s="47"/>
    </row>
    <row r="2712" spans="1:36">
      <c r="A2712" s="374" t="s">
        <v>4183</v>
      </c>
      <c r="B2712" s="374">
        <v>2</v>
      </c>
      <c r="C2712" s="374" t="s">
        <v>502</v>
      </c>
      <c r="D2712" s="375" t="str">
        <f t="shared" si="560"/>
        <v>Marigold Estate2</v>
      </c>
      <c r="E2712" s="375" t="s">
        <v>4191</v>
      </c>
      <c r="F2712" s="375" t="s">
        <v>1602</v>
      </c>
      <c r="G2712" s="375" t="s">
        <v>4185</v>
      </c>
      <c r="H2712" s="375" t="s">
        <v>4186</v>
      </c>
      <c r="I2712" s="63" t="s">
        <v>4187</v>
      </c>
      <c r="J2712" s="47">
        <f t="shared" si="561"/>
        <v>3740</v>
      </c>
      <c r="K2712" s="46" t="s">
        <v>10735</v>
      </c>
      <c r="L2712" s="47">
        <f t="shared" si="564"/>
        <v>1210</v>
      </c>
      <c r="M2712" s="47"/>
      <c r="N2712" s="47" t="s">
        <v>4188</v>
      </c>
      <c r="O2712" s="47"/>
      <c r="P2712" s="47"/>
      <c r="Q2712" s="47" t="s">
        <v>4189</v>
      </c>
      <c r="R2712" s="47"/>
      <c r="S2712" s="47" t="s">
        <v>4190</v>
      </c>
      <c r="T2712" s="47">
        <f t="shared" si="565"/>
        <v>780</v>
      </c>
      <c r="U2712" s="47"/>
      <c r="V2712" s="47"/>
      <c r="W2712" s="47"/>
      <c r="X2712" s="47"/>
      <c r="Y2712" s="47"/>
      <c r="Z2712" s="47">
        <f t="shared" si="563"/>
        <v>4620</v>
      </c>
      <c r="AA2712" s="47">
        <f t="shared" si="566"/>
        <v>1400</v>
      </c>
      <c r="AB2712" s="47"/>
      <c r="AC2712" s="47"/>
      <c r="AD2712" s="47" t="s">
        <v>1</v>
      </c>
      <c r="AE2712" s="47"/>
      <c r="AF2712" s="47">
        <f t="shared" si="567"/>
        <v>1485</v>
      </c>
      <c r="AG2712" s="47"/>
      <c r="AH2712" s="47" t="str">
        <f>IFERROR(_xlfn.XLOOKUP(Table6[[#This Row],[Suburb]],Table5[Travel Surcharge],Table5[$$]),"")</f>
        <v/>
      </c>
      <c r="AI2712" s="47">
        <f t="shared" si="568"/>
        <v>1650.0000000000002</v>
      </c>
      <c r="AJ2712" s="47"/>
    </row>
    <row r="2713" spans="1:36">
      <c r="A2713" s="374" t="s">
        <v>4183</v>
      </c>
      <c r="B2713" s="374">
        <v>3</v>
      </c>
      <c r="C2713" s="374" t="s">
        <v>502</v>
      </c>
      <c r="D2713" s="375" t="str">
        <f t="shared" si="560"/>
        <v>Marigold Estate3</v>
      </c>
      <c r="E2713" s="375" t="s">
        <v>4192</v>
      </c>
      <c r="F2713" s="375" t="s">
        <v>1602</v>
      </c>
      <c r="G2713" s="375" t="s">
        <v>4185</v>
      </c>
      <c r="H2713" s="375" t="s">
        <v>4186</v>
      </c>
      <c r="I2713" s="63" t="s">
        <v>4187</v>
      </c>
      <c r="J2713" s="47">
        <f t="shared" si="561"/>
        <v>3740</v>
      </c>
      <c r="K2713" s="46" t="s">
        <v>10735</v>
      </c>
      <c r="L2713" s="47">
        <f t="shared" si="564"/>
        <v>1210</v>
      </c>
      <c r="M2713" s="47"/>
      <c r="N2713" s="47" t="s">
        <v>4188</v>
      </c>
      <c r="O2713" s="47"/>
      <c r="P2713" s="47"/>
      <c r="Q2713" s="47" t="s">
        <v>4189</v>
      </c>
      <c r="R2713" s="47"/>
      <c r="S2713" s="47" t="s">
        <v>4190</v>
      </c>
      <c r="T2713" s="47">
        <f t="shared" si="565"/>
        <v>780</v>
      </c>
      <c r="U2713" s="47"/>
      <c r="V2713" s="47"/>
      <c r="W2713" s="47"/>
      <c r="X2713" s="47"/>
      <c r="Y2713" s="47"/>
      <c r="Z2713" s="47">
        <f t="shared" si="563"/>
        <v>4620</v>
      </c>
      <c r="AA2713" s="47">
        <f t="shared" si="566"/>
        <v>1400</v>
      </c>
      <c r="AB2713" s="47"/>
      <c r="AC2713" s="47"/>
      <c r="AD2713" s="47" t="s">
        <v>1</v>
      </c>
      <c r="AE2713" s="47"/>
      <c r="AF2713" s="47">
        <f t="shared" si="567"/>
        <v>1485</v>
      </c>
      <c r="AG2713" s="47"/>
      <c r="AH2713" s="47" t="str">
        <f>IFERROR(_xlfn.XLOOKUP(Table6[[#This Row],[Suburb]],Table5[Travel Surcharge],Table5[$$]),"")</f>
        <v/>
      </c>
      <c r="AI2713" s="47">
        <f t="shared" si="568"/>
        <v>1650.0000000000002</v>
      </c>
      <c r="AJ2713" s="47"/>
    </row>
    <row r="2714" spans="1:36">
      <c r="A2714" s="374" t="s">
        <v>4183</v>
      </c>
      <c r="B2714" s="374">
        <v>4</v>
      </c>
      <c r="C2714" s="374" t="s">
        <v>502</v>
      </c>
      <c r="D2714" s="375" t="str">
        <f t="shared" si="560"/>
        <v>Marigold Estate4</v>
      </c>
      <c r="E2714" s="375" t="s">
        <v>4193</v>
      </c>
      <c r="F2714" s="375" t="s">
        <v>1602</v>
      </c>
      <c r="G2714" s="375" t="s">
        <v>4185</v>
      </c>
      <c r="H2714" s="375" t="s">
        <v>4186</v>
      </c>
      <c r="I2714" s="63" t="s">
        <v>4187</v>
      </c>
      <c r="J2714" s="47">
        <f t="shared" si="561"/>
        <v>3740</v>
      </c>
      <c r="K2714" s="46" t="s">
        <v>10735</v>
      </c>
      <c r="L2714" s="47">
        <f t="shared" si="564"/>
        <v>1210</v>
      </c>
      <c r="M2714" s="47"/>
      <c r="N2714" s="47" t="s">
        <v>4188</v>
      </c>
      <c r="O2714" s="47"/>
      <c r="P2714" s="47"/>
      <c r="Q2714" s="47" t="s">
        <v>4189</v>
      </c>
      <c r="R2714" s="47"/>
      <c r="S2714" s="47" t="s">
        <v>4190</v>
      </c>
      <c r="T2714" s="47">
        <f t="shared" si="565"/>
        <v>780</v>
      </c>
      <c r="U2714" s="47"/>
      <c r="V2714" s="47"/>
      <c r="W2714" s="47"/>
      <c r="X2714" s="47"/>
      <c r="Y2714" s="47"/>
      <c r="Z2714" s="47">
        <f t="shared" si="563"/>
        <v>4620</v>
      </c>
      <c r="AA2714" s="47">
        <f t="shared" si="566"/>
        <v>1400</v>
      </c>
      <c r="AB2714" s="47"/>
      <c r="AC2714" s="47"/>
      <c r="AD2714" s="47" t="s">
        <v>1</v>
      </c>
      <c r="AE2714" s="47"/>
      <c r="AF2714" s="47">
        <f t="shared" si="567"/>
        <v>1485</v>
      </c>
      <c r="AG2714" s="47"/>
      <c r="AH2714" s="47" t="str">
        <f>IFERROR(_xlfn.XLOOKUP(Table6[[#This Row],[Suburb]],Table5[Travel Surcharge],Table5[$$]),"")</f>
        <v/>
      </c>
      <c r="AI2714" s="47">
        <f t="shared" si="568"/>
        <v>1650.0000000000002</v>
      </c>
      <c r="AJ2714" s="47"/>
    </row>
    <row r="2715" spans="1:36">
      <c r="A2715" s="374" t="s">
        <v>4183</v>
      </c>
      <c r="B2715" s="374">
        <v>5</v>
      </c>
      <c r="C2715" s="374" t="s">
        <v>502</v>
      </c>
      <c r="D2715" s="375" t="str">
        <f t="shared" si="560"/>
        <v>Marigold Estate5</v>
      </c>
      <c r="E2715" s="375" t="s">
        <v>4195</v>
      </c>
      <c r="F2715" s="375" t="s">
        <v>1602</v>
      </c>
      <c r="G2715" s="375" t="s">
        <v>4185</v>
      </c>
      <c r="H2715" s="375" t="s">
        <v>4186</v>
      </c>
      <c r="I2715" s="63" t="s">
        <v>4187</v>
      </c>
      <c r="J2715" s="47">
        <f t="shared" si="561"/>
        <v>3740</v>
      </c>
      <c r="K2715" s="46" t="s">
        <v>10735</v>
      </c>
      <c r="L2715" s="47">
        <f t="shared" si="564"/>
        <v>1210</v>
      </c>
      <c r="M2715" s="47"/>
      <c r="N2715" s="47" t="s">
        <v>4188</v>
      </c>
      <c r="O2715" s="47"/>
      <c r="P2715" s="47"/>
      <c r="Q2715" s="47" t="s">
        <v>4189</v>
      </c>
      <c r="R2715" s="47"/>
      <c r="S2715" s="47" t="s">
        <v>4190</v>
      </c>
      <c r="T2715" s="47">
        <f t="shared" si="565"/>
        <v>780</v>
      </c>
      <c r="U2715" s="47"/>
      <c r="V2715" s="47"/>
      <c r="W2715" s="47"/>
      <c r="X2715" s="47"/>
      <c r="Y2715" s="47"/>
      <c r="Z2715" s="47">
        <f t="shared" si="563"/>
        <v>4620</v>
      </c>
      <c r="AA2715" s="47">
        <f t="shared" si="566"/>
        <v>1400</v>
      </c>
      <c r="AB2715" s="47"/>
      <c r="AC2715" s="47"/>
      <c r="AD2715" s="47" t="s">
        <v>1</v>
      </c>
      <c r="AE2715" s="47"/>
      <c r="AF2715" s="47">
        <f t="shared" si="567"/>
        <v>1485</v>
      </c>
      <c r="AG2715" s="47"/>
      <c r="AH2715" s="47" t="str">
        <f>IFERROR(_xlfn.XLOOKUP(Table6[[#This Row],[Suburb]],Table5[Travel Surcharge],Table5[$$]),"")</f>
        <v/>
      </c>
      <c r="AI2715" s="47">
        <f t="shared" si="568"/>
        <v>1650.0000000000002</v>
      </c>
      <c r="AJ2715" s="47"/>
    </row>
    <row r="2716" spans="1:36">
      <c r="A2716" s="374" t="s">
        <v>4183</v>
      </c>
      <c r="B2716" s="374">
        <v>6</v>
      </c>
      <c r="C2716" s="374" t="s">
        <v>502</v>
      </c>
      <c r="D2716" s="375" t="str">
        <f t="shared" si="560"/>
        <v>Marigold Estate6</v>
      </c>
      <c r="E2716" s="375" t="s">
        <v>4196</v>
      </c>
      <c r="F2716" s="375" t="s">
        <v>1602</v>
      </c>
      <c r="G2716" s="375" t="s">
        <v>4185</v>
      </c>
      <c r="H2716" s="375" t="s">
        <v>4186</v>
      </c>
      <c r="I2716" s="63" t="s">
        <v>4187</v>
      </c>
      <c r="J2716" s="47">
        <f t="shared" si="561"/>
        <v>3740</v>
      </c>
      <c r="K2716" s="46" t="s">
        <v>10735</v>
      </c>
      <c r="L2716" s="47">
        <f t="shared" si="564"/>
        <v>1210</v>
      </c>
      <c r="M2716" s="47"/>
      <c r="N2716" s="47" t="s">
        <v>4188</v>
      </c>
      <c r="O2716" s="47"/>
      <c r="P2716" s="47"/>
      <c r="Q2716" s="47" t="s">
        <v>4189</v>
      </c>
      <c r="R2716" s="47"/>
      <c r="S2716" s="47" t="s">
        <v>4190</v>
      </c>
      <c r="T2716" s="47">
        <f t="shared" si="565"/>
        <v>780</v>
      </c>
      <c r="U2716" s="47"/>
      <c r="V2716" s="47"/>
      <c r="W2716" s="47"/>
      <c r="X2716" s="47"/>
      <c r="Y2716" s="47"/>
      <c r="Z2716" s="47">
        <f t="shared" si="563"/>
        <v>4620</v>
      </c>
      <c r="AA2716" s="47">
        <f t="shared" si="566"/>
        <v>1400</v>
      </c>
      <c r="AB2716" s="47"/>
      <c r="AC2716" s="47"/>
      <c r="AD2716" s="47" t="s">
        <v>1</v>
      </c>
      <c r="AE2716" s="47"/>
      <c r="AF2716" s="47">
        <f t="shared" si="567"/>
        <v>1485</v>
      </c>
      <c r="AG2716" s="47"/>
      <c r="AH2716" s="47" t="str">
        <f>IFERROR(_xlfn.XLOOKUP(Table6[[#This Row],[Suburb]],Table5[Travel Surcharge],Table5[$$]),"")</f>
        <v/>
      </c>
      <c r="AI2716" s="47">
        <f t="shared" si="568"/>
        <v>1650.0000000000002</v>
      </c>
      <c r="AJ2716" s="47"/>
    </row>
    <row r="2717" spans="1:36">
      <c r="A2717" s="374" t="s">
        <v>4183</v>
      </c>
      <c r="B2717" s="374">
        <v>7</v>
      </c>
      <c r="C2717" s="374" t="s">
        <v>502</v>
      </c>
      <c r="D2717" s="375" t="str">
        <f t="shared" si="560"/>
        <v>Marigold Estate7</v>
      </c>
      <c r="E2717" s="375" t="s">
        <v>4197</v>
      </c>
      <c r="F2717" s="375" t="s">
        <v>1602</v>
      </c>
      <c r="G2717" s="375" t="s">
        <v>4185</v>
      </c>
      <c r="H2717" s="375" t="s">
        <v>4186</v>
      </c>
      <c r="I2717" s="63" t="s">
        <v>4187</v>
      </c>
      <c r="J2717" s="47">
        <f t="shared" si="561"/>
        <v>3740</v>
      </c>
      <c r="K2717" s="46" t="s">
        <v>10735</v>
      </c>
      <c r="L2717" s="47">
        <f t="shared" si="564"/>
        <v>1210</v>
      </c>
      <c r="M2717" s="47"/>
      <c r="N2717" s="47" t="s">
        <v>4188</v>
      </c>
      <c r="O2717" s="47"/>
      <c r="P2717" s="47"/>
      <c r="Q2717" s="47" t="s">
        <v>4189</v>
      </c>
      <c r="R2717" s="47"/>
      <c r="S2717" s="47" t="s">
        <v>4190</v>
      </c>
      <c r="T2717" s="47">
        <f t="shared" si="565"/>
        <v>780</v>
      </c>
      <c r="U2717" s="47"/>
      <c r="V2717" s="47"/>
      <c r="W2717" s="47"/>
      <c r="X2717" s="47"/>
      <c r="Y2717" s="47"/>
      <c r="Z2717" s="47">
        <f t="shared" si="563"/>
        <v>4620</v>
      </c>
      <c r="AA2717" s="47">
        <f t="shared" si="566"/>
        <v>1400</v>
      </c>
      <c r="AB2717" s="47"/>
      <c r="AC2717" s="47"/>
      <c r="AD2717" s="47" t="s">
        <v>1</v>
      </c>
      <c r="AE2717" s="47"/>
      <c r="AF2717" s="47">
        <f t="shared" si="567"/>
        <v>1485</v>
      </c>
      <c r="AG2717" s="47"/>
      <c r="AH2717" s="47" t="str">
        <f>IFERROR(_xlfn.XLOOKUP(Table6[[#This Row],[Suburb]],Table5[Travel Surcharge],Table5[$$]),"")</f>
        <v/>
      </c>
      <c r="AI2717" s="47">
        <f t="shared" si="568"/>
        <v>1650.0000000000002</v>
      </c>
      <c r="AJ2717" s="47"/>
    </row>
    <row r="2718" spans="1:36">
      <c r="A2718" s="157" t="s">
        <v>4183</v>
      </c>
      <c r="B2718" s="157">
        <v>8</v>
      </c>
      <c r="C2718" s="157" t="s">
        <v>502</v>
      </c>
      <c r="D2718" s="157" t="str">
        <f t="shared" si="560"/>
        <v>Marigold Estate8</v>
      </c>
      <c r="E2718" s="157" t="s">
        <v>8465</v>
      </c>
      <c r="F2718" s="157" t="s">
        <v>1602</v>
      </c>
      <c r="G2718" s="157" t="s">
        <v>4185</v>
      </c>
      <c r="H2718" s="157" t="s">
        <v>4186</v>
      </c>
      <c r="I2718" s="158" t="s">
        <v>4187</v>
      </c>
      <c r="J2718" s="47">
        <f t="shared" si="561"/>
        <v>3740</v>
      </c>
      <c r="K2718" s="46" t="s">
        <v>10735</v>
      </c>
      <c r="L2718" s="47">
        <f t="shared" si="564"/>
        <v>1210</v>
      </c>
      <c r="M2718" s="47"/>
      <c r="N2718" s="47" t="s">
        <v>4188</v>
      </c>
      <c r="O2718" s="47"/>
      <c r="P2718" s="47"/>
      <c r="Q2718" s="47" t="s">
        <v>4189</v>
      </c>
      <c r="R2718" s="47"/>
      <c r="S2718" s="47" t="s">
        <v>4190</v>
      </c>
      <c r="T2718" s="47">
        <f t="shared" si="565"/>
        <v>780</v>
      </c>
      <c r="U2718" s="47"/>
      <c r="V2718" s="47"/>
      <c r="W2718" s="47"/>
      <c r="X2718" s="47"/>
      <c r="Y2718" s="47"/>
      <c r="Z2718" s="47">
        <f t="shared" si="563"/>
        <v>4620</v>
      </c>
      <c r="AA2718" s="47">
        <f t="shared" si="566"/>
        <v>1400</v>
      </c>
      <c r="AB2718" s="47"/>
      <c r="AC2718" s="47"/>
      <c r="AD2718" s="47" t="s">
        <v>1</v>
      </c>
      <c r="AE2718" s="47"/>
      <c r="AF2718" s="47">
        <f t="shared" si="567"/>
        <v>1485</v>
      </c>
      <c r="AG2718" s="47"/>
      <c r="AH2718" s="47" t="str">
        <f>IFERROR(_xlfn.XLOOKUP(Table6[[#This Row],[Suburb]],Table5[Travel Surcharge],Table5[$$]),"")</f>
        <v/>
      </c>
      <c r="AI2718" s="47">
        <f t="shared" si="568"/>
        <v>1650.0000000000002</v>
      </c>
      <c r="AJ2718" s="47"/>
    </row>
    <row r="2719" spans="1:36">
      <c r="A2719" s="374" t="s">
        <v>4183</v>
      </c>
      <c r="B2719" s="374">
        <v>9</v>
      </c>
      <c r="C2719" s="374" t="s">
        <v>502</v>
      </c>
      <c r="D2719" s="375" t="str">
        <f t="shared" si="560"/>
        <v>Marigold Estate9</v>
      </c>
      <c r="E2719" s="375" t="s">
        <v>4198</v>
      </c>
      <c r="F2719" s="375" t="s">
        <v>1602</v>
      </c>
      <c r="G2719" s="375" t="s">
        <v>4185</v>
      </c>
      <c r="H2719" s="375" t="s">
        <v>4186</v>
      </c>
      <c r="I2719" s="63" t="s">
        <v>4187</v>
      </c>
      <c r="J2719" s="47">
        <f t="shared" si="561"/>
        <v>3740</v>
      </c>
      <c r="K2719" s="46" t="s">
        <v>10735</v>
      </c>
      <c r="L2719" s="47">
        <f t="shared" si="564"/>
        <v>1210</v>
      </c>
      <c r="M2719" s="47"/>
      <c r="N2719" s="47" t="s">
        <v>4188</v>
      </c>
      <c r="O2719" s="47"/>
      <c r="P2719" s="47"/>
      <c r="Q2719" s="47" t="s">
        <v>4189</v>
      </c>
      <c r="R2719" s="47"/>
      <c r="S2719" s="47" t="s">
        <v>4190</v>
      </c>
      <c r="T2719" s="47">
        <f t="shared" si="565"/>
        <v>780</v>
      </c>
      <c r="U2719" s="47"/>
      <c r="V2719" s="47"/>
      <c r="W2719" s="47"/>
      <c r="X2719" s="47"/>
      <c r="Y2719" s="47"/>
      <c r="Z2719" s="47">
        <f t="shared" si="563"/>
        <v>4620</v>
      </c>
      <c r="AA2719" s="47">
        <f t="shared" si="566"/>
        <v>1400</v>
      </c>
      <c r="AB2719" s="47"/>
      <c r="AC2719" s="47"/>
      <c r="AD2719" s="47" t="s">
        <v>1</v>
      </c>
      <c r="AE2719" s="47"/>
      <c r="AF2719" s="47">
        <f t="shared" si="567"/>
        <v>1485</v>
      </c>
      <c r="AG2719" s="47"/>
      <c r="AH2719" s="47" t="str">
        <f>IFERROR(_xlfn.XLOOKUP(Table6[[#This Row],[Suburb]],Table5[Travel Surcharge],Table5[$$]),"")</f>
        <v/>
      </c>
      <c r="AI2719" s="47">
        <f t="shared" si="568"/>
        <v>1650.0000000000002</v>
      </c>
      <c r="AJ2719" s="47"/>
    </row>
    <row r="2720" spans="1:36">
      <c r="A2720" s="374" t="s">
        <v>4183</v>
      </c>
      <c r="B2720" s="374">
        <v>10</v>
      </c>
      <c r="C2720" s="374" t="s">
        <v>502</v>
      </c>
      <c r="D2720" s="375" t="str">
        <f t="shared" si="560"/>
        <v>Marigold Estate10</v>
      </c>
      <c r="E2720" s="375" t="s">
        <v>4199</v>
      </c>
      <c r="F2720" s="375" t="s">
        <v>1602</v>
      </c>
      <c r="G2720" s="375" t="s">
        <v>4185</v>
      </c>
      <c r="H2720" s="375" t="s">
        <v>4186</v>
      </c>
      <c r="I2720" s="63" t="s">
        <v>4187</v>
      </c>
      <c r="J2720" s="47">
        <f t="shared" si="561"/>
        <v>3740</v>
      </c>
      <c r="K2720" s="46" t="s">
        <v>10735</v>
      </c>
      <c r="L2720" s="47">
        <f t="shared" si="564"/>
        <v>1210</v>
      </c>
      <c r="M2720" s="47"/>
      <c r="N2720" s="47" t="s">
        <v>4188</v>
      </c>
      <c r="O2720" s="47"/>
      <c r="P2720" s="47"/>
      <c r="Q2720" s="47" t="s">
        <v>4189</v>
      </c>
      <c r="R2720" s="47"/>
      <c r="S2720" s="47" t="s">
        <v>4190</v>
      </c>
      <c r="T2720" s="47">
        <f t="shared" si="565"/>
        <v>780</v>
      </c>
      <c r="U2720" s="47"/>
      <c r="V2720" s="47"/>
      <c r="W2720" s="47"/>
      <c r="X2720" s="47"/>
      <c r="Y2720" s="47"/>
      <c r="Z2720" s="47">
        <f t="shared" si="563"/>
        <v>4620</v>
      </c>
      <c r="AA2720" s="47">
        <f t="shared" si="566"/>
        <v>1400</v>
      </c>
      <c r="AB2720" s="47"/>
      <c r="AC2720" s="47"/>
      <c r="AD2720" s="47" t="s">
        <v>1</v>
      </c>
      <c r="AE2720" s="47"/>
      <c r="AF2720" s="47">
        <f t="shared" si="567"/>
        <v>1485</v>
      </c>
      <c r="AG2720" s="47"/>
      <c r="AH2720" s="47" t="str">
        <f>IFERROR(_xlfn.XLOOKUP(Table6[[#This Row],[Suburb]],Table5[Travel Surcharge],Table5[$$]),"")</f>
        <v/>
      </c>
      <c r="AI2720" s="47">
        <f t="shared" si="568"/>
        <v>1650.0000000000002</v>
      </c>
      <c r="AJ2720" s="47"/>
    </row>
    <row r="2721" spans="1:36">
      <c r="A2721" s="374" t="s">
        <v>4183</v>
      </c>
      <c r="B2721" s="374" t="s">
        <v>714</v>
      </c>
      <c r="C2721" s="374" t="s">
        <v>502</v>
      </c>
      <c r="D2721" s="375" t="str">
        <f t="shared" si="560"/>
        <v>Marigold Estate11A</v>
      </c>
      <c r="E2721" s="375" t="s">
        <v>4200</v>
      </c>
      <c r="F2721" s="375" t="s">
        <v>1602</v>
      </c>
      <c r="G2721" s="375" t="s">
        <v>4185</v>
      </c>
      <c r="H2721" s="375" t="s">
        <v>4186</v>
      </c>
      <c r="I2721" s="63" t="s">
        <v>4187</v>
      </c>
      <c r="J2721" s="47">
        <f t="shared" si="561"/>
        <v>3740</v>
      </c>
      <c r="K2721" s="46" t="s">
        <v>10735</v>
      </c>
      <c r="L2721" s="47">
        <f t="shared" si="564"/>
        <v>1210</v>
      </c>
      <c r="M2721" s="47"/>
      <c r="N2721" s="47" t="s">
        <v>4188</v>
      </c>
      <c r="O2721" s="47"/>
      <c r="P2721" s="47"/>
      <c r="Q2721" s="47" t="s">
        <v>4189</v>
      </c>
      <c r="R2721" s="47"/>
      <c r="S2721" s="47" t="s">
        <v>4190</v>
      </c>
      <c r="T2721" s="47">
        <f t="shared" si="565"/>
        <v>780</v>
      </c>
      <c r="U2721" s="47"/>
      <c r="V2721" s="47"/>
      <c r="W2721" s="47"/>
      <c r="X2721" s="47"/>
      <c r="Y2721" s="47"/>
      <c r="Z2721" s="47">
        <f t="shared" si="563"/>
        <v>4620</v>
      </c>
      <c r="AA2721" s="47">
        <f t="shared" si="566"/>
        <v>1400</v>
      </c>
      <c r="AB2721" s="47"/>
      <c r="AC2721" s="47"/>
      <c r="AD2721" s="47" t="s">
        <v>1</v>
      </c>
      <c r="AE2721" s="47"/>
      <c r="AF2721" s="47">
        <f t="shared" si="567"/>
        <v>1485</v>
      </c>
      <c r="AG2721" s="47"/>
      <c r="AH2721" s="47" t="str">
        <f>IFERROR(_xlfn.XLOOKUP(Table6[[#This Row],[Suburb]],Table5[Travel Surcharge],Table5[$$]),"")</f>
        <v/>
      </c>
      <c r="AI2721" s="47">
        <f t="shared" si="568"/>
        <v>1650.0000000000002</v>
      </c>
      <c r="AJ2721" s="47"/>
    </row>
    <row r="2722" spans="1:36">
      <c r="A2722" s="157" t="s">
        <v>4183</v>
      </c>
      <c r="B2722" s="157">
        <v>12</v>
      </c>
      <c r="C2722" s="157" t="s">
        <v>502</v>
      </c>
      <c r="D2722" s="375" t="str">
        <f t="shared" si="560"/>
        <v>Marigold Estate12</v>
      </c>
      <c r="E2722" s="375" t="s">
        <v>8019</v>
      </c>
      <c r="F2722" s="375" t="s">
        <v>1602</v>
      </c>
      <c r="G2722" s="375" t="s">
        <v>4185</v>
      </c>
      <c r="H2722" s="375" t="s">
        <v>4186</v>
      </c>
      <c r="I2722" s="63" t="s">
        <v>4187</v>
      </c>
      <c r="J2722" s="47">
        <f t="shared" si="561"/>
        <v>3740</v>
      </c>
      <c r="K2722" s="46" t="s">
        <v>10735</v>
      </c>
      <c r="L2722" s="47">
        <f t="shared" si="564"/>
        <v>1210</v>
      </c>
      <c r="M2722" s="47"/>
      <c r="N2722" s="47" t="s">
        <v>4188</v>
      </c>
      <c r="O2722" s="47"/>
      <c r="P2722" s="47"/>
      <c r="Q2722" s="47" t="s">
        <v>4189</v>
      </c>
      <c r="R2722" s="47"/>
      <c r="S2722" s="47" t="s">
        <v>4190</v>
      </c>
      <c r="T2722" s="47">
        <f t="shared" si="565"/>
        <v>780</v>
      </c>
      <c r="U2722" s="47"/>
      <c r="V2722" s="47"/>
      <c r="W2722" s="47"/>
      <c r="X2722" s="47"/>
      <c r="Y2722" s="47"/>
      <c r="Z2722" s="47">
        <f t="shared" si="563"/>
        <v>4620</v>
      </c>
      <c r="AA2722" s="47">
        <f t="shared" si="566"/>
        <v>1400</v>
      </c>
      <c r="AB2722" s="47"/>
      <c r="AC2722" s="47"/>
      <c r="AD2722" s="47" t="s">
        <v>1</v>
      </c>
      <c r="AE2722" s="47"/>
      <c r="AF2722" s="47">
        <f t="shared" si="567"/>
        <v>1485</v>
      </c>
      <c r="AG2722" s="47"/>
      <c r="AH2722" s="47" t="str">
        <f>IFERROR(_xlfn.XLOOKUP(Table6[[#This Row],[Suburb]],Table5[Travel Surcharge],Table5[$$]),"")</f>
        <v/>
      </c>
      <c r="AI2722" s="47">
        <f t="shared" si="568"/>
        <v>1650.0000000000002</v>
      </c>
      <c r="AJ2722" s="47"/>
    </row>
    <row r="2723" spans="1:36">
      <c r="A2723" s="374" t="s">
        <v>4183</v>
      </c>
      <c r="B2723" s="374" t="s">
        <v>528</v>
      </c>
      <c r="C2723" s="374" t="s">
        <v>502</v>
      </c>
      <c r="D2723" s="375" t="str">
        <f t="shared" si="560"/>
        <v>Marigold Estate4A</v>
      </c>
      <c r="E2723" s="375" t="s">
        <v>4194</v>
      </c>
      <c r="F2723" s="375" t="s">
        <v>1602</v>
      </c>
      <c r="G2723" s="375" t="s">
        <v>4185</v>
      </c>
      <c r="H2723" s="375" t="s">
        <v>4186</v>
      </c>
      <c r="I2723" s="63" t="s">
        <v>4187</v>
      </c>
      <c r="J2723" s="47">
        <f t="shared" si="561"/>
        <v>3740</v>
      </c>
      <c r="K2723" s="46" t="s">
        <v>10735</v>
      </c>
      <c r="L2723" s="47">
        <f t="shared" si="564"/>
        <v>1210</v>
      </c>
      <c r="M2723" s="47"/>
      <c r="N2723" s="47" t="s">
        <v>4188</v>
      </c>
      <c r="O2723" s="47"/>
      <c r="P2723" s="47"/>
      <c r="Q2723" s="47" t="s">
        <v>4189</v>
      </c>
      <c r="R2723" s="47"/>
      <c r="S2723" s="47" t="s">
        <v>4190</v>
      </c>
      <c r="T2723" s="47">
        <f t="shared" si="565"/>
        <v>780</v>
      </c>
      <c r="U2723" s="47"/>
      <c r="V2723" s="47"/>
      <c r="W2723" s="47"/>
      <c r="X2723" s="47"/>
      <c r="Y2723" s="47"/>
      <c r="Z2723" s="47">
        <f t="shared" si="563"/>
        <v>4620</v>
      </c>
      <c r="AA2723" s="47">
        <f t="shared" si="566"/>
        <v>1400</v>
      </c>
      <c r="AB2723" s="47"/>
      <c r="AC2723" s="47"/>
      <c r="AD2723" s="47" t="s">
        <v>1</v>
      </c>
      <c r="AE2723" s="47"/>
      <c r="AF2723" s="47">
        <f t="shared" si="567"/>
        <v>1485</v>
      </c>
      <c r="AG2723" s="47"/>
      <c r="AH2723" s="47" t="str">
        <f>IFERROR(_xlfn.XLOOKUP(Table6[[#This Row],[Suburb]],Table5[Travel Surcharge],Table5[$$]),"")</f>
        <v/>
      </c>
      <c r="AI2723" s="47">
        <f t="shared" si="568"/>
        <v>1650.0000000000002</v>
      </c>
      <c r="AJ2723" s="47"/>
    </row>
    <row r="2724" spans="1:36">
      <c r="A2724" s="374" t="s">
        <v>4201</v>
      </c>
      <c r="B2724" s="374">
        <v>1</v>
      </c>
      <c r="C2724" s="374" t="s">
        <v>491</v>
      </c>
      <c r="D2724" s="375" t="str">
        <f t="shared" si="560"/>
        <v>Marran Run1</v>
      </c>
      <c r="E2724" s="375" t="s">
        <v>492</v>
      </c>
      <c r="F2724" s="375" t="s">
        <v>4202</v>
      </c>
      <c r="G2724" s="375" t="s">
        <v>2986</v>
      </c>
      <c r="H2724" s="375" t="s">
        <v>4203</v>
      </c>
      <c r="I2724" s="63" t="s">
        <v>2988</v>
      </c>
      <c r="J2724" s="47">
        <f t="shared" si="561"/>
        <v>3740</v>
      </c>
      <c r="K2724" s="46" t="s">
        <v>10735</v>
      </c>
      <c r="L2724" s="47"/>
      <c r="M2724" s="47">
        <f>M$7</f>
        <v>1430.0000000000002</v>
      </c>
      <c r="N2724" s="47" t="s">
        <v>4204</v>
      </c>
      <c r="O2724" s="47">
        <f>O$7</f>
        <v>4950</v>
      </c>
      <c r="P2724" s="47" t="s">
        <v>4205</v>
      </c>
      <c r="Q2724" s="47" t="s">
        <v>4206</v>
      </c>
      <c r="R2724" s="47" t="s">
        <v>4207</v>
      </c>
      <c r="S2724" s="47"/>
      <c r="T2724" s="47">
        <f t="shared" si="565"/>
        <v>780</v>
      </c>
      <c r="U2724" s="47"/>
      <c r="V2724" s="47"/>
      <c r="W2724" s="47"/>
      <c r="X2724" s="47"/>
      <c r="Y2724" s="47" t="s">
        <v>4208</v>
      </c>
      <c r="Z2724" s="47">
        <f t="shared" si="563"/>
        <v>4620</v>
      </c>
      <c r="AA2724" s="47">
        <f t="shared" si="566"/>
        <v>1400</v>
      </c>
      <c r="AB2724" s="47"/>
      <c r="AC2724" s="47"/>
      <c r="AD2724" s="47" t="s">
        <v>1</v>
      </c>
      <c r="AE2724" s="47"/>
      <c r="AF2724" s="47">
        <f t="shared" si="567"/>
        <v>1485</v>
      </c>
      <c r="AG2724" s="47"/>
      <c r="AH2724" s="47" t="str">
        <f>IFERROR(_xlfn.XLOOKUP(Table6[[#This Row],[Suburb]],Table5[Travel Surcharge],Table5[$$]),"")</f>
        <v/>
      </c>
      <c r="AI2724" s="47"/>
      <c r="AJ2724" s="47"/>
    </row>
    <row r="2725" spans="1:36">
      <c r="A2725" s="374" t="s">
        <v>4201</v>
      </c>
      <c r="B2725" s="374">
        <v>2</v>
      </c>
      <c r="C2725" s="374" t="s">
        <v>491</v>
      </c>
      <c r="D2725" s="375" t="str">
        <f t="shared" si="560"/>
        <v>Marran Run2</v>
      </c>
      <c r="E2725" s="375" t="s">
        <v>8550</v>
      </c>
      <c r="F2725" s="375" t="s">
        <v>4202</v>
      </c>
      <c r="G2725" s="375" t="s">
        <v>2986</v>
      </c>
      <c r="H2725" s="375" t="s">
        <v>4203</v>
      </c>
      <c r="I2725" s="63" t="s">
        <v>2988</v>
      </c>
      <c r="J2725" s="47">
        <f t="shared" si="561"/>
        <v>3740</v>
      </c>
      <c r="K2725" s="46" t="s">
        <v>10735</v>
      </c>
      <c r="L2725" s="47"/>
      <c r="M2725" s="47">
        <f>M$7</f>
        <v>1430.0000000000002</v>
      </c>
      <c r="N2725" s="47" t="s">
        <v>4204</v>
      </c>
      <c r="O2725" s="47">
        <f>O$7</f>
        <v>4950</v>
      </c>
      <c r="P2725" s="47" t="s">
        <v>4205</v>
      </c>
      <c r="Q2725" s="47" t="s">
        <v>4206</v>
      </c>
      <c r="R2725" s="47" t="s">
        <v>4207</v>
      </c>
      <c r="S2725" s="47"/>
      <c r="T2725" s="47">
        <f t="shared" si="565"/>
        <v>780</v>
      </c>
      <c r="U2725" s="47"/>
      <c r="V2725" s="47"/>
      <c r="W2725" s="47"/>
      <c r="X2725" s="47"/>
      <c r="Y2725" s="47" t="s">
        <v>4208</v>
      </c>
      <c r="Z2725" s="47">
        <f t="shared" si="563"/>
        <v>4620</v>
      </c>
      <c r="AA2725" s="47">
        <f t="shared" si="566"/>
        <v>1400</v>
      </c>
      <c r="AB2725" s="47"/>
      <c r="AC2725" s="47"/>
      <c r="AD2725" s="47" t="s">
        <v>1</v>
      </c>
      <c r="AE2725" s="47"/>
      <c r="AF2725" s="47">
        <f t="shared" si="567"/>
        <v>1485</v>
      </c>
      <c r="AG2725" s="47"/>
      <c r="AH2725" s="47" t="str">
        <f>IFERROR(_xlfn.XLOOKUP(Table6[[#This Row],[Suburb]],Table5[Travel Surcharge],Table5[$$]),"")</f>
        <v/>
      </c>
      <c r="AI2725" s="47"/>
      <c r="AJ2725" s="47"/>
    </row>
    <row r="2726" spans="1:36">
      <c r="A2726" s="157" t="s">
        <v>8575</v>
      </c>
      <c r="B2726" s="157">
        <v>34</v>
      </c>
      <c r="C2726" s="157" t="s">
        <v>4753</v>
      </c>
      <c r="D2726" s="157" t="str">
        <f t="shared" si="560"/>
        <v>Marriot Waters34</v>
      </c>
      <c r="E2726" s="157" t="s">
        <v>8576</v>
      </c>
      <c r="F2726" s="157"/>
      <c r="G2726" s="157"/>
      <c r="H2726" s="157"/>
      <c r="I2726" s="158"/>
      <c r="J2726" s="47">
        <f t="shared" si="561"/>
        <v>3740</v>
      </c>
      <c r="K2726" s="46" t="s">
        <v>7938</v>
      </c>
      <c r="L2726" s="47"/>
      <c r="M2726" s="47">
        <f>M$7</f>
        <v>1430.0000000000002</v>
      </c>
      <c r="N2726" s="47"/>
      <c r="O2726" s="47"/>
      <c r="P2726" s="47"/>
      <c r="Q2726" s="47"/>
      <c r="R2726" s="47"/>
      <c r="S2726" s="47"/>
      <c r="T2726" s="47"/>
      <c r="U2726" s="47">
        <f>U$2</f>
        <v>430</v>
      </c>
      <c r="V2726" s="47"/>
      <c r="W2726" s="47"/>
      <c r="X2726" s="47"/>
      <c r="Y2726" s="47"/>
      <c r="Z2726" s="47">
        <f t="shared" si="563"/>
        <v>4620</v>
      </c>
      <c r="AA2726" s="47"/>
      <c r="AB2726" s="47"/>
      <c r="AC2726" s="47"/>
      <c r="AD2726" s="47"/>
      <c r="AE2726" s="47"/>
      <c r="AF2726" s="47"/>
      <c r="AG2726" s="47" t="s">
        <v>8577</v>
      </c>
      <c r="AH2726" s="47" t="str">
        <f>IFERROR(_xlfn.XLOOKUP(Table6[[#This Row],[Suburb]],Table5[Travel Surcharge],Table5[$$]),"")</f>
        <v/>
      </c>
      <c r="AI2726" s="47" t="s">
        <v>8578</v>
      </c>
      <c r="AJ2726" s="47"/>
    </row>
    <row r="2727" spans="1:36">
      <c r="A2727" s="157" t="s">
        <v>8111</v>
      </c>
      <c r="B2727" s="157">
        <v>1</v>
      </c>
      <c r="C2727" s="157" t="s">
        <v>8112</v>
      </c>
      <c r="D2727" s="157" t="str">
        <f t="shared" si="560"/>
        <v>Marshal Place1</v>
      </c>
      <c r="E2727" s="157" t="s">
        <v>6835</v>
      </c>
      <c r="F2727" s="157"/>
      <c r="G2727" s="157"/>
      <c r="H2727" s="157"/>
      <c r="I2727" s="158"/>
      <c r="J2727" s="47">
        <f t="shared" si="561"/>
        <v>3740</v>
      </c>
      <c r="K2727" s="46" t="s">
        <v>10735</v>
      </c>
      <c r="L2727" s="47">
        <f>L$7</f>
        <v>1210</v>
      </c>
      <c r="M2727" s="47"/>
      <c r="N2727" s="47" t="s">
        <v>8115</v>
      </c>
      <c r="O2727" s="47" t="s">
        <v>8116</v>
      </c>
      <c r="P2727" s="47"/>
      <c r="Q2727" s="47"/>
      <c r="R2727" s="47"/>
      <c r="S2727" s="47"/>
      <c r="T2727" s="47"/>
      <c r="U2727" s="47">
        <f>U$2</f>
        <v>430</v>
      </c>
      <c r="V2727" s="47" t="s">
        <v>1355</v>
      </c>
      <c r="W2727" s="47" t="s">
        <v>8113</v>
      </c>
      <c r="X2727" s="47">
        <f>X$7</f>
        <v>3000</v>
      </c>
      <c r="Y2727" s="47" t="s">
        <v>8114</v>
      </c>
      <c r="Z2727" s="47">
        <f t="shared" si="563"/>
        <v>4620</v>
      </c>
      <c r="AA2727" s="47" t="s">
        <v>8117</v>
      </c>
      <c r="AB2727" s="47" t="s">
        <v>8118</v>
      </c>
      <c r="AC2727" s="47">
        <f>AC$7</f>
        <v>5200</v>
      </c>
      <c r="AD2727" s="47" t="s">
        <v>1</v>
      </c>
      <c r="AE2727" s="47"/>
      <c r="AF2727" s="47">
        <f>AF$7</f>
        <v>1485</v>
      </c>
      <c r="AG2727" s="47"/>
      <c r="AH2727" s="47" t="str">
        <f>IFERROR(_xlfn.XLOOKUP(Table6[[#This Row],[Suburb]],Table5[Travel Surcharge],Table5[$$]),"")</f>
        <v/>
      </c>
      <c r="AI2727" s="47">
        <f>AI$7</f>
        <v>1650.0000000000002</v>
      </c>
      <c r="AJ2727" s="47"/>
    </row>
    <row r="2728" spans="1:36">
      <c r="A2728" s="374" t="s">
        <v>4209</v>
      </c>
      <c r="B2728" s="374">
        <v>1</v>
      </c>
      <c r="C2728" s="374" t="s">
        <v>420</v>
      </c>
      <c r="D2728" s="375" t="str">
        <f t="shared" si="560"/>
        <v>Martin Place Estate1</v>
      </c>
      <c r="E2728" s="375" t="s">
        <v>421</v>
      </c>
      <c r="F2728" s="375" t="s">
        <v>4210</v>
      </c>
      <c r="G2728" s="375" t="s">
        <v>864</v>
      </c>
      <c r="H2728" s="375" t="s">
        <v>865</v>
      </c>
      <c r="I2728" s="63" t="s">
        <v>866</v>
      </c>
      <c r="J2728" s="47"/>
      <c r="K2728" s="46" t="s">
        <v>10735</v>
      </c>
      <c r="L2728" s="47"/>
      <c r="M2728" s="47"/>
      <c r="N2728" s="47"/>
      <c r="O2728" s="47"/>
      <c r="P2728" s="47"/>
      <c r="Q2728" s="47">
        <f>Q$2</f>
        <v>0</v>
      </c>
      <c r="R2728" s="47"/>
      <c r="S2728" s="47"/>
      <c r="T2728" s="47"/>
      <c r="U2728" s="47"/>
      <c r="V2728" s="47"/>
      <c r="W2728" s="47"/>
      <c r="X2728" s="47"/>
      <c r="Y2728" s="47"/>
      <c r="Z2728" s="47">
        <f t="shared" si="563"/>
        <v>4620</v>
      </c>
      <c r="AA2728" s="47"/>
      <c r="AB2728" s="47"/>
      <c r="AC2728" s="47"/>
      <c r="AD2728" s="47"/>
      <c r="AE2728" s="47"/>
      <c r="AF2728" s="47"/>
      <c r="AG2728" s="47"/>
      <c r="AH2728" s="47" t="str">
        <f>IFERROR(_xlfn.XLOOKUP(Table6[[#This Row],[Suburb]],Table5[Travel Surcharge],Table5[$$]),"")</f>
        <v/>
      </c>
      <c r="AI2728" s="47"/>
      <c r="AJ2728" s="47"/>
    </row>
    <row r="2729" spans="1:36">
      <c r="A2729" s="374" t="s">
        <v>8952</v>
      </c>
      <c r="B2729" s="374">
        <v>3</v>
      </c>
      <c r="C2729" s="374" t="s">
        <v>550</v>
      </c>
      <c r="D2729" s="375" t="str">
        <f t="shared" si="560"/>
        <v>Masall Estate3</v>
      </c>
      <c r="E2729" s="375" t="s">
        <v>8956</v>
      </c>
      <c r="F2729" s="375" t="s">
        <v>457</v>
      </c>
      <c r="G2729" s="375" t="s">
        <v>8953</v>
      </c>
      <c r="H2729" s="375" t="s">
        <v>8954</v>
      </c>
      <c r="I2729" s="63" t="s">
        <v>8955</v>
      </c>
      <c r="J2729" s="47"/>
      <c r="K2729" s="46" t="s">
        <v>10735</v>
      </c>
      <c r="L2729" s="47">
        <f t="shared" ref="L2729:L2740" si="569">L$7</f>
        <v>1210</v>
      </c>
      <c r="M2729" s="47" t="s">
        <v>8970</v>
      </c>
      <c r="N2729" s="47" t="s">
        <v>8773</v>
      </c>
      <c r="O2729" s="47" t="s">
        <v>5625</v>
      </c>
      <c r="P2729" s="47"/>
      <c r="Q2729" s="47"/>
      <c r="R2729" s="47"/>
      <c r="S2729" s="47"/>
      <c r="T2729" s="47" t="s">
        <v>8983</v>
      </c>
      <c r="U2729" s="47"/>
      <c r="V2729" s="47"/>
      <c r="W2729" s="47"/>
      <c r="X2729" s="47"/>
      <c r="Y2729" s="47"/>
      <c r="Z2729" s="47">
        <f t="shared" si="563"/>
        <v>4620</v>
      </c>
      <c r="AA2729" s="47">
        <f t="shared" ref="AA2729:AA2740" si="570">AA$7</f>
        <v>1400</v>
      </c>
      <c r="AB2729" s="47" t="s">
        <v>8971</v>
      </c>
      <c r="AC2729" s="47"/>
      <c r="AD2729" s="47" t="s">
        <v>1</v>
      </c>
      <c r="AE2729" s="47"/>
      <c r="AF2729" s="47">
        <f t="shared" ref="AF2729:AF2740" si="571">AF$7</f>
        <v>1485</v>
      </c>
      <c r="AG2729" s="47"/>
      <c r="AH2729" s="47" t="str">
        <f>IFERROR(_xlfn.XLOOKUP(Table6[[#This Row],[Suburb]],Table5[Travel Surcharge],Table5[$$]),"")</f>
        <v/>
      </c>
      <c r="AI2729" s="47"/>
      <c r="AJ2729" s="47"/>
    </row>
    <row r="2730" spans="1:36">
      <c r="A2730" s="374" t="s">
        <v>8952</v>
      </c>
      <c r="B2730" s="374">
        <v>4</v>
      </c>
      <c r="C2730" s="374" t="s">
        <v>550</v>
      </c>
      <c r="D2730" s="375" t="str">
        <f t="shared" si="560"/>
        <v>Masall Estate4</v>
      </c>
      <c r="E2730" s="375" t="s">
        <v>9464</v>
      </c>
      <c r="F2730" s="375" t="s">
        <v>457</v>
      </c>
      <c r="G2730" s="375" t="s">
        <v>8953</v>
      </c>
      <c r="H2730" s="375" t="s">
        <v>8954</v>
      </c>
      <c r="I2730" s="63" t="s">
        <v>8955</v>
      </c>
      <c r="J2730" s="47"/>
      <c r="K2730" s="46" t="s">
        <v>10735</v>
      </c>
      <c r="L2730" s="47">
        <f t="shared" si="569"/>
        <v>1210</v>
      </c>
      <c r="M2730" s="47" t="s">
        <v>8970</v>
      </c>
      <c r="N2730" s="47" t="s">
        <v>8773</v>
      </c>
      <c r="O2730" s="47" t="s">
        <v>5625</v>
      </c>
      <c r="P2730" s="47"/>
      <c r="Q2730" s="47"/>
      <c r="R2730" s="47"/>
      <c r="S2730" s="47"/>
      <c r="T2730" s="47" t="s">
        <v>8983</v>
      </c>
      <c r="U2730" s="47"/>
      <c r="V2730" s="47"/>
      <c r="W2730" s="47"/>
      <c r="X2730" s="47"/>
      <c r="Y2730" s="47"/>
      <c r="Z2730" s="47">
        <f t="shared" si="563"/>
        <v>4620</v>
      </c>
      <c r="AA2730" s="47">
        <f t="shared" si="570"/>
        <v>1400</v>
      </c>
      <c r="AB2730" s="47" t="s">
        <v>8971</v>
      </c>
      <c r="AC2730" s="47"/>
      <c r="AD2730" s="47" t="s">
        <v>1</v>
      </c>
      <c r="AE2730" s="47"/>
      <c r="AF2730" s="47">
        <f t="shared" si="571"/>
        <v>1485</v>
      </c>
      <c r="AG2730" s="47"/>
      <c r="AH2730" s="47" t="str">
        <f>IFERROR(_xlfn.XLOOKUP(Table6[[#This Row],[Suburb]],Table5[Travel Surcharge],Table5[$$]),"")</f>
        <v/>
      </c>
      <c r="AI2730" s="47"/>
      <c r="AJ2730" s="47"/>
    </row>
    <row r="2731" spans="1:36">
      <c r="A2731" s="374" t="s">
        <v>4211</v>
      </c>
      <c r="B2731" s="374">
        <v>1</v>
      </c>
      <c r="C2731" s="374" t="s">
        <v>455</v>
      </c>
      <c r="D2731" s="375" t="str">
        <f t="shared" si="560"/>
        <v>Mason Quarter Estate1</v>
      </c>
      <c r="E2731" s="375" t="s">
        <v>4212</v>
      </c>
      <c r="F2731" s="375"/>
      <c r="G2731" s="375" t="s">
        <v>7886</v>
      </c>
      <c r="H2731" s="375">
        <v>490293342</v>
      </c>
      <c r="I2731" s="63" t="s">
        <v>7887</v>
      </c>
      <c r="J2731" s="47">
        <f t="shared" ref="J2731:J2740" si="572">J$7</f>
        <v>3740</v>
      </c>
      <c r="K2731" s="46" t="s">
        <v>7938</v>
      </c>
      <c r="L2731" s="47">
        <f t="shared" si="569"/>
        <v>1210</v>
      </c>
      <c r="M2731" s="47"/>
      <c r="N2731" s="47"/>
      <c r="O2731" s="47" t="s">
        <v>4213</v>
      </c>
      <c r="P2731" s="47" t="s">
        <v>4214</v>
      </c>
      <c r="Q2731" s="47"/>
      <c r="R2731" s="47"/>
      <c r="S2731" s="47" t="s">
        <v>637</v>
      </c>
      <c r="T2731" s="47"/>
      <c r="U2731" s="47" t="s">
        <v>4215</v>
      </c>
      <c r="V2731" s="47" t="s">
        <v>4216</v>
      </c>
      <c r="W2731" s="47" t="s">
        <v>4217</v>
      </c>
      <c r="X2731" s="47"/>
      <c r="Y2731" s="47"/>
      <c r="Z2731" s="47">
        <f t="shared" si="563"/>
        <v>4620</v>
      </c>
      <c r="AA2731" s="47">
        <f t="shared" si="570"/>
        <v>1400</v>
      </c>
      <c r="AB2731" s="47"/>
      <c r="AC2731" s="47"/>
      <c r="AD2731" s="47"/>
      <c r="AE2731" s="47"/>
      <c r="AF2731" s="47">
        <f t="shared" si="571"/>
        <v>1485</v>
      </c>
      <c r="AG2731" s="47"/>
      <c r="AH2731" s="47" t="str">
        <f>IFERROR(_xlfn.XLOOKUP(Table6[[#This Row],[Suburb]],Table5[Travel Surcharge],Table5[$$]),"")</f>
        <v/>
      </c>
      <c r="AI2731" s="47"/>
      <c r="AJ2731" s="47"/>
    </row>
    <row r="2732" spans="1:36">
      <c r="A2732" s="157" t="s">
        <v>4211</v>
      </c>
      <c r="B2732" s="157">
        <v>2</v>
      </c>
      <c r="C2732" s="157" t="s">
        <v>455</v>
      </c>
      <c r="D2732" s="375" t="str">
        <f t="shared" si="560"/>
        <v>Mason Quarter Estate2</v>
      </c>
      <c r="E2732" s="157" t="s">
        <v>8458</v>
      </c>
      <c r="F2732" s="157"/>
      <c r="G2732" s="157" t="s">
        <v>7886</v>
      </c>
      <c r="H2732" s="157">
        <v>490293343</v>
      </c>
      <c r="I2732" s="158" t="s">
        <v>7887</v>
      </c>
      <c r="J2732" s="47">
        <f t="shared" si="572"/>
        <v>3740</v>
      </c>
      <c r="K2732" s="46" t="s">
        <v>7938</v>
      </c>
      <c r="L2732" s="47">
        <f t="shared" si="569"/>
        <v>1210</v>
      </c>
      <c r="M2732" s="47"/>
      <c r="N2732" s="47"/>
      <c r="O2732" s="47" t="s">
        <v>8457</v>
      </c>
      <c r="P2732" s="47" t="s">
        <v>4214</v>
      </c>
      <c r="Q2732" s="47"/>
      <c r="R2732" s="47"/>
      <c r="S2732" s="47" t="s">
        <v>637</v>
      </c>
      <c r="T2732" s="47"/>
      <c r="U2732" s="47" t="s">
        <v>4215</v>
      </c>
      <c r="V2732" s="47" t="s">
        <v>4216</v>
      </c>
      <c r="W2732" s="47" t="s">
        <v>4217</v>
      </c>
      <c r="X2732" s="47"/>
      <c r="Y2732" s="47"/>
      <c r="Z2732" s="47">
        <f t="shared" si="563"/>
        <v>4620</v>
      </c>
      <c r="AA2732" s="47">
        <f t="shared" si="570"/>
        <v>1400</v>
      </c>
      <c r="AB2732" s="47"/>
      <c r="AC2732" s="47"/>
      <c r="AD2732" s="47"/>
      <c r="AE2732" s="47"/>
      <c r="AF2732" s="47">
        <f t="shared" si="571"/>
        <v>1485</v>
      </c>
      <c r="AG2732" s="47"/>
      <c r="AH2732" s="47" t="str">
        <f>IFERROR(_xlfn.XLOOKUP(Table6[[#This Row],[Suburb]],Table5[Travel Surcharge],Table5[$$]),"")</f>
        <v/>
      </c>
      <c r="AI2732" s="47"/>
      <c r="AJ2732" s="47"/>
    </row>
    <row r="2733" spans="1:36">
      <c r="A2733" s="374" t="s">
        <v>4211</v>
      </c>
      <c r="B2733" s="374" t="s">
        <v>613</v>
      </c>
      <c r="C2733" s="374" t="s">
        <v>455</v>
      </c>
      <c r="D2733" s="375" t="str">
        <f t="shared" si="560"/>
        <v>Mason Quarter Estate4B</v>
      </c>
      <c r="E2733" s="375" t="s">
        <v>10191</v>
      </c>
      <c r="F2733" s="375"/>
      <c r="G2733" s="375" t="s">
        <v>7886</v>
      </c>
      <c r="H2733" s="375">
        <v>490293343</v>
      </c>
      <c r="I2733" s="63" t="s">
        <v>7887</v>
      </c>
      <c r="J2733" s="47">
        <v>3740</v>
      </c>
      <c r="K2733" s="46" t="s">
        <v>7938</v>
      </c>
      <c r="L2733" s="47">
        <v>1210</v>
      </c>
      <c r="M2733" s="47"/>
      <c r="N2733" s="47"/>
      <c r="O2733" s="47" t="s">
        <v>8457</v>
      </c>
      <c r="P2733" s="47" t="s">
        <v>4214</v>
      </c>
      <c r="Q2733" s="47"/>
      <c r="R2733" s="47"/>
      <c r="S2733" s="47" t="s">
        <v>637</v>
      </c>
      <c r="T2733" s="47"/>
      <c r="U2733" s="47" t="s">
        <v>4215</v>
      </c>
      <c r="V2733" s="47" t="s">
        <v>4216</v>
      </c>
      <c r="W2733" s="47" t="s">
        <v>4217</v>
      </c>
      <c r="X2733" s="47"/>
      <c r="Y2733" s="47"/>
      <c r="Z2733" s="47">
        <v>4620</v>
      </c>
      <c r="AA2733" s="47">
        <v>1400</v>
      </c>
      <c r="AB2733" s="47"/>
      <c r="AC2733" s="47"/>
      <c r="AD2733" s="47"/>
      <c r="AE2733" s="47"/>
      <c r="AF2733" s="47">
        <v>1485</v>
      </c>
      <c r="AG2733" s="47"/>
      <c r="AH2733" s="47" t="s">
        <v>9976</v>
      </c>
      <c r="AI2733" s="47"/>
      <c r="AJ2733" s="47"/>
    </row>
    <row r="2734" spans="1:36">
      <c r="A2734" s="157" t="s">
        <v>4211</v>
      </c>
      <c r="B2734" s="157">
        <v>5</v>
      </c>
      <c r="C2734" s="157" t="s">
        <v>455</v>
      </c>
      <c r="D2734" s="375" t="str">
        <f t="shared" si="560"/>
        <v>Mason Quarter Estate5</v>
      </c>
      <c r="E2734" s="157" t="s">
        <v>9789</v>
      </c>
      <c r="F2734" s="157"/>
      <c r="G2734" s="157" t="s">
        <v>7886</v>
      </c>
      <c r="H2734" s="157">
        <v>490293343</v>
      </c>
      <c r="I2734" s="158" t="s">
        <v>7887</v>
      </c>
      <c r="J2734" s="47">
        <f t="shared" si="572"/>
        <v>3740</v>
      </c>
      <c r="K2734" s="46" t="s">
        <v>7938</v>
      </c>
      <c r="L2734" s="47">
        <f t="shared" si="569"/>
        <v>1210</v>
      </c>
      <c r="M2734" s="47"/>
      <c r="N2734" s="47"/>
      <c r="O2734" s="47" t="s">
        <v>8457</v>
      </c>
      <c r="P2734" s="47" t="s">
        <v>4214</v>
      </c>
      <c r="Q2734" s="47"/>
      <c r="R2734" s="47"/>
      <c r="S2734" s="47" t="s">
        <v>637</v>
      </c>
      <c r="T2734" s="47"/>
      <c r="U2734" s="47" t="s">
        <v>4215</v>
      </c>
      <c r="V2734" s="47" t="s">
        <v>4216</v>
      </c>
      <c r="W2734" s="47" t="s">
        <v>4217</v>
      </c>
      <c r="X2734" s="47"/>
      <c r="Y2734" s="47"/>
      <c r="Z2734" s="47">
        <f t="shared" si="563"/>
        <v>4620</v>
      </c>
      <c r="AA2734" s="47">
        <f t="shared" si="570"/>
        <v>1400</v>
      </c>
      <c r="AB2734" s="47"/>
      <c r="AC2734" s="47"/>
      <c r="AD2734" s="47"/>
      <c r="AE2734" s="47"/>
      <c r="AF2734" s="47">
        <f t="shared" si="571"/>
        <v>1485</v>
      </c>
      <c r="AG2734" s="47"/>
      <c r="AH2734" s="47" t="str">
        <f>IFERROR(_xlfn.XLOOKUP(Table6[[#This Row],[Suburb]],Table5[Travel Surcharge],Table5[$$]),"")</f>
        <v/>
      </c>
      <c r="AI2734" s="47"/>
      <c r="AJ2734" s="47"/>
    </row>
    <row r="2735" spans="1:36">
      <c r="A2735" s="374" t="s">
        <v>4211</v>
      </c>
      <c r="B2735" s="374">
        <v>6</v>
      </c>
      <c r="C2735" s="374" t="s">
        <v>455</v>
      </c>
      <c r="D2735" s="375" t="str">
        <f t="shared" si="560"/>
        <v>Mason Quarter Estate6</v>
      </c>
      <c r="E2735" s="375" t="s">
        <v>9656</v>
      </c>
      <c r="F2735" s="375"/>
      <c r="G2735" s="375" t="s">
        <v>7886</v>
      </c>
      <c r="H2735" s="375">
        <v>490293343</v>
      </c>
      <c r="I2735" s="63" t="s">
        <v>7887</v>
      </c>
      <c r="J2735" s="47">
        <f t="shared" si="572"/>
        <v>3740</v>
      </c>
      <c r="K2735" s="46" t="s">
        <v>7938</v>
      </c>
      <c r="L2735" s="47">
        <f t="shared" si="569"/>
        <v>1210</v>
      </c>
      <c r="M2735" s="47"/>
      <c r="N2735" s="47"/>
      <c r="O2735" s="47" t="s">
        <v>8457</v>
      </c>
      <c r="P2735" s="47" t="s">
        <v>4214</v>
      </c>
      <c r="Q2735" s="47"/>
      <c r="R2735" s="47"/>
      <c r="S2735" s="47" t="s">
        <v>637</v>
      </c>
      <c r="T2735" s="47"/>
      <c r="U2735" s="47" t="s">
        <v>4215</v>
      </c>
      <c r="V2735" s="47" t="s">
        <v>4216</v>
      </c>
      <c r="W2735" s="47" t="s">
        <v>4217</v>
      </c>
      <c r="X2735" s="47"/>
      <c r="Y2735" s="47"/>
      <c r="Z2735" s="47">
        <f t="shared" si="563"/>
        <v>4620</v>
      </c>
      <c r="AA2735" s="47">
        <f t="shared" si="570"/>
        <v>1400</v>
      </c>
      <c r="AB2735" s="47"/>
      <c r="AC2735" s="47"/>
      <c r="AD2735" s="47"/>
      <c r="AE2735" s="47"/>
      <c r="AF2735" s="47">
        <f t="shared" si="571"/>
        <v>1485</v>
      </c>
      <c r="AG2735" s="47"/>
      <c r="AH2735" s="47" t="str">
        <f>IFERROR(_xlfn.XLOOKUP(Table6[[#This Row],[Suburb]],Table5[Travel Surcharge],Table5[$$]),"")</f>
        <v/>
      </c>
      <c r="AI2735" s="47"/>
      <c r="AJ2735" s="47"/>
    </row>
    <row r="2736" spans="1:36">
      <c r="A2736" s="374" t="s">
        <v>4211</v>
      </c>
      <c r="B2736" s="374" t="s">
        <v>624</v>
      </c>
      <c r="C2736" s="374" t="s">
        <v>455</v>
      </c>
      <c r="D2736" s="375" t="str">
        <f t="shared" si="560"/>
        <v>Mason Quarter Estate6B</v>
      </c>
      <c r="E2736" s="375" t="s">
        <v>10228</v>
      </c>
      <c r="F2736" s="375"/>
      <c r="G2736" s="375" t="s">
        <v>7886</v>
      </c>
      <c r="H2736" s="375">
        <v>490293343</v>
      </c>
      <c r="I2736" s="63" t="s">
        <v>7887</v>
      </c>
      <c r="J2736" s="47">
        <v>3740</v>
      </c>
      <c r="K2736" s="46" t="s">
        <v>7938</v>
      </c>
      <c r="L2736" s="47">
        <v>1210</v>
      </c>
      <c r="M2736" s="47"/>
      <c r="N2736" s="47"/>
      <c r="O2736" s="47" t="s">
        <v>8457</v>
      </c>
      <c r="P2736" s="47" t="s">
        <v>4214</v>
      </c>
      <c r="Q2736" s="47"/>
      <c r="R2736" s="47"/>
      <c r="S2736" s="47" t="s">
        <v>637</v>
      </c>
      <c r="T2736" s="47"/>
      <c r="U2736" s="47" t="s">
        <v>4215</v>
      </c>
      <c r="V2736" s="47" t="s">
        <v>4216</v>
      </c>
      <c r="W2736" s="47" t="s">
        <v>4217</v>
      </c>
      <c r="X2736" s="47"/>
      <c r="Y2736" s="47"/>
      <c r="Z2736" s="47">
        <v>4620</v>
      </c>
      <c r="AA2736" s="47">
        <v>1400</v>
      </c>
      <c r="AB2736" s="47"/>
      <c r="AC2736" s="47"/>
      <c r="AD2736" s="47"/>
      <c r="AE2736" s="47"/>
      <c r="AF2736" s="47">
        <v>1485</v>
      </c>
      <c r="AG2736" s="47"/>
      <c r="AH2736" s="47" t="s">
        <v>9976</v>
      </c>
      <c r="AI2736" s="47"/>
      <c r="AJ2736" s="47"/>
    </row>
    <row r="2737" spans="1:36">
      <c r="A2737" s="374" t="s">
        <v>4211</v>
      </c>
      <c r="B2737" s="374">
        <v>11</v>
      </c>
      <c r="C2737" s="374" t="s">
        <v>455</v>
      </c>
      <c r="D2737" s="375" t="str">
        <f t="shared" si="560"/>
        <v>Mason Quarter Estate11</v>
      </c>
      <c r="E2737" s="375" t="s">
        <v>4218</v>
      </c>
      <c r="F2737" s="375"/>
      <c r="G2737" s="375" t="s">
        <v>7886</v>
      </c>
      <c r="H2737" s="375">
        <v>490293342</v>
      </c>
      <c r="I2737" s="63" t="s">
        <v>7887</v>
      </c>
      <c r="J2737" s="47">
        <f t="shared" si="572"/>
        <v>3740</v>
      </c>
      <c r="K2737" s="46" t="s">
        <v>7938</v>
      </c>
      <c r="L2737" s="47">
        <f t="shared" si="569"/>
        <v>1210</v>
      </c>
      <c r="M2737" s="47"/>
      <c r="N2737" s="47"/>
      <c r="O2737" s="47" t="s">
        <v>4213</v>
      </c>
      <c r="P2737" s="47" t="s">
        <v>4214</v>
      </c>
      <c r="Q2737" s="47"/>
      <c r="R2737" s="47"/>
      <c r="S2737" s="47" t="s">
        <v>637</v>
      </c>
      <c r="T2737" s="47"/>
      <c r="U2737" s="47" t="s">
        <v>4215</v>
      </c>
      <c r="V2737" s="47" t="s">
        <v>4216</v>
      </c>
      <c r="W2737" s="47" t="s">
        <v>4217</v>
      </c>
      <c r="X2737" s="47"/>
      <c r="Y2737" s="47"/>
      <c r="Z2737" s="47">
        <f t="shared" si="563"/>
        <v>4620</v>
      </c>
      <c r="AA2737" s="47">
        <f t="shared" si="570"/>
        <v>1400</v>
      </c>
      <c r="AB2737" s="47"/>
      <c r="AC2737" s="47"/>
      <c r="AD2737" s="47"/>
      <c r="AE2737" s="47"/>
      <c r="AF2737" s="47">
        <f t="shared" si="571"/>
        <v>1485</v>
      </c>
      <c r="AG2737" s="47"/>
      <c r="AH2737" s="47" t="str">
        <f>IFERROR(_xlfn.XLOOKUP(Table6[[#This Row],[Suburb]],Table5[Travel Surcharge],Table5[$$]),"")</f>
        <v/>
      </c>
      <c r="AI2737" s="47"/>
      <c r="AJ2737" s="47"/>
    </row>
    <row r="2738" spans="1:36">
      <c r="A2738" s="374" t="s">
        <v>4211</v>
      </c>
      <c r="B2738" s="374">
        <v>12</v>
      </c>
      <c r="C2738" s="374" t="s">
        <v>455</v>
      </c>
      <c r="D2738" s="375" t="str">
        <f t="shared" si="560"/>
        <v>Mason Quarter Estate12</v>
      </c>
      <c r="E2738" s="375" t="s">
        <v>4219</v>
      </c>
      <c r="F2738" s="375"/>
      <c r="G2738" s="375" t="s">
        <v>7886</v>
      </c>
      <c r="H2738" s="375">
        <v>490293342</v>
      </c>
      <c r="I2738" s="63" t="s">
        <v>7887</v>
      </c>
      <c r="J2738" s="47">
        <f t="shared" si="572"/>
        <v>3740</v>
      </c>
      <c r="K2738" s="46" t="s">
        <v>7938</v>
      </c>
      <c r="L2738" s="47">
        <f t="shared" si="569"/>
        <v>1210</v>
      </c>
      <c r="M2738" s="47"/>
      <c r="N2738" s="47"/>
      <c r="O2738" s="47" t="s">
        <v>4213</v>
      </c>
      <c r="P2738" s="47" t="s">
        <v>4214</v>
      </c>
      <c r="Q2738" s="47"/>
      <c r="R2738" s="47"/>
      <c r="S2738" s="47" t="s">
        <v>637</v>
      </c>
      <c r="T2738" s="47"/>
      <c r="U2738" s="47" t="s">
        <v>4215</v>
      </c>
      <c r="V2738" s="47" t="s">
        <v>4216</v>
      </c>
      <c r="W2738" s="47" t="s">
        <v>4217</v>
      </c>
      <c r="X2738" s="47"/>
      <c r="Y2738" s="47"/>
      <c r="Z2738" s="47">
        <f t="shared" si="563"/>
        <v>4620</v>
      </c>
      <c r="AA2738" s="47">
        <f t="shared" si="570"/>
        <v>1400</v>
      </c>
      <c r="AB2738" s="47"/>
      <c r="AC2738" s="47"/>
      <c r="AD2738" s="47"/>
      <c r="AE2738" s="47"/>
      <c r="AF2738" s="47">
        <f t="shared" si="571"/>
        <v>1485</v>
      </c>
      <c r="AG2738" s="47"/>
      <c r="AH2738" s="47" t="str">
        <f>IFERROR(_xlfn.XLOOKUP(Table6[[#This Row],[Suburb]],Table5[Travel Surcharge],Table5[$$]),"")</f>
        <v/>
      </c>
      <c r="AI2738" s="47"/>
      <c r="AJ2738" s="47"/>
    </row>
    <row r="2739" spans="1:36">
      <c r="A2739" s="374" t="s">
        <v>4211</v>
      </c>
      <c r="B2739" s="374">
        <v>13</v>
      </c>
      <c r="C2739" s="374" t="s">
        <v>455</v>
      </c>
      <c r="D2739" s="375" t="str">
        <f t="shared" si="560"/>
        <v>Mason Quarter Estate13</v>
      </c>
      <c r="E2739" s="375" t="s">
        <v>4220</v>
      </c>
      <c r="F2739" s="375"/>
      <c r="G2739" s="375" t="s">
        <v>7886</v>
      </c>
      <c r="H2739" s="375">
        <v>490293342</v>
      </c>
      <c r="I2739" s="63" t="s">
        <v>7887</v>
      </c>
      <c r="J2739" s="47">
        <f t="shared" si="572"/>
        <v>3740</v>
      </c>
      <c r="K2739" s="46" t="s">
        <v>7938</v>
      </c>
      <c r="L2739" s="47">
        <f t="shared" si="569"/>
        <v>1210</v>
      </c>
      <c r="M2739" s="47"/>
      <c r="N2739" s="47"/>
      <c r="O2739" s="47" t="s">
        <v>4213</v>
      </c>
      <c r="P2739" s="47" t="s">
        <v>4214</v>
      </c>
      <c r="Q2739" s="47"/>
      <c r="R2739" s="47"/>
      <c r="S2739" s="47" t="s">
        <v>637</v>
      </c>
      <c r="T2739" s="47"/>
      <c r="U2739" s="47" t="s">
        <v>4215</v>
      </c>
      <c r="V2739" s="47" t="s">
        <v>4216</v>
      </c>
      <c r="W2739" s="47" t="s">
        <v>4217</v>
      </c>
      <c r="X2739" s="47"/>
      <c r="Y2739" s="47"/>
      <c r="Z2739" s="47">
        <f t="shared" si="563"/>
        <v>4620</v>
      </c>
      <c r="AA2739" s="47">
        <f t="shared" si="570"/>
        <v>1400</v>
      </c>
      <c r="AB2739" s="47"/>
      <c r="AC2739" s="47"/>
      <c r="AD2739" s="47"/>
      <c r="AE2739" s="47"/>
      <c r="AF2739" s="47">
        <f t="shared" si="571"/>
        <v>1485</v>
      </c>
      <c r="AG2739" s="47"/>
      <c r="AH2739" s="47" t="str">
        <f>IFERROR(_xlfn.XLOOKUP(Table6[[#This Row],[Suburb]],Table5[Travel Surcharge],Table5[$$]),"")</f>
        <v/>
      </c>
      <c r="AI2739" s="47"/>
      <c r="AJ2739" s="47"/>
    </row>
    <row r="2740" spans="1:36">
      <c r="A2740" s="157" t="s">
        <v>4211</v>
      </c>
      <c r="B2740" s="157">
        <v>14</v>
      </c>
      <c r="C2740" s="157" t="s">
        <v>455</v>
      </c>
      <c r="D2740" s="157" t="str">
        <f t="shared" si="560"/>
        <v>Mason Quarter Estate14</v>
      </c>
      <c r="E2740" s="157" t="s">
        <v>7888</v>
      </c>
      <c r="F2740" s="157"/>
      <c r="G2740" s="157" t="s">
        <v>7886</v>
      </c>
      <c r="H2740" s="157">
        <v>490293342</v>
      </c>
      <c r="I2740" s="158" t="s">
        <v>7887</v>
      </c>
      <c r="J2740" s="47">
        <f t="shared" si="572"/>
        <v>3740</v>
      </c>
      <c r="K2740" s="46" t="s">
        <v>7938</v>
      </c>
      <c r="L2740" s="47">
        <f t="shared" si="569"/>
        <v>1210</v>
      </c>
      <c r="M2740" s="47"/>
      <c r="N2740" s="47"/>
      <c r="O2740" s="47" t="s">
        <v>4213</v>
      </c>
      <c r="P2740" s="47" t="s">
        <v>4214</v>
      </c>
      <c r="Q2740" s="47"/>
      <c r="R2740" s="47"/>
      <c r="S2740" s="47" t="s">
        <v>637</v>
      </c>
      <c r="T2740" s="47"/>
      <c r="U2740" s="47" t="s">
        <v>4215</v>
      </c>
      <c r="V2740" s="47" t="s">
        <v>4216</v>
      </c>
      <c r="W2740" s="47" t="s">
        <v>4217</v>
      </c>
      <c r="X2740" s="47"/>
      <c r="Y2740" s="47"/>
      <c r="Z2740" s="47">
        <f t="shared" si="563"/>
        <v>4620</v>
      </c>
      <c r="AA2740" s="47">
        <f t="shared" si="570"/>
        <v>1400</v>
      </c>
      <c r="AB2740" s="47"/>
      <c r="AC2740" s="47"/>
      <c r="AD2740" s="47"/>
      <c r="AE2740" s="47"/>
      <c r="AF2740" s="47">
        <f t="shared" si="571"/>
        <v>1485</v>
      </c>
      <c r="AG2740" s="47"/>
      <c r="AH2740" s="47" t="str">
        <f>IFERROR(_xlfn.XLOOKUP(Table6[[#This Row],[Suburb]],Table5[Travel Surcharge],Table5[$$]),"")</f>
        <v/>
      </c>
      <c r="AI2740" s="47"/>
      <c r="AJ2740" s="47"/>
    </row>
    <row r="2741" spans="1:36">
      <c r="A2741" s="157" t="s">
        <v>9982</v>
      </c>
      <c r="B2741" s="324" t="s">
        <v>507</v>
      </c>
      <c r="C2741" s="157" t="s">
        <v>1264</v>
      </c>
      <c r="D2741" s="157" t="str">
        <f>CONCATENATE(A2741,B2741)</f>
        <v>Matilda1B</v>
      </c>
      <c r="E2741" s="157" t="s">
        <v>9983</v>
      </c>
      <c r="F2741" s="157"/>
      <c r="G2741" s="157"/>
      <c r="H2741" s="157"/>
      <c r="I2741" s="158"/>
      <c r="J2741" s="47">
        <v>3740</v>
      </c>
      <c r="K2741" s="46" t="s">
        <v>10735</v>
      </c>
      <c r="L2741" s="47" t="s">
        <v>433</v>
      </c>
      <c r="M2741" s="47">
        <v>1430</v>
      </c>
      <c r="N2741" s="47" t="s">
        <v>7648</v>
      </c>
      <c r="O2741" s="47">
        <v>4950</v>
      </c>
      <c r="P2741" s="47" t="s">
        <v>9935</v>
      </c>
      <c r="Q2741" s="47" t="s">
        <v>9984</v>
      </c>
      <c r="R2741" s="47" t="s">
        <v>9985</v>
      </c>
      <c r="S2741" s="47" t="s">
        <v>9987</v>
      </c>
      <c r="T2741" s="47" t="s">
        <v>9988</v>
      </c>
      <c r="U2741" s="47"/>
      <c r="V2741" s="47"/>
      <c r="W2741" s="47"/>
      <c r="X2741" s="47"/>
      <c r="Y2741" s="47"/>
      <c r="Z2741" s="47">
        <f>Z$7</f>
        <v>4620</v>
      </c>
      <c r="AA2741" s="47"/>
      <c r="AB2741" s="47"/>
      <c r="AC2741" s="47"/>
      <c r="AD2741" s="47"/>
      <c r="AE2741" s="47"/>
      <c r="AF2741" s="47">
        <v>1485</v>
      </c>
      <c r="AG2741" s="47" t="s">
        <v>9986</v>
      </c>
      <c r="AH2741" s="47"/>
      <c r="AI2741" s="47"/>
      <c r="AJ2741" s="47"/>
    </row>
    <row r="2742" spans="1:36">
      <c r="A2742" s="374" t="s">
        <v>9982</v>
      </c>
      <c r="B2742" s="276">
        <v>2</v>
      </c>
      <c r="C2742" s="374" t="s">
        <v>1264</v>
      </c>
      <c r="D2742" s="157" t="str">
        <f t="shared" ref="D2742:D2745" si="573">CONCATENATE(A2742,B2742)</f>
        <v>Matilda2</v>
      </c>
      <c r="E2742" s="375" t="s">
        <v>9989</v>
      </c>
      <c r="F2742" s="375"/>
      <c r="G2742" s="375"/>
      <c r="H2742" s="375"/>
      <c r="I2742" s="63"/>
      <c r="J2742" s="47">
        <v>3740</v>
      </c>
      <c r="K2742" s="46" t="s">
        <v>10735</v>
      </c>
      <c r="L2742" s="47" t="s">
        <v>433</v>
      </c>
      <c r="M2742" s="47">
        <v>1430</v>
      </c>
      <c r="N2742" s="47" t="s">
        <v>7648</v>
      </c>
      <c r="O2742" s="47">
        <v>4950</v>
      </c>
      <c r="P2742" s="47" t="s">
        <v>9935</v>
      </c>
      <c r="Q2742" s="47" t="s">
        <v>9984</v>
      </c>
      <c r="R2742" s="47" t="s">
        <v>9985</v>
      </c>
      <c r="S2742" s="47" t="s">
        <v>9987</v>
      </c>
      <c r="T2742" s="47" t="s">
        <v>9988</v>
      </c>
      <c r="U2742" s="47"/>
      <c r="V2742" s="47"/>
      <c r="W2742" s="47"/>
      <c r="X2742" s="47"/>
      <c r="Y2742" s="47"/>
      <c r="Z2742" s="47">
        <v>4620</v>
      </c>
      <c r="AA2742" s="47"/>
      <c r="AB2742" s="47"/>
      <c r="AC2742" s="47"/>
      <c r="AD2742" s="47"/>
      <c r="AE2742" s="47"/>
      <c r="AF2742" s="47">
        <v>1485</v>
      </c>
      <c r="AG2742" s="47" t="s">
        <v>9986</v>
      </c>
      <c r="AH2742" s="47"/>
      <c r="AI2742" s="47"/>
      <c r="AJ2742" s="47"/>
    </row>
    <row r="2743" spans="1:36">
      <c r="A2743" s="374" t="s">
        <v>9982</v>
      </c>
      <c r="B2743" s="276">
        <v>3</v>
      </c>
      <c r="C2743" s="374" t="s">
        <v>1264</v>
      </c>
      <c r="D2743" s="157" t="str">
        <f t="shared" si="573"/>
        <v>Matilda3</v>
      </c>
      <c r="E2743" s="375" t="s">
        <v>9990</v>
      </c>
      <c r="F2743" s="375"/>
      <c r="G2743" s="375"/>
      <c r="H2743" s="375"/>
      <c r="I2743" s="63"/>
      <c r="J2743" s="47">
        <v>3740</v>
      </c>
      <c r="K2743" s="46" t="s">
        <v>10735</v>
      </c>
      <c r="L2743" s="47" t="s">
        <v>433</v>
      </c>
      <c r="M2743" s="47">
        <v>1430</v>
      </c>
      <c r="N2743" s="47" t="s">
        <v>7648</v>
      </c>
      <c r="O2743" s="47">
        <v>4950</v>
      </c>
      <c r="P2743" s="47" t="s">
        <v>9935</v>
      </c>
      <c r="Q2743" s="47" t="s">
        <v>9984</v>
      </c>
      <c r="R2743" s="47" t="s">
        <v>9985</v>
      </c>
      <c r="S2743" s="47" t="s">
        <v>9987</v>
      </c>
      <c r="T2743" s="47" t="s">
        <v>9988</v>
      </c>
      <c r="U2743" s="47"/>
      <c r="V2743" s="47"/>
      <c r="W2743" s="47"/>
      <c r="X2743" s="47"/>
      <c r="Y2743" s="47"/>
      <c r="Z2743" s="47">
        <v>4620</v>
      </c>
      <c r="AA2743" s="47"/>
      <c r="AB2743" s="47"/>
      <c r="AC2743" s="47"/>
      <c r="AD2743" s="47"/>
      <c r="AE2743" s="47"/>
      <c r="AF2743" s="47">
        <v>1485</v>
      </c>
      <c r="AG2743" s="47" t="s">
        <v>9986</v>
      </c>
      <c r="AH2743" s="47"/>
      <c r="AI2743" s="47"/>
      <c r="AJ2743" s="47"/>
    </row>
    <row r="2744" spans="1:36">
      <c r="A2744" s="374" t="s">
        <v>9982</v>
      </c>
      <c r="B2744" s="276" t="s">
        <v>606</v>
      </c>
      <c r="C2744" s="374" t="s">
        <v>1264</v>
      </c>
      <c r="D2744" s="157" t="str">
        <f t="shared" si="573"/>
        <v>Matilda3A</v>
      </c>
      <c r="E2744" s="375" t="s">
        <v>10209</v>
      </c>
      <c r="F2744" s="375"/>
      <c r="G2744" s="375"/>
      <c r="H2744" s="375"/>
      <c r="I2744" s="63"/>
      <c r="J2744" s="47">
        <v>3740</v>
      </c>
      <c r="K2744" s="46" t="s">
        <v>10735</v>
      </c>
      <c r="L2744" s="47" t="s">
        <v>433</v>
      </c>
      <c r="M2744" s="47">
        <v>1430</v>
      </c>
      <c r="N2744" s="47" t="s">
        <v>7648</v>
      </c>
      <c r="O2744" s="47">
        <v>4950</v>
      </c>
      <c r="P2744" s="47" t="s">
        <v>9935</v>
      </c>
      <c r="Q2744" s="47" t="s">
        <v>9984</v>
      </c>
      <c r="R2744" s="47" t="s">
        <v>9985</v>
      </c>
      <c r="S2744" s="47" t="s">
        <v>9987</v>
      </c>
      <c r="T2744" s="47" t="s">
        <v>9988</v>
      </c>
      <c r="U2744" s="47"/>
      <c r="V2744" s="47"/>
      <c r="W2744" s="47"/>
      <c r="X2744" s="47"/>
      <c r="Y2744" s="47"/>
      <c r="Z2744" s="47">
        <v>4620</v>
      </c>
      <c r="AA2744" s="47"/>
      <c r="AB2744" s="47"/>
      <c r="AC2744" s="47"/>
      <c r="AD2744" s="47"/>
      <c r="AE2744" s="47"/>
      <c r="AF2744" s="47">
        <v>1485</v>
      </c>
      <c r="AG2744" s="47" t="s">
        <v>9986</v>
      </c>
      <c r="AH2744" s="47"/>
      <c r="AI2744" s="47"/>
      <c r="AJ2744" s="47"/>
    </row>
    <row r="2745" spans="1:36">
      <c r="A2745" s="374" t="s">
        <v>9982</v>
      </c>
      <c r="B2745" s="276">
        <v>4</v>
      </c>
      <c r="C2745" s="374" t="s">
        <v>1264</v>
      </c>
      <c r="D2745" s="375" t="str">
        <f t="shared" si="573"/>
        <v>Matilda4</v>
      </c>
      <c r="E2745" s="375" t="s">
        <v>10972</v>
      </c>
      <c r="F2745" s="375"/>
      <c r="G2745" s="375"/>
      <c r="H2745" s="375"/>
      <c r="I2745" s="63"/>
      <c r="J2745" s="47">
        <v>3740</v>
      </c>
      <c r="K2745" s="46" t="s">
        <v>10735</v>
      </c>
      <c r="L2745" s="47" t="s">
        <v>433</v>
      </c>
      <c r="M2745" s="47">
        <v>1430</v>
      </c>
      <c r="N2745" s="47" t="s">
        <v>7648</v>
      </c>
      <c r="O2745" s="47">
        <v>4950</v>
      </c>
      <c r="P2745" s="47" t="s">
        <v>9935</v>
      </c>
      <c r="Q2745" s="47" t="s">
        <v>9984</v>
      </c>
      <c r="R2745" s="47" t="s">
        <v>9985</v>
      </c>
      <c r="S2745" s="47" t="s">
        <v>9987</v>
      </c>
      <c r="T2745" s="47" t="s">
        <v>9988</v>
      </c>
      <c r="U2745" s="47"/>
      <c r="V2745" s="47"/>
      <c r="W2745" s="47"/>
      <c r="X2745" s="47"/>
      <c r="Y2745" s="47"/>
      <c r="Z2745" s="47">
        <v>4620</v>
      </c>
      <c r="AA2745" s="47"/>
      <c r="AB2745" s="47"/>
      <c r="AC2745" s="47"/>
      <c r="AD2745" s="47"/>
      <c r="AE2745" s="47"/>
      <c r="AF2745" s="47">
        <v>1485</v>
      </c>
      <c r="AG2745" s="47" t="s">
        <v>9986</v>
      </c>
      <c r="AH2745" s="47"/>
      <c r="AI2745" s="47"/>
      <c r="AJ2745" s="47"/>
    </row>
    <row r="2746" spans="1:36">
      <c r="A2746" s="374" t="s">
        <v>8261</v>
      </c>
      <c r="B2746" s="374">
        <v>4</v>
      </c>
      <c r="C2746" s="374" t="s">
        <v>286</v>
      </c>
      <c r="D2746" s="375" t="s">
        <v>9601</v>
      </c>
      <c r="E2746" s="375" t="s">
        <v>9464</v>
      </c>
      <c r="F2746" s="375" t="s">
        <v>8263</v>
      </c>
      <c r="G2746" s="375" t="s">
        <v>8264</v>
      </c>
      <c r="H2746" s="375" t="s">
        <v>8265</v>
      </c>
      <c r="I2746" s="63"/>
      <c r="J2746" s="47">
        <v>3740</v>
      </c>
      <c r="K2746" s="46" t="s">
        <v>7938</v>
      </c>
      <c r="L2746" s="47" t="s">
        <v>5220</v>
      </c>
      <c r="M2746" s="47">
        <v>1430.0000000000002</v>
      </c>
      <c r="N2746" s="47" t="s">
        <v>7070</v>
      </c>
      <c r="O2746" s="47"/>
      <c r="P2746" s="47"/>
      <c r="Q2746" s="47"/>
      <c r="R2746" s="47"/>
      <c r="S2746" s="47"/>
      <c r="T2746" s="47">
        <v>1420</v>
      </c>
      <c r="U2746" s="47"/>
      <c r="V2746" s="47"/>
      <c r="W2746" s="47"/>
      <c r="X2746" s="47">
        <v>3000</v>
      </c>
      <c r="Y2746" s="47" t="s">
        <v>8266</v>
      </c>
      <c r="Z2746" s="47">
        <v>4620</v>
      </c>
      <c r="AA2746" s="47">
        <v>1400</v>
      </c>
      <c r="AB2746" s="47"/>
      <c r="AC2746" s="47"/>
      <c r="AD2746" s="47"/>
      <c r="AE2746" s="47"/>
      <c r="AF2746" s="47">
        <v>1485</v>
      </c>
      <c r="AG2746" s="47"/>
      <c r="AH2746" s="47">
        <f>IFERROR(_xlfn.XLOOKUP(Table6[[#This Row],[Suburb]],Table5[Travel Surcharge],Table5[$$]),"")</f>
        <v>1500</v>
      </c>
      <c r="AI2746" s="47">
        <v>1650.0000000000002</v>
      </c>
      <c r="AJ2746" s="47"/>
    </row>
    <row r="2747" spans="1:36">
      <c r="A2747" s="374" t="s">
        <v>8261</v>
      </c>
      <c r="B2747" s="374">
        <v>2</v>
      </c>
      <c r="C2747" s="374" t="s">
        <v>286</v>
      </c>
      <c r="D2747" s="375" t="s">
        <v>9302</v>
      </c>
      <c r="E2747" s="375" t="s">
        <v>9303</v>
      </c>
      <c r="F2747" s="375" t="s">
        <v>8263</v>
      </c>
      <c r="G2747" s="375" t="s">
        <v>8264</v>
      </c>
      <c r="H2747" s="375" t="s">
        <v>8265</v>
      </c>
      <c r="I2747" s="63"/>
      <c r="J2747" s="47">
        <v>3740</v>
      </c>
      <c r="K2747" s="46" t="s">
        <v>7938</v>
      </c>
      <c r="L2747" s="47" t="s">
        <v>5220</v>
      </c>
      <c r="M2747" s="47">
        <v>1430.0000000000002</v>
      </c>
      <c r="N2747" s="47" t="s">
        <v>7070</v>
      </c>
      <c r="O2747" s="47"/>
      <c r="P2747" s="47"/>
      <c r="Q2747" s="47"/>
      <c r="R2747" s="47"/>
      <c r="S2747" s="47"/>
      <c r="T2747" s="47">
        <v>1420</v>
      </c>
      <c r="U2747" s="47"/>
      <c r="V2747" s="47"/>
      <c r="W2747" s="47"/>
      <c r="X2747" s="47">
        <v>3000</v>
      </c>
      <c r="Y2747" s="47" t="s">
        <v>8266</v>
      </c>
      <c r="Z2747" s="47">
        <v>4620</v>
      </c>
      <c r="AA2747" s="47">
        <v>1400</v>
      </c>
      <c r="AB2747" s="47"/>
      <c r="AC2747" s="47"/>
      <c r="AD2747" s="47"/>
      <c r="AE2747" s="47"/>
      <c r="AF2747" s="47">
        <v>1485</v>
      </c>
      <c r="AG2747" s="47"/>
      <c r="AH2747" s="47">
        <f>IFERROR(_xlfn.XLOOKUP(Table6[[#This Row],[Suburb]],Table5[Travel Surcharge],Table5[$$]),"")</f>
        <v>1500</v>
      </c>
      <c r="AI2747" s="47">
        <v>1650.0000000000002</v>
      </c>
      <c r="AJ2747" s="47"/>
    </row>
    <row r="2748" spans="1:36">
      <c r="A2748" s="157" t="s">
        <v>8261</v>
      </c>
      <c r="B2748" s="157">
        <v>1</v>
      </c>
      <c r="C2748" s="157" t="s">
        <v>286</v>
      </c>
      <c r="D2748" s="157" t="str">
        <f t="shared" ref="D2748:D2784" si="574">CONCATENATE(A2748,B2748)</f>
        <v>Mattana1</v>
      </c>
      <c r="E2748" s="157" t="s">
        <v>8262</v>
      </c>
      <c r="F2748" s="157" t="s">
        <v>8263</v>
      </c>
      <c r="G2748" s="157" t="s">
        <v>8264</v>
      </c>
      <c r="H2748" s="157" t="s">
        <v>8265</v>
      </c>
      <c r="I2748" s="158"/>
      <c r="J2748" s="47">
        <f>J$7</f>
        <v>3740</v>
      </c>
      <c r="K2748" s="46" t="s">
        <v>7938</v>
      </c>
      <c r="L2748" s="47" t="s">
        <v>5220</v>
      </c>
      <c r="M2748" s="47">
        <f>$M$7</f>
        <v>1430.0000000000002</v>
      </c>
      <c r="N2748" s="47" t="s">
        <v>7070</v>
      </c>
      <c r="O2748" s="47"/>
      <c r="P2748" s="47"/>
      <c r="Q2748" s="47"/>
      <c r="R2748" s="47"/>
      <c r="S2748" s="47"/>
      <c r="T2748" s="47">
        <f>$T$2</f>
        <v>780</v>
      </c>
      <c r="U2748" s="47"/>
      <c r="V2748" s="47"/>
      <c r="W2748" s="47"/>
      <c r="X2748" s="47">
        <f>X$7</f>
        <v>3000</v>
      </c>
      <c r="Y2748" s="47" t="s">
        <v>8266</v>
      </c>
      <c r="Z2748" s="47">
        <f>Z$7</f>
        <v>4620</v>
      </c>
      <c r="AA2748" s="47">
        <f>AA$7</f>
        <v>1400</v>
      </c>
      <c r="AB2748" s="47"/>
      <c r="AC2748" s="47"/>
      <c r="AD2748" s="47"/>
      <c r="AE2748" s="47"/>
      <c r="AF2748" s="47">
        <f>AF$7</f>
        <v>1485</v>
      </c>
      <c r="AG2748" s="47"/>
      <c r="AH2748" s="47">
        <f>IFERROR(_xlfn.XLOOKUP(Table6[[#This Row],[Suburb]],Table5[Travel Surcharge],Table5[$$]),"")</f>
        <v>1500</v>
      </c>
      <c r="AI2748" s="47">
        <f>$AI$7</f>
        <v>1650.0000000000002</v>
      </c>
      <c r="AJ2748" s="47"/>
    </row>
    <row r="2749" spans="1:36">
      <c r="A2749" s="374" t="s">
        <v>4223</v>
      </c>
      <c r="B2749" s="374">
        <v>1</v>
      </c>
      <c r="C2749" s="374" t="s">
        <v>1024</v>
      </c>
      <c r="D2749" s="375" t="str">
        <f t="shared" si="574"/>
        <v>Mayfair Park1</v>
      </c>
      <c r="E2749" s="375" t="s">
        <v>4224</v>
      </c>
      <c r="F2749" s="375"/>
      <c r="G2749" s="375" t="s">
        <v>4225</v>
      </c>
      <c r="H2749" s="375" t="s">
        <v>4226</v>
      </c>
      <c r="I2749" s="63" t="s">
        <v>4227</v>
      </c>
      <c r="J2749" s="47"/>
      <c r="K2749" s="46" t="s">
        <v>10735</v>
      </c>
      <c r="L2749" s="47"/>
      <c r="M2749" s="47"/>
      <c r="N2749" s="47"/>
      <c r="O2749" s="47"/>
      <c r="P2749" s="47"/>
      <c r="Q2749" s="47">
        <f>Q$2</f>
        <v>0</v>
      </c>
      <c r="R2749" s="47"/>
      <c r="S2749" s="47"/>
      <c r="T2749" s="47"/>
      <c r="U2749" s="47"/>
      <c r="V2749" s="47"/>
      <c r="W2749" s="47"/>
      <c r="X2749" s="47"/>
      <c r="Y2749" s="47"/>
      <c r="Z2749" s="47">
        <f>Z$7</f>
        <v>4620</v>
      </c>
      <c r="AA2749" s="47"/>
      <c r="AB2749" s="47"/>
      <c r="AC2749" s="47"/>
      <c r="AD2749" s="47"/>
      <c r="AE2749" s="47"/>
      <c r="AF2749" s="47"/>
      <c r="AG2749" s="47"/>
      <c r="AH2749" s="47" t="str">
        <f>IFERROR(_xlfn.XLOOKUP(Table6[[#This Row],[Suburb]],Table5[Travel Surcharge],Table5[$$]),"")</f>
        <v/>
      </c>
      <c r="AI2749" s="47"/>
      <c r="AJ2749" s="47"/>
    </row>
    <row r="2750" spans="1:36">
      <c r="A2750" s="157" t="s">
        <v>4221</v>
      </c>
      <c r="B2750" s="157">
        <v>1</v>
      </c>
      <c r="C2750" s="157" t="s">
        <v>2371</v>
      </c>
      <c r="D2750" s="157" t="str">
        <f t="shared" si="574"/>
        <v>Mayfield1</v>
      </c>
      <c r="E2750" s="157" t="s">
        <v>8303</v>
      </c>
      <c r="F2750" s="157" t="s">
        <v>4005</v>
      </c>
      <c r="G2750" s="157"/>
      <c r="H2750" s="157"/>
      <c r="I2750" s="158"/>
      <c r="J2750" s="47"/>
      <c r="K2750" s="46" t="s">
        <v>10735</v>
      </c>
      <c r="L2750" s="47"/>
      <c r="M2750" s="47"/>
      <c r="N2750" s="47"/>
      <c r="O2750" s="47"/>
      <c r="P2750" s="47"/>
      <c r="Q2750" s="47"/>
      <c r="R2750" s="47"/>
      <c r="S2750" s="47" t="s">
        <v>463</v>
      </c>
      <c r="T2750" s="47"/>
      <c r="U2750" s="47"/>
      <c r="V2750" s="47"/>
      <c r="W2750" s="47"/>
      <c r="X2750" s="47"/>
      <c r="Y2750" s="47"/>
      <c r="Z2750" s="47"/>
      <c r="AA2750" s="47"/>
      <c r="AB2750" s="47"/>
      <c r="AC2750" s="47"/>
      <c r="AD2750" s="47"/>
      <c r="AE2750" s="47"/>
      <c r="AF2750" s="47"/>
      <c r="AG2750" s="47"/>
      <c r="AH2750" s="47">
        <f>IFERROR(_xlfn.XLOOKUP(Table6[[#This Row],[Suburb]],Table5[Travel Surcharge],Table5[$$]),"")</f>
        <v>4000</v>
      </c>
      <c r="AI2750" s="47"/>
      <c r="AJ2750" s="47"/>
    </row>
    <row r="2751" spans="1:36">
      <c r="A2751" s="374" t="s">
        <v>4221</v>
      </c>
      <c r="B2751" s="374">
        <v>2</v>
      </c>
      <c r="C2751" s="374" t="s">
        <v>2371</v>
      </c>
      <c r="D2751" s="375" t="str">
        <f t="shared" si="574"/>
        <v>Mayfield2</v>
      </c>
      <c r="E2751" s="375" t="s">
        <v>4222</v>
      </c>
      <c r="F2751" s="375" t="s">
        <v>4005</v>
      </c>
      <c r="G2751" s="375"/>
      <c r="H2751" s="375"/>
      <c r="I2751" s="63"/>
      <c r="J2751" s="47"/>
      <c r="K2751" s="46" t="s">
        <v>10735</v>
      </c>
      <c r="L2751" s="47"/>
      <c r="M2751" s="47"/>
      <c r="N2751" s="47"/>
      <c r="O2751" s="47"/>
      <c r="P2751" s="47"/>
      <c r="Q2751" s="47"/>
      <c r="R2751" s="47"/>
      <c r="S2751" s="47" t="s">
        <v>463</v>
      </c>
      <c r="T2751" s="47"/>
      <c r="U2751" s="47"/>
      <c r="V2751" s="47"/>
      <c r="W2751" s="47"/>
      <c r="X2751" s="47"/>
      <c r="Y2751" s="47"/>
      <c r="Z2751" s="47"/>
      <c r="AA2751" s="47"/>
      <c r="AB2751" s="47"/>
      <c r="AC2751" s="47"/>
      <c r="AD2751" s="47"/>
      <c r="AE2751" s="47"/>
      <c r="AF2751" s="47"/>
      <c r="AG2751" s="47"/>
      <c r="AH2751" s="47">
        <f>IFERROR(_xlfn.XLOOKUP(Table6[[#This Row],[Suburb]],Table5[Travel Surcharge],Table5[$$]),"")</f>
        <v>4000</v>
      </c>
      <c r="AI2751" s="47"/>
      <c r="AJ2751" s="47"/>
    </row>
    <row r="2752" spans="1:36">
      <c r="A2752" s="374" t="s">
        <v>4228</v>
      </c>
      <c r="B2752" s="374">
        <v>9</v>
      </c>
      <c r="C2752" s="374" t="s">
        <v>529</v>
      </c>
      <c r="D2752" s="375" t="str">
        <f t="shared" si="574"/>
        <v>Mayfield Estate9</v>
      </c>
      <c r="E2752" s="375" t="s">
        <v>4229</v>
      </c>
      <c r="F2752" s="375" t="s">
        <v>4230</v>
      </c>
      <c r="G2752" s="375" t="s">
        <v>4231</v>
      </c>
      <c r="H2752" s="375" t="s">
        <v>4232</v>
      </c>
      <c r="I2752" s="63" t="s">
        <v>4233</v>
      </c>
      <c r="J2752" s="47">
        <f t="shared" ref="J2752:J2784" si="575">J$7</f>
        <v>3740</v>
      </c>
      <c r="K2752" s="46" t="s">
        <v>7938</v>
      </c>
      <c r="L2752" s="47">
        <f>L$7</f>
        <v>1210</v>
      </c>
      <c r="M2752" s="47"/>
      <c r="N2752" s="47"/>
      <c r="O2752" s="47"/>
      <c r="P2752" s="47"/>
      <c r="Q2752" s="47" t="s">
        <v>4234</v>
      </c>
      <c r="R2752" s="47"/>
      <c r="S2752" s="47"/>
      <c r="T2752" s="47"/>
      <c r="U2752" s="47">
        <f>U$2</f>
        <v>430</v>
      </c>
      <c r="V2752" s="47"/>
      <c r="W2752" s="47"/>
      <c r="X2752" s="47">
        <f>X$7</f>
        <v>3000</v>
      </c>
      <c r="Y2752" s="47"/>
      <c r="Z2752" s="47">
        <f t="shared" ref="Z2752:AA2756" si="576">Z$7</f>
        <v>4620</v>
      </c>
      <c r="AA2752" s="47">
        <f t="shared" si="576"/>
        <v>1400</v>
      </c>
      <c r="AB2752" s="47"/>
      <c r="AC2752" s="47"/>
      <c r="AD2752" s="47"/>
      <c r="AE2752" s="47"/>
      <c r="AF2752" s="47"/>
      <c r="AG2752" s="47"/>
      <c r="AH2752" s="47" t="str">
        <f>IFERROR(_xlfn.XLOOKUP(Table6[[#This Row],[Suburb]],Table5[Travel Surcharge],Table5[$$]),"")</f>
        <v/>
      </c>
      <c r="AI2752" s="47"/>
      <c r="AJ2752" s="47"/>
    </row>
    <row r="2753" spans="1:36">
      <c r="A2753" s="374" t="s">
        <v>4228</v>
      </c>
      <c r="B2753" s="374">
        <v>11</v>
      </c>
      <c r="C2753" s="374" t="s">
        <v>529</v>
      </c>
      <c r="D2753" s="375" t="str">
        <f t="shared" si="574"/>
        <v>Mayfield Estate11</v>
      </c>
      <c r="E2753" s="375" t="s">
        <v>4235</v>
      </c>
      <c r="F2753" s="375" t="s">
        <v>4230</v>
      </c>
      <c r="G2753" s="375" t="s">
        <v>4231</v>
      </c>
      <c r="H2753" s="375" t="s">
        <v>4232</v>
      </c>
      <c r="I2753" s="63" t="s">
        <v>4233</v>
      </c>
      <c r="J2753" s="47">
        <f t="shared" si="575"/>
        <v>3740</v>
      </c>
      <c r="K2753" s="46" t="s">
        <v>7938</v>
      </c>
      <c r="L2753" s="47">
        <f>L$7</f>
        <v>1210</v>
      </c>
      <c r="M2753" s="47"/>
      <c r="N2753" s="47"/>
      <c r="O2753" s="47"/>
      <c r="P2753" s="47"/>
      <c r="Q2753" s="47" t="s">
        <v>4234</v>
      </c>
      <c r="R2753" s="47"/>
      <c r="S2753" s="47"/>
      <c r="T2753" s="47"/>
      <c r="U2753" s="47">
        <f>U$2</f>
        <v>430</v>
      </c>
      <c r="V2753" s="47"/>
      <c r="W2753" s="47"/>
      <c r="X2753" s="47">
        <f>X$7</f>
        <v>3000</v>
      </c>
      <c r="Y2753" s="47"/>
      <c r="Z2753" s="47">
        <f t="shared" si="576"/>
        <v>4620</v>
      </c>
      <c r="AA2753" s="47">
        <f t="shared" si="576"/>
        <v>1400</v>
      </c>
      <c r="AB2753" s="47"/>
      <c r="AC2753" s="47"/>
      <c r="AD2753" s="47"/>
      <c r="AE2753" s="47"/>
      <c r="AF2753" s="47"/>
      <c r="AG2753" s="47"/>
      <c r="AH2753" s="47" t="str">
        <f>IFERROR(_xlfn.XLOOKUP(Table6[[#This Row],[Suburb]],Table5[Travel Surcharge],Table5[$$]),"")</f>
        <v/>
      </c>
      <c r="AI2753" s="47"/>
      <c r="AJ2753" s="47"/>
    </row>
    <row r="2754" spans="1:36">
      <c r="A2754" s="374" t="s">
        <v>4228</v>
      </c>
      <c r="B2754" s="374">
        <v>12</v>
      </c>
      <c r="C2754" s="374" t="s">
        <v>529</v>
      </c>
      <c r="D2754" s="375" t="str">
        <f t="shared" si="574"/>
        <v>Mayfield Estate12</v>
      </c>
      <c r="E2754" s="375" t="s">
        <v>4236</v>
      </c>
      <c r="F2754" s="375" t="s">
        <v>4230</v>
      </c>
      <c r="G2754" s="375" t="s">
        <v>4231</v>
      </c>
      <c r="H2754" s="375" t="s">
        <v>4232</v>
      </c>
      <c r="I2754" s="63" t="s">
        <v>4233</v>
      </c>
      <c r="J2754" s="47">
        <f t="shared" si="575"/>
        <v>3740</v>
      </c>
      <c r="K2754" s="46" t="s">
        <v>7938</v>
      </c>
      <c r="L2754" s="47">
        <f>L$7</f>
        <v>1210</v>
      </c>
      <c r="M2754" s="47"/>
      <c r="N2754" s="47"/>
      <c r="O2754" s="47"/>
      <c r="P2754" s="47"/>
      <c r="Q2754" s="47" t="s">
        <v>4234</v>
      </c>
      <c r="R2754" s="47"/>
      <c r="S2754" s="47"/>
      <c r="T2754" s="47"/>
      <c r="U2754" s="47">
        <f>U$2</f>
        <v>430</v>
      </c>
      <c r="V2754" s="47"/>
      <c r="W2754" s="47"/>
      <c r="X2754" s="47">
        <f>X$7</f>
        <v>3000</v>
      </c>
      <c r="Y2754" s="47"/>
      <c r="Z2754" s="47">
        <f t="shared" si="576"/>
        <v>4620</v>
      </c>
      <c r="AA2754" s="47">
        <f t="shared" si="576"/>
        <v>1400</v>
      </c>
      <c r="AB2754" s="47"/>
      <c r="AC2754" s="47"/>
      <c r="AD2754" s="47"/>
      <c r="AE2754" s="47"/>
      <c r="AF2754" s="47"/>
      <c r="AG2754" s="47"/>
      <c r="AH2754" s="47" t="str">
        <f>IFERROR(_xlfn.XLOOKUP(Table6[[#This Row],[Suburb]],Table5[Travel Surcharge],Table5[$$]),"")</f>
        <v/>
      </c>
      <c r="AI2754" s="47"/>
      <c r="AJ2754" s="47"/>
    </row>
    <row r="2755" spans="1:36">
      <c r="A2755" s="374" t="s">
        <v>4228</v>
      </c>
      <c r="B2755" s="374">
        <v>13</v>
      </c>
      <c r="C2755" s="374" t="s">
        <v>529</v>
      </c>
      <c r="D2755" s="375" t="str">
        <f t="shared" si="574"/>
        <v>Mayfield Estate13</v>
      </c>
      <c r="E2755" s="375" t="s">
        <v>4237</v>
      </c>
      <c r="F2755" s="375" t="s">
        <v>4230</v>
      </c>
      <c r="G2755" s="375" t="s">
        <v>4231</v>
      </c>
      <c r="H2755" s="375" t="s">
        <v>4232</v>
      </c>
      <c r="I2755" s="63" t="s">
        <v>4233</v>
      </c>
      <c r="J2755" s="47">
        <f t="shared" si="575"/>
        <v>3740</v>
      </c>
      <c r="K2755" s="46" t="s">
        <v>7938</v>
      </c>
      <c r="L2755" s="47">
        <f>L$7</f>
        <v>1210</v>
      </c>
      <c r="M2755" s="47"/>
      <c r="N2755" s="47"/>
      <c r="O2755" s="47"/>
      <c r="P2755" s="47"/>
      <c r="Q2755" s="47" t="s">
        <v>4234</v>
      </c>
      <c r="R2755" s="47"/>
      <c r="S2755" s="47"/>
      <c r="T2755" s="47"/>
      <c r="U2755" s="47">
        <f>U$2</f>
        <v>430</v>
      </c>
      <c r="V2755" s="47"/>
      <c r="W2755" s="47"/>
      <c r="X2755" s="47">
        <f>X$7</f>
        <v>3000</v>
      </c>
      <c r="Y2755" s="47"/>
      <c r="Z2755" s="47">
        <f t="shared" si="576"/>
        <v>4620</v>
      </c>
      <c r="AA2755" s="47">
        <f t="shared" si="576"/>
        <v>1400</v>
      </c>
      <c r="AB2755" s="47"/>
      <c r="AC2755" s="47"/>
      <c r="AD2755" s="47"/>
      <c r="AE2755" s="47"/>
      <c r="AF2755" s="47"/>
      <c r="AG2755" s="47"/>
      <c r="AH2755" s="47" t="str">
        <f>IFERROR(_xlfn.XLOOKUP(Table6[[#This Row],[Suburb]],Table5[Travel Surcharge],Table5[$$]),"")</f>
        <v/>
      </c>
      <c r="AI2755" s="47"/>
      <c r="AJ2755" s="47"/>
    </row>
    <row r="2756" spans="1:36">
      <c r="A2756" s="374" t="s">
        <v>4228</v>
      </c>
      <c r="B2756" s="374">
        <v>14</v>
      </c>
      <c r="C2756" s="374" t="s">
        <v>529</v>
      </c>
      <c r="D2756" s="375" t="str">
        <f t="shared" si="574"/>
        <v>Mayfield Estate14</v>
      </c>
      <c r="E2756" s="375" t="s">
        <v>4238</v>
      </c>
      <c r="F2756" s="375" t="s">
        <v>4230</v>
      </c>
      <c r="G2756" s="375" t="s">
        <v>4231</v>
      </c>
      <c r="H2756" s="375" t="s">
        <v>4232</v>
      </c>
      <c r="I2756" s="63" t="s">
        <v>4233</v>
      </c>
      <c r="J2756" s="47">
        <f t="shared" si="575"/>
        <v>3740</v>
      </c>
      <c r="K2756" s="46" t="s">
        <v>7938</v>
      </c>
      <c r="L2756" s="47">
        <f>L$7</f>
        <v>1210</v>
      </c>
      <c r="M2756" s="47"/>
      <c r="N2756" s="47"/>
      <c r="O2756" s="47"/>
      <c r="P2756" s="47"/>
      <c r="Q2756" s="47" t="s">
        <v>4234</v>
      </c>
      <c r="R2756" s="47"/>
      <c r="S2756" s="47"/>
      <c r="T2756" s="47"/>
      <c r="U2756" s="47">
        <f>U$2</f>
        <v>430</v>
      </c>
      <c r="V2756" s="47"/>
      <c r="W2756" s="47"/>
      <c r="X2756" s="47">
        <f>X$7</f>
        <v>3000</v>
      </c>
      <c r="Y2756" s="47"/>
      <c r="Z2756" s="47">
        <f t="shared" si="576"/>
        <v>4620</v>
      </c>
      <c r="AA2756" s="47">
        <f t="shared" si="576"/>
        <v>1400</v>
      </c>
      <c r="AB2756" s="47"/>
      <c r="AC2756" s="47"/>
      <c r="AD2756" s="47"/>
      <c r="AE2756" s="47"/>
      <c r="AF2756" s="47"/>
      <c r="AG2756" s="47"/>
      <c r="AH2756" s="47" t="str">
        <f>IFERROR(_xlfn.XLOOKUP(Table6[[#This Row],[Suburb]],Table5[Travel Surcharge],Table5[$$]),"")</f>
        <v/>
      </c>
      <c r="AI2756" s="47"/>
      <c r="AJ2756" s="47"/>
    </row>
    <row r="2757" spans="1:36">
      <c r="A2757" s="374" t="s">
        <v>4239</v>
      </c>
      <c r="B2757" s="374">
        <v>1</v>
      </c>
      <c r="C2757" s="374" t="s">
        <v>4240</v>
      </c>
      <c r="D2757" s="375" t="str">
        <f t="shared" si="574"/>
        <v>Melrose Terrace1</v>
      </c>
      <c r="E2757" s="375" t="s">
        <v>4241</v>
      </c>
      <c r="F2757" s="375"/>
      <c r="G2757" s="375" t="s">
        <v>4242</v>
      </c>
      <c r="H2757" s="375" t="s">
        <v>4243</v>
      </c>
      <c r="I2757" s="63" t="s">
        <v>4244</v>
      </c>
      <c r="J2757" s="47">
        <f t="shared" si="575"/>
        <v>3740</v>
      </c>
      <c r="K2757" s="46" t="s">
        <v>10735</v>
      </c>
      <c r="L2757" s="47"/>
      <c r="M2757" s="47"/>
      <c r="N2757" s="47"/>
      <c r="O2757" s="47"/>
      <c r="P2757" s="47"/>
      <c r="Q2757" s="47">
        <f>Q$2</f>
        <v>0</v>
      </c>
      <c r="R2757" s="47"/>
      <c r="S2757" s="47"/>
      <c r="T2757" s="47"/>
      <c r="U2757" s="47"/>
      <c r="V2757" s="47"/>
      <c r="W2757" s="47"/>
      <c r="X2757" s="47"/>
      <c r="Y2757" s="47"/>
      <c r="Z2757" s="47">
        <f t="shared" ref="Z2757:Z2784" si="577">Z$7</f>
        <v>4620</v>
      </c>
      <c r="AA2757" s="47"/>
      <c r="AB2757" s="47"/>
      <c r="AC2757" s="47"/>
      <c r="AD2757" s="47"/>
      <c r="AE2757" s="47"/>
      <c r="AF2757" s="47"/>
      <c r="AG2757" s="47"/>
      <c r="AH2757" s="47" t="str">
        <f>IFERROR(_xlfn.XLOOKUP(Table6[[#This Row],[Suburb]],Table5[Travel Surcharge],Table5[$$]),"")</f>
        <v/>
      </c>
      <c r="AI2757" s="47"/>
      <c r="AJ2757" s="47"/>
    </row>
    <row r="2758" spans="1:36">
      <c r="A2758" s="374" t="s">
        <v>4245</v>
      </c>
      <c r="B2758" s="374">
        <v>4</v>
      </c>
      <c r="C2758" s="374" t="s">
        <v>428</v>
      </c>
      <c r="D2758" s="375" t="str">
        <f t="shared" si="574"/>
        <v>Meridian Estate4</v>
      </c>
      <c r="E2758" s="375" t="s">
        <v>4246</v>
      </c>
      <c r="F2758" s="375"/>
      <c r="G2758" s="375"/>
      <c r="H2758" s="375" t="s">
        <v>4247</v>
      </c>
      <c r="I2758" s="63"/>
      <c r="J2758" s="47">
        <f t="shared" si="575"/>
        <v>3740</v>
      </c>
      <c r="K2758" s="46" t="s">
        <v>10735</v>
      </c>
      <c r="L2758" s="47">
        <f t="shared" ref="L2758:L2782" si="578">L$7</f>
        <v>1210</v>
      </c>
      <c r="M2758" s="47" t="s">
        <v>4017</v>
      </c>
      <c r="N2758" s="47"/>
      <c r="O2758" s="47"/>
      <c r="P2758" s="47"/>
      <c r="Q2758" s="47"/>
      <c r="R2758" s="47"/>
      <c r="S2758" s="47"/>
      <c r="T2758" s="47"/>
      <c r="U2758" s="47">
        <f t="shared" ref="U2758:U2784" si="579">U$2</f>
        <v>430</v>
      </c>
      <c r="V2758" s="47"/>
      <c r="W2758" s="47"/>
      <c r="X2758" s="47"/>
      <c r="Y2758" s="47"/>
      <c r="Z2758" s="47">
        <f t="shared" si="577"/>
        <v>4620</v>
      </c>
      <c r="AA2758" s="47">
        <f t="shared" ref="AA2758:AA2784" si="580">AA$7</f>
        <v>1400</v>
      </c>
      <c r="AB2758" s="47"/>
      <c r="AC2758" s="47"/>
      <c r="AD2758" s="47" t="s">
        <v>1</v>
      </c>
      <c r="AE2758" s="47"/>
      <c r="AF2758" s="47">
        <f t="shared" ref="AF2758:AF2784" si="581">AF$7</f>
        <v>1485</v>
      </c>
      <c r="AG2758" s="47"/>
      <c r="AH2758" s="47" t="str">
        <f>IFERROR(_xlfn.XLOOKUP(Table6[[#This Row],[Suburb]],Table5[Travel Surcharge],Table5[$$]),"")</f>
        <v/>
      </c>
      <c r="AI2758" s="47"/>
      <c r="AJ2758" s="47"/>
    </row>
    <row r="2759" spans="1:36">
      <c r="A2759" s="374" t="s">
        <v>4245</v>
      </c>
      <c r="B2759" s="374">
        <v>6</v>
      </c>
      <c r="C2759" s="374" t="s">
        <v>428</v>
      </c>
      <c r="D2759" s="375" t="str">
        <f t="shared" si="574"/>
        <v>Meridian Estate6</v>
      </c>
      <c r="E2759" s="375" t="s">
        <v>4248</v>
      </c>
      <c r="F2759" s="375"/>
      <c r="G2759" s="375"/>
      <c r="H2759" s="375" t="s">
        <v>4247</v>
      </c>
      <c r="I2759" s="63"/>
      <c r="J2759" s="47">
        <f t="shared" si="575"/>
        <v>3740</v>
      </c>
      <c r="K2759" s="46" t="s">
        <v>10735</v>
      </c>
      <c r="L2759" s="47">
        <f t="shared" si="578"/>
        <v>1210</v>
      </c>
      <c r="M2759" s="47" t="s">
        <v>4017</v>
      </c>
      <c r="N2759" s="47"/>
      <c r="O2759" s="47"/>
      <c r="P2759" s="47"/>
      <c r="Q2759" s="47"/>
      <c r="R2759" s="47"/>
      <c r="S2759" s="47"/>
      <c r="T2759" s="47"/>
      <c r="U2759" s="47">
        <f t="shared" si="579"/>
        <v>430</v>
      </c>
      <c r="V2759" s="47"/>
      <c r="W2759" s="47"/>
      <c r="X2759" s="47"/>
      <c r="Y2759" s="47"/>
      <c r="Z2759" s="47">
        <f t="shared" si="577"/>
        <v>4620</v>
      </c>
      <c r="AA2759" s="47">
        <f t="shared" si="580"/>
        <v>1400</v>
      </c>
      <c r="AB2759" s="47"/>
      <c r="AC2759" s="47"/>
      <c r="AD2759" s="47" t="s">
        <v>1</v>
      </c>
      <c r="AE2759" s="47"/>
      <c r="AF2759" s="47">
        <f t="shared" si="581"/>
        <v>1485</v>
      </c>
      <c r="AG2759" s="47"/>
      <c r="AH2759" s="47" t="str">
        <f>IFERROR(_xlfn.XLOOKUP(Table6[[#This Row],[Suburb]],Table5[Travel Surcharge],Table5[$$]),"")</f>
        <v/>
      </c>
      <c r="AI2759" s="47"/>
      <c r="AJ2759" s="47"/>
    </row>
    <row r="2760" spans="1:36">
      <c r="A2760" s="374" t="s">
        <v>4245</v>
      </c>
      <c r="B2760" s="374">
        <v>7</v>
      </c>
      <c r="C2760" s="374" t="s">
        <v>428</v>
      </c>
      <c r="D2760" s="375" t="str">
        <f t="shared" si="574"/>
        <v>Meridian Estate7</v>
      </c>
      <c r="E2760" s="375" t="s">
        <v>4249</v>
      </c>
      <c r="F2760" s="375"/>
      <c r="G2760" s="375"/>
      <c r="H2760" s="375" t="s">
        <v>4247</v>
      </c>
      <c r="I2760" s="63"/>
      <c r="J2760" s="47">
        <f t="shared" si="575"/>
        <v>3740</v>
      </c>
      <c r="K2760" s="46" t="s">
        <v>10735</v>
      </c>
      <c r="L2760" s="47">
        <f t="shared" si="578"/>
        <v>1210</v>
      </c>
      <c r="M2760" s="47" t="s">
        <v>4017</v>
      </c>
      <c r="N2760" s="47"/>
      <c r="O2760" s="47"/>
      <c r="P2760" s="47"/>
      <c r="Q2760" s="47"/>
      <c r="R2760" s="47"/>
      <c r="S2760" s="47"/>
      <c r="T2760" s="47"/>
      <c r="U2760" s="47">
        <f t="shared" si="579"/>
        <v>430</v>
      </c>
      <c r="V2760" s="47"/>
      <c r="W2760" s="47"/>
      <c r="X2760" s="47"/>
      <c r="Y2760" s="47"/>
      <c r="Z2760" s="47">
        <f t="shared" si="577"/>
        <v>4620</v>
      </c>
      <c r="AA2760" s="47">
        <f t="shared" si="580"/>
        <v>1400</v>
      </c>
      <c r="AB2760" s="47"/>
      <c r="AC2760" s="47"/>
      <c r="AD2760" s="47" t="s">
        <v>1</v>
      </c>
      <c r="AE2760" s="47"/>
      <c r="AF2760" s="47">
        <f t="shared" si="581"/>
        <v>1485</v>
      </c>
      <c r="AG2760" s="47"/>
      <c r="AH2760" s="47" t="str">
        <f>IFERROR(_xlfn.XLOOKUP(Table6[[#This Row],[Suburb]],Table5[Travel Surcharge],Table5[$$]),"")</f>
        <v/>
      </c>
      <c r="AI2760" s="47"/>
      <c r="AJ2760" s="47"/>
    </row>
    <row r="2761" spans="1:36">
      <c r="A2761" s="374" t="s">
        <v>4245</v>
      </c>
      <c r="B2761" s="374">
        <v>8</v>
      </c>
      <c r="C2761" s="374" t="s">
        <v>428</v>
      </c>
      <c r="D2761" s="375" t="str">
        <f t="shared" si="574"/>
        <v>Meridian Estate8</v>
      </c>
      <c r="E2761" s="375" t="s">
        <v>4250</v>
      </c>
      <c r="F2761" s="375"/>
      <c r="G2761" s="375"/>
      <c r="H2761" s="375" t="s">
        <v>4247</v>
      </c>
      <c r="I2761" s="63"/>
      <c r="J2761" s="47">
        <f t="shared" si="575"/>
        <v>3740</v>
      </c>
      <c r="K2761" s="46" t="s">
        <v>10735</v>
      </c>
      <c r="L2761" s="47">
        <f t="shared" si="578"/>
        <v>1210</v>
      </c>
      <c r="M2761" s="47" t="s">
        <v>4017</v>
      </c>
      <c r="N2761" s="47"/>
      <c r="O2761" s="47"/>
      <c r="P2761" s="47"/>
      <c r="Q2761" s="47"/>
      <c r="R2761" s="47"/>
      <c r="S2761" s="47"/>
      <c r="T2761" s="47"/>
      <c r="U2761" s="47">
        <f t="shared" si="579"/>
        <v>430</v>
      </c>
      <c r="V2761" s="47"/>
      <c r="W2761" s="47"/>
      <c r="X2761" s="47"/>
      <c r="Y2761" s="47"/>
      <c r="Z2761" s="47">
        <f t="shared" si="577"/>
        <v>4620</v>
      </c>
      <c r="AA2761" s="47">
        <f t="shared" si="580"/>
        <v>1400</v>
      </c>
      <c r="AB2761" s="47"/>
      <c r="AC2761" s="47"/>
      <c r="AD2761" s="47" t="s">
        <v>1</v>
      </c>
      <c r="AE2761" s="47"/>
      <c r="AF2761" s="47">
        <f t="shared" si="581"/>
        <v>1485</v>
      </c>
      <c r="AG2761" s="47"/>
      <c r="AH2761" s="47" t="str">
        <f>IFERROR(_xlfn.XLOOKUP(Table6[[#This Row],[Suburb]],Table5[Travel Surcharge],Table5[$$]),"")</f>
        <v/>
      </c>
      <c r="AI2761" s="47"/>
      <c r="AJ2761" s="47"/>
    </row>
    <row r="2762" spans="1:36">
      <c r="A2762" s="374" t="s">
        <v>4245</v>
      </c>
      <c r="B2762" s="374">
        <v>10</v>
      </c>
      <c r="C2762" s="374" t="s">
        <v>428</v>
      </c>
      <c r="D2762" s="375" t="str">
        <f t="shared" si="574"/>
        <v>Meridian Estate10</v>
      </c>
      <c r="E2762" s="375" t="s">
        <v>4253</v>
      </c>
      <c r="F2762" s="375"/>
      <c r="G2762" s="375"/>
      <c r="H2762" s="375" t="s">
        <v>4247</v>
      </c>
      <c r="I2762" s="63"/>
      <c r="J2762" s="47">
        <f t="shared" si="575"/>
        <v>3740</v>
      </c>
      <c r="K2762" s="46" t="s">
        <v>10735</v>
      </c>
      <c r="L2762" s="47">
        <f t="shared" si="578"/>
        <v>1210</v>
      </c>
      <c r="M2762" s="47" t="s">
        <v>4017</v>
      </c>
      <c r="N2762" s="47"/>
      <c r="O2762" s="47"/>
      <c r="P2762" s="47"/>
      <c r="Q2762" s="47"/>
      <c r="R2762" s="47"/>
      <c r="S2762" s="47"/>
      <c r="T2762" s="47"/>
      <c r="U2762" s="47">
        <f t="shared" si="579"/>
        <v>430</v>
      </c>
      <c r="V2762" s="47"/>
      <c r="W2762" s="47"/>
      <c r="X2762" s="47"/>
      <c r="Y2762" s="47"/>
      <c r="Z2762" s="47">
        <f t="shared" si="577"/>
        <v>4620</v>
      </c>
      <c r="AA2762" s="47">
        <f t="shared" si="580"/>
        <v>1400</v>
      </c>
      <c r="AB2762" s="47"/>
      <c r="AC2762" s="47"/>
      <c r="AD2762" s="47" t="s">
        <v>1</v>
      </c>
      <c r="AE2762" s="47"/>
      <c r="AF2762" s="47">
        <f t="shared" si="581"/>
        <v>1485</v>
      </c>
      <c r="AG2762" s="47"/>
      <c r="AH2762" s="47" t="str">
        <f>IFERROR(_xlfn.XLOOKUP(Table6[[#This Row],[Suburb]],Table5[Travel Surcharge],Table5[$$]),"")</f>
        <v/>
      </c>
      <c r="AI2762" s="47"/>
      <c r="AJ2762" s="47"/>
    </row>
    <row r="2763" spans="1:36">
      <c r="A2763" s="374" t="s">
        <v>4245</v>
      </c>
      <c r="B2763" s="374">
        <v>11</v>
      </c>
      <c r="C2763" s="374" t="s">
        <v>428</v>
      </c>
      <c r="D2763" s="375" t="str">
        <f t="shared" si="574"/>
        <v>Meridian Estate11</v>
      </c>
      <c r="E2763" s="375" t="s">
        <v>4254</v>
      </c>
      <c r="F2763" s="375"/>
      <c r="G2763" s="375"/>
      <c r="H2763" s="375" t="s">
        <v>4247</v>
      </c>
      <c r="I2763" s="63"/>
      <c r="J2763" s="47">
        <f t="shared" si="575"/>
        <v>3740</v>
      </c>
      <c r="K2763" s="46" t="s">
        <v>10735</v>
      </c>
      <c r="L2763" s="47">
        <f t="shared" si="578"/>
        <v>1210</v>
      </c>
      <c r="M2763" s="47" t="s">
        <v>4017</v>
      </c>
      <c r="N2763" s="47"/>
      <c r="O2763" s="47"/>
      <c r="P2763" s="47"/>
      <c r="Q2763" s="47"/>
      <c r="R2763" s="47"/>
      <c r="S2763" s="47"/>
      <c r="T2763" s="47"/>
      <c r="U2763" s="47">
        <f t="shared" si="579"/>
        <v>430</v>
      </c>
      <c r="V2763" s="47"/>
      <c r="W2763" s="47"/>
      <c r="X2763" s="47"/>
      <c r="Y2763" s="47"/>
      <c r="Z2763" s="47">
        <f t="shared" si="577"/>
        <v>4620</v>
      </c>
      <c r="AA2763" s="47">
        <f t="shared" si="580"/>
        <v>1400</v>
      </c>
      <c r="AB2763" s="47"/>
      <c r="AC2763" s="47"/>
      <c r="AD2763" s="47" t="s">
        <v>1</v>
      </c>
      <c r="AE2763" s="47"/>
      <c r="AF2763" s="47">
        <f t="shared" si="581"/>
        <v>1485</v>
      </c>
      <c r="AG2763" s="47"/>
      <c r="AH2763" s="47" t="str">
        <f>IFERROR(_xlfn.XLOOKUP(Table6[[#This Row],[Suburb]],Table5[Travel Surcharge],Table5[$$]),"")</f>
        <v/>
      </c>
      <c r="AI2763" s="47"/>
      <c r="AJ2763" s="47"/>
    </row>
    <row r="2764" spans="1:36">
      <c r="A2764" s="374" t="s">
        <v>4245</v>
      </c>
      <c r="B2764" s="374">
        <v>13</v>
      </c>
      <c r="C2764" s="374" t="s">
        <v>428</v>
      </c>
      <c r="D2764" s="375" t="str">
        <f t="shared" si="574"/>
        <v>Meridian Estate13</v>
      </c>
      <c r="E2764" s="375" t="s">
        <v>4255</v>
      </c>
      <c r="F2764" s="375"/>
      <c r="G2764" s="375"/>
      <c r="H2764" s="375" t="s">
        <v>4247</v>
      </c>
      <c r="I2764" s="63"/>
      <c r="J2764" s="47">
        <f t="shared" si="575"/>
        <v>3740</v>
      </c>
      <c r="K2764" s="46" t="s">
        <v>10735</v>
      </c>
      <c r="L2764" s="47">
        <f t="shared" si="578"/>
        <v>1210</v>
      </c>
      <c r="M2764" s="47" t="s">
        <v>4017</v>
      </c>
      <c r="N2764" s="47"/>
      <c r="O2764" s="47"/>
      <c r="P2764" s="47"/>
      <c r="Q2764" s="47"/>
      <c r="R2764" s="47"/>
      <c r="S2764" s="47"/>
      <c r="T2764" s="47"/>
      <c r="U2764" s="47">
        <f t="shared" si="579"/>
        <v>430</v>
      </c>
      <c r="V2764" s="47"/>
      <c r="W2764" s="47"/>
      <c r="X2764" s="47"/>
      <c r="Y2764" s="47"/>
      <c r="Z2764" s="47">
        <f t="shared" si="577"/>
        <v>4620</v>
      </c>
      <c r="AA2764" s="47">
        <f t="shared" si="580"/>
        <v>1400</v>
      </c>
      <c r="AB2764" s="47"/>
      <c r="AC2764" s="47"/>
      <c r="AD2764" s="47" t="s">
        <v>1</v>
      </c>
      <c r="AE2764" s="47"/>
      <c r="AF2764" s="47">
        <f t="shared" si="581"/>
        <v>1485</v>
      </c>
      <c r="AG2764" s="47"/>
      <c r="AH2764" s="47" t="str">
        <f>IFERROR(_xlfn.XLOOKUP(Table6[[#This Row],[Suburb]],Table5[Travel Surcharge],Table5[$$]),"")</f>
        <v/>
      </c>
      <c r="AI2764" s="47"/>
      <c r="AJ2764" s="47"/>
    </row>
    <row r="2765" spans="1:36">
      <c r="A2765" s="374" t="s">
        <v>4245</v>
      </c>
      <c r="B2765" s="374">
        <v>14</v>
      </c>
      <c r="C2765" s="374" t="s">
        <v>428</v>
      </c>
      <c r="D2765" s="375" t="str">
        <f t="shared" si="574"/>
        <v>Meridian Estate14</v>
      </c>
      <c r="E2765" s="375" t="s">
        <v>4256</v>
      </c>
      <c r="F2765" s="375"/>
      <c r="G2765" s="375"/>
      <c r="H2765" s="375" t="s">
        <v>4247</v>
      </c>
      <c r="I2765" s="63"/>
      <c r="J2765" s="47">
        <f t="shared" si="575"/>
        <v>3740</v>
      </c>
      <c r="K2765" s="46" t="s">
        <v>10735</v>
      </c>
      <c r="L2765" s="47">
        <f t="shared" si="578"/>
        <v>1210</v>
      </c>
      <c r="M2765" s="47" t="s">
        <v>4017</v>
      </c>
      <c r="N2765" s="47"/>
      <c r="O2765" s="47"/>
      <c r="P2765" s="47"/>
      <c r="Q2765" s="47"/>
      <c r="R2765" s="47"/>
      <c r="S2765" s="47"/>
      <c r="T2765" s="47"/>
      <c r="U2765" s="47">
        <f t="shared" si="579"/>
        <v>430</v>
      </c>
      <c r="V2765" s="47"/>
      <c r="W2765" s="47"/>
      <c r="X2765" s="47"/>
      <c r="Y2765" s="47"/>
      <c r="Z2765" s="47">
        <f t="shared" si="577"/>
        <v>4620</v>
      </c>
      <c r="AA2765" s="47">
        <f t="shared" si="580"/>
        <v>1400</v>
      </c>
      <c r="AB2765" s="47"/>
      <c r="AC2765" s="47"/>
      <c r="AD2765" s="47" t="s">
        <v>1</v>
      </c>
      <c r="AE2765" s="47"/>
      <c r="AF2765" s="47">
        <f t="shared" si="581"/>
        <v>1485</v>
      </c>
      <c r="AG2765" s="47"/>
      <c r="AH2765" s="47" t="str">
        <f>IFERROR(_xlfn.XLOOKUP(Table6[[#This Row],[Suburb]],Table5[Travel Surcharge],Table5[$$]),"")</f>
        <v/>
      </c>
      <c r="AI2765" s="47"/>
      <c r="AJ2765" s="47"/>
    </row>
    <row r="2766" spans="1:36">
      <c r="A2766" s="374" t="s">
        <v>4245</v>
      </c>
      <c r="B2766" s="374">
        <v>15</v>
      </c>
      <c r="C2766" s="374" t="s">
        <v>428</v>
      </c>
      <c r="D2766" s="375" t="str">
        <f t="shared" si="574"/>
        <v>Meridian Estate15</v>
      </c>
      <c r="E2766" s="375" t="s">
        <v>4257</v>
      </c>
      <c r="F2766" s="375"/>
      <c r="G2766" s="375"/>
      <c r="H2766" s="375" t="s">
        <v>4247</v>
      </c>
      <c r="I2766" s="63"/>
      <c r="J2766" s="47">
        <f t="shared" si="575"/>
        <v>3740</v>
      </c>
      <c r="K2766" s="46" t="s">
        <v>10735</v>
      </c>
      <c r="L2766" s="47">
        <f t="shared" si="578"/>
        <v>1210</v>
      </c>
      <c r="M2766" s="47" t="s">
        <v>4017</v>
      </c>
      <c r="N2766" s="47"/>
      <c r="O2766" s="47"/>
      <c r="P2766" s="47"/>
      <c r="Q2766" s="47"/>
      <c r="R2766" s="47"/>
      <c r="S2766" s="47"/>
      <c r="T2766" s="47"/>
      <c r="U2766" s="47">
        <f t="shared" si="579"/>
        <v>430</v>
      </c>
      <c r="V2766" s="47"/>
      <c r="W2766" s="47"/>
      <c r="X2766" s="47"/>
      <c r="Y2766" s="47"/>
      <c r="Z2766" s="47">
        <f t="shared" si="577"/>
        <v>4620</v>
      </c>
      <c r="AA2766" s="47">
        <f t="shared" si="580"/>
        <v>1400</v>
      </c>
      <c r="AB2766" s="47"/>
      <c r="AC2766" s="47"/>
      <c r="AD2766" s="47" t="s">
        <v>1</v>
      </c>
      <c r="AE2766" s="47"/>
      <c r="AF2766" s="47">
        <f t="shared" si="581"/>
        <v>1485</v>
      </c>
      <c r="AG2766" s="47"/>
      <c r="AH2766" s="47" t="str">
        <f>IFERROR(_xlfn.XLOOKUP(Table6[[#This Row],[Suburb]],Table5[Travel Surcharge],Table5[$$]),"")</f>
        <v/>
      </c>
      <c r="AI2766" s="47"/>
      <c r="AJ2766" s="47"/>
    </row>
    <row r="2767" spans="1:36">
      <c r="A2767" s="374" t="s">
        <v>4245</v>
      </c>
      <c r="B2767" s="374">
        <v>16</v>
      </c>
      <c r="C2767" s="374" t="s">
        <v>428</v>
      </c>
      <c r="D2767" s="375" t="str">
        <f t="shared" si="574"/>
        <v>Meridian Estate16</v>
      </c>
      <c r="E2767" s="375" t="s">
        <v>4258</v>
      </c>
      <c r="F2767" s="375"/>
      <c r="G2767" s="375"/>
      <c r="H2767" s="375" t="s">
        <v>4247</v>
      </c>
      <c r="I2767" s="63"/>
      <c r="J2767" s="47">
        <f t="shared" si="575"/>
        <v>3740</v>
      </c>
      <c r="K2767" s="46" t="s">
        <v>10735</v>
      </c>
      <c r="L2767" s="47">
        <f t="shared" si="578"/>
        <v>1210</v>
      </c>
      <c r="M2767" s="47" t="s">
        <v>4017</v>
      </c>
      <c r="N2767" s="47"/>
      <c r="O2767" s="47"/>
      <c r="P2767" s="47"/>
      <c r="Q2767" s="47"/>
      <c r="R2767" s="47"/>
      <c r="S2767" s="47"/>
      <c r="T2767" s="47"/>
      <c r="U2767" s="47">
        <f t="shared" si="579"/>
        <v>430</v>
      </c>
      <c r="V2767" s="47"/>
      <c r="W2767" s="47"/>
      <c r="X2767" s="47"/>
      <c r="Y2767" s="47"/>
      <c r="Z2767" s="47">
        <f t="shared" si="577"/>
        <v>4620</v>
      </c>
      <c r="AA2767" s="47">
        <f t="shared" si="580"/>
        <v>1400</v>
      </c>
      <c r="AB2767" s="47"/>
      <c r="AC2767" s="47"/>
      <c r="AD2767" s="47" t="s">
        <v>1</v>
      </c>
      <c r="AE2767" s="47"/>
      <c r="AF2767" s="47">
        <f t="shared" si="581"/>
        <v>1485</v>
      </c>
      <c r="AG2767" s="47"/>
      <c r="AH2767" s="47" t="str">
        <f>IFERROR(_xlfn.XLOOKUP(Table6[[#This Row],[Suburb]],Table5[Travel Surcharge],Table5[$$]),"")</f>
        <v/>
      </c>
      <c r="AI2767" s="47"/>
      <c r="AJ2767" s="47"/>
    </row>
    <row r="2768" spans="1:36">
      <c r="A2768" s="374" t="s">
        <v>4245</v>
      </c>
      <c r="B2768" s="374">
        <v>17</v>
      </c>
      <c r="C2768" s="374" t="s">
        <v>428</v>
      </c>
      <c r="D2768" s="375" t="str">
        <f t="shared" si="574"/>
        <v>Meridian Estate17</v>
      </c>
      <c r="E2768" s="375" t="s">
        <v>4259</v>
      </c>
      <c r="F2768" s="375"/>
      <c r="G2768" s="375"/>
      <c r="H2768" s="375" t="s">
        <v>4247</v>
      </c>
      <c r="I2768" s="63"/>
      <c r="J2768" s="47">
        <f t="shared" si="575"/>
        <v>3740</v>
      </c>
      <c r="K2768" s="46" t="s">
        <v>10735</v>
      </c>
      <c r="L2768" s="47">
        <f t="shared" si="578"/>
        <v>1210</v>
      </c>
      <c r="M2768" s="47" t="s">
        <v>4017</v>
      </c>
      <c r="N2768" s="47"/>
      <c r="O2768" s="47"/>
      <c r="P2768" s="47"/>
      <c r="Q2768" s="47"/>
      <c r="R2768" s="47"/>
      <c r="S2768" s="47"/>
      <c r="T2768" s="47"/>
      <c r="U2768" s="47">
        <f t="shared" si="579"/>
        <v>430</v>
      </c>
      <c r="V2768" s="47"/>
      <c r="W2768" s="47"/>
      <c r="X2768" s="47"/>
      <c r="Y2768" s="47"/>
      <c r="Z2768" s="47">
        <f t="shared" si="577"/>
        <v>4620</v>
      </c>
      <c r="AA2768" s="47">
        <f t="shared" si="580"/>
        <v>1400</v>
      </c>
      <c r="AB2768" s="47"/>
      <c r="AC2768" s="47"/>
      <c r="AD2768" s="47" t="s">
        <v>1</v>
      </c>
      <c r="AE2768" s="47"/>
      <c r="AF2768" s="47">
        <f t="shared" si="581"/>
        <v>1485</v>
      </c>
      <c r="AG2768" s="47"/>
      <c r="AH2768" s="47" t="str">
        <f>IFERROR(_xlfn.XLOOKUP(Table6[[#This Row],[Suburb]],Table5[Travel Surcharge],Table5[$$]),"")</f>
        <v/>
      </c>
      <c r="AI2768" s="47"/>
      <c r="AJ2768" s="47"/>
    </row>
    <row r="2769" spans="1:36">
      <c r="A2769" s="374" t="s">
        <v>4245</v>
      </c>
      <c r="B2769" s="374">
        <v>20</v>
      </c>
      <c r="C2769" s="374" t="s">
        <v>428</v>
      </c>
      <c r="D2769" s="375" t="str">
        <f t="shared" si="574"/>
        <v>Meridian Estate20</v>
      </c>
      <c r="E2769" s="375" t="s">
        <v>4260</v>
      </c>
      <c r="F2769" s="375"/>
      <c r="G2769" s="375"/>
      <c r="H2769" s="375" t="s">
        <v>4247</v>
      </c>
      <c r="I2769" s="63"/>
      <c r="J2769" s="47">
        <f t="shared" si="575"/>
        <v>3740</v>
      </c>
      <c r="K2769" s="46" t="s">
        <v>10735</v>
      </c>
      <c r="L2769" s="47">
        <f t="shared" si="578"/>
        <v>1210</v>
      </c>
      <c r="M2769" s="47" t="s">
        <v>4017</v>
      </c>
      <c r="N2769" s="47"/>
      <c r="O2769" s="47"/>
      <c r="P2769" s="47"/>
      <c r="Q2769" s="47"/>
      <c r="R2769" s="47"/>
      <c r="S2769" s="47"/>
      <c r="T2769" s="47"/>
      <c r="U2769" s="47">
        <f t="shared" si="579"/>
        <v>430</v>
      </c>
      <c r="V2769" s="47"/>
      <c r="W2769" s="47"/>
      <c r="X2769" s="47"/>
      <c r="Y2769" s="47"/>
      <c r="Z2769" s="47">
        <f t="shared" si="577"/>
        <v>4620</v>
      </c>
      <c r="AA2769" s="47">
        <f t="shared" si="580"/>
        <v>1400</v>
      </c>
      <c r="AB2769" s="47"/>
      <c r="AC2769" s="47"/>
      <c r="AD2769" s="47" t="s">
        <v>1</v>
      </c>
      <c r="AE2769" s="47"/>
      <c r="AF2769" s="47">
        <f t="shared" si="581"/>
        <v>1485</v>
      </c>
      <c r="AG2769" s="47"/>
      <c r="AH2769" s="47" t="str">
        <f>IFERROR(_xlfn.XLOOKUP(Table6[[#This Row],[Suburb]],Table5[Travel Surcharge],Table5[$$]),"")</f>
        <v/>
      </c>
      <c r="AI2769" s="47"/>
      <c r="AJ2769" s="47"/>
    </row>
    <row r="2770" spans="1:36">
      <c r="A2770" s="374" t="s">
        <v>4245</v>
      </c>
      <c r="B2770" s="374">
        <v>21</v>
      </c>
      <c r="C2770" s="374" t="s">
        <v>428</v>
      </c>
      <c r="D2770" s="375" t="str">
        <f t="shared" si="574"/>
        <v>Meridian Estate21</v>
      </c>
      <c r="E2770" s="375" t="s">
        <v>4261</v>
      </c>
      <c r="F2770" s="375"/>
      <c r="G2770" s="375"/>
      <c r="H2770" s="375" t="s">
        <v>4247</v>
      </c>
      <c r="I2770" s="63"/>
      <c r="J2770" s="47">
        <f t="shared" si="575"/>
        <v>3740</v>
      </c>
      <c r="K2770" s="46" t="s">
        <v>10735</v>
      </c>
      <c r="L2770" s="47">
        <f t="shared" si="578"/>
        <v>1210</v>
      </c>
      <c r="M2770" s="47" t="s">
        <v>4017</v>
      </c>
      <c r="N2770" s="47"/>
      <c r="O2770" s="47"/>
      <c r="P2770" s="47"/>
      <c r="Q2770" s="47"/>
      <c r="R2770" s="47"/>
      <c r="S2770" s="47"/>
      <c r="T2770" s="47"/>
      <c r="U2770" s="47">
        <f t="shared" si="579"/>
        <v>430</v>
      </c>
      <c r="V2770" s="47"/>
      <c r="W2770" s="47"/>
      <c r="X2770" s="47"/>
      <c r="Y2770" s="47"/>
      <c r="Z2770" s="47">
        <f t="shared" si="577"/>
        <v>4620</v>
      </c>
      <c r="AA2770" s="47">
        <f t="shared" si="580"/>
        <v>1400</v>
      </c>
      <c r="AB2770" s="47"/>
      <c r="AC2770" s="47"/>
      <c r="AD2770" s="47" t="s">
        <v>1</v>
      </c>
      <c r="AE2770" s="47"/>
      <c r="AF2770" s="47">
        <f t="shared" si="581"/>
        <v>1485</v>
      </c>
      <c r="AG2770" s="47"/>
      <c r="AH2770" s="47" t="str">
        <f>IFERROR(_xlfn.XLOOKUP(Table6[[#This Row],[Suburb]],Table5[Travel Surcharge],Table5[$$]),"")</f>
        <v/>
      </c>
      <c r="AI2770" s="47"/>
      <c r="AJ2770" s="47"/>
    </row>
    <row r="2771" spans="1:36">
      <c r="A2771" s="374" t="s">
        <v>4245</v>
      </c>
      <c r="B2771" s="374">
        <v>23</v>
      </c>
      <c r="C2771" s="374" t="s">
        <v>428</v>
      </c>
      <c r="D2771" s="375" t="str">
        <f t="shared" si="574"/>
        <v>Meridian Estate23</v>
      </c>
      <c r="E2771" s="375" t="s">
        <v>4262</v>
      </c>
      <c r="F2771" s="375"/>
      <c r="G2771" s="375"/>
      <c r="H2771" s="375" t="s">
        <v>4247</v>
      </c>
      <c r="I2771" s="63"/>
      <c r="J2771" s="47">
        <f t="shared" si="575"/>
        <v>3740</v>
      </c>
      <c r="K2771" s="46" t="s">
        <v>10735</v>
      </c>
      <c r="L2771" s="47">
        <f t="shared" si="578"/>
        <v>1210</v>
      </c>
      <c r="M2771" s="47" t="s">
        <v>4017</v>
      </c>
      <c r="N2771" s="47"/>
      <c r="O2771" s="47"/>
      <c r="P2771" s="47"/>
      <c r="Q2771" s="47"/>
      <c r="R2771" s="47"/>
      <c r="S2771" s="47"/>
      <c r="T2771" s="47"/>
      <c r="U2771" s="47">
        <f t="shared" si="579"/>
        <v>430</v>
      </c>
      <c r="V2771" s="47"/>
      <c r="W2771" s="47"/>
      <c r="X2771" s="47"/>
      <c r="Y2771" s="47"/>
      <c r="Z2771" s="47">
        <f t="shared" si="577"/>
        <v>4620</v>
      </c>
      <c r="AA2771" s="47">
        <f t="shared" si="580"/>
        <v>1400</v>
      </c>
      <c r="AB2771" s="47"/>
      <c r="AC2771" s="47"/>
      <c r="AD2771" s="47" t="s">
        <v>1</v>
      </c>
      <c r="AE2771" s="47"/>
      <c r="AF2771" s="47">
        <f t="shared" si="581"/>
        <v>1485</v>
      </c>
      <c r="AG2771" s="47"/>
      <c r="AH2771" s="47" t="str">
        <f>IFERROR(_xlfn.XLOOKUP(Table6[[#This Row],[Suburb]],Table5[Travel Surcharge],Table5[$$]),"")</f>
        <v/>
      </c>
      <c r="AI2771" s="47"/>
      <c r="AJ2771" s="47"/>
    </row>
    <row r="2772" spans="1:36">
      <c r="A2772" s="374" t="s">
        <v>4245</v>
      </c>
      <c r="B2772" s="374">
        <v>25</v>
      </c>
      <c r="C2772" s="374" t="s">
        <v>428</v>
      </c>
      <c r="D2772" s="375" t="str">
        <f t="shared" si="574"/>
        <v>Meridian Estate25</v>
      </c>
      <c r="E2772" s="375" t="s">
        <v>4263</v>
      </c>
      <c r="F2772" s="375"/>
      <c r="G2772" s="375"/>
      <c r="H2772" s="375" t="s">
        <v>4247</v>
      </c>
      <c r="I2772" s="63"/>
      <c r="J2772" s="47">
        <f t="shared" si="575"/>
        <v>3740</v>
      </c>
      <c r="K2772" s="46" t="s">
        <v>10735</v>
      </c>
      <c r="L2772" s="47">
        <f t="shared" si="578"/>
        <v>1210</v>
      </c>
      <c r="M2772" s="47" t="s">
        <v>4017</v>
      </c>
      <c r="N2772" s="47"/>
      <c r="O2772" s="47"/>
      <c r="P2772" s="47"/>
      <c r="Q2772" s="47"/>
      <c r="R2772" s="47"/>
      <c r="S2772" s="47"/>
      <c r="T2772" s="47"/>
      <c r="U2772" s="47">
        <f t="shared" si="579"/>
        <v>430</v>
      </c>
      <c r="V2772" s="47"/>
      <c r="W2772" s="47"/>
      <c r="X2772" s="47"/>
      <c r="Y2772" s="47"/>
      <c r="Z2772" s="47">
        <f t="shared" si="577"/>
        <v>4620</v>
      </c>
      <c r="AA2772" s="47">
        <f t="shared" si="580"/>
        <v>1400</v>
      </c>
      <c r="AB2772" s="47"/>
      <c r="AC2772" s="47"/>
      <c r="AD2772" s="47" t="s">
        <v>1</v>
      </c>
      <c r="AE2772" s="47"/>
      <c r="AF2772" s="47">
        <f t="shared" si="581"/>
        <v>1485</v>
      </c>
      <c r="AG2772" s="47"/>
      <c r="AH2772" s="47" t="str">
        <f>IFERROR(_xlfn.XLOOKUP(Table6[[#This Row],[Suburb]],Table5[Travel Surcharge],Table5[$$]),"")</f>
        <v/>
      </c>
      <c r="AI2772" s="47"/>
      <c r="AJ2772" s="47"/>
    </row>
    <row r="2773" spans="1:36">
      <c r="A2773" s="374" t="s">
        <v>4245</v>
      </c>
      <c r="B2773" s="374">
        <v>27</v>
      </c>
      <c r="C2773" s="374" t="s">
        <v>428</v>
      </c>
      <c r="D2773" s="375" t="str">
        <f t="shared" si="574"/>
        <v>Meridian Estate27</v>
      </c>
      <c r="E2773" s="375" t="s">
        <v>9478</v>
      </c>
      <c r="F2773" s="375"/>
      <c r="G2773" s="375"/>
      <c r="H2773" s="375" t="s">
        <v>4247</v>
      </c>
      <c r="I2773" s="63"/>
      <c r="J2773" s="47">
        <f t="shared" si="575"/>
        <v>3740</v>
      </c>
      <c r="K2773" s="46" t="s">
        <v>10735</v>
      </c>
      <c r="L2773" s="47">
        <f t="shared" si="578"/>
        <v>1210</v>
      </c>
      <c r="M2773" s="47" t="s">
        <v>4017</v>
      </c>
      <c r="N2773" s="47"/>
      <c r="O2773" s="47"/>
      <c r="P2773" s="47"/>
      <c r="Q2773" s="47"/>
      <c r="R2773" s="47"/>
      <c r="S2773" s="47"/>
      <c r="T2773" s="47"/>
      <c r="U2773" s="47">
        <f t="shared" si="579"/>
        <v>430</v>
      </c>
      <c r="V2773" s="47"/>
      <c r="W2773" s="47"/>
      <c r="X2773" s="47"/>
      <c r="Y2773" s="47"/>
      <c r="Z2773" s="47">
        <f t="shared" si="577"/>
        <v>4620</v>
      </c>
      <c r="AA2773" s="47">
        <f t="shared" si="580"/>
        <v>1400</v>
      </c>
      <c r="AB2773" s="47"/>
      <c r="AC2773" s="47"/>
      <c r="AD2773" s="47" t="s">
        <v>1</v>
      </c>
      <c r="AE2773" s="47"/>
      <c r="AF2773" s="47">
        <f t="shared" si="581"/>
        <v>1485</v>
      </c>
      <c r="AG2773" s="47"/>
      <c r="AH2773" s="47" t="str">
        <f>IFERROR(_xlfn.XLOOKUP(Table6[[#This Row],[Suburb]],Table5[Travel Surcharge],Table5[$$]),"")</f>
        <v/>
      </c>
      <c r="AI2773" s="47"/>
      <c r="AJ2773" s="47"/>
    </row>
    <row r="2774" spans="1:36">
      <c r="A2774" s="374" t="s">
        <v>4245</v>
      </c>
      <c r="B2774" s="374">
        <v>28</v>
      </c>
      <c r="C2774" s="374" t="s">
        <v>428</v>
      </c>
      <c r="D2774" s="375" t="str">
        <f t="shared" si="574"/>
        <v>Meridian Estate28</v>
      </c>
      <c r="E2774" s="375" t="s">
        <v>4264</v>
      </c>
      <c r="F2774" s="375"/>
      <c r="G2774" s="375"/>
      <c r="H2774" s="375" t="s">
        <v>4247</v>
      </c>
      <c r="I2774" s="63"/>
      <c r="J2774" s="47">
        <f t="shared" si="575"/>
        <v>3740</v>
      </c>
      <c r="K2774" s="46" t="s">
        <v>10735</v>
      </c>
      <c r="L2774" s="47">
        <f t="shared" si="578"/>
        <v>1210</v>
      </c>
      <c r="M2774" s="47" t="s">
        <v>4017</v>
      </c>
      <c r="N2774" s="47"/>
      <c r="O2774" s="47"/>
      <c r="P2774" s="47"/>
      <c r="Q2774" s="47"/>
      <c r="R2774" s="47"/>
      <c r="S2774" s="47"/>
      <c r="T2774" s="47"/>
      <c r="U2774" s="47">
        <f t="shared" si="579"/>
        <v>430</v>
      </c>
      <c r="V2774" s="47"/>
      <c r="W2774" s="47"/>
      <c r="X2774" s="47"/>
      <c r="Y2774" s="47"/>
      <c r="Z2774" s="47">
        <f t="shared" si="577"/>
        <v>4620</v>
      </c>
      <c r="AA2774" s="47">
        <f t="shared" si="580"/>
        <v>1400</v>
      </c>
      <c r="AB2774" s="47"/>
      <c r="AC2774" s="47"/>
      <c r="AD2774" s="47" t="s">
        <v>1</v>
      </c>
      <c r="AE2774" s="47"/>
      <c r="AF2774" s="47">
        <f t="shared" si="581"/>
        <v>1485</v>
      </c>
      <c r="AG2774" s="47"/>
      <c r="AH2774" s="47" t="str">
        <f>IFERROR(_xlfn.XLOOKUP(Table6[[#This Row],[Suburb]],Table5[Travel Surcharge],Table5[$$]),"")</f>
        <v/>
      </c>
      <c r="AI2774" s="47"/>
      <c r="AJ2774" s="47"/>
    </row>
    <row r="2775" spans="1:36">
      <c r="A2775" s="374" t="s">
        <v>4245</v>
      </c>
      <c r="B2775" s="374">
        <v>30</v>
      </c>
      <c r="C2775" s="374" t="s">
        <v>428</v>
      </c>
      <c r="D2775" s="375" t="str">
        <f t="shared" si="574"/>
        <v>Meridian Estate30</v>
      </c>
      <c r="E2775" s="375" t="s">
        <v>4265</v>
      </c>
      <c r="F2775" s="375"/>
      <c r="G2775" s="375"/>
      <c r="H2775" s="375" t="s">
        <v>4247</v>
      </c>
      <c r="I2775" s="63"/>
      <c r="J2775" s="47">
        <f t="shared" si="575"/>
        <v>3740</v>
      </c>
      <c r="K2775" s="46" t="s">
        <v>10735</v>
      </c>
      <c r="L2775" s="47">
        <f t="shared" si="578"/>
        <v>1210</v>
      </c>
      <c r="M2775" s="47" t="s">
        <v>4017</v>
      </c>
      <c r="N2775" s="47"/>
      <c r="O2775" s="47"/>
      <c r="P2775" s="47"/>
      <c r="Q2775" s="47"/>
      <c r="R2775" s="47"/>
      <c r="S2775" s="47"/>
      <c r="T2775" s="47"/>
      <c r="U2775" s="47">
        <f t="shared" si="579"/>
        <v>430</v>
      </c>
      <c r="V2775" s="47"/>
      <c r="W2775" s="47"/>
      <c r="X2775" s="47"/>
      <c r="Y2775" s="47"/>
      <c r="Z2775" s="47">
        <f t="shared" si="577"/>
        <v>4620</v>
      </c>
      <c r="AA2775" s="47">
        <f t="shared" si="580"/>
        <v>1400</v>
      </c>
      <c r="AB2775" s="47"/>
      <c r="AC2775" s="47"/>
      <c r="AD2775" s="47" t="s">
        <v>1</v>
      </c>
      <c r="AE2775" s="47"/>
      <c r="AF2775" s="47">
        <f t="shared" si="581"/>
        <v>1485</v>
      </c>
      <c r="AG2775" s="47"/>
      <c r="AH2775" s="47" t="str">
        <f>IFERROR(_xlfn.XLOOKUP(Table6[[#This Row],[Suburb]],Table5[Travel Surcharge],Table5[$$]),"")</f>
        <v/>
      </c>
      <c r="AI2775" s="47"/>
      <c r="AJ2775" s="47"/>
    </row>
    <row r="2776" spans="1:36">
      <c r="A2776" s="374" t="s">
        <v>4245</v>
      </c>
      <c r="B2776" s="374">
        <v>31</v>
      </c>
      <c r="C2776" s="374" t="s">
        <v>428</v>
      </c>
      <c r="D2776" s="375" t="str">
        <f t="shared" si="574"/>
        <v>Meridian Estate31</v>
      </c>
      <c r="E2776" s="375" t="s">
        <v>4266</v>
      </c>
      <c r="F2776" s="375"/>
      <c r="G2776" s="375"/>
      <c r="H2776" s="375" t="s">
        <v>4247</v>
      </c>
      <c r="I2776" s="63"/>
      <c r="J2776" s="47">
        <f t="shared" si="575"/>
        <v>3740</v>
      </c>
      <c r="K2776" s="46" t="s">
        <v>10735</v>
      </c>
      <c r="L2776" s="47">
        <f t="shared" si="578"/>
        <v>1210</v>
      </c>
      <c r="M2776" s="47" t="s">
        <v>4017</v>
      </c>
      <c r="N2776" s="47"/>
      <c r="O2776" s="47"/>
      <c r="P2776" s="47"/>
      <c r="Q2776" s="47"/>
      <c r="R2776" s="47"/>
      <c r="S2776" s="47"/>
      <c r="T2776" s="47"/>
      <c r="U2776" s="47">
        <f t="shared" si="579"/>
        <v>430</v>
      </c>
      <c r="V2776" s="47"/>
      <c r="W2776" s="47"/>
      <c r="X2776" s="47"/>
      <c r="Y2776" s="47"/>
      <c r="Z2776" s="47">
        <f t="shared" si="577"/>
        <v>4620</v>
      </c>
      <c r="AA2776" s="47">
        <f t="shared" si="580"/>
        <v>1400</v>
      </c>
      <c r="AB2776" s="47"/>
      <c r="AC2776" s="47"/>
      <c r="AD2776" s="47" t="s">
        <v>1</v>
      </c>
      <c r="AE2776" s="47"/>
      <c r="AF2776" s="47">
        <f t="shared" si="581"/>
        <v>1485</v>
      </c>
      <c r="AG2776" s="47"/>
      <c r="AH2776" s="47" t="str">
        <f>IFERROR(_xlfn.XLOOKUP(Table6[[#This Row],[Suburb]],Table5[Travel Surcharge],Table5[$$]),"")</f>
        <v/>
      </c>
      <c r="AI2776" s="47"/>
      <c r="AJ2776" s="47"/>
    </row>
    <row r="2777" spans="1:36">
      <c r="A2777" s="374" t="s">
        <v>4245</v>
      </c>
      <c r="B2777" s="374">
        <v>34</v>
      </c>
      <c r="C2777" s="374" t="s">
        <v>428</v>
      </c>
      <c r="D2777" s="375" t="str">
        <f t="shared" si="574"/>
        <v>Meridian Estate34</v>
      </c>
      <c r="E2777" s="375" t="s">
        <v>4267</v>
      </c>
      <c r="F2777" s="375"/>
      <c r="G2777" s="375"/>
      <c r="H2777" s="375" t="s">
        <v>4247</v>
      </c>
      <c r="I2777" s="63"/>
      <c r="J2777" s="47">
        <f t="shared" si="575"/>
        <v>3740</v>
      </c>
      <c r="K2777" s="46" t="s">
        <v>10735</v>
      </c>
      <c r="L2777" s="47">
        <f t="shared" si="578"/>
        <v>1210</v>
      </c>
      <c r="M2777" s="47" t="s">
        <v>4017</v>
      </c>
      <c r="N2777" s="47"/>
      <c r="O2777" s="47"/>
      <c r="P2777" s="47"/>
      <c r="Q2777" s="47"/>
      <c r="R2777" s="47"/>
      <c r="S2777" s="47"/>
      <c r="T2777" s="47"/>
      <c r="U2777" s="47">
        <f t="shared" si="579"/>
        <v>430</v>
      </c>
      <c r="V2777" s="47"/>
      <c r="W2777" s="47"/>
      <c r="X2777" s="47"/>
      <c r="Y2777" s="47"/>
      <c r="Z2777" s="47">
        <f t="shared" si="577"/>
        <v>4620</v>
      </c>
      <c r="AA2777" s="47">
        <f t="shared" si="580"/>
        <v>1400</v>
      </c>
      <c r="AB2777" s="47"/>
      <c r="AC2777" s="47"/>
      <c r="AD2777" s="47" t="s">
        <v>1</v>
      </c>
      <c r="AE2777" s="47"/>
      <c r="AF2777" s="47">
        <f t="shared" si="581"/>
        <v>1485</v>
      </c>
      <c r="AG2777" s="47"/>
      <c r="AH2777" s="47" t="str">
        <f>IFERROR(_xlfn.XLOOKUP(Table6[[#This Row],[Suburb]],Table5[Travel Surcharge],Table5[$$]),"")</f>
        <v/>
      </c>
      <c r="AI2777" s="47"/>
      <c r="AJ2777" s="47"/>
    </row>
    <row r="2778" spans="1:36">
      <c r="A2778" s="157" t="s">
        <v>4245</v>
      </c>
      <c r="B2778" s="157">
        <v>35</v>
      </c>
      <c r="C2778" s="157" t="s">
        <v>428</v>
      </c>
      <c r="D2778" s="157" t="str">
        <f t="shared" si="574"/>
        <v>Meridian Estate35</v>
      </c>
      <c r="E2778" s="157" t="s">
        <v>7687</v>
      </c>
      <c r="F2778" s="157"/>
      <c r="G2778" s="157"/>
      <c r="H2778" s="157" t="s">
        <v>4247</v>
      </c>
      <c r="I2778" s="158"/>
      <c r="J2778" s="47">
        <f t="shared" si="575"/>
        <v>3740</v>
      </c>
      <c r="K2778" s="46" t="s">
        <v>10735</v>
      </c>
      <c r="L2778" s="47">
        <f t="shared" si="578"/>
        <v>1210</v>
      </c>
      <c r="M2778" s="47" t="s">
        <v>4017</v>
      </c>
      <c r="N2778" s="47"/>
      <c r="O2778" s="47"/>
      <c r="P2778" s="47"/>
      <c r="Q2778" s="47"/>
      <c r="R2778" s="47"/>
      <c r="S2778" s="47"/>
      <c r="T2778" s="47"/>
      <c r="U2778" s="47">
        <f t="shared" si="579"/>
        <v>430</v>
      </c>
      <c r="V2778" s="47"/>
      <c r="W2778" s="47" t="s">
        <v>7688</v>
      </c>
      <c r="X2778" s="47"/>
      <c r="Y2778" s="47"/>
      <c r="Z2778" s="47">
        <f t="shared" si="577"/>
        <v>4620</v>
      </c>
      <c r="AA2778" s="47">
        <f t="shared" si="580"/>
        <v>1400</v>
      </c>
      <c r="AB2778" s="47"/>
      <c r="AC2778" s="47"/>
      <c r="AD2778" s="47" t="s">
        <v>1</v>
      </c>
      <c r="AE2778" s="47"/>
      <c r="AF2778" s="47">
        <f t="shared" si="581"/>
        <v>1485</v>
      </c>
      <c r="AG2778" s="47"/>
      <c r="AH2778" s="47" t="str">
        <f>IFERROR(_xlfn.XLOOKUP(Table6[[#This Row],[Suburb]],Table5[Travel Surcharge],Table5[$$]),"")</f>
        <v/>
      </c>
      <c r="AI2778" s="47"/>
      <c r="AJ2778" s="47"/>
    </row>
    <row r="2779" spans="1:36">
      <c r="A2779" s="374" t="s">
        <v>4245</v>
      </c>
      <c r="B2779" s="374">
        <v>36</v>
      </c>
      <c r="C2779" s="374" t="s">
        <v>428</v>
      </c>
      <c r="D2779" s="375" t="str">
        <f t="shared" si="574"/>
        <v>Meridian Estate36</v>
      </c>
      <c r="E2779" s="375" t="s">
        <v>4268</v>
      </c>
      <c r="F2779" s="375"/>
      <c r="G2779" s="375"/>
      <c r="H2779" s="375" t="s">
        <v>4247</v>
      </c>
      <c r="I2779" s="63"/>
      <c r="J2779" s="47">
        <f t="shared" si="575"/>
        <v>3740</v>
      </c>
      <c r="K2779" s="46" t="s">
        <v>10735</v>
      </c>
      <c r="L2779" s="47">
        <f t="shared" si="578"/>
        <v>1210</v>
      </c>
      <c r="M2779" s="47" t="s">
        <v>4017</v>
      </c>
      <c r="N2779" s="47"/>
      <c r="O2779" s="47"/>
      <c r="P2779" s="47"/>
      <c r="Q2779" s="47"/>
      <c r="R2779" s="47"/>
      <c r="S2779" s="47"/>
      <c r="T2779" s="47"/>
      <c r="U2779" s="47">
        <f t="shared" si="579"/>
        <v>430</v>
      </c>
      <c r="V2779" s="47"/>
      <c r="W2779" s="47"/>
      <c r="X2779" s="47"/>
      <c r="Y2779" s="47"/>
      <c r="Z2779" s="47">
        <f t="shared" si="577"/>
        <v>4620</v>
      </c>
      <c r="AA2779" s="47">
        <f t="shared" si="580"/>
        <v>1400</v>
      </c>
      <c r="AB2779" s="47"/>
      <c r="AC2779" s="47"/>
      <c r="AD2779" s="47" t="s">
        <v>1</v>
      </c>
      <c r="AE2779" s="47"/>
      <c r="AF2779" s="47">
        <f t="shared" si="581"/>
        <v>1485</v>
      </c>
      <c r="AG2779" s="47"/>
      <c r="AH2779" s="47" t="str">
        <f>IFERROR(_xlfn.XLOOKUP(Table6[[#This Row],[Suburb]],Table5[Travel Surcharge],Table5[$$]),"")</f>
        <v/>
      </c>
      <c r="AI2779" s="47"/>
      <c r="AJ2779" s="47"/>
    </row>
    <row r="2780" spans="1:36">
      <c r="A2780" s="157" t="s">
        <v>4245</v>
      </c>
      <c r="B2780" s="157">
        <v>37</v>
      </c>
      <c r="C2780" s="157" t="s">
        <v>7416</v>
      </c>
      <c r="D2780" s="157" t="str">
        <f t="shared" si="574"/>
        <v>Meridian Estate37</v>
      </c>
      <c r="E2780" s="157" t="s">
        <v>7449</v>
      </c>
      <c r="F2780" s="157"/>
      <c r="G2780" s="157"/>
      <c r="H2780" s="157" t="s">
        <v>7425</v>
      </c>
      <c r="I2780" s="158"/>
      <c r="J2780" s="47">
        <f t="shared" si="575"/>
        <v>3740</v>
      </c>
      <c r="K2780" s="46" t="s">
        <v>10735</v>
      </c>
      <c r="L2780" s="47">
        <f t="shared" si="578"/>
        <v>1210</v>
      </c>
      <c r="M2780" s="47" t="s">
        <v>4017</v>
      </c>
      <c r="N2780" s="47"/>
      <c r="O2780" s="47"/>
      <c r="P2780" s="47"/>
      <c r="Q2780" s="47"/>
      <c r="R2780" s="47"/>
      <c r="S2780" s="47"/>
      <c r="T2780" s="47"/>
      <c r="U2780" s="47">
        <f t="shared" si="579"/>
        <v>430</v>
      </c>
      <c r="V2780" s="47"/>
      <c r="W2780" s="47"/>
      <c r="X2780" s="47" t="s">
        <v>7450</v>
      </c>
      <c r="Y2780" s="47"/>
      <c r="Z2780" s="47">
        <f t="shared" si="577"/>
        <v>4620</v>
      </c>
      <c r="AA2780" s="47">
        <f t="shared" si="580"/>
        <v>1400</v>
      </c>
      <c r="AB2780" s="47"/>
      <c r="AC2780" s="47"/>
      <c r="AD2780" s="47" t="s">
        <v>1</v>
      </c>
      <c r="AE2780" s="47"/>
      <c r="AF2780" s="47">
        <f t="shared" si="581"/>
        <v>1485</v>
      </c>
      <c r="AG2780" s="47"/>
      <c r="AH2780" s="47" t="str">
        <f>IFERROR(_xlfn.XLOOKUP(Table6[[#This Row],[Suburb]],Table5[Travel Surcharge],Table5[$$]),"")</f>
        <v/>
      </c>
      <c r="AI2780" s="47"/>
      <c r="AJ2780" s="47"/>
    </row>
    <row r="2781" spans="1:36">
      <c r="A2781" s="157" t="s">
        <v>4245</v>
      </c>
      <c r="B2781" s="157">
        <v>38</v>
      </c>
      <c r="C2781" s="157" t="s">
        <v>7416</v>
      </c>
      <c r="D2781" s="157" t="str">
        <f t="shared" si="574"/>
        <v>Meridian Estate38</v>
      </c>
      <c r="E2781" s="157" t="s">
        <v>7426</v>
      </c>
      <c r="F2781" s="157"/>
      <c r="G2781" s="157"/>
      <c r="H2781" s="157" t="s">
        <v>7425</v>
      </c>
      <c r="I2781" s="158"/>
      <c r="J2781" s="47">
        <f t="shared" si="575"/>
        <v>3740</v>
      </c>
      <c r="K2781" s="46" t="s">
        <v>10735</v>
      </c>
      <c r="L2781" s="47">
        <f t="shared" si="578"/>
        <v>1210</v>
      </c>
      <c r="M2781" s="47" t="s">
        <v>4017</v>
      </c>
      <c r="N2781" s="47"/>
      <c r="O2781" s="47"/>
      <c r="P2781" s="47"/>
      <c r="Q2781" s="47"/>
      <c r="R2781" s="47"/>
      <c r="S2781" s="47"/>
      <c r="T2781" s="47"/>
      <c r="U2781" s="47">
        <f t="shared" si="579"/>
        <v>430</v>
      </c>
      <c r="V2781" s="47"/>
      <c r="W2781" s="47"/>
      <c r="X2781" s="47" t="s">
        <v>7451</v>
      </c>
      <c r="Y2781" s="47"/>
      <c r="Z2781" s="47">
        <f t="shared" si="577"/>
        <v>4620</v>
      </c>
      <c r="AA2781" s="47">
        <f t="shared" si="580"/>
        <v>1400</v>
      </c>
      <c r="AB2781" s="47"/>
      <c r="AC2781" s="47"/>
      <c r="AD2781" s="47" t="s">
        <v>1</v>
      </c>
      <c r="AE2781" s="47"/>
      <c r="AF2781" s="47">
        <f t="shared" si="581"/>
        <v>1485</v>
      </c>
      <c r="AG2781" s="47"/>
      <c r="AH2781" s="47" t="str">
        <f>IFERROR(_xlfn.XLOOKUP(Table6[[#This Row],[Suburb]],Table5[Travel Surcharge],Table5[$$]),"")</f>
        <v/>
      </c>
      <c r="AI2781" s="47"/>
      <c r="AJ2781" s="47"/>
    </row>
    <row r="2782" spans="1:36">
      <c r="A2782" s="374" t="s">
        <v>4245</v>
      </c>
      <c r="B2782" s="374">
        <v>42</v>
      </c>
      <c r="C2782" s="374" t="s">
        <v>428</v>
      </c>
      <c r="D2782" s="375" t="str">
        <f t="shared" si="574"/>
        <v>Meridian Estate42</v>
      </c>
      <c r="E2782" s="375" t="s">
        <v>4269</v>
      </c>
      <c r="F2782" s="375"/>
      <c r="G2782" s="375"/>
      <c r="H2782" s="375" t="s">
        <v>4247</v>
      </c>
      <c r="I2782" s="63"/>
      <c r="J2782" s="47">
        <f t="shared" si="575"/>
        <v>3740</v>
      </c>
      <c r="K2782" s="46" t="s">
        <v>10735</v>
      </c>
      <c r="L2782" s="47">
        <f t="shared" si="578"/>
        <v>1210</v>
      </c>
      <c r="M2782" s="47" t="s">
        <v>4017</v>
      </c>
      <c r="N2782" s="47" t="s">
        <v>4270</v>
      </c>
      <c r="O2782" s="47"/>
      <c r="P2782" s="47"/>
      <c r="Q2782" s="47"/>
      <c r="R2782" s="47"/>
      <c r="S2782" s="47"/>
      <c r="T2782" s="47"/>
      <c r="U2782" s="47">
        <f t="shared" si="579"/>
        <v>430</v>
      </c>
      <c r="V2782" s="47"/>
      <c r="W2782" s="47"/>
      <c r="X2782" s="47"/>
      <c r="Y2782" s="47"/>
      <c r="Z2782" s="47">
        <f t="shared" si="577"/>
        <v>4620</v>
      </c>
      <c r="AA2782" s="47">
        <f t="shared" si="580"/>
        <v>1400</v>
      </c>
      <c r="AB2782" s="47"/>
      <c r="AC2782" s="47"/>
      <c r="AD2782" s="47" t="s">
        <v>1</v>
      </c>
      <c r="AE2782" s="47"/>
      <c r="AF2782" s="47">
        <f t="shared" si="581"/>
        <v>1485</v>
      </c>
      <c r="AG2782" s="47"/>
      <c r="AH2782" s="47" t="str">
        <f>IFERROR(_xlfn.XLOOKUP(Table6[[#This Row],[Suburb]],Table5[Travel Surcharge],Table5[$$]),"")</f>
        <v/>
      </c>
      <c r="AI2782" s="47"/>
      <c r="AJ2782" s="47"/>
    </row>
    <row r="2783" spans="1:36">
      <c r="A2783" s="374" t="s">
        <v>4245</v>
      </c>
      <c r="B2783" s="374">
        <v>43</v>
      </c>
      <c r="C2783" s="374" t="s">
        <v>428</v>
      </c>
      <c r="D2783" s="375" t="str">
        <f t="shared" si="574"/>
        <v>Meridian Estate43</v>
      </c>
      <c r="E2783" s="375" t="s">
        <v>7381</v>
      </c>
      <c r="F2783" s="375"/>
      <c r="G2783" s="375"/>
      <c r="H2783" s="375" t="s">
        <v>4247</v>
      </c>
      <c r="I2783" s="63"/>
      <c r="J2783" s="47">
        <f t="shared" si="575"/>
        <v>3740</v>
      </c>
      <c r="K2783" s="46" t="s">
        <v>10735</v>
      </c>
      <c r="L2783" s="47" t="s">
        <v>7394</v>
      </c>
      <c r="M2783" s="47" t="s">
        <v>4017</v>
      </c>
      <c r="N2783" s="47" t="s">
        <v>7894</v>
      </c>
      <c r="O2783" s="47"/>
      <c r="P2783" s="47"/>
      <c r="Q2783" s="47"/>
      <c r="R2783" s="47"/>
      <c r="S2783" s="47"/>
      <c r="T2783" s="47"/>
      <c r="U2783" s="47">
        <f t="shared" si="579"/>
        <v>430</v>
      </c>
      <c r="V2783" s="47"/>
      <c r="W2783" s="47"/>
      <c r="X2783" s="47"/>
      <c r="Y2783" s="47"/>
      <c r="Z2783" s="47">
        <f t="shared" si="577"/>
        <v>4620</v>
      </c>
      <c r="AA2783" s="47">
        <f t="shared" si="580"/>
        <v>1400</v>
      </c>
      <c r="AB2783" s="47"/>
      <c r="AC2783" s="47"/>
      <c r="AD2783" s="47" t="s">
        <v>1</v>
      </c>
      <c r="AE2783" s="47"/>
      <c r="AF2783" s="47">
        <f t="shared" si="581"/>
        <v>1485</v>
      </c>
      <c r="AG2783" s="47"/>
      <c r="AH2783" s="47" t="str">
        <f>IFERROR(_xlfn.XLOOKUP(Table6[[#This Row],[Suburb]],Table5[Travel Surcharge],Table5[$$]),"")</f>
        <v/>
      </c>
      <c r="AI2783" s="47"/>
      <c r="AJ2783" s="47"/>
    </row>
    <row r="2784" spans="1:36">
      <c r="A2784" s="157" t="s">
        <v>4245</v>
      </c>
      <c r="B2784" s="157">
        <v>45</v>
      </c>
      <c r="C2784" s="157" t="s">
        <v>428</v>
      </c>
      <c r="D2784" s="157" t="str">
        <f t="shared" si="574"/>
        <v>Meridian Estate45</v>
      </c>
      <c r="E2784" s="157" t="s">
        <v>7631</v>
      </c>
      <c r="F2784" s="157"/>
      <c r="G2784" s="157"/>
      <c r="H2784" s="157" t="s">
        <v>4247</v>
      </c>
      <c r="I2784" s="158"/>
      <c r="J2784" s="47">
        <f t="shared" si="575"/>
        <v>3740</v>
      </c>
      <c r="K2784" s="46" t="s">
        <v>10735</v>
      </c>
      <c r="L2784" s="47" t="s">
        <v>7394</v>
      </c>
      <c r="M2784" s="47" t="s">
        <v>4017</v>
      </c>
      <c r="N2784" s="47" t="s">
        <v>7894</v>
      </c>
      <c r="O2784" s="47"/>
      <c r="P2784" s="47"/>
      <c r="Q2784" s="47"/>
      <c r="R2784" s="47"/>
      <c r="S2784" s="47"/>
      <c r="T2784" s="47"/>
      <c r="U2784" s="47">
        <f t="shared" si="579"/>
        <v>430</v>
      </c>
      <c r="V2784" s="47"/>
      <c r="W2784" s="47"/>
      <c r="X2784" s="47"/>
      <c r="Y2784" s="47"/>
      <c r="Z2784" s="47">
        <f t="shared" si="577"/>
        <v>4620</v>
      </c>
      <c r="AA2784" s="47">
        <f t="shared" si="580"/>
        <v>1400</v>
      </c>
      <c r="AB2784" s="47"/>
      <c r="AC2784" s="47"/>
      <c r="AD2784" s="47" t="s">
        <v>1</v>
      </c>
      <c r="AE2784" s="47"/>
      <c r="AF2784" s="47">
        <f t="shared" si="581"/>
        <v>1485</v>
      </c>
      <c r="AG2784" s="47"/>
      <c r="AH2784" s="47" t="str">
        <f>IFERROR(_xlfn.XLOOKUP(Table6[[#This Row],[Suburb]],Table5[Travel Surcharge],Table5[$$]),"")</f>
        <v/>
      </c>
      <c r="AI2784" s="47"/>
      <c r="AJ2784" s="47"/>
    </row>
    <row r="2785" spans="1:36">
      <c r="A2785" s="374" t="s">
        <v>4245</v>
      </c>
      <c r="B2785" s="374">
        <v>48</v>
      </c>
      <c r="C2785" s="374" t="s">
        <v>428</v>
      </c>
      <c r="D2785" s="375" t="s">
        <v>9195</v>
      </c>
      <c r="E2785" s="375" t="s">
        <v>9194</v>
      </c>
      <c r="F2785" s="375"/>
      <c r="G2785" s="375"/>
      <c r="H2785" s="375" t="s">
        <v>4247</v>
      </c>
      <c r="I2785" s="63"/>
      <c r="J2785" s="47">
        <v>3740</v>
      </c>
      <c r="K2785" s="46" t="s">
        <v>10735</v>
      </c>
      <c r="L2785" s="47">
        <v>1210</v>
      </c>
      <c r="M2785" s="47" t="s">
        <v>4017</v>
      </c>
      <c r="N2785" s="47" t="s">
        <v>4270</v>
      </c>
      <c r="O2785" s="47"/>
      <c r="P2785" s="47"/>
      <c r="Q2785" s="47"/>
      <c r="R2785" s="47"/>
      <c r="S2785" s="47"/>
      <c r="T2785" s="47"/>
      <c r="U2785" s="47">
        <v>540</v>
      </c>
      <c r="V2785" s="47"/>
      <c r="W2785" s="47"/>
      <c r="X2785" s="47"/>
      <c r="Y2785" s="47"/>
      <c r="Z2785" s="47">
        <v>4620</v>
      </c>
      <c r="AA2785" s="47">
        <v>1400</v>
      </c>
      <c r="AB2785" s="47"/>
      <c r="AC2785" s="47"/>
      <c r="AD2785" s="47" t="s">
        <v>1</v>
      </c>
      <c r="AE2785" s="47"/>
      <c r="AF2785" s="47">
        <v>1650.0000000000002</v>
      </c>
      <c r="AG2785" s="47"/>
      <c r="AH2785" s="47" t="str">
        <f>IFERROR(_xlfn.XLOOKUP(Table6[[#This Row],[Suburb]],Table5[Travel Surcharge],Table5[$$]),"")</f>
        <v/>
      </c>
      <c r="AI2785" s="47"/>
      <c r="AJ2785" s="47"/>
    </row>
    <row r="2786" spans="1:36">
      <c r="A2786" s="157" t="s">
        <v>4245</v>
      </c>
      <c r="B2786" s="157">
        <v>46</v>
      </c>
      <c r="C2786" s="157" t="s">
        <v>428</v>
      </c>
      <c r="D2786" s="157" t="str">
        <f t="shared" ref="D2786:D2826" si="582">CONCATENATE(A2786,B2786)</f>
        <v>Meridian Estate46</v>
      </c>
      <c r="E2786" s="157" t="s">
        <v>7892</v>
      </c>
      <c r="F2786" s="157"/>
      <c r="G2786" s="157"/>
      <c r="H2786" s="157" t="s">
        <v>4247</v>
      </c>
      <c r="I2786" s="158"/>
      <c r="J2786" s="47">
        <f t="shared" ref="J2786:J2800" si="583">J$7</f>
        <v>3740</v>
      </c>
      <c r="K2786" s="46" t="s">
        <v>10735</v>
      </c>
      <c r="L2786" s="47" t="s">
        <v>7394</v>
      </c>
      <c r="M2786" s="47" t="s">
        <v>4017</v>
      </c>
      <c r="N2786" s="47" t="s">
        <v>7893</v>
      </c>
      <c r="O2786" s="47"/>
      <c r="P2786" s="47"/>
      <c r="Q2786" s="47"/>
      <c r="R2786" s="47"/>
      <c r="S2786" s="47"/>
      <c r="T2786" s="47"/>
      <c r="U2786" s="47">
        <f t="shared" ref="U2786:U2800" si="584">U$2</f>
        <v>430</v>
      </c>
      <c r="V2786" s="47"/>
      <c r="W2786" s="47"/>
      <c r="X2786" s="47"/>
      <c r="Y2786" s="47"/>
      <c r="Z2786" s="47">
        <f t="shared" ref="Z2786:AA2797" si="585">Z$7</f>
        <v>4620</v>
      </c>
      <c r="AA2786" s="47">
        <f t="shared" si="585"/>
        <v>1400</v>
      </c>
      <c r="AB2786" s="47"/>
      <c r="AC2786" s="47"/>
      <c r="AD2786" s="47" t="s">
        <v>1</v>
      </c>
      <c r="AE2786" s="47"/>
      <c r="AF2786" s="47">
        <f t="shared" ref="AF2786:AF2797" si="586">AF$7</f>
        <v>1485</v>
      </c>
      <c r="AG2786" s="47"/>
      <c r="AH2786" s="47" t="str">
        <f>IFERROR(_xlfn.XLOOKUP(Table6[[#This Row],[Suburb]],Table5[Travel Surcharge],Table5[$$]),"")</f>
        <v/>
      </c>
      <c r="AI2786" s="47"/>
      <c r="AJ2786" s="47"/>
    </row>
    <row r="2787" spans="1:36">
      <c r="A2787" s="374" t="s">
        <v>4245</v>
      </c>
      <c r="B2787" s="374">
        <v>47</v>
      </c>
      <c r="C2787" s="374" t="s">
        <v>7416</v>
      </c>
      <c r="D2787" s="375" t="str">
        <f t="shared" si="582"/>
        <v>Meridian Estate47</v>
      </c>
      <c r="E2787" s="375" t="s">
        <v>8343</v>
      </c>
      <c r="F2787" s="375"/>
      <c r="G2787" s="375"/>
      <c r="H2787" s="375" t="s">
        <v>7425</v>
      </c>
      <c r="I2787" s="63"/>
      <c r="J2787" s="47">
        <f t="shared" si="583"/>
        <v>3740</v>
      </c>
      <c r="K2787" s="46" t="s">
        <v>10735</v>
      </c>
      <c r="L2787" s="47" t="s">
        <v>7394</v>
      </c>
      <c r="M2787" s="47" t="s">
        <v>4017</v>
      </c>
      <c r="N2787" s="47" t="s">
        <v>7893</v>
      </c>
      <c r="O2787" s="47"/>
      <c r="P2787" s="47"/>
      <c r="Q2787" s="47"/>
      <c r="R2787" s="47"/>
      <c r="S2787" s="47"/>
      <c r="T2787" s="47"/>
      <c r="U2787" s="47">
        <f t="shared" si="584"/>
        <v>430</v>
      </c>
      <c r="V2787" s="47"/>
      <c r="W2787" s="47"/>
      <c r="X2787" s="47"/>
      <c r="Y2787" s="47"/>
      <c r="Z2787" s="47">
        <f t="shared" si="585"/>
        <v>4620</v>
      </c>
      <c r="AA2787" s="47">
        <f t="shared" si="585"/>
        <v>1400</v>
      </c>
      <c r="AB2787" s="47"/>
      <c r="AC2787" s="47"/>
      <c r="AD2787" s="47" t="s">
        <v>1</v>
      </c>
      <c r="AE2787" s="47"/>
      <c r="AF2787" s="47">
        <f t="shared" si="586"/>
        <v>1485</v>
      </c>
      <c r="AG2787" s="47"/>
      <c r="AH2787" s="47" t="str">
        <f>IFERROR(_xlfn.XLOOKUP(Table6[[#This Row],[Suburb]],Table5[Travel Surcharge],Table5[$$]),"")</f>
        <v/>
      </c>
      <c r="AI2787" s="47"/>
      <c r="AJ2787" s="47"/>
    </row>
    <row r="2788" spans="1:36">
      <c r="A2788" s="374" t="s">
        <v>4245</v>
      </c>
      <c r="B2788" s="374">
        <v>49</v>
      </c>
      <c r="C2788" s="374" t="s">
        <v>7416</v>
      </c>
      <c r="D2788" s="375" t="str">
        <f t="shared" si="582"/>
        <v>Meridian Estate49</v>
      </c>
      <c r="E2788" s="375" t="s">
        <v>9382</v>
      </c>
      <c r="F2788" s="375"/>
      <c r="G2788" s="375"/>
      <c r="H2788" s="375" t="s">
        <v>7425</v>
      </c>
      <c r="I2788" s="63"/>
      <c r="J2788" s="47">
        <f t="shared" si="583"/>
        <v>3740</v>
      </c>
      <c r="K2788" s="46" t="s">
        <v>10735</v>
      </c>
      <c r="L2788" s="47" t="s">
        <v>7394</v>
      </c>
      <c r="M2788" s="47" t="s">
        <v>4017</v>
      </c>
      <c r="N2788" s="47" t="s">
        <v>7893</v>
      </c>
      <c r="O2788" s="47"/>
      <c r="P2788" s="47"/>
      <c r="Q2788" s="47"/>
      <c r="R2788" s="47"/>
      <c r="S2788" s="47"/>
      <c r="T2788" s="47"/>
      <c r="U2788" s="47">
        <f t="shared" si="584"/>
        <v>430</v>
      </c>
      <c r="V2788" s="47"/>
      <c r="W2788" s="47"/>
      <c r="X2788" s="47"/>
      <c r="Y2788" s="47"/>
      <c r="Z2788" s="47">
        <f t="shared" si="585"/>
        <v>4620</v>
      </c>
      <c r="AA2788" s="47">
        <f t="shared" si="585"/>
        <v>1400</v>
      </c>
      <c r="AB2788" s="47"/>
      <c r="AC2788" s="47"/>
      <c r="AD2788" s="47" t="s">
        <v>1</v>
      </c>
      <c r="AE2788" s="47"/>
      <c r="AF2788" s="47">
        <f t="shared" si="586"/>
        <v>1485</v>
      </c>
      <c r="AG2788" s="47"/>
      <c r="AH2788" s="47" t="str">
        <f>IFERROR(_xlfn.XLOOKUP(Table6[[#This Row],[Suburb]],Table5[Travel Surcharge],Table5[$$]),"")</f>
        <v/>
      </c>
      <c r="AI2788" s="47"/>
      <c r="AJ2788" s="47"/>
    </row>
    <row r="2789" spans="1:36">
      <c r="A2789" s="374" t="s">
        <v>4245</v>
      </c>
      <c r="B2789" s="276" t="s">
        <v>10231</v>
      </c>
      <c r="C2789" s="374" t="s">
        <v>7416</v>
      </c>
      <c r="D2789" s="375" t="str">
        <f t="shared" si="582"/>
        <v>Meridian Estate50B</v>
      </c>
      <c r="E2789" s="375" t="s">
        <v>9855</v>
      </c>
      <c r="F2789" s="375"/>
      <c r="G2789" s="375"/>
      <c r="H2789" s="375" t="s">
        <v>7425</v>
      </c>
      <c r="I2789" s="63"/>
      <c r="J2789" s="47">
        <v>3740</v>
      </c>
      <c r="K2789" s="46" t="s">
        <v>10735</v>
      </c>
      <c r="L2789" s="47" t="s">
        <v>7394</v>
      </c>
      <c r="M2789" s="47" t="s">
        <v>4017</v>
      </c>
      <c r="N2789" s="47" t="s">
        <v>7893</v>
      </c>
      <c r="O2789" s="47"/>
      <c r="P2789" s="47"/>
      <c r="Q2789" s="47"/>
      <c r="R2789" s="47"/>
      <c r="S2789" s="47"/>
      <c r="T2789" s="47"/>
      <c r="U2789" s="47">
        <v>540</v>
      </c>
      <c r="V2789" s="47"/>
      <c r="W2789" s="47"/>
      <c r="X2789" s="47"/>
      <c r="Y2789" s="47"/>
      <c r="Z2789" s="47">
        <v>4620</v>
      </c>
      <c r="AA2789" s="47">
        <v>1400</v>
      </c>
      <c r="AB2789" s="47"/>
      <c r="AC2789" s="47"/>
      <c r="AD2789" s="47" t="s">
        <v>1</v>
      </c>
      <c r="AE2789" s="47"/>
      <c r="AF2789" s="47">
        <v>1485</v>
      </c>
      <c r="AG2789" s="47"/>
      <c r="AH2789" s="47" t="s">
        <v>9976</v>
      </c>
      <c r="AI2789" s="47"/>
      <c r="AJ2789" s="47"/>
    </row>
    <row r="2790" spans="1:36">
      <c r="A2790" s="374" t="s">
        <v>4245</v>
      </c>
      <c r="B2790" s="276">
        <v>51</v>
      </c>
      <c r="C2790" s="374" t="s">
        <v>7416</v>
      </c>
      <c r="D2790" s="375" t="str">
        <f t="shared" si="582"/>
        <v>Meridian Estate51</v>
      </c>
      <c r="E2790" s="375" t="s">
        <v>10769</v>
      </c>
      <c r="F2790" s="375"/>
      <c r="G2790" s="375"/>
      <c r="H2790" s="375" t="s">
        <v>7425</v>
      </c>
      <c r="I2790" s="63"/>
      <c r="J2790" s="47">
        <v>3740</v>
      </c>
      <c r="K2790" s="46" t="s">
        <v>10735</v>
      </c>
      <c r="L2790" s="47" t="s">
        <v>7394</v>
      </c>
      <c r="M2790" s="47" t="s">
        <v>4017</v>
      </c>
      <c r="N2790" s="47" t="s">
        <v>7893</v>
      </c>
      <c r="O2790" s="47"/>
      <c r="P2790" s="47"/>
      <c r="Q2790" s="47"/>
      <c r="R2790" s="47"/>
      <c r="S2790" s="47"/>
      <c r="T2790" s="47"/>
      <c r="U2790" s="47">
        <v>540</v>
      </c>
      <c r="V2790" s="47"/>
      <c r="W2790" s="47"/>
      <c r="X2790" s="47"/>
      <c r="Y2790" s="47"/>
      <c r="Z2790" s="47">
        <v>4620</v>
      </c>
      <c r="AA2790" s="47">
        <v>1400</v>
      </c>
      <c r="AB2790" s="47"/>
      <c r="AC2790" s="47"/>
      <c r="AD2790" s="47" t="s">
        <v>1</v>
      </c>
      <c r="AE2790" s="47"/>
      <c r="AF2790" s="47">
        <v>1485</v>
      </c>
      <c r="AG2790" s="47"/>
      <c r="AH2790" s="47" t="s">
        <v>9976</v>
      </c>
      <c r="AI2790" s="47"/>
      <c r="AJ2790" s="47"/>
    </row>
    <row r="2791" spans="1:36">
      <c r="A2791" s="374" t="s">
        <v>4245</v>
      </c>
      <c r="B2791" s="276">
        <v>53</v>
      </c>
      <c r="C2791" s="374" t="s">
        <v>7416</v>
      </c>
      <c r="D2791" s="375" t="str">
        <f t="shared" si="582"/>
        <v>Meridian Estate53</v>
      </c>
      <c r="E2791" s="375" t="s">
        <v>10240</v>
      </c>
      <c r="F2791" s="375"/>
      <c r="G2791" s="375"/>
      <c r="H2791" s="375" t="s">
        <v>7425</v>
      </c>
      <c r="I2791" s="63"/>
      <c r="J2791" s="47">
        <v>3740</v>
      </c>
      <c r="K2791" s="46" t="s">
        <v>10735</v>
      </c>
      <c r="L2791" s="47" t="s">
        <v>7394</v>
      </c>
      <c r="M2791" s="47" t="s">
        <v>4017</v>
      </c>
      <c r="N2791" s="47" t="s">
        <v>7893</v>
      </c>
      <c r="O2791" s="47"/>
      <c r="P2791" s="47"/>
      <c r="Q2791" s="47"/>
      <c r="R2791" s="47"/>
      <c r="S2791" s="47"/>
      <c r="T2791" s="47"/>
      <c r="U2791" s="47">
        <v>540</v>
      </c>
      <c r="V2791" s="47"/>
      <c r="W2791" s="47"/>
      <c r="X2791" s="47"/>
      <c r="Y2791" s="47"/>
      <c r="Z2791" s="47">
        <v>4620</v>
      </c>
      <c r="AA2791" s="47">
        <v>1400</v>
      </c>
      <c r="AB2791" s="47"/>
      <c r="AC2791" s="47"/>
      <c r="AD2791" s="47" t="s">
        <v>1</v>
      </c>
      <c r="AE2791" s="47"/>
      <c r="AF2791" s="47">
        <v>1485</v>
      </c>
      <c r="AG2791" s="47"/>
      <c r="AH2791" s="47" t="s">
        <v>9976</v>
      </c>
      <c r="AI2791" s="47"/>
      <c r="AJ2791" s="47"/>
    </row>
    <row r="2792" spans="1:36">
      <c r="A2792" s="374" t="s">
        <v>4245</v>
      </c>
      <c r="B2792" s="276" t="s">
        <v>9854</v>
      </c>
      <c r="C2792" s="374" t="s">
        <v>7416</v>
      </c>
      <c r="D2792" s="375" t="str">
        <f t="shared" ref="D2792:D2793" si="587">CONCATENATE(A2792,B2792)</f>
        <v>Meridian Estate54A</v>
      </c>
      <c r="E2792" s="375" t="s">
        <v>9855</v>
      </c>
      <c r="F2792" s="375"/>
      <c r="G2792" s="375"/>
      <c r="H2792" s="375" t="s">
        <v>7425</v>
      </c>
      <c r="I2792" s="63"/>
      <c r="J2792" s="47">
        <f t="shared" si="583"/>
        <v>3740</v>
      </c>
      <c r="K2792" s="46" t="s">
        <v>10735</v>
      </c>
      <c r="L2792" s="47" t="s">
        <v>7394</v>
      </c>
      <c r="M2792" s="47" t="s">
        <v>4017</v>
      </c>
      <c r="N2792" s="47" t="s">
        <v>7893</v>
      </c>
      <c r="O2792" s="47"/>
      <c r="P2792" s="47"/>
      <c r="Q2792" s="47"/>
      <c r="R2792" s="47"/>
      <c r="S2792" s="47"/>
      <c r="T2792" s="47"/>
      <c r="U2792" s="47">
        <f t="shared" si="584"/>
        <v>430</v>
      </c>
      <c r="V2792" s="47"/>
      <c r="W2792" s="47"/>
      <c r="X2792" s="47"/>
      <c r="Y2792" s="47"/>
      <c r="Z2792" s="47">
        <f t="shared" si="585"/>
        <v>4620</v>
      </c>
      <c r="AA2792" s="47">
        <f t="shared" si="585"/>
        <v>1400</v>
      </c>
      <c r="AB2792" s="47"/>
      <c r="AC2792" s="47"/>
      <c r="AD2792" s="47" t="s">
        <v>1</v>
      </c>
      <c r="AE2792" s="47"/>
      <c r="AF2792" s="47">
        <f t="shared" si="586"/>
        <v>1485</v>
      </c>
      <c r="AG2792" s="47"/>
      <c r="AH2792" s="47" t="str">
        <f>IFERROR(_xlfn.XLOOKUP(Table6[[#This Row],[Suburb]],Table5[Travel Surcharge],Table5[$$]),"")</f>
        <v/>
      </c>
      <c r="AI2792" s="47"/>
      <c r="AJ2792" s="47"/>
    </row>
    <row r="2793" spans="1:36">
      <c r="A2793" s="374" t="s">
        <v>4245</v>
      </c>
      <c r="B2793" s="276" t="s">
        <v>10633</v>
      </c>
      <c r="C2793" s="374" t="s">
        <v>7416</v>
      </c>
      <c r="D2793" s="375" t="str">
        <f t="shared" si="587"/>
        <v>Meridian Estate55A</v>
      </c>
      <c r="E2793" s="375" t="s">
        <v>10634</v>
      </c>
      <c r="F2793" s="375"/>
      <c r="G2793" s="375"/>
      <c r="H2793" s="375" t="s">
        <v>7425</v>
      </c>
      <c r="I2793" s="63"/>
      <c r="J2793" s="47">
        <f t="shared" si="583"/>
        <v>3740</v>
      </c>
      <c r="K2793" s="46" t="s">
        <v>10735</v>
      </c>
      <c r="L2793" s="47" t="s">
        <v>7394</v>
      </c>
      <c r="M2793" s="47" t="s">
        <v>4017</v>
      </c>
      <c r="N2793" s="47" t="s">
        <v>7893</v>
      </c>
      <c r="O2793" s="47"/>
      <c r="P2793" s="47"/>
      <c r="Q2793" s="47"/>
      <c r="R2793" s="47"/>
      <c r="S2793" s="47"/>
      <c r="T2793" s="47"/>
      <c r="U2793" s="47">
        <f t="shared" si="584"/>
        <v>430</v>
      </c>
      <c r="V2793" s="47"/>
      <c r="W2793" s="47"/>
      <c r="X2793" s="47"/>
      <c r="Y2793" s="47"/>
      <c r="Z2793" s="47">
        <f t="shared" si="585"/>
        <v>4620</v>
      </c>
      <c r="AA2793" s="47">
        <f t="shared" si="585"/>
        <v>1400</v>
      </c>
      <c r="AB2793" s="47"/>
      <c r="AC2793" s="47"/>
      <c r="AD2793" s="47" t="s">
        <v>1</v>
      </c>
      <c r="AE2793" s="47"/>
      <c r="AF2793" s="47">
        <f t="shared" si="586"/>
        <v>1485</v>
      </c>
      <c r="AG2793" s="47"/>
      <c r="AH2793" s="47" t="str">
        <f>IFERROR(_xlfn.XLOOKUP(Table6[[#This Row],[Suburb]],Table5[Travel Surcharge],Table5[$$]),"")</f>
        <v/>
      </c>
      <c r="AI2793" s="47"/>
      <c r="AJ2793" s="47"/>
    </row>
    <row r="2794" spans="1:36" ht="12.75" customHeight="1">
      <c r="A2794" s="374" t="s">
        <v>4245</v>
      </c>
      <c r="B2794" s="276">
        <v>56</v>
      </c>
      <c r="C2794" s="374" t="s">
        <v>7416</v>
      </c>
      <c r="D2794" s="375" t="str">
        <f t="shared" ref="D2794:D2795" si="588">CONCATENATE(A2794,B2794)</f>
        <v>Meridian Estate56</v>
      </c>
      <c r="E2794" s="375" t="s">
        <v>10632</v>
      </c>
      <c r="F2794" s="375"/>
      <c r="G2794" s="375"/>
      <c r="H2794" s="375" t="s">
        <v>7425</v>
      </c>
      <c r="I2794" s="63"/>
      <c r="J2794" s="47">
        <f t="shared" si="583"/>
        <v>3740</v>
      </c>
      <c r="K2794" s="46" t="s">
        <v>10735</v>
      </c>
      <c r="L2794" s="47">
        <v>1210</v>
      </c>
      <c r="M2794" s="47" t="s">
        <v>4017</v>
      </c>
      <c r="N2794" s="47" t="s">
        <v>7893</v>
      </c>
      <c r="O2794" s="47" t="s">
        <v>7394</v>
      </c>
      <c r="P2794" s="47"/>
      <c r="Q2794" s="47"/>
      <c r="R2794" s="47"/>
      <c r="S2794" s="47"/>
      <c r="T2794" s="47"/>
      <c r="U2794" s="47">
        <f t="shared" si="584"/>
        <v>430</v>
      </c>
      <c r="V2794" s="47"/>
      <c r="W2794" s="47"/>
      <c r="X2794" s="47"/>
      <c r="Y2794" s="47"/>
      <c r="Z2794" s="47">
        <f t="shared" si="585"/>
        <v>4620</v>
      </c>
      <c r="AA2794" s="47">
        <f t="shared" si="585"/>
        <v>1400</v>
      </c>
      <c r="AB2794" s="47"/>
      <c r="AC2794" s="47"/>
      <c r="AD2794" s="47" t="s">
        <v>1</v>
      </c>
      <c r="AE2794" s="47"/>
      <c r="AF2794" s="47">
        <f t="shared" si="586"/>
        <v>1485</v>
      </c>
      <c r="AG2794" s="47"/>
      <c r="AH2794" s="47" t="str">
        <f>IFERROR(_xlfn.XLOOKUP(Table6[[#This Row],[Suburb]],Table5[Travel Surcharge],Table5[$$]),"")</f>
        <v/>
      </c>
      <c r="AI2794" s="47"/>
      <c r="AJ2794" s="47"/>
    </row>
    <row r="2795" spans="1:36" ht="13.5" customHeight="1">
      <c r="A2795" s="374" t="s">
        <v>4245</v>
      </c>
      <c r="B2795" s="276">
        <v>58</v>
      </c>
      <c r="C2795" s="374" t="s">
        <v>7416</v>
      </c>
      <c r="D2795" s="375" t="str">
        <f t="shared" si="588"/>
        <v>Meridian Estate58</v>
      </c>
      <c r="E2795" s="375" t="s">
        <v>10904</v>
      </c>
      <c r="F2795" s="375"/>
      <c r="G2795" s="375"/>
      <c r="H2795" s="375" t="s">
        <v>7425</v>
      </c>
      <c r="I2795" s="63"/>
      <c r="J2795" s="47">
        <v>3740</v>
      </c>
      <c r="K2795" s="46" t="s">
        <v>10735</v>
      </c>
      <c r="L2795" s="47">
        <v>1210</v>
      </c>
      <c r="M2795" s="47" t="s">
        <v>4017</v>
      </c>
      <c r="N2795" s="47" t="s">
        <v>7893</v>
      </c>
      <c r="O2795" s="47" t="s">
        <v>7394</v>
      </c>
      <c r="P2795" s="47"/>
      <c r="Q2795" s="47"/>
      <c r="R2795" s="47"/>
      <c r="S2795" s="47"/>
      <c r="T2795" s="47"/>
      <c r="U2795" s="47">
        <v>430</v>
      </c>
      <c r="V2795" s="47"/>
      <c r="W2795" s="47"/>
      <c r="X2795" s="47"/>
      <c r="Y2795" s="47"/>
      <c r="Z2795" s="47">
        <v>4620</v>
      </c>
      <c r="AA2795" s="47">
        <v>1400</v>
      </c>
      <c r="AB2795" s="47"/>
      <c r="AC2795" s="47"/>
      <c r="AD2795" s="47" t="s">
        <v>1</v>
      </c>
      <c r="AE2795" s="47"/>
      <c r="AF2795" s="47">
        <v>1485</v>
      </c>
      <c r="AG2795" s="47"/>
      <c r="AH2795" s="47" t="s">
        <v>9976</v>
      </c>
      <c r="AI2795" s="47"/>
      <c r="AJ2795" s="47"/>
    </row>
    <row r="2796" spans="1:36" ht="14.25" customHeight="1">
      <c r="A2796" s="374" t="s">
        <v>4245</v>
      </c>
      <c r="B2796" s="276" t="s">
        <v>710</v>
      </c>
      <c r="C2796" s="374" t="s">
        <v>428</v>
      </c>
      <c r="D2796" s="375" t="str">
        <f t="shared" si="582"/>
        <v>Meridian Estate9B</v>
      </c>
      <c r="E2796" s="375" t="s">
        <v>4271</v>
      </c>
      <c r="F2796" s="375"/>
      <c r="G2796" s="375"/>
      <c r="H2796" s="375" t="s">
        <v>4247</v>
      </c>
      <c r="I2796" s="63"/>
      <c r="J2796" s="47">
        <f t="shared" si="583"/>
        <v>3740</v>
      </c>
      <c r="K2796" s="46" t="s">
        <v>10735</v>
      </c>
      <c r="L2796" s="47">
        <f>L$7</f>
        <v>1210</v>
      </c>
      <c r="M2796" s="47" t="s">
        <v>4017</v>
      </c>
      <c r="N2796" s="47"/>
      <c r="O2796" s="47"/>
      <c r="P2796" s="47"/>
      <c r="Q2796" s="47"/>
      <c r="R2796" s="47"/>
      <c r="S2796" s="47"/>
      <c r="T2796" s="47"/>
      <c r="U2796" s="47">
        <f t="shared" si="584"/>
        <v>430</v>
      </c>
      <c r="V2796" s="47"/>
      <c r="W2796" s="47"/>
      <c r="X2796" s="47"/>
      <c r="Y2796" s="47"/>
      <c r="Z2796" s="47">
        <f t="shared" si="585"/>
        <v>4620</v>
      </c>
      <c r="AA2796" s="47">
        <f t="shared" si="585"/>
        <v>1400</v>
      </c>
      <c r="AB2796" s="47"/>
      <c r="AC2796" s="47"/>
      <c r="AD2796" s="47" t="s">
        <v>1</v>
      </c>
      <c r="AE2796" s="47"/>
      <c r="AF2796" s="47">
        <f t="shared" si="586"/>
        <v>1485</v>
      </c>
      <c r="AG2796" s="47"/>
      <c r="AH2796" s="47" t="str">
        <f>IFERROR(_xlfn.XLOOKUP(Table6[[#This Row],[Suburb]],Table5[Travel Surcharge],Table5[$$]),"")</f>
        <v/>
      </c>
      <c r="AI2796" s="47"/>
      <c r="AJ2796" s="47"/>
    </row>
    <row r="2797" spans="1:36" ht="14.25" customHeight="1">
      <c r="A2797" s="374" t="s">
        <v>4245</v>
      </c>
      <c r="B2797" s="276" t="s">
        <v>4251</v>
      </c>
      <c r="C2797" s="374" t="s">
        <v>428</v>
      </c>
      <c r="D2797" s="375" t="str">
        <f t="shared" si="582"/>
        <v>Meridian Estate9C</v>
      </c>
      <c r="E2797" s="375" t="s">
        <v>4252</v>
      </c>
      <c r="F2797" s="375"/>
      <c r="G2797" s="375"/>
      <c r="H2797" s="375" t="s">
        <v>4247</v>
      </c>
      <c r="I2797" s="63"/>
      <c r="J2797" s="47">
        <f t="shared" si="583"/>
        <v>3740</v>
      </c>
      <c r="K2797" s="46" t="s">
        <v>10735</v>
      </c>
      <c r="L2797" s="47">
        <f>L$7</f>
        <v>1210</v>
      </c>
      <c r="M2797" s="47" t="s">
        <v>4017</v>
      </c>
      <c r="N2797" s="47"/>
      <c r="O2797" s="47"/>
      <c r="P2797" s="47"/>
      <c r="Q2797" s="47"/>
      <c r="R2797" s="47"/>
      <c r="S2797" s="47"/>
      <c r="T2797" s="47"/>
      <c r="U2797" s="47">
        <f t="shared" si="584"/>
        <v>430</v>
      </c>
      <c r="V2797" s="47"/>
      <c r="W2797" s="47"/>
      <c r="X2797" s="47"/>
      <c r="Y2797" s="47"/>
      <c r="Z2797" s="47">
        <f t="shared" si="585"/>
        <v>4620</v>
      </c>
      <c r="AA2797" s="47">
        <f t="shared" si="585"/>
        <v>1400</v>
      </c>
      <c r="AB2797" s="47"/>
      <c r="AC2797" s="47"/>
      <c r="AD2797" s="47" t="s">
        <v>1</v>
      </c>
      <c r="AE2797" s="47"/>
      <c r="AF2797" s="47">
        <f t="shared" si="586"/>
        <v>1485</v>
      </c>
      <c r="AG2797" s="47"/>
      <c r="AH2797" s="47" t="str">
        <f>IFERROR(_xlfn.XLOOKUP(Table6[[#This Row],[Suburb]],Table5[Travel Surcharge],Table5[$$]),"")</f>
        <v/>
      </c>
      <c r="AI2797" s="47"/>
      <c r="AJ2797" s="47"/>
    </row>
    <row r="2798" spans="1:36" ht="14.25" customHeight="1">
      <c r="A2798" s="374" t="s">
        <v>4272</v>
      </c>
      <c r="B2798" s="374">
        <v>1</v>
      </c>
      <c r="C2798" s="374" t="s">
        <v>281</v>
      </c>
      <c r="D2798" s="375" t="str">
        <f t="shared" si="582"/>
        <v>Merindah Estate1</v>
      </c>
      <c r="E2798" s="375" t="s">
        <v>4273</v>
      </c>
      <c r="F2798" s="375"/>
      <c r="G2798" s="375" t="s">
        <v>4274</v>
      </c>
      <c r="H2798" s="375" t="s">
        <v>4275</v>
      </c>
      <c r="I2798" s="63" t="s">
        <v>4276</v>
      </c>
      <c r="J2798" s="47">
        <f t="shared" si="583"/>
        <v>3740</v>
      </c>
      <c r="K2798" s="46" t="s">
        <v>10735</v>
      </c>
      <c r="L2798" s="47"/>
      <c r="M2798" s="47"/>
      <c r="N2798" s="47" t="s">
        <v>4277</v>
      </c>
      <c r="O2798" s="47" t="s">
        <v>4278</v>
      </c>
      <c r="P2798" s="47" t="s">
        <v>4279</v>
      </c>
      <c r="Q2798" s="47"/>
      <c r="R2798" s="47"/>
      <c r="S2798" s="47"/>
      <c r="T2798" s="47"/>
      <c r="U2798" s="47">
        <f t="shared" si="584"/>
        <v>430</v>
      </c>
      <c r="V2798" s="47"/>
      <c r="W2798" s="47"/>
      <c r="X2798" s="47"/>
      <c r="Y2798" s="47"/>
      <c r="Z2798" s="47">
        <f t="shared" ref="Z2798:Z2831" si="589">Z$7</f>
        <v>4620</v>
      </c>
      <c r="AA2798" s="47"/>
      <c r="AB2798" s="47"/>
      <c r="AC2798" s="47"/>
      <c r="AD2798" s="47"/>
      <c r="AE2798" s="47"/>
      <c r="AF2798" s="47"/>
      <c r="AG2798" s="47"/>
      <c r="AH2798" s="47">
        <f>IFERROR(_xlfn.XLOOKUP(Table6[[#This Row],[Suburb]],Table5[Travel Surcharge],Table5[$$]),"")</f>
        <v>1500</v>
      </c>
      <c r="AI2798" s="47"/>
      <c r="AJ2798" s="47"/>
    </row>
    <row r="2799" spans="1:36">
      <c r="A2799" s="374" t="s">
        <v>4272</v>
      </c>
      <c r="B2799" s="374">
        <v>2</v>
      </c>
      <c r="C2799" s="374" t="s">
        <v>281</v>
      </c>
      <c r="D2799" s="375" t="str">
        <f t="shared" si="582"/>
        <v>Merindah Estate2</v>
      </c>
      <c r="E2799" s="375" t="s">
        <v>4280</v>
      </c>
      <c r="F2799" s="375"/>
      <c r="G2799" s="375" t="s">
        <v>4274</v>
      </c>
      <c r="H2799" s="375" t="s">
        <v>4275</v>
      </c>
      <c r="I2799" s="63" t="s">
        <v>4276</v>
      </c>
      <c r="J2799" s="47">
        <f t="shared" si="583"/>
        <v>3740</v>
      </c>
      <c r="K2799" s="46" t="s">
        <v>10735</v>
      </c>
      <c r="L2799" s="47"/>
      <c r="M2799" s="47"/>
      <c r="N2799" s="47" t="s">
        <v>4277</v>
      </c>
      <c r="O2799" s="47" t="s">
        <v>4278</v>
      </c>
      <c r="P2799" s="47" t="s">
        <v>4279</v>
      </c>
      <c r="Q2799" s="47"/>
      <c r="R2799" s="47"/>
      <c r="S2799" s="47"/>
      <c r="T2799" s="47"/>
      <c r="U2799" s="47">
        <f t="shared" si="584"/>
        <v>430</v>
      </c>
      <c r="V2799" s="47"/>
      <c r="W2799" s="47"/>
      <c r="X2799" s="47"/>
      <c r="Y2799" s="47"/>
      <c r="Z2799" s="47">
        <f t="shared" si="589"/>
        <v>4620</v>
      </c>
      <c r="AA2799" s="47"/>
      <c r="AB2799" s="47"/>
      <c r="AC2799" s="47"/>
      <c r="AD2799" s="47"/>
      <c r="AE2799" s="47"/>
      <c r="AF2799" s="47"/>
      <c r="AG2799" s="47"/>
      <c r="AH2799" s="47">
        <f>IFERROR(_xlfn.XLOOKUP(Table6[[#This Row],[Suburb]],Table5[Travel Surcharge],Table5[$$]),"")</f>
        <v>1500</v>
      </c>
      <c r="AI2799" s="47"/>
      <c r="AJ2799" s="47"/>
    </row>
    <row r="2800" spans="1:36">
      <c r="A2800" s="374" t="s">
        <v>4272</v>
      </c>
      <c r="B2800" s="374">
        <v>3</v>
      </c>
      <c r="C2800" s="374" t="s">
        <v>281</v>
      </c>
      <c r="D2800" s="375" t="str">
        <f t="shared" si="582"/>
        <v>Merindah Estate3</v>
      </c>
      <c r="E2800" s="375" t="s">
        <v>4281</v>
      </c>
      <c r="F2800" s="375"/>
      <c r="G2800" s="375" t="s">
        <v>4274</v>
      </c>
      <c r="H2800" s="375" t="s">
        <v>4275</v>
      </c>
      <c r="I2800" s="63" t="s">
        <v>4276</v>
      </c>
      <c r="J2800" s="47">
        <f t="shared" si="583"/>
        <v>3740</v>
      </c>
      <c r="K2800" s="46" t="s">
        <v>10735</v>
      </c>
      <c r="L2800" s="47"/>
      <c r="M2800" s="47"/>
      <c r="N2800" s="47" t="s">
        <v>4277</v>
      </c>
      <c r="O2800" s="47" t="s">
        <v>4278</v>
      </c>
      <c r="P2800" s="47" t="s">
        <v>4279</v>
      </c>
      <c r="Q2800" s="47"/>
      <c r="R2800" s="47"/>
      <c r="S2800" s="47"/>
      <c r="T2800" s="47"/>
      <c r="U2800" s="47">
        <f t="shared" si="584"/>
        <v>430</v>
      </c>
      <c r="V2800" s="47"/>
      <c r="W2800" s="47"/>
      <c r="X2800" s="47"/>
      <c r="Y2800" s="47"/>
      <c r="Z2800" s="47">
        <f t="shared" si="589"/>
        <v>4620</v>
      </c>
      <c r="AA2800" s="47"/>
      <c r="AB2800" s="47"/>
      <c r="AC2800" s="47"/>
      <c r="AD2800" s="47"/>
      <c r="AE2800" s="47"/>
      <c r="AF2800" s="47"/>
      <c r="AG2800" s="47"/>
      <c r="AH2800" s="47">
        <f>IFERROR(_xlfn.XLOOKUP(Table6[[#This Row],[Suburb]],Table5[Travel Surcharge],Table5[$$]),"")</f>
        <v>1500</v>
      </c>
      <c r="AI2800" s="47"/>
      <c r="AJ2800" s="47"/>
    </row>
    <row r="2801" spans="1:36">
      <c r="A2801" s="374" t="s">
        <v>4282</v>
      </c>
      <c r="B2801" s="374">
        <v>3</v>
      </c>
      <c r="C2801" s="374" t="s">
        <v>409</v>
      </c>
      <c r="D2801" s="375" t="str">
        <f t="shared" si="582"/>
        <v>Mernda On The Park Estate3</v>
      </c>
      <c r="E2801" s="375" t="s">
        <v>4283</v>
      </c>
      <c r="F2801" s="375"/>
      <c r="G2801" s="375" t="s">
        <v>4284</v>
      </c>
      <c r="H2801" s="375" t="s">
        <v>4285</v>
      </c>
      <c r="I2801" s="63" t="s">
        <v>4286</v>
      </c>
      <c r="J2801" s="47"/>
      <c r="K2801" s="46" t="s">
        <v>10735</v>
      </c>
      <c r="L2801" s="47"/>
      <c r="M2801" s="47"/>
      <c r="N2801" s="47"/>
      <c r="O2801" s="47"/>
      <c r="P2801" s="47"/>
      <c r="Q2801" s="47"/>
      <c r="R2801" s="47">
        <f>R$2</f>
        <v>540</v>
      </c>
      <c r="S2801" s="47"/>
      <c r="T2801" s="47"/>
      <c r="U2801" s="47"/>
      <c r="V2801" s="47"/>
      <c r="W2801" s="47"/>
      <c r="X2801" s="47"/>
      <c r="Y2801" s="47"/>
      <c r="Z2801" s="47">
        <f t="shared" si="589"/>
        <v>4620</v>
      </c>
      <c r="AA2801" s="47"/>
      <c r="AB2801" s="47"/>
      <c r="AC2801" s="47"/>
      <c r="AD2801" s="47" t="s">
        <v>1</v>
      </c>
      <c r="AE2801" s="47"/>
      <c r="AF2801" s="47"/>
      <c r="AG2801" s="47"/>
      <c r="AH2801" s="47" t="str">
        <f>IFERROR(_xlfn.XLOOKUP(Table6[[#This Row],[Suburb]],Table5[Travel Surcharge],Table5[$$]),"")</f>
        <v/>
      </c>
      <c r="AI2801" s="47"/>
      <c r="AJ2801" s="47"/>
    </row>
    <row r="2802" spans="1:36">
      <c r="A2802" s="374" t="s">
        <v>4282</v>
      </c>
      <c r="B2802" s="374">
        <v>4</v>
      </c>
      <c r="C2802" s="374" t="s">
        <v>409</v>
      </c>
      <c r="D2802" s="375" t="str">
        <f t="shared" si="582"/>
        <v>Mernda On The Park Estate4</v>
      </c>
      <c r="E2802" s="375" t="s">
        <v>4287</v>
      </c>
      <c r="F2802" s="375"/>
      <c r="G2802" s="375" t="s">
        <v>4284</v>
      </c>
      <c r="H2802" s="375" t="s">
        <v>4285</v>
      </c>
      <c r="I2802" s="63" t="s">
        <v>4286</v>
      </c>
      <c r="J2802" s="47"/>
      <c r="K2802" s="46" t="s">
        <v>10735</v>
      </c>
      <c r="L2802" s="47"/>
      <c r="M2802" s="47"/>
      <c r="N2802" s="47"/>
      <c r="O2802" s="47"/>
      <c r="P2802" s="47"/>
      <c r="Q2802" s="47"/>
      <c r="R2802" s="47">
        <f>R$2</f>
        <v>540</v>
      </c>
      <c r="S2802" s="47"/>
      <c r="T2802" s="47"/>
      <c r="U2802" s="47"/>
      <c r="V2802" s="47"/>
      <c r="W2802" s="47"/>
      <c r="X2802" s="47"/>
      <c r="Y2802" s="47"/>
      <c r="Z2802" s="47">
        <f t="shared" si="589"/>
        <v>4620</v>
      </c>
      <c r="AA2802" s="47"/>
      <c r="AB2802" s="47"/>
      <c r="AC2802" s="47"/>
      <c r="AD2802" s="47" t="s">
        <v>1</v>
      </c>
      <c r="AE2802" s="47"/>
      <c r="AF2802" s="47"/>
      <c r="AG2802" s="47"/>
      <c r="AH2802" s="47" t="str">
        <f>IFERROR(_xlfn.XLOOKUP(Table6[[#This Row],[Suburb]],Table5[Travel Surcharge],Table5[$$]),"")</f>
        <v/>
      </c>
      <c r="AI2802" s="47"/>
      <c r="AJ2802" s="47"/>
    </row>
    <row r="2803" spans="1:36">
      <c r="A2803" s="374" t="s">
        <v>4282</v>
      </c>
      <c r="B2803" s="374">
        <v>5</v>
      </c>
      <c r="C2803" s="374" t="s">
        <v>409</v>
      </c>
      <c r="D2803" s="375" t="str">
        <f t="shared" si="582"/>
        <v>Mernda On The Park Estate5</v>
      </c>
      <c r="E2803" s="375" t="s">
        <v>4288</v>
      </c>
      <c r="F2803" s="375"/>
      <c r="G2803" s="375" t="s">
        <v>4284</v>
      </c>
      <c r="H2803" s="375" t="s">
        <v>4285</v>
      </c>
      <c r="I2803" s="63" t="s">
        <v>4286</v>
      </c>
      <c r="J2803" s="47"/>
      <c r="K2803" s="46" t="s">
        <v>10735</v>
      </c>
      <c r="L2803" s="47"/>
      <c r="M2803" s="47"/>
      <c r="N2803" s="47"/>
      <c r="O2803" s="47"/>
      <c r="P2803" s="47"/>
      <c r="Q2803" s="47"/>
      <c r="R2803" s="47">
        <f>R$2</f>
        <v>540</v>
      </c>
      <c r="S2803" s="47"/>
      <c r="T2803" s="47"/>
      <c r="U2803" s="47"/>
      <c r="V2803" s="47"/>
      <c r="W2803" s="47"/>
      <c r="X2803" s="47"/>
      <c r="Y2803" s="47"/>
      <c r="Z2803" s="47">
        <f t="shared" si="589"/>
        <v>4620</v>
      </c>
      <c r="AA2803" s="47"/>
      <c r="AB2803" s="47"/>
      <c r="AC2803" s="47"/>
      <c r="AD2803" s="47" t="s">
        <v>1</v>
      </c>
      <c r="AE2803" s="47"/>
      <c r="AF2803" s="47"/>
      <c r="AG2803" s="47"/>
      <c r="AH2803" s="47" t="str">
        <f>IFERROR(_xlfn.XLOOKUP(Table6[[#This Row],[Suburb]],Table5[Travel Surcharge],Table5[$$]),"")</f>
        <v/>
      </c>
      <c r="AI2803" s="47"/>
      <c r="AJ2803" s="47"/>
    </row>
    <row r="2804" spans="1:36">
      <c r="A2804" s="374" t="s">
        <v>4282</v>
      </c>
      <c r="B2804" s="374">
        <v>6</v>
      </c>
      <c r="C2804" s="374" t="s">
        <v>409</v>
      </c>
      <c r="D2804" s="375" t="str">
        <f t="shared" si="582"/>
        <v>Mernda On The Park Estate6</v>
      </c>
      <c r="E2804" s="375" t="s">
        <v>4289</v>
      </c>
      <c r="F2804" s="375"/>
      <c r="G2804" s="375" t="s">
        <v>4284</v>
      </c>
      <c r="H2804" s="375" t="s">
        <v>4285</v>
      </c>
      <c r="I2804" s="63" t="s">
        <v>4286</v>
      </c>
      <c r="J2804" s="47"/>
      <c r="K2804" s="46" t="s">
        <v>10735</v>
      </c>
      <c r="L2804" s="47"/>
      <c r="M2804" s="47"/>
      <c r="N2804" s="47"/>
      <c r="O2804" s="47"/>
      <c r="P2804" s="47"/>
      <c r="Q2804" s="47"/>
      <c r="R2804" s="47">
        <f>R$2</f>
        <v>540</v>
      </c>
      <c r="S2804" s="47"/>
      <c r="T2804" s="47"/>
      <c r="U2804" s="47"/>
      <c r="V2804" s="47"/>
      <c r="W2804" s="47"/>
      <c r="X2804" s="47"/>
      <c r="Y2804" s="47"/>
      <c r="Z2804" s="47">
        <f t="shared" si="589"/>
        <v>4620</v>
      </c>
      <c r="AA2804" s="47"/>
      <c r="AB2804" s="47"/>
      <c r="AC2804" s="47"/>
      <c r="AD2804" s="47" t="s">
        <v>1</v>
      </c>
      <c r="AE2804" s="47"/>
      <c r="AF2804" s="47"/>
      <c r="AG2804" s="47"/>
      <c r="AH2804" s="47" t="str">
        <f>IFERROR(_xlfn.XLOOKUP(Table6[[#This Row],[Suburb]],Table5[Travel Surcharge],Table5[$$]),"")</f>
        <v/>
      </c>
      <c r="AI2804" s="47"/>
      <c r="AJ2804" s="47"/>
    </row>
    <row r="2805" spans="1:36">
      <c r="A2805" s="374" t="s">
        <v>4282</v>
      </c>
      <c r="B2805" s="374">
        <v>7</v>
      </c>
      <c r="C2805" s="374" t="s">
        <v>409</v>
      </c>
      <c r="D2805" s="375" t="str">
        <f t="shared" si="582"/>
        <v>Mernda On The Park Estate7</v>
      </c>
      <c r="E2805" s="375" t="s">
        <v>4290</v>
      </c>
      <c r="F2805" s="375"/>
      <c r="G2805" s="375" t="s">
        <v>4284</v>
      </c>
      <c r="H2805" s="375" t="s">
        <v>4285</v>
      </c>
      <c r="I2805" s="63" t="s">
        <v>4286</v>
      </c>
      <c r="J2805" s="47"/>
      <c r="K2805" s="46" t="s">
        <v>10735</v>
      </c>
      <c r="L2805" s="47"/>
      <c r="M2805" s="47"/>
      <c r="N2805" s="47"/>
      <c r="O2805" s="47"/>
      <c r="P2805" s="47"/>
      <c r="Q2805" s="47"/>
      <c r="R2805" s="47">
        <f>R$2</f>
        <v>540</v>
      </c>
      <c r="S2805" s="47"/>
      <c r="T2805" s="47"/>
      <c r="U2805" s="47"/>
      <c r="V2805" s="47"/>
      <c r="W2805" s="47"/>
      <c r="X2805" s="47"/>
      <c r="Y2805" s="47"/>
      <c r="Z2805" s="47">
        <f t="shared" si="589"/>
        <v>4620</v>
      </c>
      <c r="AA2805" s="47"/>
      <c r="AB2805" s="47"/>
      <c r="AC2805" s="47"/>
      <c r="AD2805" s="47" t="s">
        <v>1</v>
      </c>
      <c r="AE2805" s="47"/>
      <c r="AF2805" s="47"/>
      <c r="AG2805" s="47"/>
      <c r="AH2805" s="47" t="str">
        <f>IFERROR(_xlfn.XLOOKUP(Table6[[#This Row],[Suburb]],Table5[Travel Surcharge],Table5[$$]),"")</f>
        <v/>
      </c>
      <c r="AI2805" s="47"/>
      <c r="AJ2805" s="47"/>
    </row>
    <row r="2806" spans="1:36">
      <c r="A2806" s="374" t="s">
        <v>4291</v>
      </c>
      <c r="B2806" s="374">
        <v>48</v>
      </c>
      <c r="C2806" s="374" t="s">
        <v>409</v>
      </c>
      <c r="D2806" s="375" t="str">
        <f t="shared" si="582"/>
        <v>Mernda Villages Estate48</v>
      </c>
      <c r="E2806" s="375" t="s">
        <v>4292</v>
      </c>
      <c r="F2806" s="375" t="s">
        <v>650</v>
      </c>
      <c r="G2806" s="375" t="s">
        <v>4293</v>
      </c>
      <c r="H2806" s="375" t="s">
        <v>4294</v>
      </c>
      <c r="I2806" s="63" t="s">
        <v>4295</v>
      </c>
      <c r="J2806" s="47">
        <f t="shared" ref="J2806:J2849" si="590">J$7</f>
        <v>3740</v>
      </c>
      <c r="K2806" s="46" t="s">
        <v>10735</v>
      </c>
      <c r="L2806" s="47"/>
      <c r="M2806" s="47"/>
      <c r="N2806" s="47"/>
      <c r="O2806" s="47"/>
      <c r="P2806" s="47"/>
      <c r="Q2806" s="47"/>
      <c r="R2806" s="47"/>
      <c r="S2806" s="47" t="s">
        <v>463</v>
      </c>
      <c r="T2806" s="47"/>
      <c r="U2806" s="47"/>
      <c r="V2806" s="47"/>
      <c r="W2806" s="47"/>
      <c r="X2806" s="47"/>
      <c r="Y2806" s="47"/>
      <c r="Z2806" s="47">
        <f t="shared" si="589"/>
        <v>4620</v>
      </c>
      <c r="AA2806" s="47"/>
      <c r="AB2806" s="47"/>
      <c r="AC2806" s="47">
        <f t="shared" ref="AC2806:AC2815" si="591">AC$7</f>
        <v>5200</v>
      </c>
      <c r="AD2806" s="47" t="s">
        <v>1</v>
      </c>
      <c r="AE2806" s="47"/>
      <c r="AF2806" s="47"/>
      <c r="AG2806" s="47"/>
      <c r="AH2806" s="47" t="str">
        <f>IFERROR(_xlfn.XLOOKUP(Table6[[#This Row],[Suburb]],Table5[Travel Surcharge],Table5[$$]),"")</f>
        <v/>
      </c>
      <c r="AI2806" s="47"/>
      <c r="AJ2806" s="47"/>
    </row>
    <row r="2807" spans="1:36">
      <c r="A2807" s="374" t="s">
        <v>4291</v>
      </c>
      <c r="B2807" s="374">
        <v>55</v>
      </c>
      <c r="C2807" s="374" t="s">
        <v>409</v>
      </c>
      <c r="D2807" s="375" t="str">
        <f t="shared" si="582"/>
        <v>Mernda Villages Estate55</v>
      </c>
      <c r="E2807" s="375" t="s">
        <v>4296</v>
      </c>
      <c r="F2807" s="375" t="s">
        <v>650</v>
      </c>
      <c r="G2807" s="375" t="s">
        <v>4293</v>
      </c>
      <c r="H2807" s="375" t="s">
        <v>4294</v>
      </c>
      <c r="I2807" s="63" t="s">
        <v>4295</v>
      </c>
      <c r="J2807" s="47">
        <f t="shared" si="590"/>
        <v>3740</v>
      </c>
      <c r="K2807" s="46" t="s">
        <v>10735</v>
      </c>
      <c r="L2807" s="47"/>
      <c r="M2807" s="47"/>
      <c r="N2807" s="47"/>
      <c r="O2807" s="47"/>
      <c r="P2807" s="47"/>
      <c r="Q2807" s="47"/>
      <c r="R2807" s="47"/>
      <c r="S2807" s="47" t="s">
        <v>463</v>
      </c>
      <c r="T2807" s="47"/>
      <c r="U2807" s="47"/>
      <c r="V2807" s="47"/>
      <c r="W2807" s="47"/>
      <c r="X2807" s="47"/>
      <c r="Y2807" s="47"/>
      <c r="Z2807" s="47">
        <f t="shared" si="589"/>
        <v>4620</v>
      </c>
      <c r="AA2807" s="47"/>
      <c r="AB2807" s="47"/>
      <c r="AC2807" s="47">
        <f t="shared" si="591"/>
        <v>5200</v>
      </c>
      <c r="AD2807" s="47" t="s">
        <v>1</v>
      </c>
      <c r="AE2807" s="47"/>
      <c r="AF2807" s="47"/>
      <c r="AG2807" s="47"/>
      <c r="AH2807" s="47" t="str">
        <f>IFERROR(_xlfn.XLOOKUP(Table6[[#This Row],[Suburb]],Table5[Travel Surcharge],Table5[$$]),"")</f>
        <v/>
      </c>
      <c r="AI2807" s="47"/>
      <c r="AJ2807" s="47"/>
    </row>
    <row r="2808" spans="1:36">
      <c r="A2808" s="374" t="s">
        <v>4291</v>
      </c>
      <c r="B2808" s="374">
        <v>56</v>
      </c>
      <c r="C2808" s="374" t="s">
        <v>409</v>
      </c>
      <c r="D2808" s="375" t="str">
        <f t="shared" si="582"/>
        <v>Mernda Villages Estate56</v>
      </c>
      <c r="E2808" s="375" t="s">
        <v>4297</v>
      </c>
      <c r="F2808" s="375" t="s">
        <v>650</v>
      </c>
      <c r="G2808" s="375" t="s">
        <v>4293</v>
      </c>
      <c r="H2808" s="375" t="s">
        <v>4294</v>
      </c>
      <c r="I2808" s="63" t="s">
        <v>4295</v>
      </c>
      <c r="J2808" s="47">
        <f t="shared" si="590"/>
        <v>3740</v>
      </c>
      <c r="K2808" s="46" t="s">
        <v>10735</v>
      </c>
      <c r="L2808" s="47"/>
      <c r="M2808" s="47"/>
      <c r="N2808" s="47"/>
      <c r="O2808" s="47"/>
      <c r="P2808" s="47"/>
      <c r="Q2808" s="47"/>
      <c r="R2808" s="47"/>
      <c r="S2808" s="47" t="s">
        <v>463</v>
      </c>
      <c r="T2808" s="47"/>
      <c r="U2808" s="47"/>
      <c r="V2808" s="47"/>
      <c r="W2808" s="47"/>
      <c r="X2808" s="47"/>
      <c r="Y2808" s="47"/>
      <c r="Z2808" s="47">
        <f t="shared" si="589"/>
        <v>4620</v>
      </c>
      <c r="AA2808" s="47"/>
      <c r="AB2808" s="47"/>
      <c r="AC2808" s="47">
        <f t="shared" si="591"/>
        <v>5200</v>
      </c>
      <c r="AD2808" s="47" t="s">
        <v>1</v>
      </c>
      <c r="AE2808" s="47"/>
      <c r="AF2808" s="47"/>
      <c r="AG2808" s="47"/>
      <c r="AH2808" s="47" t="str">
        <f>IFERROR(_xlfn.XLOOKUP(Table6[[#This Row],[Suburb]],Table5[Travel Surcharge],Table5[$$]),"")</f>
        <v/>
      </c>
      <c r="AI2808" s="47"/>
      <c r="AJ2808" s="47"/>
    </row>
    <row r="2809" spans="1:36">
      <c r="A2809" s="374" t="s">
        <v>4291</v>
      </c>
      <c r="B2809" s="374">
        <v>57</v>
      </c>
      <c r="C2809" s="374" t="s">
        <v>409</v>
      </c>
      <c r="D2809" s="375" t="str">
        <f t="shared" si="582"/>
        <v>Mernda Villages Estate57</v>
      </c>
      <c r="E2809" s="375" t="s">
        <v>4298</v>
      </c>
      <c r="F2809" s="375" t="s">
        <v>650</v>
      </c>
      <c r="G2809" s="375" t="s">
        <v>4293</v>
      </c>
      <c r="H2809" s="375" t="s">
        <v>4294</v>
      </c>
      <c r="I2809" s="63" t="s">
        <v>4295</v>
      </c>
      <c r="J2809" s="47">
        <f t="shared" si="590"/>
        <v>3740</v>
      </c>
      <c r="K2809" s="46" t="s">
        <v>10735</v>
      </c>
      <c r="L2809" s="47"/>
      <c r="M2809" s="47"/>
      <c r="N2809" s="47"/>
      <c r="O2809" s="47"/>
      <c r="P2809" s="47"/>
      <c r="Q2809" s="47"/>
      <c r="R2809" s="47"/>
      <c r="S2809" s="47" t="s">
        <v>463</v>
      </c>
      <c r="T2809" s="47"/>
      <c r="U2809" s="47"/>
      <c r="V2809" s="47"/>
      <c r="W2809" s="47"/>
      <c r="X2809" s="47"/>
      <c r="Y2809" s="47"/>
      <c r="Z2809" s="47">
        <f t="shared" si="589"/>
        <v>4620</v>
      </c>
      <c r="AA2809" s="47"/>
      <c r="AB2809" s="47"/>
      <c r="AC2809" s="47">
        <f t="shared" si="591"/>
        <v>5200</v>
      </c>
      <c r="AD2809" s="47" t="s">
        <v>1</v>
      </c>
      <c r="AE2809" s="47"/>
      <c r="AF2809" s="47"/>
      <c r="AG2809" s="47"/>
      <c r="AH2809" s="47" t="str">
        <f>IFERROR(_xlfn.XLOOKUP(Table6[[#This Row],[Suburb]],Table5[Travel Surcharge],Table5[$$]),"")</f>
        <v/>
      </c>
      <c r="AI2809" s="47"/>
      <c r="AJ2809" s="47"/>
    </row>
    <row r="2810" spans="1:36">
      <c r="A2810" s="374" t="s">
        <v>4291</v>
      </c>
      <c r="B2810" s="374">
        <v>64</v>
      </c>
      <c r="C2810" s="374" t="s">
        <v>409</v>
      </c>
      <c r="D2810" s="375" t="str">
        <f t="shared" si="582"/>
        <v>Mernda Villages Estate64</v>
      </c>
      <c r="E2810" s="375" t="s">
        <v>4299</v>
      </c>
      <c r="F2810" s="375" t="s">
        <v>650</v>
      </c>
      <c r="G2810" s="375" t="s">
        <v>4293</v>
      </c>
      <c r="H2810" s="375" t="s">
        <v>4294</v>
      </c>
      <c r="I2810" s="63" t="s">
        <v>4295</v>
      </c>
      <c r="J2810" s="47">
        <f t="shared" si="590"/>
        <v>3740</v>
      </c>
      <c r="K2810" s="46" t="s">
        <v>10735</v>
      </c>
      <c r="L2810" s="47"/>
      <c r="M2810" s="47"/>
      <c r="N2810" s="47"/>
      <c r="O2810" s="47"/>
      <c r="P2810" s="47"/>
      <c r="Q2810" s="47"/>
      <c r="R2810" s="47"/>
      <c r="S2810" s="47" t="s">
        <v>463</v>
      </c>
      <c r="T2810" s="47"/>
      <c r="U2810" s="47"/>
      <c r="V2810" s="47"/>
      <c r="W2810" s="47"/>
      <c r="X2810" s="47"/>
      <c r="Y2810" s="47"/>
      <c r="Z2810" s="47">
        <f t="shared" si="589"/>
        <v>4620</v>
      </c>
      <c r="AA2810" s="47"/>
      <c r="AB2810" s="47"/>
      <c r="AC2810" s="47">
        <f t="shared" si="591"/>
        <v>5200</v>
      </c>
      <c r="AD2810" s="47" t="s">
        <v>1</v>
      </c>
      <c r="AE2810" s="47"/>
      <c r="AF2810" s="47"/>
      <c r="AG2810" s="47"/>
      <c r="AH2810" s="47" t="str">
        <f>IFERROR(_xlfn.XLOOKUP(Table6[[#This Row],[Suburb]],Table5[Travel Surcharge],Table5[$$]),"")</f>
        <v/>
      </c>
      <c r="AI2810" s="47"/>
      <c r="AJ2810" s="47"/>
    </row>
    <row r="2811" spans="1:36">
      <c r="A2811" s="374" t="s">
        <v>4291</v>
      </c>
      <c r="B2811" s="374">
        <v>69</v>
      </c>
      <c r="C2811" s="374" t="s">
        <v>409</v>
      </c>
      <c r="D2811" s="375" t="str">
        <f t="shared" si="582"/>
        <v>Mernda Villages Estate69</v>
      </c>
      <c r="E2811" s="375" t="s">
        <v>4300</v>
      </c>
      <c r="F2811" s="375" t="s">
        <v>650</v>
      </c>
      <c r="G2811" s="375" t="s">
        <v>4293</v>
      </c>
      <c r="H2811" s="375" t="s">
        <v>4294</v>
      </c>
      <c r="I2811" s="63" t="s">
        <v>4295</v>
      </c>
      <c r="J2811" s="47">
        <f t="shared" si="590"/>
        <v>3740</v>
      </c>
      <c r="K2811" s="46" t="s">
        <v>10735</v>
      </c>
      <c r="L2811" s="47"/>
      <c r="M2811" s="47"/>
      <c r="N2811" s="47"/>
      <c r="O2811" s="47"/>
      <c r="P2811" s="47"/>
      <c r="Q2811" s="47"/>
      <c r="R2811" s="47"/>
      <c r="S2811" s="47" t="s">
        <v>463</v>
      </c>
      <c r="T2811" s="47"/>
      <c r="U2811" s="47"/>
      <c r="V2811" s="47"/>
      <c r="W2811" s="47"/>
      <c r="X2811" s="47"/>
      <c r="Y2811" s="47"/>
      <c r="Z2811" s="47">
        <f t="shared" si="589"/>
        <v>4620</v>
      </c>
      <c r="AA2811" s="47"/>
      <c r="AB2811" s="47"/>
      <c r="AC2811" s="47">
        <f t="shared" si="591"/>
        <v>5200</v>
      </c>
      <c r="AD2811" s="47" t="s">
        <v>1</v>
      </c>
      <c r="AE2811" s="47"/>
      <c r="AF2811" s="47"/>
      <c r="AG2811" s="47"/>
      <c r="AH2811" s="47" t="str">
        <f>IFERROR(_xlfn.XLOOKUP(Table6[[#This Row],[Suburb]],Table5[Travel Surcharge],Table5[$$]),"")</f>
        <v/>
      </c>
      <c r="AI2811" s="47"/>
      <c r="AJ2811" s="47"/>
    </row>
    <row r="2812" spans="1:36">
      <c r="A2812" s="374" t="s">
        <v>4291</v>
      </c>
      <c r="B2812" s="374">
        <v>71</v>
      </c>
      <c r="C2812" s="374" t="s">
        <v>409</v>
      </c>
      <c r="D2812" s="375" t="str">
        <f t="shared" si="582"/>
        <v>Mernda Villages Estate71</v>
      </c>
      <c r="E2812" s="375" t="s">
        <v>4301</v>
      </c>
      <c r="F2812" s="375" t="s">
        <v>650</v>
      </c>
      <c r="G2812" s="375" t="s">
        <v>4293</v>
      </c>
      <c r="H2812" s="375" t="s">
        <v>4294</v>
      </c>
      <c r="I2812" s="63" t="s">
        <v>4295</v>
      </c>
      <c r="J2812" s="47">
        <f t="shared" si="590"/>
        <v>3740</v>
      </c>
      <c r="K2812" s="46" t="s">
        <v>10735</v>
      </c>
      <c r="L2812" s="47"/>
      <c r="M2812" s="47"/>
      <c r="N2812" s="47"/>
      <c r="O2812" s="47"/>
      <c r="P2812" s="47"/>
      <c r="Q2812" s="47"/>
      <c r="R2812" s="47"/>
      <c r="S2812" s="47" t="s">
        <v>463</v>
      </c>
      <c r="T2812" s="47"/>
      <c r="U2812" s="47"/>
      <c r="V2812" s="47"/>
      <c r="W2812" s="47"/>
      <c r="X2812" s="47"/>
      <c r="Y2812" s="47"/>
      <c r="Z2812" s="47">
        <f t="shared" si="589"/>
        <v>4620</v>
      </c>
      <c r="AA2812" s="47"/>
      <c r="AB2812" s="47"/>
      <c r="AC2812" s="47">
        <f t="shared" si="591"/>
        <v>5200</v>
      </c>
      <c r="AD2812" s="47" t="s">
        <v>1</v>
      </c>
      <c r="AE2812" s="47"/>
      <c r="AF2812" s="47"/>
      <c r="AG2812" s="47"/>
      <c r="AH2812" s="47" t="str">
        <f>IFERROR(_xlfn.XLOOKUP(Table6[[#This Row],[Suburb]],Table5[Travel Surcharge],Table5[$$]),"")</f>
        <v/>
      </c>
      <c r="AI2812" s="47"/>
      <c r="AJ2812" s="47"/>
    </row>
    <row r="2813" spans="1:36">
      <c r="A2813" s="374" t="s">
        <v>4291</v>
      </c>
      <c r="B2813" s="374">
        <v>72</v>
      </c>
      <c r="C2813" s="374" t="s">
        <v>409</v>
      </c>
      <c r="D2813" s="375" t="str">
        <f t="shared" si="582"/>
        <v>Mernda Villages Estate72</v>
      </c>
      <c r="E2813" s="375" t="s">
        <v>4302</v>
      </c>
      <c r="F2813" s="375" t="s">
        <v>650</v>
      </c>
      <c r="G2813" s="375" t="s">
        <v>4293</v>
      </c>
      <c r="H2813" s="375" t="s">
        <v>4294</v>
      </c>
      <c r="I2813" s="63" t="s">
        <v>4295</v>
      </c>
      <c r="J2813" s="47">
        <f t="shared" si="590"/>
        <v>3740</v>
      </c>
      <c r="K2813" s="46" t="s">
        <v>10735</v>
      </c>
      <c r="L2813" s="47"/>
      <c r="M2813" s="47"/>
      <c r="N2813" s="47"/>
      <c r="O2813" s="47"/>
      <c r="P2813" s="47"/>
      <c r="Q2813" s="47"/>
      <c r="R2813" s="47"/>
      <c r="S2813" s="47" t="s">
        <v>463</v>
      </c>
      <c r="T2813" s="47"/>
      <c r="U2813" s="47"/>
      <c r="V2813" s="47"/>
      <c r="W2813" s="47"/>
      <c r="X2813" s="47"/>
      <c r="Y2813" s="47"/>
      <c r="Z2813" s="47">
        <f t="shared" si="589"/>
        <v>4620</v>
      </c>
      <c r="AA2813" s="47"/>
      <c r="AB2813" s="47"/>
      <c r="AC2813" s="47">
        <f t="shared" si="591"/>
        <v>5200</v>
      </c>
      <c r="AD2813" s="47" t="s">
        <v>1</v>
      </c>
      <c r="AE2813" s="47"/>
      <c r="AF2813" s="47"/>
      <c r="AG2813" s="47"/>
      <c r="AH2813" s="47" t="str">
        <f>IFERROR(_xlfn.XLOOKUP(Table6[[#This Row],[Suburb]],Table5[Travel Surcharge],Table5[$$]),"")</f>
        <v/>
      </c>
      <c r="AI2813" s="47"/>
      <c r="AJ2813" s="47"/>
    </row>
    <row r="2814" spans="1:36">
      <c r="A2814" s="374" t="s">
        <v>4291</v>
      </c>
      <c r="B2814" s="374">
        <v>73</v>
      </c>
      <c r="C2814" s="374" t="s">
        <v>409</v>
      </c>
      <c r="D2814" s="375" t="str">
        <f t="shared" si="582"/>
        <v>Mernda Villages Estate73</v>
      </c>
      <c r="E2814" s="375" t="s">
        <v>4303</v>
      </c>
      <c r="F2814" s="375" t="s">
        <v>650</v>
      </c>
      <c r="G2814" s="375" t="s">
        <v>4293</v>
      </c>
      <c r="H2814" s="375" t="s">
        <v>4294</v>
      </c>
      <c r="I2814" s="63" t="s">
        <v>4295</v>
      </c>
      <c r="J2814" s="47">
        <f t="shared" si="590"/>
        <v>3740</v>
      </c>
      <c r="K2814" s="46" t="s">
        <v>10735</v>
      </c>
      <c r="L2814" s="47"/>
      <c r="M2814" s="47"/>
      <c r="N2814" s="47"/>
      <c r="O2814" s="47"/>
      <c r="P2814" s="47"/>
      <c r="Q2814" s="47"/>
      <c r="R2814" s="47"/>
      <c r="S2814" s="47" t="s">
        <v>463</v>
      </c>
      <c r="T2814" s="47"/>
      <c r="U2814" s="47"/>
      <c r="V2814" s="47"/>
      <c r="W2814" s="47"/>
      <c r="X2814" s="47"/>
      <c r="Y2814" s="47"/>
      <c r="Z2814" s="47">
        <f t="shared" si="589"/>
        <v>4620</v>
      </c>
      <c r="AA2814" s="47"/>
      <c r="AB2814" s="47"/>
      <c r="AC2814" s="47">
        <f t="shared" si="591"/>
        <v>5200</v>
      </c>
      <c r="AD2814" s="47" t="s">
        <v>1</v>
      </c>
      <c r="AE2814" s="47"/>
      <c r="AF2814" s="47"/>
      <c r="AG2814" s="47"/>
      <c r="AH2814" s="47" t="str">
        <f>IFERROR(_xlfn.XLOOKUP(Table6[[#This Row],[Suburb]],Table5[Travel Surcharge],Table5[$$]),"")</f>
        <v/>
      </c>
      <c r="AI2814" s="47"/>
      <c r="AJ2814" s="47"/>
    </row>
    <row r="2815" spans="1:36">
      <c r="A2815" s="374" t="s">
        <v>4291</v>
      </c>
      <c r="B2815" s="374">
        <v>74</v>
      </c>
      <c r="C2815" s="374" t="s">
        <v>409</v>
      </c>
      <c r="D2815" s="375" t="str">
        <f t="shared" si="582"/>
        <v>Mernda Villages Estate74</v>
      </c>
      <c r="E2815" s="375" t="s">
        <v>4304</v>
      </c>
      <c r="F2815" s="375" t="s">
        <v>650</v>
      </c>
      <c r="G2815" s="375" t="s">
        <v>4293</v>
      </c>
      <c r="H2815" s="375" t="s">
        <v>4294</v>
      </c>
      <c r="I2815" s="63" t="s">
        <v>4295</v>
      </c>
      <c r="J2815" s="47">
        <f t="shared" si="590"/>
        <v>3740</v>
      </c>
      <c r="K2815" s="46" t="s">
        <v>10735</v>
      </c>
      <c r="L2815" s="47"/>
      <c r="M2815" s="47"/>
      <c r="N2815" s="47"/>
      <c r="O2815" s="47"/>
      <c r="P2815" s="47"/>
      <c r="Q2815" s="47"/>
      <c r="R2815" s="47"/>
      <c r="S2815" s="47" t="s">
        <v>463</v>
      </c>
      <c r="T2815" s="47"/>
      <c r="U2815" s="47"/>
      <c r="V2815" s="47"/>
      <c r="W2815" s="47"/>
      <c r="X2815" s="47"/>
      <c r="Y2815" s="47"/>
      <c r="Z2815" s="47">
        <f t="shared" si="589"/>
        <v>4620</v>
      </c>
      <c r="AA2815" s="47"/>
      <c r="AB2815" s="47"/>
      <c r="AC2815" s="47">
        <f t="shared" si="591"/>
        <v>5200</v>
      </c>
      <c r="AD2815" s="47" t="s">
        <v>1</v>
      </c>
      <c r="AE2815" s="47"/>
      <c r="AF2815" s="47"/>
      <c r="AG2815" s="47"/>
      <c r="AH2815" s="47" t="str">
        <f>IFERROR(_xlfn.XLOOKUP(Table6[[#This Row],[Suburb]],Table5[Travel Surcharge],Table5[$$]),"")</f>
        <v/>
      </c>
      <c r="AI2815" s="47"/>
      <c r="AJ2815" s="47"/>
    </row>
    <row r="2816" spans="1:36">
      <c r="A2816" s="374" t="s">
        <v>4305</v>
      </c>
      <c r="B2816" s="374">
        <v>3</v>
      </c>
      <c r="C2816" s="374" t="s">
        <v>764</v>
      </c>
      <c r="D2816" s="375" t="str">
        <f t="shared" si="582"/>
        <v>Merrifield Estate3</v>
      </c>
      <c r="E2816" s="375" t="s">
        <v>7941</v>
      </c>
      <c r="F2816" s="375" t="s">
        <v>4308</v>
      </c>
      <c r="G2816" s="375" t="s">
        <v>4309</v>
      </c>
      <c r="H2816" s="375" t="s">
        <v>4310</v>
      </c>
      <c r="I2816" s="63" t="s">
        <v>4311</v>
      </c>
      <c r="J2816" s="47">
        <f t="shared" si="590"/>
        <v>3740</v>
      </c>
      <c r="K2816" s="46" t="s">
        <v>10735</v>
      </c>
      <c r="L2816" s="47">
        <f t="shared" ref="L2816:L2849" si="592">L$7</f>
        <v>1210</v>
      </c>
      <c r="M2816" s="47" t="s">
        <v>4312</v>
      </c>
      <c r="N2816" s="47" t="s">
        <v>8274</v>
      </c>
      <c r="O2816" s="47" t="s">
        <v>8275</v>
      </c>
      <c r="P2816" s="47"/>
      <c r="Q2816" s="47"/>
      <c r="R2816" s="47"/>
      <c r="S2816" s="47"/>
      <c r="T2816" s="47"/>
      <c r="U2816" s="47">
        <f t="shared" ref="U2816:U2858" si="593">U$2</f>
        <v>430</v>
      </c>
      <c r="V2816" s="47"/>
      <c r="W2816" s="47"/>
      <c r="X2816" s="47"/>
      <c r="Y2816" s="47"/>
      <c r="Z2816" s="47">
        <f t="shared" si="589"/>
        <v>4620</v>
      </c>
      <c r="AA2816" s="47"/>
      <c r="AB2816" s="47"/>
      <c r="AC2816" s="47"/>
      <c r="AD2816" s="47"/>
      <c r="AE2816" s="47"/>
      <c r="AF2816" s="47"/>
      <c r="AG2816" s="47"/>
      <c r="AH2816" s="47" t="str">
        <f>IFERROR(_xlfn.XLOOKUP(Table6[[#This Row],[Suburb]],Table5[Travel Surcharge],Table5[$$]),"")</f>
        <v/>
      </c>
      <c r="AI2816" s="47"/>
      <c r="AJ2816" s="47"/>
    </row>
    <row r="2817" spans="1:36">
      <c r="A2817" s="374" t="s">
        <v>4305</v>
      </c>
      <c r="B2817" s="374">
        <v>4</v>
      </c>
      <c r="C2817" s="374" t="s">
        <v>764</v>
      </c>
      <c r="D2817" s="375" t="str">
        <f t="shared" si="582"/>
        <v>Merrifield Estate4</v>
      </c>
      <c r="E2817" s="375" t="s">
        <v>9568</v>
      </c>
      <c r="F2817" s="375" t="s">
        <v>4308</v>
      </c>
      <c r="G2817" s="375" t="s">
        <v>4309</v>
      </c>
      <c r="H2817" s="375" t="s">
        <v>4310</v>
      </c>
      <c r="I2817" s="63" t="s">
        <v>4311</v>
      </c>
      <c r="J2817" s="47">
        <f t="shared" si="590"/>
        <v>3740</v>
      </c>
      <c r="K2817" s="46" t="s">
        <v>10735</v>
      </c>
      <c r="L2817" s="47">
        <f t="shared" si="592"/>
        <v>1210</v>
      </c>
      <c r="M2817" s="47" t="s">
        <v>4312</v>
      </c>
      <c r="N2817" s="47" t="s">
        <v>8274</v>
      </c>
      <c r="O2817" s="47" t="s">
        <v>8275</v>
      </c>
      <c r="P2817" s="47"/>
      <c r="Q2817" s="47"/>
      <c r="R2817" s="47"/>
      <c r="S2817" s="47"/>
      <c r="T2817" s="47"/>
      <c r="U2817" s="47">
        <f t="shared" si="593"/>
        <v>430</v>
      </c>
      <c r="V2817" s="47"/>
      <c r="W2817" s="47"/>
      <c r="X2817" s="47"/>
      <c r="Y2817" s="47"/>
      <c r="Z2817" s="47">
        <f t="shared" si="589"/>
        <v>4620</v>
      </c>
      <c r="AA2817" s="47"/>
      <c r="AB2817" s="47"/>
      <c r="AC2817" s="47"/>
      <c r="AD2817" s="47"/>
      <c r="AE2817" s="47"/>
      <c r="AF2817" s="47"/>
      <c r="AG2817" s="47"/>
      <c r="AH2817" s="47" t="str">
        <f>IFERROR(_xlfn.XLOOKUP(Table6[[#This Row],[Suburb]],Table5[Travel Surcharge],Table5[$$]),"")</f>
        <v/>
      </c>
      <c r="AI2817" s="47"/>
      <c r="AJ2817" s="47"/>
    </row>
    <row r="2818" spans="1:36">
      <c r="A2818" s="374" t="s">
        <v>4305</v>
      </c>
      <c r="B2818" s="374">
        <v>6</v>
      </c>
      <c r="C2818" s="374" t="s">
        <v>764</v>
      </c>
      <c r="D2818" s="375" t="str">
        <f t="shared" si="582"/>
        <v>Merrifield Estate6</v>
      </c>
      <c r="E2818" s="375" t="s">
        <v>4316</v>
      </c>
      <c r="F2818" s="375" t="s">
        <v>4308</v>
      </c>
      <c r="G2818" s="375" t="s">
        <v>4309</v>
      </c>
      <c r="H2818" s="375" t="s">
        <v>4310</v>
      </c>
      <c r="I2818" s="63" t="s">
        <v>4311</v>
      </c>
      <c r="J2818" s="47">
        <f t="shared" si="590"/>
        <v>3740</v>
      </c>
      <c r="K2818" s="46" t="s">
        <v>10735</v>
      </c>
      <c r="L2818" s="47">
        <f t="shared" si="592"/>
        <v>1210</v>
      </c>
      <c r="M2818" s="47" t="s">
        <v>4312</v>
      </c>
      <c r="N2818" s="47" t="s">
        <v>8274</v>
      </c>
      <c r="O2818" s="47" t="s">
        <v>8275</v>
      </c>
      <c r="P2818" s="47"/>
      <c r="Q2818" s="47"/>
      <c r="R2818" s="47"/>
      <c r="S2818" s="47"/>
      <c r="T2818" s="47"/>
      <c r="U2818" s="47">
        <f t="shared" si="593"/>
        <v>430</v>
      </c>
      <c r="V2818" s="47"/>
      <c r="W2818" s="47"/>
      <c r="X2818" s="47"/>
      <c r="Y2818" s="47"/>
      <c r="Z2818" s="47">
        <f t="shared" si="589"/>
        <v>4620</v>
      </c>
      <c r="AA2818" s="47"/>
      <c r="AB2818" s="47"/>
      <c r="AC2818" s="47"/>
      <c r="AD2818" s="47"/>
      <c r="AE2818" s="47"/>
      <c r="AF2818" s="47"/>
      <c r="AG2818" s="47"/>
      <c r="AH2818" s="47" t="str">
        <f>IFERROR(_xlfn.XLOOKUP(Table6[[#This Row],[Suburb]],Table5[Travel Surcharge],Table5[$$]),"")</f>
        <v/>
      </c>
      <c r="AI2818" s="47"/>
      <c r="AJ2818" s="47"/>
    </row>
    <row r="2819" spans="1:36">
      <c r="A2819" s="374" t="s">
        <v>4305</v>
      </c>
      <c r="B2819" s="374">
        <v>7</v>
      </c>
      <c r="C2819" s="374" t="s">
        <v>764</v>
      </c>
      <c r="D2819" s="375" t="str">
        <f t="shared" si="582"/>
        <v>Merrifield Estate7</v>
      </c>
      <c r="E2819" s="375" t="s">
        <v>9524</v>
      </c>
      <c r="F2819" s="375" t="s">
        <v>4308</v>
      </c>
      <c r="G2819" s="375" t="s">
        <v>4309</v>
      </c>
      <c r="H2819" s="375" t="s">
        <v>4310</v>
      </c>
      <c r="I2819" s="63" t="s">
        <v>4311</v>
      </c>
      <c r="J2819" s="47">
        <f t="shared" si="590"/>
        <v>3740</v>
      </c>
      <c r="K2819" s="46" t="s">
        <v>10735</v>
      </c>
      <c r="L2819" s="47">
        <f t="shared" si="592"/>
        <v>1210</v>
      </c>
      <c r="M2819" s="47" t="s">
        <v>4312</v>
      </c>
      <c r="N2819" s="47" t="s">
        <v>8274</v>
      </c>
      <c r="O2819" s="47" t="s">
        <v>8275</v>
      </c>
      <c r="P2819" s="47"/>
      <c r="Q2819" s="47"/>
      <c r="R2819" s="47"/>
      <c r="S2819" s="47"/>
      <c r="T2819" s="47"/>
      <c r="U2819" s="47">
        <f t="shared" si="593"/>
        <v>430</v>
      </c>
      <c r="V2819" s="47"/>
      <c r="W2819" s="47"/>
      <c r="X2819" s="47"/>
      <c r="Y2819" s="47"/>
      <c r="Z2819" s="47">
        <f t="shared" si="589"/>
        <v>4620</v>
      </c>
      <c r="AA2819" s="47"/>
      <c r="AB2819" s="47"/>
      <c r="AC2819" s="47"/>
      <c r="AD2819" s="47"/>
      <c r="AE2819" s="47"/>
      <c r="AF2819" s="47"/>
      <c r="AG2819" s="47"/>
      <c r="AH2819" s="47" t="str">
        <f>IFERROR(_xlfn.XLOOKUP(Table6[[#This Row],[Suburb]],Table5[Travel Surcharge],Table5[$$]),"")</f>
        <v/>
      </c>
      <c r="AI2819" s="47"/>
      <c r="AJ2819" s="47"/>
    </row>
    <row r="2820" spans="1:36">
      <c r="A2820" s="374" t="s">
        <v>4305</v>
      </c>
      <c r="B2820" s="374">
        <v>8</v>
      </c>
      <c r="C2820" s="374" t="s">
        <v>764</v>
      </c>
      <c r="D2820" s="375" t="str">
        <f t="shared" si="582"/>
        <v>Merrifield Estate8</v>
      </c>
      <c r="E2820" s="375" t="s">
        <v>4317</v>
      </c>
      <c r="F2820" s="375" t="s">
        <v>4308</v>
      </c>
      <c r="G2820" s="375" t="s">
        <v>4309</v>
      </c>
      <c r="H2820" s="375" t="s">
        <v>4310</v>
      </c>
      <c r="I2820" s="63" t="s">
        <v>4311</v>
      </c>
      <c r="J2820" s="47">
        <f t="shared" si="590"/>
        <v>3740</v>
      </c>
      <c r="K2820" s="46" t="s">
        <v>10735</v>
      </c>
      <c r="L2820" s="47">
        <f t="shared" si="592"/>
        <v>1210</v>
      </c>
      <c r="M2820" s="47" t="s">
        <v>4312</v>
      </c>
      <c r="N2820" s="47" t="s">
        <v>8274</v>
      </c>
      <c r="O2820" s="47" t="s">
        <v>8275</v>
      </c>
      <c r="P2820" s="47"/>
      <c r="Q2820" s="47"/>
      <c r="R2820" s="47"/>
      <c r="S2820" s="47"/>
      <c r="T2820" s="47"/>
      <c r="U2820" s="47">
        <f t="shared" si="593"/>
        <v>430</v>
      </c>
      <c r="V2820" s="47"/>
      <c r="W2820" s="47"/>
      <c r="X2820" s="47"/>
      <c r="Y2820" s="47"/>
      <c r="Z2820" s="47">
        <f t="shared" si="589"/>
        <v>4620</v>
      </c>
      <c r="AA2820" s="47"/>
      <c r="AB2820" s="47"/>
      <c r="AC2820" s="47"/>
      <c r="AD2820" s="47"/>
      <c r="AE2820" s="47"/>
      <c r="AF2820" s="47"/>
      <c r="AG2820" s="47"/>
      <c r="AH2820" s="47" t="str">
        <f>IFERROR(_xlfn.XLOOKUP(Table6[[#This Row],[Suburb]],Table5[Travel Surcharge],Table5[$$]),"")</f>
        <v/>
      </c>
      <c r="AI2820" s="47"/>
      <c r="AJ2820" s="47"/>
    </row>
    <row r="2821" spans="1:36">
      <c r="A2821" s="374" t="s">
        <v>4305</v>
      </c>
      <c r="B2821" s="374">
        <v>10</v>
      </c>
      <c r="C2821" s="374" t="s">
        <v>764</v>
      </c>
      <c r="D2821" s="375" t="str">
        <f t="shared" si="582"/>
        <v>Merrifield Estate10</v>
      </c>
      <c r="E2821" s="375" t="s">
        <v>4318</v>
      </c>
      <c r="F2821" s="375" t="s">
        <v>4308</v>
      </c>
      <c r="G2821" s="375" t="s">
        <v>4309</v>
      </c>
      <c r="H2821" s="375" t="s">
        <v>4310</v>
      </c>
      <c r="I2821" s="63" t="s">
        <v>4311</v>
      </c>
      <c r="J2821" s="47">
        <f t="shared" si="590"/>
        <v>3740</v>
      </c>
      <c r="K2821" s="46" t="s">
        <v>10735</v>
      </c>
      <c r="L2821" s="47">
        <f t="shared" si="592"/>
        <v>1210</v>
      </c>
      <c r="M2821" s="47" t="s">
        <v>4312</v>
      </c>
      <c r="N2821" s="47" t="s">
        <v>8274</v>
      </c>
      <c r="O2821" s="47" t="s">
        <v>8275</v>
      </c>
      <c r="P2821" s="47"/>
      <c r="Q2821" s="47"/>
      <c r="R2821" s="47"/>
      <c r="S2821" s="47"/>
      <c r="T2821" s="47"/>
      <c r="U2821" s="47">
        <f t="shared" si="593"/>
        <v>430</v>
      </c>
      <c r="V2821" s="47"/>
      <c r="W2821" s="47"/>
      <c r="X2821" s="47"/>
      <c r="Y2821" s="47"/>
      <c r="Z2821" s="47">
        <f t="shared" si="589"/>
        <v>4620</v>
      </c>
      <c r="AA2821" s="47"/>
      <c r="AB2821" s="47"/>
      <c r="AC2821" s="47"/>
      <c r="AD2821" s="47"/>
      <c r="AE2821" s="47"/>
      <c r="AF2821" s="47"/>
      <c r="AG2821" s="47"/>
      <c r="AH2821" s="47" t="str">
        <f>IFERROR(_xlfn.XLOOKUP(Table6[[#This Row],[Suburb]],Table5[Travel Surcharge],Table5[$$]),"")</f>
        <v/>
      </c>
      <c r="AI2821" s="47"/>
      <c r="AJ2821" s="47"/>
    </row>
    <row r="2822" spans="1:36">
      <c r="A2822" s="374" t="s">
        <v>4305</v>
      </c>
      <c r="B2822" s="374">
        <v>11</v>
      </c>
      <c r="C2822" s="374" t="s">
        <v>764</v>
      </c>
      <c r="D2822" s="375" t="str">
        <f t="shared" si="582"/>
        <v>Merrifield Estate11</v>
      </c>
      <c r="E2822" s="375" t="s">
        <v>4319</v>
      </c>
      <c r="F2822" s="375" t="s">
        <v>4308</v>
      </c>
      <c r="G2822" s="375" t="s">
        <v>4309</v>
      </c>
      <c r="H2822" s="375" t="s">
        <v>4310</v>
      </c>
      <c r="I2822" s="63" t="s">
        <v>4311</v>
      </c>
      <c r="J2822" s="47">
        <f t="shared" si="590"/>
        <v>3740</v>
      </c>
      <c r="K2822" s="46" t="s">
        <v>10735</v>
      </c>
      <c r="L2822" s="47">
        <f t="shared" si="592"/>
        <v>1210</v>
      </c>
      <c r="M2822" s="47" t="s">
        <v>4312</v>
      </c>
      <c r="N2822" s="47" t="s">
        <v>8274</v>
      </c>
      <c r="O2822" s="47" t="s">
        <v>8275</v>
      </c>
      <c r="P2822" s="47"/>
      <c r="Q2822" s="47"/>
      <c r="R2822" s="47"/>
      <c r="S2822" s="47"/>
      <c r="T2822" s="47"/>
      <c r="U2822" s="47">
        <f t="shared" si="593"/>
        <v>430</v>
      </c>
      <c r="V2822" s="47"/>
      <c r="W2822" s="47"/>
      <c r="X2822" s="47"/>
      <c r="Y2822" s="47"/>
      <c r="Z2822" s="47">
        <f t="shared" si="589"/>
        <v>4620</v>
      </c>
      <c r="AA2822" s="47"/>
      <c r="AB2822" s="47"/>
      <c r="AC2822" s="47"/>
      <c r="AD2822" s="47"/>
      <c r="AE2822" s="47"/>
      <c r="AF2822" s="47"/>
      <c r="AG2822" s="47"/>
      <c r="AH2822" s="47" t="str">
        <f>IFERROR(_xlfn.XLOOKUP(Table6[[#This Row],[Suburb]],Table5[Travel Surcharge],Table5[$$]),"")</f>
        <v/>
      </c>
      <c r="AI2822" s="47"/>
      <c r="AJ2822" s="47"/>
    </row>
    <row r="2823" spans="1:36">
      <c r="A2823" s="374" t="s">
        <v>10217</v>
      </c>
      <c r="B2823" s="374">
        <v>7</v>
      </c>
      <c r="C2823" s="374" t="s">
        <v>764</v>
      </c>
      <c r="D2823" s="375" t="str">
        <f t="shared" si="582"/>
        <v>Merrifield Estate - Aitkin Release7</v>
      </c>
      <c r="E2823" s="375" t="s">
        <v>9522</v>
      </c>
      <c r="F2823" s="375" t="s">
        <v>4308</v>
      </c>
      <c r="G2823" s="375" t="s">
        <v>4309</v>
      </c>
      <c r="H2823" s="375" t="s">
        <v>4310</v>
      </c>
      <c r="I2823" s="63" t="s">
        <v>4311</v>
      </c>
      <c r="J2823" s="47">
        <v>3740</v>
      </c>
      <c r="K2823" s="46" t="s">
        <v>10735</v>
      </c>
      <c r="L2823" s="47">
        <v>1210</v>
      </c>
      <c r="M2823" s="47" t="s">
        <v>4312</v>
      </c>
      <c r="N2823" s="47" t="s">
        <v>8274</v>
      </c>
      <c r="O2823" s="47" t="s">
        <v>8275</v>
      </c>
      <c r="P2823" s="47"/>
      <c r="Q2823" s="47"/>
      <c r="R2823" s="47"/>
      <c r="S2823" s="47"/>
      <c r="T2823" s="47"/>
      <c r="U2823" s="47">
        <v>540</v>
      </c>
      <c r="V2823" s="47"/>
      <c r="W2823" s="47"/>
      <c r="X2823" s="47"/>
      <c r="Y2823" s="47"/>
      <c r="Z2823" s="47">
        <v>4620</v>
      </c>
      <c r="AA2823" s="47"/>
      <c r="AB2823" s="47"/>
      <c r="AC2823" s="47"/>
      <c r="AD2823" s="47"/>
      <c r="AE2823" s="47"/>
      <c r="AF2823" s="47"/>
      <c r="AG2823" s="47"/>
      <c r="AH2823" s="47" t="s">
        <v>9976</v>
      </c>
      <c r="AI2823" s="47"/>
      <c r="AJ2823" s="47"/>
    </row>
    <row r="2824" spans="1:36">
      <c r="A2824" s="374" t="s">
        <v>10217</v>
      </c>
      <c r="B2824" s="374">
        <v>11</v>
      </c>
      <c r="C2824" s="374" t="s">
        <v>764</v>
      </c>
      <c r="D2824" s="375" t="str">
        <f t="shared" si="582"/>
        <v>Merrifield Estate - Aitkin Release11</v>
      </c>
      <c r="E2824" s="375" t="s">
        <v>10216</v>
      </c>
      <c r="F2824" s="375" t="s">
        <v>4308</v>
      </c>
      <c r="G2824" s="375" t="s">
        <v>4309</v>
      </c>
      <c r="H2824" s="375" t="s">
        <v>4310</v>
      </c>
      <c r="I2824" s="63" t="s">
        <v>4311</v>
      </c>
      <c r="J2824" s="47">
        <v>3740</v>
      </c>
      <c r="K2824" s="46" t="s">
        <v>10735</v>
      </c>
      <c r="L2824" s="47">
        <v>1210</v>
      </c>
      <c r="M2824" s="47" t="s">
        <v>4312</v>
      </c>
      <c r="N2824" s="47" t="s">
        <v>8274</v>
      </c>
      <c r="O2824" s="47" t="s">
        <v>8275</v>
      </c>
      <c r="P2824" s="47"/>
      <c r="Q2824" s="47"/>
      <c r="R2824" s="47"/>
      <c r="S2824" s="47"/>
      <c r="T2824" s="47"/>
      <c r="U2824" s="47">
        <v>540</v>
      </c>
      <c r="V2824" s="47"/>
      <c r="W2824" s="47"/>
      <c r="X2824" s="47"/>
      <c r="Y2824" s="47"/>
      <c r="Z2824" s="47">
        <v>4620</v>
      </c>
      <c r="AA2824" s="47"/>
      <c r="AB2824" s="47"/>
      <c r="AC2824" s="47"/>
      <c r="AD2824" s="47"/>
      <c r="AE2824" s="47"/>
      <c r="AF2824" s="47"/>
      <c r="AG2824" s="47"/>
      <c r="AH2824" s="47" t="s">
        <v>9976</v>
      </c>
      <c r="AI2824" s="47"/>
      <c r="AJ2824" s="47"/>
    </row>
    <row r="2825" spans="1:36">
      <c r="A2825" s="374" t="s">
        <v>4305</v>
      </c>
      <c r="B2825" s="374">
        <v>20</v>
      </c>
      <c r="C2825" s="374" t="s">
        <v>764</v>
      </c>
      <c r="D2825" s="375" t="str">
        <f t="shared" si="582"/>
        <v>Merrifield Estate20</v>
      </c>
      <c r="E2825" s="375" t="s">
        <v>4320</v>
      </c>
      <c r="F2825" s="375" t="s">
        <v>4308</v>
      </c>
      <c r="G2825" s="375" t="s">
        <v>4309</v>
      </c>
      <c r="H2825" s="375" t="s">
        <v>4310</v>
      </c>
      <c r="I2825" s="63" t="s">
        <v>4311</v>
      </c>
      <c r="J2825" s="47">
        <f t="shared" si="590"/>
        <v>3740</v>
      </c>
      <c r="K2825" s="46" t="s">
        <v>10735</v>
      </c>
      <c r="L2825" s="47">
        <f t="shared" si="592"/>
        <v>1210</v>
      </c>
      <c r="M2825" s="47" t="s">
        <v>4312</v>
      </c>
      <c r="N2825" s="47" t="s">
        <v>8274</v>
      </c>
      <c r="O2825" s="47" t="s">
        <v>8275</v>
      </c>
      <c r="P2825" s="47"/>
      <c r="Q2825" s="47"/>
      <c r="R2825" s="47"/>
      <c r="S2825" s="47"/>
      <c r="T2825" s="47"/>
      <c r="U2825" s="47">
        <f t="shared" si="593"/>
        <v>430</v>
      </c>
      <c r="V2825" s="47"/>
      <c r="W2825" s="47"/>
      <c r="X2825" s="47"/>
      <c r="Y2825" s="47"/>
      <c r="Z2825" s="47">
        <f t="shared" si="589"/>
        <v>4620</v>
      </c>
      <c r="AA2825" s="47"/>
      <c r="AB2825" s="47"/>
      <c r="AC2825" s="47"/>
      <c r="AD2825" s="47"/>
      <c r="AE2825" s="47"/>
      <c r="AF2825" s="47"/>
      <c r="AG2825" s="47"/>
      <c r="AH2825" s="47" t="str">
        <f>IFERROR(_xlfn.XLOOKUP(Table6[[#This Row],[Suburb]],Table5[Travel Surcharge],Table5[$$]),"")</f>
        <v/>
      </c>
      <c r="AI2825" s="47"/>
      <c r="AJ2825" s="47"/>
    </row>
    <row r="2826" spans="1:36">
      <c r="A2826" s="374" t="s">
        <v>4305</v>
      </c>
      <c r="B2826" s="374">
        <v>21</v>
      </c>
      <c r="C2826" s="374" t="s">
        <v>764</v>
      </c>
      <c r="D2826" s="375" t="str">
        <f t="shared" si="582"/>
        <v>Merrifield Estate21</v>
      </c>
      <c r="E2826" s="375" t="s">
        <v>4321</v>
      </c>
      <c r="F2826" s="375" t="s">
        <v>4308</v>
      </c>
      <c r="G2826" s="375" t="s">
        <v>4309</v>
      </c>
      <c r="H2826" s="375" t="s">
        <v>4310</v>
      </c>
      <c r="I2826" s="63" t="s">
        <v>4311</v>
      </c>
      <c r="J2826" s="47">
        <f t="shared" si="590"/>
        <v>3740</v>
      </c>
      <c r="K2826" s="46" t="s">
        <v>10735</v>
      </c>
      <c r="L2826" s="47">
        <f t="shared" si="592"/>
        <v>1210</v>
      </c>
      <c r="M2826" s="47" t="s">
        <v>4312</v>
      </c>
      <c r="N2826" s="47" t="s">
        <v>8274</v>
      </c>
      <c r="O2826" s="47" t="s">
        <v>8275</v>
      </c>
      <c r="P2826" s="47"/>
      <c r="Q2826" s="47"/>
      <c r="R2826" s="47"/>
      <c r="S2826" s="47"/>
      <c r="T2826" s="47"/>
      <c r="U2826" s="47">
        <f t="shared" si="593"/>
        <v>430</v>
      </c>
      <c r="V2826" s="47"/>
      <c r="W2826" s="47"/>
      <c r="X2826" s="47"/>
      <c r="Y2826" s="47"/>
      <c r="Z2826" s="47">
        <f t="shared" si="589"/>
        <v>4620</v>
      </c>
      <c r="AA2826" s="47"/>
      <c r="AB2826" s="47"/>
      <c r="AC2826" s="47"/>
      <c r="AD2826" s="47"/>
      <c r="AE2826" s="47"/>
      <c r="AF2826" s="47"/>
      <c r="AG2826" s="47"/>
      <c r="AH2826" s="47" t="str">
        <f>IFERROR(_xlfn.XLOOKUP(Table6[[#This Row],[Suburb]],Table5[Travel Surcharge],Table5[$$]),"")</f>
        <v/>
      </c>
      <c r="AI2826" s="47"/>
      <c r="AJ2826" s="47"/>
    </row>
    <row r="2827" spans="1:36">
      <c r="A2827" s="374" t="s">
        <v>4305</v>
      </c>
      <c r="B2827" s="374">
        <v>22</v>
      </c>
      <c r="C2827" s="374" t="s">
        <v>764</v>
      </c>
      <c r="D2827" s="375" t="str">
        <f t="shared" ref="D2827:D2860" si="594">CONCATENATE(A2827,B2827)</f>
        <v>Merrifield Estate22</v>
      </c>
      <c r="E2827" s="375" t="s">
        <v>4322</v>
      </c>
      <c r="F2827" s="375" t="s">
        <v>4308</v>
      </c>
      <c r="G2827" s="375" t="s">
        <v>4309</v>
      </c>
      <c r="H2827" s="375" t="s">
        <v>4310</v>
      </c>
      <c r="I2827" s="63" t="s">
        <v>4311</v>
      </c>
      <c r="J2827" s="47">
        <f t="shared" si="590"/>
        <v>3740</v>
      </c>
      <c r="K2827" s="46" t="s">
        <v>10735</v>
      </c>
      <c r="L2827" s="47">
        <f t="shared" si="592"/>
        <v>1210</v>
      </c>
      <c r="M2827" s="47" t="s">
        <v>4312</v>
      </c>
      <c r="N2827" s="47" t="s">
        <v>8274</v>
      </c>
      <c r="O2827" s="47" t="s">
        <v>8275</v>
      </c>
      <c r="P2827" s="47"/>
      <c r="Q2827" s="47"/>
      <c r="R2827" s="47"/>
      <c r="S2827" s="47"/>
      <c r="T2827" s="47"/>
      <c r="U2827" s="47">
        <f t="shared" si="593"/>
        <v>430</v>
      </c>
      <c r="V2827" s="47"/>
      <c r="W2827" s="47"/>
      <c r="X2827" s="47"/>
      <c r="Y2827" s="47"/>
      <c r="Z2827" s="47">
        <f t="shared" si="589"/>
        <v>4620</v>
      </c>
      <c r="AA2827" s="47"/>
      <c r="AB2827" s="47"/>
      <c r="AC2827" s="47"/>
      <c r="AD2827" s="47"/>
      <c r="AE2827" s="47"/>
      <c r="AF2827" s="47"/>
      <c r="AG2827" s="47"/>
      <c r="AH2827" s="47" t="str">
        <f>IFERROR(_xlfn.XLOOKUP(Table6[[#This Row],[Suburb]],Table5[Travel Surcharge],Table5[$$]),"")</f>
        <v/>
      </c>
      <c r="AI2827" s="47"/>
      <c r="AJ2827" s="47"/>
    </row>
    <row r="2828" spans="1:36">
      <c r="A2828" s="374" t="s">
        <v>4305</v>
      </c>
      <c r="B2828" s="374">
        <v>27</v>
      </c>
      <c r="C2828" s="374" t="s">
        <v>764</v>
      </c>
      <c r="D2828" s="375" t="str">
        <f t="shared" si="594"/>
        <v>Merrifield Estate27</v>
      </c>
      <c r="E2828" s="375" t="s">
        <v>4323</v>
      </c>
      <c r="F2828" s="375" t="s">
        <v>4308</v>
      </c>
      <c r="G2828" s="375" t="s">
        <v>4309</v>
      </c>
      <c r="H2828" s="375" t="s">
        <v>4310</v>
      </c>
      <c r="I2828" s="63" t="s">
        <v>4311</v>
      </c>
      <c r="J2828" s="47">
        <f t="shared" si="590"/>
        <v>3740</v>
      </c>
      <c r="K2828" s="46" t="s">
        <v>10735</v>
      </c>
      <c r="L2828" s="47">
        <f t="shared" si="592"/>
        <v>1210</v>
      </c>
      <c r="M2828" s="47" t="s">
        <v>4312</v>
      </c>
      <c r="N2828" s="47" t="s">
        <v>8274</v>
      </c>
      <c r="O2828" s="47" t="s">
        <v>8275</v>
      </c>
      <c r="P2828" s="47"/>
      <c r="Q2828" s="47"/>
      <c r="R2828" s="47"/>
      <c r="S2828" s="47"/>
      <c r="T2828" s="47"/>
      <c r="U2828" s="47">
        <f t="shared" si="593"/>
        <v>430</v>
      </c>
      <c r="V2828" s="47"/>
      <c r="W2828" s="47"/>
      <c r="X2828" s="47"/>
      <c r="Y2828" s="47"/>
      <c r="Z2828" s="47">
        <f t="shared" si="589"/>
        <v>4620</v>
      </c>
      <c r="AA2828" s="47"/>
      <c r="AB2828" s="47"/>
      <c r="AC2828" s="47"/>
      <c r="AD2828" s="47"/>
      <c r="AE2828" s="47"/>
      <c r="AF2828" s="47"/>
      <c r="AG2828" s="47"/>
      <c r="AH2828" s="47" t="str">
        <f>IFERROR(_xlfn.XLOOKUP(Table6[[#This Row],[Suburb]],Table5[Travel Surcharge],Table5[$$]),"")</f>
        <v/>
      </c>
      <c r="AI2828" s="47"/>
      <c r="AJ2828" s="47"/>
    </row>
    <row r="2829" spans="1:36">
      <c r="A2829" s="374" t="s">
        <v>4305</v>
      </c>
      <c r="B2829" s="374">
        <v>29</v>
      </c>
      <c r="C2829" s="374" t="s">
        <v>764</v>
      </c>
      <c r="D2829" s="375" t="str">
        <f t="shared" si="594"/>
        <v>Merrifield Estate29</v>
      </c>
      <c r="E2829" s="375" t="s">
        <v>4324</v>
      </c>
      <c r="F2829" s="375" t="s">
        <v>4308</v>
      </c>
      <c r="G2829" s="375" t="s">
        <v>4309</v>
      </c>
      <c r="H2829" s="375" t="s">
        <v>4310</v>
      </c>
      <c r="I2829" s="63" t="s">
        <v>4311</v>
      </c>
      <c r="J2829" s="47">
        <f t="shared" si="590"/>
        <v>3740</v>
      </c>
      <c r="K2829" s="46" t="s">
        <v>10735</v>
      </c>
      <c r="L2829" s="47">
        <f t="shared" si="592"/>
        <v>1210</v>
      </c>
      <c r="M2829" s="47" t="s">
        <v>4312</v>
      </c>
      <c r="N2829" s="47" t="s">
        <v>8274</v>
      </c>
      <c r="O2829" s="47" t="s">
        <v>8275</v>
      </c>
      <c r="P2829" s="47"/>
      <c r="Q2829" s="47"/>
      <c r="R2829" s="47"/>
      <c r="S2829" s="47"/>
      <c r="T2829" s="47"/>
      <c r="U2829" s="47">
        <f t="shared" si="593"/>
        <v>430</v>
      </c>
      <c r="V2829" s="47"/>
      <c r="W2829" s="47"/>
      <c r="X2829" s="47"/>
      <c r="Y2829" s="47"/>
      <c r="Z2829" s="47">
        <f t="shared" si="589"/>
        <v>4620</v>
      </c>
      <c r="AA2829" s="47"/>
      <c r="AB2829" s="47"/>
      <c r="AC2829" s="47"/>
      <c r="AD2829" s="47"/>
      <c r="AE2829" s="47"/>
      <c r="AF2829" s="47"/>
      <c r="AG2829" s="47"/>
      <c r="AH2829" s="47" t="str">
        <f>IFERROR(_xlfn.XLOOKUP(Table6[[#This Row],[Suburb]],Table5[Travel Surcharge],Table5[$$]),"")</f>
        <v/>
      </c>
      <c r="AI2829" s="47"/>
      <c r="AJ2829" s="47"/>
    </row>
    <row r="2830" spans="1:36">
      <c r="A2830" s="374" t="s">
        <v>4305</v>
      </c>
      <c r="B2830" s="374">
        <v>30</v>
      </c>
      <c r="C2830" s="374" t="s">
        <v>764</v>
      </c>
      <c r="D2830" s="375" t="str">
        <f t="shared" si="594"/>
        <v>Merrifield Estate30</v>
      </c>
      <c r="E2830" s="375" t="s">
        <v>4324</v>
      </c>
      <c r="F2830" s="375" t="s">
        <v>4308</v>
      </c>
      <c r="G2830" s="375" t="s">
        <v>4309</v>
      </c>
      <c r="H2830" s="375" t="s">
        <v>4310</v>
      </c>
      <c r="I2830" s="63" t="s">
        <v>4311</v>
      </c>
      <c r="J2830" s="47">
        <f t="shared" si="590"/>
        <v>3740</v>
      </c>
      <c r="K2830" s="46" t="s">
        <v>10735</v>
      </c>
      <c r="L2830" s="47">
        <f t="shared" si="592"/>
        <v>1210</v>
      </c>
      <c r="M2830" s="47" t="s">
        <v>4312</v>
      </c>
      <c r="N2830" s="47" t="s">
        <v>8274</v>
      </c>
      <c r="O2830" s="47" t="s">
        <v>8275</v>
      </c>
      <c r="P2830" s="47"/>
      <c r="Q2830" s="47"/>
      <c r="R2830" s="47"/>
      <c r="S2830" s="47"/>
      <c r="T2830" s="47"/>
      <c r="U2830" s="47">
        <f t="shared" si="593"/>
        <v>430</v>
      </c>
      <c r="V2830" s="47"/>
      <c r="W2830" s="47"/>
      <c r="X2830" s="47"/>
      <c r="Y2830" s="47"/>
      <c r="Z2830" s="47">
        <f t="shared" si="589"/>
        <v>4620</v>
      </c>
      <c r="AA2830" s="47"/>
      <c r="AB2830" s="47"/>
      <c r="AC2830" s="47"/>
      <c r="AD2830" s="47"/>
      <c r="AE2830" s="47"/>
      <c r="AF2830" s="47"/>
      <c r="AG2830" s="47"/>
      <c r="AH2830" s="47" t="str">
        <f>IFERROR(_xlfn.XLOOKUP(Table6[[#This Row],[Suburb]],Table5[Travel Surcharge],Table5[$$]),"")</f>
        <v/>
      </c>
      <c r="AI2830" s="47"/>
      <c r="AJ2830" s="47"/>
    </row>
    <row r="2831" spans="1:36">
      <c r="A2831" s="374" t="s">
        <v>4305</v>
      </c>
      <c r="B2831" s="374">
        <v>31</v>
      </c>
      <c r="C2831" s="374" t="s">
        <v>764</v>
      </c>
      <c r="D2831" s="375" t="str">
        <f t="shared" si="594"/>
        <v>Merrifield Estate31</v>
      </c>
      <c r="E2831" s="375" t="s">
        <v>4324</v>
      </c>
      <c r="F2831" s="375" t="s">
        <v>4308</v>
      </c>
      <c r="G2831" s="375" t="s">
        <v>4309</v>
      </c>
      <c r="H2831" s="375" t="s">
        <v>4310</v>
      </c>
      <c r="I2831" s="63" t="s">
        <v>4311</v>
      </c>
      <c r="J2831" s="47">
        <f t="shared" si="590"/>
        <v>3740</v>
      </c>
      <c r="K2831" s="46" t="s">
        <v>10735</v>
      </c>
      <c r="L2831" s="47">
        <f t="shared" si="592"/>
        <v>1210</v>
      </c>
      <c r="M2831" s="47" t="s">
        <v>4312</v>
      </c>
      <c r="N2831" s="47" t="s">
        <v>8274</v>
      </c>
      <c r="O2831" s="47" t="s">
        <v>8275</v>
      </c>
      <c r="P2831" s="47"/>
      <c r="Q2831" s="47"/>
      <c r="R2831" s="47"/>
      <c r="S2831" s="47"/>
      <c r="T2831" s="47"/>
      <c r="U2831" s="47">
        <f t="shared" si="593"/>
        <v>430</v>
      </c>
      <c r="V2831" s="47"/>
      <c r="W2831" s="47"/>
      <c r="X2831" s="47"/>
      <c r="Y2831" s="47"/>
      <c r="Z2831" s="47">
        <f t="shared" si="589"/>
        <v>4620</v>
      </c>
      <c r="AA2831" s="47"/>
      <c r="AB2831" s="47"/>
      <c r="AC2831" s="47"/>
      <c r="AD2831" s="47"/>
      <c r="AE2831" s="47"/>
      <c r="AF2831" s="47"/>
      <c r="AG2831" s="47"/>
      <c r="AH2831" s="47" t="str">
        <f>IFERROR(_xlfn.XLOOKUP(Table6[[#This Row],[Suburb]],Table5[Travel Surcharge],Table5[$$]),"")</f>
        <v/>
      </c>
      <c r="AI2831" s="47"/>
      <c r="AJ2831" s="47"/>
    </row>
    <row r="2832" spans="1:36">
      <c r="A2832" s="374" t="s">
        <v>4305</v>
      </c>
      <c r="B2832" s="374">
        <v>34</v>
      </c>
      <c r="C2832" s="374" t="s">
        <v>764</v>
      </c>
      <c r="D2832" s="375" t="str">
        <f t="shared" si="594"/>
        <v>Merrifield Estate34</v>
      </c>
      <c r="E2832" s="375" t="s">
        <v>4325</v>
      </c>
      <c r="F2832" s="375" t="s">
        <v>4308</v>
      </c>
      <c r="G2832" s="375" t="s">
        <v>4309</v>
      </c>
      <c r="H2832" s="375" t="s">
        <v>4310</v>
      </c>
      <c r="I2832" s="63" t="s">
        <v>4311</v>
      </c>
      <c r="J2832" s="47">
        <f t="shared" si="590"/>
        <v>3740</v>
      </c>
      <c r="K2832" s="46" t="s">
        <v>10735</v>
      </c>
      <c r="L2832" s="47">
        <f t="shared" si="592"/>
        <v>1210</v>
      </c>
      <c r="M2832" s="47" t="s">
        <v>4312</v>
      </c>
      <c r="N2832" s="47" t="s">
        <v>8274</v>
      </c>
      <c r="O2832" s="47" t="s">
        <v>8275</v>
      </c>
      <c r="P2832" s="47"/>
      <c r="Q2832" s="47"/>
      <c r="R2832" s="47"/>
      <c r="S2832" s="47"/>
      <c r="T2832" s="47"/>
      <c r="U2832" s="47">
        <f t="shared" si="593"/>
        <v>430</v>
      </c>
      <c r="V2832" s="47"/>
      <c r="W2832" s="47"/>
      <c r="X2832" s="47"/>
      <c r="Y2832" s="47"/>
      <c r="Z2832" s="47">
        <f t="shared" ref="Z2832:Z2849" si="595">Z$7</f>
        <v>4620</v>
      </c>
      <c r="AA2832" s="47"/>
      <c r="AB2832" s="47"/>
      <c r="AC2832" s="47"/>
      <c r="AD2832" s="47"/>
      <c r="AE2832" s="47"/>
      <c r="AF2832" s="47"/>
      <c r="AG2832" s="47"/>
      <c r="AH2832" s="47" t="str">
        <f>IFERROR(_xlfn.XLOOKUP(Table6[[#This Row],[Suburb]],Table5[Travel Surcharge],Table5[$$]),"")</f>
        <v/>
      </c>
      <c r="AI2832" s="47"/>
      <c r="AJ2832" s="47"/>
    </row>
    <row r="2833" spans="1:36">
      <c r="A2833" s="374" t="s">
        <v>4305</v>
      </c>
      <c r="B2833" s="374">
        <v>35</v>
      </c>
      <c r="C2833" s="374" t="s">
        <v>764</v>
      </c>
      <c r="D2833" s="375" t="str">
        <f t="shared" si="594"/>
        <v>Merrifield Estate35</v>
      </c>
      <c r="E2833" s="375" t="s">
        <v>4326</v>
      </c>
      <c r="F2833" s="375" t="s">
        <v>4308</v>
      </c>
      <c r="G2833" s="375" t="s">
        <v>4309</v>
      </c>
      <c r="H2833" s="375" t="s">
        <v>4310</v>
      </c>
      <c r="I2833" s="63" t="s">
        <v>4311</v>
      </c>
      <c r="J2833" s="47">
        <f t="shared" si="590"/>
        <v>3740</v>
      </c>
      <c r="K2833" s="46" t="s">
        <v>10735</v>
      </c>
      <c r="L2833" s="47">
        <f t="shared" si="592"/>
        <v>1210</v>
      </c>
      <c r="M2833" s="47" t="s">
        <v>4312</v>
      </c>
      <c r="N2833" s="47" t="s">
        <v>8274</v>
      </c>
      <c r="O2833" s="47" t="s">
        <v>8275</v>
      </c>
      <c r="P2833" s="47"/>
      <c r="Q2833" s="47"/>
      <c r="R2833" s="47"/>
      <c r="S2833" s="47"/>
      <c r="T2833" s="47"/>
      <c r="U2833" s="47">
        <f t="shared" si="593"/>
        <v>430</v>
      </c>
      <c r="V2833" s="47"/>
      <c r="W2833" s="47"/>
      <c r="X2833" s="47"/>
      <c r="Y2833" s="47"/>
      <c r="Z2833" s="47">
        <f t="shared" si="595"/>
        <v>4620</v>
      </c>
      <c r="AA2833" s="47"/>
      <c r="AB2833" s="47"/>
      <c r="AC2833" s="47"/>
      <c r="AD2833" s="47"/>
      <c r="AE2833" s="47"/>
      <c r="AF2833" s="47"/>
      <c r="AG2833" s="47"/>
      <c r="AH2833" s="47" t="str">
        <f>IFERROR(_xlfn.XLOOKUP(Table6[[#This Row],[Suburb]],Table5[Travel Surcharge],Table5[$$]),"")</f>
        <v/>
      </c>
      <c r="AI2833" s="47"/>
      <c r="AJ2833" s="47"/>
    </row>
    <row r="2834" spans="1:36">
      <c r="A2834" s="374" t="s">
        <v>4305</v>
      </c>
      <c r="B2834" s="374">
        <v>36</v>
      </c>
      <c r="C2834" s="374" t="s">
        <v>764</v>
      </c>
      <c r="D2834" s="375" t="str">
        <f t="shared" si="594"/>
        <v>Merrifield Estate36</v>
      </c>
      <c r="E2834" s="375" t="s">
        <v>4327</v>
      </c>
      <c r="F2834" s="375" t="s">
        <v>4308</v>
      </c>
      <c r="G2834" s="375" t="s">
        <v>4309</v>
      </c>
      <c r="H2834" s="375" t="s">
        <v>4310</v>
      </c>
      <c r="I2834" s="63" t="s">
        <v>4311</v>
      </c>
      <c r="J2834" s="47">
        <f t="shared" si="590"/>
        <v>3740</v>
      </c>
      <c r="K2834" s="46" t="s">
        <v>10735</v>
      </c>
      <c r="L2834" s="47">
        <f t="shared" si="592"/>
        <v>1210</v>
      </c>
      <c r="M2834" s="47" t="s">
        <v>4312</v>
      </c>
      <c r="N2834" s="47" t="s">
        <v>8274</v>
      </c>
      <c r="O2834" s="47" t="s">
        <v>8275</v>
      </c>
      <c r="P2834" s="47"/>
      <c r="Q2834" s="47"/>
      <c r="R2834" s="47"/>
      <c r="S2834" s="47"/>
      <c r="T2834" s="47"/>
      <c r="U2834" s="47">
        <f t="shared" si="593"/>
        <v>430</v>
      </c>
      <c r="V2834" s="47"/>
      <c r="W2834" s="47"/>
      <c r="X2834" s="47"/>
      <c r="Y2834" s="47"/>
      <c r="Z2834" s="47">
        <f t="shared" si="595"/>
        <v>4620</v>
      </c>
      <c r="AA2834" s="47"/>
      <c r="AB2834" s="47"/>
      <c r="AC2834" s="47"/>
      <c r="AD2834" s="47"/>
      <c r="AE2834" s="47"/>
      <c r="AF2834" s="47"/>
      <c r="AG2834" s="47"/>
      <c r="AH2834" s="47" t="str">
        <f>IFERROR(_xlfn.XLOOKUP(Table6[[#This Row],[Suburb]],Table5[Travel Surcharge],Table5[$$]),"")</f>
        <v/>
      </c>
      <c r="AI2834" s="47"/>
      <c r="AJ2834" s="47"/>
    </row>
    <row r="2835" spans="1:36">
      <c r="A2835" s="374" t="s">
        <v>4305</v>
      </c>
      <c r="B2835" s="374">
        <v>37</v>
      </c>
      <c r="C2835" s="374" t="s">
        <v>764</v>
      </c>
      <c r="D2835" s="375" t="str">
        <f t="shared" si="594"/>
        <v>Merrifield Estate37</v>
      </c>
      <c r="E2835" s="375" t="s">
        <v>4328</v>
      </c>
      <c r="F2835" s="375" t="s">
        <v>4308</v>
      </c>
      <c r="G2835" s="375" t="s">
        <v>4309</v>
      </c>
      <c r="H2835" s="375" t="s">
        <v>4310</v>
      </c>
      <c r="I2835" s="63" t="s">
        <v>4311</v>
      </c>
      <c r="J2835" s="47">
        <f t="shared" si="590"/>
        <v>3740</v>
      </c>
      <c r="K2835" s="46" t="s">
        <v>10735</v>
      </c>
      <c r="L2835" s="47">
        <f t="shared" si="592"/>
        <v>1210</v>
      </c>
      <c r="M2835" s="47" t="s">
        <v>4312</v>
      </c>
      <c r="N2835" s="47" t="s">
        <v>8274</v>
      </c>
      <c r="O2835" s="47" t="s">
        <v>8275</v>
      </c>
      <c r="P2835" s="47"/>
      <c r="Q2835" s="47"/>
      <c r="R2835" s="47"/>
      <c r="S2835" s="47"/>
      <c r="T2835" s="47"/>
      <c r="U2835" s="47">
        <f t="shared" si="593"/>
        <v>430</v>
      </c>
      <c r="V2835" s="47"/>
      <c r="W2835" s="47"/>
      <c r="X2835" s="47"/>
      <c r="Y2835" s="47"/>
      <c r="Z2835" s="47">
        <f t="shared" si="595"/>
        <v>4620</v>
      </c>
      <c r="AA2835" s="47"/>
      <c r="AB2835" s="47"/>
      <c r="AC2835" s="47"/>
      <c r="AD2835" s="47"/>
      <c r="AE2835" s="47"/>
      <c r="AF2835" s="47"/>
      <c r="AG2835" s="47"/>
      <c r="AH2835" s="47" t="str">
        <f>IFERROR(_xlfn.XLOOKUP(Table6[[#This Row],[Suburb]],Table5[Travel Surcharge],Table5[$$]),"")</f>
        <v/>
      </c>
      <c r="AI2835" s="47"/>
      <c r="AJ2835" s="47"/>
    </row>
    <row r="2836" spans="1:36">
      <c r="A2836" s="374" t="s">
        <v>4305</v>
      </c>
      <c r="B2836" s="374">
        <v>38</v>
      </c>
      <c r="C2836" s="374" t="s">
        <v>764</v>
      </c>
      <c r="D2836" s="375" t="str">
        <f t="shared" si="594"/>
        <v>Merrifield Estate38</v>
      </c>
      <c r="E2836" s="375" t="s">
        <v>4329</v>
      </c>
      <c r="F2836" s="375" t="s">
        <v>4308</v>
      </c>
      <c r="G2836" s="375" t="s">
        <v>4309</v>
      </c>
      <c r="H2836" s="375" t="s">
        <v>4310</v>
      </c>
      <c r="I2836" s="63" t="s">
        <v>4311</v>
      </c>
      <c r="J2836" s="47">
        <f t="shared" si="590"/>
        <v>3740</v>
      </c>
      <c r="K2836" s="46" t="s">
        <v>10735</v>
      </c>
      <c r="L2836" s="47">
        <f t="shared" si="592"/>
        <v>1210</v>
      </c>
      <c r="M2836" s="47" t="s">
        <v>4312</v>
      </c>
      <c r="N2836" s="47" t="s">
        <v>8274</v>
      </c>
      <c r="O2836" s="47" t="s">
        <v>8275</v>
      </c>
      <c r="P2836" s="47"/>
      <c r="Q2836" s="47"/>
      <c r="R2836" s="47"/>
      <c r="S2836" s="47"/>
      <c r="T2836" s="47"/>
      <c r="U2836" s="47">
        <f t="shared" si="593"/>
        <v>430</v>
      </c>
      <c r="V2836" s="47"/>
      <c r="W2836" s="47"/>
      <c r="X2836" s="47"/>
      <c r="Y2836" s="47"/>
      <c r="Z2836" s="47">
        <f t="shared" si="595"/>
        <v>4620</v>
      </c>
      <c r="AA2836" s="47"/>
      <c r="AB2836" s="47"/>
      <c r="AC2836" s="47"/>
      <c r="AD2836" s="47"/>
      <c r="AE2836" s="47"/>
      <c r="AF2836" s="47"/>
      <c r="AG2836" s="47"/>
      <c r="AH2836" s="47" t="str">
        <f>IFERROR(_xlfn.XLOOKUP(Table6[[#This Row],[Suburb]],Table5[Travel Surcharge],Table5[$$]),"")</f>
        <v/>
      </c>
      <c r="AI2836" s="47"/>
      <c r="AJ2836" s="47"/>
    </row>
    <row r="2837" spans="1:36">
      <c r="A2837" s="374" t="s">
        <v>4305</v>
      </c>
      <c r="B2837" s="374">
        <v>39</v>
      </c>
      <c r="C2837" s="374" t="s">
        <v>764</v>
      </c>
      <c r="D2837" s="375" t="str">
        <f t="shared" si="594"/>
        <v>Merrifield Estate39</v>
      </c>
      <c r="E2837" s="375" t="s">
        <v>4330</v>
      </c>
      <c r="F2837" s="375" t="s">
        <v>4308</v>
      </c>
      <c r="G2837" s="375" t="s">
        <v>4309</v>
      </c>
      <c r="H2837" s="375" t="s">
        <v>4310</v>
      </c>
      <c r="I2837" s="63" t="s">
        <v>4311</v>
      </c>
      <c r="J2837" s="47">
        <f t="shared" si="590"/>
        <v>3740</v>
      </c>
      <c r="K2837" s="46" t="s">
        <v>10735</v>
      </c>
      <c r="L2837" s="47">
        <f t="shared" si="592"/>
        <v>1210</v>
      </c>
      <c r="M2837" s="47" t="s">
        <v>4312</v>
      </c>
      <c r="N2837" s="47" t="s">
        <v>8274</v>
      </c>
      <c r="O2837" s="47" t="s">
        <v>8275</v>
      </c>
      <c r="P2837" s="47"/>
      <c r="Q2837" s="47"/>
      <c r="R2837" s="47"/>
      <c r="S2837" s="47"/>
      <c r="T2837" s="47"/>
      <c r="U2837" s="47">
        <f t="shared" si="593"/>
        <v>430</v>
      </c>
      <c r="V2837" s="47"/>
      <c r="W2837" s="47"/>
      <c r="X2837" s="47"/>
      <c r="Y2837" s="47"/>
      <c r="Z2837" s="47">
        <f t="shared" si="595"/>
        <v>4620</v>
      </c>
      <c r="AA2837" s="47"/>
      <c r="AB2837" s="47"/>
      <c r="AC2837" s="47"/>
      <c r="AD2837" s="47"/>
      <c r="AE2837" s="47"/>
      <c r="AF2837" s="47"/>
      <c r="AG2837" s="47"/>
      <c r="AH2837" s="47" t="str">
        <f>IFERROR(_xlfn.XLOOKUP(Table6[[#This Row],[Suburb]],Table5[Travel Surcharge],Table5[$$]),"")</f>
        <v/>
      </c>
      <c r="AI2837" s="47"/>
      <c r="AJ2837" s="47"/>
    </row>
    <row r="2838" spans="1:36" ht="12" customHeight="1">
      <c r="A2838" s="374" t="s">
        <v>4305</v>
      </c>
      <c r="B2838" s="374">
        <v>40</v>
      </c>
      <c r="C2838" s="374" t="s">
        <v>764</v>
      </c>
      <c r="D2838" s="375" t="str">
        <f t="shared" si="594"/>
        <v>Merrifield Estate40</v>
      </c>
      <c r="E2838" s="375" t="s">
        <v>4331</v>
      </c>
      <c r="F2838" s="375" t="s">
        <v>4308</v>
      </c>
      <c r="G2838" s="375" t="s">
        <v>4309</v>
      </c>
      <c r="H2838" s="375" t="s">
        <v>4310</v>
      </c>
      <c r="I2838" s="63" t="s">
        <v>4311</v>
      </c>
      <c r="J2838" s="47">
        <f t="shared" si="590"/>
        <v>3740</v>
      </c>
      <c r="K2838" s="46" t="s">
        <v>10735</v>
      </c>
      <c r="L2838" s="47">
        <f t="shared" si="592"/>
        <v>1210</v>
      </c>
      <c r="M2838" s="47" t="s">
        <v>4312</v>
      </c>
      <c r="N2838" s="47" t="s">
        <v>8274</v>
      </c>
      <c r="O2838" s="47" t="s">
        <v>8275</v>
      </c>
      <c r="P2838" s="47"/>
      <c r="Q2838" s="47"/>
      <c r="R2838" s="47"/>
      <c r="S2838" s="47"/>
      <c r="T2838" s="47"/>
      <c r="U2838" s="47">
        <f t="shared" si="593"/>
        <v>430</v>
      </c>
      <c r="V2838" s="47"/>
      <c r="W2838" s="47"/>
      <c r="X2838" s="47"/>
      <c r="Y2838" s="47"/>
      <c r="Z2838" s="47">
        <f t="shared" si="595"/>
        <v>4620</v>
      </c>
      <c r="AA2838" s="47"/>
      <c r="AB2838" s="47"/>
      <c r="AC2838" s="47"/>
      <c r="AD2838" s="47"/>
      <c r="AE2838" s="47"/>
      <c r="AF2838" s="47"/>
      <c r="AG2838" s="47"/>
      <c r="AH2838" s="47" t="str">
        <f>IFERROR(_xlfn.XLOOKUP(Table6[[#This Row],[Suburb]],Table5[Travel Surcharge],Table5[$$]),"")</f>
        <v/>
      </c>
      <c r="AI2838" s="47"/>
      <c r="AJ2838" s="47"/>
    </row>
    <row r="2839" spans="1:36" ht="12.75" customHeight="1">
      <c r="A2839" s="374" t="s">
        <v>4305</v>
      </c>
      <c r="B2839" s="374">
        <v>41</v>
      </c>
      <c r="C2839" s="374" t="s">
        <v>764</v>
      </c>
      <c r="D2839" s="375" t="str">
        <f t="shared" si="594"/>
        <v>Merrifield Estate41</v>
      </c>
      <c r="E2839" s="375" t="s">
        <v>4332</v>
      </c>
      <c r="F2839" s="375" t="s">
        <v>4308</v>
      </c>
      <c r="G2839" s="375" t="s">
        <v>4309</v>
      </c>
      <c r="H2839" s="375" t="s">
        <v>4310</v>
      </c>
      <c r="I2839" s="63" t="s">
        <v>4311</v>
      </c>
      <c r="J2839" s="47">
        <f t="shared" si="590"/>
        <v>3740</v>
      </c>
      <c r="K2839" s="46" t="s">
        <v>10735</v>
      </c>
      <c r="L2839" s="47">
        <f t="shared" si="592"/>
        <v>1210</v>
      </c>
      <c r="M2839" s="47" t="s">
        <v>4312</v>
      </c>
      <c r="N2839" s="47" t="s">
        <v>8274</v>
      </c>
      <c r="O2839" s="47" t="s">
        <v>8275</v>
      </c>
      <c r="P2839" s="47"/>
      <c r="Q2839" s="47"/>
      <c r="R2839" s="47"/>
      <c r="S2839" s="47"/>
      <c r="T2839" s="47"/>
      <c r="U2839" s="47">
        <f t="shared" si="593"/>
        <v>430</v>
      </c>
      <c r="V2839" s="47"/>
      <c r="W2839" s="47"/>
      <c r="X2839" s="47"/>
      <c r="Y2839" s="47"/>
      <c r="Z2839" s="47">
        <f t="shared" si="595"/>
        <v>4620</v>
      </c>
      <c r="AA2839" s="47"/>
      <c r="AB2839" s="47"/>
      <c r="AC2839" s="47"/>
      <c r="AD2839" s="47"/>
      <c r="AE2839" s="47"/>
      <c r="AF2839" s="47"/>
      <c r="AG2839" s="47"/>
      <c r="AH2839" s="47" t="str">
        <f>IFERROR(_xlfn.XLOOKUP(Table6[[#This Row],[Suburb]],Table5[Travel Surcharge],Table5[$$]),"")</f>
        <v/>
      </c>
      <c r="AI2839" s="47"/>
      <c r="AJ2839" s="47"/>
    </row>
    <row r="2840" spans="1:36" ht="12.75" customHeight="1">
      <c r="A2840" s="374" t="s">
        <v>4305</v>
      </c>
      <c r="B2840" s="374">
        <v>42</v>
      </c>
      <c r="C2840" s="374" t="s">
        <v>764</v>
      </c>
      <c r="D2840" s="375" t="str">
        <f t="shared" si="594"/>
        <v>Merrifield Estate42</v>
      </c>
      <c r="E2840" s="375" t="s">
        <v>4333</v>
      </c>
      <c r="F2840" s="375" t="s">
        <v>4308</v>
      </c>
      <c r="G2840" s="375" t="s">
        <v>4309</v>
      </c>
      <c r="H2840" s="375" t="s">
        <v>4310</v>
      </c>
      <c r="I2840" s="63" t="s">
        <v>4311</v>
      </c>
      <c r="J2840" s="47">
        <f t="shared" si="590"/>
        <v>3740</v>
      </c>
      <c r="K2840" s="46" t="s">
        <v>10735</v>
      </c>
      <c r="L2840" s="47">
        <f t="shared" si="592"/>
        <v>1210</v>
      </c>
      <c r="M2840" s="47" t="s">
        <v>4312</v>
      </c>
      <c r="N2840" s="47" t="s">
        <v>8274</v>
      </c>
      <c r="O2840" s="47" t="s">
        <v>8275</v>
      </c>
      <c r="P2840" s="47"/>
      <c r="Q2840" s="47"/>
      <c r="R2840" s="47"/>
      <c r="S2840" s="47"/>
      <c r="T2840" s="47"/>
      <c r="U2840" s="47">
        <f t="shared" si="593"/>
        <v>430</v>
      </c>
      <c r="V2840" s="47"/>
      <c r="W2840" s="47"/>
      <c r="X2840" s="47"/>
      <c r="Y2840" s="47"/>
      <c r="Z2840" s="47">
        <f t="shared" si="595"/>
        <v>4620</v>
      </c>
      <c r="AA2840" s="47"/>
      <c r="AB2840" s="47"/>
      <c r="AC2840" s="47"/>
      <c r="AD2840" s="47"/>
      <c r="AE2840" s="47"/>
      <c r="AF2840" s="47"/>
      <c r="AG2840" s="47"/>
      <c r="AH2840" s="47" t="str">
        <f>IFERROR(_xlfn.XLOOKUP(Table6[[#This Row],[Suburb]],Table5[Travel Surcharge],Table5[$$]),"")</f>
        <v/>
      </c>
      <c r="AI2840" s="47"/>
      <c r="AJ2840" s="47"/>
    </row>
    <row r="2841" spans="1:36">
      <c r="A2841" s="374" t="s">
        <v>4305</v>
      </c>
      <c r="B2841" s="374">
        <v>43</v>
      </c>
      <c r="C2841" s="374" t="s">
        <v>764</v>
      </c>
      <c r="D2841" s="375" t="str">
        <f t="shared" si="594"/>
        <v>Merrifield Estate43</v>
      </c>
      <c r="E2841" s="375" t="s">
        <v>4334</v>
      </c>
      <c r="F2841" s="375" t="s">
        <v>4308</v>
      </c>
      <c r="G2841" s="375" t="s">
        <v>4309</v>
      </c>
      <c r="H2841" s="375" t="s">
        <v>4310</v>
      </c>
      <c r="I2841" s="63" t="s">
        <v>4311</v>
      </c>
      <c r="J2841" s="47">
        <f t="shared" si="590"/>
        <v>3740</v>
      </c>
      <c r="K2841" s="46" t="s">
        <v>10735</v>
      </c>
      <c r="L2841" s="47">
        <f t="shared" si="592"/>
        <v>1210</v>
      </c>
      <c r="M2841" s="47" t="s">
        <v>4312</v>
      </c>
      <c r="N2841" s="47" t="s">
        <v>8274</v>
      </c>
      <c r="O2841" s="47" t="s">
        <v>8275</v>
      </c>
      <c r="P2841" s="47"/>
      <c r="Q2841" s="47"/>
      <c r="R2841" s="47"/>
      <c r="S2841" s="47"/>
      <c r="T2841" s="47"/>
      <c r="U2841" s="47">
        <f t="shared" si="593"/>
        <v>430</v>
      </c>
      <c r="V2841" s="47"/>
      <c r="W2841" s="47"/>
      <c r="X2841" s="47"/>
      <c r="Y2841" s="47"/>
      <c r="Z2841" s="47">
        <f t="shared" si="595"/>
        <v>4620</v>
      </c>
      <c r="AA2841" s="47"/>
      <c r="AB2841" s="47"/>
      <c r="AC2841" s="47"/>
      <c r="AD2841" s="47"/>
      <c r="AE2841" s="47"/>
      <c r="AF2841" s="47"/>
      <c r="AG2841" s="47"/>
      <c r="AH2841" s="47" t="str">
        <f>IFERROR(_xlfn.XLOOKUP(Table6[[#This Row],[Suburb]],Table5[Travel Surcharge],Table5[$$]),"")</f>
        <v/>
      </c>
      <c r="AI2841" s="47"/>
      <c r="AJ2841" s="47"/>
    </row>
    <row r="2842" spans="1:36">
      <c r="A2842" s="374" t="s">
        <v>4305</v>
      </c>
      <c r="B2842" s="374">
        <v>44</v>
      </c>
      <c r="C2842" s="374" t="s">
        <v>764</v>
      </c>
      <c r="D2842" s="375" t="str">
        <f t="shared" si="594"/>
        <v>Merrifield Estate44</v>
      </c>
      <c r="E2842" s="375" t="s">
        <v>4335</v>
      </c>
      <c r="F2842" s="375" t="s">
        <v>4308</v>
      </c>
      <c r="G2842" s="375" t="s">
        <v>4309</v>
      </c>
      <c r="H2842" s="375" t="s">
        <v>4310</v>
      </c>
      <c r="I2842" s="63" t="s">
        <v>4311</v>
      </c>
      <c r="J2842" s="47">
        <f t="shared" si="590"/>
        <v>3740</v>
      </c>
      <c r="K2842" s="46" t="s">
        <v>10735</v>
      </c>
      <c r="L2842" s="47">
        <f t="shared" si="592"/>
        <v>1210</v>
      </c>
      <c r="M2842" s="47" t="s">
        <v>4312</v>
      </c>
      <c r="N2842" s="47" t="s">
        <v>8274</v>
      </c>
      <c r="O2842" s="47" t="s">
        <v>8275</v>
      </c>
      <c r="P2842" s="47"/>
      <c r="Q2842" s="47"/>
      <c r="R2842" s="47"/>
      <c r="S2842" s="47"/>
      <c r="T2842" s="47"/>
      <c r="U2842" s="47">
        <f t="shared" si="593"/>
        <v>430</v>
      </c>
      <c r="V2842" s="47"/>
      <c r="W2842" s="47"/>
      <c r="X2842" s="47"/>
      <c r="Y2842" s="47"/>
      <c r="Z2842" s="47">
        <f t="shared" si="595"/>
        <v>4620</v>
      </c>
      <c r="AA2842" s="47"/>
      <c r="AB2842" s="47"/>
      <c r="AC2842" s="47"/>
      <c r="AD2842" s="47"/>
      <c r="AE2842" s="47"/>
      <c r="AF2842" s="47"/>
      <c r="AG2842" s="47"/>
      <c r="AH2842" s="47" t="str">
        <f>IFERROR(_xlfn.XLOOKUP(Table6[[#This Row],[Suburb]],Table5[Travel Surcharge],Table5[$$]),"")</f>
        <v/>
      </c>
      <c r="AI2842" s="47"/>
      <c r="AJ2842" s="47"/>
    </row>
    <row r="2843" spans="1:36">
      <c r="A2843" s="374" t="s">
        <v>4305</v>
      </c>
      <c r="B2843" s="374">
        <v>45</v>
      </c>
      <c r="C2843" s="374" t="s">
        <v>764</v>
      </c>
      <c r="D2843" s="375" t="str">
        <f t="shared" si="594"/>
        <v>Merrifield Estate45</v>
      </c>
      <c r="E2843" s="375" t="s">
        <v>4336</v>
      </c>
      <c r="F2843" s="375" t="s">
        <v>4308</v>
      </c>
      <c r="G2843" s="375" t="s">
        <v>4309</v>
      </c>
      <c r="H2843" s="375" t="s">
        <v>4310</v>
      </c>
      <c r="I2843" s="63" t="s">
        <v>4311</v>
      </c>
      <c r="J2843" s="47">
        <f t="shared" si="590"/>
        <v>3740</v>
      </c>
      <c r="K2843" s="46" t="s">
        <v>10735</v>
      </c>
      <c r="L2843" s="47">
        <f t="shared" si="592"/>
        <v>1210</v>
      </c>
      <c r="M2843" s="47" t="s">
        <v>4312</v>
      </c>
      <c r="N2843" s="47" t="s">
        <v>8274</v>
      </c>
      <c r="O2843" s="47" t="s">
        <v>8275</v>
      </c>
      <c r="P2843" s="47"/>
      <c r="Q2843" s="47"/>
      <c r="R2843" s="47"/>
      <c r="S2843" s="47"/>
      <c r="T2843" s="47"/>
      <c r="U2843" s="47">
        <f t="shared" si="593"/>
        <v>430</v>
      </c>
      <c r="V2843" s="47"/>
      <c r="W2843" s="47"/>
      <c r="X2843" s="47"/>
      <c r="Y2843" s="47"/>
      <c r="Z2843" s="47">
        <f t="shared" si="595"/>
        <v>4620</v>
      </c>
      <c r="AA2843" s="47"/>
      <c r="AB2843" s="47"/>
      <c r="AC2843" s="47"/>
      <c r="AD2843" s="47"/>
      <c r="AE2843" s="47"/>
      <c r="AF2843" s="47"/>
      <c r="AG2843" s="47"/>
      <c r="AH2843" s="47" t="str">
        <f>IFERROR(_xlfn.XLOOKUP(Table6[[#This Row],[Suburb]],Table5[Travel Surcharge],Table5[$$]),"")</f>
        <v/>
      </c>
      <c r="AI2843" s="47"/>
      <c r="AJ2843" s="47"/>
    </row>
    <row r="2844" spans="1:36">
      <c r="A2844" s="157" t="s">
        <v>4305</v>
      </c>
      <c r="B2844" s="157">
        <v>46</v>
      </c>
      <c r="C2844" s="157" t="s">
        <v>764</v>
      </c>
      <c r="D2844" s="157" t="str">
        <f t="shared" si="594"/>
        <v>Merrifield Estate46</v>
      </c>
      <c r="E2844" s="157" t="s">
        <v>8272</v>
      </c>
      <c r="F2844" s="157" t="s">
        <v>4308</v>
      </c>
      <c r="G2844" s="157" t="s">
        <v>4309</v>
      </c>
      <c r="H2844" s="157" t="s">
        <v>4310</v>
      </c>
      <c r="I2844" s="158" t="s">
        <v>4311</v>
      </c>
      <c r="J2844" s="47">
        <f t="shared" si="590"/>
        <v>3740</v>
      </c>
      <c r="K2844" s="46" t="s">
        <v>10735</v>
      </c>
      <c r="L2844" s="47">
        <f t="shared" si="592"/>
        <v>1210</v>
      </c>
      <c r="M2844" s="47" t="s">
        <v>4312</v>
      </c>
      <c r="N2844" s="47" t="s">
        <v>8274</v>
      </c>
      <c r="O2844" s="47" t="s">
        <v>8275</v>
      </c>
      <c r="P2844" s="47"/>
      <c r="Q2844" s="47"/>
      <c r="R2844" s="47"/>
      <c r="S2844" s="47"/>
      <c r="T2844" s="47"/>
      <c r="U2844" s="47">
        <f t="shared" si="593"/>
        <v>430</v>
      </c>
      <c r="V2844" s="47"/>
      <c r="W2844" s="47"/>
      <c r="X2844" s="47"/>
      <c r="Y2844" s="47"/>
      <c r="Z2844" s="47">
        <f t="shared" si="595"/>
        <v>4620</v>
      </c>
      <c r="AA2844" s="47"/>
      <c r="AB2844" s="47"/>
      <c r="AC2844" s="47"/>
      <c r="AD2844" s="47"/>
      <c r="AE2844" s="47"/>
      <c r="AF2844" s="47"/>
      <c r="AG2844" s="47"/>
      <c r="AH2844" s="47" t="str">
        <f>IFERROR(_xlfn.XLOOKUP(Table6[[#This Row],[Suburb]],Table5[Travel Surcharge],Table5[$$]),"")</f>
        <v/>
      </c>
      <c r="AI2844" s="47"/>
      <c r="AJ2844" s="47"/>
    </row>
    <row r="2845" spans="1:36">
      <c r="A2845" s="374" t="s">
        <v>4305</v>
      </c>
      <c r="B2845" s="374">
        <v>47</v>
      </c>
      <c r="C2845" s="374" t="s">
        <v>764</v>
      </c>
      <c r="D2845" s="375" t="str">
        <f t="shared" si="594"/>
        <v>Merrifield Estate47</v>
      </c>
      <c r="E2845" s="375" t="s">
        <v>4337</v>
      </c>
      <c r="F2845" s="375" t="s">
        <v>4308</v>
      </c>
      <c r="G2845" s="375" t="s">
        <v>4309</v>
      </c>
      <c r="H2845" s="375" t="s">
        <v>4310</v>
      </c>
      <c r="I2845" s="63" t="s">
        <v>4311</v>
      </c>
      <c r="J2845" s="47">
        <f t="shared" si="590"/>
        <v>3740</v>
      </c>
      <c r="K2845" s="46" t="s">
        <v>10735</v>
      </c>
      <c r="L2845" s="47">
        <f t="shared" si="592"/>
        <v>1210</v>
      </c>
      <c r="M2845" s="47" t="s">
        <v>4312</v>
      </c>
      <c r="N2845" s="47" t="s">
        <v>8274</v>
      </c>
      <c r="O2845" s="47" t="s">
        <v>8275</v>
      </c>
      <c r="P2845" s="47"/>
      <c r="Q2845" s="47"/>
      <c r="R2845" s="47"/>
      <c r="S2845" s="47"/>
      <c r="T2845" s="47"/>
      <c r="U2845" s="47">
        <f t="shared" si="593"/>
        <v>430</v>
      </c>
      <c r="V2845" s="47"/>
      <c r="W2845" s="47"/>
      <c r="X2845" s="47"/>
      <c r="Y2845" s="47"/>
      <c r="Z2845" s="47">
        <f t="shared" si="595"/>
        <v>4620</v>
      </c>
      <c r="AA2845" s="47"/>
      <c r="AB2845" s="47"/>
      <c r="AC2845" s="47"/>
      <c r="AD2845" s="47"/>
      <c r="AE2845" s="47"/>
      <c r="AF2845" s="47"/>
      <c r="AG2845" s="47"/>
      <c r="AH2845" s="47" t="str">
        <f>IFERROR(_xlfn.XLOOKUP(Table6[[#This Row],[Suburb]],Table5[Travel Surcharge],Table5[$$]),"")</f>
        <v/>
      </c>
      <c r="AI2845" s="47"/>
      <c r="AJ2845" s="47"/>
    </row>
    <row r="2846" spans="1:36">
      <c r="A2846" s="374" t="s">
        <v>4305</v>
      </c>
      <c r="B2846" s="374">
        <v>48</v>
      </c>
      <c r="C2846" s="374" t="s">
        <v>764</v>
      </c>
      <c r="D2846" s="375" t="str">
        <f t="shared" si="594"/>
        <v>Merrifield Estate48</v>
      </c>
      <c r="E2846" s="375" t="s">
        <v>4338</v>
      </c>
      <c r="F2846" s="375" t="s">
        <v>4308</v>
      </c>
      <c r="G2846" s="375" t="s">
        <v>4309</v>
      </c>
      <c r="H2846" s="375" t="s">
        <v>4310</v>
      </c>
      <c r="I2846" s="63" t="s">
        <v>4311</v>
      </c>
      <c r="J2846" s="47">
        <f t="shared" si="590"/>
        <v>3740</v>
      </c>
      <c r="K2846" s="46" t="s">
        <v>10735</v>
      </c>
      <c r="L2846" s="47">
        <f t="shared" si="592"/>
        <v>1210</v>
      </c>
      <c r="M2846" s="47" t="s">
        <v>4312</v>
      </c>
      <c r="N2846" s="47" t="s">
        <v>8274</v>
      </c>
      <c r="O2846" s="47" t="s">
        <v>8275</v>
      </c>
      <c r="P2846" s="47"/>
      <c r="Q2846" s="47"/>
      <c r="R2846" s="47"/>
      <c r="S2846" s="47"/>
      <c r="T2846" s="47"/>
      <c r="U2846" s="47">
        <f t="shared" si="593"/>
        <v>430</v>
      </c>
      <c r="V2846" s="47"/>
      <c r="W2846" s="47"/>
      <c r="X2846" s="47"/>
      <c r="Y2846" s="47"/>
      <c r="Z2846" s="47">
        <f t="shared" si="595"/>
        <v>4620</v>
      </c>
      <c r="AA2846" s="47"/>
      <c r="AB2846" s="47"/>
      <c r="AC2846" s="47"/>
      <c r="AD2846" s="47"/>
      <c r="AE2846" s="47"/>
      <c r="AF2846" s="47"/>
      <c r="AG2846" s="47"/>
      <c r="AH2846" s="47" t="str">
        <f>IFERROR(_xlfn.XLOOKUP(Table6[[#This Row],[Suburb]],Table5[Travel Surcharge],Table5[$$]),"")</f>
        <v/>
      </c>
      <c r="AI2846" s="47"/>
      <c r="AJ2846" s="47"/>
    </row>
    <row r="2847" spans="1:36">
      <c r="A2847" s="374" t="s">
        <v>4305</v>
      </c>
      <c r="B2847" s="374">
        <v>49</v>
      </c>
      <c r="C2847" s="374" t="s">
        <v>764</v>
      </c>
      <c r="D2847" s="375" t="str">
        <f t="shared" si="594"/>
        <v>Merrifield Estate49</v>
      </c>
      <c r="E2847" s="375" t="s">
        <v>4339</v>
      </c>
      <c r="F2847" s="375" t="s">
        <v>4308</v>
      </c>
      <c r="G2847" s="375" t="s">
        <v>4309</v>
      </c>
      <c r="H2847" s="375" t="s">
        <v>4310</v>
      </c>
      <c r="I2847" s="63" t="s">
        <v>4311</v>
      </c>
      <c r="J2847" s="47">
        <f t="shared" si="590"/>
        <v>3740</v>
      </c>
      <c r="K2847" s="46" t="s">
        <v>10735</v>
      </c>
      <c r="L2847" s="47">
        <f t="shared" si="592"/>
        <v>1210</v>
      </c>
      <c r="M2847" s="47" t="s">
        <v>4312</v>
      </c>
      <c r="N2847" s="47" t="s">
        <v>8274</v>
      </c>
      <c r="O2847" s="47" t="s">
        <v>8275</v>
      </c>
      <c r="P2847" s="47"/>
      <c r="Q2847" s="47"/>
      <c r="R2847" s="47"/>
      <c r="S2847" s="47"/>
      <c r="T2847" s="47"/>
      <c r="U2847" s="47">
        <f t="shared" si="593"/>
        <v>430</v>
      </c>
      <c r="V2847" s="47"/>
      <c r="W2847" s="47"/>
      <c r="X2847" s="47"/>
      <c r="Y2847" s="47"/>
      <c r="Z2847" s="47">
        <f t="shared" si="595"/>
        <v>4620</v>
      </c>
      <c r="AA2847" s="47"/>
      <c r="AB2847" s="47"/>
      <c r="AC2847" s="47"/>
      <c r="AD2847" s="47"/>
      <c r="AE2847" s="47"/>
      <c r="AF2847" s="47"/>
      <c r="AG2847" s="47"/>
      <c r="AH2847" s="47" t="str">
        <f>IFERROR(_xlfn.XLOOKUP(Table6[[#This Row],[Suburb]],Table5[Travel Surcharge],Table5[$$]),"")</f>
        <v/>
      </c>
      <c r="AI2847" s="47"/>
      <c r="AJ2847" s="47"/>
    </row>
    <row r="2848" spans="1:36">
      <c r="A2848" s="374" t="s">
        <v>4305</v>
      </c>
      <c r="B2848" s="374">
        <v>50</v>
      </c>
      <c r="C2848" s="374" t="s">
        <v>764</v>
      </c>
      <c r="D2848" s="375" t="str">
        <f t="shared" si="594"/>
        <v>Merrifield Estate50</v>
      </c>
      <c r="E2848" s="375" t="s">
        <v>4340</v>
      </c>
      <c r="F2848" s="375" t="s">
        <v>4308</v>
      </c>
      <c r="G2848" s="375" t="s">
        <v>4309</v>
      </c>
      <c r="H2848" s="375" t="s">
        <v>4310</v>
      </c>
      <c r="I2848" s="63" t="s">
        <v>4311</v>
      </c>
      <c r="J2848" s="47">
        <f t="shared" si="590"/>
        <v>3740</v>
      </c>
      <c r="K2848" s="46" t="s">
        <v>10735</v>
      </c>
      <c r="L2848" s="47">
        <f t="shared" si="592"/>
        <v>1210</v>
      </c>
      <c r="M2848" s="47" t="s">
        <v>4312</v>
      </c>
      <c r="N2848" s="47" t="s">
        <v>8274</v>
      </c>
      <c r="O2848" s="47" t="s">
        <v>8275</v>
      </c>
      <c r="P2848" s="47"/>
      <c r="Q2848" s="47"/>
      <c r="R2848" s="47"/>
      <c r="S2848" s="47"/>
      <c r="T2848" s="47"/>
      <c r="U2848" s="47">
        <f t="shared" si="593"/>
        <v>430</v>
      </c>
      <c r="V2848" s="47"/>
      <c r="W2848" s="47"/>
      <c r="X2848" s="47"/>
      <c r="Y2848" s="47"/>
      <c r="Z2848" s="47">
        <f t="shared" si="595"/>
        <v>4620</v>
      </c>
      <c r="AA2848" s="47"/>
      <c r="AB2848" s="47"/>
      <c r="AC2848" s="47"/>
      <c r="AD2848" s="47"/>
      <c r="AE2848" s="47"/>
      <c r="AF2848" s="47"/>
      <c r="AG2848" s="47"/>
      <c r="AH2848" s="47" t="str">
        <f>IFERROR(_xlfn.XLOOKUP(Table6[[#This Row],[Suburb]],Table5[Travel Surcharge],Table5[$$]),"")</f>
        <v/>
      </c>
      <c r="AI2848" s="47"/>
      <c r="AJ2848" s="47"/>
    </row>
    <row r="2849" spans="1:36">
      <c r="A2849" s="374" t="s">
        <v>4305</v>
      </c>
      <c r="B2849" s="374">
        <v>52</v>
      </c>
      <c r="C2849" s="374" t="s">
        <v>764</v>
      </c>
      <c r="D2849" s="375" t="str">
        <f t="shared" si="594"/>
        <v>Merrifield Estate52</v>
      </c>
      <c r="E2849" s="375" t="s">
        <v>4341</v>
      </c>
      <c r="F2849" s="375" t="s">
        <v>4308</v>
      </c>
      <c r="G2849" s="375" t="s">
        <v>4309</v>
      </c>
      <c r="H2849" s="375" t="s">
        <v>4310</v>
      </c>
      <c r="I2849" s="63" t="s">
        <v>4311</v>
      </c>
      <c r="J2849" s="47">
        <f t="shared" si="590"/>
        <v>3740</v>
      </c>
      <c r="K2849" s="46" t="s">
        <v>10735</v>
      </c>
      <c r="L2849" s="47">
        <f t="shared" si="592"/>
        <v>1210</v>
      </c>
      <c r="M2849" s="47" t="s">
        <v>4312</v>
      </c>
      <c r="N2849" s="47" t="s">
        <v>8274</v>
      </c>
      <c r="O2849" s="47" t="s">
        <v>8275</v>
      </c>
      <c r="P2849" s="47"/>
      <c r="Q2849" s="47"/>
      <c r="R2849" s="47"/>
      <c r="S2849" s="47"/>
      <c r="T2849" s="47"/>
      <c r="U2849" s="47">
        <f t="shared" si="593"/>
        <v>430</v>
      </c>
      <c r="V2849" s="47"/>
      <c r="W2849" s="47"/>
      <c r="X2849" s="47"/>
      <c r="Y2849" s="47"/>
      <c r="Z2849" s="47">
        <f t="shared" si="595"/>
        <v>4620</v>
      </c>
      <c r="AA2849" s="47"/>
      <c r="AB2849" s="47"/>
      <c r="AC2849" s="47"/>
      <c r="AD2849" s="47"/>
      <c r="AE2849" s="47"/>
      <c r="AF2849" s="47"/>
      <c r="AG2849" s="47"/>
      <c r="AH2849" s="47" t="str">
        <f>IFERROR(_xlfn.XLOOKUP(Table6[[#This Row],[Suburb]],Table5[Travel Surcharge],Table5[$$]),"")</f>
        <v/>
      </c>
      <c r="AI2849" s="47"/>
      <c r="AJ2849" s="47"/>
    </row>
    <row r="2850" spans="1:36">
      <c r="A2850" s="374" t="s">
        <v>4305</v>
      </c>
      <c r="B2850" s="374">
        <v>53</v>
      </c>
      <c r="C2850" s="374" t="s">
        <v>764</v>
      </c>
      <c r="D2850" s="375" t="str">
        <f t="shared" si="594"/>
        <v>Merrifield Estate53</v>
      </c>
      <c r="E2850" s="375" t="s">
        <v>4342</v>
      </c>
      <c r="F2850" s="375" t="s">
        <v>4308</v>
      </c>
      <c r="G2850" s="375" t="s">
        <v>4309</v>
      </c>
      <c r="H2850" s="375" t="s">
        <v>4310</v>
      </c>
      <c r="I2850" s="63" t="s">
        <v>4311</v>
      </c>
      <c r="J2850" s="47">
        <v>3740</v>
      </c>
      <c r="K2850" s="46" t="s">
        <v>10735</v>
      </c>
      <c r="L2850" s="47">
        <v>1210</v>
      </c>
      <c r="M2850" s="47" t="s">
        <v>4312</v>
      </c>
      <c r="N2850" s="47" t="s">
        <v>8274</v>
      </c>
      <c r="O2850" s="47" t="s">
        <v>8275</v>
      </c>
      <c r="P2850" s="47"/>
      <c r="Q2850" s="47"/>
      <c r="R2850" s="47"/>
      <c r="S2850" s="47"/>
      <c r="T2850" s="47"/>
      <c r="U2850" s="47">
        <f t="shared" si="593"/>
        <v>430</v>
      </c>
      <c r="V2850" s="47"/>
      <c r="W2850" s="47"/>
      <c r="X2850" s="47"/>
      <c r="Y2850" s="47"/>
      <c r="Z2850" s="47">
        <v>4620</v>
      </c>
      <c r="AA2850" s="47"/>
      <c r="AB2850" s="47"/>
      <c r="AC2850" s="47"/>
      <c r="AD2850" s="47"/>
      <c r="AE2850" s="47"/>
      <c r="AF2850" s="47"/>
      <c r="AG2850" s="47"/>
      <c r="AH2850" s="47" t="str">
        <f>IFERROR(_xlfn.XLOOKUP(Table6[[#This Row],[Suburb]],Table5[Travel Surcharge],Table5[$$]),"")</f>
        <v/>
      </c>
      <c r="AI2850" s="47"/>
      <c r="AJ2850" s="47"/>
    </row>
    <row r="2851" spans="1:36">
      <c r="A2851" s="374" t="s">
        <v>4305</v>
      </c>
      <c r="B2851" s="374">
        <v>54</v>
      </c>
      <c r="C2851" s="374" t="s">
        <v>764</v>
      </c>
      <c r="D2851" s="375" t="str">
        <f t="shared" si="594"/>
        <v>Merrifield Estate54</v>
      </c>
      <c r="E2851" s="375" t="s">
        <v>8273</v>
      </c>
      <c r="F2851" s="375" t="s">
        <v>4308</v>
      </c>
      <c r="G2851" s="375" t="s">
        <v>4309</v>
      </c>
      <c r="H2851" s="375" t="s">
        <v>4310</v>
      </c>
      <c r="I2851" s="63" t="s">
        <v>4311</v>
      </c>
      <c r="J2851" s="47">
        <v>3740</v>
      </c>
      <c r="K2851" s="46" t="s">
        <v>10735</v>
      </c>
      <c r="L2851" s="47">
        <v>1210</v>
      </c>
      <c r="M2851" s="47" t="s">
        <v>4312</v>
      </c>
      <c r="N2851" s="47" t="s">
        <v>8274</v>
      </c>
      <c r="O2851" s="47" t="s">
        <v>8275</v>
      </c>
      <c r="P2851" s="47"/>
      <c r="Q2851" s="47"/>
      <c r="R2851" s="47"/>
      <c r="S2851" s="47"/>
      <c r="T2851" s="47"/>
      <c r="U2851" s="47">
        <f t="shared" si="593"/>
        <v>430</v>
      </c>
      <c r="V2851" s="47"/>
      <c r="W2851" s="47"/>
      <c r="X2851" s="47"/>
      <c r="Y2851" s="47"/>
      <c r="Z2851" s="47">
        <v>4620</v>
      </c>
      <c r="AA2851" s="47"/>
      <c r="AB2851" s="47"/>
      <c r="AC2851" s="47"/>
      <c r="AD2851" s="47"/>
      <c r="AE2851" s="47"/>
      <c r="AF2851" s="47"/>
      <c r="AG2851" s="47"/>
      <c r="AH2851" s="47" t="str">
        <f>IFERROR(_xlfn.XLOOKUP(Table6[[#This Row],[Suburb]],Table5[Travel Surcharge],Table5[$$]),"")</f>
        <v/>
      </c>
      <c r="AI2851" s="47"/>
      <c r="AJ2851" s="47"/>
    </row>
    <row r="2852" spans="1:36">
      <c r="A2852" s="157" t="s">
        <v>4305</v>
      </c>
      <c r="B2852" s="157">
        <v>55</v>
      </c>
      <c r="C2852" s="157" t="s">
        <v>8555</v>
      </c>
      <c r="D2852" s="157" t="str">
        <f t="shared" si="594"/>
        <v>Merrifield Estate55</v>
      </c>
      <c r="E2852" s="157" t="s">
        <v>8558</v>
      </c>
      <c r="F2852" s="157" t="s">
        <v>4308</v>
      </c>
      <c r="G2852" s="157" t="s">
        <v>4309</v>
      </c>
      <c r="H2852" s="157" t="s">
        <v>8556</v>
      </c>
      <c r="I2852" s="158" t="s">
        <v>4311</v>
      </c>
      <c r="J2852" s="47">
        <v>3741</v>
      </c>
      <c r="K2852" s="46" t="s">
        <v>10735</v>
      </c>
      <c r="L2852" s="47">
        <v>1211</v>
      </c>
      <c r="M2852" s="47" t="s">
        <v>4312</v>
      </c>
      <c r="N2852" s="47" t="s">
        <v>8557</v>
      </c>
      <c r="O2852" s="47" t="s">
        <v>8275</v>
      </c>
      <c r="P2852" s="47"/>
      <c r="Q2852" s="47"/>
      <c r="R2852" s="47"/>
      <c r="S2852" s="47"/>
      <c r="T2852" s="47"/>
      <c r="U2852" s="47">
        <f t="shared" si="593"/>
        <v>430</v>
      </c>
      <c r="V2852" s="47"/>
      <c r="W2852" s="47"/>
      <c r="X2852" s="47"/>
      <c r="Y2852" s="47"/>
      <c r="Z2852" s="47">
        <v>4621</v>
      </c>
      <c r="AA2852" s="47"/>
      <c r="AB2852" s="47"/>
      <c r="AC2852" s="47"/>
      <c r="AD2852" s="47"/>
      <c r="AE2852" s="47"/>
      <c r="AF2852" s="47"/>
      <c r="AG2852" s="47"/>
      <c r="AH2852" s="47" t="str">
        <f>IFERROR(_xlfn.XLOOKUP(Table6[[#This Row],[Suburb]],Table5[Travel Surcharge],Table5[$$]),"")</f>
        <v/>
      </c>
      <c r="AI2852" s="47"/>
      <c r="AJ2852" s="47"/>
    </row>
    <row r="2853" spans="1:36">
      <c r="A2853" s="374" t="s">
        <v>4305</v>
      </c>
      <c r="B2853" s="374">
        <v>57</v>
      </c>
      <c r="C2853" s="374" t="s">
        <v>764</v>
      </c>
      <c r="D2853" s="375" t="str">
        <f t="shared" si="594"/>
        <v>Merrifield Estate57</v>
      </c>
      <c r="E2853" s="375" t="s">
        <v>10818</v>
      </c>
      <c r="F2853" s="375" t="s">
        <v>4308</v>
      </c>
      <c r="G2853" s="375" t="s">
        <v>4309</v>
      </c>
      <c r="H2853" s="375" t="s">
        <v>4310</v>
      </c>
      <c r="I2853" s="63" t="s">
        <v>4311</v>
      </c>
      <c r="J2853" s="47">
        <v>3740</v>
      </c>
      <c r="K2853" s="46" t="s">
        <v>10735</v>
      </c>
      <c r="L2853" s="47">
        <v>1210</v>
      </c>
      <c r="M2853" s="47" t="s">
        <v>4312</v>
      </c>
      <c r="N2853" s="47" t="s">
        <v>8274</v>
      </c>
      <c r="O2853" s="47" t="s">
        <v>8275</v>
      </c>
      <c r="P2853" s="47"/>
      <c r="Q2853" s="47"/>
      <c r="R2853" s="47"/>
      <c r="S2853" s="47"/>
      <c r="T2853" s="47"/>
      <c r="U2853" s="47">
        <v>430</v>
      </c>
      <c r="V2853" s="47"/>
      <c r="W2853" s="47"/>
      <c r="X2853" s="47"/>
      <c r="Y2853" s="47"/>
      <c r="Z2853" s="47">
        <v>4620</v>
      </c>
      <c r="AA2853" s="47"/>
      <c r="AB2853" s="47"/>
      <c r="AC2853" s="47"/>
      <c r="AD2853" s="47"/>
      <c r="AE2853" s="47"/>
      <c r="AF2853" s="47"/>
      <c r="AG2853" s="47"/>
      <c r="AH2853" s="47" t="s">
        <v>9976</v>
      </c>
      <c r="AI2853" s="47"/>
      <c r="AJ2853" s="47"/>
    </row>
    <row r="2854" spans="1:36" ht="15.75" customHeight="1">
      <c r="A2854" s="157" t="s">
        <v>4305</v>
      </c>
      <c r="B2854" s="157">
        <v>65</v>
      </c>
      <c r="C2854" s="157" t="s">
        <v>764</v>
      </c>
      <c r="D2854" s="157" t="str">
        <f t="shared" si="594"/>
        <v>Merrifield Estate65</v>
      </c>
      <c r="E2854" s="157" t="s">
        <v>7776</v>
      </c>
      <c r="F2854" s="157" t="s">
        <v>4308</v>
      </c>
      <c r="G2854" s="157" t="s">
        <v>4309</v>
      </c>
      <c r="H2854" s="157" t="s">
        <v>4310</v>
      </c>
      <c r="I2854" s="158" t="s">
        <v>4311</v>
      </c>
      <c r="J2854" s="47">
        <v>3740</v>
      </c>
      <c r="K2854" s="46" t="s">
        <v>10735</v>
      </c>
      <c r="L2854" s="47">
        <v>1210</v>
      </c>
      <c r="M2854" s="47" t="s">
        <v>4312</v>
      </c>
      <c r="N2854" s="47" t="s">
        <v>8274</v>
      </c>
      <c r="O2854" s="47" t="s">
        <v>8275</v>
      </c>
      <c r="P2854" s="47"/>
      <c r="Q2854" s="47"/>
      <c r="R2854" s="47"/>
      <c r="S2854" s="47"/>
      <c r="T2854" s="47"/>
      <c r="U2854" s="47">
        <f t="shared" si="593"/>
        <v>430</v>
      </c>
      <c r="V2854" s="47"/>
      <c r="W2854" s="47"/>
      <c r="X2854" s="47"/>
      <c r="Y2854" s="47"/>
      <c r="Z2854" s="47">
        <v>4620</v>
      </c>
      <c r="AA2854" s="47"/>
      <c r="AB2854" s="47"/>
      <c r="AC2854" s="47"/>
      <c r="AD2854" s="47"/>
      <c r="AE2854" s="47"/>
      <c r="AF2854" s="47"/>
      <c r="AG2854" s="47"/>
      <c r="AH2854" s="47" t="str">
        <f>IFERROR(_xlfn.XLOOKUP(Table6[[#This Row],[Suburb]],Table5[Travel Surcharge],Table5[$$]),"")</f>
        <v/>
      </c>
      <c r="AI2854" s="47"/>
      <c r="AJ2854" s="47"/>
    </row>
    <row r="2855" spans="1:36" ht="15" customHeight="1">
      <c r="A2855" s="374" t="s">
        <v>4305</v>
      </c>
      <c r="B2855" s="374">
        <v>66</v>
      </c>
      <c r="C2855" s="374" t="s">
        <v>764</v>
      </c>
      <c r="D2855" s="375" t="str">
        <f t="shared" si="594"/>
        <v>Merrifield Estate66</v>
      </c>
      <c r="E2855" s="375" t="s">
        <v>4343</v>
      </c>
      <c r="F2855" s="375" t="s">
        <v>4308</v>
      </c>
      <c r="G2855" s="375" t="s">
        <v>4309</v>
      </c>
      <c r="H2855" s="375" t="s">
        <v>4310</v>
      </c>
      <c r="I2855" s="63" t="s">
        <v>4311</v>
      </c>
      <c r="J2855" s="47">
        <v>3740</v>
      </c>
      <c r="K2855" s="46" t="s">
        <v>10735</v>
      </c>
      <c r="L2855" s="47">
        <v>1210</v>
      </c>
      <c r="M2855" s="47" t="s">
        <v>4312</v>
      </c>
      <c r="N2855" s="47" t="s">
        <v>8274</v>
      </c>
      <c r="O2855" s="47" t="s">
        <v>8275</v>
      </c>
      <c r="P2855" s="47"/>
      <c r="Q2855" s="47"/>
      <c r="R2855" s="47"/>
      <c r="S2855" s="47"/>
      <c r="T2855" s="47"/>
      <c r="U2855" s="47">
        <f t="shared" si="593"/>
        <v>430</v>
      </c>
      <c r="V2855" s="47"/>
      <c r="W2855" s="47"/>
      <c r="X2855" s="47"/>
      <c r="Y2855" s="47"/>
      <c r="Z2855" s="47">
        <v>4620</v>
      </c>
      <c r="AA2855" s="47"/>
      <c r="AB2855" s="47"/>
      <c r="AC2855" s="47"/>
      <c r="AD2855" s="47"/>
      <c r="AE2855" s="47"/>
      <c r="AF2855" s="47"/>
      <c r="AG2855" s="47"/>
      <c r="AH2855" s="47" t="str">
        <f>IFERROR(_xlfn.XLOOKUP(Table6[[#This Row],[Suburb]],Table5[Travel Surcharge],Table5[$$]),"")</f>
        <v/>
      </c>
      <c r="AI2855" s="47"/>
      <c r="AJ2855" s="47"/>
    </row>
    <row r="2856" spans="1:36" ht="16.5" customHeight="1">
      <c r="A2856" s="374" t="s">
        <v>4305</v>
      </c>
      <c r="B2856" s="374">
        <v>67</v>
      </c>
      <c r="C2856" s="374" t="s">
        <v>764</v>
      </c>
      <c r="D2856" s="375" t="str">
        <f t="shared" si="594"/>
        <v>Merrifield Estate67</v>
      </c>
      <c r="E2856" s="375" t="s">
        <v>4344</v>
      </c>
      <c r="F2856" s="375" t="s">
        <v>4308</v>
      </c>
      <c r="G2856" s="375" t="s">
        <v>4309</v>
      </c>
      <c r="H2856" s="375" t="s">
        <v>4310</v>
      </c>
      <c r="I2856" s="63" t="s">
        <v>4311</v>
      </c>
      <c r="J2856" s="47">
        <v>3740</v>
      </c>
      <c r="K2856" s="46" t="s">
        <v>10735</v>
      </c>
      <c r="L2856" s="47">
        <v>1210</v>
      </c>
      <c r="M2856" s="47" t="s">
        <v>4312</v>
      </c>
      <c r="N2856" s="47" t="s">
        <v>8274</v>
      </c>
      <c r="O2856" s="47" t="s">
        <v>8275</v>
      </c>
      <c r="P2856" s="47"/>
      <c r="Q2856" s="47"/>
      <c r="R2856" s="47"/>
      <c r="S2856" s="47"/>
      <c r="T2856" s="47"/>
      <c r="U2856" s="47">
        <f t="shared" si="593"/>
        <v>430</v>
      </c>
      <c r="V2856" s="47"/>
      <c r="W2856" s="47"/>
      <c r="X2856" s="47"/>
      <c r="Y2856" s="47"/>
      <c r="Z2856" s="47">
        <v>4620</v>
      </c>
      <c r="AA2856" s="47"/>
      <c r="AB2856" s="47"/>
      <c r="AC2856" s="47"/>
      <c r="AD2856" s="47"/>
      <c r="AE2856" s="47"/>
      <c r="AF2856" s="47"/>
      <c r="AG2856" s="47"/>
      <c r="AH2856" s="47" t="str">
        <f>IFERROR(_xlfn.XLOOKUP(Table6[[#This Row],[Suburb]],Table5[Travel Surcharge],Table5[$$]),"")</f>
        <v/>
      </c>
      <c r="AI2856" s="47"/>
      <c r="AJ2856" s="47"/>
    </row>
    <row r="2857" spans="1:36" ht="16.5" customHeight="1">
      <c r="A2857" s="374" t="s">
        <v>4305</v>
      </c>
      <c r="B2857" s="374">
        <v>68</v>
      </c>
      <c r="C2857" s="374" t="s">
        <v>764</v>
      </c>
      <c r="D2857" s="375" t="str">
        <f t="shared" si="594"/>
        <v>Merrifield Estate68</v>
      </c>
      <c r="E2857" s="375" t="s">
        <v>4345</v>
      </c>
      <c r="F2857" s="375" t="s">
        <v>4308</v>
      </c>
      <c r="G2857" s="375" t="s">
        <v>4309</v>
      </c>
      <c r="H2857" s="375" t="s">
        <v>4310</v>
      </c>
      <c r="I2857" s="63" t="s">
        <v>4311</v>
      </c>
      <c r="J2857" s="47">
        <v>3740</v>
      </c>
      <c r="K2857" s="46" t="s">
        <v>10735</v>
      </c>
      <c r="L2857" s="47">
        <v>1210</v>
      </c>
      <c r="M2857" s="47" t="s">
        <v>4312</v>
      </c>
      <c r="N2857" s="47" t="s">
        <v>8274</v>
      </c>
      <c r="O2857" s="47" t="s">
        <v>8275</v>
      </c>
      <c r="P2857" s="47"/>
      <c r="Q2857" s="47"/>
      <c r="R2857" s="47"/>
      <c r="S2857" s="47"/>
      <c r="T2857" s="47"/>
      <c r="U2857" s="47">
        <f t="shared" si="593"/>
        <v>430</v>
      </c>
      <c r="V2857" s="47"/>
      <c r="W2857" s="47"/>
      <c r="X2857" s="47"/>
      <c r="Y2857" s="47"/>
      <c r="Z2857" s="47">
        <v>4620</v>
      </c>
      <c r="AA2857" s="47"/>
      <c r="AB2857" s="47"/>
      <c r="AC2857" s="47"/>
      <c r="AD2857" s="47"/>
      <c r="AE2857" s="47"/>
      <c r="AF2857" s="47"/>
      <c r="AG2857" s="47"/>
      <c r="AH2857" s="47" t="str">
        <f>IFERROR(_xlfn.XLOOKUP(Table6[[#This Row],[Suburb]],Table5[Travel Surcharge],Table5[$$]),"")</f>
        <v/>
      </c>
      <c r="AI2857" s="47"/>
      <c r="AJ2857" s="47"/>
    </row>
    <row r="2858" spans="1:36">
      <c r="A2858" s="374" t="s">
        <v>4305</v>
      </c>
      <c r="B2858" s="374">
        <v>69</v>
      </c>
      <c r="C2858" s="374" t="s">
        <v>764</v>
      </c>
      <c r="D2858" s="375" t="str">
        <f t="shared" si="594"/>
        <v>Merrifield Estate69</v>
      </c>
      <c r="E2858" s="375" t="s">
        <v>4346</v>
      </c>
      <c r="F2858" s="375" t="s">
        <v>4308</v>
      </c>
      <c r="G2858" s="375" t="s">
        <v>4309</v>
      </c>
      <c r="H2858" s="375" t="s">
        <v>4310</v>
      </c>
      <c r="I2858" s="63" t="s">
        <v>4311</v>
      </c>
      <c r="J2858" s="47">
        <v>3740</v>
      </c>
      <c r="K2858" s="46" t="s">
        <v>10735</v>
      </c>
      <c r="L2858" s="47">
        <v>1210</v>
      </c>
      <c r="M2858" s="47" t="s">
        <v>4312</v>
      </c>
      <c r="N2858" s="47" t="s">
        <v>8274</v>
      </c>
      <c r="O2858" s="47" t="s">
        <v>8275</v>
      </c>
      <c r="P2858" s="47"/>
      <c r="Q2858" s="47"/>
      <c r="R2858" s="47"/>
      <c r="S2858" s="47"/>
      <c r="T2858" s="47"/>
      <c r="U2858" s="47">
        <f t="shared" si="593"/>
        <v>430</v>
      </c>
      <c r="V2858" s="47"/>
      <c r="W2858" s="47"/>
      <c r="X2858" s="47"/>
      <c r="Y2858" s="47"/>
      <c r="Z2858" s="47">
        <v>4620</v>
      </c>
      <c r="AA2858" s="47"/>
      <c r="AB2858" s="47"/>
      <c r="AC2858" s="47"/>
      <c r="AD2858" s="47"/>
      <c r="AE2858" s="47"/>
      <c r="AF2858" s="47"/>
      <c r="AG2858" s="47"/>
      <c r="AH2858" s="47" t="str">
        <f>IFERROR(_xlfn.XLOOKUP(Table6[[#This Row],[Suburb]],Table5[Travel Surcharge],Table5[$$]),"")</f>
        <v/>
      </c>
      <c r="AI2858" s="47"/>
      <c r="AJ2858" s="47"/>
    </row>
    <row r="2859" spans="1:36">
      <c r="A2859" s="374" t="s">
        <v>4305</v>
      </c>
      <c r="B2859" s="374">
        <v>79</v>
      </c>
      <c r="C2859" s="374" t="s">
        <v>764</v>
      </c>
      <c r="D2859" s="375" t="str">
        <f t="shared" si="594"/>
        <v>Merrifield Estate79</v>
      </c>
      <c r="E2859" s="375" t="s">
        <v>10102</v>
      </c>
      <c r="F2859" s="375" t="s">
        <v>4308</v>
      </c>
      <c r="G2859" s="375" t="s">
        <v>4309</v>
      </c>
      <c r="H2859" s="375" t="s">
        <v>4310</v>
      </c>
      <c r="I2859" s="63" t="s">
        <v>4311</v>
      </c>
      <c r="J2859" s="47">
        <v>3740</v>
      </c>
      <c r="K2859" s="46" t="s">
        <v>10735</v>
      </c>
      <c r="L2859" s="47">
        <v>1210</v>
      </c>
      <c r="M2859" s="47" t="s">
        <v>4312</v>
      </c>
      <c r="N2859" s="47" t="s">
        <v>8274</v>
      </c>
      <c r="O2859" s="47" t="s">
        <v>8275</v>
      </c>
      <c r="P2859" s="47"/>
      <c r="Q2859" s="47"/>
      <c r="R2859" s="47"/>
      <c r="S2859" s="47"/>
      <c r="T2859" s="47"/>
      <c r="U2859" s="47">
        <v>540</v>
      </c>
      <c r="V2859" s="47"/>
      <c r="W2859" s="47"/>
      <c r="X2859" s="47"/>
      <c r="Y2859" s="47"/>
      <c r="Z2859" s="47">
        <v>4620</v>
      </c>
      <c r="AA2859" s="47"/>
      <c r="AB2859" s="47"/>
      <c r="AC2859" s="47"/>
      <c r="AD2859" s="47"/>
      <c r="AE2859" s="47"/>
      <c r="AF2859" s="47"/>
      <c r="AG2859" s="47"/>
      <c r="AH2859" s="47" t="s">
        <v>9976</v>
      </c>
      <c r="AI2859" s="47"/>
      <c r="AJ2859" s="47"/>
    </row>
    <row r="2860" spans="1:36">
      <c r="A2860" s="374" t="s">
        <v>4305</v>
      </c>
      <c r="B2860" s="374" t="s">
        <v>4306</v>
      </c>
      <c r="C2860" s="374" t="s">
        <v>764</v>
      </c>
      <c r="D2860" s="375" t="str">
        <f t="shared" si="594"/>
        <v>Merrifield Estate1 - Atkin</v>
      </c>
      <c r="E2860" s="375" t="s">
        <v>4307</v>
      </c>
      <c r="F2860" s="375" t="s">
        <v>4308</v>
      </c>
      <c r="G2860" s="375" t="s">
        <v>4309</v>
      </c>
      <c r="H2860" s="375" t="s">
        <v>4310</v>
      </c>
      <c r="I2860" s="63" t="s">
        <v>4311</v>
      </c>
      <c r="J2860" s="47">
        <f>J$7</f>
        <v>3740</v>
      </c>
      <c r="K2860" s="46" t="s">
        <v>10735</v>
      </c>
      <c r="L2860" s="47">
        <f>L$7</f>
        <v>1210</v>
      </c>
      <c r="M2860" s="47" t="s">
        <v>4312</v>
      </c>
      <c r="N2860" s="47" t="s">
        <v>4313</v>
      </c>
      <c r="O2860" s="47"/>
      <c r="P2860" s="47"/>
      <c r="Q2860" s="47"/>
      <c r="R2860" s="47"/>
      <c r="S2860" s="47"/>
      <c r="T2860" s="47"/>
      <c r="U2860" s="47"/>
      <c r="V2860" s="47"/>
      <c r="W2860" s="47"/>
      <c r="X2860" s="47"/>
      <c r="Y2860" s="47"/>
      <c r="Z2860" s="47">
        <f t="shared" ref="Z2860:Z2901" si="596">Z$7</f>
        <v>4620</v>
      </c>
      <c r="AA2860" s="47"/>
      <c r="AB2860" s="47"/>
      <c r="AC2860" s="47"/>
      <c r="AD2860" s="47"/>
      <c r="AE2860" s="47"/>
      <c r="AF2860" s="47"/>
      <c r="AG2860" s="47"/>
      <c r="AH2860" s="47" t="str">
        <f>IFERROR(_xlfn.XLOOKUP(Table6[[#This Row],[Suburb]],Table5[Travel Surcharge],Table5[$$]),"")</f>
        <v/>
      </c>
      <c r="AI2860" s="47"/>
      <c r="AJ2860" s="47"/>
    </row>
    <row r="2861" spans="1:36">
      <c r="A2861" s="374" t="s">
        <v>4305</v>
      </c>
      <c r="B2861" s="374" t="s">
        <v>4314</v>
      </c>
      <c r="C2861" s="374" t="s">
        <v>764</v>
      </c>
      <c r="D2861" s="375" t="str">
        <f t="shared" ref="D2861:D2892" si="597">CONCATENATE(A2861,B2861)</f>
        <v>Merrifield Estate2 - Atkin</v>
      </c>
      <c r="E2861" s="375" t="s">
        <v>4315</v>
      </c>
      <c r="F2861" s="375" t="s">
        <v>4308</v>
      </c>
      <c r="G2861" s="375" t="s">
        <v>4309</v>
      </c>
      <c r="H2861" s="375" t="s">
        <v>4310</v>
      </c>
      <c r="I2861" s="63" t="s">
        <v>4311</v>
      </c>
      <c r="J2861" s="47">
        <f>J$7</f>
        <v>3740</v>
      </c>
      <c r="K2861" s="46" t="s">
        <v>10735</v>
      </c>
      <c r="L2861" s="47">
        <f>L$7</f>
        <v>1210</v>
      </c>
      <c r="M2861" s="47" t="s">
        <v>4312</v>
      </c>
      <c r="N2861" s="47"/>
      <c r="O2861" s="47"/>
      <c r="P2861" s="47"/>
      <c r="Q2861" s="47"/>
      <c r="R2861" s="47"/>
      <c r="S2861" s="47"/>
      <c r="T2861" s="47"/>
      <c r="U2861" s="47"/>
      <c r="V2861" s="47"/>
      <c r="W2861" s="47"/>
      <c r="X2861" s="47"/>
      <c r="Y2861" s="47"/>
      <c r="Z2861" s="47">
        <f t="shared" si="596"/>
        <v>4620</v>
      </c>
      <c r="AA2861" s="47"/>
      <c r="AB2861" s="47"/>
      <c r="AC2861" s="47"/>
      <c r="AD2861" s="47"/>
      <c r="AE2861" s="47"/>
      <c r="AF2861" s="47"/>
      <c r="AG2861" s="47"/>
      <c r="AH2861" s="47" t="str">
        <f>IFERROR(_xlfn.XLOOKUP(Table6[[#This Row],[Suburb]],Table5[Travel Surcharge],Table5[$$]),"")</f>
        <v/>
      </c>
      <c r="AI2861" s="47"/>
      <c r="AJ2861" s="47"/>
    </row>
    <row r="2862" spans="1:36">
      <c r="A2862" s="157" t="s">
        <v>4305</v>
      </c>
      <c r="B2862" s="157" t="s">
        <v>7940</v>
      </c>
      <c r="C2862" s="157" t="s">
        <v>764</v>
      </c>
      <c r="D2862" s="157" t="str">
        <f t="shared" si="597"/>
        <v>Merrifield Estate3 - Atkin</v>
      </c>
      <c r="E2862" s="157" t="s">
        <v>7941</v>
      </c>
      <c r="F2862" s="157" t="s">
        <v>4308</v>
      </c>
      <c r="G2862" s="157" t="s">
        <v>4309</v>
      </c>
      <c r="H2862" s="157" t="s">
        <v>4310</v>
      </c>
      <c r="I2862" s="158" t="s">
        <v>4311</v>
      </c>
      <c r="J2862" s="47">
        <f>J$7</f>
        <v>3740</v>
      </c>
      <c r="K2862" s="46" t="s">
        <v>10735</v>
      </c>
      <c r="L2862" s="47">
        <f>L$7</f>
        <v>1210</v>
      </c>
      <c r="M2862" s="47" t="s">
        <v>4312</v>
      </c>
      <c r="N2862" s="47"/>
      <c r="O2862" s="47"/>
      <c r="P2862" s="47"/>
      <c r="Q2862" s="47"/>
      <c r="R2862" s="47"/>
      <c r="S2862" s="47"/>
      <c r="T2862" s="47"/>
      <c r="U2862" s="47"/>
      <c r="V2862" s="47"/>
      <c r="W2862" s="47"/>
      <c r="X2862" s="47"/>
      <c r="Y2862" s="47"/>
      <c r="Z2862" s="47">
        <f t="shared" si="596"/>
        <v>4620</v>
      </c>
      <c r="AA2862" s="47"/>
      <c r="AB2862" s="47"/>
      <c r="AC2862" s="47"/>
      <c r="AD2862" s="47"/>
      <c r="AE2862" s="47"/>
      <c r="AF2862" s="47"/>
      <c r="AG2862" s="47"/>
      <c r="AH2862" s="47" t="str">
        <f>IFERROR(_xlfn.XLOOKUP(Table6[[#This Row],[Suburb]],Table5[Travel Surcharge],Table5[$$]),"")</f>
        <v/>
      </c>
      <c r="AI2862" s="47"/>
      <c r="AJ2862" s="47"/>
    </row>
    <row r="2863" spans="1:36">
      <c r="A2863" s="157" t="s">
        <v>4305</v>
      </c>
      <c r="B2863" s="157" t="s">
        <v>9521</v>
      </c>
      <c r="C2863" s="157" t="s">
        <v>764</v>
      </c>
      <c r="D2863" s="157" t="str">
        <f t="shared" si="597"/>
        <v>Merrifield Estate7 - Atkin</v>
      </c>
      <c r="E2863" s="157" t="s">
        <v>9522</v>
      </c>
      <c r="F2863" s="157" t="s">
        <v>4308</v>
      </c>
      <c r="G2863" s="157" t="s">
        <v>4309</v>
      </c>
      <c r="H2863" s="157" t="s">
        <v>4310</v>
      </c>
      <c r="I2863" s="158" t="s">
        <v>4311</v>
      </c>
      <c r="J2863" s="47">
        <f>J$7</f>
        <v>3740</v>
      </c>
      <c r="K2863" s="46" t="s">
        <v>10735</v>
      </c>
      <c r="L2863" s="47">
        <f>L$7</f>
        <v>1210</v>
      </c>
      <c r="M2863" s="47" t="s">
        <v>4312</v>
      </c>
      <c r="N2863" s="47"/>
      <c r="O2863" s="47"/>
      <c r="P2863" s="47"/>
      <c r="Q2863" s="47"/>
      <c r="R2863" s="47"/>
      <c r="S2863" s="47"/>
      <c r="T2863" s="47"/>
      <c r="U2863" s="47"/>
      <c r="V2863" s="47"/>
      <c r="W2863" s="47"/>
      <c r="X2863" s="47"/>
      <c r="Y2863" s="47"/>
      <c r="Z2863" s="47">
        <f t="shared" si="596"/>
        <v>4620</v>
      </c>
      <c r="AA2863" s="47"/>
      <c r="AB2863" s="47"/>
      <c r="AC2863" s="47"/>
      <c r="AD2863" s="47"/>
      <c r="AE2863" s="47"/>
      <c r="AF2863" s="47"/>
      <c r="AG2863" s="47"/>
      <c r="AH2863" s="47" t="str">
        <f>IFERROR(_xlfn.XLOOKUP(Table6[[#This Row],[Suburb]],Table5[Travel Surcharge],Table5[$$]),"")</f>
        <v/>
      </c>
      <c r="AI2863" s="47"/>
      <c r="AJ2863" s="47"/>
    </row>
    <row r="2864" spans="1:36">
      <c r="A2864" s="374" t="s">
        <v>4347</v>
      </c>
      <c r="B2864" s="374">
        <v>1</v>
      </c>
      <c r="C2864" s="374" t="s">
        <v>295</v>
      </c>
      <c r="D2864" s="375" t="str">
        <f t="shared" si="597"/>
        <v>Michaels Place Estate1</v>
      </c>
      <c r="E2864" s="375" t="s">
        <v>4348</v>
      </c>
      <c r="F2864" s="375" t="s">
        <v>4349</v>
      </c>
      <c r="G2864" s="375" t="s">
        <v>4350</v>
      </c>
      <c r="H2864" s="375" t="s">
        <v>4351</v>
      </c>
      <c r="I2864" s="63" t="s">
        <v>4352</v>
      </c>
      <c r="J2864" s="47" t="s">
        <v>3018</v>
      </c>
      <c r="K2864" s="46" t="s">
        <v>10735</v>
      </c>
      <c r="L2864" s="47" t="s">
        <v>4353</v>
      </c>
      <c r="M2864" s="47"/>
      <c r="N2864" s="47"/>
      <c r="O2864" s="47">
        <f>O$7</f>
        <v>4950</v>
      </c>
      <c r="P2864" s="47" t="s">
        <v>8788</v>
      </c>
      <c r="Q2864" s="47"/>
      <c r="R2864" s="47"/>
      <c r="S2864" s="47" t="s">
        <v>4354</v>
      </c>
      <c r="T2864" s="47"/>
      <c r="U2864" s="47"/>
      <c r="V2864" s="47"/>
      <c r="W2864" s="47"/>
      <c r="X2864" s="47"/>
      <c r="Y2864" s="47"/>
      <c r="Z2864" s="47">
        <f t="shared" si="596"/>
        <v>4620</v>
      </c>
      <c r="AA2864" s="47"/>
      <c r="AB2864" s="47"/>
      <c r="AC2864" s="47"/>
      <c r="AD2864" s="47"/>
      <c r="AE2864" s="47"/>
      <c r="AF2864" s="47"/>
      <c r="AG2864" s="47"/>
      <c r="AH2864" s="47" t="str">
        <f>IFERROR(_xlfn.XLOOKUP(Table6[[#This Row],[Suburb]],Table5[Travel Surcharge],Table5[$$]),"")</f>
        <v/>
      </c>
      <c r="AI2864" s="47"/>
      <c r="AJ2864" s="47">
        <f>AJ$7</f>
        <v>4400</v>
      </c>
    </row>
    <row r="2865" spans="1:36">
      <c r="A2865" s="374" t="s">
        <v>4355</v>
      </c>
      <c r="B2865" s="374">
        <v>1</v>
      </c>
      <c r="C2865" s="374" t="s">
        <v>1275</v>
      </c>
      <c r="D2865" s="375" t="str">
        <f t="shared" si="597"/>
        <v>Millstone Estate1</v>
      </c>
      <c r="E2865" s="375" t="s">
        <v>4322</v>
      </c>
      <c r="F2865" s="375" t="s">
        <v>4356</v>
      </c>
      <c r="G2865" s="375" t="s">
        <v>4357</v>
      </c>
      <c r="H2865" s="375" t="s">
        <v>4358</v>
      </c>
      <c r="I2865" s="63" t="s">
        <v>4359</v>
      </c>
      <c r="J2865" s="47">
        <f t="shared" ref="J2865:J2901" si="598">J$7</f>
        <v>3740</v>
      </c>
      <c r="K2865" s="46" t="s">
        <v>10735</v>
      </c>
      <c r="L2865" s="47"/>
      <c r="M2865" s="47"/>
      <c r="N2865" s="47"/>
      <c r="O2865" s="47"/>
      <c r="P2865" s="47"/>
      <c r="Q2865" s="47"/>
      <c r="R2865" s="47"/>
      <c r="S2865" s="47"/>
      <c r="T2865" s="47"/>
      <c r="U2865" s="47">
        <f t="shared" ref="U2865:U2872" si="599">U$2</f>
        <v>430</v>
      </c>
      <c r="V2865" s="47"/>
      <c r="W2865" s="47"/>
      <c r="X2865" s="47"/>
      <c r="Y2865" s="47"/>
      <c r="Z2865" s="47">
        <f t="shared" si="596"/>
        <v>4620</v>
      </c>
      <c r="AA2865" s="47"/>
      <c r="AB2865" s="47"/>
      <c r="AC2865" s="47"/>
      <c r="AD2865" s="47"/>
      <c r="AE2865" s="47"/>
      <c r="AF2865" s="47"/>
      <c r="AG2865" s="47"/>
      <c r="AH2865" s="47" t="str">
        <f>IFERROR(_xlfn.XLOOKUP(Table6[[#This Row],[Suburb]],Table5[Travel Surcharge],Table5[$$]),"")</f>
        <v/>
      </c>
      <c r="AI2865" s="47"/>
      <c r="AJ2865" s="47"/>
    </row>
    <row r="2866" spans="1:36">
      <c r="A2866" s="374" t="s">
        <v>4355</v>
      </c>
      <c r="B2866" s="374">
        <v>2</v>
      </c>
      <c r="C2866" s="374" t="s">
        <v>1275</v>
      </c>
      <c r="D2866" s="375" t="str">
        <f t="shared" si="597"/>
        <v>Millstone Estate2</v>
      </c>
      <c r="E2866" s="375" t="s">
        <v>4322</v>
      </c>
      <c r="F2866" s="375" t="s">
        <v>4356</v>
      </c>
      <c r="G2866" s="375" t="s">
        <v>4357</v>
      </c>
      <c r="H2866" s="375" t="s">
        <v>4358</v>
      </c>
      <c r="I2866" s="63" t="s">
        <v>4359</v>
      </c>
      <c r="J2866" s="47">
        <f t="shared" si="598"/>
        <v>3740</v>
      </c>
      <c r="K2866" s="46" t="s">
        <v>10735</v>
      </c>
      <c r="L2866" s="47"/>
      <c r="M2866" s="47"/>
      <c r="N2866" s="47"/>
      <c r="O2866" s="47"/>
      <c r="P2866" s="47"/>
      <c r="Q2866" s="47"/>
      <c r="R2866" s="47"/>
      <c r="S2866" s="47"/>
      <c r="T2866" s="47"/>
      <c r="U2866" s="47">
        <f t="shared" si="599"/>
        <v>430</v>
      </c>
      <c r="V2866" s="47"/>
      <c r="W2866" s="47"/>
      <c r="X2866" s="47"/>
      <c r="Y2866" s="47"/>
      <c r="Z2866" s="47">
        <f t="shared" si="596"/>
        <v>4620</v>
      </c>
      <c r="AA2866" s="47"/>
      <c r="AB2866" s="47"/>
      <c r="AC2866" s="47"/>
      <c r="AD2866" s="47"/>
      <c r="AE2866" s="47"/>
      <c r="AF2866" s="47"/>
      <c r="AG2866" s="47"/>
      <c r="AH2866" s="47" t="str">
        <f>IFERROR(_xlfn.XLOOKUP(Table6[[#This Row],[Suburb]],Table5[Travel Surcharge],Table5[$$]),"")</f>
        <v/>
      </c>
      <c r="AI2866" s="47"/>
      <c r="AJ2866" s="47"/>
    </row>
    <row r="2867" spans="1:36">
      <c r="A2867" s="374" t="s">
        <v>4355</v>
      </c>
      <c r="B2867" s="374">
        <v>3</v>
      </c>
      <c r="C2867" s="374" t="s">
        <v>1275</v>
      </c>
      <c r="D2867" s="375" t="str">
        <f t="shared" si="597"/>
        <v>Millstone Estate3</v>
      </c>
      <c r="E2867" s="375" t="s">
        <v>4360</v>
      </c>
      <c r="F2867" s="375" t="s">
        <v>4356</v>
      </c>
      <c r="G2867" s="375" t="s">
        <v>4357</v>
      </c>
      <c r="H2867" s="375" t="s">
        <v>4358</v>
      </c>
      <c r="I2867" s="63" t="s">
        <v>4359</v>
      </c>
      <c r="J2867" s="47">
        <f t="shared" si="598"/>
        <v>3740</v>
      </c>
      <c r="K2867" s="46" t="s">
        <v>10735</v>
      </c>
      <c r="L2867" s="47"/>
      <c r="M2867" s="47"/>
      <c r="N2867" s="47"/>
      <c r="O2867" s="47"/>
      <c r="P2867" s="47"/>
      <c r="Q2867" s="47"/>
      <c r="R2867" s="47"/>
      <c r="S2867" s="47"/>
      <c r="T2867" s="47"/>
      <c r="U2867" s="47">
        <f t="shared" si="599"/>
        <v>430</v>
      </c>
      <c r="V2867" s="47"/>
      <c r="W2867" s="47"/>
      <c r="X2867" s="47"/>
      <c r="Y2867" s="47"/>
      <c r="Z2867" s="47">
        <f t="shared" si="596"/>
        <v>4620</v>
      </c>
      <c r="AA2867" s="47"/>
      <c r="AB2867" s="47"/>
      <c r="AC2867" s="47"/>
      <c r="AD2867" s="47"/>
      <c r="AE2867" s="47"/>
      <c r="AF2867" s="47"/>
      <c r="AG2867" s="47"/>
      <c r="AH2867" s="47" t="str">
        <f>IFERROR(_xlfn.XLOOKUP(Table6[[#This Row],[Suburb]],Table5[Travel Surcharge],Table5[$$]),"")</f>
        <v/>
      </c>
      <c r="AI2867" s="47"/>
      <c r="AJ2867" s="47"/>
    </row>
    <row r="2868" spans="1:36">
      <c r="A2868" s="374" t="s">
        <v>4355</v>
      </c>
      <c r="B2868" s="374">
        <v>4</v>
      </c>
      <c r="C2868" s="374" t="s">
        <v>1275</v>
      </c>
      <c r="D2868" s="375" t="str">
        <f t="shared" si="597"/>
        <v>Millstone Estate4</v>
      </c>
      <c r="E2868" s="375" t="s">
        <v>4361</v>
      </c>
      <c r="F2868" s="375" t="s">
        <v>4356</v>
      </c>
      <c r="G2868" s="375" t="s">
        <v>4357</v>
      </c>
      <c r="H2868" s="375" t="s">
        <v>4358</v>
      </c>
      <c r="I2868" s="63" t="s">
        <v>4359</v>
      </c>
      <c r="J2868" s="47">
        <f t="shared" si="598"/>
        <v>3740</v>
      </c>
      <c r="K2868" s="46" t="s">
        <v>10735</v>
      </c>
      <c r="L2868" s="47"/>
      <c r="M2868" s="47"/>
      <c r="N2868" s="47"/>
      <c r="O2868" s="47"/>
      <c r="P2868" s="47"/>
      <c r="Q2868" s="47"/>
      <c r="R2868" s="47"/>
      <c r="S2868" s="47"/>
      <c r="T2868" s="47"/>
      <c r="U2868" s="47">
        <f t="shared" si="599"/>
        <v>430</v>
      </c>
      <c r="V2868" s="47"/>
      <c r="W2868" s="47"/>
      <c r="X2868" s="47"/>
      <c r="Y2868" s="47"/>
      <c r="Z2868" s="47">
        <f t="shared" si="596"/>
        <v>4620</v>
      </c>
      <c r="AA2868" s="47"/>
      <c r="AB2868" s="47"/>
      <c r="AC2868" s="47"/>
      <c r="AD2868" s="47"/>
      <c r="AE2868" s="47"/>
      <c r="AF2868" s="47"/>
      <c r="AG2868" s="47"/>
      <c r="AH2868" s="47" t="str">
        <f>IFERROR(_xlfn.XLOOKUP(Table6[[#This Row],[Suburb]],Table5[Travel Surcharge],Table5[$$]),"")</f>
        <v/>
      </c>
      <c r="AI2868" s="47"/>
      <c r="AJ2868" s="47"/>
    </row>
    <row r="2869" spans="1:36">
      <c r="A2869" s="374" t="s">
        <v>4355</v>
      </c>
      <c r="B2869" s="374">
        <v>5</v>
      </c>
      <c r="C2869" s="374" t="s">
        <v>1275</v>
      </c>
      <c r="D2869" s="375" t="str">
        <f t="shared" si="597"/>
        <v>Millstone Estate5</v>
      </c>
      <c r="E2869" s="375" t="s">
        <v>4362</v>
      </c>
      <c r="F2869" s="375" t="s">
        <v>4356</v>
      </c>
      <c r="G2869" s="375" t="s">
        <v>4357</v>
      </c>
      <c r="H2869" s="375" t="s">
        <v>4358</v>
      </c>
      <c r="I2869" s="63" t="s">
        <v>4359</v>
      </c>
      <c r="J2869" s="47">
        <f t="shared" si="598"/>
        <v>3740</v>
      </c>
      <c r="K2869" s="46" t="s">
        <v>10735</v>
      </c>
      <c r="L2869" s="47"/>
      <c r="M2869" s="47"/>
      <c r="N2869" s="47"/>
      <c r="O2869" s="47"/>
      <c r="P2869" s="47"/>
      <c r="Q2869" s="47"/>
      <c r="R2869" s="47"/>
      <c r="S2869" s="47"/>
      <c r="T2869" s="47"/>
      <c r="U2869" s="47">
        <f t="shared" si="599"/>
        <v>430</v>
      </c>
      <c r="V2869" s="47"/>
      <c r="W2869" s="47"/>
      <c r="X2869" s="47"/>
      <c r="Y2869" s="47"/>
      <c r="Z2869" s="47">
        <f t="shared" si="596"/>
        <v>4620</v>
      </c>
      <c r="AA2869" s="47"/>
      <c r="AB2869" s="47"/>
      <c r="AC2869" s="47"/>
      <c r="AD2869" s="47"/>
      <c r="AE2869" s="47"/>
      <c r="AF2869" s="47"/>
      <c r="AG2869" s="47"/>
      <c r="AH2869" s="47" t="str">
        <f>IFERROR(_xlfn.XLOOKUP(Table6[[#This Row],[Suburb]],Table5[Travel Surcharge],Table5[$$]),"")</f>
        <v/>
      </c>
      <c r="AI2869" s="47"/>
      <c r="AJ2869" s="47"/>
    </row>
    <row r="2870" spans="1:36">
      <c r="A2870" s="374" t="s">
        <v>4355</v>
      </c>
      <c r="B2870" s="374">
        <v>6</v>
      </c>
      <c r="C2870" s="374" t="s">
        <v>1275</v>
      </c>
      <c r="D2870" s="375" t="str">
        <f t="shared" si="597"/>
        <v>Millstone Estate6</v>
      </c>
      <c r="E2870" s="375" t="s">
        <v>4363</v>
      </c>
      <c r="F2870" s="375" t="s">
        <v>4356</v>
      </c>
      <c r="G2870" s="375" t="s">
        <v>4357</v>
      </c>
      <c r="H2870" s="375" t="s">
        <v>4358</v>
      </c>
      <c r="I2870" s="63" t="s">
        <v>4359</v>
      </c>
      <c r="J2870" s="47">
        <f t="shared" si="598"/>
        <v>3740</v>
      </c>
      <c r="K2870" s="46" t="s">
        <v>10735</v>
      </c>
      <c r="L2870" s="47"/>
      <c r="M2870" s="47"/>
      <c r="N2870" s="47"/>
      <c r="O2870" s="47"/>
      <c r="P2870" s="47"/>
      <c r="Q2870" s="47"/>
      <c r="R2870" s="47"/>
      <c r="S2870" s="47"/>
      <c r="T2870" s="47"/>
      <c r="U2870" s="47">
        <f t="shared" si="599"/>
        <v>430</v>
      </c>
      <c r="V2870" s="47"/>
      <c r="W2870" s="47"/>
      <c r="X2870" s="47"/>
      <c r="Y2870" s="47"/>
      <c r="Z2870" s="47">
        <f t="shared" si="596"/>
        <v>4620</v>
      </c>
      <c r="AA2870" s="47"/>
      <c r="AB2870" s="47"/>
      <c r="AC2870" s="47"/>
      <c r="AD2870" s="47"/>
      <c r="AE2870" s="47"/>
      <c r="AF2870" s="47"/>
      <c r="AG2870" s="47"/>
      <c r="AH2870" s="47" t="str">
        <f>IFERROR(_xlfn.XLOOKUP(Table6[[#This Row],[Suburb]],Table5[Travel Surcharge],Table5[$$]),"")</f>
        <v/>
      </c>
      <c r="AI2870" s="47"/>
      <c r="AJ2870" s="47"/>
    </row>
    <row r="2871" spans="1:36">
      <c r="A2871" s="374" t="s">
        <v>4355</v>
      </c>
      <c r="B2871" s="374" t="s">
        <v>1488</v>
      </c>
      <c r="C2871" s="374" t="s">
        <v>1275</v>
      </c>
      <c r="D2871" s="375" t="str">
        <f t="shared" si="597"/>
        <v>Millstone Estate7A</v>
      </c>
      <c r="E2871" s="375" t="s">
        <v>4364</v>
      </c>
      <c r="F2871" s="375" t="s">
        <v>4356</v>
      </c>
      <c r="G2871" s="375" t="s">
        <v>4357</v>
      </c>
      <c r="H2871" s="375" t="s">
        <v>4358</v>
      </c>
      <c r="I2871" s="63" t="s">
        <v>4359</v>
      </c>
      <c r="J2871" s="47">
        <f t="shared" si="598"/>
        <v>3740</v>
      </c>
      <c r="K2871" s="46" t="s">
        <v>10735</v>
      </c>
      <c r="L2871" s="47"/>
      <c r="M2871" s="47"/>
      <c r="N2871" s="47"/>
      <c r="O2871" s="47"/>
      <c r="P2871" s="47"/>
      <c r="Q2871" s="47"/>
      <c r="R2871" s="47"/>
      <c r="S2871" s="47"/>
      <c r="T2871" s="47"/>
      <c r="U2871" s="47">
        <f t="shared" si="599"/>
        <v>430</v>
      </c>
      <c r="V2871" s="47"/>
      <c r="W2871" s="47"/>
      <c r="X2871" s="47"/>
      <c r="Y2871" s="47"/>
      <c r="Z2871" s="47">
        <f t="shared" si="596"/>
        <v>4620</v>
      </c>
      <c r="AA2871" s="47"/>
      <c r="AB2871" s="47"/>
      <c r="AC2871" s="47"/>
      <c r="AD2871" s="47"/>
      <c r="AE2871" s="47"/>
      <c r="AF2871" s="47"/>
      <c r="AG2871" s="47"/>
      <c r="AH2871" s="47" t="str">
        <f>IFERROR(_xlfn.XLOOKUP(Table6[[#This Row],[Suburb]],Table5[Travel Surcharge],Table5[$$]),"")</f>
        <v/>
      </c>
      <c r="AI2871" s="47"/>
      <c r="AJ2871" s="47"/>
    </row>
    <row r="2872" spans="1:36">
      <c r="A2872" s="374" t="s">
        <v>4355</v>
      </c>
      <c r="B2872" s="374" t="s">
        <v>1630</v>
      </c>
      <c r="C2872" s="374" t="s">
        <v>1275</v>
      </c>
      <c r="D2872" s="375" t="str">
        <f t="shared" si="597"/>
        <v>Millstone Estate7B</v>
      </c>
      <c r="E2872" s="375" t="s">
        <v>4365</v>
      </c>
      <c r="F2872" s="375" t="s">
        <v>4356</v>
      </c>
      <c r="G2872" s="375" t="s">
        <v>4357</v>
      </c>
      <c r="H2872" s="375" t="s">
        <v>4358</v>
      </c>
      <c r="I2872" s="63" t="s">
        <v>4359</v>
      </c>
      <c r="J2872" s="47">
        <f t="shared" si="598"/>
        <v>3740</v>
      </c>
      <c r="K2872" s="46" t="s">
        <v>10735</v>
      </c>
      <c r="L2872" s="47"/>
      <c r="M2872" s="47"/>
      <c r="N2872" s="47"/>
      <c r="O2872" s="47"/>
      <c r="P2872" s="47"/>
      <c r="Q2872" s="47"/>
      <c r="R2872" s="47"/>
      <c r="S2872" s="47"/>
      <c r="T2872" s="47"/>
      <c r="U2872" s="47">
        <f t="shared" si="599"/>
        <v>430</v>
      </c>
      <c r="V2872" s="47"/>
      <c r="W2872" s="47"/>
      <c r="X2872" s="47"/>
      <c r="Y2872" s="47"/>
      <c r="Z2872" s="47">
        <f t="shared" si="596"/>
        <v>4620</v>
      </c>
      <c r="AA2872" s="47"/>
      <c r="AB2872" s="47"/>
      <c r="AC2872" s="47"/>
      <c r="AD2872" s="47"/>
      <c r="AE2872" s="47"/>
      <c r="AF2872" s="47"/>
      <c r="AG2872" s="47"/>
      <c r="AH2872" s="47" t="str">
        <f>IFERROR(_xlfn.XLOOKUP(Table6[[#This Row],[Suburb]],Table5[Travel Surcharge],Table5[$$]),"")</f>
        <v/>
      </c>
      <c r="AI2872" s="47"/>
      <c r="AJ2872" s="47"/>
    </row>
    <row r="2873" spans="1:36">
      <c r="A2873" s="374" t="s">
        <v>4366</v>
      </c>
      <c r="B2873" s="374">
        <v>1</v>
      </c>
      <c r="C2873" s="374" t="s">
        <v>593</v>
      </c>
      <c r="D2873" s="375" t="str">
        <f t="shared" si="597"/>
        <v>Minta Estate1</v>
      </c>
      <c r="E2873" s="375" t="s">
        <v>4367</v>
      </c>
      <c r="F2873" s="375" t="s">
        <v>4356</v>
      </c>
      <c r="G2873" s="375" t="s">
        <v>4357</v>
      </c>
      <c r="H2873" s="375" t="s">
        <v>4358</v>
      </c>
      <c r="I2873" s="63" t="s">
        <v>4359</v>
      </c>
      <c r="J2873" s="47">
        <f t="shared" si="598"/>
        <v>3740</v>
      </c>
      <c r="K2873" s="46" t="s">
        <v>7938</v>
      </c>
      <c r="L2873" s="47"/>
      <c r="M2873" s="47">
        <f t="shared" ref="M2873:M2898" si="600">M$7</f>
        <v>1430.0000000000002</v>
      </c>
      <c r="N2873" s="47" t="s">
        <v>2646</v>
      </c>
      <c r="O2873" s="47"/>
      <c r="P2873" s="47"/>
      <c r="Q2873" s="47"/>
      <c r="R2873" s="47"/>
      <c r="S2873" s="47" t="s">
        <v>463</v>
      </c>
      <c r="T2873" s="47"/>
      <c r="U2873" s="47"/>
      <c r="V2873" s="47" t="s">
        <v>10129</v>
      </c>
      <c r="W2873" s="47"/>
      <c r="X2873" s="47"/>
      <c r="Y2873" s="47"/>
      <c r="Z2873" s="47">
        <f t="shared" si="596"/>
        <v>4620</v>
      </c>
      <c r="AA2873" s="47"/>
      <c r="AB2873" s="47" t="s">
        <v>4368</v>
      </c>
      <c r="AC2873" s="47" t="s">
        <v>4369</v>
      </c>
      <c r="AD2873" s="47" t="s">
        <v>1</v>
      </c>
      <c r="AE2873" s="47"/>
      <c r="AF2873" s="47"/>
      <c r="AG2873" s="47"/>
      <c r="AH2873" s="47" t="str">
        <f>IFERROR(_xlfn.XLOOKUP(Table6[[#This Row],[Suburb]],Table5[Travel Surcharge],Table5[$$]),"")</f>
        <v/>
      </c>
      <c r="AI2873" s="47" t="s">
        <v>4370</v>
      </c>
      <c r="AJ2873" s="47"/>
    </row>
    <row r="2874" spans="1:36">
      <c r="A2874" s="374" t="s">
        <v>4366</v>
      </c>
      <c r="B2874" s="374">
        <v>2</v>
      </c>
      <c r="C2874" s="374" t="s">
        <v>593</v>
      </c>
      <c r="D2874" s="375" t="str">
        <f t="shared" si="597"/>
        <v>Minta Estate2</v>
      </c>
      <c r="E2874" s="375" t="s">
        <v>4371</v>
      </c>
      <c r="F2874" s="375" t="s">
        <v>4356</v>
      </c>
      <c r="G2874" s="375" t="s">
        <v>4357</v>
      </c>
      <c r="H2874" s="375" t="s">
        <v>4358</v>
      </c>
      <c r="I2874" s="63" t="s">
        <v>4359</v>
      </c>
      <c r="J2874" s="47">
        <f t="shared" si="598"/>
        <v>3740</v>
      </c>
      <c r="K2874" s="46" t="s">
        <v>7938</v>
      </c>
      <c r="L2874" s="47"/>
      <c r="M2874" s="47">
        <f t="shared" si="600"/>
        <v>1430.0000000000002</v>
      </c>
      <c r="N2874" s="47" t="s">
        <v>2646</v>
      </c>
      <c r="O2874" s="47"/>
      <c r="P2874" s="47"/>
      <c r="Q2874" s="47"/>
      <c r="R2874" s="47"/>
      <c r="S2874" s="47" t="s">
        <v>463</v>
      </c>
      <c r="T2874" s="47"/>
      <c r="U2874" s="47"/>
      <c r="V2874" s="47" t="s">
        <v>10129</v>
      </c>
      <c r="W2874" s="47"/>
      <c r="X2874" s="47"/>
      <c r="Y2874" s="47"/>
      <c r="Z2874" s="47">
        <f t="shared" si="596"/>
        <v>4620</v>
      </c>
      <c r="AA2874" s="47"/>
      <c r="AB2874" s="47" t="s">
        <v>4368</v>
      </c>
      <c r="AC2874" s="47" t="s">
        <v>4369</v>
      </c>
      <c r="AD2874" s="47" t="s">
        <v>1</v>
      </c>
      <c r="AE2874" s="47"/>
      <c r="AF2874" s="47"/>
      <c r="AG2874" s="47"/>
      <c r="AH2874" s="47" t="str">
        <f>IFERROR(_xlfn.XLOOKUP(Table6[[#This Row],[Suburb]],Table5[Travel Surcharge],Table5[$$]),"")</f>
        <v/>
      </c>
      <c r="AI2874" s="47" t="s">
        <v>4370</v>
      </c>
      <c r="AJ2874" s="47"/>
    </row>
    <row r="2875" spans="1:36">
      <c r="A2875" s="374" t="s">
        <v>4366</v>
      </c>
      <c r="B2875" s="374">
        <v>3</v>
      </c>
      <c r="C2875" s="374" t="s">
        <v>593</v>
      </c>
      <c r="D2875" s="375" t="str">
        <f t="shared" si="597"/>
        <v>Minta Estate3</v>
      </c>
      <c r="E2875" s="375" t="s">
        <v>4372</v>
      </c>
      <c r="F2875" s="375" t="s">
        <v>4356</v>
      </c>
      <c r="G2875" s="375" t="s">
        <v>4357</v>
      </c>
      <c r="H2875" s="375" t="s">
        <v>4358</v>
      </c>
      <c r="I2875" s="63" t="s">
        <v>4359</v>
      </c>
      <c r="J2875" s="47">
        <f t="shared" si="598"/>
        <v>3740</v>
      </c>
      <c r="K2875" s="46" t="s">
        <v>7938</v>
      </c>
      <c r="L2875" s="47"/>
      <c r="M2875" s="47">
        <f t="shared" si="600"/>
        <v>1430.0000000000002</v>
      </c>
      <c r="N2875" s="47" t="s">
        <v>2646</v>
      </c>
      <c r="O2875" s="47"/>
      <c r="P2875" s="47"/>
      <c r="Q2875" s="47"/>
      <c r="R2875" s="47"/>
      <c r="S2875" s="47" t="s">
        <v>463</v>
      </c>
      <c r="T2875" s="47"/>
      <c r="U2875" s="47"/>
      <c r="V2875" s="47" t="s">
        <v>10129</v>
      </c>
      <c r="W2875" s="47"/>
      <c r="X2875" s="47"/>
      <c r="Y2875" s="47"/>
      <c r="Z2875" s="47">
        <f t="shared" si="596"/>
        <v>4620</v>
      </c>
      <c r="AA2875" s="47"/>
      <c r="AB2875" s="47" t="s">
        <v>4368</v>
      </c>
      <c r="AC2875" s="47" t="s">
        <v>4369</v>
      </c>
      <c r="AD2875" s="47" t="s">
        <v>1</v>
      </c>
      <c r="AE2875" s="47"/>
      <c r="AF2875" s="47"/>
      <c r="AG2875" s="47"/>
      <c r="AH2875" s="47" t="str">
        <f>IFERROR(_xlfn.XLOOKUP(Table6[[#This Row],[Suburb]],Table5[Travel Surcharge],Table5[$$]),"")</f>
        <v/>
      </c>
      <c r="AI2875" s="47" t="s">
        <v>4370</v>
      </c>
      <c r="AJ2875" s="47"/>
    </row>
    <row r="2876" spans="1:36">
      <c r="A2876" s="374" t="s">
        <v>4366</v>
      </c>
      <c r="B2876" s="374">
        <v>5</v>
      </c>
      <c r="C2876" s="374" t="s">
        <v>593</v>
      </c>
      <c r="D2876" s="375" t="str">
        <f t="shared" si="597"/>
        <v>Minta Estate5</v>
      </c>
      <c r="E2876" s="375" t="s">
        <v>4373</v>
      </c>
      <c r="F2876" s="375" t="s">
        <v>4356</v>
      </c>
      <c r="G2876" s="375" t="s">
        <v>4357</v>
      </c>
      <c r="H2876" s="375" t="s">
        <v>4358</v>
      </c>
      <c r="I2876" s="63" t="s">
        <v>4359</v>
      </c>
      <c r="J2876" s="47">
        <f t="shared" si="598"/>
        <v>3740</v>
      </c>
      <c r="K2876" s="46" t="s">
        <v>7938</v>
      </c>
      <c r="L2876" s="47"/>
      <c r="M2876" s="47">
        <f t="shared" si="600"/>
        <v>1430.0000000000002</v>
      </c>
      <c r="N2876" s="47" t="s">
        <v>2646</v>
      </c>
      <c r="O2876" s="47"/>
      <c r="P2876" s="47"/>
      <c r="Q2876" s="47"/>
      <c r="R2876" s="47"/>
      <c r="S2876" s="47" t="s">
        <v>463</v>
      </c>
      <c r="T2876" s="47"/>
      <c r="U2876" s="47"/>
      <c r="V2876" s="47" t="s">
        <v>10129</v>
      </c>
      <c r="W2876" s="47"/>
      <c r="X2876" s="47"/>
      <c r="Y2876" s="47"/>
      <c r="Z2876" s="47">
        <f t="shared" si="596"/>
        <v>4620</v>
      </c>
      <c r="AA2876" s="47"/>
      <c r="AB2876" s="47" t="s">
        <v>4368</v>
      </c>
      <c r="AC2876" s="47" t="s">
        <v>4369</v>
      </c>
      <c r="AD2876" s="47" t="s">
        <v>1</v>
      </c>
      <c r="AE2876" s="47"/>
      <c r="AF2876" s="47"/>
      <c r="AG2876" s="47"/>
      <c r="AH2876" s="47" t="str">
        <f>IFERROR(_xlfn.XLOOKUP(Table6[[#This Row],[Suburb]],Table5[Travel Surcharge],Table5[$$]),"")</f>
        <v/>
      </c>
      <c r="AI2876" s="47" t="s">
        <v>4370</v>
      </c>
      <c r="AJ2876" s="47"/>
    </row>
    <row r="2877" spans="1:36">
      <c r="A2877" s="374" t="s">
        <v>4366</v>
      </c>
      <c r="B2877" s="374">
        <v>6</v>
      </c>
      <c r="C2877" s="374" t="s">
        <v>593</v>
      </c>
      <c r="D2877" s="375" t="str">
        <f t="shared" si="597"/>
        <v>Minta Estate6</v>
      </c>
      <c r="E2877" s="375" t="s">
        <v>4374</v>
      </c>
      <c r="F2877" s="375" t="s">
        <v>4356</v>
      </c>
      <c r="G2877" s="375" t="s">
        <v>4357</v>
      </c>
      <c r="H2877" s="375" t="s">
        <v>4358</v>
      </c>
      <c r="I2877" s="63" t="s">
        <v>4359</v>
      </c>
      <c r="J2877" s="47">
        <f t="shared" si="598"/>
        <v>3740</v>
      </c>
      <c r="K2877" s="46" t="s">
        <v>7938</v>
      </c>
      <c r="L2877" s="47"/>
      <c r="M2877" s="47">
        <f t="shared" si="600"/>
        <v>1430.0000000000002</v>
      </c>
      <c r="N2877" s="47" t="s">
        <v>2646</v>
      </c>
      <c r="O2877" s="47"/>
      <c r="P2877" s="47"/>
      <c r="Q2877" s="47"/>
      <c r="R2877" s="47"/>
      <c r="S2877" s="47" t="s">
        <v>463</v>
      </c>
      <c r="T2877" s="47"/>
      <c r="U2877" s="47"/>
      <c r="V2877" s="47" t="s">
        <v>10129</v>
      </c>
      <c r="W2877" s="47"/>
      <c r="X2877" s="47"/>
      <c r="Y2877" s="47"/>
      <c r="Z2877" s="47">
        <f t="shared" si="596"/>
        <v>4620</v>
      </c>
      <c r="AA2877" s="47"/>
      <c r="AB2877" s="47" t="s">
        <v>4368</v>
      </c>
      <c r="AC2877" s="47" t="s">
        <v>4369</v>
      </c>
      <c r="AD2877" s="47" t="s">
        <v>1</v>
      </c>
      <c r="AE2877" s="47"/>
      <c r="AF2877" s="47"/>
      <c r="AG2877" s="47"/>
      <c r="AH2877" s="47" t="str">
        <f>IFERROR(_xlfn.XLOOKUP(Table6[[#This Row],[Suburb]],Table5[Travel Surcharge],Table5[$$]),"")</f>
        <v/>
      </c>
      <c r="AI2877" s="47" t="s">
        <v>4370</v>
      </c>
      <c r="AJ2877" s="47"/>
    </row>
    <row r="2878" spans="1:36">
      <c r="A2878" s="374" t="s">
        <v>4366</v>
      </c>
      <c r="B2878" s="374">
        <v>7</v>
      </c>
      <c r="C2878" s="374" t="s">
        <v>593</v>
      </c>
      <c r="D2878" s="375" t="str">
        <f t="shared" si="597"/>
        <v>Minta Estate7</v>
      </c>
      <c r="E2878" s="375" t="s">
        <v>4376</v>
      </c>
      <c r="F2878" s="375" t="s">
        <v>4356</v>
      </c>
      <c r="G2878" s="375" t="s">
        <v>4357</v>
      </c>
      <c r="H2878" s="375" t="s">
        <v>4358</v>
      </c>
      <c r="I2878" s="63" t="s">
        <v>4359</v>
      </c>
      <c r="J2878" s="47">
        <f t="shared" si="598"/>
        <v>3740</v>
      </c>
      <c r="K2878" s="46" t="s">
        <v>7938</v>
      </c>
      <c r="L2878" s="47"/>
      <c r="M2878" s="47">
        <f t="shared" si="600"/>
        <v>1430.0000000000002</v>
      </c>
      <c r="N2878" s="47" t="s">
        <v>2646</v>
      </c>
      <c r="O2878" s="47"/>
      <c r="P2878" s="47"/>
      <c r="Q2878" s="47"/>
      <c r="R2878" s="47"/>
      <c r="S2878" s="47" t="s">
        <v>463</v>
      </c>
      <c r="T2878" s="47"/>
      <c r="U2878" s="47"/>
      <c r="V2878" s="47" t="s">
        <v>10129</v>
      </c>
      <c r="W2878" s="47"/>
      <c r="X2878" s="47"/>
      <c r="Y2878" s="47"/>
      <c r="Z2878" s="47">
        <f t="shared" si="596"/>
        <v>4620</v>
      </c>
      <c r="AA2878" s="47"/>
      <c r="AB2878" s="47" t="s">
        <v>4368</v>
      </c>
      <c r="AC2878" s="47" t="s">
        <v>4369</v>
      </c>
      <c r="AD2878" s="47" t="s">
        <v>1</v>
      </c>
      <c r="AE2878" s="47"/>
      <c r="AF2878" s="47"/>
      <c r="AG2878" s="47"/>
      <c r="AH2878" s="47" t="str">
        <f>IFERROR(_xlfn.XLOOKUP(Table6[[#This Row],[Suburb]],Table5[Travel Surcharge],Table5[$$]),"")</f>
        <v/>
      </c>
      <c r="AI2878" s="47" t="s">
        <v>4370</v>
      </c>
      <c r="AJ2878" s="47"/>
    </row>
    <row r="2879" spans="1:36">
      <c r="A2879" s="374" t="s">
        <v>4366</v>
      </c>
      <c r="B2879" s="374">
        <v>8</v>
      </c>
      <c r="C2879" s="374" t="s">
        <v>593</v>
      </c>
      <c r="D2879" s="375" t="str">
        <f t="shared" si="597"/>
        <v>Minta Estate8</v>
      </c>
      <c r="E2879" s="375" t="s">
        <v>4377</v>
      </c>
      <c r="F2879" s="375" t="s">
        <v>4356</v>
      </c>
      <c r="G2879" s="375" t="s">
        <v>4357</v>
      </c>
      <c r="H2879" s="375" t="s">
        <v>4358</v>
      </c>
      <c r="I2879" s="63" t="s">
        <v>4359</v>
      </c>
      <c r="J2879" s="47">
        <f t="shared" si="598"/>
        <v>3740</v>
      </c>
      <c r="K2879" s="46" t="s">
        <v>7938</v>
      </c>
      <c r="L2879" s="47"/>
      <c r="M2879" s="47">
        <f t="shared" si="600"/>
        <v>1430.0000000000002</v>
      </c>
      <c r="N2879" s="47" t="s">
        <v>2646</v>
      </c>
      <c r="O2879" s="47"/>
      <c r="P2879" s="47"/>
      <c r="Q2879" s="47"/>
      <c r="R2879" s="47"/>
      <c r="S2879" s="47" t="s">
        <v>463</v>
      </c>
      <c r="T2879" s="47"/>
      <c r="U2879" s="47"/>
      <c r="V2879" s="47" t="s">
        <v>10129</v>
      </c>
      <c r="W2879" s="47"/>
      <c r="X2879" s="47"/>
      <c r="Y2879" s="47"/>
      <c r="Z2879" s="47">
        <f t="shared" si="596"/>
        <v>4620</v>
      </c>
      <c r="AA2879" s="47"/>
      <c r="AB2879" s="47" t="s">
        <v>4368</v>
      </c>
      <c r="AC2879" s="47" t="s">
        <v>4369</v>
      </c>
      <c r="AD2879" s="47" t="s">
        <v>1</v>
      </c>
      <c r="AE2879" s="47"/>
      <c r="AF2879" s="47"/>
      <c r="AG2879" s="47"/>
      <c r="AH2879" s="47" t="str">
        <f>IFERROR(_xlfn.XLOOKUP(Table6[[#This Row],[Suburb]],Table5[Travel Surcharge],Table5[$$]),"")</f>
        <v/>
      </c>
      <c r="AI2879" s="47" t="s">
        <v>4370</v>
      </c>
      <c r="AJ2879" s="47"/>
    </row>
    <row r="2880" spans="1:36">
      <c r="A2880" s="374" t="s">
        <v>4366</v>
      </c>
      <c r="B2880" s="374">
        <v>9</v>
      </c>
      <c r="C2880" s="374" t="s">
        <v>593</v>
      </c>
      <c r="D2880" s="375" t="str">
        <f t="shared" si="597"/>
        <v>Minta Estate9</v>
      </c>
      <c r="E2880" s="375" t="s">
        <v>7382</v>
      </c>
      <c r="F2880" s="375" t="s">
        <v>4356</v>
      </c>
      <c r="G2880" s="375" t="s">
        <v>4357</v>
      </c>
      <c r="H2880" s="375" t="s">
        <v>4358</v>
      </c>
      <c r="I2880" s="63" t="s">
        <v>4359</v>
      </c>
      <c r="J2880" s="47">
        <f t="shared" si="598"/>
        <v>3740</v>
      </c>
      <c r="K2880" s="46" t="s">
        <v>7938</v>
      </c>
      <c r="L2880" s="47">
        <f>L$7</f>
        <v>1210</v>
      </c>
      <c r="M2880" s="47">
        <f t="shared" si="600"/>
        <v>1430.0000000000002</v>
      </c>
      <c r="N2880" s="47" t="s">
        <v>2646</v>
      </c>
      <c r="O2880" s="47"/>
      <c r="P2880" s="47"/>
      <c r="Q2880" s="47"/>
      <c r="R2880" s="47"/>
      <c r="S2880" s="47" t="s">
        <v>463</v>
      </c>
      <c r="T2880" s="47"/>
      <c r="U2880" s="47"/>
      <c r="V2880" s="47" t="s">
        <v>10129</v>
      </c>
      <c r="W2880" s="47"/>
      <c r="X2880" s="47"/>
      <c r="Y2880" s="47"/>
      <c r="Z2880" s="47">
        <f t="shared" si="596"/>
        <v>4620</v>
      </c>
      <c r="AA2880" s="47"/>
      <c r="AB2880" s="47" t="s">
        <v>4368</v>
      </c>
      <c r="AC2880" s="47" t="s">
        <v>4369</v>
      </c>
      <c r="AD2880" s="47" t="s">
        <v>1</v>
      </c>
      <c r="AE2880" s="47"/>
      <c r="AF2880" s="47"/>
      <c r="AG2880" s="47"/>
      <c r="AH2880" s="47" t="str">
        <f>IFERROR(_xlfn.XLOOKUP(Table6[[#This Row],[Suburb]],Table5[Travel Surcharge],Table5[$$]),"")</f>
        <v/>
      </c>
      <c r="AI2880" s="47" t="s">
        <v>7409</v>
      </c>
      <c r="AJ2880" s="47"/>
    </row>
    <row r="2881" spans="1:36">
      <c r="A2881" s="374" t="s">
        <v>4366</v>
      </c>
      <c r="B2881" s="374" t="s">
        <v>710</v>
      </c>
      <c r="C2881" s="374" t="s">
        <v>593</v>
      </c>
      <c r="D2881" s="375" t="str">
        <f t="shared" si="597"/>
        <v>Minta Estate9B</v>
      </c>
      <c r="E2881" s="375" t="s">
        <v>8500</v>
      </c>
      <c r="F2881" s="375" t="s">
        <v>4356</v>
      </c>
      <c r="G2881" s="375" t="s">
        <v>4357</v>
      </c>
      <c r="H2881" s="375" t="s">
        <v>4358</v>
      </c>
      <c r="I2881" s="63" t="s">
        <v>4359</v>
      </c>
      <c r="J2881" s="47">
        <f t="shared" si="598"/>
        <v>3740</v>
      </c>
      <c r="K2881" s="46" t="s">
        <v>7938</v>
      </c>
      <c r="L2881" s="47">
        <f>L$7</f>
        <v>1210</v>
      </c>
      <c r="M2881" s="47">
        <f t="shared" si="600"/>
        <v>1430.0000000000002</v>
      </c>
      <c r="N2881" s="47" t="s">
        <v>2646</v>
      </c>
      <c r="O2881" s="47"/>
      <c r="P2881" s="47"/>
      <c r="Q2881" s="47"/>
      <c r="R2881" s="47"/>
      <c r="S2881" s="47" t="s">
        <v>463</v>
      </c>
      <c r="T2881" s="47"/>
      <c r="U2881" s="47"/>
      <c r="V2881" s="47" t="s">
        <v>10129</v>
      </c>
      <c r="W2881" s="47"/>
      <c r="X2881" s="47"/>
      <c r="Y2881" s="47"/>
      <c r="Z2881" s="47">
        <f t="shared" si="596"/>
        <v>4620</v>
      </c>
      <c r="AA2881" s="47"/>
      <c r="AB2881" s="47" t="s">
        <v>4368</v>
      </c>
      <c r="AC2881" s="47" t="s">
        <v>4369</v>
      </c>
      <c r="AD2881" s="47" t="s">
        <v>1</v>
      </c>
      <c r="AE2881" s="47"/>
      <c r="AF2881" s="47"/>
      <c r="AG2881" s="47"/>
      <c r="AH2881" s="47" t="str">
        <f>IFERROR(_xlfn.XLOOKUP(Table6[[#This Row],[Suburb]],Table5[Travel Surcharge],Table5[$$]),"")</f>
        <v/>
      </c>
      <c r="AI2881" s="47" t="s">
        <v>7409</v>
      </c>
      <c r="AJ2881" s="47"/>
    </row>
    <row r="2882" spans="1:36">
      <c r="A2882" s="374" t="s">
        <v>4366</v>
      </c>
      <c r="B2882" s="374">
        <v>15</v>
      </c>
      <c r="C2882" s="374" t="s">
        <v>593</v>
      </c>
      <c r="D2882" s="375" t="str">
        <f t="shared" si="597"/>
        <v>Minta Estate15</v>
      </c>
      <c r="E2882" s="375" t="s">
        <v>4378</v>
      </c>
      <c r="F2882" s="375" t="s">
        <v>4356</v>
      </c>
      <c r="G2882" s="375" t="s">
        <v>4357</v>
      </c>
      <c r="H2882" s="375" t="s">
        <v>4358</v>
      </c>
      <c r="I2882" s="63" t="s">
        <v>4359</v>
      </c>
      <c r="J2882" s="47">
        <f t="shared" si="598"/>
        <v>3740</v>
      </c>
      <c r="K2882" s="46" t="s">
        <v>7938</v>
      </c>
      <c r="L2882" s="47"/>
      <c r="M2882" s="47">
        <f t="shared" si="600"/>
        <v>1430.0000000000002</v>
      </c>
      <c r="N2882" s="47" t="s">
        <v>2646</v>
      </c>
      <c r="O2882" s="47"/>
      <c r="P2882" s="47"/>
      <c r="Q2882" s="47"/>
      <c r="R2882" s="47"/>
      <c r="S2882" s="47" t="s">
        <v>463</v>
      </c>
      <c r="T2882" s="47"/>
      <c r="U2882" s="47"/>
      <c r="V2882" s="47" t="s">
        <v>10129</v>
      </c>
      <c r="W2882" s="47"/>
      <c r="X2882" s="47"/>
      <c r="Y2882" s="47"/>
      <c r="Z2882" s="47">
        <f t="shared" si="596"/>
        <v>4620</v>
      </c>
      <c r="AA2882" s="47"/>
      <c r="AB2882" s="47" t="s">
        <v>4368</v>
      </c>
      <c r="AC2882" s="47" t="s">
        <v>4369</v>
      </c>
      <c r="AD2882" s="47" t="s">
        <v>1</v>
      </c>
      <c r="AE2882" s="47"/>
      <c r="AF2882" s="47"/>
      <c r="AG2882" s="47"/>
      <c r="AH2882" s="47" t="str">
        <f>IFERROR(_xlfn.XLOOKUP(Table6[[#This Row],[Suburb]],Table5[Travel Surcharge],Table5[$$]),"")</f>
        <v/>
      </c>
      <c r="AI2882" s="47" t="s">
        <v>4370</v>
      </c>
      <c r="AJ2882" s="47"/>
    </row>
    <row r="2883" spans="1:36">
      <c r="A2883" s="374" t="s">
        <v>4366</v>
      </c>
      <c r="B2883" s="374">
        <v>17</v>
      </c>
      <c r="C2883" s="374" t="s">
        <v>593</v>
      </c>
      <c r="D2883" s="375" t="str">
        <f t="shared" si="597"/>
        <v>Minta Estate17</v>
      </c>
      <c r="E2883" s="375" t="s">
        <v>4379</v>
      </c>
      <c r="F2883" s="375" t="s">
        <v>4356</v>
      </c>
      <c r="G2883" s="375" t="s">
        <v>4357</v>
      </c>
      <c r="H2883" s="375" t="s">
        <v>4358</v>
      </c>
      <c r="I2883" s="63" t="s">
        <v>4359</v>
      </c>
      <c r="J2883" s="47">
        <f t="shared" si="598"/>
        <v>3740</v>
      </c>
      <c r="K2883" s="46" t="s">
        <v>7938</v>
      </c>
      <c r="L2883" s="47"/>
      <c r="M2883" s="47">
        <f t="shared" si="600"/>
        <v>1430.0000000000002</v>
      </c>
      <c r="N2883" s="47" t="s">
        <v>2646</v>
      </c>
      <c r="O2883" s="47"/>
      <c r="P2883" s="47"/>
      <c r="Q2883" s="47"/>
      <c r="R2883" s="47"/>
      <c r="S2883" s="47" t="s">
        <v>463</v>
      </c>
      <c r="T2883" s="47"/>
      <c r="U2883" s="47"/>
      <c r="V2883" s="47" t="s">
        <v>10129</v>
      </c>
      <c r="W2883" s="47"/>
      <c r="X2883" s="47"/>
      <c r="Y2883" s="47"/>
      <c r="Z2883" s="47">
        <f t="shared" si="596"/>
        <v>4620</v>
      </c>
      <c r="AA2883" s="47"/>
      <c r="AB2883" s="47" t="s">
        <v>4368</v>
      </c>
      <c r="AC2883" s="47" t="s">
        <v>4369</v>
      </c>
      <c r="AD2883" s="47" t="s">
        <v>1</v>
      </c>
      <c r="AE2883" s="47"/>
      <c r="AF2883" s="47"/>
      <c r="AG2883" s="47"/>
      <c r="AH2883" s="47" t="str">
        <f>IFERROR(_xlfn.XLOOKUP(Table6[[#This Row],[Suburb]],Table5[Travel Surcharge],Table5[$$]),"")</f>
        <v/>
      </c>
      <c r="AI2883" s="47" t="s">
        <v>4370</v>
      </c>
      <c r="AJ2883" s="47"/>
    </row>
    <row r="2884" spans="1:36">
      <c r="A2884" s="374" t="s">
        <v>4366</v>
      </c>
      <c r="B2884" s="374">
        <v>18</v>
      </c>
      <c r="C2884" s="374" t="s">
        <v>593</v>
      </c>
      <c r="D2884" s="375" t="str">
        <f t="shared" si="597"/>
        <v>Minta Estate18</v>
      </c>
      <c r="E2884" s="375" t="s">
        <v>4380</v>
      </c>
      <c r="F2884" s="375" t="s">
        <v>4356</v>
      </c>
      <c r="G2884" s="375" t="s">
        <v>4357</v>
      </c>
      <c r="H2884" s="375" t="s">
        <v>4358</v>
      </c>
      <c r="I2884" s="63" t="s">
        <v>4359</v>
      </c>
      <c r="J2884" s="47">
        <f t="shared" si="598"/>
        <v>3740</v>
      </c>
      <c r="K2884" s="46" t="s">
        <v>7938</v>
      </c>
      <c r="L2884" s="47"/>
      <c r="M2884" s="47">
        <f t="shared" si="600"/>
        <v>1430.0000000000002</v>
      </c>
      <c r="N2884" s="47" t="s">
        <v>2646</v>
      </c>
      <c r="O2884" s="47"/>
      <c r="P2884" s="47"/>
      <c r="Q2884" s="47"/>
      <c r="R2884" s="47"/>
      <c r="S2884" s="47" t="s">
        <v>463</v>
      </c>
      <c r="T2884" s="47"/>
      <c r="U2884" s="47"/>
      <c r="V2884" s="47" t="s">
        <v>10129</v>
      </c>
      <c r="W2884" s="47"/>
      <c r="X2884" s="47"/>
      <c r="Y2884" s="47"/>
      <c r="Z2884" s="47">
        <f t="shared" si="596"/>
        <v>4620</v>
      </c>
      <c r="AA2884" s="47"/>
      <c r="AB2884" s="47" t="s">
        <v>4368</v>
      </c>
      <c r="AC2884" s="47" t="s">
        <v>4369</v>
      </c>
      <c r="AD2884" s="47" t="s">
        <v>1</v>
      </c>
      <c r="AE2884" s="47"/>
      <c r="AF2884" s="47"/>
      <c r="AG2884" s="47"/>
      <c r="AH2884" s="47" t="str">
        <f>IFERROR(_xlfn.XLOOKUP(Table6[[#This Row],[Suburb]],Table5[Travel Surcharge],Table5[$$]),"")</f>
        <v/>
      </c>
      <c r="AI2884" s="47" t="s">
        <v>4370</v>
      </c>
      <c r="AJ2884" s="47"/>
    </row>
    <row r="2885" spans="1:36">
      <c r="A2885" s="374" t="s">
        <v>4366</v>
      </c>
      <c r="B2885" s="374">
        <v>19</v>
      </c>
      <c r="C2885" s="374" t="s">
        <v>593</v>
      </c>
      <c r="D2885" s="375" t="str">
        <f t="shared" si="597"/>
        <v>Minta Estate19</v>
      </c>
      <c r="E2885" s="375" t="s">
        <v>8499</v>
      </c>
      <c r="F2885" s="375" t="s">
        <v>4356</v>
      </c>
      <c r="G2885" s="375" t="s">
        <v>4357</v>
      </c>
      <c r="H2885" s="375" t="s">
        <v>4358</v>
      </c>
      <c r="I2885" s="63" t="s">
        <v>4359</v>
      </c>
      <c r="J2885" s="47">
        <f t="shared" si="598"/>
        <v>3740</v>
      </c>
      <c r="K2885" s="46" t="s">
        <v>7938</v>
      </c>
      <c r="L2885" s="47"/>
      <c r="M2885" s="47">
        <f t="shared" si="600"/>
        <v>1430.0000000000002</v>
      </c>
      <c r="N2885" s="47" t="s">
        <v>2646</v>
      </c>
      <c r="O2885" s="47"/>
      <c r="P2885" s="47"/>
      <c r="Q2885" s="47"/>
      <c r="R2885" s="47"/>
      <c r="S2885" s="47" t="s">
        <v>463</v>
      </c>
      <c r="T2885" s="47"/>
      <c r="U2885" s="47"/>
      <c r="V2885" s="47" t="s">
        <v>10129</v>
      </c>
      <c r="W2885" s="47"/>
      <c r="X2885" s="47"/>
      <c r="Y2885" s="47"/>
      <c r="Z2885" s="47">
        <f t="shared" si="596"/>
        <v>4620</v>
      </c>
      <c r="AA2885" s="47"/>
      <c r="AB2885" s="47" t="s">
        <v>4368</v>
      </c>
      <c r="AC2885" s="47" t="s">
        <v>4369</v>
      </c>
      <c r="AD2885" s="47" t="s">
        <v>1</v>
      </c>
      <c r="AE2885" s="47"/>
      <c r="AF2885" s="47"/>
      <c r="AG2885" s="47"/>
      <c r="AH2885" s="47" t="str">
        <f>IFERROR(_xlfn.XLOOKUP(Table6[[#This Row],[Suburb]],Table5[Travel Surcharge],Table5[$$]),"")</f>
        <v/>
      </c>
      <c r="AI2885" s="47" t="s">
        <v>4370</v>
      </c>
      <c r="AJ2885" s="47"/>
    </row>
    <row r="2886" spans="1:36">
      <c r="A2886" s="374" t="s">
        <v>4366</v>
      </c>
      <c r="B2886" s="374">
        <v>20</v>
      </c>
      <c r="C2886" s="374" t="s">
        <v>593</v>
      </c>
      <c r="D2886" s="375" t="str">
        <f t="shared" si="597"/>
        <v>Minta Estate20</v>
      </c>
      <c r="E2886" s="375" t="s">
        <v>4384</v>
      </c>
      <c r="F2886" s="375" t="s">
        <v>4356</v>
      </c>
      <c r="G2886" s="375" t="s">
        <v>4357</v>
      </c>
      <c r="H2886" s="375" t="s">
        <v>4358</v>
      </c>
      <c r="I2886" s="63" t="s">
        <v>4359</v>
      </c>
      <c r="J2886" s="47">
        <f t="shared" si="598"/>
        <v>3740</v>
      </c>
      <c r="K2886" s="46" t="s">
        <v>7938</v>
      </c>
      <c r="L2886" s="47"/>
      <c r="M2886" s="47">
        <f t="shared" si="600"/>
        <v>1430.0000000000002</v>
      </c>
      <c r="N2886" s="47" t="s">
        <v>2646</v>
      </c>
      <c r="O2886" s="47"/>
      <c r="P2886" s="47"/>
      <c r="Q2886" s="47"/>
      <c r="R2886" s="47"/>
      <c r="S2886" s="47" t="s">
        <v>463</v>
      </c>
      <c r="T2886" s="47"/>
      <c r="U2886" s="47"/>
      <c r="V2886" s="47" t="s">
        <v>10129</v>
      </c>
      <c r="W2886" s="47"/>
      <c r="X2886" s="47"/>
      <c r="Y2886" s="47"/>
      <c r="Z2886" s="47">
        <f t="shared" si="596"/>
        <v>4620</v>
      </c>
      <c r="AA2886" s="47"/>
      <c r="AB2886" s="47" t="s">
        <v>4368</v>
      </c>
      <c r="AC2886" s="47" t="s">
        <v>4369</v>
      </c>
      <c r="AD2886" s="47" t="s">
        <v>1</v>
      </c>
      <c r="AE2886" s="47"/>
      <c r="AF2886" s="47"/>
      <c r="AG2886" s="47"/>
      <c r="AH2886" s="47" t="str">
        <f>IFERROR(_xlfn.XLOOKUP(Table6[[#This Row],[Suburb]],Table5[Travel Surcharge],Table5[$$]),"")</f>
        <v/>
      </c>
      <c r="AI2886" s="47" t="s">
        <v>4370</v>
      </c>
      <c r="AJ2886" s="47"/>
    </row>
    <row r="2887" spans="1:36">
      <c r="A2887" s="374" t="s">
        <v>4366</v>
      </c>
      <c r="B2887" s="374">
        <v>21</v>
      </c>
      <c r="C2887" s="374" t="s">
        <v>593</v>
      </c>
      <c r="D2887" s="375" t="str">
        <f t="shared" si="597"/>
        <v>Minta Estate21</v>
      </c>
      <c r="E2887" s="375" t="s">
        <v>4385</v>
      </c>
      <c r="F2887" s="375" t="s">
        <v>4356</v>
      </c>
      <c r="G2887" s="375" t="s">
        <v>4357</v>
      </c>
      <c r="H2887" s="375" t="s">
        <v>4358</v>
      </c>
      <c r="I2887" s="63" t="s">
        <v>4359</v>
      </c>
      <c r="J2887" s="47">
        <f t="shared" si="598"/>
        <v>3740</v>
      </c>
      <c r="K2887" s="46" t="s">
        <v>7938</v>
      </c>
      <c r="L2887" s="47"/>
      <c r="M2887" s="47">
        <f t="shared" si="600"/>
        <v>1430.0000000000002</v>
      </c>
      <c r="N2887" s="47" t="s">
        <v>2646</v>
      </c>
      <c r="O2887" s="47"/>
      <c r="P2887" s="47"/>
      <c r="Q2887" s="47"/>
      <c r="R2887" s="47"/>
      <c r="S2887" s="47" t="s">
        <v>463</v>
      </c>
      <c r="T2887" s="47"/>
      <c r="U2887" s="47"/>
      <c r="V2887" s="47" t="s">
        <v>10129</v>
      </c>
      <c r="W2887" s="47"/>
      <c r="X2887" s="47"/>
      <c r="Y2887" s="47"/>
      <c r="Z2887" s="47">
        <f t="shared" si="596"/>
        <v>4620</v>
      </c>
      <c r="AA2887" s="47"/>
      <c r="AB2887" s="47" t="s">
        <v>4368</v>
      </c>
      <c r="AC2887" s="47" t="s">
        <v>4369</v>
      </c>
      <c r="AD2887" s="47" t="s">
        <v>1</v>
      </c>
      <c r="AE2887" s="47"/>
      <c r="AF2887" s="47"/>
      <c r="AG2887" s="47"/>
      <c r="AH2887" s="47" t="str">
        <f>IFERROR(_xlfn.XLOOKUP(Table6[[#This Row],[Suburb]],Table5[Travel Surcharge],Table5[$$]),"")</f>
        <v/>
      </c>
      <c r="AI2887" s="47" t="s">
        <v>4370</v>
      </c>
      <c r="AJ2887" s="47"/>
    </row>
    <row r="2888" spans="1:36">
      <c r="A2888" s="374" t="s">
        <v>4366</v>
      </c>
      <c r="B2888" s="374">
        <v>22</v>
      </c>
      <c r="C2888" s="374" t="s">
        <v>593</v>
      </c>
      <c r="D2888" s="375" t="str">
        <f t="shared" si="597"/>
        <v>Minta Estate22</v>
      </c>
      <c r="E2888" s="375" t="s">
        <v>4386</v>
      </c>
      <c r="F2888" s="375" t="s">
        <v>4356</v>
      </c>
      <c r="G2888" s="375" t="s">
        <v>4357</v>
      </c>
      <c r="H2888" s="375" t="s">
        <v>4358</v>
      </c>
      <c r="I2888" s="63" t="s">
        <v>4359</v>
      </c>
      <c r="J2888" s="47">
        <f t="shared" si="598"/>
        <v>3740</v>
      </c>
      <c r="K2888" s="46" t="s">
        <v>7938</v>
      </c>
      <c r="L2888" s="47"/>
      <c r="M2888" s="47">
        <f t="shared" si="600"/>
        <v>1430.0000000000002</v>
      </c>
      <c r="N2888" s="47" t="s">
        <v>2646</v>
      </c>
      <c r="O2888" s="47"/>
      <c r="P2888" s="47"/>
      <c r="Q2888" s="47"/>
      <c r="R2888" s="47"/>
      <c r="S2888" s="47" t="s">
        <v>463</v>
      </c>
      <c r="T2888" s="47"/>
      <c r="U2888" s="47"/>
      <c r="V2888" s="47" t="s">
        <v>10129</v>
      </c>
      <c r="W2888" s="47"/>
      <c r="X2888" s="47"/>
      <c r="Y2888" s="47"/>
      <c r="Z2888" s="47">
        <f t="shared" si="596"/>
        <v>4620</v>
      </c>
      <c r="AA2888" s="47"/>
      <c r="AB2888" s="47" t="s">
        <v>4368</v>
      </c>
      <c r="AC2888" s="47" t="s">
        <v>4369</v>
      </c>
      <c r="AD2888" s="47" t="s">
        <v>1</v>
      </c>
      <c r="AE2888" s="47"/>
      <c r="AF2888" s="47"/>
      <c r="AG2888" s="47"/>
      <c r="AH2888" s="47" t="str">
        <f>IFERROR(_xlfn.XLOOKUP(Table6[[#This Row],[Suburb]],Table5[Travel Surcharge],Table5[$$]),"")</f>
        <v/>
      </c>
      <c r="AI2888" s="47" t="s">
        <v>4370</v>
      </c>
      <c r="AJ2888" s="47"/>
    </row>
    <row r="2889" spans="1:36">
      <c r="A2889" s="374" t="s">
        <v>4366</v>
      </c>
      <c r="B2889" s="374">
        <v>23</v>
      </c>
      <c r="C2889" s="374" t="s">
        <v>593</v>
      </c>
      <c r="D2889" s="375" t="str">
        <f t="shared" si="597"/>
        <v>Minta Estate23</v>
      </c>
      <c r="E2889" s="375" t="s">
        <v>4387</v>
      </c>
      <c r="F2889" s="375" t="s">
        <v>4356</v>
      </c>
      <c r="G2889" s="375" t="s">
        <v>4357</v>
      </c>
      <c r="H2889" s="375" t="s">
        <v>4358</v>
      </c>
      <c r="I2889" s="63" t="s">
        <v>4359</v>
      </c>
      <c r="J2889" s="47">
        <f t="shared" si="598"/>
        <v>3740</v>
      </c>
      <c r="K2889" s="46" t="s">
        <v>7938</v>
      </c>
      <c r="L2889" s="47"/>
      <c r="M2889" s="47">
        <f t="shared" si="600"/>
        <v>1430.0000000000002</v>
      </c>
      <c r="N2889" s="47" t="s">
        <v>2646</v>
      </c>
      <c r="O2889" s="47"/>
      <c r="P2889" s="47"/>
      <c r="Q2889" s="47"/>
      <c r="R2889" s="47"/>
      <c r="S2889" s="47" t="s">
        <v>463</v>
      </c>
      <c r="T2889" s="47"/>
      <c r="U2889" s="47"/>
      <c r="V2889" s="47" t="s">
        <v>10129</v>
      </c>
      <c r="W2889" s="47"/>
      <c r="X2889" s="47"/>
      <c r="Y2889" s="47"/>
      <c r="Z2889" s="47">
        <f t="shared" si="596"/>
        <v>4620</v>
      </c>
      <c r="AA2889" s="47"/>
      <c r="AB2889" s="47" t="s">
        <v>4368</v>
      </c>
      <c r="AC2889" s="47" t="s">
        <v>4369</v>
      </c>
      <c r="AD2889" s="47" t="s">
        <v>1</v>
      </c>
      <c r="AE2889" s="47"/>
      <c r="AF2889" s="47"/>
      <c r="AG2889" s="47"/>
      <c r="AH2889" s="47" t="str">
        <f>IFERROR(_xlfn.XLOOKUP(Table6[[#This Row],[Suburb]],Table5[Travel Surcharge],Table5[$$]),"")</f>
        <v/>
      </c>
      <c r="AI2889" s="47" t="s">
        <v>4370</v>
      </c>
      <c r="AJ2889" s="47"/>
    </row>
    <row r="2890" spans="1:36">
      <c r="A2890" s="374" t="s">
        <v>4366</v>
      </c>
      <c r="B2890" s="374">
        <v>24</v>
      </c>
      <c r="C2890" s="374" t="s">
        <v>593</v>
      </c>
      <c r="D2890" s="375" t="str">
        <f t="shared" si="597"/>
        <v>Minta Estate24</v>
      </c>
      <c r="E2890" s="375" t="s">
        <v>4388</v>
      </c>
      <c r="F2890" s="375" t="s">
        <v>4356</v>
      </c>
      <c r="G2890" s="375" t="s">
        <v>4357</v>
      </c>
      <c r="H2890" s="375" t="s">
        <v>4358</v>
      </c>
      <c r="I2890" s="63" t="s">
        <v>4359</v>
      </c>
      <c r="J2890" s="47">
        <f t="shared" si="598"/>
        <v>3740</v>
      </c>
      <c r="K2890" s="46" t="s">
        <v>7938</v>
      </c>
      <c r="L2890" s="47"/>
      <c r="M2890" s="47">
        <f t="shared" si="600"/>
        <v>1430.0000000000002</v>
      </c>
      <c r="N2890" s="47" t="s">
        <v>2646</v>
      </c>
      <c r="O2890" s="47"/>
      <c r="P2890" s="47"/>
      <c r="Q2890" s="47"/>
      <c r="R2890" s="47"/>
      <c r="S2890" s="47" t="s">
        <v>463</v>
      </c>
      <c r="T2890" s="47"/>
      <c r="U2890" s="47"/>
      <c r="V2890" s="47" t="s">
        <v>10129</v>
      </c>
      <c r="W2890" s="47"/>
      <c r="X2890" s="47"/>
      <c r="Y2890" s="47"/>
      <c r="Z2890" s="47">
        <f t="shared" si="596"/>
        <v>4620</v>
      </c>
      <c r="AA2890" s="47"/>
      <c r="AB2890" s="47" t="s">
        <v>4368</v>
      </c>
      <c r="AC2890" s="47" t="s">
        <v>4369</v>
      </c>
      <c r="AD2890" s="47" t="s">
        <v>1</v>
      </c>
      <c r="AE2890" s="47"/>
      <c r="AF2890" s="47"/>
      <c r="AG2890" s="47"/>
      <c r="AH2890" s="47" t="str">
        <f>IFERROR(_xlfn.XLOOKUP(Table6[[#This Row],[Suburb]],Table5[Travel Surcharge],Table5[$$]),"")</f>
        <v/>
      </c>
      <c r="AI2890" s="47" t="s">
        <v>4370</v>
      </c>
      <c r="AJ2890" s="47"/>
    </row>
    <row r="2891" spans="1:36">
      <c r="A2891" s="374" t="s">
        <v>4366</v>
      </c>
      <c r="B2891" s="374">
        <v>25</v>
      </c>
      <c r="C2891" s="374" t="s">
        <v>593</v>
      </c>
      <c r="D2891" s="375" t="str">
        <f t="shared" si="597"/>
        <v>Minta Estate25</v>
      </c>
      <c r="E2891" s="375" t="s">
        <v>4389</v>
      </c>
      <c r="F2891" s="375" t="s">
        <v>4356</v>
      </c>
      <c r="G2891" s="375" t="s">
        <v>4357</v>
      </c>
      <c r="H2891" s="375" t="s">
        <v>4358</v>
      </c>
      <c r="I2891" s="63" t="s">
        <v>4359</v>
      </c>
      <c r="J2891" s="47">
        <f t="shared" si="598"/>
        <v>3740</v>
      </c>
      <c r="K2891" s="46" t="s">
        <v>7938</v>
      </c>
      <c r="L2891" s="47"/>
      <c r="M2891" s="47">
        <f t="shared" si="600"/>
        <v>1430.0000000000002</v>
      </c>
      <c r="N2891" s="47" t="s">
        <v>2646</v>
      </c>
      <c r="O2891" s="47"/>
      <c r="P2891" s="47"/>
      <c r="Q2891" s="47"/>
      <c r="R2891" s="47"/>
      <c r="S2891" s="47" t="s">
        <v>463</v>
      </c>
      <c r="T2891" s="47"/>
      <c r="U2891" s="47"/>
      <c r="V2891" s="47" t="s">
        <v>10129</v>
      </c>
      <c r="W2891" s="47"/>
      <c r="X2891" s="47"/>
      <c r="Y2891" s="47"/>
      <c r="Z2891" s="47">
        <f t="shared" si="596"/>
        <v>4620</v>
      </c>
      <c r="AA2891" s="47"/>
      <c r="AB2891" s="47" t="s">
        <v>4368</v>
      </c>
      <c r="AC2891" s="47" t="s">
        <v>4369</v>
      </c>
      <c r="AD2891" s="47" t="s">
        <v>1</v>
      </c>
      <c r="AE2891" s="47"/>
      <c r="AF2891" s="47"/>
      <c r="AG2891" s="47"/>
      <c r="AH2891" s="47" t="str">
        <f>IFERROR(_xlfn.XLOOKUP(Table6[[#This Row],[Suburb]],Table5[Travel Surcharge],Table5[$$]),"")</f>
        <v/>
      </c>
      <c r="AI2891" s="47" t="s">
        <v>4370</v>
      </c>
      <c r="AJ2891" s="47"/>
    </row>
    <row r="2892" spans="1:36">
      <c r="A2892" s="157" t="s">
        <v>4366</v>
      </c>
      <c r="B2892" s="157">
        <v>26</v>
      </c>
      <c r="C2892" s="157" t="s">
        <v>593</v>
      </c>
      <c r="D2892" s="157" t="str">
        <f t="shared" si="597"/>
        <v>Minta Estate26</v>
      </c>
      <c r="E2892" s="157" t="s">
        <v>8015</v>
      </c>
      <c r="F2892" s="157" t="s">
        <v>4356</v>
      </c>
      <c r="G2892" s="157" t="s">
        <v>4357</v>
      </c>
      <c r="H2892" s="157" t="s">
        <v>4358</v>
      </c>
      <c r="I2892" s="158" t="s">
        <v>4359</v>
      </c>
      <c r="J2892" s="47">
        <f t="shared" si="598"/>
        <v>3740</v>
      </c>
      <c r="K2892" s="46" t="s">
        <v>7938</v>
      </c>
      <c r="L2892" s="47"/>
      <c r="M2892" s="47">
        <f t="shared" si="600"/>
        <v>1430.0000000000002</v>
      </c>
      <c r="N2892" s="47" t="s">
        <v>2646</v>
      </c>
      <c r="O2892" s="47"/>
      <c r="P2892" s="47"/>
      <c r="Q2892" s="47"/>
      <c r="R2892" s="47"/>
      <c r="S2892" s="47" t="s">
        <v>463</v>
      </c>
      <c r="T2892" s="47"/>
      <c r="U2892" s="47"/>
      <c r="V2892" s="47"/>
      <c r="W2892" s="47"/>
      <c r="X2892" s="47"/>
      <c r="Y2892" s="47"/>
      <c r="Z2892" s="47">
        <f t="shared" si="596"/>
        <v>4620</v>
      </c>
      <c r="AA2892" s="47"/>
      <c r="AB2892" s="47" t="s">
        <v>4368</v>
      </c>
      <c r="AC2892" s="47" t="s">
        <v>4369</v>
      </c>
      <c r="AD2892" s="47" t="s">
        <v>1</v>
      </c>
      <c r="AE2892" s="47"/>
      <c r="AF2892" s="47"/>
      <c r="AG2892" s="47"/>
      <c r="AH2892" s="47" t="str">
        <f>IFERROR(_xlfn.XLOOKUP(Table6[[#This Row],[Suburb]],Table5[Travel Surcharge],Table5[$$]),"")</f>
        <v/>
      </c>
      <c r="AI2892" s="47" t="s">
        <v>4370</v>
      </c>
      <c r="AJ2892" s="47"/>
    </row>
    <row r="2893" spans="1:36">
      <c r="A2893" s="157" t="s">
        <v>4366</v>
      </c>
      <c r="B2893" s="157">
        <v>27</v>
      </c>
      <c r="C2893" s="157" t="s">
        <v>593</v>
      </c>
      <c r="D2893" s="157" t="str">
        <f t="shared" ref="D2893:D2901" si="601">CONCATENATE(A2893,B2893)</f>
        <v>Minta Estate27</v>
      </c>
      <c r="E2893" s="157" t="s">
        <v>8379</v>
      </c>
      <c r="F2893" s="157" t="s">
        <v>4356</v>
      </c>
      <c r="G2893" s="157" t="s">
        <v>4357</v>
      </c>
      <c r="H2893" s="157" t="s">
        <v>4358</v>
      </c>
      <c r="I2893" s="158" t="s">
        <v>4359</v>
      </c>
      <c r="J2893" s="47">
        <f t="shared" si="598"/>
        <v>3740</v>
      </c>
      <c r="K2893" s="46" t="s">
        <v>7938</v>
      </c>
      <c r="L2893" s="47"/>
      <c r="M2893" s="47">
        <f t="shared" si="600"/>
        <v>1430.0000000000002</v>
      </c>
      <c r="N2893" s="47" t="s">
        <v>2646</v>
      </c>
      <c r="O2893" s="47"/>
      <c r="P2893" s="47"/>
      <c r="Q2893" s="47"/>
      <c r="R2893" s="47"/>
      <c r="S2893" s="47" t="s">
        <v>463</v>
      </c>
      <c r="T2893" s="47"/>
      <c r="U2893" s="47"/>
      <c r="V2893" s="47" t="s">
        <v>10129</v>
      </c>
      <c r="W2893" s="47"/>
      <c r="X2893" s="47"/>
      <c r="Y2893" s="47"/>
      <c r="Z2893" s="47">
        <f t="shared" si="596"/>
        <v>4620</v>
      </c>
      <c r="AA2893" s="47"/>
      <c r="AB2893" s="47" t="s">
        <v>4368</v>
      </c>
      <c r="AC2893" s="47" t="s">
        <v>4369</v>
      </c>
      <c r="AD2893" s="47" t="s">
        <v>1</v>
      </c>
      <c r="AE2893" s="47"/>
      <c r="AF2893" s="47"/>
      <c r="AG2893" s="47"/>
      <c r="AH2893" s="47" t="str">
        <f>IFERROR(_xlfn.XLOOKUP(Table6[[#This Row],[Suburb]],Table5[Travel Surcharge],Table5[$$]),"")</f>
        <v/>
      </c>
      <c r="AI2893" s="47" t="s">
        <v>4370</v>
      </c>
      <c r="AJ2893" s="47"/>
    </row>
    <row r="2894" spans="1:36">
      <c r="A2894" s="374" t="s">
        <v>4366</v>
      </c>
      <c r="B2894" s="374">
        <v>28</v>
      </c>
      <c r="C2894" s="374" t="s">
        <v>593</v>
      </c>
      <c r="D2894" s="375" t="str">
        <f>CONCATENATE(A2894,B2894)</f>
        <v>Minta Estate28</v>
      </c>
      <c r="E2894" s="375" t="s">
        <v>4390</v>
      </c>
      <c r="F2894" s="375" t="s">
        <v>4356</v>
      </c>
      <c r="G2894" s="375" t="s">
        <v>4357</v>
      </c>
      <c r="H2894" s="375" t="s">
        <v>4358</v>
      </c>
      <c r="I2894" s="63" t="s">
        <v>4359</v>
      </c>
      <c r="J2894" s="47">
        <f t="shared" si="598"/>
        <v>3740</v>
      </c>
      <c r="K2894" s="46" t="s">
        <v>7938</v>
      </c>
      <c r="L2894" s="47"/>
      <c r="M2894" s="47">
        <f t="shared" si="600"/>
        <v>1430.0000000000002</v>
      </c>
      <c r="N2894" s="47" t="s">
        <v>2646</v>
      </c>
      <c r="O2894" s="47"/>
      <c r="P2894" s="47"/>
      <c r="Q2894" s="47"/>
      <c r="R2894" s="47"/>
      <c r="S2894" s="47" t="s">
        <v>463</v>
      </c>
      <c r="T2894" s="47"/>
      <c r="U2894" s="47"/>
      <c r="V2894" s="47" t="s">
        <v>10129</v>
      </c>
      <c r="W2894" s="47"/>
      <c r="X2894" s="47"/>
      <c r="Y2894" s="47"/>
      <c r="Z2894" s="47">
        <f t="shared" si="596"/>
        <v>4620</v>
      </c>
      <c r="AA2894" s="47"/>
      <c r="AB2894" s="47" t="s">
        <v>4368</v>
      </c>
      <c r="AC2894" s="47" t="s">
        <v>4369</v>
      </c>
      <c r="AD2894" s="47" t="s">
        <v>1</v>
      </c>
      <c r="AE2894" s="47"/>
      <c r="AF2894" s="47"/>
      <c r="AG2894" s="47"/>
      <c r="AH2894" s="47" t="str">
        <f>IFERROR(_xlfn.XLOOKUP(Table6[[#This Row],[Suburb]],Table5[Travel Surcharge],Table5[$$]),"")</f>
        <v/>
      </c>
      <c r="AI2894" s="47" t="s">
        <v>4370</v>
      </c>
      <c r="AJ2894" s="47"/>
    </row>
    <row r="2895" spans="1:36">
      <c r="A2895" s="374" t="s">
        <v>4366</v>
      </c>
      <c r="B2895" s="374">
        <v>29</v>
      </c>
      <c r="C2895" s="374" t="s">
        <v>593</v>
      </c>
      <c r="D2895" s="375" t="str">
        <f>CONCATENATE(A2895,B2895)</f>
        <v>Minta Estate29</v>
      </c>
      <c r="E2895" s="375" t="s">
        <v>10884</v>
      </c>
      <c r="F2895" s="375" t="s">
        <v>4356</v>
      </c>
      <c r="G2895" s="375" t="s">
        <v>4357</v>
      </c>
      <c r="H2895" s="375" t="s">
        <v>4358</v>
      </c>
      <c r="I2895" s="63" t="s">
        <v>4359</v>
      </c>
      <c r="J2895" s="47">
        <v>3740</v>
      </c>
      <c r="K2895" s="46" t="s">
        <v>7938</v>
      </c>
      <c r="L2895" s="47"/>
      <c r="M2895" s="47">
        <v>1430.0000000000002</v>
      </c>
      <c r="N2895" s="47" t="s">
        <v>2646</v>
      </c>
      <c r="O2895" s="47"/>
      <c r="P2895" s="47"/>
      <c r="Q2895" s="47"/>
      <c r="R2895" s="47"/>
      <c r="S2895" s="47" t="s">
        <v>463</v>
      </c>
      <c r="T2895" s="47"/>
      <c r="U2895" s="47"/>
      <c r="V2895" s="47" t="s">
        <v>10129</v>
      </c>
      <c r="W2895" s="47"/>
      <c r="X2895" s="47"/>
      <c r="Y2895" s="47"/>
      <c r="Z2895" s="47">
        <v>4620</v>
      </c>
      <c r="AA2895" s="47"/>
      <c r="AB2895" s="47" t="s">
        <v>4368</v>
      </c>
      <c r="AC2895" s="47" t="s">
        <v>4369</v>
      </c>
      <c r="AD2895" s="47" t="s">
        <v>1</v>
      </c>
      <c r="AE2895" s="47"/>
      <c r="AF2895" s="47"/>
      <c r="AG2895" s="47"/>
      <c r="AH2895" s="47" t="s">
        <v>9976</v>
      </c>
      <c r="AI2895" s="47" t="s">
        <v>4370</v>
      </c>
      <c r="AJ2895" s="47"/>
    </row>
    <row r="2896" spans="1:36">
      <c r="A2896" s="374" t="s">
        <v>4366</v>
      </c>
      <c r="B2896" s="374" t="s">
        <v>4082</v>
      </c>
      <c r="C2896" s="374" t="s">
        <v>593</v>
      </c>
      <c r="D2896" s="375" t="str">
        <f t="shared" si="601"/>
        <v>Minta Estate18A</v>
      </c>
      <c r="E2896" s="375" t="s">
        <v>4381</v>
      </c>
      <c r="F2896" s="375" t="s">
        <v>4356</v>
      </c>
      <c r="G2896" s="375" t="s">
        <v>4357</v>
      </c>
      <c r="H2896" s="375" t="s">
        <v>4358</v>
      </c>
      <c r="I2896" s="63" t="s">
        <v>4359</v>
      </c>
      <c r="J2896" s="47">
        <f t="shared" si="598"/>
        <v>3740</v>
      </c>
      <c r="K2896" s="46" t="s">
        <v>7938</v>
      </c>
      <c r="L2896" s="47"/>
      <c r="M2896" s="47">
        <f t="shared" si="600"/>
        <v>1430.0000000000002</v>
      </c>
      <c r="N2896" s="47" t="s">
        <v>2646</v>
      </c>
      <c r="O2896" s="47"/>
      <c r="P2896" s="47"/>
      <c r="Q2896" s="47"/>
      <c r="R2896" s="47"/>
      <c r="S2896" s="47" t="s">
        <v>463</v>
      </c>
      <c r="T2896" s="47" t="s">
        <v>4382</v>
      </c>
      <c r="U2896" s="47"/>
      <c r="V2896" s="47" t="str">
        <f>V$7</f>
        <v>$6/m2</v>
      </c>
      <c r="W2896" s="47" t="s">
        <v>10129</v>
      </c>
      <c r="X2896" s="47"/>
      <c r="Y2896" s="47"/>
      <c r="Z2896" s="47">
        <f t="shared" si="596"/>
        <v>4620</v>
      </c>
      <c r="AA2896" s="47"/>
      <c r="AB2896" s="47" t="s">
        <v>4368</v>
      </c>
      <c r="AC2896" s="47" t="s">
        <v>4369</v>
      </c>
      <c r="AD2896" s="47"/>
      <c r="AE2896" s="47">
        <f>AE$7</f>
        <v>5000</v>
      </c>
      <c r="AF2896" s="47"/>
      <c r="AG2896" s="47"/>
      <c r="AH2896" s="47" t="str">
        <f>IFERROR(_xlfn.XLOOKUP(Table6[[#This Row],[Suburb]],Table5[Travel Surcharge],Table5[$$]),"")</f>
        <v/>
      </c>
      <c r="AI2896" s="47" t="s">
        <v>4383</v>
      </c>
      <c r="AJ2896" s="47"/>
    </row>
    <row r="2897" spans="1:36">
      <c r="A2897" s="157" t="s">
        <v>4366</v>
      </c>
      <c r="B2897" s="157" t="s">
        <v>1466</v>
      </c>
      <c r="C2897" s="157" t="s">
        <v>8192</v>
      </c>
      <c r="D2897" s="157" t="str">
        <f t="shared" si="601"/>
        <v>Minta Estate5B</v>
      </c>
      <c r="E2897" s="157" t="s">
        <v>8196</v>
      </c>
      <c r="F2897" s="157" t="s">
        <v>4356</v>
      </c>
      <c r="G2897" s="157" t="s">
        <v>4357</v>
      </c>
      <c r="H2897" s="157" t="s">
        <v>8193</v>
      </c>
      <c r="I2897" s="158" t="s">
        <v>4359</v>
      </c>
      <c r="J2897" s="47">
        <f t="shared" si="598"/>
        <v>3740</v>
      </c>
      <c r="K2897" s="46" t="s">
        <v>7938</v>
      </c>
      <c r="L2897" s="47"/>
      <c r="M2897" s="47">
        <f t="shared" si="600"/>
        <v>1430.0000000000002</v>
      </c>
      <c r="N2897" s="47" t="s">
        <v>8194</v>
      </c>
      <c r="O2897" s="47"/>
      <c r="P2897" s="47"/>
      <c r="Q2897" s="47"/>
      <c r="R2897" s="47"/>
      <c r="S2897" s="47" t="s">
        <v>463</v>
      </c>
      <c r="T2897" s="47" t="s">
        <v>4382</v>
      </c>
      <c r="U2897" s="47"/>
      <c r="V2897" s="47" t="str">
        <f>V$7</f>
        <v>$6/m2</v>
      </c>
      <c r="W2897" s="47" t="s">
        <v>10129</v>
      </c>
      <c r="X2897" s="47"/>
      <c r="Y2897" s="47"/>
      <c r="Z2897" s="47">
        <f t="shared" si="596"/>
        <v>4620</v>
      </c>
      <c r="AA2897" s="47"/>
      <c r="AB2897" s="47" t="s">
        <v>4368</v>
      </c>
      <c r="AC2897" s="47" t="s">
        <v>4369</v>
      </c>
      <c r="AD2897" s="47"/>
      <c r="AE2897" s="47">
        <f>AE$7</f>
        <v>5000</v>
      </c>
      <c r="AF2897" s="47"/>
      <c r="AG2897" s="47"/>
      <c r="AH2897" s="47" t="str">
        <f>IFERROR(_xlfn.XLOOKUP(Table6[[#This Row],[Suburb]],Table5[Travel Surcharge],Table5[$$]),"")</f>
        <v/>
      </c>
      <c r="AI2897" s="47" t="s">
        <v>8195</v>
      </c>
      <c r="AJ2897" s="47"/>
    </row>
    <row r="2898" spans="1:36">
      <c r="A2898" s="374" t="s">
        <v>4366</v>
      </c>
      <c r="B2898" s="374" t="s">
        <v>622</v>
      </c>
      <c r="C2898" s="374" t="s">
        <v>593</v>
      </c>
      <c r="D2898" s="375" t="str">
        <f t="shared" si="601"/>
        <v>Minta Estate6A</v>
      </c>
      <c r="E2898" s="375" t="s">
        <v>4375</v>
      </c>
      <c r="F2898" s="375" t="s">
        <v>4356</v>
      </c>
      <c r="G2898" s="375" t="s">
        <v>4357</v>
      </c>
      <c r="H2898" s="375" t="s">
        <v>4358</v>
      </c>
      <c r="I2898" s="63" t="s">
        <v>4359</v>
      </c>
      <c r="J2898" s="47">
        <f t="shared" si="598"/>
        <v>3740</v>
      </c>
      <c r="K2898" s="46" t="s">
        <v>7938</v>
      </c>
      <c r="L2898" s="47"/>
      <c r="M2898" s="47">
        <f t="shared" si="600"/>
        <v>1430.0000000000002</v>
      </c>
      <c r="N2898" s="47" t="s">
        <v>2646</v>
      </c>
      <c r="O2898" s="47"/>
      <c r="P2898" s="47"/>
      <c r="Q2898" s="47"/>
      <c r="R2898" s="47"/>
      <c r="S2898" s="47" t="s">
        <v>463</v>
      </c>
      <c r="T2898" s="47"/>
      <c r="U2898" s="47"/>
      <c r="V2898" s="47" t="s">
        <v>10129</v>
      </c>
      <c r="W2898" s="47"/>
      <c r="X2898" s="47"/>
      <c r="Y2898" s="47"/>
      <c r="Z2898" s="47">
        <f t="shared" si="596"/>
        <v>4620</v>
      </c>
      <c r="AA2898" s="47"/>
      <c r="AB2898" s="47" t="s">
        <v>4368</v>
      </c>
      <c r="AC2898" s="47" t="s">
        <v>4369</v>
      </c>
      <c r="AD2898" s="47" t="s">
        <v>1</v>
      </c>
      <c r="AE2898" s="47"/>
      <c r="AF2898" s="47"/>
      <c r="AG2898" s="47"/>
      <c r="AH2898" s="47" t="str">
        <f>IFERROR(_xlfn.XLOOKUP(Table6[[#This Row],[Suburb]],Table5[Travel Surcharge],Table5[$$]),"")</f>
        <v/>
      </c>
      <c r="AI2898" s="47" t="s">
        <v>4370</v>
      </c>
      <c r="AJ2898" s="47"/>
    </row>
    <row r="2899" spans="1:36">
      <c r="A2899" s="374" t="s">
        <v>4391</v>
      </c>
      <c r="B2899" s="374">
        <v>1</v>
      </c>
      <c r="C2899" s="374" t="s">
        <v>631</v>
      </c>
      <c r="D2899" s="375" t="str">
        <f t="shared" si="601"/>
        <v>Minton Place Estate1</v>
      </c>
      <c r="E2899" s="375" t="s">
        <v>4392</v>
      </c>
      <c r="F2899" s="375" t="s">
        <v>650</v>
      </c>
      <c r="G2899" s="375" t="s">
        <v>2943</v>
      </c>
      <c r="H2899" s="375" t="s">
        <v>2944</v>
      </c>
      <c r="I2899" s="63" t="s">
        <v>4393</v>
      </c>
      <c r="J2899" s="47">
        <f t="shared" si="598"/>
        <v>3740</v>
      </c>
      <c r="K2899" s="46" t="s">
        <v>7938</v>
      </c>
      <c r="L2899" s="47">
        <f>L$7</f>
        <v>1210</v>
      </c>
      <c r="M2899" s="47" t="s">
        <v>2646</v>
      </c>
      <c r="N2899" s="47" t="s">
        <v>4394</v>
      </c>
      <c r="O2899" s="47" t="s">
        <v>4395</v>
      </c>
      <c r="P2899" s="47"/>
      <c r="Q2899" s="47"/>
      <c r="R2899" s="47">
        <f>R$2</f>
        <v>540</v>
      </c>
      <c r="S2899" s="47"/>
      <c r="T2899" s="47" t="s">
        <v>4096</v>
      </c>
      <c r="U2899" s="47"/>
      <c r="V2899" s="47"/>
      <c r="W2899" s="47"/>
      <c r="X2899" s="47"/>
      <c r="Y2899" s="47"/>
      <c r="Z2899" s="47">
        <f t="shared" si="596"/>
        <v>4620</v>
      </c>
      <c r="AA2899" s="47">
        <f>AA$7</f>
        <v>1400</v>
      </c>
      <c r="AB2899" s="47"/>
      <c r="AC2899" s="47"/>
      <c r="AD2899" s="47"/>
      <c r="AE2899" s="47"/>
      <c r="AF2899" s="47">
        <f>AF$7</f>
        <v>1485</v>
      </c>
      <c r="AG2899" s="47"/>
      <c r="AH2899" s="47" t="str">
        <f>IFERROR(_xlfn.XLOOKUP(Table6[[#This Row],[Suburb]],Table5[Travel Surcharge],Table5[$$]),"")</f>
        <v/>
      </c>
      <c r="AI2899" s="47">
        <v>1650.0000000000002</v>
      </c>
      <c r="AJ2899" s="47"/>
    </row>
    <row r="2900" spans="1:36">
      <c r="A2900" s="374" t="s">
        <v>4391</v>
      </c>
      <c r="B2900" s="374">
        <v>3</v>
      </c>
      <c r="C2900" s="374" t="s">
        <v>631</v>
      </c>
      <c r="D2900" s="375" t="str">
        <f t="shared" si="601"/>
        <v>Minton Place Estate3</v>
      </c>
      <c r="E2900" s="375" t="s">
        <v>4396</v>
      </c>
      <c r="F2900" s="375" t="s">
        <v>650</v>
      </c>
      <c r="G2900" s="375" t="s">
        <v>2943</v>
      </c>
      <c r="H2900" s="375" t="s">
        <v>2944</v>
      </c>
      <c r="I2900" s="63" t="s">
        <v>4393</v>
      </c>
      <c r="J2900" s="47">
        <f t="shared" si="598"/>
        <v>3740</v>
      </c>
      <c r="K2900" s="46" t="s">
        <v>7938</v>
      </c>
      <c r="L2900" s="47">
        <f>L$7</f>
        <v>1210</v>
      </c>
      <c r="M2900" s="47" t="s">
        <v>2646</v>
      </c>
      <c r="N2900" s="47" t="s">
        <v>4394</v>
      </c>
      <c r="O2900" s="47" t="s">
        <v>4395</v>
      </c>
      <c r="P2900" s="47"/>
      <c r="Q2900" s="47"/>
      <c r="R2900" s="47">
        <f>R$2</f>
        <v>540</v>
      </c>
      <c r="S2900" s="47"/>
      <c r="T2900" s="47" t="s">
        <v>4096</v>
      </c>
      <c r="U2900" s="47"/>
      <c r="V2900" s="47"/>
      <c r="W2900" s="47"/>
      <c r="X2900" s="47"/>
      <c r="Y2900" s="47"/>
      <c r="Z2900" s="47">
        <f t="shared" si="596"/>
        <v>4620</v>
      </c>
      <c r="AA2900" s="47">
        <f>AA$7</f>
        <v>1400</v>
      </c>
      <c r="AB2900" s="47"/>
      <c r="AC2900" s="47"/>
      <c r="AD2900" s="47"/>
      <c r="AE2900" s="47"/>
      <c r="AF2900" s="47">
        <f>AF$7</f>
        <v>1485</v>
      </c>
      <c r="AG2900" s="47"/>
      <c r="AH2900" s="47" t="str">
        <f>IFERROR(_xlfn.XLOOKUP(Table6[[#This Row],[Suburb]],Table5[Travel Surcharge],Table5[$$]),"")</f>
        <v/>
      </c>
      <c r="AI2900" s="47">
        <v>1650.0000000000002</v>
      </c>
      <c r="AJ2900" s="47"/>
    </row>
    <row r="2901" spans="1:36">
      <c r="A2901" s="157" t="s">
        <v>8267</v>
      </c>
      <c r="B2901" s="157">
        <v>1</v>
      </c>
      <c r="C2901" s="157" t="s">
        <v>8192</v>
      </c>
      <c r="D2901" s="157" t="str">
        <f t="shared" si="601"/>
        <v>Mirage Park1</v>
      </c>
      <c r="E2901" s="157" t="s">
        <v>8268</v>
      </c>
      <c r="F2901" s="157"/>
      <c r="G2901" s="157"/>
      <c r="H2901" s="157"/>
      <c r="I2901" s="158"/>
      <c r="J2901" s="47">
        <f t="shared" si="598"/>
        <v>3740</v>
      </c>
      <c r="K2901" s="46" t="s">
        <v>10735</v>
      </c>
      <c r="L2901" s="47"/>
      <c r="M2901" s="47"/>
      <c r="N2901" s="47"/>
      <c r="O2901" s="47"/>
      <c r="P2901" s="47"/>
      <c r="Q2901" s="47">
        <v>0</v>
      </c>
      <c r="R2901" s="47"/>
      <c r="S2901" s="47"/>
      <c r="T2901" s="47"/>
      <c r="U2901" s="47"/>
      <c r="V2901" s="47" t="s">
        <v>7915</v>
      </c>
      <c r="W2901" s="47"/>
      <c r="X2901" s="47"/>
      <c r="Y2901" s="47"/>
      <c r="Z2901" s="47">
        <f t="shared" si="596"/>
        <v>4620</v>
      </c>
      <c r="AA2901" s="47"/>
      <c r="AB2901" s="47"/>
      <c r="AC2901" s="47"/>
      <c r="AD2901" s="47"/>
      <c r="AE2901" s="47"/>
      <c r="AF2901" s="47"/>
      <c r="AG2901" s="47"/>
      <c r="AH2901" s="47" t="str">
        <f>IFERROR(_xlfn.XLOOKUP(Table6[[#This Row],[Suburb]],Table5[Travel Surcharge],Table5[$$]),"")</f>
        <v/>
      </c>
      <c r="AI2901" s="47"/>
      <c r="AJ2901" s="47"/>
    </row>
    <row r="2902" spans="1:36">
      <c r="A2902" s="374" t="s">
        <v>4397</v>
      </c>
      <c r="B2902" s="374">
        <v>1</v>
      </c>
      <c r="C2902" s="374" t="s">
        <v>301</v>
      </c>
      <c r="D2902" s="375" t="s">
        <v>8151</v>
      </c>
      <c r="E2902" s="375" t="s">
        <v>8150</v>
      </c>
      <c r="F2902" s="375"/>
      <c r="G2902" s="375"/>
      <c r="H2902" s="375"/>
      <c r="I2902" s="63"/>
      <c r="J2902" s="47"/>
      <c r="K2902" s="46" t="s">
        <v>10735</v>
      </c>
      <c r="L2902" s="47"/>
      <c r="M2902" s="47"/>
      <c r="N2902" s="47"/>
      <c r="O2902" s="47"/>
      <c r="P2902" s="47"/>
      <c r="Q2902" s="47">
        <v>0</v>
      </c>
      <c r="R2902" s="47"/>
      <c r="S2902" s="47"/>
      <c r="T2902" s="47"/>
      <c r="U2902" s="47"/>
      <c r="V2902" s="47" t="s">
        <v>7915</v>
      </c>
      <c r="W2902" s="47"/>
      <c r="X2902" s="47"/>
      <c r="Y2902" s="47"/>
      <c r="Z2902" s="47">
        <v>4620</v>
      </c>
      <c r="AA2902" s="47"/>
      <c r="AB2902" s="47"/>
      <c r="AC2902" s="47"/>
      <c r="AD2902" s="47"/>
      <c r="AE2902" s="47"/>
      <c r="AF2902" s="47"/>
      <c r="AG2902" s="47"/>
      <c r="AH2902" s="47">
        <f>IFERROR(_xlfn.XLOOKUP(Table6[[#This Row],[Suburb]],Table5[Travel Surcharge],Table5[$$]),"")</f>
        <v>7000</v>
      </c>
      <c r="AI2902" s="47"/>
      <c r="AJ2902" s="47"/>
    </row>
    <row r="2903" spans="1:36">
      <c r="A2903" s="374" t="s">
        <v>4397</v>
      </c>
      <c r="B2903" s="374">
        <v>8</v>
      </c>
      <c r="C2903" s="374" t="s">
        <v>301</v>
      </c>
      <c r="D2903" s="375" t="s">
        <v>8151</v>
      </c>
      <c r="E2903" s="375" t="s">
        <v>8697</v>
      </c>
      <c r="F2903" s="375"/>
      <c r="G2903" s="375"/>
      <c r="H2903" s="375"/>
      <c r="I2903" s="63"/>
      <c r="J2903" s="47"/>
      <c r="K2903" s="46" t="s">
        <v>10735</v>
      </c>
      <c r="L2903" s="47"/>
      <c r="M2903" s="47"/>
      <c r="N2903" s="47"/>
      <c r="O2903" s="47"/>
      <c r="P2903" s="47"/>
      <c r="Q2903" s="47">
        <v>0</v>
      </c>
      <c r="R2903" s="47"/>
      <c r="S2903" s="47"/>
      <c r="T2903" s="47"/>
      <c r="U2903" s="47"/>
      <c r="V2903" s="47" t="s">
        <v>7915</v>
      </c>
      <c r="W2903" s="47"/>
      <c r="X2903" s="47"/>
      <c r="Y2903" s="47"/>
      <c r="Z2903" s="47">
        <v>4620</v>
      </c>
      <c r="AA2903" s="47"/>
      <c r="AB2903" s="47"/>
      <c r="AC2903" s="47"/>
      <c r="AD2903" s="47"/>
      <c r="AE2903" s="47"/>
      <c r="AF2903" s="47"/>
      <c r="AG2903" s="47"/>
      <c r="AH2903" s="47">
        <f>IFERROR(_xlfn.XLOOKUP(Table6[[#This Row],[Suburb]],Table5[Travel Surcharge],Table5[$$]),"")</f>
        <v>7000</v>
      </c>
      <c r="AI2903" s="47"/>
      <c r="AJ2903" s="47"/>
    </row>
    <row r="2904" spans="1:36">
      <c r="A2904" s="374" t="s">
        <v>4397</v>
      </c>
      <c r="B2904" s="374">
        <v>11</v>
      </c>
      <c r="C2904" s="374" t="s">
        <v>301</v>
      </c>
      <c r="D2904" s="375" t="str">
        <f>CONCATENATE(A2904,B2904)</f>
        <v>Mitchell Grove Estate11</v>
      </c>
      <c r="E2904" s="375" t="s">
        <v>4398</v>
      </c>
      <c r="F2904" s="375"/>
      <c r="G2904" s="375"/>
      <c r="H2904" s="375"/>
      <c r="I2904" s="63"/>
      <c r="J2904" s="47"/>
      <c r="K2904" s="46" t="s">
        <v>10735</v>
      </c>
      <c r="L2904" s="47"/>
      <c r="M2904" s="47"/>
      <c r="N2904" s="47"/>
      <c r="O2904" s="47"/>
      <c r="P2904" s="47"/>
      <c r="Q2904" s="47">
        <f>Q$2</f>
        <v>0</v>
      </c>
      <c r="R2904" s="47"/>
      <c r="S2904" s="47"/>
      <c r="T2904" s="47"/>
      <c r="U2904" s="47"/>
      <c r="V2904" s="47" t="s">
        <v>7915</v>
      </c>
      <c r="W2904" s="47"/>
      <c r="X2904" s="47"/>
      <c r="Y2904" s="47"/>
      <c r="Z2904" s="47">
        <f>Z$7</f>
        <v>4620</v>
      </c>
      <c r="AA2904" s="47"/>
      <c r="AB2904" s="47"/>
      <c r="AC2904" s="47"/>
      <c r="AD2904" s="47"/>
      <c r="AE2904" s="47"/>
      <c r="AF2904" s="47"/>
      <c r="AG2904" s="47"/>
      <c r="AH2904" s="47">
        <f>IFERROR(_xlfn.XLOOKUP(Table6[[#This Row],[Suburb]],Table5[Travel Surcharge],Table5[$$]),"")</f>
        <v>7000</v>
      </c>
      <c r="AI2904" s="47"/>
      <c r="AJ2904" s="47"/>
    </row>
    <row r="2905" spans="1:36">
      <c r="A2905" s="374" t="s">
        <v>4397</v>
      </c>
      <c r="B2905" s="374">
        <v>12</v>
      </c>
      <c r="C2905" s="374" t="s">
        <v>301</v>
      </c>
      <c r="D2905" s="375" t="str">
        <f>CONCATENATE(A2905,B2905)</f>
        <v>Mitchell Grove Estate12</v>
      </c>
      <c r="E2905" s="375" t="s">
        <v>4399</v>
      </c>
      <c r="F2905" s="375"/>
      <c r="G2905" s="375"/>
      <c r="H2905" s="375"/>
      <c r="I2905" s="63"/>
      <c r="J2905" s="47"/>
      <c r="K2905" s="46" t="s">
        <v>10735</v>
      </c>
      <c r="L2905" s="47"/>
      <c r="M2905" s="47"/>
      <c r="N2905" s="47"/>
      <c r="O2905" s="47"/>
      <c r="P2905" s="47"/>
      <c r="Q2905" s="47">
        <f>Q$2</f>
        <v>0</v>
      </c>
      <c r="R2905" s="47"/>
      <c r="S2905" s="47"/>
      <c r="T2905" s="47"/>
      <c r="U2905" s="47"/>
      <c r="V2905" s="47" t="s">
        <v>7915</v>
      </c>
      <c r="W2905" s="47"/>
      <c r="X2905" s="47"/>
      <c r="Y2905" s="47"/>
      <c r="Z2905" s="47">
        <f>Z$7</f>
        <v>4620</v>
      </c>
      <c r="AA2905" s="47"/>
      <c r="AB2905" s="47"/>
      <c r="AC2905" s="47"/>
      <c r="AD2905" s="47"/>
      <c r="AE2905" s="47"/>
      <c r="AF2905" s="47"/>
      <c r="AG2905" s="47"/>
      <c r="AH2905" s="47">
        <f>IFERROR(_xlfn.XLOOKUP(Table6[[#This Row],[Suburb]],Table5[Travel Surcharge],Table5[$$]),"")</f>
        <v>7000</v>
      </c>
      <c r="AI2905" s="47"/>
      <c r="AJ2905" s="47"/>
    </row>
    <row r="2906" spans="1:36">
      <c r="A2906" s="374" t="s">
        <v>4397</v>
      </c>
      <c r="B2906" s="374">
        <v>13</v>
      </c>
      <c r="C2906" s="374" t="s">
        <v>301</v>
      </c>
      <c r="D2906" s="375" t="str">
        <f>CONCATENATE(A2906,B2906)</f>
        <v>Mitchell Grove Estate13</v>
      </c>
      <c r="E2906" s="375" t="s">
        <v>4400</v>
      </c>
      <c r="F2906" s="375"/>
      <c r="G2906" s="375"/>
      <c r="H2906" s="375"/>
      <c r="I2906" s="63"/>
      <c r="J2906" s="47"/>
      <c r="K2906" s="46" t="s">
        <v>10735</v>
      </c>
      <c r="L2906" s="47"/>
      <c r="M2906" s="47"/>
      <c r="N2906" s="47"/>
      <c r="O2906" s="47"/>
      <c r="P2906" s="47"/>
      <c r="Q2906" s="47">
        <f>Q$2</f>
        <v>0</v>
      </c>
      <c r="R2906" s="47"/>
      <c r="S2906" s="47"/>
      <c r="T2906" s="47"/>
      <c r="U2906" s="47"/>
      <c r="V2906" s="47" t="s">
        <v>7915</v>
      </c>
      <c r="W2906" s="47"/>
      <c r="X2906" s="47"/>
      <c r="Y2906" s="47"/>
      <c r="Z2906" s="47">
        <f>Z$7</f>
        <v>4620</v>
      </c>
      <c r="AA2906" s="47"/>
      <c r="AB2906" s="47"/>
      <c r="AC2906" s="47"/>
      <c r="AD2906" s="47"/>
      <c r="AE2906" s="47"/>
      <c r="AF2906" s="47"/>
      <c r="AG2906" s="47"/>
      <c r="AH2906" s="47">
        <f>IFERROR(_xlfn.XLOOKUP(Table6[[#This Row],[Suburb]],Table5[Travel Surcharge],Table5[$$]),"")</f>
        <v>7000</v>
      </c>
      <c r="AI2906" s="47"/>
      <c r="AJ2906" s="47"/>
    </row>
    <row r="2907" spans="1:36">
      <c r="A2907" s="374" t="s">
        <v>4397</v>
      </c>
      <c r="B2907" s="374">
        <v>14</v>
      </c>
      <c r="C2907" s="374" t="s">
        <v>301</v>
      </c>
      <c r="D2907" s="375" t="str">
        <f>CONCATENATE(A2907,B2907)</f>
        <v>Mitchell Grove Estate14</v>
      </c>
      <c r="E2907" s="375" t="s">
        <v>10661</v>
      </c>
      <c r="F2907" s="375"/>
      <c r="G2907" s="375"/>
      <c r="H2907" s="375"/>
      <c r="I2907" s="63"/>
      <c r="J2907" s="47"/>
      <c r="K2907" s="46" t="s">
        <v>10735</v>
      </c>
      <c r="L2907" s="47"/>
      <c r="M2907" s="47"/>
      <c r="N2907" s="47"/>
      <c r="O2907" s="47"/>
      <c r="P2907" s="47"/>
      <c r="Q2907" s="47">
        <v>0</v>
      </c>
      <c r="R2907" s="47"/>
      <c r="S2907" s="47"/>
      <c r="T2907" s="47"/>
      <c r="U2907" s="47"/>
      <c r="V2907" s="47" t="s">
        <v>7915</v>
      </c>
      <c r="W2907" s="47"/>
      <c r="X2907" s="47"/>
      <c r="Y2907" s="47"/>
      <c r="Z2907" s="47">
        <v>4620</v>
      </c>
      <c r="AA2907" s="47"/>
      <c r="AB2907" s="47"/>
      <c r="AC2907" s="47"/>
      <c r="AD2907" s="47"/>
      <c r="AE2907" s="47"/>
      <c r="AF2907" s="47"/>
      <c r="AG2907" s="47"/>
      <c r="AH2907" s="47">
        <v>7000</v>
      </c>
      <c r="AI2907" s="47"/>
      <c r="AJ2907" s="47"/>
    </row>
    <row r="2908" spans="1:36">
      <c r="A2908" s="374" t="s">
        <v>4401</v>
      </c>
      <c r="B2908" s="374">
        <v>12</v>
      </c>
      <c r="C2908" s="374" t="s">
        <v>4402</v>
      </c>
      <c r="D2908" s="375" t="str">
        <f>CONCATENATE(A2908,B2908)</f>
        <v>Modeina Estate12</v>
      </c>
      <c r="E2908" s="375" t="s">
        <v>4403</v>
      </c>
      <c r="F2908" s="375" t="s">
        <v>4404</v>
      </c>
      <c r="G2908" s="375" t="s">
        <v>4405</v>
      </c>
      <c r="H2908" s="375" t="s">
        <v>4406</v>
      </c>
      <c r="I2908" s="63" t="s">
        <v>4407</v>
      </c>
      <c r="J2908" s="47">
        <f>J$7</f>
        <v>3740</v>
      </c>
      <c r="K2908" s="46" t="s">
        <v>7938</v>
      </c>
      <c r="L2908" s="47" t="s">
        <v>4408</v>
      </c>
      <c r="M2908" s="47">
        <f>M$7</f>
        <v>1430.0000000000002</v>
      </c>
      <c r="N2908" s="47"/>
      <c r="O2908" s="47" t="s">
        <v>4409</v>
      </c>
      <c r="P2908" s="47">
        <v>8500</v>
      </c>
      <c r="Q2908" s="47" t="s">
        <v>4410</v>
      </c>
      <c r="R2908" s="47"/>
      <c r="S2908" s="47"/>
      <c r="T2908" s="47">
        <f>T$2</f>
        <v>780</v>
      </c>
      <c r="U2908" s="47"/>
      <c r="V2908" s="47" t="s">
        <v>1355</v>
      </c>
      <c r="W2908" s="47"/>
      <c r="X2908" s="47">
        <f>X$7</f>
        <v>3000</v>
      </c>
      <c r="Y2908" s="47"/>
      <c r="Z2908" s="47">
        <f>Z$7</f>
        <v>4620</v>
      </c>
      <c r="AA2908" s="47"/>
      <c r="AB2908" s="47"/>
      <c r="AC2908" s="47"/>
      <c r="AD2908" s="47"/>
      <c r="AE2908" s="47" t="s">
        <v>4411</v>
      </c>
      <c r="AF2908" s="47"/>
      <c r="AG2908" s="47"/>
      <c r="AH2908" s="47" t="str">
        <f>IFERROR(_xlfn.XLOOKUP(Table6[[#This Row],[Suburb]],Table5[Travel Surcharge],Table5[$$]),"")</f>
        <v/>
      </c>
      <c r="AI2908" s="47">
        <v>1650.0000000000002</v>
      </c>
      <c r="AJ2908" s="47"/>
    </row>
    <row r="2909" spans="1:36">
      <c r="A2909" s="374" t="s">
        <v>4401</v>
      </c>
      <c r="B2909" s="374">
        <v>33</v>
      </c>
      <c r="C2909" s="374" t="s">
        <v>4402</v>
      </c>
      <c r="D2909" s="375" t="s">
        <v>9392</v>
      </c>
      <c r="E2909" s="375" t="s">
        <v>9390</v>
      </c>
      <c r="F2909" s="375" t="s">
        <v>4404</v>
      </c>
      <c r="G2909" s="375" t="s">
        <v>4405</v>
      </c>
      <c r="H2909" s="375" t="s">
        <v>4406</v>
      </c>
      <c r="I2909" s="63" t="s">
        <v>4407</v>
      </c>
      <c r="J2909" s="47">
        <v>3740</v>
      </c>
      <c r="K2909" s="46" t="s">
        <v>7938</v>
      </c>
      <c r="L2909" s="47" t="s">
        <v>4408</v>
      </c>
      <c r="M2909" s="47">
        <v>1430.0000000000002</v>
      </c>
      <c r="N2909" s="47"/>
      <c r="O2909" s="47" t="s">
        <v>4409</v>
      </c>
      <c r="P2909" s="47">
        <v>8500</v>
      </c>
      <c r="Q2909" s="47" t="s">
        <v>4410</v>
      </c>
      <c r="R2909" s="47"/>
      <c r="S2909" s="47"/>
      <c r="T2909" s="47">
        <v>1420</v>
      </c>
      <c r="U2909" s="47"/>
      <c r="V2909" s="47" t="s">
        <v>1355</v>
      </c>
      <c r="W2909" s="47"/>
      <c r="X2909" s="47">
        <v>3000</v>
      </c>
      <c r="Y2909" s="47"/>
      <c r="Z2909" s="47">
        <v>4620</v>
      </c>
      <c r="AA2909" s="47"/>
      <c r="AB2909" s="47"/>
      <c r="AC2909" s="47"/>
      <c r="AD2909" s="47"/>
      <c r="AE2909" s="47" t="s">
        <v>4411</v>
      </c>
      <c r="AF2909" s="47"/>
      <c r="AG2909" s="47"/>
      <c r="AH2909" s="47" t="str">
        <f>IFERROR(_xlfn.XLOOKUP(Table6[[#This Row],[Suburb]],Table5[Travel Surcharge],Table5[$$]),"")</f>
        <v/>
      </c>
      <c r="AI2909" s="47">
        <v>1650.0000000000002</v>
      </c>
      <c r="AJ2909" s="47"/>
    </row>
    <row r="2910" spans="1:36">
      <c r="A2910" s="374" t="s">
        <v>4401</v>
      </c>
      <c r="B2910" s="374">
        <v>34</v>
      </c>
      <c r="C2910" s="374" t="s">
        <v>4402</v>
      </c>
      <c r="D2910" s="375" t="s">
        <v>9393</v>
      </c>
      <c r="E2910" s="375" t="s">
        <v>9390</v>
      </c>
      <c r="F2910" s="375" t="s">
        <v>4404</v>
      </c>
      <c r="G2910" s="375" t="s">
        <v>4405</v>
      </c>
      <c r="H2910" s="375" t="s">
        <v>4406</v>
      </c>
      <c r="I2910" s="63" t="s">
        <v>4407</v>
      </c>
      <c r="J2910" s="47">
        <v>3740</v>
      </c>
      <c r="K2910" s="46" t="s">
        <v>7938</v>
      </c>
      <c r="L2910" s="47" t="s">
        <v>4408</v>
      </c>
      <c r="M2910" s="47">
        <v>1430.0000000000002</v>
      </c>
      <c r="N2910" s="47"/>
      <c r="O2910" s="47" t="s">
        <v>4409</v>
      </c>
      <c r="P2910" s="47">
        <v>8500</v>
      </c>
      <c r="Q2910" s="47" t="s">
        <v>4410</v>
      </c>
      <c r="R2910" s="47"/>
      <c r="S2910" s="47"/>
      <c r="T2910" s="47">
        <v>1420</v>
      </c>
      <c r="U2910" s="47"/>
      <c r="V2910" s="47" t="s">
        <v>1355</v>
      </c>
      <c r="W2910" s="47"/>
      <c r="X2910" s="47">
        <v>3000</v>
      </c>
      <c r="Y2910" s="47"/>
      <c r="Z2910" s="47">
        <v>4620</v>
      </c>
      <c r="AA2910" s="47"/>
      <c r="AB2910" s="47"/>
      <c r="AC2910" s="47"/>
      <c r="AD2910" s="47"/>
      <c r="AE2910" s="47" t="s">
        <v>4411</v>
      </c>
      <c r="AF2910" s="47"/>
      <c r="AG2910" s="47"/>
      <c r="AH2910" s="47" t="str">
        <f>IFERROR(_xlfn.XLOOKUP(Table6[[#This Row],[Suburb]],Table5[Travel Surcharge],Table5[$$]),"")</f>
        <v/>
      </c>
      <c r="AI2910" s="47">
        <v>1650.0000000000002</v>
      </c>
      <c r="AJ2910" s="47"/>
    </row>
    <row r="2911" spans="1:36">
      <c r="A2911" s="374" t="s">
        <v>4401</v>
      </c>
      <c r="B2911" s="374">
        <v>17</v>
      </c>
      <c r="C2911" s="374" t="s">
        <v>4402</v>
      </c>
      <c r="D2911" s="375" t="str">
        <f t="shared" ref="D2911:D2943" si="602">CONCATENATE(A2911,B2911)</f>
        <v>Modeina Estate17</v>
      </c>
      <c r="E2911" s="375" t="s">
        <v>4412</v>
      </c>
      <c r="F2911" s="375" t="s">
        <v>4404</v>
      </c>
      <c r="G2911" s="375" t="s">
        <v>4405</v>
      </c>
      <c r="H2911" s="375" t="s">
        <v>4406</v>
      </c>
      <c r="I2911" s="63" t="s">
        <v>4407</v>
      </c>
      <c r="J2911" s="47">
        <f t="shared" ref="J2911:J2918" si="603">J$7</f>
        <v>3740</v>
      </c>
      <c r="K2911" s="46" t="s">
        <v>7938</v>
      </c>
      <c r="L2911" s="47" t="s">
        <v>4408</v>
      </c>
      <c r="M2911" s="47">
        <f t="shared" ref="M2911:M2918" si="604">M$7</f>
        <v>1430.0000000000002</v>
      </c>
      <c r="N2911" s="47"/>
      <c r="O2911" s="47" t="s">
        <v>4409</v>
      </c>
      <c r="P2911" s="47">
        <v>8500</v>
      </c>
      <c r="Q2911" s="47" t="s">
        <v>4410</v>
      </c>
      <c r="R2911" s="47"/>
      <c r="S2911" s="47"/>
      <c r="T2911" s="47">
        <f t="shared" ref="T2911:T2918" si="605">T$2</f>
        <v>780</v>
      </c>
      <c r="U2911" s="47"/>
      <c r="V2911" s="47" t="s">
        <v>1355</v>
      </c>
      <c r="W2911" s="47"/>
      <c r="X2911" s="47">
        <f t="shared" ref="X2911:X2918" si="606">X$7</f>
        <v>3000</v>
      </c>
      <c r="Y2911" s="47"/>
      <c r="Z2911" s="47">
        <f t="shared" ref="Z2911:Z2919" si="607">Z$7</f>
        <v>4620</v>
      </c>
      <c r="AA2911" s="47"/>
      <c r="AB2911" s="47"/>
      <c r="AC2911" s="47"/>
      <c r="AD2911" s="47"/>
      <c r="AE2911" s="47" t="s">
        <v>4411</v>
      </c>
      <c r="AF2911" s="47"/>
      <c r="AG2911" s="47"/>
      <c r="AH2911" s="47" t="str">
        <f>IFERROR(_xlfn.XLOOKUP(Table6[[#This Row],[Suburb]],Table5[Travel Surcharge],Table5[$$]),"")</f>
        <v/>
      </c>
      <c r="AI2911" s="47">
        <v>1650.0000000000002</v>
      </c>
      <c r="AJ2911" s="47"/>
    </row>
    <row r="2912" spans="1:36">
      <c r="A2912" s="374" t="s">
        <v>4401</v>
      </c>
      <c r="B2912" s="374">
        <v>18</v>
      </c>
      <c r="C2912" s="374" t="s">
        <v>4402</v>
      </c>
      <c r="D2912" s="375" t="str">
        <f t="shared" si="602"/>
        <v>Modeina Estate18</v>
      </c>
      <c r="E2912" s="375" t="s">
        <v>4413</v>
      </c>
      <c r="F2912" s="375" t="s">
        <v>4404</v>
      </c>
      <c r="G2912" s="375" t="s">
        <v>4405</v>
      </c>
      <c r="H2912" s="375" t="s">
        <v>4406</v>
      </c>
      <c r="I2912" s="63" t="s">
        <v>4407</v>
      </c>
      <c r="J2912" s="47">
        <f t="shared" si="603"/>
        <v>3740</v>
      </c>
      <c r="K2912" s="46" t="s">
        <v>7938</v>
      </c>
      <c r="L2912" s="47" t="s">
        <v>4408</v>
      </c>
      <c r="M2912" s="47">
        <f t="shared" si="604"/>
        <v>1430.0000000000002</v>
      </c>
      <c r="N2912" s="47"/>
      <c r="O2912" s="47" t="s">
        <v>4409</v>
      </c>
      <c r="P2912" s="47">
        <v>8500</v>
      </c>
      <c r="Q2912" s="47" t="s">
        <v>4410</v>
      </c>
      <c r="R2912" s="47"/>
      <c r="S2912" s="47"/>
      <c r="T2912" s="47">
        <f t="shared" si="605"/>
        <v>780</v>
      </c>
      <c r="U2912" s="47"/>
      <c r="V2912" s="47" t="s">
        <v>1355</v>
      </c>
      <c r="W2912" s="47"/>
      <c r="X2912" s="47">
        <f t="shared" si="606"/>
        <v>3000</v>
      </c>
      <c r="Y2912" s="47"/>
      <c r="Z2912" s="47">
        <f t="shared" si="607"/>
        <v>4620</v>
      </c>
      <c r="AA2912" s="47"/>
      <c r="AB2912" s="47"/>
      <c r="AC2912" s="47"/>
      <c r="AD2912" s="47"/>
      <c r="AE2912" s="47" t="s">
        <v>4411</v>
      </c>
      <c r="AF2912" s="47"/>
      <c r="AG2912" s="47"/>
      <c r="AH2912" s="47" t="str">
        <f>IFERROR(_xlfn.XLOOKUP(Table6[[#This Row],[Suburb]],Table5[Travel Surcharge],Table5[$$]),"")</f>
        <v/>
      </c>
      <c r="AI2912" s="47">
        <v>1650.0000000000002</v>
      </c>
      <c r="AJ2912" s="47"/>
    </row>
    <row r="2913" spans="1:36">
      <c r="A2913" s="374" t="s">
        <v>4401</v>
      </c>
      <c r="B2913" s="374">
        <v>19</v>
      </c>
      <c r="C2913" s="374" t="s">
        <v>4402</v>
      </c>
      <c r="D2913" s="375" t="str">
        <f t="shared" si="602"/>
        <v>Modeina Estate19</v>
      </c>
      <c r="E2913" s="375" t="s">
        <v>4414</v>
      </c>
      <c r="F2913" s="375" t="s">
        <v>4404</v>
      </c>
      <c r="G2913" s="375" t="s">
        <v>4405</v>
      </c>
      <c r="H2913" s="375" t="s">
        <v>4406</v>
      </c>
      <c r="I2913" s="63" t="s">
        <v>4407</v>
      </c>
      <c r="J2913" s="47">
        <f t="shared" si="603"/>
        <v>3740</v>
      </c>
      <c r="K2913" s="46" t="s">
        <v>7938</v>
      </c>
      <c r="L2913" s="47" t="s">
        <v>4408</v>
      </c>
      <c r="M2913" s="47">
        <f t="shared" si="604"/>
        <v>1430.0000000000002</v>
      </c>
      <c r="N2913" s="47"/>
      <c r="O2913" s="47" t="s">
        <v>4409</v>
      </c>
      <c r="P2913" s="47">
        <v>8500</v>
      </c>
      <c r="Q2913" s="47" t="s">
        <v>4410</v>
      </c>
      <c r="R2913" s="47"/>
      <c r="S2913" s="47"/>
      <c r="T2913" s="47">
        <f t="shared" si="605"/>
        <v>780</v>
      </c>
      <c r="U2913" s="47"/>
      <c r="V2913" s="47" t="s">
        <v>1355</v>
      </c>
      <c r="W2913" s="47"/>
      <c r="X2913" s="47">
        <f t="shared" si="606"/>
        <v>3000</v>
      </c>
      <c r="Y2913" s="47"/>
      <c r="Z2913" s="47">
        <f t="shared" si="607"/>
        <v>4620</v>
      </c>
      <c r="AA2913" s="47"/>
      <c r="AB2913" s="47"/>
      <c r="AC2913" s="47"/>
      <c r="AD2913" s="47"/>
      <c r="AE2913" s="47" t="s">
        <v>4411</v>
      </c>
      <c r="AF2913" s="47"/>
      <c r="AG2913" s="47"/>
      <c r="AH2913" s="47" t="str">
        <f>IFERROR(_xlfn.XLOOKUP(Table6[[#This Row],[Suburb]],Table5[Travel Surcharge],Table5[$$]),"")</f>
        <v/>
      </c>
      <c r="AI2913" s="47">
        <v>1650.0000000000002</v>
      </c>
      <c r="AJ2913" s="47"/>
    </row>
    <row r="2914" spans="1:36">
      <c r="A2914" s="374" t="s">
        <v>4401</v>
      </c>
      <c r="B2914" s="374">
        <v>22</v>
      </c>
      <c r="C2914" s="374" t="s">
        <v>4402</v>
      </c>
      <c r="D2914" s="375" t="str">
        <f t="shared" si="602"/>
        <v>Modeina Estate22</v>
      </c>
      <c r="E2914" s="375" t="s">
        <v>4415</v>
      </c>
      <c r="F2914" s="375" t="s">
        <v>4404</v>
      </c>
      <c r="G2914" s="375" t="s">
        <v>4405</v>
      </c>
      <c r="H2914" s="375" t="s">
        <v>4406</v>
      </c>
      <c r="I2914" s="63" t="s">
        <v>4407</v>
      </c>
      <c r="J2914" s="47">
        <f t="shared" si="603"/>
        <v>3740</v>
      </c>
      <c r="K2914" s="46" t="s">
        <v>7938</v>
      </c>
      <c r="L2914" s="47" t="s">
        <v>4408</v>
      </c>
      <c r="M2914" s="47">
        <f t="shared" si="604"/>
        <v>1430.0000000000002</v>
      </c>
      <c r="N2914" s="47"/>
      <c r="O2914" s="47" t="s">
        <v>4409</v>
      </c>
      <c r="P2914" s="47">
        <v>8500</v>
      </c>
      <c r="Q2914" s="47" t="s">
        <v>4410</v>
      </c>
      <c r="R2914" s="47"/>
      <c r="S2914" s="47"/>
      <c r="T2914" s="47">
        <f t="shared" si="605"/>
        <v>780</v>
      </c>
      <c r="U2914" s="47"/>
      <c r="V2914" s="47" t="s">
        <v>1355</v>
      </c>
      <c r="W2914" s="47"/>
      <c r="X2914" s="47">
        <f t="shared" si="606"/>
        <v>3000</v>
      </c>
      <c r="Y2914" s="47"/>
      <c r="Z2914" s="47">
        <f t="shared" si="607"/>
        <v>4620</v>
      </c>
      <c r="AA2914" s="47"/>
      <c r="AB2914" s="47"/>
      <c r="AC2914" s="47"/>
      <c r="AD2914" s="47"/>
      <c r="AE2914" s="47" t="s">
        <v>4411</v>
      </c>
      <c r="AF2914" s="47"/>
      <c r="AG2914" s="47"/>
      <c r="AH2914" s="47" t="str">
        <f>IFERROR(_xlfn.XLOOKUP(Table6[[#This Row],[Suburb]],Table5[Travel Surcharge],Table5[$$]),"")</f>
        <v/>
      </c>
      <c r="AI2914" s="47">
        <v>1650.0000000000002</v>
      </c>
      <c r="AJ2914" s="47"/>
    </row>
    <row r="2915" spans="1:36">
      <c r="A2915" s="374" t="s">
        <v>4401</v>
      </c>
      <c r="B2915" s="374">
        <v>24</v>
      </c>
      <c r="C2915" s="374" t="s">
        <v>4402</v>
      </c>
      <c r="D2915" s="375" t="str">
        <f t="shared" si="602"/>
        <v>Modeina Estate24</v>
      </c>
      <c r="E2915" s="375" t="s">
        <v>4416</v>
      </c>
      <c r="F2915" s="375" t="s">
        <v>4404</v>
      </c>
      <c r="G2915" s="375" t="s">
        <v>4405</v>
      </c>
      <c r="H2915" s="375" t="s">
        <v>4406</v>
      </c>
      <c r="I2915" s="63" t="s">
        <v>4407</v>
      </c>
      <c r="J2915" s="47">
        <f t="shared" si="603"/>
        <v>3740</v>
      </c>
      <c r="K2915" s="46" t="s">
        <v>7938</v>
      </c>
      <c r="L2915" s="47" t="s">
        <v>4408</v>
      </c>
      <c r="M2915" s="47">
        <f t="shared" si="604"/>
        <v>1430.0000000000002</v>
      </c>
      <c r="N2915" s="47"/>
      <c r="O2915" s="47" t="s">
        <v>4409</v>
      </c>
      <c r="P2915" s="47">
        <v>8500</v>
      </c>
      <c r="Q2915" s="47" t="s">
        <v>4410</v>
      </c>
      <c r="R2915" s="47"/>
      <c r="S2915" s="47"/>
      <c r="T2915" s="47">
        <f t="shared" si="605"/>
        <v>780</v>
      </c>
      <c r="U2915" s="47"/>
      <c r="V2915" s="47" t="s">
        <v>1355</v>
      </c>
      <c r="W2915" s="47"/>
      <c r="X2915" s="47">
        <f t="shared" si="606"/>
        <v>3000</v>
      </c>
      <c r="Y2915" s="47"/>
      <c r="Z2915" s="47">
        <f t="shared" si="607"/>
        <v>4620</v>
      </c>
      <c r="AA2915" s="47"/>
      <c r="AB2915" s="47"/>
      <c r="AC2915" s="47"/>
      <c r="AD2915" s="47"/>
      <c r="AE2915" s="47" t="s">
        <v>4411</v>
      </c>
      <c r="AF2915" s="47"/>
      <c r="AG2915" s="47"/>
      <c r="AH2915" s="47" t="str">
        <f>IFERROR(_xlfn.XLOOKUP(Table6[[#This Row],[Suburb]],Table5[Travel Surcharge],Table5[$$]),"")</f>
        <v/>
      </c>
      <c r="AI2915" s="47">
        <v>1650.0000000000002</v>
      </c>
      <c r="AJ2915" s="47"/>
    </row>
    <row r="2916" spans="1:36">
      <c r="A2916" s="374" t="s">
        <v>4401</v>
      </c>
      <c r="B2916" s="374">
        <v>27</v>
      </c>
      <c r="C2916" s="374" t="s">
        <v>4402</v>
      </c>
      <c r="D2916" s="375" t="str">
        <f t="shared" si="602"/>
        <v>Modeina Estate27</v>
      </c>
      <c r="E2916" s="375" t="s">
        <v>9515</v>
      </c>
      <c r="F2916" s="375" t="s">
        <v>4404</v>
      </c>
      <c r="G2916" s="375" t="s">
        <v>4405</v>
      </c>
      <c r="H2916" s="375" t="s">
        <v>4406</v>
      </c>
      <c r="I2916" s="63" t="s">
        <v>4407</v>
      </c>
      <c r="J2916" s="47">
        <f t="shared" si="603"/>
        <v>3740</v>
      </c>
      <c r="K2916" s="46" t="s">
        <v>7938</v>
      </c>
      <c r="L2916" s="47" t="s">
        <v>4408</v>
      </c>
      <c r="M2916" s="47">
        <f t="shared" si="604"/>
        <v>1430.0000000000002</v>
      </c>
      <c r="N2916" s="47"/>
      <c r="O2916" s="47" t="s">
        <v>4409</v>
      </c>
      <c r="P2916" s="47">
        <v>8500</v>
      </c>
      <c r="Q2916" s="47" t="s">
        <v>4410</v>
      </c>
      <c r="R2916" s="47"/>
      <c r="S2916" s="47"/>
      <c r="T2916" s="47">
        <f t="shared" si="605"/>
        <v>780</v>
      </c>
      <c r="U2916" s="47"/>
      <c r="V2916" s="47" t="s">
        <v>1355</v>
      </c>
      <c r="W2916" s="47"/>
      <c r="X2916" s="47">
        <f t="shared" si="606"/>
        <v>3000</v>
      </c>
      <c r="Y2916" s="47"/>
      <c r="Z2916" s="47">
        <f t="shared" si="607"/>
        <v>4620</v>
      </c>
      <c r="AA2916" s="47"/>
      <c r="AB2916" s="47"/>
      <c r="AC2916" s="47"/>
      <c r="AD2916" s="47"/>
      <c r="AE2916" s="47" t="s">
        <v>4411</v>
      </c>
      <c r="AF2916" s="47"/>
      <c r="AG2916" s="47"/>
      <c r="AH2916" s="47" t="str">
        <f>IFERROR(_xlfn.XLOOKUP(Table6[[#This Row],[Suburb]],Table5[Travel Surcharge],Table5[$$]),"")</f>
        <v/>
      </c>
      <c r="AI2916" s="47">
        <v>1650.0000000000002</v>
      </c>
      <c r="AJ2916" s="47"/>
    </row>
    <row r="2917" spans="1:36">
      <c r="A2917" s="374" t="s">
        <v>4401</v>
      </c>
      <c r="B2917" s="374">
        <v>29</v>
      </c>
      <c r="C2917" s="374" t="s">
        <v>4402</v>
      </c>
      <c r="D2917" s="375" t="str">
        <f t="shared" si="602"/>
        <v>Modeina Estate29</v>
      </c>
      <c r="E2917" s="375" t="s">
        <v>10793</v>
      </c>
      <c r="F2917" s="375" t="s">
        <v>4404</v>
      </c>
      <c r="G2917" s="375" t="s">
        <v>4405</v>
      </c>
      <c r="H2917" s="375" t="s">
        <v>4406</v>
      </c>
      <c r="I2917" s="63" t="s">
        <v>4407</v>
      </c>
      <c r="J2917" s="47">
        <v>3740</v>
      </c>
      <c r="K2917" s="46" t="s">
        <v>7938</v>
      </c>
      <c r="L2917" s="47" t="s">
        <v>4408</v>
      </c>
      <c r="M2917" s="47">
        <v>1430.0000000000002</v>
      </c>
      <c r="N2917" s="47"/>
      <c r="O2917" s="47" t="s">
        <v>4409</v>
      </c>
      <c r="P2917" s="47">
        <v>8500</v>
      </c>
      <c r="Q2917" s="47" t="s">
        <v>4410</v>
      </c>
      <c r="R2917" s="47"/>
      <c r="S2917" s="47"/>
      <c r="T2917" s="47">
        <v>780</v>
      </c>
      <c r="U2917" s="47"/>
      <c r="V2917" s="47" t="s">
        <v>1355</v>
      </c>
      <c r="W2917" s="47"/>
      <c r="X2917" s="47">
        <v>3000</v>
      </c>
      <c r="Y2917" s="47"/>
      <c r="Z2917" s="47">
        <v>4620</v>
      </c>
      <c r="AA2917" s="47"/>
      <c r="AB2917" s="47"/>
      <c r="AC2917" s="47"/>
      <c r="AD2917" s="47"/>
      <c r="AE2917" s="47" t="s">
        <v>4411</v>
      </c>
      <c r="AF2917" s="47"/>
      <c r="AG2917" s="47"/>
      <c r="AH2917" s="47" t="s">
        <v>9976</v>
      </c>
      <c r="AI2917" s="47">
        <v>1650.0000000000002</v>
      </c>
      <c r="AJ2917" s="47"/>
    </row>
    <row r="2918" spans="1:36">
      <c r="A2918" s="374" t="s">
        <v>4401</v>
      </c>
      <c r="B2918" s="374">
        <v>32</v>
      </c>
      <c r="C2918" s="374" t="s">
        <v>4402</v>
      </c>
      <c r="D2918" s="375" t="str">
        <f t="shared" si="602"/>
        <v>Modeina Estate32</v>
      </c>
      <c r="E2918" s="375" t="s">
        <v>9390</v>
      </c>
      <c r="F2918" s="375" t="s">
        <v>4404</v>
      </c>
      <c r="G2918" s="375" t="s">
        <v>4405</v>
      </c>
      <c r="H2918" s="375" t="s">
        <v>4406</v>
      </c>
      <c r="I2918" s="63" t="s">
        <v>4407</v>
      </c>
      <c r="J2918" s="47">
        <f t="shared" si="603"/>
        <v>3740</v>
      </c>
      <c r="K2918" s="46" t="s">
        <v>7938</v>
      </c>
      <c r="L2918" s="47" t="s">
        <v>4408</v>
      </c>
      <c r="M2918" s="47">
        <f t="shared" si="604"/>
        <v>1430.0000000000002</v>
      </c>
      <c r="N2918" s="47"/>
      <c r="O2918" s="47" t="s">
        <v>4409</v>
      </c>
      <c r="P2918" s="47">
        <v>8500</v>
      </c>
      <c r="Q2918" s="47" t="s">
        <v>4410</v>
      </c>
      <c r="R2918" s="47"/>
      <c r="S2918" s="47"/>
      <c r="T2918" s="47">
        <f t="shared" si="605"/>
        <v>780</v>
      </c>
      <c r="U2918" s="47"/>
      <c r="V2918" s="47" t="s">
        <v>1355</v>
      </c>
      <c r="W2918" s="47"/>
      <c r="X2918" s="47">
        <f t="shared" si="606"/>
        <v>3000</v>
      </c>
      <c r="Y2918" s="47"/>
      <c r="Z2918" s="47">
        <f t="shared" si="607"/>
        <v>4620</v>
      </c>
      <c r="AA2918" s="47"/>
      <c r="AB2918" s="47"/>
      <c r="AC2918" s="47"/>
      <c r="AD2918" s="47"/>
      <c r="AE2918" s="47" t="s">
        <v>4411</v>
      </c>
      <c r="AF2918" s="47"/>
      <c r="AG2918" s="47"/>
      <c r="AH2918" s="47" t="str">
        <f>IFERROR(_xlfn.XLOOKUP(Table6[[#This Row],[Suburb]],Table5[Travel Surcharge],Table5[$$]),"")</f>
        <v/>
      </c>
      <c r="AI2918" s="47">
        <v>1650.0000000000002</v>
      </c>
      <c r="AJ2918" s="47"/>
    </row>
    <row r="2919" spans="1:36">
      <c r="A2919" s="374" t="s">
        <v>9314</v>
      </c>
      <c r="B2919" s="374">
        <v>1</v>
      </c>
      <c r="C2919" s="374" t="s">
        <v>9315</v>
      </c>
      <c r="D2919" s="375" t="str">
        <f t="shared" si="602"/>
        <v>Monarch1</v>
      </c>
      <c r="E2919" s="375" t="s">
        <v>9316</v>
      </c>
      <c r="F2919" s="375" t="s">
        <v>9317</v>
      </c>
      <c r="G2919" s="375"/>
      <c r="H2919" s="383" t="s">
        <v>9319</v>
      </c>
      <c r="I2919" s="338" t="s">
        <v>9318</v>
      </c>
      <c r="J2919" s="47"/>
      <c r="K2919" s="46" t="s">
        <v>7938</v>
      </c>
      <c r="L2919" s="47"/>
      <c r="M2919" s="47"/>
      <c r="N2919" s="47" t="s">
        <v>7213</v>
      </c>
      <c r="O2919" s="47">
        <f>O$7</f>
        <v>4950</v>
      </c>
      <c r="P2919" s="47"/>
      <c r="Q2919" s="47"/>
      <c r="R2919" s="47"/>
      <c r="S2919" s="47">
        <f>S$2</f>
        <v>590</v>
      </c>
      <c r="T2919" s="47"/>
      <c r="U2919" s="47"/>
      <c r="V2919" s="47"/>
      <c r="W2919" s="47"/>
      <c r="X2919" s="47"/>
      <c r="Y2919" s="47"/>
      <c r="Z2919" s="47">
        <f t="shared" si="607"/>
        <v>4620</v>
      </c>
      <c r="AA2919" s="47"/>
      <c r="AB2919" s="47"/>
      <c r="AC2919" s="47"/>
      <c r="AD2919" s="47"/>
      <c r="AE2919" s="47"/>
      <c r="AF2919" s="47"/>
      <c r="AG2919" s="47"/>
      <c r="AH2919" s="47" t="str">
        <f>IFERROR(_xlfn.XLOOKUP(Table6[[#This Row],[Suburb]],Table5[Travel Surcharge],Table5[$$]),"")</f>
        <v/>
      </c>
      <c r="AI2919" s="47"/>
      <c r="AJ2919" s="47"/>
    </row>
    <row r="2920" spans="1:36">
      <c r="A2920" s="374" t="s">
        <v>9314</v>
      </c>
      <c r="B2920" s="374">
        <v>2</v>
      </c>
      <c r="C2920" s="374" t="s">
        <v>9315</v>
      </c>
      <c r="D2920" s="375" t="str">
        <f t="shared" si="602"/>
        <v>Monarch2</v>
      </c>
      <c r="E2920" s="375" t="s">
        <v>9320</v>
      </c>
      <c r="F2920" s="375" t="s">
        <v>9317</v>
      </c>
      <c r="G2920" s="375"/>
      <c r="H2920" s="375" t="s">
        <v>9319</v>
      </c>
      <c r="I2920" s="63" t="s">
        <v>9318</v>
      </c>
      <c r="J2920" s="47"/>
      <c r="K2920" s="46" t="s">
        <v>7938</v>
      </c>
      <c r="L2920" s="47"/>
      <c r="M2920" s="47"/>
      <c r="N2920" s="47" t="s">
        <v>7213</v>
      </c>
      <c r="O2920" s="47">
        <v>4950</v>
      </c>
      <c r="P2920" s="47"/>
      <c r="Q2920" s="47"/>
      <c r="R2920" s="47"/>
      <c r="S2920" s="47">
        <v>590</v>
      </c>
      <c r="T2920" s="47"/>
      <c r="U2920" s="47"/>
      <c r="V2920" s="47"/>
      <c r="W2920" s="47"/>
      <c r="X2920" s="47"/>
      <c r="Y2920" s="47"/>
      <c r="Z2920" s="47">
        <v>4620</v>
      </c>
      <c r="AA2920" s="47"/>
      <c r="AB2920" s="47"/>
      <c r="AC2920" s="47"/>
      <c r="AD2920" s="47"/>
      <c r="AE2920" s="47"/>
      <c r="AF2920" s="47"/>
      <c r="AG2920" s="47"/>
      <c r="AH2920" s="47" t="str">
        <f>IFERROR(_xlfn.XLOOKUP(Table6[[#This Row],[Suburb]],Table5[Travel Surcharge],Table5[$$]),"")</f>
        <v/>
      </c>
      <c r="AI2920" s="47"/>
      <c r="AJ2920" s="47"/>
    </row>
    <row r="2921" spans="1:36">
      <c r="A2921" s="374" t="s">
        <v>9314</v>
      </c>
      <c r="B2921" s="374">
        <v>3</v>
      </c>
      <c r="C2921" s="374" t="s">
        <v>9315</v>
      </c>
      <c r="D2921" s="375" t="str">
        <f t="shared" si="602"/>
        <v>Monarch3</v>
      </c>
      <c r="E2921" s="375" t="s">
        <v>9616</v>
      </c>
      <c r="F2921" s="375" t="s">
        <v>9317</v>
      </c>
      <c r="G2921" s="375"/>
      <c r="H2921" s="375" t="s">
        <v>9319</v>
      </c>
      <c r="I2921" s="63" t="s">
        <v>9318</v>
      </c>
      <c r="J2921" s="47"/>
      <c r="K2921" s="46" t="s">
        <v>7938</v>
      </c>
      <c r="L2921" s="47"/>
      <c r="M2921" s="47"/>
      <c r="N2921" s="47" t="s">
        <v>7213</v>
      </c>
      <c r="O2921" s="47">
        <v>4950</v>
      </c>
      <c r="P2921" s="47"/>
      <c r="Q2921" s="47"/>
      <c r="R2921" s="47"/>
      <c r="S2921" s="47">
        <v>590</v>
      </c>
      <c r="T2921" s="47"/>
      <c r="U2921" s="47"/>
      <c r="V2921" s="47"/>
      <c r="W2921" s="47"/>
      <c r="X2921" s="47"/>
      <c r="Y2921" s="47"/>
      <c r="Z2921" s="47">
        <v>4620</v>
      </c>
      <c r="AA2921" s="47"/>
      <c r="AB2921" s="47"/>
      <c r="AC2921" s="47"/>
      <c r="AD2921" s="47"/>
      <c r="AE2921" s="47"/>
      <c r="AF2921" s="47"/>
      <c r="AG2921" s="47"/>
      <c r="AH2921" s="47" t="str">
        <f>IFERROR(_xlfn.XLOOKUP(Table6[[#This Row],[Suburb]],Table5[Travel Surcharge],Table5[$$]),"")</f>
        <v/>
      </c>
      <c r="AI2921" s="47"/>
      <c r="AJ2921" s="47"/>
    </row>
    <row r="2922" spans="1:36">
      <c r="A2922" s="374" t="s">
        <v>9314</v>
      </c>
      <c r="B2922" s="374">
        <v>4</v>
      </c>
      <c r="C2922" s="374" t="s">
        <v>9315</v>
      </c>
      <c r="D2922" s="375" t="str">
        <f t="shared" si="602"/>
        <v>Monarch4</v>
      </c>
      <c r="E2922" s="375" t="s">
        <v>9822</v>
      </c>
      <c r="F2922" s="375" t="s">
        <v>9317</v>
      </c>
      <c r="G2922" s="375"/>
      <c r="H2922" s="375" t="s">
        <v>9319</v>
      </c>
      <c r="I2922" s="63" t="s">
        <v>9318</v>
      </c>
      <c r="J2922" s="47"/>
      <c r="K2922" s="46" t="s">
        <v>7938</v>
      </c>
      <c r="L2922" s="47"/>
      <c r="M2922" s="47"/>
      <c r="N2922" s="47" t="s">
        <v>7213</v>
      </c>
      <c r="O2922" s="47">
        <v>4950</v>
      </c>
      <c r="P2922" s="47"/>
      <c r="Q2922" s="47"/>
      <c r="R2922" s="47"/>
      <c r="S2922" s="47">
        <v>590</v>
      </c>
      <c r="T2922" s="47"/>
      <c r="U2922" s="47"/>
      <c r="V2922" s="47"/>
      <c r="W2922" s="47"/>
      <c r="X2922" s="47"/>
      <c r="Y2922" s="47"/>
      <c r="Z2922" s="47">
        <v>4620</v>
      </c>
      <c r="AA2922" s="47"/>
      <c r="AB2922" s="47"/>
      <c r="AC2922" s="47"/>
      <c r="AD2922" s="47"/>
      <c r="AE2922" s="47"/>
      <c r="AF2922" s="47"/>
      <c r="AG2922" s="47"/>
      <c r="AH2922" s="47" t="str">
        <f>IFERROR(_xlfn.XLOOKUP(Table6[[#This Row],[Suburb]],Table5[Travel Surcharge],Table5[$$]),"")</f>
        <v/>
      </c>
      <c r="AI2922" s="47"/>
      <c r="AJ2922" s="47"/>
    </row>
    <row r="2923" spans="1:36">
      <c r="A2923" s="374" t="s">
        <v>4417</v>
      </c>
      <c r="B2923" s="374">
        <v>6</v>
      </c>
      <c r="C2923" s="374" t="s">
        <v>298</v>
      </c>
      <c r="D2923" s="375" t="str">
        <f t="shared" si="602"/>
        <v>Monash Views Estate6</v>
      </c>
      <c r="E2923" s="375" t="s">
        <v>4418</v>
      </c>
      <c r="F2923" s="375"/>
      <c r="G2923" s="375" t="s">
        <v>4419</v>
      </c>
      <c r="H2923" s="375" t="s">
        <v>4420</v>
      </c>
      <c r="I2923" s="63" t="s">
        <v>4421</v>
      </c>
      <c r="J2923" s="47"/>
      <c r="K2923" s="46" t="s">
        <v>10735</v>
      </c>
      <c r="L2923" s="47">
        <f>L$7</f>
        <v>1210</v>
      </c>
      <c r="M2923" s="47" t="s">
        <v>4422</v>
      </c>
      <c r="N2923" s="47" t="s">
        <v>4423</v>
      </c>
      <c r="O2923" s="47" t="s">
        <v>4424</v>
      </c>
      <c r="P2923" s="47" t="s">
        <v>4425</v>
      </c>
      <c r="Q2923" s="47"/>
      <c r="R2923" s="47">
        <f>R$2</f>
        <v>540</v>
      </c>
      <c r="S2923" s="47" t="s">
        <v>4426</v>
      </c>
      <c r="T2923" s="47" t="s">
        <v>4427</v>
      </c>
      <c r="U2923" s="47"/>
      <c r="V2923" s="47"/>
      <c r="W2923" s="47"/>
      <c r="X2923" s="47"/>
      <c r="Y2923" s="47"/>
      <c r="Z2923" s="47">
        <f t="shared" ref="Z2923:Z2968" si="608">Z$7</f>
        <v>4620</v>
      </c>
      <c r="AA2923" s="47"/>
      <c r="AB2923" s="47"/>
      <c r="AC2923" s="47"/>
      <c r="AD2923" s="47"/>
      <c r="AE2923" s="47"/>
      <c r="AF2923" s="47"/>
      <c r="AG2923" s="47"/>
      <c r="AH2923" s="47">
        <f>IFERROR(_xlfn.XLOOKUP(Table6[[#This Row],[Suburb]],Table5[Travel Surcharge],Table5[$$]),"")</f>
        <v>7000</v>
      </c>
      <c r="AI2923" s="47"/>
      <c r="AJ2923" s="47"/>
    </row>
    <row r="2924" spans="1:36">
      <c r="A2924" s="374" t="s">
        <v>4417</v>
      </c>
      <c r="B2924" s="374">
        <v>7</v>
      </c>
      <c r="C2924" s="374" t="s">
        <v>298</v>
      </c>
      <c r="D2924" s="375" t="str">
        <f t="shared" si="602"/>
        <v>Monash Views Estate7</v>
      </c>
      <c r="E2924" s="375" t="s">
        <v>4428</v>
      </c>
      <c r="F2924" s="375"/>
      <c r="G2924" s="375" t="s">
        <v>4419</v>
      </c>
      <c r="H2924" s="375" t="s">
        <v>4420</v>
      </c>
      <c r="I2924" s="63" t="s">
        <v>4421</v>
      </c>
      <c r="J2924" s="47"/>
      <c r="K2924" s="46" t="s">
        <v>10735</v>
      </c>
      <c r="L2924" s="47">
        <f>L$7</f>
        <v>1210</v>
      </c>
      <c r="M2924" s="47" t="s">
        <v>4422</v>
      </c>
      <c r="N2924" s="47" t="s">
        <v>4423</v>
      </c>
      <c r="O2924" s="47" t="s">
        <v>4424</v>
      </c>
      <c r="P2924" s="47" t="s">
        <v>4425</v>
      </c>
      <c r="Q2924" s="47"/>
      <c r="R2924" s="47">
        <f>R$2</f>
        <v>540</v>
      </c>
      <c r="S2924" s="47" t="s">
        <v>4426</v>
      </c>
      <c r="T2924" s="47" t="s">
        <v>4427</v>
      </c>
      <c r="U2924" s="47"/>
      <c r="V2924" s="47"/>
      <c r="W2924" s="47"/>
      <c r="X2924" s="47"/>
      <c r="Y2924" s="47"/>
      <c r="Z2924" s="47">
        <f t="shared" si="608"/>
        <v>4620</v>
      </c>
      <c r="AA2924" s="47"/>
      <c r="AB2924" s="47"/>
      <c r="AC2924" s="47"/>
      <c r="AD2924" s="47"/>
      <c r="AE2924" s="47"/>
      <c r="AF2924" s="47"/>
      <c r="AG2924" s="47"/>
      <c r="AH2924" s="47">
        <f>IFERROR(_xlfn.XLOOKUP(Table6[[#This Row],[Suburb]],Table5[Travel Surcharge],Table5[$$]),"")</f>
        <v>7000</v>
      </c>
      <c r="AI2924" s="47"/>
      <c r="AJ2924" s="47"/>
    </row>
    <row r="2925" spans="1:36">
      <c r="A2925" s="374" t="s">
        <v>4429</v>
      </c>
      <c r="B2925" s="374">
        <v>1</v>
      </c>
      <c r="C2925" s="374" t="s">
        <v>2371</v>
      </c>
      <c r="D2925" s="375" t="str">
        <f t="shared" si="602"/>
        <v>Montana1</v>
      </c>
      <c r="E2925" s="375" t="s">
        <v>4430</v>
      </c>
      <c r="F2925" s="375" t="s">
        <v>2664</v>
      </c>
      <c r="G2925" s="375" t="s">
        <v>4431</v>
      </c>
      <c r="H2925" s="375" t="s">
        <v>4432</v>
      </c>
      <c r="I2925" s="63" t="s">
        <v>4433</v>
      </c>
      <c r="J2925" s="47"/>
      <c r="K2925" s="46" t="s">
        <v>7938</v>
      </c>
      <c r="L2925" s="47">
        <f>L$7</f>
        <v>1210</v>
      </c>
      <c r="M2925" s="47" t="s">
        <v>4434</v>
      </c>
      <c r="N2925" s="47" t="s">
        <v>4435</v>
      </c>
      <c r="O2925" s="47" t="s">
        <v>4436</v>
      </c>
      <c r="P2925" s="47" t="s">
        <v>4437</v>
      </c>
      <c r="Q2925" s="47"/>
      <c r="R2925" s="47">
        <f>R$2</f>
        <v>540</v>
      </c>
      <c r="S2925" s="47" t="s">
        <v>4438</v>
      </c>
      <c r="T2925" s="47"/>
      <c r="U2925" s="47"/>
      <c r="V2925" s="47" t="s">
        <v>10129</v>
      </c>
      <c r="W2925" s="47"/>
      <c r="X2925" s="47"/>
      <c r="Y2925" s="47"/>
      <c r="Z2925" s="47">
        <f t="shared" si="608"/>
        <v>4620</v>
      </c>
      <c r="AA2925" s="47"/>
      <c r="AB2925" s="47"/>
      <c r="AC2925" s="47"/>
      <c r="AD2925" s="47"/>
      <c r="AE2925" s="47">
        <f>+AE$7</f>
        <v>5000</v>
      </c>
      <c r="AF2925" s="47">
        <f>AF$7</f>
        <v>1485</v>
      </c>
      <c r="AG2925" s="47"/>
      <c r="AH2925" s="47">
        <f>IFERROR(_xlfn.XLOOKUP(Table6[[#This Row],[Suburb]],Table5[Travel Surcharge],Table5[$$]),"")</f>
        <v>4000</v>
      </c>
      <c r="AI2925" s="47" t="s">
        <v>4439</v>
      </c>
      <c r="AJ2925" s="47"/>
    </row>
    <row r="2926" spans="1:36">
      <c r="A2926" s="157" t="s">
        <v>4429</v>
      </c>
      <c r="B2926" s="157">
        <v>2</v>
      </c>
      <c r="C2926" s="157" t="s">
        <v>7454</v>
      </c>
      <c r="D2926" s="157" t="str">
        <f t="shared" si="602"/>
        <v>Montana2</v>
      </c>
      <c r="E2926" s="157" t="s">
        <v>7457</v>
      </c>
      <c r="F2926" s="157" t="s">
        <v>2664</v>
      </c>
      <c r="G2926" s="157" t="s">
        <v>4431</v>
      </c>
      <c r="H2926" s="157" t="s">
        <v>7455</v>
      </c>
      <c r="I2926" s="158" t="s">
        <v>4433</v>
      </c>
      <c r="J2926" s="47"/>
      <c r="K2926" s="46" t="s">
        <v>7938</v>
      </c>
      <c r="L2926" s="47">
        <f>L$7</f>
        <v>1210</v>
      </c>
      <c r="M2926" s="47" t="s">
        <v>4434</v>
      </c>
      <c r="N2926" s="47" t="s">
        <v>4435</v>
      </c>
      <c r="O2926" s="47" t="s">
        <v>7456</v>
      </c>
      <c r="P2926" s="47" t="s">
        <v>4437</v>
      </c>
      <c r="Q2926" s="47"/>
      <c r="R2926" s="47">
        <f>R$2</f>
        <v>540</v>
      </c>
      <c r="S2926" s="47" t="s">
        <v>4438</v>
      </c>
      <c r="T2926" s="47"/>
      <c r="U2926" s="47"/>
      <c r="V2926" s="47" t="s">
        <v>10129</v>
      </c>
      <c r="W2926" s="47"/>
      <c r="X2926" s="47"/>
      <c r="Y2926" s="47"/>
      <c r="Z2926" s="47">
        <f t="shared" si="608"/>
        <v>4620</v>
      </c>
      <c r="AA2926" s="47"/>
      <c r="AB2926" s="47"/>
      <c r="AC2926" s="47"/>
      <c r="AD2926" s="47"/>
      <c r="AE2926" s="47">
        <f>+AE$7</f>
        <v>5000</v>
      </c>
      <c r="AF2926" s="47">
        <f>AF$7</f>
        <v>1485</v>
      </c>
      <c r="AG2926" s="47"/>
      <c r="AH2926" s="47" t="str">
        <f>IFERROR(_xlfn.XLOOKUP(Table6[[#This Row],[Suburb]],Table5[Travel Surcharge],Table5[$$]),"")</f>
        <v/>
      </c>
      <c r="AI2926" s="47" t="s">
        <v>4439</v>
      </c>
      <c r="AJ2926" s="47"/>
    </row>
    <row r="2927" spans="1:36">
      <c r="A2927" s="382" t="s">
        <v>9735</v>
      </c>
      <c r="B2927" s="382">
        <v>1</v>
      </c>
      <c r="C2927" s="382" t="s">
        <v>1075</v>
      </c>
      <c r="D2927" s="382" t="str">
        <f t="shared" si="602"/>
        <v>Montview Estate1</v>
      </c>
      <c r="E2927" s="382" t="s">
        <v>9736</v>
      </c>
      <c r="F2927" s="382" t="s">
        <v>1862</v>
      </c>
      <c r="G2927" s="382"/>
      <c r="H2927" s="382" t="s">
        <v>9737</v>
      </c>
      <c r="I2927" s="305"/>
      <c r="J2927" s="306"/>
      <c r="K2927" s="46" t="s">
        <v>10735</v>
      </c>
      <c r="L2927" s="306"/>
      <c r="M2927" s="306">
        <f>M8</f>
        <v>0</v>
      </c>
      <c r="N2927" s="306"/>
      <c r="O2927" s="306">
        <f t="shared" ref="O2927:O2942" si="609">O$7</f>
        <v>4950</v>
      </c>
      <c r="P2927" s="306"/>
      <c r="Q2927" s="306"/>
      <c r="R2927" s="306">
        <v>540</v>
      </c>
      <c r="S2927" s="306"/>
      <c r="T2927" s="306"/>
      <c r="U2927" s="306"/>
      <c r="V2927" s="306"/>
      <c r="W2927" s="306"/>
      <c r="X2927" s="306"/>
      <c r="Y2927" s="306"/>
      <c r="Z2927" s="306">
        <f t="shared" si="608"/>
        <v>4620</v>
      </c>
      <c r="AA2927" s="306"/>
      <c r="AB2927" s="306"/>
      <c r="AC2927" s="306"/>
      <c r="AD2927" s="306"/>
      <c r="AE2927" s="306"/>
      <c r="AF2927" s="306"/>
      <c r="AG2927" s="306"/>
      <c r="AH2927" s="47" t="str">
        <f>IFERROR(_xlfn.XLOOKUP(Table6[[#This Row],[Suburb]],Table5[Travel Surcharge],Table5[$$]),"")</f>
        <v/>
      </c>
      <c r="AI2927" s="306"/>
      <c r="AJ2927" s="306"/>
    </row>
    <row r="2928" spans="1:36">
      <c r="A2928" s="374" t="s">
        <v>4440</v>
      </c>
      <c r="B2928" s="374">
        <v>1</v>
      </c>
      <c r="C2928" s="374" t="s">
        <v>862</v>
      </c>
      <c r="D2928" s="375" t="str">
        <f t="shared" si="602"/>
        <v>Monument Estate1</v>
      </c>
      <c r="E2928" s="375" t="s">
        <v>4441</v>
      </c>
      <c r="F2928" s="375" t="s">
        <v>457</v>
      </c>
      <c r="G2928" s="375" t="s">
        <v>4442</v>
      </c>
      <c r="H2928" s="375" t="s">
        <v>4443</v>
      </c>
      <c r="I2928" s="63" t="s">
        <v>4444</v>
      </c>
      <c r="J2928" s="47"/>
      <c r="K2928" s="46" t="s">
        <v>10735</v>
      </c>
      <c r="L2928" s="47">
        <f t="shared" ref="L2928:L2941" si="610">L$7</f>
        <v>1210</v>
      </c>
      <c r="M2928" s="47" t="s">
        <v>2646</v>
      </c>
      <c r="N2928" s="47"/>
      <c r="O2928" s="47">
        <f t="shared" si="609"/>
        <v>4950</v>
      </c>
      <c r="P2928" s="47"/>
      <c r="Q2928" s="47"/>
      <c r="R2928" s="47">
        <f t="shared" ref="R2928:R2941" si="611">R$2</f>
        <v>540</v>
      </c>
      <c r="S2928" s="47"/>
      <c r="T2928" s="47" t="s">
        <v>4445</v>
      </c>
      <c r="U2928" s="47"/>
      <c r="V2928" s="47"/>
      <c r="W2928" s="47"/>
      <c r="X2928" s="47"/>
      <c r="Y2928" s="47"/>
      <c r="Z2928" s="47">
        <f t="shared" si="608"/>
        <v>4620</v>
      </c>
      <c r="AA2928" s="47">
        <f t="shared" ref="AA2928:AA2942" si="612">AA$7</f>
        <v>1400</v>
      </c>
      <c r="AB2928" s="47"/>
      <c r="AC2928" s="47"/>
      <c r="AD2928" s="47"/>
      <c r="AE2928" s="47"/>
      <c r="AF2928" s="47">
        <f t="shared" ref="AF2928:AF2944" si="613">AF$7</f>
        <v>1485</v>
      </c>
      <c r="AG2928" s="47"/>
      <c r="AH2928" s="47" t="str">
        <f>IFERROR(_xlfn.XLOOKUP(Table6[[#This Row],[Suburb]],Table5[Travel Surcharge],Table5[$$]),"")</f>
        <v/>
      </c>
      <c r="AI2928" s="47"/>
      <c r="AJ2928" s="47"/>
    </row>
    <row r="2929" spans="1:36">
      <c r="A2929" s="374" t="s">
        <v>4440</v>
      </c>
      <c r="B2929" s="374">
        <v>2</v>
      </c>
      <c r="C2929" s="374" t="s">
        <v>862</v>
      </c>
      <c r="D2929" s="375" t="str">
        <f t="shared" si="602"/>
        <v>Monument Estate2</v>
      </c>
      <c r="E2929" s="375" t="s">
        <v>4446</v>
      </c>
      <c r="F2929" s="375" t="s">
        <v>457</v>
      </c>
      <c r="G2929" s="375" t="s">
        <v>4442</v>
      </c>
      <c r="H2929" s="375" t="s">
        <v>4443</v>
      </c>
      <c r="I2929" s="63" t="s">
        <v>4444</v>
      </c>
      <c r="J2929" s="47"/>
      <c r="K2929" s="46" t="s">
        <v>10735</v>
      </c>
      <c r="L2929" s="47">
        <f t="shared" si="610"/>
        <v>1210</v>
      </c>
      <c r="M2929" s="47" t="s">
        <v>2646</v>
      </c>
      <c r="N2929" s="47"/>
      <c r="O2929" s="47">
        <f t="shared" si="609"/>
        <v>4950</v>
      </c>
      <c r="P2929" s="47"/>
      <c r="Q2929" s="47"/>
      <c r="R2929" s="47">
        <f t="shared" si="611"/>
        <v>540</v>
      </c>
      <c r="S2929" s="47"/>
      <c r="T2929" s="47" t="s">
        <v>4445</v>
      </c>
      <c r="U2929" s="47"/>
      <c r="V2929" s="47"/>
      <c r="W2929" s="47"/>
      <c r="X2929" s="47"/>
      <c r="Y2929" s="47"/>
      <c r="Z2929" s="47">
        <f t="shared" si="608"/>
        <v>4620</v>
      </c>
      <c r="AA2929" s="47">
        <f t="shared" si="612"/>
        <v>1400</v>
      </c>
      <c r="AB2929" s="47"/>
      <c r="AC2929" s="47"/>
      <c r="AD2929" s="47"/>
      <c r="AE2929" s="47"/>
      <c r="AF2929" s="47">
        <f t="shared" si="613"/>
        <v>1485</v>
      </c>
      <c r="AG2929" s="47"/>
      <c r="AH2929" s="47" t="str">
        <f>IFERROR(_xlfn.XLOOKUP(Table6[[#This Row],[Suburb]],Table5[Travel Surcharge],Table5[$$]),"")</f>
        <v/>
      </c>
      <c r="AI2929" s="47"/>
      <c r="AJ2929" s="47"/>
    </row>
    <row r="2930" spans="1:36">
      <c r="A2930" s="374" t="s">
        <v>4440</v>
      </c>
      <c r="B2930" s="374">
        <v>3</v>
      </c>
      <c r="C2930" s="374" t="s">
        <v>862</v>
      </c>
      <c r="D2930" s="375" t="str">
        <f t="shared" si="602"/>
        <v>Monument Estate3</v>
      </c>
      <c r="E2930" s="375" t="s">
        <v>4447</v>
      </c>
      <c r="F2930" s="375" t="s">
        <v>457</v>
      </c>
      <c r="G2930" s="375" t="s">
        <v>4442</v>
      </c>
      <c r="H2930" s="375" t="s">
        <v>4443</v>
      </c>
      <c r="I2930" s="63" t="s">
        <v>4444</v>
      </c>
      <c r="J2930" s="47"/>
      <c r="K2930" s="46" t="s">
        <v>10735</v>
      </c>
      <c r="L2930" s="47">
        <f t="shared" si="610"/>
        <v>1210</v>
      </c>
      <c r="M2930" s="47" t="s">
        <v>2646</v>
      </c>
      <c r="N2930" s="47"/>
      <c r="O2930" s="47">
        <f t="shared" si="609"/>
        <v>4950</v>
      </c>
      <c r="P2930" s="47"/>
      <c r="Q2930" s="47"/>
      <c r="R2930" s="47">
        <f t="shared" si="611"/>
        <v>540</v>
      </c>
      <c r="S2930" s="47"/>
      <c r="T2930" s="47" t="s">
        <v>4445</v>
      </c>
      <c r="U2930" s="47"/>
      <c r="V2930" s="47"/>
      <c r="W2930" s="47"/>
      <c r="X2930" s="47"/>
      <c r="Y2930" s="47"/>
      <c r="Z2930" s="47">
        <f t="shared" si="608"/>
        <v>4620</v>
      </c>
      <c r="AA2930" s="47">
        <f t="shared" si="612"/>
        <v>1400</v>
      </c>
      <c r="AB2930" s="47"/>
      <c r="AC2930" s="47"/>
      <c r="AD2930" s="47"/>
      <c r="AE2930" s="47"/>
      <c r="AF2930" s="47">
        <f t="shared" si="613"/>
        <v>1485</v>
      </c>
      <c r="AG2930" s="47"/>
      <c r="AH2930" s="47" t="str">
        <f>IFERROR(_xlfn.XLOOKUP(Table6[[#This Row],[Suburb]],Table5[Travel Surcharge],Table5[$$]),"")</f>
        <v/>
      </c>
      <c r="AI2930" s="47"/>
      <c r="AJ2930" s="47"/>
    </row>
    <row r="2931" spans="1:36">
      <c r="A2931" s="374" t="s">
        <v>4440</v>
      </c>
      <c r="B2931" s="374">
        <v>4</v>
      </c>
      <c r="C2931" s="374" t="s">
        <v>862</v>
      </c>
      <c r="D2931" s="375" t="str">
        <f t="shared" si="602"/>
        <v>Monument Estate4</v>
      </c>
      <c r="E2931" s="375" t="s">
        <v>4448</v>
      </c>
      <c r="F2931" s="375" t="s">
        <v>457</v>
      </c>
      <c r="G2931" s="375" t="s">
        <v>4442</v>
      </c>
      <c r="H2931" s="375" t="s">
        <v>4443</v>
      </c>
      <c r="I2931" s="63" t="s">
        <v>4444</v>
      </c>
      <c r="J2931" s="47"/>
      <c r="K2931" s="46" t="s">
        <v>10735</v>
      </c>
      <c r="L2931" s="47">
        <f t="shared" si="610"/>
        <v>1210</v>
      </c>
      <c r="M2931" s="47" t="s">
        <v>2646</v>
      </c>
      <c r="N2931" s="47"/>
      <c r="O2931" s="47">
        <f t="shared" si="609"/>
        <v>4950</v>
      </c>
      <c r="P2931" s="47"/>
      <c r="Q2931" s="47"/>
      <c r="R2931" s="47">
        <f t="shared" si="611"/>
        <v>540</v>
      </c>
      <c r="S2931" s="47"/>
      <c r="T2931" s="47" t="s">
        <v>4445</v>
      </c>
      <c r="U2931" s="47"/>
      <c r="V2931" s="47"/>
      <c r="W2931" s="47"/>
      <c r="X2931" s="47"/>
      <c r="Y2931" s="47"/>
      <c r="Z2931" s="47">
        <f t="shared" si="608"/>
        <v>4620</v>
      </c>
      <c r="AA2931" s="47">
        <f t="shared" si="612"/>
        <v>1400</v>
      </c>
      <c r="AB2931" s="47"/>
      <c r="AC2931" s="47"/>
      <c r="AD2931" s="47"/>
      <c r="AE2931" s="47"/>
      <c r="AF2931" s="47">
        <f t="shared" si="613"/>
        <v>1485</v>
      </c>
      <c r="AG2931" s="47"/>
      <c r="AH2931" s="47" t="str">
        <f>IFERROR(_xlfn.XLOOKUP(Table6[[#This Row],[Suburb]],Table5[Travel Surcharge],Table5[$$]),"")</f>
        <v/>
      </c>
      <c r="AI2931" s="47"/>
      <c r="AJ2931" s="47"/>
    </row>
    <row r="2932" spans="1:36">
      <c r="A2932" s="374" t="s">
        <v>4440</v>
      </c>
      <c r="B2932" s="374">
        <v>5</v>
      </c>
      <c r="C2932" s="374" t="s">
        <v>862</v>
      </c>
      <c r="D2932" s="375" t="str">
        <f t="shared" si="602"/>
        <v>Monument Estate5</v>
      </c>
      <c r="E2932" s="375" t="s">
        <v>4449</v>
      </c>
      <c r="F2932" s="375" t="s">
        <v>457</v>
      </c>
      <c r="G2932" s="375" t="s">
        <v>4442</v>
      </c>
      <c r="H2932" s="375" t="s">
        <v>4443</v>
      </c>
      <c r="I2932" s="63" t="s">
        <v>4444</v>
      </c>
      <c r="J2932" s="47"/>
      <c r="K2932" s="46" t="s">
        <v>10735</v>
      </c>
      <c r="L2932" s="47">
        <f t="shared" si="610"/>
        <v>1210</v>
      </c>
      <c r="M2932" s="47" t="s">
        <v>2646</v>
      </c>
      <c r="N2932" s="47"/>
      <c r="O2932" s="47">
        <f t="shared" si="609"/>
        <v>4950</v>
      </c>
      <c r="P2932" s="47"/>
      <c r="Q2932" s="47"/>
      <c r="R2932" s="47">
        <f t="shared" si="611"/>
        <v>540</v>
      </c>
      <c r="S2932" s="47"/>
      <c r="T2932" s="47" t="s">
        <v>4445</v>
      </c>
      <c r="U2932" s="47"/>
      <c r="V2932" s="47"/>
      <c r="W2932" s="47"/>
      <c r="X2932" s="47"/>
      <c r="Y2932" s="47"/>
      <c r="Z2932" s="47">
        <f t="shared" si="608"/>
        <v>4620</v>
      </c>
      <c r="AA2932" s="47">
        <f t="shared" si="612"/>
        <v>1400</v>
      </c>
      <c r="AB2932" s="47"/>
      <c r="AC2932" s="47"/>
      <c r="AD2932" s="47"/>
      <c r="AE2932" s="47"/>
      <c r="AF2932" s="47">
        <f t="shared" si="613"/>
        <v>1485</v>
      </c>
      <c r="AG2932" s="47"/>
      <c r="AH2932" s="47" t="str">
        <f>IFERROR(_xlfn.XLOOKUP(Table6[[#This Row],[Suburb]],Table5[Travel Surcharge],Table5[$$]),"")</f>
        <v/>
      </c>
      <c r="AI2932" s="47"/>
      <c r="AJ2932" s="47"/>
    </row>
    <row r="2933" spans="1:36">
      <c r="A2933" s="374" t="s">
        <v>4440</v>
      </c>
      <c r="B2933" s="374">
        <v>7</v>
      </c>
      <c r="C2933" s="374" t="s">
        <v>862</v>
      </c>
      <c r="D2933" s="375" t="str">
        <f t="shared" si="602"/>
        <v>Monument Estate7</v>
      </c>
      <c r="E2933" s="375" t="s">
        <v>4450</v>
      </c>
      <c r="F2933" s="375" t="s">
        <v>457</v>
      </c>
      <c r="G2933" s="375" t="s">
        <v>4442</v>
      </c>
      <c r="H2933" s="375" t="s">
        <v>4443</v>
      </c>
      <c r="I2933" s="63" t="s">
        <v>4444</v>
      </c>
      <c r="J2933" s="47"/>
      <c r="K2933" s="46" t="s">
        <v>10735</v>
      </c>
      <c r="L2933" s="47">
        <f t="shared" si="610"/>
        <v>1210</v>
      </c>
      <c r="M2933" s="47" t="s">
        <v>2646</v>
      </c>
      <c r="N2933" s="47"/>
      <c r="O2933" s="47">
        <f t="shared" si="609"/>
        <v>4950</v>
      </c>
      <c r="P2933" s="47"/>
      <c r="Q2933" s="47"/>
      <c r="R2933" s="47">
        <f t="shared" si="611"/>
        <v>540</v>
      </c>
      <c r="S2933" s="47"/>
      <c r="T2933" s="47" t="s">
        <v>4445</v>
      </c>
      <c r="U2933" s="47"/>
      <c r="V2933" s="47"/>
      <c r="W2933" s="47"/>
      <c r="X2933" s="47"/>
      <c r="Y2933" s="47"/>
      <c r="Z2933" s="47">
        <f t="shared" si="608"/>
        <v>4620</v>
      </c>
      <c r="AA2933" s="47">
        <f t="shared" si="612"/>
        <v>1400</v>
      </c>
      <c r="AB2933" s="47"/>
      <c r="AC2933" s="47"/>
      <c r="AD2933" s="47"/>
      <c r="AE2933" s="47"/>
      <c r="AF2933" s="47">
        <f t="shared" si="613"/>
        <v>1485</v>
      </c>
      <c r="AG2933" s="47"/>
      <c r="AH2933" s="47" t="str">
        <f>IFERROR(_xlfn.XLOOKUP(Table6[[#This Row],[Suburb]],Table5[Travel Surcharge],Table5[$$]),"")</f>
        <v/>
      </c>
      <c r="AI2933" s="47"/>
      <c r="AJ2933" s="47"/>
    </row>
    <row r="2934" spans="1:36">
      <c r="A2934" s="374" t="s">
        <v>4440</v>
      </c>
      <c r="B2934" s="374">
        <v>8</v>
      </c>
      <c r="C2934" s="374" t="s">
        <v>862</v>
      </c>
      <c r="D2934" s="375" t="str">
        <f t="shared" si="602"/>
        <v>Monument Estate8</v>
      </c>
      <c r="E2934" s="375" t="s">
        <v>4451</v>
      </c>
      <c r="F2934" s="375" t="s">
        <v>457</v>
      </c>
      <c r="G2934" s="375" t="s">
        <v>4442</v>
      </c>
      <c r="H2934" s="375" t="s">
        <v>4443</v>
      </c>
      <c r="I2934" s="63" t="s">
        <v>4444</v>
      </c>
      <c r="J2934" s="47"/>
      <c r="K2934" s="46" t="s">
        <v>10735</v>
      </c>
      <c r="L2934" s="47">
        <f t="shared" si="610"/>
        <v>1210</v>
      </c>
      <c r="M2934" s="47" t="s">
        <v>2646</v>
      </c>
      <c r="N2934" s="47"/>
      <c r="O2934" s="47">
        <f t="shared" si="609"/>
        <v>4950</v>
      </c>
      <c r="P2934" s="47"/>
      <c r="Q2934" s="47"/>
      <c r="R2934" s="47">
        <f t="shared" si="611"/>
        <v>540</v>
      </c>
      <c r="S2934" s="47"/>
      <c r="T2934" s="47" t="s">
        <v>4445</v>
      </c>
      <c r="U2934" s="47"/>
      <c r="V2934" s="47"/>
      <c r="W2934" s="47"/>
      <c r="X2934" s="47"/>
      <c r="Y2934" s="47"/>
      <c r="Z2934" s="47">
        <f t="shared" si="608"/>
        <v>4620</v>
      </c>
      <c r="AA2934" s="47">
        <f t="shared" si="612"/>
        <v>1400</v>
      </c>
      <c r="AB2934" s="47"/>
      <c r="AC2934" s="47"/>
      <c r="AD2934" s="47"/>
      <c r="AE2934" s="47"/>
      <c r="AF2934" s="47">
        <f t="shared" si="613"/>
        <v>1485</v>
      </c>
      <c r="AG2934" s="47"/>
      <c r="AH2934" s="47" t="str">
        <f>IFERROR(_xlfn.XLOOKUP(Table6[[#This Row],[Suburb]],Table5[Travel Surcharge],Table5[$$]),"")</f>
        <v/>
      </c>
      <c r="AI2934" s="47"/>
      <c r="AJ2934" s="47"/>
    </row>
    <row r="2935" spans="1:36">
      <c r="A2935" s="374" t="s">
        <v>4440</v>
      </c>
      <c r="B2935" s="374">
        <v>9</v>
      </c>
      <c r="C2935" s="374" t="s">
        <v>862</v>
      </c>
      <c r="D2935" s="375" t="str">
        <f t="shared" si="602"/>
        <v>Monument Estate9</v>
      </c>
      <c r="E2935" s="375" t="s">
        <v>4452</v>
      </c>
      <c r="F2935" s="375" t="s">
        <v>457</v>
      </c>
      <c r="G2935" s="375" t="s">
        <v>4442</v>
      </c>
      <c r="H2935" s="375" t="s">
        <v>4443</v>
      </c>
      <c r="I2935" s="63" t="s">
        <v>4444</v>
      </c>
      <c r="J2935" s="47"/>
      <c r="K2935" s="46" t="s">
        <v>10735</v>
      </c>
      <c r="L2935" s="47">
        <f t="shared" si="610"/>
        <v>1210</v>
      </c>
      <c r="M2935" s="47" t="s">
        <v>2646</v>
      </c>
      <c r="N2935" s="47"/>
      <c r="O2935" s="47">
        <f t="shared" si="609"/>
        <v>4950</v>
      </c>
      <c r="P2935" s="47"/>
      <c r="Q2935" s="47"/>
      <c r="R2935" s="47">
        <f t="shared" si="611"/>
        <v>540</v>
      </c>
      <c r="S2935" s="47"/>
      <c r="T2935" s="47" t="s">
        <v>4445</v>
      </c>
      <c r="U2935" s="47"/>
      <c r="V2935" s="47"/>
      <c r="W2935" s="47"/>
      <c r="X2935" s="47"/>
      <c r="Y2935" s="47"/>
      <c r="Z2935" s="47">
        <f t="shared" si="608"/>
        <v>4620</v>
      </c>
      <c r="AA2935" s="47">
        <f t="shared" si="612"/>
        <v>1400</v>
      </c>
      <c r="AB2935" s="47"/>
      <c r="AC2935" s="47"/>
      <c r="AD2935" s="47"/>
      <c r="AE2935" s="47"/>
      <c r="AF2935" s="47">
        <f t="shared" si="613"/>
        <v>1485</v>
      </c>
      <c r="AG2935" s="47"/>
      <c r="AH2935" s="47" t="str">
        <f>IFERROR(_xlfn.XLOOKUP(Table6[[#This Row],[Suburb]],Table5[Travel Surcharge],Table5[$$]),"")</f>
        <v/>
      </c>
      <c r="AI2935" s="47"/>
      <c r="AJ2935" s="47"/>
    </row>
    <row r="2936" spans="1:36">
      <c r="A2936" s="374" t="s">
        <v>4440</v>
      </c>
      <c r="B2936" s="374">
        <v>10</v>
      </c>
      <c r="C2936" s="374" t="s">
        <v>862</v>
      </c>
      <c r="D2936" s="375" t="str">
        <f t="shared" si="602"/>
        <v>Monument Estate10</v>
      </c>
      <c r="E2936" s="375" t="s">
        <v>4453</v>
      </c>
      <c r="F2936" s="375" t="s">
        <v>457</v>
      </c>
      <c r="G2936" s="375" t="s">
        <v>4442</v>
      </c>
      <c r="H2936" s="375" t="s">
        <v>4443</v>
      </c>
      <c r="I2936" s="63" t="s">
        <v>4444</v>
      </c>
      <c r="J2936" s="47"/>
      <c r="K2936" s="46" t="s">
        <v>10735</v>
      </c>
      <c r="L2936" s="47">
        <f t="shared" si="610"/>
        <v>1210</v>
      </c>
      <c r="M2936" s="47" t="s">
        <v>2646</v>
      </c>
      <c r="N2936" s="47"/>
      <c r="O2936" s="47">
        <f t="shared" si="609"/>
        <v>4950</v>
      </c>
      <c r="P2936" s="47"/>
      <c r="Q2936" s="47"/>
      <c r="R2936" s="47">
        <f t="shared" si="611"/>
        <v>540</v>
      </c>
      <c r="S2936" s="47"/>
      <c r="T2936" s="47" t="s">
        <v>4445</v>
      </c>
      <c r="U2936" s="47"/>
      <c r="V2936" s="47"/>
      <c r="W2936" s="47"/>
      <c r="X2936" s="47"/>
      <c r="Y2936" s="47"/>
      <c r="Z2936" s="47">
        <f t="shared" si="608"/>
        <v>4620</v>
      </c>
      <c r="AA2936" s="47">
        <f t="shared" si="612"/>
        <v>1400</v>
      </c>
      <c r="AB2936" s="47"/>
      <c r="AC2936" s="47"/>
      <c r="AD2936" s="47"/>
      <c r="AE2936" s="47"/>
      <c r="AF2936" s="47">
        <f t="shared" si="613"/>
        <v>1485</v>
      </c>
      <c r="AG2936" s="47"/>
      <c r="AH2936" s="47" t="str">
        <f>IFERROR(_xlfn.XLOOKUP(Table6[[#This Row],[Suburb]],Table5[Travel Surcharge],Table5[$$]),"")</f>
        <v/>
      </c>
      <c r="AI2936" s="47"/>
      <c r="AJ2936" s="47"/>
    </row>
    <row r="2937" spans="1:36">
      <c r="A2937" s="374" t="s">
        <v>4440</v>
      </c>
      <c r="B2937" s="374">
        <v>11</v>
      </c>
      <c r="C2937" s="374" t="s">
        <v>862</v>
      </c>
      <c r="D2937" s="375" t="str">
        <f t="shared" si="602"/>
        <v>Monument Estate11</v>
      </c>
      <c r="E2937" s="375" t="s">
        <v>4454</v>
      </c>
      <c r="F2937" s="375" t="s">
        <v>457</v>
      </c>
      <c r="G2937" s="375" t="s">
        <v>4442</v>
      </c>
      <c r="H2937" s="375" t="s">
        <v>4443</v>
      </c>
      <c r="I2937" s="63" t="s">
        <v>4444</v>
      </c>
      <c r="J2937" s="47"/>
      <c r="K2937" s="46" t="s">
        <v>10735</v>
      </c>
      <c r="L2937" s="47">
        <f t="shared" si="610"/>
        <v>1210</v>
      </c>
      <c r="M2937" s="47" t="s">
        <v>2646</v>
      </c>
      <c r="N2937" s="47"/>
      <c r="O2937" s="47">
        <f t="shared" si="609"/>
        <v>4950</v>
      </c>
      <c r="P2937" s="47"/>
      <c r="Q2937" s="47"/>
      <c r="R2937" s="47">
        <f t="shared" si="611"/>
        <v>540</v>
      </c>
      <c r="S2937" s="47"/>
      <c r="T2937" s="47" t="s">
        <v>4445</v>
      </c>
      <c r="U2937" s="47"/>
      <c r="V2937" s="47"/>
      <c r="W2937" s="47"/>
      <c r="X2937" s="47"/>
      <c r="Y2937" s="47"/>
      <c r="Z2937" s="47">
        <f t="shared" si="608"/>
        <v>4620</v>
      </c>
      <c r="AA2937" s="47">
        <f t="shared" si="612"/>
        <v>1400</v>
      </c>
      <c r="AB2937" s="47"/>
      <c r="AC2937" s="47"/>
      <c r="AD2937" s="47"/>
      <c r="AE2937" s="47"/>
      <c r="AF2937" s="47">
        <f t="shared" si="613"/>
        <v>1485</v>
      </c>
      <c r="AG2937" s="47"/>
      <c r="AH2937" s="47" t="str">
        <f>IFERROR(_xlfn.XLOOKUP(Table6[[#This Row],[Suburb]],Table5[Travel Surcharge],Table5[$$]),"")</f>
        <v/>
      </c>
      <c r="AI2937" s="47"/>
      <c r="AJ2937" s="47"/>
    </row>
    <row r="2938" spans="1:36">
      <c r="A2938" s="374" t="s">
        <v>4440</v>
      </c>
      <c r="B2938" s="374">
        <v>12</v>
      </c>
      <c r="C2938" s="374" t="s">
        <v>862</v>
      </c>
      <c r="D2938" s="375" t="str">
        <f t="shared" si="602"/>
        <v>Monument Estate12</v>
      </c>
      <c r="E2938" s="375" t="s">
        <v>4455</v>
      </c>
      <c r="F2938" s="375" t="s">
        <v>457</v>
      </c>
      <c r="G2938" s="375" t="s">
        <v>4442</v>
      </c>
      <c r="H2938" s="375" t="s">
        <v>4443</v>
      </c>
      <c r="I2938" s="63" t="s">
        <v>4444</v>
      </c>
      <c r="J2938" s="47"/>
      <c r="K2938" s="46" t="s">
        <v>10735</v>
      </c>
      <c r="L2938" s="47">
        <f t="shared" si="610"/>
        <v>1210</v>
      </c>
      <c r="M2938" s="47" t="s">
        <v>2646</v>
      </c>
      <c r="N2938" s="47"/>
      <c r="O2938" s="47">
        <f t="shared" si="609"/>
        <v>4950</v>
      </c>
      <c r="P2938" s="47"/>
      <c r="Q2938" s="47"/>
      <c r="R2938" s="47">
        <f t="shared" si="611"/>
        <v>540</v>
      </c>
      <c r="S2938" s="47"/>
      <c r="T2938" s="47" t="s">
        <v>4445</v>
      </c>
      <c r="U2938" s="47"/>
      <c r="V2938" s="47"/>
      <c r="W2938" s="47"/>
      <c r="X2938" s="47"/>
      <c r="Y2938" s="47"/>
      <c r="Z2938" s="47">
        <f t="shared" si="608"/>
        <v>4620</v>
      </c>
      <c r="AA2938" s="47">
        <f t="shared" si="612"/>
        <v>1400</v>
      </c>
      <c r="AB2938" s="47"/>
      <c r="AC2938" s="47"/>
      <c r="AD2938" s="47"/>
      <c r="AE2938" s="47"/>
      <c r="AF2938" s="47">
        <f t="shared" si="613"/>
        <v>1485</v>
      </c>
      <c r="AG2938" s="47"/>
      <c r="AH2938" s="47" t="str">
        <f>IFERROR(_xlfn.XLOOKUP(Table6[[#This Row],[Suburb]],Table5[Travel Surcharge],Table5[$$]),"")</f>
        <v/>
      </c>
      <c r="AI2938" s="47"/>
      <c r="AJ2938" s="47"/>
    </row>
    <row r="2939" spans="1:36">
      <c r="A2939" s="374" t="s">
        <v>4440</v>
      </c>
      <c r="B2939" s="374">
        <v>13</v>
      </c>
      <c r="C2939" s="374" t="s">
        <v>862</v>
      </c>
      <c r="D2939" s="375" t="str">
        <f t="shared" si="602"/>
        <v>Monument Estate13</v>
      </c>
      <c r="E2939" s="375" t="s">
        <v>4456</v>
      </c>
      <c r="F2939" s="375" t="s">
        <v>457</v>
      </c>
      <c r="G2939" s="375" t="s">
        <v>4442</v>
      </c>
      <c r="H2939" s="375" t="s">
        <v>4443</v>
      </c>
      <c r="I2939" s="63" t="s">
        <v>4444</v>
      </c>
      <c r="J2939" s="47"/>
      <c r="K2939" s="46" t="s">
        <v>10735</v>
      </c>
      <c r="L2939" s="47">
        <f t="shared" si="610"/>
        <v>1210</v>
      </c>
      <c r="M2939" s="47" t="s">
        <v>2646</v>
      </c>
      <c r="N2939" s="47"/>
      <c r="O2939" s="47">
        <f t="shared" si="609"/>
        <v>4950</v>
      </c>
      <c r="P2939" s="47"/>
      <c r="Q2939" s="47"/>
      <c r="R2939" s="47">
        <f t="shared" si="611"/>
        <v>540</v>
      </c>
      <c r="S2939" s="47"/>
      <c r="T2939" s="47" t="s">
        <v>4445</v>
      </c>
      <c r="U2939" s="47"/>
      <c r="V2939" s="47"/>
      <c r="W2939" s="47"/>
      <c r="X2939" s="47"/>
      <c r="Y2939" s="47"/>
      <c r="Z2939" s="47">
        <f t="shared" si="608"/>
        <v>4620</v>
      </c>
      <c r="AA2939" s="47">
        <f t="shared" si="612"/>
        <v>1400</v>
      </c>
      <c r="AB2939" s="47"/>
      <c r="AC2939" s="47"/>
      <c r="AD2939" s="47"/>
      <c r="AE2939" s="47"/>
      <c r="AF2939" s="47">
        <f t="shared" si="613"/>
        <v>1485</v>
      </c>
      <c r="AG2939" s="47"/>
      <c r="AH2939" s="47" t="str">
        <f>IFERROR(_xlfn.XLOOKUP(Table6[[#This Row],[Suburb]],Table5[Travel Surcharge],Table5[$$]),"")</f>
        <v/>
      </c>
      <c r="AI2939" s="47"/>
      <c r="AJ2939" s="47"/>
    </row>
    <row r="2940" spans="1:36">
      <c r="A2940" s="374" t="s">
        <v>4440</v>
      </c>
      <c r="B2940" s="374">
        <v>14</v>
      </c>
      <c r="C2940" s="374" t="s">
        <v>862</v>
      </c>
      <c r="D2940" s="375" t="str">
        <f t="shared" si="602"/>
        <v>Monument Estate14</v>
      </c>
      <c r="E2940" s="375" t="s">
        <v>4457</v>
      </c>
      <c r="F2940" s="375" t="s">
        <v>457</v>
      </c>
      <c r="G2940" s="375" t="s">
        <v>4442</v>
      </c>
      <c r="H2940" s="375" t="s">
        <v>4443</v>
      </c>
      <c r="I2940" s="63" t="s">
        <v>4444</v>
      </c>
      <c r="J2940" s="47"/>
      <c r="K2940" s="46" t="s">
        <v>10735</v>
      </c>
      <c r="L2940" s="47">
        <f t="shared" si="610"/>
        <v>1210</v>
      </c>
      <c r="M2940" s="47" t="s">
        <v>2646</v>
      </c>
      <c r="N2940" s="47"/>
      <c r="O2940" s="47">
        <f t="shared" si="609"/>
        <v>4950</v>
      </c>
      <c r="P2940" s="47"/>
      <c r="Q2940" s="47"/>
      <c r="R2940" s="47">
        <f t="shared" si="611"/>
        <v>540</v>
      </c>
      <c r="S2940" s="47"/>
      <c r="T2940" s="47" t="s">
        <v>4445</v>
      </c>
      <c r="U2940" s="47"/>
      <c r="V2940" s="47"/>
      <c r="W2940" s="47"/>
      <c r="X2940" s="47"/>
      <c r="Y2940" s="47"/>
      <c r="Z2940" s="47">
        <f t="shared" si="608"/>
        <v>4620</v>
      </c>
      <c r="AA2940" s="47">
        <f t="shared" si="612"/>
        <v>1400</v>
      </c>
      <c r="AB2940" s="47"/>
      <c r="AC2940" s="47"/>
      <c r="AD2940" s="47"/>
      <c r="AE2940" s="47"/>
      <c r="AF2940" s="47">
        <f t="shared" si="613"/>
        <v>1485</v>
      </c>
      <c r="AG2940" s="47"/>
      <c r="AH2940" s="47" t="str">
        <f>IFERROR(_xlfn.XLOOKUP(Table6[[#This Row],[Suburb]],Table5[Travel Surcharge],Table5[$$]),"")</f>
        <v/>
      </c>
      <c r="AI2940" s="47"/>
      <c r="AJ2940" s="47"/>
    </row>
    <row r="2941" spans="1:36">
      <c r="A2941" s="374" t="s">
        <v>4440</v>
      </c>
      <c r="B2941" s="374">
        <v>16</v>
      </c>
      <c r="C2941" s="374" t="s">
        <v>862</v>
      </c>
      <c r="D2941" s="375" t="str">
        <f t="shared" si="602"/>
        <v>Monument Estate16</v>
      </c>
      <c r="E2941" s="375" t="s">
        <v>4458</v>
      </c>
      <c r="F2941" s="375" t="s">
        <v>457</v>
      </c>
      <c r="G2941" s="375" t="s">
        <v>4442</v>
      </c>
      <c r="H2941" s="375" t="s">
        <v>4443</v>
      </c>
      <c r="I2941" s="63" t="s">
        <v>4444</v>
      </c>
      <c r="J2941" s="47"/>
      <c r="K2941" s="46" t="s">
        <v>10735</v>
      </c>
      <c r="L2941" s="47">
        <f t="shared" si="610"/>
        <v>1210</v>
      </c>
      <c r="M2941" s="47" t="s">
        <v>2646</v>
      </c>
      <c r="N2941" s="47"/>
      <c r="O2941" s="47">
        <f t="shared" si="609"/>
        <v>4950</v>
      </c>
      <c r="P2941" s="47"/>
      <c r="Q2941" s="47"/>
      <c r="R2941" s="47">
        <f t="shared" si="611"/>
        <v>540</v>
      </c>
      <c r="S2941" s="47"/>
      <c r="T2941" s="47" t="s">
        <v>4445</v>
      </c>
      <c r="U2941" s="47"/>
      <c r="V2941" s="47"/>
      <c r="W2941" s="47"/>
      <c r="X2941" s="47"/>
      <c r="Y2941" s="47"/>
      <c r="Z2941" s="47">
        <f t="shared" si="608"/>
        <v>4620</v>
      </c>
      <c r="AA2941" s="47">
        <f t="shared" si="612"/>
        <v>1400</v>
      </c>
      <c r="AB2941" s="47"/>
      <c r="AC2941" s="47"/>
      <c r="AD2941" s="47"/>
      <c r="AE2941" s="47"/>
      <c r="AF2941" s="47">
        <f t="shared" si="613"/>
        <v>1485</v>
      </c>
      <c r="AG2941" s="47"/>
      <c r="AH2941" s="47" t="str">
        <f>IFERROR(_xlfn.XLOOKUP(Table6[[#This Row],[Suburb]],Table5[Travel Surcharge],Table5[$$]),"")</f>
        <v/>
      </c>
      <c r="AI2941" s="47"/>
      <c r="AJ2941" s="47"/>
    </row>
    <row r="2942" spans="1:36">
      <c r="A2942" s="374" t="s">
        <v>4459</v>
      </c>
      <c r="B2942" s="374">
        <v>1</v>
      </c>
      <c r="C2942" s="374" t="s">
        <v>468</v>
      </c>
      <c r="D2942" s="375" t="str">
        <f t="shared" si="602"/>
        <v>Moonstone1</v>
      </c>
      <c r="E2942" s="375" t="s">
        <v>4460</v>
      </c>
      <c r="F2942" s="375"/>
      <c r="G2942" s="375"/>
      <c r="H2942" s="375"/>
      <c r="I2942" s="63"/>
      <c r="J2942" s="47"/>
      <c r="K2942" s="46" t="s">
        <v>10735</v>
      </c>
      <c r="L2942" s="47"/>
      <c r="M2942" s="47" t="s">
        <v>4461</v>
      </c>
      <c r="N2942" s="47" t="s">
        <v>4462</v>
      </c>
      <c r="O2942" s="47">
        <f t="shared" si="609"/>
        <v>4950</v>
      </c>
      <c r="P2942" s="47" t="s">
        <v>4463</v>
      </c>
      <c r="Q2942" s="47"/>
      <c r="R2942" s="47"/>
      <c r="S2942" s="47" t="s">
        <v>967</v>
      </c>
      <c r="T2942" s="47" t="s">
        <v>4464</v>
      </c>
      <c r="U2942" s="47"/>
      <c r="V2942" s="47" t="s">
        <v>4465</v>
      </c>
      <c r="W2942" s="47" t="s">
        <v>4466</v>
      </c>
      <c r="X2942" s="47">
        <f>X$7</f>
        <v>3000</v>
      </c>
      <c r="Y2942" s="47"/>
      <c r="Z2942" s="47">
        <f t="shared" si="608"/>
        <v>4620</v>
      </c>
      <c r="AA2942" s="47">
        <f t="shared" si="612"/>
        <v>1400</v>
      </c>
      <c r="AB2942" s="47">
        <f>AB$7</f>
        <v>2800</v>
      </c>
      <c r="AC2942" s="47"/>
      <c r="AD2942" s="47"/>
      <c r="AE2942" s="47"/>
      <c r="AF2942" s="47">
        <f t="shared" si="613"/>
        <v>1485</v>
      </c>
      <c r="AG2942" s="47"/>
      <c r="AH2942" s="47" t="str">
        <f>IFERROR(_xlfn.XLOOKUP(Table6[[#This Row],[Suburb]],Table5[Travel Surcharge],Table5[$$]),"")</f>
        <v/>
      </c>
      <c r="AI2942" s="47"/>
      <c r="AJ2942" s="47"/>
    </row>
    <row r="2943" spans="1:36">
      <c r="A2943" s="374" t="s">
        <v>4469</v>
      </c>
      <c r="B2943" s="374">
        <v>1</v>
      </c>
      <c r="C2943" s="374" t="s">
        <v>3617</v>
      </c>
      <c r="D2943" s="375" t="str">
        <f t="shared" si="602"/>
        <v>Mount Aliza1</v>
      </c>
      <c r="E2943" s="375" t="s">
        <v>4470</v>
      </c>
      <c r="F2943" s="375"/>
      <c r="G2943" s="375"/>
      <c r="H2943" s="375" t="s">
        <v>4471</v>
      </c>
      <c r="I2943" s="63" t="s">
        <v>4472</v>
      </c>
      <c r="J2943" s="47">
        <f t="shared" ref="J2943:J2968" si="614">J$7</f>
        <v>3740</v>
      </c>
      <c r="K2943" s="46" t="s">
        <v>10735</v>
      </c>
      <c r="L2943" s="47" t="s">
        <v>4473</v>
      </c>
      <c r="M2943" s="47" t="s">
        <v>808</v>
      </c>
      <c r="N2943" s="47"/>
      <c r="O2943" s="47"/>
      <c r="P2943" s="47"/>
      <c r="Q2943" s="47"/>
      <c r="R2943" s="47"/>
      <c r="S2943" s="47" t="s">
        <v>4474</v>
      </c>
      <c r="T2943" s="47" t="s">
        <v>4475</v>
      </c>
      <c r="U2943" s="47">
        <f>U$2</f>
        <v>430</v>
      </c>
      <c r="V2943" s="47" t="s">
        <v>4476</v>
      </c>
      <c r="W2943" s="47"/>
      <c r="X2943" s="47">
        <f>X$7</f>
        <v>3000</v>
      </c>
      <c r="Y2943" s="47"/>
      <c r="Z2943" s="47">
        <f t="shared" si="608"/>
        <v>4620</v>
      </c>
      <c r="AA2943" s="47"/>
      <c r="AB2943" s="47"/>
      <c r="AC2943" s="47"/>
      <c r="AD2943" s="47" t="s">
        <v>1</v>
      </c>
      <c r="AE2943" s="47"/>
      <c r="AF2943" s="47">
        <f t="shared" si="613"/>
        <v>1485</v>
      </c>
      <c r="AG2943" s="47"/>
      <c r="AH2943" s="47" t="str">
        <f>IFERROR(_xlfn.XLOOKUP(Table6[[#This Row],[Suburb]],Table5[Travel Surcharge],Table5[$$]),"")</f>
        <v/>
      </c>
      <c r="AI2943" s="47"/>
      <c r="AJ2943" s="47"/>
    </row>
    <row r="2944" spans="1:36">
      <c r="A2944" s="374" t="s">
        <v>4469</v>
      </c>
      <c r="B2944" s="374">
        <v>2</v>
      </c>
      <c r="C2944" s="374" t="s">
        <v>3617</v>
      </c>
      <c r="D2944" s="375" t="str">
        <f t="shared" ref="D2944:D2975" si="615">CONCATENATE(A2944,B2944)</f>
        <v>Mount Aliza2</v>
      </c>
      <c r="E2944" s="375" t="s">
        <v>4477</v>
      </c>
      <c r="F2944" s="375"/>
      <c r="G2944" s="375"/>
      <c r="H2944" s="375" t="s">
        <v>4471</v>
      </c>
      <c r="I2944" s="63" t="s">
        <v>4472</v>
      </c>
      <c r="J2944" s="47">
        <f t="shared" si="614"/>
        <v>3740</v>
      </c>
      <c r="K2944" s="46" t="s">
        <v>10735</v>
      </c>
      <c r="L2944" s="47" t="s">
        <v>4473</v>
      </c>
      <c r="M2944" s="47" t="s">
        <v>808</v>
      </c>
      <c r="N2944" s="47"/>
      <c r="O2944" s="47"/>
      <c r="P2944" s="47"/>
      <c r="Q2944" s="47"/>
      <c r="R2944" s="47"/>
      <c r="S2944" s="47" t="s">
        <v>4474</v>
      </c>
      <c r="T2944" s="47" t="s">
        <v>4475</v>
      </c>
      <c r="U2944" s="47">
        <f>U$2</f>
        <v>430</v>
      </c>
      <c r="V2944" s="47" t="s">
        <v>4476</v>
      </c>
      <c r="W2944" s="47"/>
      <c r="X2944" s="47">
        <f>X$7</f>
        <v>3000</v>
      </c>
      <c r="Y2944" s="47"/>
      <c r="Z2944" s="47">
        <f t="shared" si="608"/>
        <v>4620</v>
      </c>
      <c r="AA2944" s="47"/>
      <c r="AB2944" s="47"/>
      <c r="AC2944" s="47"/>
      <c r="AD2944" s="47" t="s">
        <v>1</v>
      </c>
      <c r="AE2944" s="47"/>
      <c r="AF2944" s="47">
        <f t="shared" si="613"/>
        <v>1485</v>
      </c>
      <c r="AG2944" s="47"/>
      <c r="AH2944" s="47" t="str">
        <f>IFERROR(_xlfn.XLOOKUP(Table6[[#This Row],[Suburb]],Table5[Travel Surcharge],Table5[$$]),"")</f>
        <v/>
      </c>
      <c r="AI2944" s="47"/>
      <c r="AJ2944" s="47"/>
    </row>
    <row r="2945" spans="1:36">
      <c r="A2945" s="374" t="s">
        <v>4478</v>
      </c>
      <c r="B2945" s="374">
        <v>1</v>
      </c>
      <c r="C2945" s="374" t="s">
        <v>538</v>
      </c>
      <c r="D2945" s="375" t="str">
        <f t="shared" si="615"/>
        <v>Mount Atkinsons1</v>
      </c>
      <c r="E2945" s="375" t="s">
        <v>4479</v>
      </c>
      <c r="F2945" s="375" t="s">
        <v>4480</v>
      </c>
      <c r="G2945" s="375"/>
      <c r="H2945" s="375"/>
      <c r="I2945" s="63"/>
      <c r="J2945" s="47">
        <f t="shared" si="614"/>
        <v>3740</v>
      </c>
      <c r="K2945" s="46" t="s">
        <v>10735</v>
      </c>
      <c r="L2945" s="47"/>
      <c r="M2945" s="47">
        <f t="shared" ref="M2945:M2968" si="616">M$7</f>
        <v>1430.0000000000002</v>
      </c>
      <c r="N2945" s="47" t="s">
        <v>2646</v>
      </c>
      <c r="O2945" s="47" t="s">
        <v>4481</v>
      </c>
      <c r="P2945" s="47" t="s">
        <v>4482</v>
      </c>
      <c r="Q2945" s="47"/>
      <c r="R2945" s="47"/>
      <c r="S2945" s="47" t="s">
        <v>967</v>
      </c>
      <c r="T2945" s="47" t="s">
        <v>4483</v>
      </c>
      <c r="U2945" s="47"/>
      <c r="V2945" s="47"/>
      <c r="W2945" s="47"/>
      <c r="X2945" s="47"/>
      <c r="Y2945" s="47"/>
      <c r="Z2945" s="47">
        <f t="shared" si="608"/>
        <v>4620</v>
      </c>
      <c r="AA2945" s="47"/>
      <c r="AB2945" s="47"/>
      <c r="AC2945" s="47"/>
      <c r="AD2945" s="47" t="s">
        <v>1</v>
      </c>
      <c r="AE2945" s="47"/>
      <c r="AF2945" s="47"/>
      <c r="AG2945" s="47"/>
      <c r="AH2945" s="47" t="str">
        <f>IFERROR(_xlfn.XLOOKUP(Table6[[#This Row],[Suburb]],Table5[Travel Surcharge],Table5[$$]),"")</f>
        <v/>
      </c>
      <c r="AI2945" s="47"/>
      <c r="AJ2945" s="47"/>
    </row>
    <row r="2946" spans="1:36">
      <c r="A2946" s="374" t="s">
        <v>4478</v>
      </c>
      <c r="B2946" s="374">
        <v>2</v>
      </c>
      <c r="C2946" s="374" t="s">
        <v>538</v>
      </c>
      <c r="D2946" s="375" t="str">
        <f t="shared" si="615"/>
        <v>Mount Atkinsons2</v>
      </c>
      <c r="E2946" s="375" t="s">
        <v>4484</v>
      </c>
      <c r="F2946" s="375" t="s">
        <v>4480</v>
      </c>
      <c r="G2946" s="375"/>
      <c r="H2946" s="375"/>
      <c r="I2946" s="63"/>
      <c r="J2946" s="47">
        <f t="shared" si="614"/>
        <v>3740</v>
      </c>
      <c r="K2946" s="46" t="s">
        <v>10735</v>
      </c>
      <c r="L2946" s="47"/>
      <c r="M2946" s="47">
        <f t="shared" si="616"/>
        <v>1430.0000000000002</v>
      </c>
      <c r="N2946" s="47" t="s">
        <v>2646</v>
      </c>
      <c r="O2946" s="47" t="s">
        <v>4481</v>
      </c>
      <c r="P2946" s="47" t="s">
        <v>4482</v>
      </c>
      <c r="Q2946" s="47"/>
      <c r="R2946" s="47"/>
      <c r="S2946" s="47" t="s">
        <v>967</v>
      </c>
      <c r="T2946" s="47" t="s">
        <v>4483</v>
      </c>
      <c r="U2946" s="47"/>
      <c r="V2946" s="47"/>
      <c r="W2946" s="47"/>
      <c r="X2946" s="47"/>
      <c r="Y2946" s="47"/>
      <c r="Z2946" s="47">
        <f t="shared" si="608"/>
        <v>4620</v>
      </c>
      <c r="AA2946" s="47"/>
      <c r="AB2946" s="47"/>
      <c r="AC2946" s="47"/>
      <c r="AD2946" s="47" t="s">
        <v>1</v>
      </c>
      <c r="AE2946" s="47"/>
      <c r="AF2946" s="47"/>
      <c r="AG2946" s="47"/>
      <c r="AH2946" s="47" t="str">
        <f>IFERROR(_xlfn.XLOOKUP(Table6[[#This Row],[Suburb]],Table5[Travel Surcharge],Table5[$$]),"")</f>
        <v/>
      </c>
      <c r="AI2946" s="47"/>
      <c r="AJ2946" s="47"/>
    </row>
    <row r="2947" spans="1:36">
      <c r="A2947" s="374" t="s">
        <v>4478</v>
      </c>
      <c r="B2947" s="374">
        <v>3</v>
      </c>
      <c r="C2947" s="374" t="s">
        <v>538</v>
      </c>
      <c r="D2947" s="375" t="str">
        <f t="shared" si="615"/>
        <v>Mount Atkinsons3</v>
      </c>
      <c r="E2947" s="375" t="s">
        <v>4485</v>
      </c>
      <c r="F2947" s="375" t="s">
        <v>4480</v>
      </c>
      <c r="G2947" s="375"/>
      <c r="H2947" s="375"/>
      <c r="I2947" s="63"/>
      <c r="J2947" s="47">
        <f t="shared" si="614"/>
        <v>3740</v>
      </c>
      <c r="K2947" s="46" t="s">
        <v>10735</v>
      </c>
      <c r="L2947" s="47"/>
      <c r="M2947" s="47">
        <f t="shared" si="616"/>
        <v>1430.0000000000002</v>
      </c>
      <c r="N2947" s="47" t="s">
        <v>2646</v>
      </c>
      <c r="O2947" s="47" t="s">
        <v>4481</v>
      </c>
      <c r="P2947" s="47" t="s">
        <v>4482</v>
      </c>
      <c r="Q2947" s="47"/>
      <c r="R2947" s="47"/>
      <c r="S2947" s="47" t="s">
        <v>967</v>
      </c>
      <c r="T2947" s="47" t="s">
        <v>4483</v>
      </c>
      <c r="U2947" s="47"/>
      <c r="V2947" s="47"/>
      <c r="W2947" s="47"/>
      <c r="X2947" s="47"/>
      <c r="Y2947" s="47"/>
      <c r="Z2947" s="47">
        <f t="shared" si="608"/>
        <v>4620</v>
      </c>
      <c r="AA2947" s="47"/>
      <c r="AB2947" s="47"/>
      <c r="AC2947" s="47"/>
      <c r="AD2947" s="47" t="s">
        <v>1</v>
      </c>
      <c r="AE2947" s="47"/>
      <c r="AF2947" s="47"/>
      <c r="AG2947" s="47"/>
      <c r="AH2947" s="47" t="str">
        <f>IFERROR(_xlfn.XLOOKUP(Table6[[#This Row],[Suburb]],Table5[Travel Surcharge],Table5[$$]),"")</f>
        <v/>
      </c>
      <c r="AI2947" s="47"/>
      <c r="AJ2947" s="47"/>
    </row>
    <row r="2948" spans="1:36">
      <c r="A2948" s="374" t="s">
        <v>4478</v>
      </c>
      <c r="B2948" s="374">
        <v>4</v>
      </c>
      <c r="C2948" s="374" t="s">
        <v>538</v>
      </c>
      <c r="D2948" s="375" t="str">
        <f t="shared" si="615"/>
        <v>Mount Atkinsons4</v>
      </c>
      <c r="E2948" s="375" t="s">
        <v>4486</v>
      </c>
      <c r="F2948" s="375" t="s">
        <v>4480</v>
      </c>
      <c r="G2948" s="375"/>
      <c r="H2948" s="375"/>
      <c r="I2948" s="63"/>
      <c r="J2948" s="47">
        <f t="shared" si="614"/>
        <v>3740</v>
      </c>
      <c r="K2948" s="46" t="s">
        <v>10735</v>
      </c>
      <c r="L2948" s="47"/>
      <c r="M2948" s="47">
        <f t="shared" si="616"/>
        <v>1430.0000000000002</v>
      </c>
      <c r="N2948" s="47" t="s">
        <v>2646</v>
      </c>
      <c r="O2948" s="47" t="s">
        <v>4481</v>
      </c>
      <c r="P2948" s="47" t="s">
        <v>4482</v>
      </c>
      <c r="Q2948" s="47"/>
      <c r="R2948" s="47"/>
      <c r="S2948" s="47" t="s">
        <v>967</v>
      </c>
      <c r="T2948" s="47" t="s">
        <v>4483</v>
      </c>
      <c r="U2948" s="47"/>
      <c r="V2948" s="47"/>
      <c r="W2948" s="47"/>
      <c r="X2948" s="47"/>
      <c r="Y2948" s="47"/>
      <c r="Z2948" s="47">
        <f t="shared" si="608"/>
        <v>4620</v>
      </c>
      <c r="AA2948" s="47"/>
      <c r="AB2948" s="47"/>
      <c r="AC2948" s="47"/>
      <c r="AD2948" s="47" t="s">
        <v>1</v>
      </c>
      <c r="AE2948" s="47"/>
      <c r="AF2948" s="47"/>
      <c r="AG2948" s="47"/>
      <c r="AH2948" s="47" t="str">
        <f>IFERROR(_xlfn.XLOOKUP(Table6[[#This Row],[Suburb]],Table5[Travel Surcharge],Table5[$$]),"")</f>
        <v/>
      </c>
      <c r="AI2948" s="47"/>
      <c r="AJ2948" s="47"/>
    </row>
    <row r="2949" spans="1:36">
      <c r="A2949" s="374" t="s">
        <v>4478</v>
      </c>
      <c r="B2949" s="374">
        <v>5</v>
      </c>
      <c r="C2949" s="374" t="s">
        <v>538</v>
      </c>
      <c r="D2949" s="375" t="str">
        <f t="shared" si="615"/>
        <v>Mount Atkinsons5</v>
      </c>
      <c r="E2949" s="375" t="s">
        <v>4487</v>
      </c>
      <c r="F2949" s="375" t="s">
        <v>4480</v>
      </c>
      <c r="G2949" s="375"/>
      <c r="H2949" s="375"/>
      <c r="I2949" s="63"/>
      <c r="J2949" s="47">
        <f t="shared" si="614"/>
        <v>3740</v>
      </c>
      <c r="K2949" s="46" t="s">
        <v>10735</v>
      </c>
      <c r="L2949" s="47"/>
      <c r="M2949" s="47">
        <f t="shared" si="616"/>
        <v>1430.0000000000002</v>
      </c>
      <c r="N2949" s="47" t="s">
        <v>2646</v>
      </c>
      <c r="O2949" s="47" t="s">
        <v>4481</v>
      </c>
      <c r="P2949" s="47" t="s">
        <v>4482</v>
      </c>
      <c r="Q2949" s="47"/>
      <c r="R2949" s="47"/>
      <c r="S2949" s="47" t="s">
        <v>967</v>
      </c>
      <c r="T2949" s="47" t="s">
        <v>4483</v>
      </c>
      <c r="U2949" s="47"/>
      <c r="V2949" s="47"/>
      <c r="W2949" s="47"/>
      <c r="X2949" s="47"/>
      <c r="Y2949" s="47"/>
      <c r="Z2949" s="47">
        <f t="shared" si="608"/>
        <v>4620</v>
      </c>
      <c r="AA2949" s="47"/>
      <c r="AB2949" s="47"/>
      <c r="AC2949" s="47"/>
      <c r="AD2949" s="47" t="s">
        <v>1</v>
      </c>
      <c r="AE2949" s="47"/>
      <c r="AF2949" s="47"/>
      <c r="AG2949" s="47"/>
      <c r="AH2949" s="47" t="str">
        <f>IFERROR(_xlfn.XLOOKUP(Table6[[#This Row],[Suburb]],Table5[Travel Surcharge],Table5[$$]),"")</f>
        <v/>
      </c>
      <c r="AI2949" s="47"/>
      <c r="AJ2949" s="47"/>
    </row>
    <row r="2950" spans="1:36">
      <c r="A2950" s="374" t="s">
        <v>4478</v>
      </c>
      <c r="B2950" s="374">
        <v>6</v>
      </c>
      <c r="C2950" s="374" t="s">
        <v>538</v>
      </c>
      <c r="D2950" s="375" t="str">
        <f t="shared" si="615"/>
        <v>Mount Atkinsons6</v>
      </c>
      <c r="E2950" s="375" t="s">
        <v>4488</v>
      </c>
      <c r="F2950" s="375" t="s">
        <v>4480</v>
      </c>
      <c r="G2950" s="375"/>
      <c r="H2950" s="375"/>
      <c r="I2950" s="63"/>
      <c r="J2950" s="47">
        <f t="shared" si="614"/>
        <v>3740</v>
      </c>
      <c r="K2950" s="46" t="s">
        <v>10735</v>
      </c>
      <c r="L2950" s="47"/>
      <c r="M2950" s="47">
        <f t="shared" si="616"/>
        <v>1430.0000000000002</v>
      </c>
      <c r="N2950" s="47" t="s">
        <v>2646</v>
      </c>
      <c r="O2950" s="47" t="s">
        <v>4481</v>
      </c>
      <c r="P2950" s="47" t="s">
        <v>4482</v>
      </c>
      <c r="Q2950" s="47"/>
      <c r="R2950" s="47"/>
      <c r="S2950" s="47" t="s">
        <v>967</v>
      </c>
      <c r="T2950" s="47" t="s">
        <v>4483</v>
      </c>
      <c r="U2950" s="47"/>
      <c r="V2950" s="47"/>
      <c r="W2950" s="47"/>
      <c r="X2950" s="47"/>
      <c r="Y2950" s="47"/>
      <c r="Z2950" s="47">
        <f t="shared" si="608"/>
        <v>4620</v>
      </c>
      <c r="AA2950" s="47"/>
      <c r="AB2950" s="47"/>
      <c r="AC2950" s="47"/>
      <c r="AD2950" s="47" t="s">
        <v>1</v>
      </c>
      <c r="AE2950" s="47"/>
      <c r="AF2950" s="47"/>
      <c r="AG2950" s="47"/>
      <c r="AH2950" s="47" t="str">
        <f>IFERROR(_xlfn.XLOOKUP(Table6[[#This Row],[Suburb]],Table5[Travel Surcharge],Table5[$$]),"")</f>
        <v/>
      </c>
      <c r="AI2950" s="47"/>
      <c r="AJ2950" s="47"/>
    </row>
    <row r="2951" spans="1:36">
      <c r="A2951" s="374" t="s">
        <v>4478</v>
      </c>
      <c r="B2951" s="374">
        <v>7</v>
      </c>
      <c r="C2951" s="374" t="s">
        <v>538</v>
      </c>
      <c r="D2951" s="375" t="str">
        <f t="shared" si="615"/>
        <v>Mount Atkinsons7</v>
      </c>
      <c r="E2951" s="375" t="s">
        <v>4489</v>
      </c>
      <c r="F2951" s="375" t="s">
        <v>4480</v>
      </c>
      <c r="G2951" s="375"/>
      <c r="H2951" s="375"/>
      <c r="I2951" s="63"/>
      <c r="J2951" s="47">
        <f t="shared" si="614"/>
        <v>3740</v>
      </c>
      <c r="K2951" s="46" t="s">
        <v>10735</v>
      </c>
      <c r="L2951" s="47"/>
      <c r="M2951" s="47">
        <f t="shared" si="616"/>
        <v>1430.0000000000002</v>
      </c>
      <c r="N2951" s="47" t="s">
        <v>2646</v>
      </c>
      <c r="O2951" s="47" t="s">
        <v>4481</v>
      </c>
      <c r="P2951" s="47" t="s">
        <v>4482</v>
      </c>
      <c r="Q2951" s="47"/>
      <c r="R2951" s="47"/>
      <c r="S2951" s="47" t="s">
        <v>967</v>
      </c>
      <c r="T2951" s="47" t="s">
        <v>4483</v>
      </c>
      <c r="U2951" s="47"/>
      <c r="V2951" s="47"/>
      <c r="W2951" s="47"/>
      <c r="X2951" s="47"/>
      <c r="Y2951" s="47"/>
      <c r="Z2951" s="47">
        <f t="shared" si="608"/>
        <v>4620</v>
      </c>
      <c r="AA2951" s="47"/>
      <c r="AB2951" s="47"/>
      <c r="AC2951" s="47"/>
      <c r="AD2951" s="47" t="s">
        <v>1</v>
      </c>
      <c r="AE2951" s="47"/>
      <c r="AF2951" s="47"/>
      <c r="AG2951" s="47"/>
      <c r="AH2951" s="47" t="str">
        <f>IFERROR(_xlfn.XLOOKUP(Table6[[#This Row],[Suburb]],Table5[Travel Surcharge],Table5[$$]),"")</f>
        <v/>
      </c>
      <c r="AI2951" s="47"/>
      <c r="AJ2951" s="47"/>
    </row>
    <row r="2952" spans="1:36">
      <c r="A2952" s="374" t="s">
        <v>4478</v>
      </c>
      <c r="B2952" s="374">
        <v>10</v>
      </c>
      <c r="C2952" s="374" t="s">
        <v>538</v>
      </c>
      <c r="D2952" s="375" t="str">
        <f t="shared" si="615"/>
        <v>Mount Atkinsons10</v>
      </c>
      <c r="E2952" s="375" t="s">
        <v>4490</v>
      </c>
      <c r="F2952" s="375" t="s">
        <v>4480</v>
      </c>
      <c r="G2952" s="375"/>
      <c r="H2952" s="375"/>
      <c r="I2952" s="63"/>
      <c r="J2952" s="47">
        <f t="shared" si="614"/>
        <v>3740</v>
      </c>
      <c r="K2952" s="46" t="s">
        <v>10735</v>
      </c>
      <c r="L2952" s="47"/>
      <c r="M2952" s="47">
        <f t="shared" si="616"/>
        <v>1430.0000000000002</v>
      </c>
      <c r="N2952" s="47" t="s">
        <v>2646</v>
      </c>
      <c r="O2952" s="47" t="s">
        <v>4481</v>
      </c>
      <c r="P2952" s="47" t="s">
        <v>4482</v>
      </c>
      <c r="Q2952" s="47"/>
      <c r="R2952" s="47"/>
      <c r="S2952" s="47" t="s">
        <v>967</v>
      </c>
      <c r="T2952" s="47" t="s">
        <v>4483</v>
      </c>
      <c r="U2952" s="47"/>
      <c r="V2952" s="47"/>
      <c r="W2952" s="47"/>
      <c r="X2952" s="47"/>
      <c r="Y2952" s="47"/>
      <c r="Z2952" s="47">
        <f t="shared" si="608"/>
        <v>4620</v>
      </c>
      <c r="AA2952" s="47"/>
      <c r="AB2952" s="47"/>
      <c r="AC2952" s="47"/>
      <c r="AD2952" s="47" t="s">
        <v>1</v>
      </c>
      <c r="AE2952" s="47"/>
      <c r="AF2952" s="47"/>
      <c r="AG2952" s="47"/>
      <c r="AH2952" s="47" t="str">
        <f>IFERROR(_xlfn.XLOOKUP(Table6[[#This Row],[Suburb]],Table5[Travel Surcharge],Table5[$$]),"")</f>
        <v/>
      </c>
      <c r="AI2952" s="47"/>
      <c r="AJ2952" s="47"/>
    </row>
    <row r="2953" spans="1:36">
      <c r="A2953" s="374" t="s">
        <v>4478</v>
      </c>
      <c r="B2953" s="374">
        <v>12</v>
      </c>
      <c r="C2953" s="374" t="s">
        <v>538</v>
      </c>
      <c r="D2953" s="375" t="str">
        <f t="shared" si="615"/>
        <v>Mount Atkinsons12</v>
      </c>
      <c r="E2953" s="375" t="s">
        <v>4491</v>
      </c>
      <c r="F2953" s="375" t="s">
        <v>4480</v>
      </c>
      <c r="G2953" s="375"/>
      <c r="H2953" s="375"/>
      <c r="I2953" s="63"/>
      <c r="J2953" s="47">
        <f t="shared" si="614"/>
        <v>3740</v>
      </c>
      <c r="K2953" s="46" t="s">
        <v>10735</v>
      </c>
      <c r="L2953" s="47"/>
      <c r="M2953" s="47">
        <f t="shared" si="616"/>
        <v>1430.0000000000002</v>
      </c>
      <c r="N2953" s="47" t="s">
        <v>2646</v>
      </c>
      <c r="O2953" s="47" t="s">
        <v>4481</v>
      </c>
      <c r="P2953" s="47" t="s">
        <v>4482</v>
      </c>
      <c r="Q2953" s="47"/>
      <c r="R2953" s="47"/>
      <c r="S2953" s="47" t="s">
        <v>967</v>
      </c>
      <c r="T2953" s="47" t="s">
        <v>4483</v>
      </c>
      <c r="U2953" s="47"/>
      <c r="V2953" s="47"/>
      <c r="W2953" s="47"/>
      <c r="X2953" s="47"/>
      <c r="Y2953" s="47"/>
      <c r="Z2953" s="47">
        <f t="shared" si="608"/>
        <v>4620</v>
      </c>
      <c r="AA2953" s="47"/>
      <c r="AB2953" s="47"/>
      <c r="AC2953" s="47"/>
      <c r="AD2953" s="47" t="s">
        <v>1</v>
      </c>
      <c r="AE2953" s="47"/>
      <c r="AF2953" s="47"/>
      <c r="AG2953" s="47"/>
      <c r="AH2953" s="47" t="str">
        <f>IFERROR(_xlfn.XLOOKUP(Table6[[#This Row],[Suburb]],Table5[Travel Surcharge],Table5[$$]),"")</f>
        <v/>
      </c>
      <c r="AI2953" s="47"/>
      <c r="AJ2953" s="47"/>
    </row>
    <row r="2954" spans="1:36">
      <c r="A2954" s="374" t="s">
        <v>4478</v>
      </c>
      <c r="B2954" s="374">
        <v>13</v>
      </c>
      <c r="C2954" s="374" t="s">
        <v>538</v>
      </c>
      <c r="D2954" s="375" t="str">
        <f t="shared" si="615"/>
        <v>Mount Atkinsons13</v>
      </c>
      <c r="E2954" s="375" t="s">
        <v>4492</v>
      </c>
      <c r="F2954" s="375" t="s">
        <v>4480</v>
      </c>
      <c r="G2954" s="375"/>
      <c r="H2954" s="375"/>
      <c r="I2954" s="63"/>
      <c r="J2954" s="47">
        <f t="shared" si="614"/>
        <v>3740</v>
      </c>
      <c r="K2954" s="46" t="s">
        <v>10735</v>
      </c>
      <c r="L2954" s="47"/>
      <c r="M2954" s="47">
        <f t="shared" si="616"/>
        <v>1430.0000000000002</v>
      </c>
      <c r="N2954" s="47" t="s">
        <v>2646</v>
      </c>
      <c r="O2954" s="47" t="s">
        <v>4481</v>
      </c>
      <c r="P2954" s="47" t="s">
        <v>4482</v>
      </c>
      <c r="Q2954" s="47"/>
      <c r="R2954" s="47"/>
      <c r="S2954" s="47" t="s">
        <v>967</v>
      </c>
      <c r="T2954" s="47" t="s">
        <v>4483</v>
      </c>
      <c r="U2954" s="47"/>
      <c r="V2954" s="47"/>
      <c r="W2954" s="47"/>
      <c r="X2954" s="47"/>
      <c r="Y2954" s="47"/>
      <c r="Z2954" s="47">
        <f t="shared" si="608"/>
        <v>4620</v>
      </c>
      <c r="AA2954" s="47"/>
      <c r="AB2954" s="47"/>
      <c r="AC2954" s="47"/>
      <c r="AD2954" s="47" t="s">
        <v>1</v>
      </c>
      <c r="AE2954" s="47"/>
      <c r="AF2954" s="47"/>
      <c r="AG2954" s="47"/>
      <c r="AH2954" s="47" t="str">
        <f>IFERROR(_xlfn.XLOOKUP(Table6[[#This Row],[Suburb]],Table5[Travel Surcharge],Table5[$$]),"")</f>
        <v/>
      </c>
      <c r="AI2954" s="47"/>
      <c r="AJ2954" s="47"/>
    </row>
    <row r="2955" spans="1:36">
      <c r="A2955" s="374" t="s">
        <v>4478</v>
      </c>
      <c r="B2955" s="374">
        <v>14</v>
      </c>
      <c r="C2955" s="374" t="s">
        <v>538</v>
      </c>
      <c r="D2955" s="375" t="str">
        <f t="shared" si="615"/>
        <v>Mount Atkinsons14</v>
      </c>
      <c r="E2955" s="375" t="s">
        <v>4493</v>
      </c>
      <c r="F2955" s="375" t="s">
        <v>4480</v>
      </c>
      <c r="G2955" s="375"/>
      <c r="H2955" s="375"/>
      <c r="I2955" s="63"/>
      <c r="J2955" s="47">
        <f t="shared" si="614"/>
        <v>3740</v>
      </c>
      <c r="K2955" s="46" t="s">
        <v>10735</v>
      </c>
      <c r="L2955" s="47"/>
      <c r="M2955" s="47">
        <f t="shared" si="616"/>
        <v>1430.0000000000002</v>
      </c>
      <c r="N2955" s="47" t="s">
        <v>2646</v>
      </c>
      <c r="O2955" s="47" t="s">
        <v>4481</v>
      </c>
      <c r="P2955" s="47" t="s">
        <v>4482</v>
      </c>
      <c r="Q2955" s="47"/>
      <c r="R2955" s="47"/>
      <c r="S2955" s="47" t="s">
        <v>967</v>
      </c>
      <c r="T2955" s="47" t="s">
        <v>4483</v>
      </c>
      <c r="U2955" s="47"/>
      <c r="V2955" s="47"/>
      <c r="W2955" s="47"/>
      <c r="X2955" s="47"/>
      <c r="Y2955" s="47"/>
      <c r="Z2955" s="47">
        <f t="shared" si="608"/>
        <v>4620</v>
      </c>
      <c r="AA2955" s="47"/>
      <c r="AB2955" s="47"/>
      <c r="AC2955" s="47"/>
      <c r="AD2955" s="47" t="s">
        <v>1</v>
      </c>
      <c r="AE2955" s="47"/>
      <c r="AF2955" s="47"/>
      <c r="AG2955" s="47"/>
      <c r="AH2955" s="47" t="str">
        <f>IFERROR(_xlfn.XLOOKUP(Table6[[#This Row],[Suburb]],Table5[Travel Surcharge],Table5[$$]),"")</f>
        <v/>
      </c>
      <c r="AI2955" s="47"/>
      <c r="AJ2955" s="47"/>
    </row>
    <row r="2956" spans="1:36">
      <c r="A2956" s="374" t="s">
        <v>4478</v>
      </c>
      <c r="B2956" s="374">
        <v>15</v>
      </c>
      <c r="C2956" s="374" t="s">
        <v>538</v>
      </c>
      <c r="D2956" s="375" t="str">
        <f t="shared" si="615"/>
        <v>Mount Atkinsons15</v>
      </c>
      <c r="E2956" s="375" t="s">
        <v>4494</v>
      </c>
      <c r="F2956" s="375" t="s">
        <v>4480</v>
      </c>
      <c r="G2956" s="375"/>
      <c r="H2956" s="375"/>
      <c r="I2956" s="63"/>
      <c r="J2956" s="47">
        <f t="shared" si="614"/>
        <v>3740</v>
      </c>
      <c r="K2956" s="46" t="s">
        <v>10735</v>
      </c>
      <c r="L2956" s="47"/>
      <c r="M2956" s="47">
        <f t="shared" si="616"/>
        <v>1430.0000000000002</v>
      </c>
      <c r="N2956" s="47" t="s">
        <v>2646</v>
      </c>
      <c r="O2956" s="47" t="s">
        <v>4481</v>
      </c>
      <c r="P2956" s="47" t="s">
        <v>4482</v>
      </c>
      <c r="Q2956" s="47"/>
      <c r="R2956" s="47"/>
      <c r="S2956" s="47" t="s">
        <v>967</v>
      </c>
      <c r="T2956" s="47" t="s">
        <v>4483</v>
      </c>
      <c r="U2956" s="47"/>
      <c r="V2956" s="47"/>
      <c r="W2956" s="47"/>
      <c r="X2956" s="47"/>
      <c r="Y2956" s="47"/>
      <c r="Z2956" s="47">
        <f t="shared" si="608"/>
        <v>4620</v>
      </c>
      <c r="AA2956" s="47"/>
      <c r="AB2956" s="47"/>
      <c r="AC2956" s="47"/>
      <c r="AD2956" s="47" t="s">
        <v>1</v>
      </c>
      <c r="AE2956" s="47"/>
      <c r="AF2956" s="47"/>
      <c r="AG2956" s="47"/>
      <c r="AH2956" s="47" t="str">
        <f>IFERROR(_xlfn.XLOOKUP(Table6[[#This Row],[Suburb]],Table5[Travel Surcharge],Table5[$$]),"")</f>
        <v/>
      </c>
      <c r="AI2956" s="47"/>
      <c r="AJ2956" s="47"/>
    </row>
    <row r="2957" spans="1:36">
      <c r="A2957" s="374" t="s">
        <v>4478</v>
      </c>
      <c r="B2957" s="374">
        <v>16</v>
      </c>
      <c r="C2957" s="374" t="s">
        <v>538</v>
      </c>
      <c r="D2957" s="375" t="str">
        <f t="shared" si="615"/>
        <v>Mount Atkinsons16</v>
      </c>
      <c r="E2957" s="375" t="s">
        <v>4496</v>
      </c>
      <c r="F2957" s="375" t="s">
        <v>4480</v>
      </c>
      <c r="G2957" s="375"/>
      <c r="H2957" s="375"/>
      <c r="I2957" s="63"/>
      <c r="J2957" s="47">
        <f t="shared" si="614"/>
        <v>3740</v>
      </c>
      <c r="K2957" s="46" t="s">
        <v>10735</v>
      </c>
      <c r="L2957" s="47"/>
      <c r="M2957" s="47">
        <f t="shared" si="616"/>
        <v>1430.0000000000002</v>
      </c>
      <c r="N2957" s="47" t="s">
        <v>2646</v>
      </c>
      <c r="O2957" s="47" t="s">
        <v>4481</v>
      </c>
      <c r="P2957" s="47" t="s">
        <v>4482</v>
      </c>
      <c r="Q2957" s="47"/>
      <c r="R2957" s="47"/>
      <c r="S2957" s="47" t="s">
        <v>967</v>
      </c>
      <c r="T2957" s="47" t="s">
        <v>4483</v>
      </c>
      <c r="U2957" s="47"/>
      <c r="V2957" s="47"/>
      <c r="W2957" s="47"/>
      <c r="X2957" s="47"/>
      <c r="Y2957" s="47"/>
      <c r="Z2957" s="47">
        <f t="shared" si="608"/>
        <v>4620</v>
      </c>
      <c r="AA2957" s="47"/>
      <c r="AB2957" s="47"/>
      <c r="AC2957" s="47"/>
      <c r="AD2957" s="47" t="s">
        <v>1</v>
      </c>
      <c r="AE2957" s="47"/>
      <c r="AF2957" s="47"/>
      <c r="AG2957" s="47"/>
      <c r="AH2957" s="47" t="str">
        <f>IFERROR(_xlfn.XLOOKUP(Table6[[#This Row],[Suburb]],Table5[Travel Surcharge],Table5[$$]),"")</f>
        <v/>
      </c>
      <c r="AI2957" s="47"/>
      <c r="AJ2957" s="47"/>
    </row>
    <row r="2958" spans="1:36">
      <c r="A2958" s="374" t="s">
        <v>4478</v>
      </c>
      <c r="B2958" s="374">
        <v>17</v>
      </c>
      <c r="C2958" s="374" t="s">
        <v>538</v>
      </c>
      <c r="D2958" s="375" t="str">
        <f t="shared" si="615"/>
        <v>Mount Atkinsons17</v>
      </c>
      <c r="E2958" s="375" t="s">
        <v>4497</v>
      </c>
      <c r="F2958" s="375" t="s">
        <v>4480</v>
      </c>
      <c r="G2958" s="375"/>
      <c r="H2958" s="375"/>
      <c r="I2958" s="63"/>
      <c r="J2958" s="47">
        <f t="shared" si="614"/>
        <v>3740</v>
      </c>
      <c r="K2958" s="46" t="s">
        <v>10735</v>
      </c>
      <c r="L2958" s="47"/>
      <c r="M2958" s="47">
        <f t="shared" si="616"/>
        <v>1430.0000000000002</v>
      </c>
      <c r="N2958" s="47" t="s">
        <v>2646</v>
      </c>
      <c r="O2958" s="47" t="s">
        <v>4481</v>
      </c>
      <c r="P2958" s="47" t="s">
        <v>4482</v>
      </c>
      <c r="Q2958" s="47"/>
      <c r="R2958" s="47"/>
      <c r="S2958" s="47" t="s">
        <v>967</v>
      </c>
      <c r="T2958" s="47" t="s">
        <v>4483</v>
      </c>
      <c r="U2958" s="47"/>
      <c r="V2958" s="47"/>
      <c r="W2958" s="47"/>
      <c r="X2958" s="47"/>
      <c r="Y2958" s="47"/>
      <c r="Z2958" s="47">
        <f t="shared" si="608"/>
        <v>4620</v>
      </c>
      <c r="AA2958" s="47"/>
      <c r="AB2958" s="47"/>
      <c r="AC2958" s="47"/>
      <c r="AD2958" s="47" t="s">
        <v>1</v>
      </c>
      <c r="AE2958" s="47"/>
      <c r="AF2958" s="47"/>
      <c r="AG2958" s="47"/>
      <c r="AH2958" s="47" t="str">
        <f>IFERROR(_xlfn.XLOOKUP(Table6[[#This Row],[Suburb]],Table5[Travel Surcharge],Table5[$$]),"")</f>
        <v/>
      </c>
      <c r="AI2958" s="47"/>
      <c r="AJ2958" s="47"/>
    </row>
    <row r="2959" spans="1:36">
      <c r="A2959" s="374" t="s">
        <v>4478</v>
      </c>
      <c r="B2959" s="374">
        <v>18</v>
      </c>
      <c r="C2959" s="374" t="s">
        <v>538</v>
      </c>
      <c r="D2959" s="375" t="str">
        <f t="shared" si="615"/>
        <v>Mount Atkinsons18</v>
      </c>
      <c r="E2959" s="375" t="s">
        <v>4498</v>
      </c>
      <c r="F2959" s="375" t="s">
        <v>4480</v>
      </c>
      <c r="G2959" s="375"/>
      <c r="H2959" s="375"/>
      <c r="I2959" s="63"/>
      <c r="J2959" s="47">
        <f t="shared" si="614"/>
        <v>3740</v>
      </c>
      <c r="K2959" s="46" t="s">
        <v>10735</v>
      </c>
      <c r="L2959" s="47"/>
      <c r="M2959" s="47">
        <f t="shared" si="616"/>
        <v>1430.0000000000002</v>
      </c>
      <c r="N2959" s="47" t="s">
        <v>2646</v>
      </c>
      <c r="O2959" s="47" t="s">
        <v>4481</v>
      </c>
      <c r="P2959" s="47" t="s">
        <v>4482</v>
      </c>
      <c r="Q2959" s="47"/>
      <c r="R2959" s="47"/>
      <c r="S2959" s="47" t="s">
        <v>967</v>
      </c>
      <c r="T2959" s="47" t="s">
        <v>4483</v>
      </c>
      <c r="U2959" s="47"/>
      <c r="V2959" s="47"/>
      <c r="W2959" s="47"/>
      <c r="X2959" s="47"/>
      <c r="Y2959" s="47"/>
      <c r="Z2959" s="47">
        <f t="shared" si="608"/>
        <v>4620</v>
      </c>
      <c r="AA2959" s="47"/>
      <c r="AB2959" s="47"/>
      <c r="AC2959" s="47"/>
      <c r="AD2959" s="47" t="s">
        <v>1</v>
      </c>
      <c r="AE2959" s="47"/>
      <c r="AF2959" s="47"/>
      <c r="AG2959" s="47"/>
      <c r="AH2959" s="47" t="str">
        <f>IFERROR(_xlfn.XLOOKUP(Table6[[#This Row],[Suburb]],Table5[Travel Surcharge],Table5[$$]),"")</f>
        <v/>
      </c>
      <c r="AI2959" s="47"/>
      <c r="AJ2959" s="47"/>
    </row>
    <row r="2960" spans="1:36">
      <c r="A2960" s="374" t="s">
        <v>4478</v>
      </c>
      <c r="B2960" s="374">
        <v>19</v>
      </c>
      <c r="C2960" s="374" t="s">
        <v>538</v>
      </c>
      <c r="D2960" s="375" t="str">
        <f t="shared" si="615"/>
        <v>Mount Atkinsons19</v>
      </c>
      <c r="E2960" s="375" t="s">
        <v>4499</v>
      </c>
      <c r="F2960" s="375" t="s">
        <v>4480</v>
      </c>
      <c r="G2960" s="375"/>
      <c r="H2960" s="375"/>
      <c r="I2960" s="63"/>
      <c r="J2960" s="47">
        <f t="shared" si="614"/>
        <v>3740</v>
      </c>
      <c r="K2960" s="46" t="s">
        <v>10735</v>
      </c>
      <c r="L2960" s="47"/>
      <c r="M2960" s="47">
        <f t="shared" si="616"/>
        <v>1430.0000000000002</v>
      </c>
      <c r="N2960" s="47" t="s">
        <v>2646</v>
      </c>
      <c r="O2960" s="47" t="s">
        <v>4481</v>
      </c>
      <c r="P2960" s="47" t="s">
        <v>4482</v>
      </c>
      <c r="Q2960" s="47"/>
      <c r="R2960" s="47"/>
      <c r="S2960" s="47" t="s">
        <v>967</v>
      </c>
      <c r="T2960" s="47" t="s">
        <v>4483</v>
      </c>
      <c r="U2960" s="47"/>
      <c r="V2960" s="47"/>
      <c r="W2960" s="47"/>
      <c r="X2960" s="47"/>
      <c r="Y2960" s="47"/>
      <c r="Z2960" s="47">
        <f t="shared" si="608"/>
        <v>4620</v>
      </c>
      <c r="AA2960" s="47"/>
      <c r="AB2960" s="47"/>
      <c r="AC2960" s="47"/>
      <c r="AD2960" s="47" t="s">
        <v>1</v>
      </c>
      <c r="AE2960" s="47"/>
      <c r="AF2960" s="47"/>
      <c r="AG2960" s="47"/>
      <c r="AH2960" s="47" t="str">
        <f>IFERROR(_xlfn.XLOOKUP(Table6[[#This Row],[Suburb]],Table5[Travel Surcharge],Table5[$$]),"")</f>
        <v/>
      </c>
      <c r="AI2960" s="47"/>
      <c r="AJ2960" s="47"/>
    </row>
    <row r="2961" spans="1:36">
      <c r="A2961" s="374" t="s">
        <v>4478</v>
      </c>
      <c r="B2961" s="374">
        <v>21</v>
      </c>
      <c r="C2961" s="374" t="s">
        <v>538</v>
      </c>
      <c r="D2961" s="375" t="str">
        <f t="shared" si="615"/>
        <v>Mount Atkinsons21</v>
      </c>
      <c r="E2961" s="375" t="s">
        <v>4500</v>
      </c>
      <c r="F2961" s="375" t="s">
        <v>4480</v>
      </c>
      <c r="G2961" s="375"/>
      <c r="H2961" s="375"/>
      <c r="I2961" s="63"/>
      <c r="J2961" s="47">
        <f t="shared" si="614"/>
        <v>3740</v>
      </c>
      <c r="K2961" s="46" t="s">
        <v>10735</v>
      </c>
      <c r="L2961" s="47"/>
      <c r="M2961" s="47">
        <f t="shared" si="616"/>
        <v>1430.0000000000002</v>
      </c>
      <c r="N2961" s="47" t="s">
        <v>2646</v>
      </c>
      <c r="O2961" s="47" t="s">
        <v>4481</v>
      </c>
      <c r="P2961" s="47" t="s">
        <v>4482</v>
      </c>
      <c r="Q2961" s="47"/>
      <c r="R2961" s="47"/>
      <c r="S2961" s="47" t="s">
        <v>967</v>
      </c>
      <c r="T2961" s="47" t="s">
        <v>4483</v>
      </c>
      <c r="U2961" s="47"/>
      <c r="V2961" s="47"/>
      <c r="W2961" s="47"/>
      <c r="X2961" s="47"/>
      <c r="Y2961" s="47"/>
      <c r="Z2961" s="47">
        <f t="shared" si="608"/>
        <v>4620</v>
      </c>
      <c r="AA2961" s="47"/>
      <c r="AB2961" s="47"/>
      <c r="AC2961" s="47"/>
      <c r="AD2961" s="47" t="s">
        <v>1</v>
      </c>
      <c r="AE2961" s="47"/>
      <c r="AF2961" s="47"/>
      <c r="AG2961" s="47"/>
      <c r="AH2961" s="47" t="str">
        <f>IFERROR(_xlfn.XLOOKUP(Table6[[#This Row],[Suburb]],Table5[Travel Surcharge],Table5[$$]),"")</f>
        <v/>
      </c>
      <c r="AI2961" s="47"/>
      <c r="AJ2961" s="47"/>
    </row>
    <row r="2962" spans="1:36">
      <c r="A2962" s="374" t="s">
        <v>4478</v>
      </c>
      <c r="B2962" s="374">
        <v>22</v>
      </c>
      <c r="C2962" s="374" t="s">
        <v>538</v>
      </c>
      <c r="D2962" s="375" t="str">
        <f t="shared" si="615"/>
        <v>Mount Atkinsons22</v>
      </c>
      <c r="E2962" s="375" t="s">
        <v>4501</v>
      </c>
      <c r="F2962" s="375" t="s">
        <v>4480</v>
      </c>
      <c r="G2962" s="375"/>
      <c r="H2962" s="375"/>
      <c r="I2962" s="63"/>
      <c r="J2962" s="47">
        <f t="shared" si="614"/>
        <v>3740</v>
      </c>
      <c r="K2962" s="46" t="s">
        <v>10735</v>
      </c>
      <c r="L2962" s="47"/>
      <c r="M2962" s="47">
        <f t="shared" si="616"/>
        <v>1430.0000000000002</v>
      </c>
      <c r="N2962" s="47" t="s">
        <v>2646</v>
      </c>
      <c r="O2962" s="47" t="s">
        <v>4481</v>
      </c>
      <c r="P2962" s="47" t="s">
        <v>4482</v>
      </c>
      <c r="Q2962" s="47" t="s">
        <v>4502</v>
      </c>
      <c r="R2962" s="47"/>
      <c r="S2962" s="47" t="s">
        <v>967</v>
      </c>
      <c r="T2962" s="47" t="s">
        <v>4483</v>
      </c>
      <c r="U2962" s="47"/>
      <c r="V2962" s="47"/>
      <c r="W2962" s="47"/>
      <c r="X2962" s="47"/>
      <c r="Y2962" s="47"/>
      <c r="Z2962" s="47">
        <f t="shared" si="608"/>
        <v>4620</v>
      </c>
      <c r="AA2962" s="47"/>
      <c r="AB2962" s="47"/>
      <c r="AC2962" s="47"/>
      <c r="AD2962" s="47" t="s">
        <v>1</v>
      </c>
      <c r="AE2962" s="47"/>
      <c r="AF2962" s="47">
        <f>AF$7</f>
        <v>1485</v>
      </c>
      <c r="AG2962" s="47"/>
      <c r="AH2962" s="47" t="str">
        <f>IFERROR(_xlfn.XLOOKUP(Table6[[#This Row],[Suburb]],Table5[Travel Surcharge],Table5[$$]),"")</f>
        <v/>
      </c>
      <c r="AI2962" s="47"/>
      <c r="AJ2962" s="47"/>
    </row>
    <row r="2963" spans="1:36">
      <c r="A2963" s="374" t="s">
        <v>4478</v>
      </c>
      <c r="B2963" s="374">
        <v>23</v>
      </c>
      <c r="C2963" s="374" t="s">
        <v>538</v>
      </c>
      <c r="D2963" s="375" t="str">
        <f t="shared" si="615"/>
        <v>Mount Atkinsons23</v>
      </c>
      <c r="E2963" s="375" t="s">
        <v>4503</v>
      </c>
      <c r="F2963" s="375" t="s">
        <v>4480</v>
      </c>
      <c r="G2963" s="375"/>
      <c r="H2963" s="375"/>
      <c r="I2963" s="63"/>
      <c r="J2963" s="47">
        <f t="shared" si="614"/>
        <v>3740</v>
      </c>
      <c r="K2963" s="46" t="s">
        <v>10735</v>
      </c>
      <c r="L2963" s="47"/>
      <c r="M2963" s="47">
        <f t="shared" si="616"/>
        <v>1430.0000000000002</v>
      </c>
      <c r="N2963" s="47" t="s">
        <v>2646</v>
      </c>
      <c r="O2963" s="47" t="s">
        <v>4481</v>
      </c>
      <c r="P2963" s="47" t="s">
        <v>4482</v>
      </c>
      <c r="Q2963" s="47" t="s">
        <v>4502</v>
      </c>
      <c r="R2963" s="47"/>
      <c r="S2963" s="47" t="s">
        <v>967</v>
      </c>
      <c r="T2963" s="47" t="s">
        <v>4483</v>
      </c>
      <c r="U2963" s="47"/>
      <c r="V2963" s="47"/>
      <c r="W2963" s="47"/>
      <c r="X2963" s="47"/>
      <c r="Y2963" s="47"/>
      <c r="Z2963" s="47">
        <f t="shared" si="608"/>
        <v>4620</v>
      </c>
      <c r="AA2963" s="47"/>
      <c r="AB2963" s="47"/>
      <c r="AC2963" s="47"/>
      <c r="AD2963" s="47" t="s">
        <v>1</v>
      </c>
      <c r="AE2963" s="47"/>
      <c r="AF2963" s="47">
        <f>AF$7</f>
        <v>1485</v>
      </c>
      <c r="AG2963" s="47"/>
      <c r="AH2963" s="47" t="str">
        <f>IFERROR(_xlfn.XLOOKUP(Table6[[#This Row],[Suburb]],Table5[Travel Surcharge],Table5[$$]),"")</f>
        <v/>
      </c>
      <c r="AI2963" s="47"/>
      <c r="AJ2963" s="47"/>
    </row>
    <row r="2964" spans="1:36">
      <c r="A2964" s="374" t="s">
        <v>4478</v>
      </c>
      <c r="B2964" s="374">
        <v>24</v>
      </c>
      <c r="C2964" s="374" t="s">
        <v>538</v>
      </c>
      <c r="D2964" s="375" t="str">
        <f t="shared" si="615"/>
        <v>Mount Atkinsons24</v>
      </c>
      <c r="E2964" s="375" t="s">
        <v>4504</v>
      </c>
      <c r="F2964" s="375" t="s">
        <v>4480</v>
      </c>
      <c r="G2964" s="375"/>
      <c r="H2964" s="375"/>
      <c r="I2964" s="63"/>
      <c r="J2964" s="47">
        <f t="shared" si="614"/>
        <v>3740</v>
      </c>
      <c r="K2964" s="46" t="s">
        <v>10735</v>
      </c>
      <c r="L2964" s="47"/>
      <c r="M2964" s="47">
        <f t="shared" si="616"/>
        <v>1430.0000000000002</v>
      </c>
      <c r="N2964" s="47" t="s">
        <v>2646</v>
      </c>
      <c r="O2964" s="47" t="s">
        <v>4481</v>
      </c>
      <c r="P2964" s="47" t="s">
        <v>4482</v>
      </c>
      <c r="Q2964" s="47" t="s">
        <v>4502</v>
      </c>
      <c r="R2964" s="47"/>
      <c r="S2964" s="47" t="s">
        <v>967</v>
      </c>
      <c r="T2964" s="47" t="s">
        <v>4483</v>
      </c>
      <c r="U2964" s="47"/>
      <c r="V2964" s="47"/>
      <c r="W2964" s="47"/>
      <c r="X2964" s="47"/>
      <c r="Y2964" s="47"/>
      <c r="Z2964" s="47">
        <f t="shared" si="608"/>
        <v>4620</v>
      </c>
      <c r="AA2964" s="47"/>
      <c r="AB2964" s="47"/>
      <c r="AC2964" s="47"/>
      <c r="AD2964" s="47" t="s">
        <v>1</v>
      </c>
      <c r="AE2964" s="47"/>
      <c r="AF2964" s="47">
        <f>AF$7</f>
        <v>1485</v>
      </c>
      <c r="AG2964" s="47"/>
      <c r="AH2964" s="47" t="str">
        <f>IFERROR(_xlfn.XLOOKUP(Table6[[#This Row],[Suburb]],Table5[Travel Surcharge],Table5[$$]),"")</f>
        <v/>
      </c>
      <c r="AI2964" s="47"/>
      <c r="AJ2964" s="47"/>
    </row>
    <row r="2965" spans="1:36">
      <c r="A2965" s="374" t="s">
        <v>4478</v>
      </c>
      <c r="B2965" s="374">
        <v>25</v>
      </c>
      <c r="C2965" s="374" t="s">
        <v>538</v>
      </c>
      <c r="D2965" s="375" t="str">
        <f t="shared" si="615"/>
        <v>Mount Atkinsons25</v>
      </c>
      <c r="E2965" s="375" t="s">
        <v>4505</v>
      </c>
      <c r="F2965" s="375" t="s">
        <v>4480</v>
      </c>
      <c r="G2965" s="375"/>
      <c r="H2965" s="375"/>
      <c r="I2965" s="63"/>
      <c r="J2965" s="47">
        <f t="shared" si="614"/>
        <v>3740</v>
      </c>
      <c r="K2965" s="46" t="s">
        <v>10735</v>
      </c>
      <c r="L2965" s="47"/>
      <c r="M2965" s="47">
        <f t="shared" si="616"/>
        <v>1430.0000000000002</v>
      </c>
      <c r="N2965" s="47" t="s">
        <v>2646</v>
      </c>
      <c r="O2965" s="47" t="s">
        <v>4481</v>
      </c>
      <c r="P2965" s="47" t="s">
        <v>4482</v>
      </c>
      <c r="Q2965" s="47" t="s">
        <v>4502</v>
      </c>
      <c r="R2965" s="47"/>
      <c r="S2965" s="47" t="s">
        <v>967</v>
      </c>
      <c r="T2965" s="47" t="s">
        <v>4483</v>
      </c>
      <c r="U2965" s="47"/>
      <c r="V2965" s="47"/>
      <c r="W2965" s="47"/>
      <c r="X2965" s="47"/>
      <c r="Y2965" s="47"/>
      <c r="Z2965" s="47">
        <f t="shared" si="608"/>
        <v>4620</v>
      </c>
      <c r="AA2965" s="47"/>
      <c r="AB2965" s="47"/>
      <c r="AC2965" s="47"/>
      <c r="AD2965" s="47" t="s">
        <v>1</v>
      </c>
      <c r="AE2965" s="47"/>
      <c r="AF2965" s="47">
        <f>AF$7</f>
        <v>1485</v>
      </c>
      <c r="AG2965" s="47"/>
      <c r="AH2965" s="47" t="str">
        <f>IFERROR(_xlfn.XLOOKUP(Table6[[#This Row],[Suburb]],Table5[Travel Surcharge],Table5[$$]),"")</f>
        <v/>
      </c>
      <c r="AI2965" s="47"/>
      <c r="AJ2965" s="47"/>
    </row>
    <row r="2966" spans="1:36">
      <c r="A2966" s="374" t="s">
        <v>4478</v>
      </c>
      <c r="B2966" s="374">
        <v>26</v>
      </c>
      <c r="C2966" s="374" t="s">
        <v>538</v>
      </c>
      <c r="D2966" s="375" t="str">
        <f t="shared" si="615"/>
        <v>Mount Atkinsons26</v>
      </c>
      <c r="E2966" s="375" t="s">
        <v>4506</v>
      </c>
      <c r="F2966" s="375" t="s">
        <v>4480</v>
      </c>
      <c r="G2966" s="375"/>
      <c r="H2966" s="375"/>
      <c r="I2966" s="63"/>
      <c r="J2966" s="47">
        <f t="shared" si="614"/>
        <v>3740</v>
      </c>
      <c r="K2966" s="46" t="s">
        <v>10735</v>
      </c>
      <c r="L2966" s="47"/>
      <c r="M2966" s="47">
        <f t="shared" si="616"/>
        <v>1430.0000000000002</v>
      </c>
      <c r="N2966" s="47" t="s">
        <v>2646</v>
      </c>
      <c r="O2966" s="47" t="s">
        <v>4481</v>
      </c>
      <c r="P2966" s="47" t="s">
        <v>4482</v>
      </c>
      <c r="Q2966" s="47" t="s">
        <v>4502</v>
      </c>
      <c r="R2966" s="47"/>
      <c r="S2966" s="47" t="s">
        <v>967</v>
      </c>
      <c r="T2966" s="47" t="s">
        <v>4483</v>
      </c>
      <c r="U2966" s="47"/>
      <c r="V2966" s="47"/>
      <c r="W2966" s="47"/>
      <c r="X2966" s="47"/>
      <c r="Y2966" s="47"/>
      <c r="Z2966" s="47">
        <f t="shared" si="608"/>
        <v>4620</v>
      </c>
      <c r="AA2966" s="47"/>
      <c r="AB2966" s="47"/>
      <c r="AC2966" s="47"/>
      <c r="AD2966" s="47" t="s">
        <v>1</v>
      </c>
      <c r="AE2966" s="47"/>
      <c r="AF2966" s="47">
        <f>AF$7</f>
        <v>1485</v>
      </c>
      <c r="AG2966" s="47"/>
      <c r="AH2966" s="47" t="str">
        <f>IFERROR(_xlfn.XLOOKUP(Table6[[#This Row],[Suburb]],Table5[Travel Surcharge],Table5[$$]),"")</f>
        <v/>
      </c>
      <c r="AI2966" s="47"/>
      <c r="AJ2966" s="47"/>
    </row>
    <row r="2967" spans="1:36">
      <c r="A2967" s="374" t="s">
        <v>4478</v>
      </c>
      <c r="B2967" s="374">
        <v>27</v>
      </c>
      <c r="C2967" s="374" t="s">
        <v>538</v>
      </c>
      <c r="D2967" s="375" t="str">
        <f t="shared" si="615"/>
        <v>Mount Atkinsons27</v>
      </c>
      <c r="E2967" s="375" t="s">
        <v>4507</v>
      </c>
      <c r="F2967" s="375" t="s">
        <v>4480</v>
      </c>
      <c r="G2967" s="375"/>
      <c r="H2967" s="375"/>
      <c r="I2967" s="63"/>
      <c r="J2967" s="47">
        <f t="shared" si="614"/>
        <v>3740</v>
      </c>
      <c r="K2967" s="46" t="s">
        <v>10735</v>
      </c>
      <c r="L2967" s="47"/>
      <c r="M2967" s="47">
        <f t="shared" si="616"/>
        <v>1430.0000000000002</v>
      </c>
      <c r="N2967" s="47" t="s">
        <v>2646</v>
      </c>
      <c r="O2967" s="47" t="s">
        <v>4481</v>
      </c>
      <c r="P2967" s="47" t="s">
        <v>4482</v>
      </c>
      <c r="Q2967" s="47"/>
      <c r="R2967" s="47"/>
      <c r="S2967" s="47" t="s">
        <v>967</v>
      </c>
      <c r="T2967" s="47" t="s">
        <v>4483</v>
      </c>
      <c r="U2967" s="47"/>
      <c r="V2967" s="47"/>
      <c r="W2967" s="47"/>
      <c r="X2967" s="47"/>
      <c r="Y2967" s="47"/>
      <c r="Z2967" s="47">
        <f t="shared" si="608"/>
        <v>4620</v>
      </c>
      <c r="AA2967" s="47"/>
      <c r="AB2967" s="47"/>
      <c r="AC2967" s="47"/>
      <c r="AD2967" s="47" t="s">
        <v>1</v>
      </c>
      <c r="AE2967" s="47"/>
      <c r="AF2967" s="47"/>
      <c r="AG2967" s="47"/>
      <c r="AH2967" s="47" t="str">
        <f>IFERROR(_xlfn.XLOOKUP(Table6[[#This Row],[Suburb]],Table5[Travel Surcharge],Table5[$$]),"")</f>
        <v/>
      </c>
      <c r="AI2967" s="47"/>
      <c r="AJ2967" s="47"/>
    </row>
    <row r="2968" spans="1:36">
      <c r="A2968" s="374" t="s">
        <v>4478</v>
      </c>
      <c r="B2968" s="374">
        <v>28</v>
      </c>
      <c r="C2968" s="374" t="s">
        <v>538</v>
      </c>
      <c r="D2968" s="375" t="str">
        <f t="shared" si="615"/>
        <v>Mount Atkinsons28</v>
      </c>
      <c r="E2968" s="375" t="s">
        <v>4508</v>
      </c>
      <c r="F2968" s="375" t="s">
        <v>4480</v>
      </c>
      <c r="G2968" s="375"/>
      <c r="H2968" s="375"/>
      <c r="I2968" s="63"/>
      <c r="J2968" s="47">
        <f t="shared" si="614"/>
        <v>3740</v>
      </c>
      <c r="K2968" s="46" t="s">
        <v>10735</v>
      </c>
      <c r="L2968" s="47" t="s">
        <v>9975</v>
      </c>
      <c r="M2968" s="47">
        <f t="shared" si="616"/>
        <v>1430.0000000000002</v>
      </c>
      <c r="N2968" s="47" t="s">
        <v>2646</v>
      </c>
      <c r="O2968" s="47" t="s">
        <v>4481</v>
      </c>
      <c r="P2968" s="47" t="s">
        <v>4482</v>
      </c>
      <c r="Q2968" s="47"/>
      <c r="R2968" s="47"/>
      <c r="S2968" s="47" t="s">
        <v>967</v>
      </c>
      <c r="T2968" s="47" t="s">
        <v>4483</v>
      </c>
      <c r="U2968" s="47"/>
      <c r="V2968" s="47" t="s">
        <v>9898</v>
      </c>
      <c r="W2968" s="47"/>
      <c r="X2968" s="47"/>
      <c r="Y2968" s="47"/>
      <c r="Z2968" s="47">
        <f t="shared" si="608"/>
        <v>4620</v>
      </c>
      <c r="AA2968" s="47"/>
      <c r="AB2968" s="47"/>
      <c r="AC2968" s="47"/>
      <c r="AD2968" s="47" t="s">
        <v>1</v>
      </c>
      <c r="AE2968" s="47"/>
      <c r="AF2968" s="47"/>
      <c r="AG2968" s="47"/>
      <c r="AH2968" s="47" t="str">
        <f>IFERROR(_xlfn.XLOOKUP(Table6[[#This Row],[Suburb]],Table5[Travel Surcharge],Table5[$$]),"")</f>
        <v/>
      </c>
      <c r="AI2968" s="47"/>
      <c r="AJ2968" s="47"/>
    </row>
    <row r="2969" spans="1:36">
      <c r="A2969" s="157" t="s">
        <v>4478</v>
      </c>
      <c r="B2969" s="157">
        <v>301</v>
      </c>
      <c r="C2969" s="157" t="s">
        <v>538</v>
      </c>
      <c r="D2969" s="157" t="str">
        <f t="shared" si="615"/>
        <v>Mount Atkinsons301</v>
      </c>
      <c r="E2969" s="157" t="s">
        <v>7439</v>
      </c>
      <c r="F2969" s="157" t="s">
        <v>4480</v>
      </c>
      <c r="G2969" s="157"/>
      <c r="H2969" s="157"/>
      <c r="I2969" s="158"/>
      <c r="J2969" s="47">
        <v>3740</v>
      </c>
      <c r="K2969" s="46" t="s">
        <v>10735</v>
      </c>
      <c r="L2969" s="47" t="s">
        <v>2646</v>
      </c>
      <c r="M2969" s="47">
        <v>1430.0000000000002</v>
      </c>
      <c r="N2969" s="47"/>
      <c r="O2969" s="47" t="s">
        <v>4481</v>
      </c>
      <c r="P2969" s="47" t="s">
        <v>4510</v>
      </c>
      <c r="Q2969" s="47"/>
      <c r="R2969" s="47"/>
      <c r="S2969" s="47" t="s">
        <v>967</v>
      </c>
      <c r="T2969" s="47" t="s">
        <v>4483</v>
      </c>
      <c r="U2969" s="47"/>
      <c r="V2969" s="47"/>
      <c r="W2969" s="47"/>
      <c r="X2969" s="47" t="s">
        <v>4511</v>
      </c>
      <c r="Y2969" s="47" t="s">
        <v>4512</v>
      </c>
      <c r="Z2969" s="47">
        <v>4620</v>
      </c>
      <c r="AA2969" s="47"/>
      <c r="AB2969" s="47"/>
      <c r="AC2969" s="47"/>
      <c r="AD2969" s="47" t="s">
        <v>1</v>
      </c>
      <c r="AE2969" s="47">
        <v>8000</v>
      </c>
      <c r="AF2969" s="47">
        <v>1650.0000000000002</v>
      </c>
      <c r="AG2969" s="47"/>
      <c r="AH2969" s="47" t="str">
        <f>IFERROR(_xlfn.XLOOKUP(Table6[[#This Row],[Suburb]],Table5[Travel Surcharge],Table5[$$]),"")</f>
        <v/>
      </c>
      <c r="AI2969" s="47"/>
      <c r="AJ2969" s="47"/>
    </row>
    <row r="2970" spans="1:36">
      <c r="A2970" s="374" t="s">
        <v>4478</v>
      </c>
      <c r="B2970" s="374">
        <v>302</v>
      </c>
      <c r="C2970" s="374" t="s">
        <v>538</v>
      </c>
      <c r="D2970" s="375" t="str">
        <f t="shared" si="615"/>
        <v>Mount Atkinsons302</v>
      </c>
      <c r="E2970" s="375" t="s">
        <v>4509</v>
      </c>
      <c r="F2970" s="375" t="s">
        <v>4480</v>
      </c>
      <c r="G2970" s="375"/>
      <c r="H2970" s="375"/>
      <c r="I2970" s="63"/>
      <c r="J2970" s="47">
        <v>3740</v>
      </c>
      <c r="K2970" s="46" t="s">
        <v>10735</v>
      </c>
      <c r="L2970" s="47" t="s">
        <v>2646</v>
      </c>
      <c r="M2970" s="47">
        <v>1430.0000000000002</v>
      </c>
      <c r="N2970" s="47"/>
      <c r="O2970" s="47" t="s">
        <v>4481</v>
      </c>
      <c r="P2970" s="47" t="s">
        <v>4510</v>
      </c>
      <c r="Q2970" s="47"/>
      <c r="R2970" s="47"/>
      <c r="S2970" s="47" t="s">
        <v>967</v>
      </c>
      <c r="T2970" s="47" t="s">
        <v>4483</v>
      </c>
      <c r="U2970" s="47"/>
      <c r="V2970" s="47"/>
      <c r="W2970" s="47"/>
      <c r="X2970" s="47" t="s">
        <v>4511</v>
      </c>
      <c r="Y2970" s="47" t="s">
        <v>4512</v>
      </c>
      <c r="Z2970" s="47">
        <v>4620</v>
      </c>
      <c r="AA2970" s="47"/>
      <c r="AB2970" s="47"/>
      <c r="AC2970" s="47"/>
      <c r="AD2970" s="47" t="s">
        <v>1</v>
      </c>
      <c r="AE2970" s="47">
        <v>8000</v>
      </c>
      <c r="AF2970" s="47">
        <v>1650.0000000000002</v>
      </c>
      <c r="AG2970" s="47"/>
      <c r="AH2970" s="47" t="str">
        <f>IFERROR(_xlfn.XLOOKUP(Table6[[#This Row],[Suburb]],Table5[Travel Surcharge],Table5[$$]),"")</f>
        <v/>
      </c>
      <c r="AI2970" s="47"/>
      <c r="AJ2970" s="47"/>
    </row>
    <row r="2971" spans="1:36">
      <c r="A2971" s="374" t="s">
        <v>4478</v>
      </c>
      <c r="B2971" s="374">
        <v>303</v>
      </c>
      <c r="C2971" s="374" t="s">
        <v>538</v>
      </c>
      <c r="D2971" s="375" t="str">
        <f t="shared" si="615"/>
        <v>Mount Atkinsons303</v>
      </c>
      <c r="E2971" s="375" t="s">
        <v>4513</v>
      </c>
      <c r="F2971" s="375" t="s">
        <v>4480</v>
      </c>
      <c r="G2971" s="375"/>
      <c r="H2971" s="375"/>
      <c r="I2971" s="63"/>
      <c r="J2971" s="47">
        <v>3740</v>
      </c>
      <c r="K2971" s="46" t="s">
        <v>10735</v>
      </c>
      <c r="L2971" s="47" t="s">
        <v>2646</v>
      </c>
      <c r="M2971" s="47">
        <v>1430.0000000000002</v>
      </c>
      <c r="N2971" s="47"/>
      <c r="O2971" s="47" t="s">
        <v>4481</v>
      </c>
      <c r="P2971" s="47" t="s">
        <v>4510</v>
      </c>
      <c r="Q2971" s="47"/>
      <c r="R2971" s="47"/>
      <c r="S2971" s="47" t="s">
        <v>967</v>
      </c>
      <c r="T2971" s="47" t="s">
        <v>4483</v>
      </c>
      <c r="U2971" s="47"/>
      <c r="V2971" s="47"/>
      <c r="W2971" s="47"/>
      <c r="X2971" s="47" t="s">
        <v>4511</v>
      </c>
      <c r="Y2971" s="47" t="s">
        <v>4512</v>
      </c>
      <c r="Z2971" s="47">
        <v>4620</v>
      </c>
      <c r="AA2971" s="47"/>
      <c r="AB2971" s="47"/>
      <c r="AC2971" s="47"/>
      <c r="AD2971" s="47" t="s">
        <v>1</v>
      </c>
      <c r="AE2971" s="47">
        <v>8000</v>
      </c>
      <c r="AF2971" s="47">
        <v>1650.0000000000002</v>
      </c>
      <c r="AG2971" s="47"/>
      <c r="AH2971" s="47" t="str">
        <f>IFERROR(_xlfn.XLOOKUP(Table6[[#This Row],[Suburb]],Table5[Travel Surcharge],Table5[$$]),"")</f>
        <v/>
      </c>
      <c r="AI2971" s="47"/>
      <c r="AJ2971" s="47"/>
    </row>
    <row r="2972" spans="1:36">
      <c r="A2972" s="374" t="s">
        <v>4478</v>
      </c>
      <c r="B2972" s="374">
        <v>304</v>
      </c>
      <c r="C2972" s="374" t="s">
        <v>538</v>
      </c>
      <c r="D2972" s="375" t="str">
        <f t="shared" si="615"/>
        <v>Mount Atkinsons304</v>
      </c>
      <c r="E2972" s="375" t="s">
        <v>4514</v>
      </c>
      <c r="F2972" s="375" t="s">
        <v>4480</v>
      </c>
      <c r="G2972" s="375"/>
      <c r="H2972" s="375"/>
      <c r="I2972" s="63"/>
      <c r="J2972" s="47">
        <v>3740</v>
      </c>
      <c r="K2972" s="46" t="s">
        <v>10735</v>
      </c>
      <c r="L2972" s="47" t="s">
        <v>2646</v>
      </c>
      <c r="M2972" s="47">
        <v>1430.0000000000002</v>
      </c>
      <c r="N2972" s="47"/>
      <c r="O2972" s="47" t="s">
        <v>4481</v>
      </c>
      <c r="P2972" s="47" t="s">
        <v>4510</v>
      </c>
      <c r="Q2972" s="47"/>
      <c r="R2972" s="47"/>
      <c r="S2972" s="47" t="s">
        <v>967</v>
      </c>
      <c r="T2972" s="47" t="s">
        <v>4483</v>
      </c>
      <c r="U2972" s="47"/>
      <c r="V2972" s="47"/>
      <c r="W2972" s="47"/>
      <c r="X2972" s="47" t="s">
        <v>4511</v>
      </c>
      <c r="Y2972" s="47" t="s">
        <v>4512</v>
      </c>
      <c r="Z2972" s="47">
        <v>4620</v>
      </c>
      <c r="AA2972" s="47"/>
      <c r="AB2972" s="47"/>
      <c r="AC2972" s="47"/>
      <c r="AD2972" s="47" t="s">
        <v>1</v>
      </c>
      <c r="AE2972" s="47">
        <v>8000</v>
      </c>
      <c r="AF2972" s="47">
        <v>1650.0000000000002</v>
      </c>
      <c r="AG2972" s="47"/>
      <c r="AH2972" s="47" t="str">
        <f>IFERROR(_xlfn.XLOOKUP(Table6[[#This Row],[Suburb]],Table5[Travel Surcharge],Table5[$$]),"")</f>
        <v/>
      </c>
      <c r="AI2972" s="47"/>
      <c r="AJ2972" s="47"/>
    </row>
    <row r="2973" spans="1:36">
      <c r="A2973" s="157" t="s">
        <v>4478</v>
      </c>
      <c r="B2973" s="157">
        <v>305</v>
      </c>
      <c r="C2973" s="157" t="s">
        <v>538</v>
      </c>
      <c r="D2973" s="157" t="str">
        <f t="shared" si="615"/>
        <v>Mount Atkinsons305</v>
      </c>
      <c r="E2973" s="157" t="s">
        <v>7767</v>
      </c>
      <c r="F2973" s="157" t="s">
        <v>4480</v>
      </c>
      <c r="G2973" s="157"/>
      <c r="H2973" s="157"/>
      <c r="I2973" s="158"/>
      <c r="J2973" s="47">
        <v>3740</v>
      </c>
      <c r="K2973" s="46" t="s">
        <v>10735</v>
      </c>
      <c r="L2973" s="47" t="s">
        <v>2646</v>
      </c>
      <c r="M2973" s="47">
        <v>1430.0000000000002</v>
      </c>
      <c r="N2973" s="47"/>
      <c r="O2973" s="47" t="s">
        <v>4481</v>
      </c>
      <c r="P2973" s="47" t="s">
        <v>4510</v>
      </c>
      <c r="Q2973" s="47"/>
      <c r="R2973" s="47"/>
      <c r="S2973" s="47" t="s">
        <v>967</v>
      </c>
      <c r="T2973" s="47" t="s">
        <v>4483</v>
      </c>
      <c r="U2973" s="47"/>
      <c r="V2973" s="47"/>
      <c r="W2973" s="47"/>
      <c r="X2973" s="47" t="s">
        <v>4511</v>
      </c>
      <c r="Y2973" s="47" t="s">
        <v>4512</v>
      </c>
      <c r="Z2973" s="47">
        <v>4620</v>
      </c>
      <c r="AA2973" s="47"/>
      <c r="AB2973" s="47"/>
      <c r="AC2973" s="47"/>
      <c r="AD2973" s="47" t="s">
        <v>1</v>
      </c>
      <c r="AE2973" s="47">
        <v>8000</v>
      </c>
      <c r="AF2973" s="47">
        <v>1650.0000000000002</v>
      </c>
      <c r="AG2973" s="47"/>
      <c r="AH2973" s="47" t="str">
        <f>IFERROR(_xlfn.XLOOKUP(Table6[[#This Row],[Suburb]],Table5[Travel Surcharge],Table5[$$]),"")</f>
        <v/>
      </c>
      <c r="AI2973" s="47"/>
      <c r="AJ2973" s="47"/>
    </row>
    <row r="2974" spans="1:36">
      <c r="A2974" s="374" t="s">
        <v>4478</v>
      </c>
      <c r="B2974" s="374">
        <v>306</v>
      </c>
      <c r="C2974" s="374" t="s">
        <v>538</v>
      </c>
      <c r="D2974" s="375" t="str">
        <f t="shared" si="615"/>
        <v>Mount Atkinsons306</v>
      </c>
      <c r="E2974" s="375" t="s">
        <v>4515</v>
      </c>
      <c r="F2974" s="375" t="s">
        <v>4480</v>
      </c>
      <c r="G2974" s="375"/>
      <c r="H2974" s="375"/>
      <c r="I2974" s="63"/>
      <c r="J2974" s="47">
        <v>3740</v>
      </c>
      <c r="K2974" s="46" t="s">
        <v>10735</v>
      </c>
      <c r="L2974" s="47" t="s">
        <v>2646</v>
      </c>
      <c r="M2974" s="47">
        <v>1430.0000000000002</v>
      </c>
      <c r="N2974" s="47"/>
      <c r="O2974" s="47" t="s">
        <v>4481</v>
      </c>
      <c r="P2974" s="47" t="s">
        <v>4510</v>
      </c>
      <c r="Q2974" s="47"/>
      <c r="R2974" s="47"/>
      <c r="S2974" s="47" t="s">
        <v>967</v>
      </c>
      <c r="T2974" s="47" t="s">
        <v>4483</v>
      </c>
      <c r="U2974" s="47"/>
      <c r="V2974" s="47"/>
      <c r="W2974" s="47"/>
      <c r="X2974" s="47" t="s">
        <v>4511</v>
      </c>
      <c r="Y2974" s="47" t="s">
        <v>4512</v>
      </c>
      <c r="Z2974" s="47">
        <v>4620</v>
      </c>
      <c r="AA2974" s="47"/>
      <c r="AB2974" s="47"/>
      <c r="AC2974" s="47"/>
      <c r="AD2974" s="47" t="s">
        <v>1</v>
      </c>
      <c r="AE2974" s="47">
        <v>8000</v>
      </c>
      <c r="AF2974" s="47">
        <v>1650.0000000000002</v>
      </c>
      <c r="AG2974" s="47"/>
      <c r="AH2974" s="47" t="str">
        <f>IFERROR(_xlfn.XLOOKUP(Table6[[#This Row],[Suburb]],Table5[Travel Surcharge],Table5[$$]),"")</f>
        <v/>
      </c>
      <c r="AI2974" s="47"/>
      <c r="AJ2974" s="47"/>
    </row>
    <row r="2975" spans="1:36">
      <c r="A2975" s="157" t="s">
        <v>4478</v>
      </c>
      <c r="B2975" s="157">
        <v>307</v>
      </c>
      <c r="C2975" s="157" t="s">
        <v>538</v>
      </c>
      <c r="D2975" s="157" t="str">
        <f t="shared" si="615"/>
        <v>Mount Atkinsons307</v>
      </c>
      <c r="E2975" s="157" t="s">
        <v>1985</v>
      </c>
      <c r="F2975" s="157" t="s">
        <v>4480</v>
      </c>
      <c r="G2975" s="157"/>
      <c r="H2975" s="157"/>
      <c r="I2975" s="158"/>
      <c r="J2975" s="47">
        <v>3740</v>
      </c>
      <c r="K2975" s="46" t="s">
        <v>10735</v>
      </c>
      <c r="L2975" s="47" t="s">
        <v>2646</v>
      </c>
      <c r="M2975" s="47">
        <v>1430.0000000000002</v>
      </c>
      <c r="N2975" s="47"/>
      <c r="O2975" s="47" t="s">
        <v>4481</v>
      </c>
      <c r="P2975" s="47" t="s">
        <v>4510</v>
      </c>
      <c r="Q2975" s="47"/>
      <c r="R2975" s="47"/>
      <c r="S2975" s="47" t="s">
        <v>967</v>
      </c>
      <c r="T2975" s="47" t="s">
        <v>4483</v>
      </c>
      <c r="U2975" s="47"/>
      <c r="V2975" s="47"/>
      <c r="W2975" s="47"/>
      <c r="X2975" s="47" t="s">
        <v>4511</v>
      </c>
      <c r="Y2975" s="47" t="s">
        <v>4512</v>
      </c>
      <c r="Z2975" s="47">
        <v>4620</v>
      </c>
      <c r="AA2975" s="47"/>
      <c r="AB2975" s="47"/>
      <c r="AC2975" s="47"/>
      <c r="AD2975" s="47" t="s">
        <v>1</v>
      </c>
      <c r="AE2975" s="47">
        <v>8000</v>
      </c>
      <c r="AF2975" s="47">
        <v>1650.0000000000002</v>
      </c>
      <c r="AG2975" s="47"/>
      <c r="AH2975" s="47" t="str">
        <f>IFERROR(_xlfn.XLOOKUP(Table6[[#This Row],[Suburb]],Table5[Travel Surcharge],Table5[$$]),"")</f>
        <v/>
      </c>
      <c r="AI2975" s="47"/>
      <c r="AJ2975" s="47"/>
    </row>
    <row r="2976" spans="1:36">
      <c r="A2976" s="157" t="s">
        <v>4478</v>
      </c>
      <c r="B2976" s="157">
        <v>308</v>
      </c>
      <c r="C2976" s="157" t="s">
        <v>538</v>
      </c>
      <c r="D2976" s="157" t="str">
        <f t="shared" ref="D2976:D3008" si="617">CONCATENATE(A2976,B2976)</f>
        <v>Mount Atkinsons308</v>
      </c>
      <c r="E2976" s="157" t="s">
        <v>1986</v>
      </c>
      <c r="F2976" s="157" t="s">
        <v>4480</v>
      </c>
      <c r="G2976" s="157"/>
      <c r="H2976" s="157"/>
      <c r="I2976" s="158"/>
      <c r="J2976" s="47">
        <v>3740</v>
      </c>
      <c r="K2976" s="46" t="s">
        <v>10735</v>
      </c>
      <c r="L2976" s="47" t="s">
        <v>2646</v>
      </c>
      <c r="M2976" s="47">
        <v>1430.0000000000002</v>
      </c>
      <c r="N2976" s="47"/>
      <c r="O2976" s="47" t="s">
        <v>4481</v>
      </c>
      <c r="P2976" s="47" t="s">
        <v>4510</v>
      </c>
      <c r="Q2976" s="47"/>
      <c r="R2976" s="47"/>
      <c r="S2976" s="47" t="s">
        <v>967</v>
      </c>
      <c r="T2976" s="47" t="s">
        <v>4483</v>
      </c>
      <c r="U2976" s="47"/>
      <c r="V2976" s="47"/>
      <c r="W2976" s="47"/>
      <c r="X2976" s="47" t="s">
        <v>4511</v>
      </c>
      <c r="Y2976" s="47" t="s">
        <v>4512</v>
      </c>
      <c r="Z2976" s="47">
        <v>4620</v>
      </c>
      <c r="AA2976" s="47"/>
      <c r="AB2976" s="47"/>
      <c r="AC2976" s="47"/>
      <c r="AD2976" s="47" t="s">
        <v>1</v>
      </c>
      <c r="AE2976" s="47">
        <v>8000</v>
      </c>
      <c r="AF2976" s="47">
        <v>1650.0000000000002</v>
      </c>
      <c r="AG2976" s="47"/>
      <c r="AH2976" s="47" t="str">
        <f>IFERROR(_xlfn.XLOOKUP(Table6[[#This Row],[Suburb]],Table5[Travel Surcharge],Table5[$$]),"")</f>
        <v/>
      </c>
      <c r="AI2976" s="47"/>
      <c r="AJ2976" s="47"/>
    </row>
    <row r="2977" spans="1:36">
      <c r="A2977" s="374" t="s">
        <v>4478</v>
      </c>
      <c r="B2977" s="374">
        <v>309</v>
      </c>
      <c r="C2977" s="374" t="s">
        <v>538</v>
      </c>
      <c r="D2977" s="375" t="str">
        <f t="shared" si="617"/>
        <v>Mount Atkinsons309</v>
      </c>
      <c r="E2977" s="375" t="s">
        <v>4516</v>
      </c>
      <c r="F2977" s="375" t="s">
        <v>4480</v>
      </c>
      <c r="G2977" s="375"/>
      <c r="H2977" s="375"/>
      <c r="I2977" s="63"/>
      <c r="J2977" s="47">
        <f t="shared" ref="J2977:J3009" si="618">J$7</f>
        <v>3740</v>
      </c>
      <c r="K2977" s="46" t="s">
        <v>10735</v>
      </c>
      <c r="L2977" s="47" t="s">
        <v>2646</v>
      </c>
      <c r="M2977" s="47">
        <f t="shared" ref="M2977:M2992" si="619">M$7</f>
        <v>1430.0000000000002</v>
      </c>
      <c r="N2977" s="47"/>
      <c r="O2977" s="47" t="s">
        <v>4481</v>
      </c>
      <c r="P2977" s="47" t="s">
        <v>4482</v>
      </c>
      <c r="Q2977" s="47"/>
      <c r="R2977" s="47"/>
      <c r="S2977" s="47" t="s">
        <v>967</v>
      </c>
      <c r="T2977" s="47" t="s">
        <v>4483</v>
      </c>
      <c r="U2977" s="47"/>
      <c r="V2977" s="47" t="s">
        <v>1355</v>
      </c>
      <c r="W2977" s="47" t="s">
        <v>4517</v>
      </c>
      <c r="X2977" s="47" t="s">
        <v>4511</v>
      </c>
      <c r="Y2977" s="47" t="s">
        <v>4512</v>
      </c>
      <c r="Z2977" s="47">
        <f t="shared" ref="Z2977:Z3018" si="620">Z$7</f>
        <v>4620</v>
      </c>
      <c r="AA2977" s="47"/>
      <c r="AB2977" s="47"/>
      <c r="AC2977" s="47"/>
      <c r="AD2977" s="47"/>
      <c r="AE2977" s="47">
        <f t="shared" ref="AE2977:AF2986" si="621">AE$7</f>
        <v>5000</v>
      </c>
      <c r="AF2977" s="47">
        <f t="shared" si="621"/>
        <v>1485</v>
      </c>
      <c r="AG2977" s="47"/>
      <c r="AH2977" s="47" t="str">
        <f>IFERROR(_xlfn.XLOOKUP(Table6[[#This Row],[Suburb]],Table5[Travel Surcharge],Table5[$$]),"")</f>
        <v/>
      </c>
      <c r="AI2977" s="47"/>
      <c r="AJ2977" s="47"/>
    </row>
    <row r="2978" spans="1:36">
      <c r="A2978" s="157" t="s">
        <v>4478</v>
      </c>
      <c r="B2978" s="157">
        <v>310</v>
      </c>
      <c r="C2978" s="157" t="s">
        <v>538</v>
      </c>
      <c r="D2978" s="157" t="str">
        <f t="shared" si="617"/>
        <v>Mount Atkinsons310</v>
      </c>
      <c r="E2978" s="157" t="s">
        <v>7440</v>
      </c>
      <c r="F2978" s="157" t="s">
        <v>4480</v>
      </c>
      <c r="G2978" s="157"/>
      <c r="H2978" s="157"/>
      <c r="I2978" s="158"/>
      <c r="J2978" s="47">
        <f t="shared" si="618"/>
        <v>3740</v>
      </c>
      <c r="K2978" s="46" t="s">
        <v>10735</v>
      </c>
      <c r="L2978" s="47" t="s">
        <v>2646</v>
      </c>
      <c r="M2978" s="47">
        <f t="shared" si="619"/>
        <v>1430.0000000000002</v>
      </c>
      <c r="N2978" s="47"/>
      <c r="O2978" s="47" t="s">
        <v>4481</v>
      </c>
      <c r="P2978" s="47" t="s">
        <v>4482</v>
      </c>
      <c r="Q2978" s="47"/>
      <c r="R2978" s="47"/>
      <c r="S2978" s="47" t="s">
        <v>967</v>
      </c>
      <c r="T2978" s="47" t="s">
        <v>4483</v>
      </c>
      <c r="U2978" s="47"/>
      <c r="V2978" s="47" t="s">
        <v>1355</v>
      </c>
      <c r="W2978" s="47" t="s">
        <v>4517</v>
      </c>
      <c r="X2978" s="47" t="s">
        <v>4511</v>
      </c>
      <c r="Y2978" s="47" t="s">
        <v>4512</v>
      </c>
      <c r="Z2978" s="47">
        <f t="shared" si="620"/>
        <v>4620</v>
      </c>
      <c r="AA2978" s="47"/>
      <c r="AB2978" s="47"/>
      <c r="AC2978" s="47"/>
      <c r="AD2978" s="47"/>
      <c r="AE2978" s="47">
        <f t="shared" si="621"/>
        <v>5000</v>
      </c>
      <c r="AF2978" s="47">
        <f t="shared" si="621"/>
        <v>1485</v>
      </c>
      <c r="AG2978" s="47"/>
      <c r="AH2978" s="47" t="str">
        <f>IFERROR(_xlfn.XLOOKUP(Table6[[#This Row],[Suburb]],Table5[Travel Surcharge],Table5[$$]),"")</f>
        <v/>
      </c>
      <c r="AI2978" s="47"/>
      <c r="AJ2978" s="47"/>
    </row>
    <row r="2979" spans="1:36">
      <c r="A2979" s="157" t="s">
        <v>4478</v>
      </c>
      <c r="B2979" s="157">
        <v>311</v>
      </c>
      <c r="C2979" s="157" t="s">
        <v>538</v>
      </c>
      <c r="D2979" s="157" t="str">
        <f t="shared" si="617"/>
        <v>Mount Atkinsons311</v>
      </c>
      <c r="E2979" s="157" t="s">
        <v>7747</v>
      </c>
      <c r="F2979" s="157" t="s">
        <v>4480</v>
      </c>
      <c r="G2979" s="157"/>
      <c r="H2979" s="157"/>
      <c r="I2979" s="158"/>
      <c r="J2979" s="47">
        <f t="shared" si="618"/>
        <v>3740</v>
      </c>
      <c r="K2979" s="46" t="s">
        <v>10735</v>
      </c>
      <c r="L2979" s="47" t="s">
        <v>2646</v>
      </c>
      <c r="M2979" s="47">
        <f t="shared" si="619"/>
        <v>1430.0000000000002</v>
      </c>
      <c r="N2979" s="47"/>
      <c r="O2979" s="47" t="s">
        <v>4481</v>
      </c>
      <c r="P2979" s="47" t="s">
        <v>4482</v>
      </c>
      <c r="Q2979" s="47"/>
      <c r="R2979" s="47"/>
      <c r="S2979" s="47" t="s">
        <v>967</v>
      </c>
      <c r="T2979" s="47" t="s">
        <v>4483</v>
      </c>
      <c r="U2979" s="47"/>
      <c r="V2979" s="47" t="s">
        <v>1355</v>
      </c>
      <c r="W2979" s="47" t="s">
        <v>4517</v>
      </c>
      <c r="X2979" s="47" t="s">
        <v>4511</v>
      </c>
      <c r="Y2979" s="47" t="s">
        <v>4512</v>
      </c>
      <c r="Z2979" s="47">
        <f t="shared" si="620"/>
        <v>4620</v>
      </c>
      <c r="AA2979" s="47"/>
      <c r="AB2979" s="47"/>
      <c r="AC2979" s="47"/>
      <c r="AD2979" s="47"/>
      <c r="AE2979" s="47">
        <f t="shared" si="621"/>
        <v>5000</v>
      </c>
      <c r="AF2979" s="47">
        <f t="shared" si="621"/>
        <v>1485</v>
      </c>
      <c r="AG2979" s="47"/>
      <c r="AH2979" s="47" t="str">
        <f>IFERROR(_xlfn.XLOOKUP(Table6[[#This Row],[Suburb]],Table5[Travel Surcharge],Table5[$$]),"")</f>
        <v/>
      </c>
      <c r="AI2979" s="47"/>
      <c r="AJ2979" s="47"/>
    </row>
    <row r="2980" spans="1:36">
      <c r="A2980" s="157" t="s">
        <v>4478</v>
      </c>
      <c r="B2980" s="157">
        <v>401</v>
      </c>
      <c r="C2980" s="157" t="s">
        <v>538</v>
      </c>
      <c r="D2980" s="157" t="str">
        <f t="shared" si="617"/>
        <v>Mount Atkinsons401</v>
      </c>
      <c r="E2980" s="157" t="s">
        <v>8482</v>
      </c>
      <c r="F2980" s="157" t="s">
        <v>4480</v>
      </c>
      <c r="G2980" s="157"/>
      <c r="H2980" s="157"/>
      <c r="I2980" s="158"/>
      <c r="J2980" s="47">
        <f t="shared" si="618"/>
        <v>3740</v>
      </c>
      <c r="K2980" s="46" t="s">
        <v>10735</v>
      </c>
      <c r="L2980" s="47" t="s">
        <v>2646</v>
      </c>
      <c r="M2980" s="47">
        <f t="shared" si="619"/>
        <v>1430.0000000000002</v>
      </c>
      <c r="N2980" s="47"/>
      <c r="O2980" s="47" t="s">
        <v>4481</v>
      </c>
      <c r="P2980" s="47" t="s">
        <v>4482</v>
      </c>
      <c r="Q2980" s="47"/>
      <c r="R2980" s="47"/>
      <c r="S2980" s="47" t="s">
        <v>967</v>
      </c>
      <c r="T2980" s="47" t="s">
        <v>4483</v>
      </c>
      <c r="U2980" s="47"/>
      <c r="V2980" s="47" t="s">
        <v>1355</v>
      </c>
      <c r="W2980" s="47" t="s">
        <v>4517</v>
      </c>
      <c r="X2980" s="47" t="s">
        <v>4511</v>
      </c>
      <c r="Y2980" s="47" t="s">
        <v>4512</v>
      </c>
      <c r="Z2980" s="47">
        <f t="shared" si="620"/>
        <v>4620</v>
      </c>
      <c r="AA2980" s="47"/>
      <c r="AB2980" s="47"/>
      <c r="AC2980" s="47"/>
      <c r="AD2980" s="47"/>
      <c r="AE2980" s="47">
        <f t="shared" si="621"/>
        <v>5000</v>
      </c>
      <c r="AF2980" s="47">
        <f t="shared" si="621"/>
        <v>1485</v>
      </c>
      <c r="AG2980" s="47"/>
      <c r="AH2980" s="47" t="str">
        <f>IFERROR(_xlfn.XLOOKUP(Table6[[#This Row],[Suburb]],Table5[Travel Surcharge],Table5[$$]),"")</f>
        <v/>
      </c>
      <c r="AI2980" s="47"/>
      <c r="AJ2980" s="47"/>
    </row>
    <row r="2981" spans="1:36">
      <c r="A2981" s="374" t="s">
        <v>4478</v>
      </c>
      <c r="B2981" s="374">
        <v>402</v>
      </c>
      <c r="C2981" s="374" t="s">
        <v>538</v>
      </c>
      <c r="D2981" s="375" t="str">
        <f t="shared" si="617"/>
        <v>Mount Atkinsons402</v>
      </c>
      <c r="E2981" s="375" t="s">
        <v>4518</v>
      </c>
      <c r="F2981" s="375" t="s">
        <v>4480</v>
      </c>
      <c r="G2981" s="375"/>
      <c r="H2981" s="375"/>
      <c r="I2981" s="63"/>
      <c r="J2981" s="47">
        <f t="shared" si="618"/>
        <v>3740</v>
      </c>
      <c r="K2981" s="46" t="s">
        <v>10735</v>
      </c>
      <c r="L2981" s="47" t="s">
        <v>2646</v>
      </c>
      <c r="M2981" s="47">
        <f t="shared" si="619"/>
        <v>1430.0000000000002</v>
      </c>
      <c r="N2981" s="47"/>
      <c r="O2981" s="47" t="s">
        <v>4481</v>
      </c>
      <c r="P2981" s="47" t="s">
        <v>4482</v>
      </c>
      <c r="Q2981" s="47"/>
      <c r="R2981" s="47"/>
      <c r="S2981" s="47" t="s">
        <v>967</v>
      </c>
      <c r="T2981" s="47" t="s">
        <v>4483</v>
      </c>
      <c r="U2981" s="47"/>
      <c r="V2981" s="47" t="s">
        <v>1355</v>
      </c>
      <c r="W2981" s="47" t="s">
        <v>4517</v>
      </c>
      <c r="X2981" s="47" t="s">
        <v>4511</v>
      </c>
      <c r="Y2981" s="47" t="s">
        <v>4512</v>
      </c>
      <c r="Z2981" s="47">
        <f t="shared" si="620"/>
        <v>4620</v>
      </c>
      <c r="AA2981" s="47"/>
      <c r="AB2981" s="47"/>
      <c r="AC2981" s="47"/>
      <c r="AD2981" s="47"/>
      <c r="AE2981" s="47">
        <f t="shared" si="621"/>
        <v>5000</v>
      </c>
      <c r="AF2981" s="47">
        <f t="shared" si="621"/>
        <v>1485</v>
      </c>
      <c r="AG2981" s="47"/>
      <c r="AH2981" s="47" t="str">
        <f>IFERROR(_xlfn.XLOOKUP(Table6[[#This Row],[Suburb]],Table5[Travel Surcharge],Table5[$$]),"")</f>
        <v/>
      </c>
      <c r="AI2981" s="47"/>
      <c r="AJ2981" s="47"/>
    </row>
    <row r="2982" spans="1:36">
      <c r="A2982" s="157" t="s">
        <v>4478</v>
      </c>
      <c r="B2982" s="157">
        <v>403</v>
      </c>
      <c r="C2982" s="157" t="s">
        <v>7442</v>
      </c>
      <c r="D2982" s="157" t="str">
        <f t="shared" si="617"/>
        <v>Mount Atkinsons403</v>
      </c>
      <c r="E2982" s="157" t="s">
        <v>8439</v>
      </c>
      <c r="F2982" s="157" t="s">
        <v>4480</v>
      </c>
      <c r="G2982" s="157"/>
      <c r="H2982" s="157"/>
      <c r="I2982" s="158"/>
      <c r="J2982" s="47">
        <f t="shared" si="618"/>
        <v>3740</v>
      </c>
      <c r="K2982" s="46" t="s">
        <v>10735</v>
      </c>
      <c r="L2982" s="47" t="s">
        <v>8194</v>
      </c>
      <c r="M2982" s="47">
        <f t="shared" si="619"/>
        <v>1430.0000000000002</v>
      </c>
      <c r="N2982" s="47"/>
      <c r="O2982" s="47" t="s">
        <v>4481</v>
      </c>
      <c r="P2982" s="47" t="s">
        <v>4482</v>
      </c>
      <c r="Q2982" s="47"/>
      <c r="R2982" s="47"/>
      <c r="S2982" s="47" t="s">
        <v>967</v>
      </c>
      <c r="T2982" s="47" t="s">
        <v>4483</v>
      </c>
      <c r="U2982" s="47"/>
      <c r="V2982" s="47" t="s">
        <v>8438</v>
      </c>
      <c r="W2982" s="47" t="s">
        <v>4517</v>
      </c>
      <c r="X2982" s="47" t="s">
        <v>4511</v>
      </c>
      <c r="Y2982" s="47" t="s">
        <v>4512</v>
      </c>
      <c r="Z2982" s="47">
        <f t="shared" si="620"/>
        <v>4620</v>
      </c>
      <c r="AA2982" s="47"/>
      <c r="AB2982" s="47"/>
      <c r="AC2982" s="47"/>
      <c r="AD2982" s="47"/>
      <c r="AE2982" s="47">
        <f t="shared" si="621"/>
        <v>5000</v>
      </c>
      <c r="AF2982" s="47">
        <f t="shared" si="621"/>
        <v>1485</v>
      </c>
      <c r="AG2982" s="47"/>
      <c r="AH2982" s="47" t="str">
        <f>IFERROR(_xlfn.XLOOKUP(Table6[[#This Row],[Suburb]],Table5[Travel Surcharge],Table5[$$]),"")</f>
        <v/>
      </c>
      <c r="AI2982" s="47"/>
      <c r="AJ2982" s="47"/>
    </row>
    <row r="2983" spans="1:36">
      <c r="A2983" s="374" t="s">
        <v>4478</v>
      </c>
      <c r="B2983" s="374">
        <v>404</v>
      </c>
      <c r="C2983" s="374" t="s">
        <v>538</v>
      </c>
      <c r="D2983" s="375" t="str">
        <f t="shared" si="617"/>
        <v>Mount Atkinsons404</v>
      </c>
      <c r="E2983" s="375" t="s">
        <v>4519</v>
      </c>
      <c r="F2983" s="375" t="s">
        <v>4480</v>
      </c>
      <c r="G2983" s="375"/>
      <c r="H2983" s="375"/>
      <c r="I2983" s="63"/>
      <c r="J2983" s="47">
        <f t="shared" si="618"/>
        <v>3740</v>
      </c>
      <c r="K2983" s="46" t="s">
        <v>10735</v>
      </c>
      <c r="L2983" s="47" t="s">
        <v>2646</v>
      </c>
      <c r="M2983" s="47">
        <f t="shared" si="619"/>
        <v>1430.0000000000002</v>
      </c>
      <c r="N2983" s="47"/>
      <c r="O2983" s="47" t="s">
        <v>4481</v>
      </c>
      <c r="P2983" s="47" t="s">
        <v>4482</v>
      </c>
      <c r="Q2983" s="47"/>
      <c r="R2983" s="47"/>
      <c r="S2983" s="47" t="s">
        <v>967</v>
      </c>
      <c r="T2983" s="47" t="s">
        <v>4483</v>
      </c>
      <c r="U2983" s="47"/>
      <c r="V2983" s="47" t="s">
        <v>1355</v>
      </c>
      <c r="W2983" s="47" t="s">
        <v>4517</v>
      </c>
      <c r="X2983" s="47" t="s">
        <v>4511</v>
      </c>
      <c r="Y2983" s="47" t="s">
        <v>4512</v>
      </c>
      <c r="Z2983" s="47">
        <f t="shared" si="620"/>
        <v>4620</v>
      </c>
      <c r="AA2983" s="47"/>
      <c r="AB2983" s="47"/>
      <c r="AC2983" s="47"/>
      <c r="AD2983" s="47"/>
      <c r="AE2983" s="47">
        <f t="shared" si="621"/>
        <v>5000</v>
      </c>
      <c r="AF2983" s="47">
        <f t="shared" si="621"/>
        <v>1485</v>
      </c>
      <c r="AG2983" s="47"/>
      <c r="AH2983" s="47" t="str">
        <f>IFERROR(_xlfn.XLOOKUP(Table6[[#This Row],[Suburb]],Table5[Travel Surcharge],Table5[$$]),"")</f>
        <v/>
      </c>
      <c r="AI2983" s="47"/>
      <c r="AJ2983" s="47"/>
    </row>
    <row r="2984" spans="1:36">
      <c r="A2984" s="157" t="s">
        <v>4478</v>
      </c>
      <c r="B2984" s="157">
        <v>405</v>
      </c>
      <c r="C2984" s="157" t="s">
        <v>538</v>
      </c>
      <c r="D2984" s="157" t="str">
        <f t="shared" si="617"/>
        <v>Mount Atkinsons405</v>
      </c>
      <c r="E2984" s="157" t="s">
        <v>9784</v>
      </c>
      <c r="F2984" s="157" t="s">
        <v>4480</v>
      </c>
      <c r="G2984" s="157"/>
      <c r="H2984" s="157"/>
      <c r="I2984" s="158"/>
      <c r="J2984" s="47">
        <f t="shared" si="618"/>
        <v>3740</v>
      </c>
      <c r="K2984" s="46" t="s">
        <v>10735</v>
      </c>
      <c r="L2984" s="47" t="s">
        <v>2646</v>
      </c>
      <c r="M2984" s="47">
        <f t="shared" si="619"/>
        <v>1430.0000000000002</v>
      </c>
      <c r="N2984" s="47"/>
      <c r="O2984" s="47" t="s">
        <v>4481</v>
      </c>
      <c r="P2984" s="47" t="s">
        <v>4482</v>
      </c>
      <c r="Q2984" s="47"/>
      <c r="R2984" s="47"/>
      <c r="S2984" s="47" t="s">
        <v>967</v>
      </c>
      <c r="T2984" s="47" t="s">
        <v>4483</v>
      </c>
      <c r="U2984" s="47"/>
      <c r="V2984" s="47" t="s">
        <v>1355</v>
      </c>
      <c r="W2984" s="47" t="s">
        <v>4517</v>
      </c>
      <c r="X2984" s="47" t="s">
        <v>4511</v>
      </c>
      <c r="Y2984" s="47" t="s">
        <v>4512</v>
      </c>
      <c r="Z2984" s="47">
        <f t="shared" si="620"/>
        <v>4620</v>
      </c>
      <c r="AA2984" s="47"/>
      <c r="AB2984" s="47"/>
      <c r="AC2984" s="47"/>
      <c r="AD2984" s="47"/>
      <c r="AE2984" s="47">
        <f t="shared" si="621"/>
        <v>5000</v>
      </c>
      <c r="AF2984" s="47">
        <f t="shared" si="621"/>
        <v>1485</v>
      </c>
      <c r="AG2984" s="47"/>
      <c r="AH2984" s="47" t="str">
        <f>IFERROR(_xlfn.XLOOKUP(Table6[[#This Row],[Suburb]],Table5[Travel Surcharge],Table5[$$]),"")</f>
        <v/>
      </c>
      <c r="AI2984" s="47"/>
      <c r="AJ2984" s="47"/>
    </row>
    <row r="2985" spans="1:36">
      <c r="A2985" s="157" t="s">
        <v>4478</v>
      </c>
      <c r="B2985" s="157">
        <v>406</v>
      </c>
      <c r="C2985" s="157" t="s">
        <v>538</v>
      </c>
      <c r="D2985" s="157" t="str">
        <f t="shared" si="617"/>
        <v>Mount Atkinsons406</v>
      </c>
      <c r="E2985" s="157" t="s">
        <v>8042</v>
      </c>
      <c r="F2985" s="157" t="s">
        <v>4480</v>
      </c>
      <c r="G2985" s="157"/>
      <c r="H2985" s="157"/>
      <c r="I2985" s="158"/>
      <c r="J2985" s="47">
        <f t="shared" si="618"/>
        <v>3740</v>
      </c>
      <c r="K2985" s="46" t="s">
        <v>10735</v>
      </c>
      <c r="L2985" s="47" t="s">
        <v>2646</v>
      </c>
      <c r="M2985" s="47">
        <f t="shared" si="619"/>
        <v>1430.0000000000002</v>
      </c>
      <c r="N2985" s="47"/>
      <c r="O2985" s="47" t="s">
        <v>4481</v>
      </c>
      <c r="P2985" s="47" t="s">
        <v>4482</v>
      </c>
      <c r="Q2985" s="47"/>
      <c r="R2985" s="47"/>
      <c r="S2985" s="47" t="s">
        <v>967</v>
      </c>
      <c r="T2985" s="47" t="s">
        <v>4483</v>
      </c>
      <c r="U2985" s="47"/>
      <c r="V2985" s="47" t="s">
        <v>1355</v>
      </c>
      <c r="W2985" s="47" t="s">
        <v>4517</v>
      </c>
      <c r="X2985" s="47" t="s">
        <v>4511</v>
      </c>
      <c r="Y2985" s="47" t="s">
        <v>4512</v>
      </c>
      <c r="Z2985" s="47">
        <f t="shared" si="620"/>
        <v>4620</v>
      </c>
      <c r="AA2985" s="47"/>
      <c r="AB2985" s="47"/>
      <c r="AC2985" s="47"/>
      <c r="AD2985" s="47"/>
      <c r="AE2985" s="47">
        <f t="shared" si="621"/>
        <v>5000</v>
      </c>
      <c r="AF2985" s="47">
        <f t="shared" si="621"/>
        <v>1485</v>
      </c>
      <c r="AG2985" s="47"/>
      <c r="AH2985" s="47" t="str">
        <f>IFERROR(_xlfn.XLOOKUP(Table6[[#This Row],[Suburb]],Table5[Travel Surcharge],Table5[$$]),"")</f>
        <v/>
      </c>
      <c r="AI2985" s="47"/>
      <c r="AJ2985" s="47"/>
    </row>
    <row r="2986" spans="1:36">
      <c r="A2986" s="157" t="s">
        <v>4478</v>
      </c>
      <c r="B2986" s="157">
        <v>407</v>
      </c>
      <c r="C2986" s="157" t="s">
        <v>7442</v>
      </c>
      <c r="D2986" s="157" t="str">
        <f t="shared" si="617"/>
        <v>Mount Atkinsons407</v>
      </c>
      <c r="E2986" s="157" t="s">
        <v>8125</v>
      </c>
      <c r="F2986" s="157" t="s">
        <v>4480</v>
      </c>
      <c r="G2986" s="157"/>
      <c r="H2986" s="157"/>
      <c r="I2986" s="158"/>
      <c r="J2986" s="47">
        <f t="shared" si="618"/>
        <v>3740</v>
      </c>
      <c r="K2986" s="46" t="s">
        <v>10735</v>
      </c>
      <c r="L2986" s="47" t="s">
        <v>2646</v>
      </c>
      <c r="M2986" s="47">
        <f t="shared" si="619"/>
        <v>1430.0000000000002</v>
      </c>
      <c r="N2986" s="47"/>
      <c r="O2986" s="47" t="s">
        <v>4481</v>
      </c>
      <c r="P2986" s="47" t="s">
        <v>4482</v>
      </c>
      <c r="Q2986" s="47"/>
      <c r="R2986" s="47"/>
      <c r="S2986" s="47" t="s">
        <v>967</v>
      </c>
      <c r="T2986" s="47" t="s">
        <v>4483</v>
      </c>
      <c r="U2986" s="47"/>
      <c r="V2986" s="47" t="s">
        <v>1355</v>
      </c>
      <c r="W2986" s="47" t="s">
        <v>4517</v>
      </c>
      <c r="X2986" s="47" t="s">
        <v>4511</v>
      </c>
      <c r="Y2986" s="47" t="s">
        <v>4512</v>
      </c>
      <c r="Z2986" s="47">
        <f t="shared" si="620"/>
        <v>4620</v>
      </c>
      <c r="AA2986" s="47"/>
      <c r="AB2986" s="47"/>
      <c r="AC2986" s="47"/>
      <c r="AD2986" s="47"/>
      <c r="AE2986" s="47">
        <f t="shared" si="621"/>
        <v>5000</v>
      </c>
      <c r="AF2986" s="47">
        <f t="shared" si="621"/>
        <v>1485</v>
      </c>
      <c r="AG2986" s="47"/>
      <c r="AH2986" s="47" t="str">
        <f>IFERROR(_xlfn.XLOOKUP(Table6[[#This Row],[Suburb]],Table5[Travel Surcharge],Table5[$$]),"")</f>
        <v/>
      </c>
      <c r="AI2986" s="47"/>
      <c r="AJ2986" s="47"/>
    </row>
    <row r="2987" spans="1:36">
      <c r="A2987" s="157" t="s">
        <v>4478</v>
      </c>
      <c r="B2987" s="157">
        <v>501</v>
      </c>
      <c r="C2987" s="157" t="s">
        <v>7442</v>
      </c>
      <c r="D2987" s="157" t="str">
        <f t="shared" si="617"/>
        <v>Mount Atkinsons501</v>
      </c>
      <c r="E2987" s="157" t="s">
        <v>8390</v>
      </c>
      <c r="F2987" s="157" t="s">
        <v>4480</v>
      </c>
      <c r="G2987" s="157"/>
      <c r="H2987" s="157"/>
      <c r="I2987" s="158"/>
      <c r="J2987" s="47">
        <f t="shared" si="618"/>
        <v>3740</v>
      </c>
      <c r="K2987" s="46" t="s">
        <v>10735</v>
      </c>
      <c r="L2987" s="47" t="s">
        <v>2646</v>
      </c>
      <c r="M2987" s="47">
        <f t="shared" si="619"/>
        <v>1430.0000000000002</v>
      </c>
      <c r="N2987" s="47"/>
      <c r="O2987" s="47" t="s">
        <v>4481</v>
      </c>
      <c r="P2987" s="47" t="s">
        <v>4482</v>
      </c>
      <c r="Q2987" s="47"/>
      <c r="R2987" s="47"/>
      <c r="S2987" s="47" t="s">
        <v>967</v>
      </c>
      <c r="T2987" s="47" t="s">
        <v>4483</v>
      </c>
      <c r="U2987" s="47"/>
      <c r="V2987" s="47" t="s">
        <v>1355</v>
      </c>
      <c r="W2987" s="47" t="s">
        <v>4517</v>
      </c>
      <c r="X2987" s="47" t="s">
        <v>4511</v>
      </c>
      <c r="Y2987" s="47" t="s">
        <v>4512</v>
      </c>
      <c r="Z2987" s="47">
        <f t="shared" si="620"/>
        <v>4620</v>
      </c>
      <c r="AA2987" s="47"/>
      <c r="AB2987" s="47"/>
      <c r="AC2987" s="47"/>
      <c r="AD2987" s="47" t="s">
        <v>1</v>
      </c>
      <c r="AE2987" s="47"/>
      <c r="AF2987" s="47">
        <f>AF$7</f>
        <v>1485</v>
      </c>
      <c r="AG2987" s="47"/>
      <c r="AH2987" s="47" t="str">
        <f>IFERROR(_xlfn.XLOOKUP(Table6[[#This Row],[Suburb]],Table5[Travel Surcharge],Table5[$$]),"")</f>
        <v/>
      </c>
      <c r="AI2987" s="47"/>
      <c r="AJ2987" s="47"/>
    </row>
    <row r="2988" spans="1:36">
      <c r="A2988" s="157" t="s">
        <v>4478</v>
      </c>
      <c r="B2988" s="157">
        <v>503</v>
      </c>
      <c r="C2988" s="157" t="s">
        <v>7442</v>
      </c>
      <c r="D2988" s="157" t="str">
        <f t="shared" si="617"/>
        <v>Mount Atkinsons503</v>
      </c>
      <c r="E2988" s="157" t="s">
        <v>9334</v>
      </c>
      <c r="F2988" s="157" t="s">
        <v>4480</v>
      </c>
      <c r="G2988" s="157"/>
      <c r="H2988" s="157"/>
      <c r="I2988" s="158"/>
      <c r="J2988" s="47">
        <f t="shared" si="618"/>
        <v>3740</v>
      </c>
      <c r="K2988" s="46" t="s">
        <v>10735</v>
      </c>
      <c r="L2988" s="47" t="s">
        <v>2646</v>
      </c>
      <c r="M2988" s="47">
        <f t="shared" si="619"/>
        <v>1430.0000000000002</v>
      </c>
      <c r="N2988" s="47"/>
      <c r="O2988" s="47" t="s">
        <v>4481</v>
      </c>
      <c r="P2988" s="47" t="s">
        <v>4482</v>
      </c>
      <c r="Q2988" s="47"/>
      <c r="R2988" s="47"/>
      <c r="S2988" s="47" t="s">
        <v>967</v>
      </c>
      <c r="T2988" s="47" t="s">
        <v>4483</v>
      </c>
      <c r="U2988" s="47"/>
      <c r="V2988" s="47" t="s">
        <v>1355</v>
      </c>
      <c r="W2988" s="47" t="s">
        <v>4517</v>
      </c>
      <c r="X2988" s="47" t="s">
        <v>4511</v>
      </c>
      <c r="Y2988" s="47" t="s">
        <v>4512</v>
      </c>
      <c r="Z2988" s="47">
        <f t="shared" si="620"/>
        <v>4620</v>
      </c>
      <c r="AA2988" s="47"/>
      <c r="AB2988" s="47"/>
      <c r="AC2988" s="47"/>
      <c r="AD2988" s="47" t="s">
        <v>1</v>
      </c>
      <c r="AE2988" s="47"/>
      <c r="AF2988" s="47">
        <f>AF$7</f>
        <v>1485</v>
      </c>
      <c r="AG2988" s="47"/>
      <c r="AH2988" s="47" t="str">
        <f>IFERROR(_xlfn.XLOOKUP(Table6[[#This Row],[Suburb]],Table5[Travel Surcharge],Table5[$$]),"")</f>
        <v/>
      </c>
      <c r="AI2988" s="47"/>
      <c r="AJ2988" s="47"/>
    </row>
    <row r="2989" spans="1:36">
      <c r="A2989" s="157" t="s">
        <v>4478</v>
      </c>
      <c r="B2989" s="157">
        <v>506</v>
      </c>
      <c r="C2989" s="157" t="s">
        <v>7442</v>
      </c>
      <c r="D2989" s="157" t="str">
        <f t="shared" si="617"/>
        <v>Mount Atkinsons506</v>
      </c>
      <c r="E2989" s="157" t="s">
        <v>8391</v>
      </c>
      <c r="F2989" s="157" t="s">
        <v>4480</v>
      </c>
      <c r="G2989" s="157"/>
      <c r="H2989" s="157"/>
      <c r="I2989" s="158"/>
      <c r="J2989" s="47">
        <f t="shared" si="618"/>
        <v>3740</v>
      </c>
      <c r="K2989" s="46" t="s">
        <v>10735</v>
      </c>
      <c r="L2989" s="47" t="s">
        <v>2646</v>
      </c>
      <c r="M2989" s="47">
        <f t="shared" si="619"/>
        <v>1430.0000000000002</v>
      </c>
      <c r="N2989" s="47"/>
      <c r="O2989" s="47" t="s">
        <v>4481</v>
      </c>
      <c r="P2989" s="47" t="s">
        <v>4482</v>
      </c>
      <c r="Q2989" s="47"/>
      <c r="R2989" s="47"/>
      <c r="S2989" s="47" t="s">
        <v>967</v>
      </c>
      <c r="T2989" s="47" t="s">
        <v>4483</v>
      </c>
      <c r="U2989" s="47"/>
      <c r="V2989" s="47" t="s">
        <v>1355</v>
      </c>
      <c r="W2989" s="47" t="s">
        <v>4517</v>
      </c>
      <c r="X2989" s="47" t="s">
        <v>4511</v>
      </c>
      <c r="Y2989" s="47" t="s">
        <v>4512</v>
      </c>
      <c r="Z2989" s="47">
        <f t="shared" si="620"/>
        <v>4620</v>
      </c>
      <c r="AA2989" s="47"/>
      <c r="AB2989" s="47"/>
      <c r="AC2989" s="47"/>
      <c r="AD2989" s="47"/>
      <c r="AE2989" s="47">
        <f>AE$7</f>
        <v>5000</v>
      </c>
      <c r="AF2989" s="47">
        <f>AF$7</f>
        <v>1485</v>
      </c>
      <c r="AG2989" s="47"/>
      <c r="AH2989" s="47" t="str">
        <f>IFERROR(_xlfn.XLOOKUP(Table6[[#This Row],[Suburb]],Table5[Travel Surcharge],Table5[$$]),"")</f>
        <v/>
      </c>
      <c r="AI2989" s="47"/>
      <c r="AJ2989" s="47"/>
    </row>
    <row r="2990" spans="1:36">
      <c r="A2990" s="157" t="s">
        <v>4478</v>
      </c>
      <c r="B2990" s="157">
        <v>507</v>
      </c>
      <c r="C2990" s="157" t="s">
        <v>7442</v>
      </c>
      <c r="D2990" s="157" t="str">
        <f t="shared" si="617"/>
        <v>Mount Atkinsons507</v>
      </c>
      <c r="E2990" s="157" t="s">
        <v>9203</v>
      </c>
      <c r="F2990" s="157" t="s">
        <v>4480</v>
      </c>
      <c r="G2990" s="157"/>
      <c r="H2990" s="157"/>
      <c r="I2990" s="158"/>
      <c r="J2990" s="47">
        <f t="shared" si="618"/>
        <v>3740</v>
      </c>
      <c r="K2990" s="46" t="s">
        <v>10735</v>
      </c>
      <c r="L2990" s="47" t="s">
        <v>2646</v>
      </c>
      <c r="M2990" s="47">
        <f t="shared" si="619"/>
        <v>1430.0000000000002</v>
      </c>
      <c r="N2990" s="47"/>
      <c r="O2990" s="47" t="s">
        <v>4481</v>
      </c>
      <c r="P2990" s="47" t="s">
        <v>4482</v>
      </c>
      <c r="Q2990" s="47"/>
      <c r="R2990" s="47"/>
      <c r="S2990" s="47" t="s">
        <v>967</v>
      </c>
      <c r="T2990" s="47" t="s">
        <v>4483</v>
      </c>
      <c r="U2990" s="47"/>
      <c r="V2990" s="47" t="s">
        <v>1355</v>
      </c>
      <c r="W2990" s="47" t="s">
        <v>4517</v>
      </c>
      <c r="X2990" s="47" t="s">
        <v>4511</v>
      </c>
      <c r="Y2990" s="47" t="s">
        <v>4512</v>
      </c>
      <c r="Z2990" s="47">
        <f t="shared" si="620"/>
        <v>4620</v>
      </c>
      <c r="AA2990" s="47"/>
      <c r="AB2990" s="47"/>
      <c r="AC2990" s="47"/>
      <c r="AD2990" s="47"/>
      <c r="AE2990" s="47">
        <f>AE$7</f>
        <v>5000</v>
      </c>
      <c r="AF2990" s="47">
        <f>AF$7</f>
        <v>1485</v>
      </c>
      <c r="AG2990" s="47"/>
      <c r="AH2990" s="47" t="str">
        <f>IFERROR(_xlfn.XLOOKUP(Table6[[#This Row],[Suburb]],Table5[Travel Surcharge],Table5[$$]),"")</f>
        <v/>
      </c>
      <c r="AI2990" s="47"/>
      <c r="AJ2990" s="47"/>
    </row>
    <row r="2991" spans="1:36">
      <c r="A2991" s="374" t="s">
        <v>4478</v>
      </c>
      <c r="B2991" s="374">
        <v>508</v>
      </c>
      <c r="C2991" s="374" t="s">
        <v>7442</v>
      </c>
      <c r="D2991" s="375" t="str">
        <f t="shared" si="617"/>
        <v>Mount Atkinsons508</v>
      </c>
      <c r="E2991" s="375" t="s">
        <v>10820</v>
      </c>
      <c r="F2991" s="375" t="s">
        <v>4480</v>
      </c>
      <c r="G2991" s="375"/>
      <c r="H2991" s="375"/>
      <c r="I2991" s="63"/>
      <c r="J2991" s="47">
        <v>3740</v>
      </c>
      <c r="K2991" s="46" t="s">
        <v>10735</v>
      </c>
      <c r="L2991" s="47" t="s">
        <v>2646</v>
      </c>
      <c r="M2991" s="47">
        <v>1430.0000000000002</v>
      </c>
      <c r="N2991" s="47"/>
      <c r="O2991" s="47" t="s">
        <v>4481</v>
      </c>
      <c r="P2991" s="47" t="s">
        <v>4482</v>
      </c>
      <c r="Q2991" s="47"/>
      <c r="R2991" s="47"/>
      <c r="S2991" s="47" t="s">
        <v>967</v>
      </c>
      <c r="T2991" s="47" t="s">
        <v>4483</v>
      </c>
      <c r="U2991" s="47"/>
      <c r="V2991" s="47" t="s">
        <v>1355</v>
      </c>
      <c r="W2991" s="47" t="s">
        <v>4517</v>
      </c>
      <c r="X2991" s="47" t="s">
        <v>4511</v>
      </c>
      <c r="Y2991" s="47" t="s">
        <v>4512</v>
      </c>
      <c r="Z2991" s="47">
        <v>4620</v>
      </c>
      <c r="AA2991" s="47"/>
      <c r="AB2991" s="47"/>
      <c r="AC2991" s="47"/>
      <c r="AD2991" s="47"/>
      <c r="AE2991" s="47">
        <v>5000</v>
      </c>
      <c r="AF2991" s="47">
        <v>1485</v>
      </c>
      <c r="AG2991" s="47"/>
      <c r="AH2991" s="47" t="s">
        <v>9976</v>
      </c>
      <c r="AI2991" s="47"/>
      <c r="AJ2991" s="47"/>
    </row>
    <row r="2992" spans="1:36">
      <c r="A2992" s="374" t="s">
        <v>4478</v>
      </c>
      <c r="B2992" s="374" t="s">
        <v>2717</v>
      </c>
      <c r="C2992" s="374" t="s">
        <v>538</v>
      </c>
      <c r="D2992" s="375" t="str">
        <f t="shared" si="617"/>
        <v>Mount Atkinsons15B</v>
      </c>
      <c r="E2992" s="375" t="s">
        <v>4495</v>
      </c>
      <c r="F2992" s="375" t="s">
        <v>4480</v>
      </c>
      <c r="G2992" s="375"/>
      <c r="H2992" s="375"/>
      <c r="I2992" s="63"/>
      <c r="J2992" s="47">
        <f t="shared" si="618"/>
        <v>3740</v>
      </c>
      <c r="K2992" s="46" t="s">
        <v>10735</v>
      </c>
      <c r="L2992" s="47"/>
      <c r="M2992" s="47">
        <f t="shared" si="619"/>
        <v>1430.0000000000002</v>
      </c>
      <c r="N2992" s="47" t="s">
        <v>2646</v>
      </c>
      <c r="O2992" s="47" t="s">
        <v>4481</v>
      </c>
      <c r="P2992" s="47" t="s">
        <v>4482</v>
      </c>
      <c r="Q2992" s="47"/>
      <c r="R2992" s="47"/>
      <c r="S2992" s="47" t="s">
        <v>967</v>
      </c>
      <c r="T2992" s="47" t="s">
        <v>4483</v>
      </c>
      <c r="U2992" s="47"/>
      <c r="V2992" s="47"/>
      <c r="W2992" s="47"/>
      <c r="X2992" s="47"/>
      <c r="Y2992" s="47"/>
      <c r="Z2992" s="47">
        <f t="shared" si="620"/>
        <v>4620</v>
      </c>
      <c r="AA2992" s="47"/>
      <c r="AB2992" s="47"/>
      <c r="AC2992" s="47"/>
      <c r="AD2992" s="47" t="s">
        <v>1</v>
      </c>
      <c r="AE2992" s="47"/>
      <c r="AF2992" s="47"/>
      <c r="AG2992" s="47"/>
      <c r="AH2992" s="47" t="str">
        <f>IFERROR(_xlfn.XLOOKUP(Table6[[#This Row],[Suburb]],Table5[Travel Surcharge],Table5[$$]),"")</f>
        <v/>
      </c>
      <c r="AI2992" s="47"/>
      <c r="AJ2992" s="47"/>
    </row>
    <row r="2993" spans="1:36">
      <c r="A2993" s="374" t="s">
        <v>4520</v>
      </c>
      <c r="B2993" s="374">
        <v>4</v>
      </c>
      <c r="C2993" s="374" t="s">
        <v>1721</v>
      </c>
      <c r="D2993" s="375" t="str">
        <f t="shared" si="617"/>
        <v>Mount Holden4</v>
      </c>
      <c r="E2993" s="375" t="s">
        <v>4521</v>
      </c>
      <c r="F2993" s="375" t="s">
        <v>4522</v>
      </c>
      <c r="G2993" s="375" t="s">
        <v>4523</v>
      </c>
      <c r="H2993" s="375" t="s">
        <v>4524</v>
      </c>
      <c r="I2993" s="63" t="s">
        <v>4525</v>
      </c>
      <c r="J2993" s="47">
        <f t="shared" si="618"/>
        <v>3740</v>
      </c>
      <c r="K2993" s="46" t="s">
        <v>10735</v>
      </c>
      <c r="L2993" s="47" t="s">
        <v>4526</v>
      </c>
      <c r="M2993" s="47"/>
      <c r="N2993" s="47"/>
      <c r="O2993" s="47"/>
      <c r="P2993" s="47"/>
      <c r="Q2993" s="47"/>
      <c r="R2993" s="47"/>
      <c r="S2993" s="47"/>
      <c r="T2993" s="47">
        <f>T$2</f>
        <v>780</v>
      </c>
      <c r="U2993" s="47"/>
      <c r="V2993" s="47"/>
      <c r="W2993" s="47"/>
      <c r="X2993" s="47"/>
      <c r="Y2993" s="47"/>
      <c r="Z2993" s="47">
        <f t="shared" si="620"/>
        <v>4620</v>
      </c>
      <c r="AA2993" s="47"/>
      <c r="AB2993" s="47"/>
      <c r="AC2993" s="47"/>
      <c r="AD2993" s="47"/>
      <c r="AE2993" s="47"/>
      <c r="AF2993" s="47"/>
      <c r="AG2993" s="47"/>
      <c r="AH2993" s="47" t="str">
        <f>IFERROR(_xlfn.XLOOKUP(Table6[[#This Row],[Suburb]],Table5[Travel Surcharge],Table5[$$]),"")</f>
        <v/>
      </c>
      <c r="AI2993" s="47">
        <f>AI$7</f>
        <v>1650.0000000000002</v>
      </c>
      <c r="AJ2993" s="47"/>
    </row>
    <row r="2994" spans="1:36">
      <c r="A2994" s="374" t="s">
        <v>4520</v>
      </c>
      <c r="B2994" s="374">
        <v>6</v>
      </c>
      <c r="C2994" s="374" t="s">
        <v>1721</v>
      </c>
      <c r="D2994" s="375" t="str">
        <f t="shared" si="617"/>
        <v>Mount Holden6</v>
      </c>
      <c r="E2994" s="375" t="s">
        <v>4527</v>
      </c>
      <c r="F2994" s="375" t="s">
        <v>4522</v>
      </c>
      <c r="G2994" s="375" t="s">
        <v>4523</v>
      </c>
      <c r="H2994" s="375" t="s">
        <v>4524</v>
      </c>
      <c r="I2994" s="63" t="s">
        <v>4525</v>
      </c>
      <c r="J2994" s="47">
        <f t="shared" si="618"/>
        <v>3740</v>
      </c>
      <c r="K2994" s="46" t="s">
        <v>10735</v>
      </c>
      <c r="L2994" s="47" t="s">
        <v>4526</v>
      </c>
      <c r="M2994" s="47"/>
      <c r="N2994" s="47"/>
      <c r="O2994" s="47"/>
      <c r="P2994" s="47"/>
      <c r="Q2994" s="47"/>
      <c r="R2994" s="47"/>
      <c r="S2994" s="47"/>
      <c r="T2994" s="47">
        <f>T$2</f>
        <v>780</v>
      </c>
      <c r="U2994" s="47"/>
      <c r="V2994" s="47"/>
      <c r="W2994" s="47"/>
      <c r="X2994" s="47"/>
      <c r="Y2994" s="47"/>
      <c r="Z2994" s="47">
        <f t="shared" si="620"/>
        <v>4620</v>
      </c>
      <c r="AA2994" s="47"/>
      <c r="AB2994" s="47"/>
      <c r="AC2994" s="47"/>
      <c r="AD2994" s="47"/>
      <c r="AE2994" s="47"/>
      <c r="AF2994" s="47"/>
      <c r="AG2994" s="47"/>
      <c r="AH2994" s="47" t="str">
        <f>IFERROR(_xlfn.XLOOKUP(Table6[[#This Row],[Suburb]],Table5[Travel Surcharge],Table5[$$]),"")</f>
        <v/>
      </c>
      <c r="AI2994" s="47">
        <f>AI$7</f>
        <v>1650.0000000000002</v>
      </c>
      <c r="AJ2994" s="47"/>
    </row>
    <row r="2995" spans="1:36">
      <c r="A2995" s="374" t="s">
        <v>4534</v>
      </c>
      <c r="B2995" s="374">
        <v>1</v>
      </c>
      <c r="C2995" s="374" t="s">
        <v>675</v>
      </c>
      <c r="D2995" s="375" t="str">
        <f t="shared" si="617"/>
        <v>Mount Pleasant Estate1</v>
      </c>
      <c r="E2995" s="375" t="s">
        <v>4535</v>
      </c>
      <c r="F2995" s="375" t="s">
        <v>3746</v>
      </c>
      <c r="G2995" s="375" t="s">
        <v>1585</v>
      </c>
      <c r="H2995" s="375" t="s">
        <v>1586</v>
      </c>
      <c r="I2995" s="63" t="s">
        <v>1587</v>
      </c>
      <c r="J2995" s="47">
        <f t="shared" si="618"/>
        <v>3740</v>
      </c>
      <c r="K2995" s="46" t="s">
        <v>10735</v>
      </c>
      <c r="L2995" s="47" t="s">
        <v>4530</v>
      </c>
      <c r="M2995" s="47">
        <f t="shared" ref="M2995:M3003" si="622">M$7</f>
        <v>1430.0000000000002</v>
      </c>
      <c r="N2995" s="47" t="s">
        <v>4531</v>
      </c>
      <c r="O2995" s="47" t="s">
        <v>4532</v>
      </c>
      <c r="P2995" s="47"/>
      <c r="Q2995" s="47">
        <f t="shared" ref="Q2995:Q3003" si="623">Q$2</f>
        <v>0</v>
      </c>
      <c r="R2995" s="47"/>
      <c r="S2995" s="47"/>
      <c r="T2995" s="47" t="s">
        <v>1765</v>
      </c>
      <c r="U2995" s="47"/>
      <c r="V2995" s="47"/>
      <c r="W2995" s="47"/>
      <c r="X2995" s="47"/>
      <c r="Y2995" s="47"/>
      <c r="Z2995" s="47">
        <f t="shared" si="620"/>
        <v>4620</v>
      </c>
      <c r="AA2995" s="47"/>
      <c r="AB2995" s="47"/>
      <c r="AC2995" s="47"/>
      <c r="AD2995" s="47"/>
      <c r="AE2995" s="47"/>
      <c r="AF2995" s="47"/>
      <c r="AG2995" s="47"/>
      <c r="AH2995" s="47" t="str">
        <f>IFERROR(_xlfn.XLOOKUP(Table6[[#This Row],[Suburb]],Table5[Travel Surcharge],Table5[$$]),"")</f>
        <v/>
      </c>
      <c r="AI2995" s="47"/>
      <c r="AJ2995" s="47"/>
    </row>
    <row r="2996" spans="1:36">
      <c r="A2996" s="374" t="s">
        <v>4534</v>
      </c>
      <c r="B2996" s="374">
        <v>2</v>
      </c>
      <c r="C2996" s="374" t="s">
        <v>675</v>
      </c>
      <c r="D2996" s="375" t="str">
        <f t="shared" si="617"/>
        <v>Mount Pleasant Estate2</v>
      </c>
      <c r="E2996" s="375" t="s">
        <v>4536</v>
      </c>
      <c r="F2996" s="375" t="s">
        <v>3746</v>
      </c>
      <c r="G2996" s="375" t="s">
        <v>1585</v>
      </c>
      <c r="H2996" s="375" t="s">
        <v>1586</v>
      </c>
      <c r="I2996" s="63" t="s">
        <v>1587</v>
      </c>
      <c r="J2996" s="47">
        <f t="shared" si="618"/>
        <v>3740</v>
      </c>
      <c r="K2996" s="46" t="s">
        <v>10735</v>
      </c>
      <c r="L2996" s="47" t="s">
        <v>4530</v>
      </c>
      <c r="M2996" s="47">
        <f t="shared" si="622"/>
        <v>1430.0000000000002</v>
      </c>
      <c r="N2996" s="47" t="s">
        <v>4531</v>
      </c>
      <c r="O2996" s="47" t="s">
        <v>4532</v>
      </c>
      <c r="P2996" s="47"/>
      <c r="Q2996" s="47">
        <f t="shared" si="623"/>
        <v>0</v>
      </c>
      <c r="R2996" s="47"/>
      <c r="S2996" s="47"/>
      <c r="T2996" s="47" t="s">
        <v>1765</v>
      </c>
      <c r="U2996" s="47"/>
      <c r="V2996" s="47"/>
      <c r="W2996" s="47"/>
      <c r="X2996" s="47"/>
      <c r="Y2996" s="47"/>
      <c r="Z2996" s="47">
        <f t="shared" si="620"/>
        <v>4620</v>
      </c>
      <c r="AA2996" s="47"/>
      <c r="AB2996" s="47"/>
      <c r="AC2996" s="47"/>
      <c r="AD2996" s="47"/>
      <c r="AE2996" s="47"/>
      <c r="AF2996" s="47"/>
      <c r="AG2996" s="47"/>
      <c r="AH2996" s="47" t="str">
        <f>IFERROR(_xlfn.XLOOKUP(Table6[[#This Row],[Suburb]],Table5[Travel Surcharge],Table5[$$]),"")</f>
        <v/>
      </c>
      <c r="AI2996" s="47"/>
      <c r="AJ2996" s="47"/>
    </row>
    <row r="2997" spans="1:36">
      <c r="A2997" s="374" t="s">
        <v>4534</v>
      </c>
      <c r="B2997" s="374">
        <v>3</v>
      </c>
      <c r="C2997" s="374" t="s">
        <v>675</v>
      </c>
      <c r="D2997" s="375" t="str">
        <f t="shared" si="617"/>
        <v>Mount Pleasant Estate3</v>
      </c>
      <c r="E2997" s="375" t="s">
        <v>4538</v>
      </c>
      <c r="F2997" s="375" t="s">
        <v>3746</v>
      </c>
      <c r="G2997" s="375" t="s">
        <v>1585</v>
      </c>
      <c r="H2997" s="375" t="s">
        <v>1586</v>
      </c>
      <c r="I2997" s="63" t="s">
        <v>1587</v>
      </c>
      <c r="J2997" s="47">
        <f t="shared" si="618"/>
        <v>3740</v>
      </c>
      <c r="K2997" s="46" t="s">
        <v>10735</v>
      </c>
      <c r="L2997" s="47" t="s">
        <v>4530</v>
      </c>
      <c r="M2997" s="47">
        <f t="shared" si="622"/>
        <v>1430.0000000000002</v>
      </c>
      <c r="N2997" s="47" t="s">
        <v>4531</v>
      </c>
      <c r="O2997" s="47" t="s">
        <v>4532</v>
      </c>
      <c r="P2997" s="47"/>
      <c r="Q2997" s="47">
        <f t="shared" si="623"/>
        <v>0</v>
      </c>
      <c r="R2997" s="47"/>
      <c r="S2997" s="47"/>
      <c r="T2997" s="47" t="s">
        <v>1765</v>
      </c>
      <c r="U2997" s="47"/>
      <c r="V2997" s="47"/>
      <c r="W2997" s="47"/>
      <c r="X2997" s="47"/>
      <c r="Y2997" s="47"/>
      <c r="Z2997" s="47">
        <f t="shared" si="620"/>
        <v>4620</v>
      </c>
      <c r="AA2997" s="47"/>
      <c r="AB2997" s="47"/>
      <c r="AC2997" s="47"/>
      <c r="AD2997" s="47"/>
      <c r="AE2997" s="47"/>
      <c r="AF2997" s="47"/>
      <c r="AG2997" s="47"/>
      <c r="AH2997" s="47" t="str">
        <f>IFERROR(_xlfn.XLOOKUP(Table6[[#This Row],[Suburb]],Table5[Travel Surcharge],Table5[$$]),"")</f>
        <v/>
      </c>
      <c r="AI2997" s="47"/>
      <c r="AJ2997" s="47"/>
    </row>
    <row r="2998" spans="1:36">
      <c r="A2998" s="374" t="s">
        <v>4534</v>
      </c>
      <c r="B2998" s="374">
        <v>4</v>
      </c>
      <c r="C2998" s="374" t="s">
        <v>675</v>
      </c>
      <c r="D2998" s="375" t="str">
        <f t="shared" si="617"/>
        <v>Mount Pleasant Estate4</v>
      </c>
      <c r="E2998" s="375" t="s">
        <v>4540</v>
      </c>
      <c r="F2998" s="375" t="s">
        <v>3746</v>
      </c>
      <c r="G2998" s="375" t="s">
        <v>1585</v>
      </c>
      <c r="H2998" s="375" t="s">
        <v>1586</v>
      </c>
      <c r="I2998" s="63" t="s">
        <v>1587</v>
      </c>
      <c r="J2998" s="47">
        <f t="shared" si="618"/>
        <v>3740</v>
      </c>
      <c r="K2998" s="46" t="s">
        <v>10735</v>
      </c>
      <c r="L2998" s="47" t="s">
        <v>4530</v>
      </c>
      <c r="M2998" s="47">
        <f t="shared" si="622"/>
        <v>1430.0000000000002</v>
      </c>
      <c r="N2998" s="47" t="s">
        <v>4531</v>
      </c>
      <c r="O2998" s="47" t="s">
        <v>4532</v>
      </c>
      <c r="P2998" s="47"/>
      <c r="Q2998" s="47">
        <f t="shared" si="623"/>
        <v>0</v>
      </c>
      <c r="R2998" s="47"/>
      <c r="S2998" s="47"/>
      <c r="T2998" s="47" t="s">
        <v>1765</v>
      </c>
      <c r="U2998" s="47"/>
      <c r="V2998" s="47"/>
      <c r="W2998" s="47"/>
      <c r="X2998" s="47"/>
      <c r="Y2998" s="47"/>
      <c r="Z2998" s="47">
        <f t="shared" si="620"/>
        <v>4620</v>
      </c>
      <c r="AA2998" s="47"/>
      <c r="AB2998" s="47"/>
      <c r="AC2998" s="47"/>
      <c r="AD2998" s="47"/>
      <c r="AE2998" s="47"/>
      <c r="AF2998" s="47"/>
      <c r="AG2998" s="47"/>
      <c r="AH2998" s="47" t="str">
        <f>IFERROR(_xlfn.XLOOKUP(Table6[[#This Row],[Suburb]],Table5[Travel Surcharge],Table5[$$]),"")</f>
        <v/>
      </c>
      <c r="AI2998" s="47"/>
      <c r="AJ2998" s="47"/>
    </row>
    <row r="2999" spans="1:36">
      <c r="A2999" s="374" t="s">
        <v>4534</v>
      </c>
      <c r="B2999" s="374">
        <v>5</v>
      </c>
      <c r="C2999" s="374" t="s">
        <v>675</v>
      </c>
      <c r="D2999" s="375" t="str">
        <f t="shared" si="617"/>
        <v>Mount Pleasant Estate5</v>
      </c>
      <c r="E2999" s="375" t="s">
        <v>4541</v>
      </c>
      <c r="F2999" s="375" t="s">
        <v>3746</v>
      </c>
      <c r="G2999" s="375" t="s">
        <v>1585</v>
      </c>
      <c r="H2999" s="375" t="s">
        <v>1586</v>
      </c>
      <c r="I2999" s="63" t="s">
        <v>1587</v>
      </c>
      <c r="J2999" s="47">
        <f t="shared" si="618"/>
        <v>3740</v>
      </c>
      <c r="K2999" s="46" t="s">
        <v>10735</v>
      </c>
      <c r="L2999" s="47" t="s">
        <v>4530</v>
      </c>
      <c r="M2999" s="47">
        <f t="shared" si="622"/>
        <v>1430.0000000000002</v>
      </c>
      <c r="N2999" s="47" t="s">
        <v>4531</v>
      </c>
      <c r="O2999" s="47" t="s">
        <v>4532</v>
      </c>
      <c r="P2999" s="47"/>
      <c r="Q2999" s="47">
        <f t="shared" si="623"/>
        <v>0</v>
      </c>
      <c r="R2999" s="47"/>
      <c r="S2999" s="47"/>
      <c r="T2999" s="47" t="s">
        <v>1765</v>
      </c>
      <c r="U2999" s="47"/>
      <c r="V2999" s="47"/>
      <c r="W2999" s="47"/>
      <c r="X2999" s="47"/>
      <c r="Y2999" s="47"/>
      <c r="Z2999" s="47">
        <f t="shared" si="620"/>
        <v>4620</v>
      </c>
      <c r="AA2999" s="47"/>
      <c r="AB2999" s="47"/>
      <c r="AC2999" s="47"/>
      <c r="AD2999" s="47"/>
      <c r="AE2999" s="47"/>
      <c r="AF2999" s="47"/>
      <c r="AG2999" s="47"/>
      <c r="AH2999" s="47" t="str">
        <f>IFERROR(_xlfn.XLOOKUP(Table6[[#This Row],[Suburb]],Table5[Travel Surcharge],Table5[$$]),"")</f>
        <v/>
      </c>
      <c r="AI2999" s="47"/>
      <c r="AJ2999" s="47"/>
    </row>
    <row r="3000" spans="1:36">
      <c r="A3000" s="374" t="s">
        <v>4534</v>
      </c>
      <c r="B3000" s="374" t="s">
        <v>604</v>
      </c>
      <c r="C3000" s="374" t="s">
        <v>675</v>
      </c>
      <c r="D3000" s="375" t="str">
        <f t="shared" si="617"/>
        <v>Mount Pleasant Estate2B</v>
      </c>
      <c r="E3000" s="375" t="s">
        <v>4537</v>
      </c>
      <c r="F3000" s="375" t="s">
        <v>3746</v>
      </c>
      <c r="G3000" s="375" t="s">
        <v>1585</v>
      </c>
      <c r="H3000" s="375" t="s">
        <v>1586</v>
      </c>
      <c r="I3000" s="63" t="s">
        <v>1587</v>
      </c>
      <c r="J3000" s="47">
        <f t="shared" si="618"/>
        <v>3740</v>
      </c>
      <c r="K3000" s="46" t="s">
        <v>10735</v>
      </c>
      <c r="L3000" s="47" t="s">
        <v>4530</v>
      </c>
      <c r="M3000" s="47">
        <f t="shared" si="622"/>
        <v>1430.0000000000002</v>
      </c>
      <c r="N3000" s="47" t="s">
        <v>4531</v>
      </c>
      <c r="O3000" s="47" t="s">
        <v>4532</v>
      </c>
      <c r="P3000" s="47"/>
      <c r="Q3000" s="47">
        <f t="shared" si="623"/>
        <v>0</v>
      </c>
      <c r="R3000" s="47"/>
      <c r="S3000" s="47"/>
      <c r="T3000" s="47" t="s">
        <v>1765</v>
      </c>
      <c r="U3000" s="47"/>
      <c r="V3000" s="47"/>
      <c r="W3000" s="47"/>
      <c r="X3000" s="47"/>
      <c r="Y3000" s="47"/>
      <c r="Z3000" s="47">
        <f t="shared" si="620"/>
        <v>4620</v>
      </c>
      <c r="AA3000" s="47"/>
      <c r="AB3000" s="47"/>
      <c r="AC3000" s="47"/>
      <c r="AD3000" s="47"/>
      <c r="AE3000" s="47"/>
      <c r="AF3000" s="47"/>
      <c r="AG3000" s="47"/>
      <c r="AH3000" s="47" t="str">
        <f>IFERROR(_xlfn.XLOOKUP(Table6[[#This Row],[Suburb]],Table5[Travel Surcharge],Table5[$$]),"")</f>
        <v/>
      </c>
      <c r="AI3000" s="47"/>
      <c r="AJ3000" s="47"/>
    </row>
    <row r="3001" spans="1:36">
      <c r="A3001" s="374" t="s">
        <v>4534</v>
      </c>
      <c r="B3001" s="374" t="s">
        <v>608</v>
      </c>
      <c r="C3001" s="374" t="s">
        <v>675</v>
      </c>
      <c r="D3001" s="375" t="str">
        <f t="shared" si="617"/>
        <v>Mount Pleasant Estate3B</v>
      </c>
      <c r="E3001" s="375" t="s">
        <v>4539</v>
      </c>
      <c r="F3001" s="375" t="s">
        <v>3746</v>
      </c>
      <c r="G3001" s="375" t="s">
        <v>1585</v>
      </c>
      <c r="H3001" s="375" t="s">
        <v>1586</v>
      </c>
      <c r="I3001" s="63" t="s">
        <v>1587</v>
      </c>
      <c r="J3001" s="47">
        <f t="shared" si="618"/>
        <v>3740</v>
      </c>
      <c r="K3001" s="46" t="s">
        <v>10735</v>
      </c>
      <c r="L3001" s="47" t="s">
        <v>4530</v>
      </c>
      <c r="M3001" s="47">
        <f t="shared" si="622"/>
        <v>1430.0000000000002</v>
      </c>
      <c r="N3001" s="47" t="s">
        <v>4531</v>
      </c>
      <c r="O3001" s="47" t="s">
        <v>4532</v>
      </c>
      <c r="P3001" s="47"/>
      <c r="Q3001" s="47">
        <f t="shared" si="623"/>
        <v>0</v>
      </c>
      <c r="R3001" s="47"/>
      <c r="S3001" s="47"/>
      <c r="T3001" s="47" t="s">
        <v>1765</v>
      </c>
      <c r="U3001" s="47"/>
      <c r="V3001" s="47"/>
      <c r="W3001" s="47"/>
      <c r="X3001" s="47"/>
      <c r="Y3001" s="47"/>
      <c r="Z3001" s="47">
        <f t="shared" si="620"/>
        <v>4620</v>
      </c>
      <c r="AA3001" s="47"/>
      <c r="AB3001" s="47"/>
      <c r="AC3001" s="47"/>
      <c r="AD3001" s="47"/>
      <c r="AE3001" s="47"/>
      <c r="AF3001" s="47"/>
      <c r="AG3001" s="47"/>
      <c r="AH3001" s="47" t="str">
        <f>IFERROR(_xlfn.XLOOKUP(Table6[[#This Row],[Suburb]],Table5[Travel Surcharge],Table5[$$]),"")</f>
        <v/>
      </c>
      <c r="AI3001" s="47"/>
      <c r="AJ3001" s="47"/>
    </row>
    <row r="3002" spans="1:36">
      <c r="A3002" s="374" t="s">
        <v>4534</v>
      </c>
      <c r="B3002" s="374" t="s">
        <v>1466</v>
      </c>
      <c r="C3002" s="374" t="s">
        <v>675</v>
      </c>
      <c r="D3002" s="375" t="str">
        <f t="shared" si="617"/>
        <v>Mount Pleasant Estate5B</v>
      </c>
      <c r="E3002" s="375" t="s">
        <v>4542</v>
      </c>
      <c r="F3002" s="375" t="s">
        <v>3746</v>
      </c>
      <c r="G3002" s="375" t="s">
        <v>1585</v>
      </c>
      <c r="H3002" s="375" t="s">
        <v>1586</v>
      </c>
      <c r="I3002" s="63" t="s">
        <v>1587</v>
      </c>
      <c r="J3002" s="47">
        <f t="shared" si="618"/>
        <v>3740</v>
      </c>
      <c r="K3002" s="46" t="s">
        <v>10735</v>
      </c>
      <c r="L3002" s="47" t="s">
        <v>4530</v>
      </c>
      <c r="M3002" s="47">
        <f t="shared" si="622"/>
        <v>1430.0000000000002</v>
      </c>
      <c r="N3002" s="47" t="s">
        <v>4531</v>
      </c>
      <c r="O3002" s="47" t="s">
        <v>4532</v>
      </c>
      <c r="P3002" s="47"/>
      <c r="Q3002" s="47">
        <f t="shared" si="623"/>
        <v>0</v>
      </c>
      <c r="R3002" s="47"/>
      <c r="S3002" s="47"/>
      <c r="T3002" s="47" t="s">
        <v>1765</v>
      </c>
      <c r="U3002" s="47"/>
      <c r="V3002" s="47"/>
      <c r="W3002" s="47"/>
      <c r="X3002" s="47"/>
      <c r="Y3002" s="47"/>
      <c r="Z3002" s="47">
        <f t="shared" si="620"/>
        <v>4620</v>
      </c>
      <c r="AA3002" s="47"/>
      <c r="AB3002" s="47"/>
      <c r="AC3002" s="47"/>
      <c r="AD3002" s="47"/>
      <c r="AE3002" s="47"/>
      <c r="AF3002" s="47"/>
      <c r="AG3002" s="47"/>
      <c r="AH3002" s="47" t="str">
        <f>IFERROR(_xlfn.XLOOKUP(Table6[[#This Row],[Suburb]],Table5[Travel Surcharge],Table5[$$]),"")</f>
        <v/>
      </c>
      <c r="AI3002" s="47"/>
      <c r="AJ3002" s="47"/>
    </row>
    <row r="3003" spans="1:36">
      <c r="A3003" s="374" t="s">
        <v>4534</v>
      </c>
      <c r="B3003" s="374" t="s">
        <v>619</v>
      </c>
      <c r="C3003" s="374" t="s">
        <v>675</v>
      </c>
      <c r="D3003" s="375" t="str">
        <f t="shared" si="617"/>
        <v>Mount Pleasant Estate5C</v>
      </c>
      <c r="E3003" s="375" t="s">
        <v>4543</v>
      </c>
      <c r="F3003" s="375" t="s">
        <v>3746</v>
      </c>
      <c r="G3003" s="375" t="s">
        <v>1585</v>
      </c>
      <c r="H3003" s="375" t="s">
        <v>1586</v>
      </c>
      <c r="I3003" s="63" t="s">
        <v>1587</v>
      </c>
      <c r="J3003" s="47">
        <f t="shared" si="618"/>
        <v>3740</v>
      </c>
      <c r="K3003" s="46" t="s">
        <v>10735</v>
      </c>
      <c r="L3003" s="47" t="s">
        <v>4530</v>
      </c>
      <c r="M3003" s="47">
        <f t="shared" si="622"/>
        <v>1430.0000000000002</v>
      </c>
      <c r="N3003" s="47" t="s">
        <v>4531</v>
      </c>
      <c r="O3003" s="47" t="s">
        <v>4532</v>
      </c>
      <c r="P3003" s="47"/>
      <c r="Q3003" s="47">
        <f t="shared" si="623"/>
        <v>0</v>
      </c>
      <c r="R3003" s="47"/>
      <c r="S3003" s="47"/>
      <c r="T3003" s="47" t="s">
        <v>1765</v>
      </c>
      <c r="U3003" s="47"/>
      <c r="V3003" s="47"/>
      <c r="W3003" s="47"/>
      <c r="X3003" s="47"/>
      <c r="Y3003" s="47"/>
      <c r="Z3003" s="47">
        <f t="shared" si="620"/>
        <v>4620</v>
      </c>
      <c r="AA3003" s="47"/>
      <c r="AB3003" s="47"/>
      <c r="AC3003" s="47"/>
      <c r="AD3003" s="47"/>
      <c r="AE3003" s="47"/>
      <c r="AF3003" s="47"/>
      <c r="AG3003" s="47"/>
      <c r="AH3003" s="47" t="str">
        <f>IFERROR(_xlfn.XLOOKUP(Table6[[#This Row],[Suburb]],Table5[Travel Surcharge],Table5[$$]),"")</f>
        <v/>
      </c>
      <c r="AI3003" s="47"/>
      <c r="AJ3003" s="47"/>
    </row>
    <row r="3004" spans="1:36">
      <c r="A3004" s="374" t="s">
        <v>4534</v>
      </c>
      <c r="B3004" s="374" t="s">
        <v>620</v>
      </c>
      <c r="C3004" s="374" t="s">
        <v>675</v>
      </c>
      <c r="D3004" s="375" t="str">
        <f t="shared" si="617"/>
        <v>Mount Pleasant Estate5D</v>
      </c>
      <c r="E3004" s="375" t="s">
        <v>4544</v>
      </c>
      <c r="F3004" s="375" t="s">
        <v>3746</v>
      </c>
      <c r="G3004" s="375" t="s">
        <v>1585</v>
      </c>
      <c r="H3004" s="375" t="s">
        <v>1586</v>
      </c>
      <c r="I3004" s="63" t="s">
        <v>1587</v>
      </c>
      <c r="J3004" s="47">
        <f t="shared" si="618"/>
        <v>3740</v>
      </c>
      <c r="K3004" s="46" t="s">
        <v>10735</v>
      </c>
      <c r="L3004" s="47" t="s">
        <v>4530</v>
      </c>
      <c r="M3004" s="47"/>
      <c r="N3004" s="47" t="s">
        <v>4545</v>
      </c>
      <c r="O3004" s="47" t="s">
        <v>4532</v>
      </c>
      <c r="P3004" s="47"/>
      <c r="Q3004" s="47"/>
      <c r="R3004" s="47"/>
      <c r="S3004" s="47" t="s">
        <v>463</v>
      </c>
      <c r="T3004" s="47"/>
      <c r="U3004" s="47"/>
      <c r="V3004" s="47"/>
      <c r="W3004" s="47"/>
      <c r="X3004" s="47"/>
      <c r="Y3004" s="47"/>
      <c r="Z3004" s="47">
        <f t="shared" si="620"/>
        <v>4620</v>
      </c>
      <c r="AA3004" s="47">
        <f t="shared" ref="AA3004:AB3006" si="624">AA$7</f>
        <v>1400</v>
      </c>
      <c r="AB3004" s="47">
        <f t="shared" si="624"/>
        <v>2800</v>
      </c>
      <c r="AC3004" s="47"/>
      <c r="AD3004" s="47"/>
      <c r="AE3004" s="47"/>
      <c r="AF3004" s="47"/>
      <c r="AG3004" s="47"/>
      <c r="AH3004" s="47" t="str">
        <f>IFERROR(_xlfn.XLOOKUP(Table6[[#This Row],[Suburb]],Table5[Travel Surcharge],Table5[$$]),"")</f>
        <v/>
      </c>
      <c r="AI3004" s="47"/>
      <c r="AJ3004" s="47"/>
    </row>
    <row r="3005" spans="1:36">
      <c r="A3005" s="374" t="s">
        <v>4534</v>
      </c>
      <c r="B3005" s="374" t="s">
        <v>622</v>
      </c>
      <c r="C3005" s="374" t="s">
        <v>675</v>
      </c>
      <c r="D3005" s="375" t="str">
        <f t="shared" si="617"/>
        <v>Mount Pleasant Estate6A</v>
      </c>
      <c r="E3005" s="375" t="s">
        <v>4546</v>
      </c>
      <c r="F3005" s="375" t="s">
        <v>3746</v>
      </c>
      <c r="G3005" s="375" t="s">
        <v>1585</v>
      </c>
      <c r="H3005" s="375" t="s">
        <v>1586</v>
      </c>
      <c r="I3005" s="63" t="s">
        <v>1587</v>
      </c>
      <c r="J3005" s="47">
        <f t="shared" si="618"/>
        <v>3740</v>
      </c>
      <c r="K3005" s="46" t="s">
        <v>10735</v>
      </c>
      <c r="L3005" s="47" t="s">
        <v>4530</v>
      </c>
      <c r="M3005" s="47"/>
      <c r="N3005" s="47" t="s">
        <v>4545</v>
      </c>
      <c r="O3005" s="47" t="s">
        <v>4532</v>
      </c>
      <c r="P3005" s="47"/>
      <c r="Q3005" s="47"/>
      <c r="R3005" s="47"/>
      <c r="S3005" s="47" t="s">
        <v>463</v>
      </c>
      <c r="T3005" s="47"/>
      <c r="U3005" s="47"/>
      <c r="V3005" s="47"/>
      <c r="W3005" s="47"/>
      <c r="X3005" s="47"/>
      <c r="Y3005" s="47"/>
      <c r="Z3005" s="47">
        <f t="shared" si="620"/>
        <v>4620</v>
      </c>
      <c r="AA3005" s="47">
        <f t="shared" si="624"/>
        <v>1400</v>
      </c>
      <c r="AB3005" s="47">
        <f t="shared" si="624"/>
        <v>2800</v>
      </c>
      <c r="AC3005" s="47"/>
      <c r="AD3005" s="47"/>
      <c r="AE3005" s="47"/>
      <c r="AF3005" s="47"/>
      <c r="AG3005" s="47"/>
      <c r="AH3005" s="47" t="str">
        <f>IFERROR(_xlfn.XLOOKUP(Table6[[#This Row],[Suburb]],Table5[Travel Surcharge],Table5[$$]),"")</f>
        <v/>
      </c>
      <c r="AI3005" s="47"/>
      <c r="AJ3005" s="47"/>
    </row>
    <row r="3006" spans="1:36">
      <c r="A3006" s="374" t="s">
        <v>4534</v>
      </c>
      <c r="B3006" s="374" t="s">
        <v>624</v>
      </c>
      <c r="C3006" s="374" t="s">
        <v>675</v>
      </c>
      <c r="D3006" s="375" t="str">
        <f t="shared" si="617"/>
        <v>Mount Pleasant Estate6B</v>
      </c>
      <c r="E3006" s="375" t="s">
        <v>4547</v>
      </c>
      <c r="F3006" s="375" t="s">
        <v>3746</v>
      </c>
      <c r="G3006" s="375" t="s">
        <v>1585</v>
      </c>
      <c r="H3006" s="375" t="s">
        <v>1586</v>
      </c>
      <c r="I3006" s="63" t="s">
        <v>1587</v>
      </c>
      <c r="J3006" s="47">
        <f t="shared" si="618"/>
        <v>3740</v>
      </c>
      <c r="K3006" s="46" t="s">
        <v>10735</v>
      </c>
      <c r="L3006" s="47" t="s">
        <v>4530</v>
      </c>
      <c r="M3006" s="47"/>
      <c r="N3006" s="47" t="s">
        <v>4545</v>
      </c>
      <c r="O3006" s="47" t="s">
        <v>4532</v>
      </c>
      <c r="P3006" s="47"/>
      <c r="Q3006" s="47"/>
      <c r="R3006" s="47"/>
      <c r="S3006" s="47" t="s">
        <v>463</v>
      </c>
      <c r="T3006" s="47"/>
      <c r="U3006" s="47"/>
      <c r="V3006" s="47"/>
      <c r="W3006" s="47"/>
      <c r="X3006" s="47"/>
      <c r="Y3006" s="47"/>
      <c r="Z3006" s="47">
        <f t="shared" si="620"/>
        <v>4620</v>
      </c>
      <c r="AA3006" s="47">
        <f t="shared" si="624"/>
        <v>1400</v>
      </c>
      <c r="AB3006" s="47">
        <f t="shared" si="624"/>
        <v>2800</v>
      </c>
      <c r="AC3006" s="47"/>
      <c r="AD3006" s="47"/>
      <c r="AE3006" s="47"/>
      <c r="AF3006" s="47"/>
      <c r="AG3006" s="47"/>
      <c r="AH3006" s="47" t="str">
        <f>IFERROR(_xlfn.XLOOKUP(Table6[[#This Row],[Suburb]],Table5[Travel Surcharge],Table5[$$]),"")</f>
        <v/>
      </c>
      <c r="AI3006" s="47"/>
      <c r="AJ3006" s="47"/>
    </row>
    <row r="3007" spans="1:36">
      <c r="A3007" s="374" t="s">
        <v>4528</v>
      </c>
      <c r="B3007" s="374">
        <v>1</v>
      </c>
      <c r="C3007" s="374" t="s">
        <v>675</v>
      </c>
      <c r="D3007" s="375" t="str">
        <f t="shared" si="617"/>
        <v>Mount Pleasant Estate - Minton Release1</v>
      </c>
      <c r="E3007" s="375" t="s">
        <v>4529</v>
      </c>
      <c r="F3007" s="375" t="s">
        <v>3746</v>
      </c>
      <c r="G3007" s="375" t="s">
        <v>1585</v>
      </c>
      <c r="H3007" s="375" t="s">
        <v>1586</v>
      </c>
      <c r="I3007" s="63" t="s">
        <v>1587</v>
      </c>
      <c r="J3007" s="47">
        <f t="shared" si="618"/>
        <v>3740</v>
      </c>
      <c r="K3007" s="46" t="s">
        <v>10735</v>
      </c>
      <c r="L3007" s="47" t="s">
        <v>4530</v>
      </c>
      <c r="M3007" s="47">
        <f>M$7</f>
        <v>1430.0000000000002</v>
      </c>
      <c r="N3007" s="47" t="s">
        <v>4531</v>
      </c>
      <c r="O3007" s="47" t="s">
        <v>4532</v>
      </c>
      <c r="P3007" s="47"/>
      <c r="Q3007" s="47">
        <f>Q$2</f>
        <v>0</v>
      </c>
      <c r="R3007" s="47"/>
      <c r="S3007" s="47"/>
      <c r="T3007" s="47" t="s">
        <v>1765</v>
      </c>
      <c r="U3007" s="47"/>
      <c r="V3007" s="47"/>
      <c r="W3007" s="47"/>
      <c r="X3007" s="47"/>
      <c r="Y3007" s="47"/>
      <c r="Z3007" s="47">
        <f t="shared" si="620"/>
        <v>4620</v>
      </c>
      <c r="AA3007" s="47"/>
      <c r="AB3007" s="47"/>
      <c r="AC3007" s="47"/>
      <c r="AD3007" s="47"/>
      <c r="AE3007" s="47"/>
      <c r="AF3007" s="47"/>
      <c r="AG3007" s="47"/>
      <c r="AH3007" s="47" t="str">
        <f>IFERROR(_xlfn.XLOOKUP(Table6[[#This Row],[Suburb]],Table5[Travel Surcharge],Table5[$$]),"")</f>
        <v/>
      </c>
      <c r="AI3007" s="47"/>
      <c r="AJ3007" s="47"/>
    </row>
    <row r="3008" spans="1:36">
      <c r="A3008" s="374" t="s">
        <v>4528</v>
      </c>
      <c r="B3008" s="374">
        <v>3</v>
      </c>
      <c r="C3008" s="374" t="s">
        <v>675</v>
      </c>
      <c r="D3008" s="375" t="str">
        <f t="shared" si="617"/>
        <v>Mount Pleasant Estate - Minton Release3</v>
      </c>
      <c r="E3008" s="375" t="s">
        <v>4533</v>
      </c>
      <c r="F3008" s="375" t="s">
        <v>3746</v>
      </c>
      <c r="G3008" s="375" t="s">
        <v>1585</v>
      </c>
      <c r="H3008" s="375" t="s">
        <v>1586</v>
      </c>
      <c r="I3008" s="63" t="s">
        <v>1587</v>
      </c>
      <c r="J3008" s="47">
        <f t="shared" si="618"/>
        <v>3740</v>
      </c>
      <c r="K3008" s="46" t="s">
        <v>10735</v>
      </c>
      <c r="L3008" s="47" t="s">
        <v>4530</v>
      </c>
      <c r="M3008" s="47">
        <f>M$7</f>
        <v>1430.0000000000002</v>
      </c>
      <c r="N3008" s="47" t="s">
        <v>4531</v>
      </c>
      <c r="O3008" s="47" t="s">
        <v>4532</v>
      </c>
      <c r="P3008" s="47"/>
      <c r="Q3008" s="47">
        <f>Q$2</f>
        <v>0</v>
      </c>
      <c r="R3008" s="47"/>
      <c r="S3008" s="47"/>
      <c r="T3008" s="47" t="s">
        <v>1765</v>
      </c>
      <c r="U3008" s="47"/>
      <c r="V3008" s="47"/>
      <c r="W3008" s="47"/>
      <c r="X3008" s="47"/>
      <c r="Y3008" s="47"/>
      <c r="Z3008" s="47">
        <f t="shared" si="620"/>
        <v>4620</v>
      </c>
      <c r="AA3008" s="47"/>
      <c r="AB3008" s="47"/>
      <c r="AC3008" s="47"/>
      <c r="AD3008" s="47"/>
      <c r="AE3008" s="47"/>
      <c r="AF3008" s="47"/>
      <c r="AG3008" s="47"/>
      <c r="AH3008" s="47" t="str">
        <f>IFERROR(_xlfn.XLOOKUP(Table6[[#This Row],[Suburb]],Table5[Travel Surcharge],Table5[$$]),"")</f>
        <v/>
      </c>
      <c r="AI3008" s="47"/>
      <c r="AJ3008" s="47"/>
    </row>
    <row r="3009" spans="1:36">
      <c r="A3009" s="157" t="s">
        <v>4528</v>
      </c>
      <c r="B3009" s="157">
        <v>4</v>
      </c>
      <c r="C3009" s="157" t="s">
        <v>675</v>
      </c>
      <c r="D3009" s="157" t="str">
        <f t="shared" ref="D3009:D3022" si="625">CONCATENATE(A3009,B3009)</f>
        <v>Mount Pleasant Estate - Minton Release4</v>
      </c>
      <c r="E3009" s="157" t="s">
        <v>8461</v>
      </c>
      <c r="F3009" s="157" t="s">
        <v>3746</v>
      </c>
      <c r="G3009" s="157" t="s">
        <v>1585</v>
      </c>
      <c r="H3009" s="157" t="s">
        <v>1586</v>
      </c>
      <c r="I3009" s="158" t="s">
        <v>1587</v>
      </c>
      <c r="J3009" s="47">
        <f t="shared" si="618"/>
        <v>3740</v>
      </c>
      <c r="K3009" s="46" t="s">
        <v>10735</v>
      </c>
      <c r="L3009" s="47" t="s">
        <v>4530</v>
      </c>
      <c r="M3009" s="47">
        <f>M$7</f>
        <v>1430.0000000000002</v>
      </c>
      <c r="N3009" s="47" t="s">
        <v>4531</v>
      </c>
      <c r="O3009" s="47" t="s">
        <v>4532</v>
      </c>
      <c r="P3009" s="47"/>
      <c r="Q3009" s="47">
        <f>Q$2</f>
        <v>0</v>
      </c>
      <c r="R3009" s="47"/>
      <c r="S3009" s="47"/>
      <c r="T3009" s="47" t="s">
        <v>1765</v>
      </c>
      <c r="U3009" s="47"/>
      <c r="V3009" s="47"/>
      <c r="W3009" s="47"/>
      <c r="X3009" s="47"/>
      <c r="Y3009" s="47"/>
      <c r="Z3009" s="47">
        <f t="shared" si="620"/>
        <v>4620</v>
      </c>
      <c r="AA3009" s="47"/>
      <c r="AB3009" s="47"/>
      <c r="AC3009" s="47"/>
      <c r="AD3009" s="47"/>
      <c r="AE3009" s="47"/>
      <c r="AF3009" s="47"/>
      <c r="AG3009" s="47"/>
      <c r="AH3009" s="47" t="str">
        <f>IFERROR(_xlfn.XLOOKUP(Table6[[#This Row],[Suburb]],Table5[Travel Surcharge],Table5[$$]),"")</f>
        <v/>
      </c>
      <c r="AI3009" s="47"/>
      <c r="AJ3009" s="47"/>
    </row>
    <row r="3010" spans="1:36">
      <c r="A3010" s="374" t="s">
        <v>4467</v>
      </c>
      <c r="B3010" s="374">
        <v>1</v>
      </c>
      <c r="C3010" s="374" t="s">
        <v>289</v>
      </c>
      <c r="D3010" s="375" t="str">
        <f t="shared" si="625"/>
        <v>Mountain Views1</v>
      </c>
      <c r="E3010" s="375" t="s">
        <v>4468</v>
      </c>
      <c r="F3010" s="375"/>
      <c r="G3010" s="375"/>
      <c r="H3010" s="375"/>
      <c r="I3010" s="63"/>
      <c r="J3010" s="47"/>
      <c r="K3010" s="46" t="s">
        <v>10735</v>
      </c>
      <c r="L3010" s="47"/>
      <c r="M3010" s="47"/>
      <c r="N3010" s="47"/>
      <c r="O3010" s="47"/>
      <c r="P3010" s="47"/>
      <c r="Q3010" s="47">
        <f>Q$2</f>
        <v>0</v>
      </c>
      <c r="R3010" s="47"/>
      <c r="S3010" s="47"/>
      <c r="T3010" s="47"/>
      <c r="U3010" s="47"/>
      <c r="V3010" s="47"/>
      <c r="W3010" s="47"/>
      <c r="X3010" s="47"/>
      <c r="Y3010" s="47"/>
      <c r="Z3010" s="47">
        <f t="shared" si="620"/>
        <v>4620</v>
      </c>
      <c r="AA3010" s="47"/>
      <c r="AB3010" s="47"/>
      <c r="AC3010" s="47"/>
      <c r="AD3010" s="47"/>
      <c r="AE3010" s="47"/>
      <c r="AF3010" s="47"/>
      <c r="AG3010" s="47"/>
      <c r="AH3010" s="47">
        <f>IFERROR(_xlfn.XLOOKUP(Table6[[#This Row],[Suburb]],Table5[Travel Surcharge],Table5[$$]),"")</f>
        <v>7000</v>
      </c>
      <c r="AI3010" s="47"/>
      <c r="AJ3010" s="47"/>
    </row>
    <row r="3011" spans="1:36">
      <c r="A3011" s="374" t="s">
        <v>4548</v>
      </c>
      <c r="B3011" s="374">
        <v>1</v>
      </c>
      <c r="C3011" s="374" t="s">
        <v>455</v>
      </c>
      <c r="D3011" s="375" t="str">
        <f t="shared" si="625"/>
        <v>Mystique Estate1</v>
      </c>
      <c r="E3011" s="375" t="s">
        <v>4549</v>
      </c>
      <c r="F3011" s="375" t="s">
        <v>4550</v>
      </c>
      <c r="G3011" s="375" t="s">
        <v>4551</v>
      </c>
      <c r="H3011" s="375" t="s">
        <v>2774</v>
      </c>
      <c r="I3011" s="63" t="s">
        <v>4552</v>
      </c>
      <c r="J3011" s="47">
        <f t="shared" ref="J3011:J3018" si="626">J$7</f>
        <v>3740</v>
      </c>
      <c r="K3011" s="46" t="s">
        <v>10735</v>
      </c>
      <c r="L3011" s="47"/>
      <c r="M3011" s="47"/>
      <c r="N3011" s="47"/>
      <c r="O3011" s="47"/>
      <c r="P3011" s="47"/>
      <c r="Q3011" s="47"/>
      <c r="R3011" s="47"/>
      <c r="S3011" s="47"/>
      <c r="T3011" s="47">
        <f t="shared" ref="T3011:T3018" si="627">T$2</f>
        <v>780</v>
      </c>
      <c r="U3011" s="47"/>
      <c r="V3011" s="47"/>
      <c r="W3011" s="47"/>
      <c r="X3011" s="47"/>
      <c r="Y3011" s="47"/>
      <c r="Z3011" s="47">
        <f t="shared" si="620"/>
        <v>4620</v>
      </c>
      <c r="AA3011" s="47">
        <f t="shared" ref="AA3011:AB3018" si="628">AA$7</f>
        <v>1400</v>
      </c>
      <c r="AB3011" s="47">
        <f t="shared" si="628"/>
        <v>2800</v>
      </c>
      <c r="AC3011" s="47"/>
      <c r="AD3011" s="47"/>
      <c r="AE3011" s="47"/>
      <c r="AF3011" s="47"/>
      <c r="AG3011" s="47" t="s">
        <v>464</v>
      </c>
      <c r="AH3011" s="47" t="str">
        <f>IFERROR(_xlfn.XLOOKUP(Table6[[#This Row],[Suburb]],Table5[Travel Surcharge],Table5[$$]),"")</f>
        <v/>
      </c>
      <c r="AI3011" s="47"/>
      <c r="AJ3011" s="47"/>
    </row>
    <row r="3012" spans="1:36">
      <c r="A3012" s="374" t="s">
        <v>4548</v>
      </c>
      <c r="B3012" s="374">
        <v>2</v>
      </c>
      <c r="C3012" s="374" t="s">
        <v>455</v>
      </c>
      <c r="D3012" s="375" t="str">
        <f t="shared" si="625"/>
        <v>Mystique Estate2</v>
      </c>
      <c r="E3012" s="375" t="s">
        <v>4553</v>
      </c>
      <c r="F3012" s="375" t="s">
        <v>4550</v>
      </c>
      <c r="G3012" s="375" t="s">
        <v>4551</v>
      </c>
      <c r="H3012" s="375" t="s">
        <v>2774</v>
      </c>
      <c r="I3012" s="63" t="s">
        <v>4552</v>
      </c>
      <c r="J3012" s="47">
        <f t="shared" si="626"/>
        <v>3740</v>
      </c>
      <c r="K3012" s="46" t="s">
        <v>10735</v>
      </c>
      <c r="L3012" s="47"/>
      <c r="M3012" s="47"/>
      <c r="N3012" s="47"/>
      <c r="O3012" s="47"/>
      <c r="P3012" s="47"/>
      <c r="Q3012" s="47"/>
      <c r="R3012" s="47"/>
      <c r="S3012" s="47"/>
      <c r="T3012" s="47">
        <f t="shared" si="627"/>
        <v>780</v>
      </c>
      <c r="U3012" s="47"/>
      <c r="V3012" s="47"/>
      <c r="W3012" s="47"/>
      <c r="X3012" s="47"/>
      <c r="Y3012" s="47"/>
      <c r="Z3012" s="47">
        <f t="shared" si="620"/>
        <v>4620</v>
      </c>
      <c r="AA3012" s="47">
        <f t="shared" si="628"/>
        <v>1400</v>
      </c>
      <c r="AB3012" s="47">
        <f t="shared" si="628"/>
        <v>2800</v>
      </c>
      <c r="AC3012" s="47"/>
      <c r="AD3012" s="47"/>
      <c r="AE3012" s="47"/>
      <c r="AF3012" s="47"/>
      <c r="AG3012" s="47" t="s">
        <v>464</v>
      </c>
      <c r="AH3012" s="47" t="str">
        <f>IFERROR(_xlfn.XLOOKUP(Table6[[#This Row],[Suburb]],Table5[Travel Surcharge],Table5[$$]),"")</f>
        <v/>
      </c>
      <c r="AI3012" s="47"/>
      <c r="AJ3012" s="47"/>
    </row>
    <row r="3013" spans="1:36">
      <c r="A3013" s="374" t="s">
        <v>4548</v>
      </c>
      <c r="B3013" s="374">
        <v>3</v>
      </c>
      <c r="C3013" s="374" t="s">
        <v>455</v>
      </c>
      <c r="D3013" s="375" t="str">
        <f t="shared" si="625"/>
        <v>Mystique Estate3</v>
      </c>
      <c r="E3013" s="375" t="s">
        <v>2591</v>
      </c>
      <c r="F3013" s="375" t="s">
        <v>4550</v>
      </c>
      <c r="G3013" s="375" t="s">
        <v>4551</v>
      </c>
      <c r="H3013" s="375" t="s">
        <v>2774</v>
      </c>
      <c r="I3013" s="63" t="s">
        <v>4552</v>
      </c>
      <c r="J3013" s="47">
        <f t="shared" si="626"/>
        <v>3740</v>
      </c>
      <c r="K3013" s="46" t="s">
        <v>10735</v>
      </c>
      <c r="L3013" s="47"/>
      <c r="M3013" s="47"/>
      <c r="N3013" s="47"/>
      <c r="O3013" s="47"/>
      <c r="P3013" s="47"/>
      <c r="Q3013" s="47"/>
      <c r="R3013" s="47"/>
      <c r="S3013" s="47"/>
      <c r="T3013" s="47">
        <f t="shared" si="627"/>
        <v>780</v>
      </c>
      <c r="U3013" s="47"/>
      <c r="V3013" s="47"/>
      <c r="W3013" s="47"/>
      <c r="X3013" s="47"/>
      <c r="Y3013" s="47"/>
      <c r="Z3013" s="47">
        <f t="shared" si="620"/>
        <v>4620</v>
      </c>
      <c r="AA3013" s="47">
        <f t="shared" si="628"/>
        <v>1400</v>
      </c>
      <c r="AB3013" s="47">
        <f t="shared" si="628"/>
        <v>2800</v>
      </c>
      <c r="AC3013" s="47"/>
      <c r="AD3013" s="47"/>
      <c r="AE3013" s="47"/>
      <c r="AF3013" s="47"/>
      <c r="AG3013" s="47" t="s">
        <v>464</v>
      </c>
      <c r="AH3013" s="47" t="str">
        <f>IFERROR(_xlfn.XLOOKUP(Table6[[#This Row],[Suburb]],Table5[Travel Surcharge],Table5[$$]),"")</f>
        <v/>
      </c>
      <c r="AI3013" s="47"/>
      <c r="AJ3013" s="47"/>
    </row>
    <row r="3014" spans="1:36">
      <c r="A3014" s="374" t="s">
        <v>4548</v>
      </c>
      <c r="B3014" s="374">
        <v>4</v>
      </c>
      <c r="C3014" s="374" t="s">
        <v>455</v>
      </c>
      <c r="D3014" s="375" t="str">
        <f t="shared" si="625"/>
        <v>Mystique Estate4</v>
      </c>
      <c r="E3014" s="375" t="s">
        <v>4554</v>
      </c>
      <c r="F3014" s="375" t="s">
        <v>4550</v>
      </c>
      <c r="G3014" s="375" t="s">
        <v>4551</v>
      </c>
      <c r="H3014" s="375" t="s">
        <v>2774</v>
      </c>
      <c r="I3014" s="63" t="s">
        <v>4552</v>
      </c>
      <c r="J3014" s="47">
        <f t="shared" si="626"/>
        <v>3740</v>
      </c>
      <c r="K3014" s="46" t="s">
        <v>10735</v>
      </c>
      <c r="L3014" s="47"/>
      <c r="M3014" s="47"/>
      <c r="N3014" s="47"/>
      <c r="O3014" s="47"/>
      <c r="P3014" s="47"/>
      <c r="Q3014" s="47"/>
      <c r="R3014" s="47"/>
      <c r="S3014" s="47"/>
      <c r="T3014" s="47">
        <f t="shared" si="627"/>
        <v>780</v>
      </c>
      <c r="U3014" s="47"/>
      <c r="V3014" s="47"/>
      <c r="W3014" s="47"/>
      <c r="X3014" s="47"/>
      <c r="Y3014" s="47"/>
      <c r="Z3014" s="47">
        <f t="shared" si="620"/>
        <v>4620</v>
      </c>
      <c r="AA3014" s="47">
        <f t="shared" si="628"/>
        <v>1400</v>
      </c>
      <c r="AB3014" s="47">
        <f t="shared" si="628"/>
        <v>2800</v>
      </c>
      <c r="AC3014" s="47"/>
      <c r="AD3014" s="47"/>
      <c r="AE3014" s="47"/>
      <c r="AF3014" s="47"/>
      <c r="AG3014" s="47" t="s">
        <v>464</v>
      </c>
      <c r="AH3014" s="47" t="str">
        <f>IFERROR(_xlfn.XLOOKUP(Table6[[#This Row],[Suburb]],Table5[Travel Surcharge],Table5[$$]),"")</f>
        <v/>
      </c>
      <c r="AI3014" s="47"/>
      <c r="AJ3014" s="47"/>
    </row>
    <row r="3015" spans="1:36">
      <c r="A3015" s="374" t="s">
        <v>4548</v>
      </c>
      <c r="B3015" s="374">
        <v>5</v>
      </c>
      <c r="C3015" s="374" t="s">
        <v>455</v>
      </c>
      <c r="D3015" s="375" t="str">
        <f t="shared" si="625"/>
        <v>Mystique Estate5</v>
      </c>
      <c r="E3015" s="375" t="s">
        <v>4555</v>
      </c>
      <c r="F3015" s="375" t="s">
        <v>4550</v>
      </c>
      <c r="G3015" s="375" t="s">
        <v>4551</v>
      </c>
      <c r="H3015" s="375" t="s">
        <v>2774</v>
      </c>
      <c r="I3015" s="63" t="s">
        <v>4552</v>
      </c>
      <c r="J3015" s="47">
        <f t="shared" si="626"/>
        <v>3740</v>
      </c>
      <c r="K3015" s="46" t="s">
        <v>10735</v>
      </c>
      <c r="L3015" s="47"/>
      <c r="M3015" s="47"/>
      <c r="N3015" s="47"/>
      <c r="O3015" s="47"/>
      <c r="P3015" s="47"/>
      <c r="Q3015" s="47"/>
      <c r="R3015" s="47"/>
      <c r="S3015" s="47"/>
      <c r="T3015" s="47">
        <f t="shared" si="627"/>
        <v>780</v>
      </c>
      <c r="U3015" s="47"/>
      <c r="V3015" s="47"/>
      <c r="W3015" s="47"/>
      <c r="X3015" s="47"/>
      <c r="Y3015" s="47"/>
      <c r="Z3015" s="47">
        <f t="shared" si="620"/>
        <v>4620</v>
      </c>
      <c r="AA3015" s="47">
        <f t="shared" si="628"/>
        <v>1400</v>
      </c>
      <c r="AB3015" s="47">
        <f t="shared" si="628"/>
        <v>2800</v>
      </c>
      <c r="AC3015" s="47"/>
      <c r="AD3015" s="47"/>
      <c r="AE3015" s="47"/>
      <c r="AF3015" s="47"/>
      <c r="AG3015" s="47" t="s">
        <v>464</v>
      </c>
      <c r="AH3015" s="47" t="str">
        <f>IFERROR(_xlfn.XLOOKUP(Table6[[#This Row],[Suburb]],Table5[Travel Surcharge],Table5[$$]),"")</f>
        <v/>
      </c>
      <c r="AI3015" s="47"/>
      <c r="AJ3015" s="47"/>
    </row>
    <row r="3016" spans="1:36">
      <c r="A3016" s="374" t="s">
        <v>4548</v>
      </c>
      <c r="B3016" s="374">
        <v>6</v>
      </c>
      <c r="C3016" s="374" t="s">
        <v>455</v>
      </c>
      <c r="D3016" s="375" t="str">
        <f t="shared" si="625"/>
        <v>Mystique Estate6</v>
      </c>
      <c r="E3016" s="375" t="s">
        <v>4556</v>
      </c>
      <c r="F3016" s="375" t="s">
        <v>4550</v>
      </c>
      <c r="G3016" s="375" t="s">
        <v>4551</v>
      </c>
      <c r="H3016" s="375" t="s">
        <v>2774</v>
      </c>
      <c r="I3016" s="63" t="s">
        <v>4552</v>
      </c>
      <c r="J3016" s="47">
        <f t="shared" si="626"/>
        <v>3740</v>
      </c>
      <c r="K3016" s="46" t="s">
        <v>10735</v>
      </c>
      <c r="L3016" s="47"/>
      <c r="M3016" s="47"/>
      <c r="N3016" s="47"/>
      <c r="O3016" s="47"/>
      <c r="P3016" s="47"/>
      <c r="Q3016" s="47"/>
      <c r="R3016" s="47"/>
      <c r="S3016" s="47"/>
      <c r="T3016" s="47">
        <f t="shared" si="627"/>
        <v>780</v>
      </c>
      <c r="U3016" s="47"/>
      <c r="V3016" s="47"/>
      <c r="W3016" s="47"/>
      <c r="X3016" s="47"/>
      <c r="Y3016" s="47"/>
      <c r="Z3016" s="47">
        <f t="shared" si="620"/>
        <v>4620</v>
      </c>
      <c r="AA3016" s="47">
        <f t="shared" si="628"/>
        <v>1400</v>
      </c>
      <c r="AB3016" s="47">
        <f t="shared" si="628"/>
        <v>2800</v>
      </c>
      <c r="AC3016" s="47"/>
      <c r="AD3016" s="47"/>
      <c r="AE3016" s="47"/>
      <c r="AF3016" s="47"/>
      <c r="AG3016" s="47" t="s">
        <v>464</v>
      </c>
      <c r="AH3016" s="47" t="str">
        <f>IFERROR(_xlfn.XLOOKUP(Table6[[#This Row],[Suburb]],Table5[Travel Surcharge],Table5[$$]),"")</f>
        <v/>
      </c>
      <c r="AI3016" s="47"/>
      <c r="AJ3016" s="47"/>
    </row>
    <row r="3017" spans="1:36">
      <c r="A3017" s="374" t="s">
        <v>4548</v>
      </c>
      <c r="B3017" s="374">
        <v>7</v>
      </c>
      <c r="C3017" s="374" t="s">
        <v>455</v>
      </c>
      <c r="D3017" s="375" t="str">
        <f t="shared" si="625"/>
        <v>Mystique Estate7</v>
      </c>
      <c r="E3017" s="375" t="s">
        <v>2490</v>
      </c>
      <c r="F3017" s="375" t="s">
        <v>4550</v>
      </c>
      <c r="G3017" s="375" t="s">
        <v>4551</v>
      </c>
      <c r="H3017" s="375" t="s">
        <v>2774</v>
      </c>
      <c r="I3017" s="63" t="s">
        <v>4552</v>
      </c>
      <c r="J3017" s="47">
        <f t="shared" si="626"/>
        <v>3740</v>
      </c>
      <c r="K3017" s="46" t="s">
        <v>10735</v>
      </c>
      <c r="L3017" s="47"/>
      <c r="M3017" s="47"/>
      <c r="N3017" s="47"/>
      <c r="O3017" s="47"/>
      <c r="P3017" s="47"/>
      <c r="Q3017" s="47"/>
      <c r="R3017" s="47"/>
      <c r="S3017" s="47"/>
      <c r="T3017" s="47">
        <f t="shared" si="627"/>
        <v>780</v>
      </c>
      <c r="U3017" s="47"/>
      <c r="V3017" s="47"/>
      <c r="W3017" s="47"/>
      <c r="X3017" s="47"/>
      <c r="Y3017" s="47"/>
      <c r="Z3017" s="47">
        <f t="shared" si="620"/>
        <v>4620</v>
      </c>
      <c r="AA3017" s="47">
        <f t="shared" si="628"/>
        <v>1400</v>
      </c>
      <c r="AB3017" s="47">
        <f t="shared" si="628"/>
        <v>2800</v>
      </c>
      <c r="AC3017" s="47"/>
      <c r="AD3017" s="47"/>
      <c r="AE3017" s="47"/>
      <c r="AF3017" s="47"/>
      <c r="AG3017" s="47" t="s">
        <v>464</v>
      </c>
      <c r="AH3017" s="47" t="str">
        <f>IFERROR(_xlfn.XLOOKUP(Table6[[#This Row],[Suburb]],Table5[Travel Surcharge],Table5[$$]),"")</f>
        <v/>
      </c>
      <c r="AI3017" s="47"/>
      <c r="AJ3017" s="47"/>
    </row>
    <row r="3018" spans="1:36">
      <c r="A3018" s="374" t="s">
        <v>4548</v>
      </c>
      <c r="B3018" s="374">
        <v>8</v>
      </c>
      <c r="C3018" s="374" t="s">
        <v>455</v>
      </c>
      <c r="D3018" s="375" t="str">
        <f t="shared" si="625"/>
        <v>Mystique Estate8</v>
      </c>
      <c r="E3018" s="375" t="s">
        <v>2494</v>
      </c>
      <c r="F3018" s="375" t="s">
        <v>4550</v>
      </c>
      <c r="G3018" s="375" t="s">
        <v>4551</v>
      </c>
      <c r="H3018" s="375" t="s">
        <v>2774</v>
      </c>
      <c r="I3018" s="63" t="s">
        <v>4552</v>
      </c>
      <c r="J3018" s="47">
        <f t="shared" si="626"/>
        <v>3740</v>
      </c>
      <c r="K3018" s="46" t="s">
        <v>10735</v>
      </c>
      <c r="L3018" s="47"/>
      <c r="M3018" s="47"/>
      <c r="N3018" s="47"/>
      <c r="O3018" s="47"/>
      <c r="P3018" s="47"/>
      <c r="Q3018" s="47"/>
      <c r="R3018" s="47"/>
      <c r="S3018" s="47"/>
      <c r="T3018" s="47">
        <f t="shared" si="627"/>
        <v>780</v>
      </c>
      <c r="U3018" s="47"/>
      <c r="V3018" s="47"/>
      <c r="W3018" s="47"/>
      <c r="X3018" s="47"/>
      <c r="Y3018" s="47"/>
      <c r="Z3018" s="47">
        <f t="shared" si="620"/>
        <v>4620</v>
      </c>
      <c r="AA3018" s="47">
        <f t="shared" si="628"/>
        <v>1400</v>
      </c>
      <c r="AB3018" s="47">
        <f t="shared" si="628"/>
        <v>2800</v>
      </c>
      <c r="AC3018" s="47"/>
      <c r="AD3018" s="47"/>
      <c r="AE3018" s="47"/>
      <c r="AF3018" s="47"/>
      <c r="AG3018" s="47" t="s">
        <v>464</v>
      </c>
      <c r="AH3018" s="47" t="str">
        <f>IFERROR(_xlfn.XLOOKUP(Table6[[#This Row],[Suburb]],Table5[Travel Surcharge],Table5[$$]),"")</f>
        <v/>
      </c>
      <c r="AI3018" s="47"/>
      <c r="AJ3018" s="47"/>
    </row>
    <row r="3019" spans="1:36">
      <c r="A3019" s="374" t="s">
        <v>4557</v>
      </c>
      <c r="B3019" s="374">
        <v>1</v>
      </c>
      <c r="C3019" s="374" t="s">
        <v>298</v>
      </c>
      <c r="D3019" s="375" t="str">
        <f t="shared" si="625"/>
        <v>Narracan Lakes Estate1</v>
      </c>
      <c r="E3019" s="375" t="s">
        <v>4558</v>
      </c>
      <c r="F3019" s="375"/>
      <c r="G3019" s="375" t="s">
        <v>4559</v>
      </c>
      <c r="H3019" s="375" t="s">
        <v>4560</v>
      </c>
      <c r="I3019" s="63"/>
      <c r="J3019" s="47">
        <v>3740</v>
      </c>
      <c r="K3019" s="46" t="s">
        <v>10735</v>
      </c>
      <c r="L3019" s="47"/>
      <c r="M3019" s="47"/>
      <c r="N3019" s="47" t="s">
        <v>4561</v>
      </c>
      <c r="O3019" s="47"/>
      <c r="P3019" s="47"/>
      <c r="Q3019" s="47">
        <f>Q$2</f>
        <v>0</v>
      </c>
      <c r="R3019" s="47"/>
      <c r="S3019" s="47"/>
      <c r="T3019" s="47"/>
      <c r="U3019" s="47"/>
      <c r="V3019" s="47"/>
      <c r="W3019" s="47"/>
      <c r="X3019" s="47"/>
      <c r="Y3019" s="47"/>
      <c r="Z3019" s="47"/>
      <c r="AA3019" s="47"/>
      <c r="AB3019" s="47"/>
      <c r="AC3019" s="47"/>
      <c r="AD3019" s="47"/>
      <c r="AE3019" s="47"/>
      <c r="AF3019" s="47"/>
      <c r="AG3019" s="47"/>
      <c r="AH3019" s="47">
        <f>IFERROR(_xlfn.XLOOKUP(Table6[[#This Row],[Suburb]],Table5[Travel Surcharge],Table5[$$]),"")</f>
        <v>7000</v>
      </c>
      <c r="AI3019" s="47"/>
      <c r="AJ3019" s="47"/>
    </row>
    <row r="3020" spans="1:36">
      <c r="A3020" s="374" t="s">
        <v>4557</v>
      </c>
      <c r="B3020" s="374">
        <v>2</v>
      </c>
      <c r="C3020" s="374" t="s">
        <v>298</v>
      </c>
      <c r="D3020" s="375" t="str">
        <f t="shared" si="625"/>
        <v>Narracan Lakes Estate2</v>
      </c>
      <c r="E3020" s="375" t="s">
        <v>4562</v>
      </c>
      <c r="F3020" s="375"/>
      <c r="G3020" s="375" t="s">
        <v>4559</v>
      </c>
      <c r="H3020" s="375" t="s">
        <v>4560</v>
      </c>
      <c r="I3020" s="63"/>
      <c r="J3020" s="47">
        <v>3740</v>
      </c>
      <c r="K3020" s="46" t="s">
        <v>10735</v>
      </c>
      <c r="L3020" s="47"/>
      <c r="M3020" s="47"/>
      <c r="N3020" s="47" t="s">
        <v>4561</v>
      </c>
      <c r="O3020" s="47"/>
      <c r="P3020" s="47"/>
      <c r="Q3020" s="47">
        <f>Q$2</f>
        <v>0</v>
      </c>
      <c r="R3020" s="47"/>
      <c r="S3020" s="47"/>
      <c r="T3020" s="47"/>
      <c r="U3020" s="47"/>
      <c r="V3020" s="47"/>
      <c r="W3020" s="47"/>
      <c r="X3020" s="47"/>
      <c r="Y3020" s="47"/>
      <c r="Z3020" s="47"/>
      <c r="AA3020" s="47"/>
      <c r="AB3020" s="47"/>
      <c r="AC3020" s="47"/>
      <c r="AD3020" s="47"/>
      <c r="AE3020" s="47"/>
      <c r="AF3020" s="47"/>
      <c r="AG3020" s="47"/>
      <c r="AH3020" s="47">
        <f>IFERROR(_xlfn.XLOOKUP(Table6[[#This Row],[Suburb]],Table5[Travel Surcharge],Table5[$$]),"")</f>
        <v>7000</v>
      </c>
      <c r="AI3020" s="47"/>
      <c r="AJ3020" s="47"/>
    </row>
    <row r="3021" spans="1:36">
      <c r="A3021" s="374" t="s">
        <v>4557</v>
      </c>
      <c r="B3021" s="374">
        <v>3</v>
      </c>
      <c r="C3021" s="374" t="s">
        <v>298</v>
      </c>
      <c r="D3021" s="375" t="str">
        <f t="shared" si="625"/>
        <v>Narracan Lakes Estate3</v>
      </c>
      <c r="E3021" s="375" t="s">
        <v>4563</v>
      </c>
      <c r="F3021" s="375"/>
      <c r="G3021" s="375" t="s">
        <v>4559</v>
      </c>
      <c r="H3021" s="375" t="s">
        <v>4560</v>
      </c>
      <c r="I3021" s="63"/>
      <c r="J3021" s="47">
        <v>3740</v>
      </c>
      <c r="K3021" s="46" t="s">
        <v>10735</v>
      </c>
      <c r="L3021" s="47"/>
      <c r="M3021" s="47"/>
      <c r="N3021" s="47" t="s">
        <v>4561</v>
      </c>
      <c r="O3021" s="47"/>
      <c r="P3021" s="47"/>
      <c r="Q3021" s="47">
        <f>Q$2</f>
        <v>0</v>
      </c>
      <c r="R3021" s="47"/>
      <c r="S3021" s="47"/>
      <c r="T3021" s="47"/>
      <c r="U3021" s="47"/>
      <c r="V3021" s="47"/>
      <c r="W3021" s="47"/>
      <c r="X3021" s="47"/>
      <c r="Y3021" s="47"/>
      <c r="Z3021" s="47"/>
      <c r="AA3021" s="47"/>
      <c r="AB3021" s="47"/>
      <c r="AC3021" s="47"/>
      <c r="AD3021" s="47"/>
      <c r="AE3021" s="47"/>
      <c r="AF3021" s="47"/>
      <c r="AG3021" s="47"/>
      <c r="AH3021" s="47">
        <f>IFERROR(_xlfn.XLOOKUP(Table6[[#This Row],[Suburb]],Table5[Travel Surcharge],Table5[$$]),"")</f>
        <v>7000</v>
      </c>
      <c r="AI3021" s="47"/>
      <c r="AJ3021" s="47"/>
    </row>
    <row r="3022" spans="1:36">
      <c r="A3022" s="374" t="s">
        <v>4564</v>
      </c>
      <c r="B3022" s="374">
        <v>5</v>
      </c>
      <c r="C3022" s="374" t="s">
        <v>2371</v>
      </c>
      <c r="D3022" s="375" t="str">
        <f t="shared" si="625"/>
        <v>Nature's Run5</v>
      </c>
      <c r="E3022" s="375" t="s">
        <v>4565</v>
      </c>
      <c r="F3022" s="375" t="s">
        <v>4566</v>
      </c>
      <c r="G3022" s="375" t="s">
        <v>4567</v>
      </c>
      <c r="H3022" s="375" t="s">
        <v>4568</v>
      </c>
      <c r="I3022" s="63" t="s">
        <v>4569</v>
      </c>
      <c r="J3022" s="47"/>
      <c r="K3022" s="46" t="s">
        <v>10735</v>
      </c>
      <c r="L3022" s="47"/>
      <c r="M3022" s="47"/>
      <c r="N3022" s="47" t="s">
        <v>4570</v>
      </c>
      <c r="O3022" s="47"/>
      <c r="P3022" s="47"/>
      <c r="Q3022" s="47">
        <f>Q$2</f>
        <v>0</v>
      </c>
      <c r="R3022" s="47"/>
      <c r="S3022" s="47"/>
      <c r="T3022" s="47"/>
      <c r="U3022" s="47"/>
      <c r="V3022" s="47"/>
      <c r="W3022" s="47"/>
      <c r="X3022" s="47"/>
      <c r="Y3022" s="47"/>
      <c r="Z3022" s="47">
        <f>Z$7</f>
        <v>4620</v>
      </c>
      <c r="AA3022" s="47"/>
      <c r="AB3022" s="47"/>
      <c r="AC3022" s="47"/>
      <c r="AD3022" s="47"/>
      <c r="AE3022" s="47"/>
      <c r="AF3022" s="47"/>
      <c r="AG3022" s="47"/>
      <c r="AH3022" s="47">
        <f>IFERROR(_xlfn.XLOOKUP(Table6[[#This Row],[Suburb]],Table5[Travel Surcharge],Table5[$$]),"")</f>
        <v>4000</v>
      </c>
      <c r="AI3022" s="47"/>
      <c r="AJ3022" s="47"/>
    </row>
    <row r="3023" spans="1:36">
      <c r="A3023" s="374" t="s">
        <v>9603</v>
      </c>
      <c r="B3023" s="374">
        <v>2</v>
      </c>
      <c r="C3023" s="374" t="s">
        <v>385</v>
      </c>
      <c r="D3023" s="375" t="s">
        <v>9604</v>
      </c>
      <c r="E3023" s="375" t="s">
        <v>4916</v>
      </c>
      <c r="F3023" s="375" t="s">
        <v>5112</v>
      </c>
      <c r="G3023" s="375" t="s">
        <v>9583</v>
      </c>
      <c r="H3023" s="375">
        <v>405103638</v>
      </c>
      <c r="I3023" s="63" t="s">
        <v>9584</v>
      </c>
      <c r="J3023" s="47">
        <v>3740</v>
      </c>
      <c r="K3023" s="46" t="s">
        <v>10735</v>
      </c>
      <c r="L3023" s="47"/>
      <c r="M3023" s="47"/>
      <c r="N3023" s="47"/>
      <c r="O3023" s="47">
        <v>4950</v>
      </c>
      <c r="P3023" s="47"/>
      <c r="Q3023" s="47"/>
      <c r="R3023" s="47"/>
      <c r="S3023" s="47">
        <v>590</v>
      </c>
      <c r="T3023" s="47"/>
      <c r="U3023" s="47"/>
      <c r="V3023" s="47"/>
      <c r="W3023" s="47"/>
      <c r="X3023" s="47"/>
      <c r="Y3023" s="47"/>
      <c r="Z3023" s="47">
        <v>4620</v>
      </c>
      <c r="AA3023" s="47"/>
      <c r="AB3023" s="47"/>
      <c r="AC3023" s="47"/>
      <c r="AD3023" s="47"/>
      <c r="AE3023" s="47"/>
      <c r="AF3023" s="47"/>
      <c r="AG3023" s="47"/>
      <c r="AH3023" s="47" t="str">
        <f>IFERROR(_xlfn.XLOOKUP(Table6[[#This Row],[Suburb]],Table5[Travel Surcharge],Table5[$$]),"")</f>
        <v/>
      </c>
      <c r="AI3023" s="47"/>
      <c r="AJ3023" s="47"/>
    </row>
    <row r="3024" spans="1:36">
      <c r="A3024" s="374" t="s">
        <v>9603</v>
      </c>
      <c r="B3024" s="374">
        <v>1</v>
      </c>
      <c r="C3024" s="374" t="s">
        <v>385</v>
      </c>
      <c r="D3024" s="375" t="str">
        <f t="shared" ref="D3024:D3056" si="629">CONCATENATE(A3024,B3024)</f>
        <v>Nelson Village1</v>
      </c>
      <c r="E3024" s="375" t="s">
        <v>4910</v>
      </c>
      <c r="F3024" s="375" t="s">
        <v>5112</v>
      </c>
      <c r="G3024" s="375" t="s">
        <v>9583</v>
      </c>
      <c r="H3024" s="375">
        <v>405103638</v>
      </c>
      <c r="I3024" s="338" t="s">
        <v>9584</v>
      </c>
      <c r="J3024" s="47">
        <v>3740</v>
      </c>
      <c r="K3024" s="46" t="s">
        <v>10735</v>
      </c>
      <c r="L3024" s="47"/>
      <c r="M3024" s="47"/>
      <c r="N3024" s="47"/>
      <c r="O3024" s="47">
        <f>O$7</f>
        <v>4950</v>
      </c>
      <c r="P3024" s="47"/>
      <c r="Q3024" s="47"/>
      <c r="R3024" s="47"/>
      <c r="S3024" s="47">
        <f>S$2</f>
        <v>590</v>
      </c>
      <c r="T3024" s="47"/>
      <c r="U3024" s="47"/>
      <c r="V3024" s="47"/>
      <c r="W3024" s="47"/>
      <c r="X3024" s="47"/>
      <c r="Y3024" s="47"/>
      <c r="Z3024" s="47">
        <f t="shared" ref="Z3024:Z3074" si="630">Z$7</f>
        <v>4620</v>
      </c>
      <c r="AA3024" s="47"/>
      <c r="AB3024" s="47"/>
      <c r="AC3024" s="47"/>
      <c r="AD3024" s="47"/>
      <c r="AE3024" s="47"/>
      <c r="AF3024" s="47"/>
      <c r="AG3024" s="47"/>
      <c r="AH3024" s="47" t="str">
        <f>IFERROR(_xlfn.XLOOKUP(Table6[[#This Row],[Suburb]],Table5[Travel Surcharge],Table5[$$]),"")</f>
        <v/>
      </c>
      <c r="AI3024" s="47"/>
      <c r="AJ3024" s="47"/>
    </row>
    <row r="3025" spans="1:36">
      <c r="A3025" s="374" t="s">
        <v>4571</v>
      </c>
      <c r="B3025" s="374">
        <v>1</v>
      </c>
      <c r="C3025" s="374" t="s">
        <v>529</v>
      </c>
      <c r="D3025" s="375" t="str">
        <f t="shared" si="629"/>
        <v>Nelsons Place1</v>
      </c>
      <c r="E3025" s="375" t="s">
        <v>3978</v>
      </c>
      <c r="F3025" s="375"/>
      <c r="G3025" s="375" t="s">
        <v>4572</v>
      </c>
      <c r="H3025" s="375" t="s">
        <v>4573</v>
      </c>
      <c r="I3025" s="63" t="s">
        <v>4574</v>
      </c>
      <c r="J3025" s="47">
        <f>J$7</f>
        <v>3740</v>
      </c>
      <c r="K3025" s="46" t="s">
        <v>10735</v>
      </c>
      <c r="L3025" s="47"/>
      <c r="M3025" s="47"/>
      <c r="N3025" s="47"/>
      <c r="O3025" s="47"/>
      <c r="P3025" s="47"/>
      <c r="Q3025" s="47">
        <f>Q$2</f>
        <v>0</v>
      </c>
      <c r="R3025" s="47"/>
      <c r="S3025" s="47"/>
      <c r="T3025" s="47"/>
      <c r="U3025" s="47"/>
      <c r="V3025" s="47"/>
      <c r="W3025" s="47"/>
      <c r="X3025" s="47"/>
      <c r="Y3025" s="47"/>
      <c r="Z3025" s="47">
        <f t="shared" si="630"/>
        <v>4620</v>
      </c>
      <c r="AA3025" s="47"/>
      <c r="AB3025" s="47"/>
      <c r="AC3025" s="47"/>
      <c r="AD3025" s="47"/>
      <c r="AE3025" s="47"/>
      <c r="AF3025" s="47"/>
      <c r="AG3025" s="47"/>
      <c r="AH3025" s="47" t="str">
        <f>IFERROR(_xlfn.XLOOKUP(Table6[[#This Row],[Suburb]],Table5[Travel Surcharge],Table5[$$]),"")</f>
        <v/>
      </c>
      <c r="AI3025" s="47"/>
      <c r="AJ3025" s="47"/>
    </row>
    <row r="3026" spans="1:36">
      <c r="A3026" s="374" t="s">
        <v>4634</v>
      </c>
      <c r="B3026" s="374">
        <v>1</v>
      </c>
      <c r="C3026" s="374" t="s">
        <v>3617</v>
      </c>
      <c r="D3026" s="375" t="str">
        <f t="shared" si="629"/>
        <v>New Gardens1</v>
      </c>
      <c r="E3026" s="375" t="s">
        <v>4635</v>
      </c>
      <c r="F3026" s="375" t="s">
        <v>4636</v>
      </c>
      <c r="G3026" s="375" t="s">
        <v>663</v>
      </c>
      <c r="H3026" s="375" t="s">
        <v>664</v>
      </c>
      <c r="I3026" s="63" t="s">
        <v>665</v>
      </c>
      <c r="J3026" s="47"/>
      <c r="K3026" s="46" t="s">
        <v>7938</v>
      </c>
      <c r="L3026" s="47"/>
      <c r="M3026" s="47" t="s">
        <v>4637</v>
      </c>
      <c r="N3026" s="47" t="s">
        <v>4638</v>
      </c>
      <c r="O3026" s="47" t="s">
        <v>4639</v>
      </c>
      <c r="P3026" s="47"/>
      <c r="Q3026" s="47"/>
      <c r="R3026" s="47"/>
      <c r="S3026" s="47"/>
      <c r="T3026" s="47"/>
      <c r="U3026" s="47">
        <f>U$2</f>
        <v>430</v>
      </c>
      <c r="V3026" s="47"/>
      <c r="W3026" s="47"/>
      <c r="X3026" s="47"/>
      <c r="Y3026" s="47"/>
      <c r="Z3026" s="47">
        <f t="shared" si="630"/>
        <v>4620</v>
      </c>
      <c r="AA3026" s="47"/>
      <c r="AB3026" s="47"/>
      <c r="AC3026" s="47"/>
      <c r="AD3026" s="47"/>
      <c r="AE3026" s="47"/>
      <c r="AF3026" s="47">
        <f t="shared" ref="AF3026:AF3072" si="631">AF$7</f>
        <v>1485</v>
      </c>
      <c r="AG3026" s="47"/>
      <c r="AH3026" s="47" t="str">
        <f>IFERROR(_xlfn.XLOOKUP(Table6[[#This Row],[Suburb]],Table5[Travel Surcharge],Table5[$$]),"")</f>
        <v/>
      </c>
      <c r="AI3026" s="47">
        <f>AI$7</f>
        <v>1650.0000000000002</v>
      </c>
      <c r="AJ3026" s="47"/>
    </row>
    <row r="3027" spans="1:36">
      <c r="A3027" s="374" t="s">
        <v>4634</v>
      </c>
      <c r="B3027" s="374">
        <v>2</v>
      </c>
      <c r="C3027" s="374" t="s">
        <v>3617</v>
      </c>
      <c r="D3027" s="375" t="str">
        <f t="shared" si="629"/>
        <v>New Gardens2</v>
      </c>
      <c r="E3027" s="375" t="s">
        <v>4640</v>
      </c>
      <c r="F3027" s="375" t="s">
        <v>4636</v>
      </c>
      <c r="G3027" s="375" t="s">
        <v>663</v>
      </c>
      <c r="H3027" s="375" t="s">
        <v>664</v>
      </c>
      <c r="I3027" s="63" t="s">
        <v>665</v>
      </c>
      <c r="J3027" s="47"/>
      <c r="K3027" s="46" t="s">
        <v>7938</v>
      </c>
      <c r="L3027" s="47"/>
      <c r="M3027" s="47" t="s">
        <v>4637</v>
      </c>
      <c r="N3027" s="47" t="s">
        <v>4638</v>
      </c>
      <c r="O3027" s="47" t="s">
        <v>4639</v>
      </c>
      <c r="P3027" s="47"/>
      <c r="Q3027" s="47"/>
      <c r="R3027" s="47"/>
      <c r="S3027" s="47"/>
      <c r="T3027" s="47"/>
      <c r="U3027" s="47">
        <f>U$2</f>
        <v>430</v>
      </c>
      <c r="V3027" s="47"/>
      <c r="W3027" s="47"/>
      <c r="X3027" s="47"/>
      <c r="Y3027" s="47"/>
      <c r="Z3027" s="47">
        <f t="shared" si="630"/>
        <v>4620</v>
      </c>
      <c r="AA3027" s="47"/>
      <c r="AB3027" s="47"/>
      <c r="AC3027" s="47"/>
      <c r="AD3027" s="47"/>
      <c r="AE3027" s="47"/>
      <c r="AF3027" s="47">
        <f t="shared" si="631"/>
        <v>1485</v>
      </c>
      <c r="AG3027" s="47"/>
      <c r="AH3027" s="47" t="str">
        <f>IFERROR(_xlfn.XLOOKUP(Table6[[#This Row],[Suburb]],Table5[Travel Surcharge],Table5[$$]),"")</f>
        <v/>
      </c>
      <c r="AI3027" s="47">
        <f>AI$7</f>
        <v>1650.0000000000002</v>
      </c>
      <c r="AJ3027" s="47"/>
    </row>
    <row r="3028" spans="1:36">
      <c r="A3028" s="157" t="s">
        <v>4575</v>
      </c>
      <c r="B3028" s="157">
        <v>4</v>
      </c>
      <c r="C3028" s="157" t="s">
        <v>2433</v>
      </c>
      <c r="D3028" s="157" t="str">
        <f t="shared" si="629"/>
        <v>Newbridge South4</v>
      </c>
      <c r="E3028" s="157" t="s">
        <v>7946</v>
      </c>
      <c r="F3028" s="157"/>
      <c r="G3028" s="157"/>
      <c r="H3028" s="157"/>
      <c r="I3028" s="158"/>
      <c r="J3028" s="47">
        <f t="shared" ref="J3028:J3074" si="632">J$7</f>
        <v>3740</v>
      </c>
      <c r="K3028" s="46" t="s">
        <v>10735</v>
      </c>
      <c r="L3028" s="47">
        <f>L$7</f>
        <v>1210</v>
      </c>
      <c r="M3028" s="47"/>
      <c r="N3028" s="47" t="s">
        <v>4577</v>
      </c>
      <c r="O3028" s="47" t="s">
        <v>4578</v>
      </c>
      <c r="P3028" s="47" t="s">
        <v>4579</v>
      </c>
      <c r="Q3028" s="47">
        <f t="shared" ref="Q3028:Q3044" si="633">Q$2</f>
        <v>0</v>
      </c>
      <c r="R3028" s="47"/>
      <c r="S3028" s="47"/>
      <c r="T3028" s="47" t="s">
        <v>4580</v>
      </c>
      <c r="U3028" s="47"/>
      <c r="V3028" s="47"/>
      <c r="W3028" s="47"/>
      <c r="X3028" s="47">
        <f>X$7</f>
        <v>3000</v>
      </c>
      <c r="Y3028" s="47"/>
      <c r="Z3028" s="47">
        <f t="shared" si="630"/>
        <v>4620</v>
      </c>
      <c r="AA3028" s="47">
        <f>AA$7</f>
        <v>1400</v>
      </c>
      <c r="AB3028" s="47"/>
      <c r="AC3028" s="47"/>
      <c r="AD3028" s="47"/>
      <c r="AE3028" s="47"/>
      <c r="AF3028" s="47">
        <f t="shared" si="631"/>
        <v>1485</v>
      </c>
      <c r="AG3028" s="47"/>
      <c r="AH3028" s="47" t="str">
        <f>IFERROR(_xlfn.XLOOKUP(Table6[[#This Row],[Suburb]],Table5[Travel Surcharge],Table5[$$]),"")</f>
        <v/>
      </c>
      <c r="AI3028" s="47"/>
      <c r="AJ3028" s="47"/>
    </row>
    <row r="3029" spans="1:36">
      <c r="A3029" s="374" t="s">
        <v>4575</v>
      </c>
      <c r="B3029" s="374">
        <v>7</v>
      </c>
      <c r="C3029" s="374" t="s">
        <v>2433</v>
      </c>
      <c r="D3029" s="375" t="str">
        <f t="shared" si="629"/>
        <v>Newbridge South7</v>
      </c>
      <c r="E3029" s="375" t="s">
        <v>10097</v>
      </c>
      <c r="F3029" s="375"/>
      <c r="G3029" s="375"/>
      <c r="H3029" s="375"/>
      <c r="I3029" s="63"/>
      <c r="J3029" s="47">
        <v>3740</v>
      </c>
      <c r="K3029" s="46" t="s">
        <v>10735</v>
      </c>
      <c r="L3029" s="47">
        <v>1210</v>
      </c>
      <c r="M3029" s="47"/>
      <c r="N3029" s="47" t="s">
        <v>4577</v>
      </c>
      <c r="O3029" s="47" t="s">
        <v>4578</v>
      </c>
      <c r="P3029" s="47" t="s">
        <v>4579</v>
      </c>
      <c r="Q3029" s="47">
        <v>0</v>
      </c>
      <c r="R3029" s="47"/>
      <c r="S3029" s="47"/>
      <c r="T3029" s="47" t="s">
        <v>4580</v>
      </c>
      <c r="U3029" s="47"/>
      <c r="V3029" s="47"/>
      <c r="W3029" s="47"/>
      <c r="X3029" s="47">
        <v>3000</v>
      </c>
      <c r="Y3029" s="47"/>
      <c r="Z3029" s="47">
        <v>4620</v>
      </c>
      <c r="AA3029" s="47">
        <v>1400</v>
      </c>
      <c r="AB3029" s="47"/>
      <c r="AC3029" s="47"/>
      <c r="AD3029" s="47"/>
      <c r="AE3029" s="47"/>
      <c r="AF3029" s="47">
        <v>1485</v>
      </c>
      <c r="AG3029" s="47"/>
      <c r="AH3029" s="47" t="s">
        <v>9976</v>
      </c>
      <c r="AI3029" s="47"/>
      <c r="AJ3029" s="47"/>
    </row>
    <row r="3030" spans="1:36">
      <c r="A3030" s="374" t="s">
        <v>4575</v>
      </c>
      <c r="B3030" s="374">
        <v>9</v>
      </c>
      <c r="C3030" s="374" t="s">
        <v>2433</v>
      </c>
      <c r="D3030" s="375" t="str">
        <f t="shared" si="629"/>
        <v>Newbridge South9</v>
      </c>
      <c r="E3030" s="375" t="s">
        <v>4576</v>
      </c>
      <c r="F3030" s="375"/>
      <c r="G3030" s="375"/>
      <c r="H3030" s="375"/>
      <c r="I3030" s="63"/>
      <c r="J3030" s="47">
        <f t="shared" si="632"/>
        <v>3740</v>
      </c>
      <c r="K3030" s="46" t="s">
        <v>10735</v>
      </c>
      <c r="L3030" s="47">
        <f>L$7</f>
        <v>1210</v>
      </c>
      <c r="M3030" s="47"/>
      <c r="N3030" s="47" t="s">
        <v>4577</v>
      </c>
      <c r="O3030" s="47" t="s">
        <v>4578</v>
      </c>
      <c r="P3030" s="47" t="s">
        <v>4579</v>
      </c>
      <c r="Q3030" s="47">
        <f t="shared" si="633"/>
        <v>0</v>
      </c>
      <c r="R3030" s="47"/>
      <c r="S3030" s="47"/>
      <c r="T3030" s="47" t="s">
        <v>4580</v>
      </c>
      <c r="U3030" s="47"/>
      <c r="V3030" s="47"/>
      <c r="W3030" s="47"/>
      <c r="X3030" s="47">
        <f>X$7</f>
        <v>3000</v>
      </c>
      <c r="Y3030" s="47"/>
      <c r="Z3030" s="47">
        <f t="shared" si="630"/>
        <v>4620</v>
      </c>
      <c r="AA3030" s="47">
        <f>AA$7</f>
        <v>1400</v>
      </c>
      <c r="AB3030" s="47"/>
      <c r="AC3030" s="47"/>
      <c r="AD3030" s="47"/>
      <c r="AE3030" s="47"/>
      <c r="AF3030" s="47">
        <f t="shared" si="631"/>
        <v>1485</v>
      </c>
      <c r="AG3030" s="47"/>
      <c r="AH3030" s="47" t="str">
        <f>IFERROR(_xlfn.XLOOKUP(Table6[[#This Row],[Suburb]],Table5[Travel Surcharge],Table5[$$]),"")</f>
        <v/>
      </c>
      <c r="AI3030" s="47"/>
      <c r="AJ3030" s="47"/>
    </row>
    <row r="3031" spans="1:36">
      <c r="A3031" s="374" t="s">
        <v>4581</v>
      </c>
      <c r="B3031" s="374">
        <v>2</v>
      </c>
      <c r="C3031" s="374" t="s">
        <v>502</v>
      </c>
      <c r="D3031" s="375" t="str">
        <f t="shared" si="629"/>
        <v>Newgate Estate2</v>
      </c>
      <c r="E3031" s="375" t="s">
        <v>4582</v>
      </c>
      <c r="F3031" s="375" t="s">
        <v>2072</v>
      </c>
      <c r="G3031" s="375" t="s">
        <v>2575</v>
      </c>
      <c r="H3031" s="375" t="s">
        <v>2731</v>
      </c>
      <c r="I3031" s="63"/>
      <c r="J3031" s="47">
        <f t="shared" si="632"/>
        <v>3740</v>
      </c>
      <c r="K3031" s="46" t="s">
        <v>10735</v>
      </c>
      <c r="L3031" s="47"/>
      <c r="M3031" s="47">
        <f t="shared" ref="M3031:M3070" si="634">M$7</f>
        <v>1430.0000000000002</v>
      </c>
      <c r="N3031" s="47"/>
      <c r="O3031" s="47"/>
      <c r="P3031" s="47"/>
      <c r="Q3031" s="47">
        <f t="shared" si="633"/>
        <v>0</v>
      </c>
      <c r="R3031" s="47"/>
      <c r="S3031" s="47"/>
      <c r="T3031" s="47"/>
      <c r="U3031" s="47"/>
      <c r="V3031" s="47"/>
      <c r="W3031" s="47"/>
      <c r="X3031" s="47"/>
      <c r="Y3031" s="47"/>
      <c r="Z3031" s="47">
        <f t="shared" si="630"/>
        <v>4620</v>
      </c>
      <c r="AA3031" s="47"/>
      <c r="AB3031" s="47"/>
      <c r="AC3031" s="47"/>
      <c r="AD3031" s="47"/>
      <c r="AE3031" s="47">
        <f t="shared" ref="AE3031:AE3044" si="635">AE$7</f>
        <v>5000</v>
      </c>
      <c r="AF3031" s="47">
        <f t="shared" si="631"/>
        <v>1485</v>
      </c>
      <c r="AG3031" s="47"/>
      <c r="AH3031" s="47" t="str">
        <f>IFERROR(_xlfn.XLOOKUP(Table6[[#This Row],[Suburb]],Table5[Travel Surcharge],Table5[$$]),"")</f>
        <v/>
      </c>
      <c r="AI3031" s="47"/>
      <c r="AJ3031" s="47"/>
    </row>
    <row r="3032" spans="1:36">
      <c r="A3032" s="374" t="s">
        <v>4581</v>
      </c>
      <c r="B3032" s="374">
        <v>3</v>
      </c>
      <c r="C3032" s="374" t="s">
        <v>502</v>
      </c>
      <c r="D3032" s="375" t="str">
        <f t="shared" si="629"/>
        <v>Newgate Estate3</v>
      </c>
      <c r="E3032" s="375" t="s">
        <v>4583</v>
      </c>
      <c r="F3032" s="375" t="s">
        <v>2072</v>
      </c>
      <c r="G3032" s="375" t="s">
        <v>2575</v>
      </c>
      <c r="H3032" s="375" t="s">
        <v>2731</v>
      </c>
      <c r="I3032" s="63"/>
      <c r="J3032" s="47">
        <f t="shared" si="632"/>
        <v>3740</v>
      </c>
      <c r="K3032" s="46" t="s">
        <v>10735</v>
      </c>
      <c r="L3032" s="47"/>
      <c r="M3032" s="47">
        <f t="shared" si="634"/>
        <v>1430.0000000000002</v>
      </c>
      <c r="N3032" s="47"/>
      <c r="O3032" s="47"/>
      <c r="P3032" s="47"/>
      <c r="Q3032" s="47">
        <f t="shared" si="633"/>
        <v>0</v>
      </c>
      <c r="R3032" s="47"/>
      <c r="S3032" s="47"/>
      <c r="T3032" s="47"/>
      <c r="U3032" s="47"/>
      <c r="V3032" s="47"/>
      <c r="W3032" s="47"/>
      <c r="X3032" s="47"/>
      <c r="Y3032" s="47"/>
      <c r="Z3032" s="47">
        <f t="shared" si="630"/>
        <v>4620</v>
      </c>
      <c r="AA3032" s="47"/>
      <c r="AB3032" s="47"/>
      <c r="AC3032" s="47"/>
      <c r="AD3032" s="47"/>
      <c r="AE3032" s="47">
        <f t="shared" si="635"/>
        <v>5000</v>
      </c>
      <c r="AF3032" s="47">
        <f t="shared" si="631"/>
        <v>1485</v>
      </c>
      <c r="AG3032" s="47"/>
      <c r="AH3032" s="47" t="str">
        <f>IFERROR(_xlfn.XLOOKUP(Table6[[#This Row],[Suburb]],Table5[Travel Surcharge],Table5[$$]),"")</f>
        <v/>
      </c>
      <c r="AI3032" s="47"/>
      <c r="AJ3032" s="47"/>
    </row>
    <row r="3033" spans="1:36">
      <c r="A3033" s="374" t="s">
        <v>4581</v>
      </c>
      <c r="B3033" s="374">
        <v>4</v>
      </c>
      <c r="C3033" s="374" t="s">
        <v>502</v>
      </c>
      <c r="D3033" s="375" t="str">
        <f t="shared" si="629"/>
        <v>Newgate Estate4</v>
      </c>
      <c r="E3033" s="375" t="s">
        <v>4584</v>
      </c>
      <c r="F3033" s="375" t="s">
        <v>2072</v>
      </c>
      <c r="G3033" s="375" t="s">
        <v>2575</v>
      </c>
      <c r="H3033" s="375" t="s">
        <v>2731</v>
      </c>
      <c r="I3033" s="63"/>
      <c r="J3033" s="47">
        <f t="shared" si="632"/>
        <v>3740</v>
      </c>
      <c r="K3033" s="46" t="s">
        <v>10735</v>
      </c>
      <c r="L3033" s="47"/>
      <c r="M3033" s="47">
        <f t="shared" si="634"/>
        <v>1430.0000000000002</v>
      </c>
      <c r="N3033" s="47"/>
      <c r="O3033" s="47"/>
      <c r="P3033" s="47"/>
      <c r="Q3033" s="47">
        <f t="shared" si="633"/>
        <v>0</v>
      </c>
      <c r="R3033" s="47"/>
      <c r="S3033" s="47"/>
      <c r="T3033" s="47"/>
      <c r="U3033" s="47"/>
      <c r="V3033" s="47"/>
      <c r="W3033" s="47"/>
      <c r="X3033" s="47"/>
      <c r="Y3033" s="47"/>
      <c r="Z3033" s="47">
        <f t="shared" si="630"/>
        <v>4620</v>
      </c>
      <c r="AA3033" s="47"/>
      <c r="AB3033" s="47"/>
      <c r="AC3033" s="47"/>
      <c r="AD3033" s="47"/>
      <c r="AE3033" s="47">
        <f t="shared" si="635"/>
        <v>5000</v>
      </c>
      <c r="AF3033" s="47">
        <f t="shared" si="631"/>
        <v>1485</v>
      </c>
      <c r="AG3033" s="47"/>
      <c r="AH3033" s="47" t="str">
        <f>IFERROR(_xlfn.XLOOKUP(Table6[[#This Row],[Suburb]],Table5[Travel Surcharge],Table5[$$]),"")</f>
        <v/>
      </c>
      <c r="AI3033" s="47"/>
      <c r="AJ3033" s="47"/>
    </row>
    <row r="3034" spans="1:36">
      <c r="A3034" s="374" t="s">
        <v>4581</v>
      </c>
      <c r="B3034" s="374">
        <v>6</v>
      </c>
      <c r="C3034" s="374" t="s">
        <v>502</v>
      </c>
      <c r="D3034" s="375" t="str">
        <f t="shared" si="629"/>
        <v>Newgate Estate6</v>
      </c>
      <c r="E3034" s="375" t="s">
        <v>4585</v>
      </c>
      <c r="F3034" s="375" t="s">
        <v>2072</v>
      </c>
      <c r="G3034" s="375" t="s">
        <v>2575</v>
      </c>
      <c r="H3034" s="375" t="s">
        <v>2731</v>
      </c>
      <c r="I3034" s="63"/>
      <c r="J3034" s="47">
        <f t="shared" si="632"/>
        <v>3740</v>
      </c>
      <c r="K3034" s="46" t="s">
        <v>10735</v>
      </c>
      <c r="L3034" s="47"/>
      <c r="M3034" s="47">
        <f t="shared" si="634"/>
        <v>1430.0000000000002</v>
      </c>
      <c r="N3034" s="47"/>
      <c r="O3034" s="47"/>
      <c r="P3034" s="47"/>
      <c r="Q3034" s="47">
        <f t="shared" si="633"/>
        <v>0</v>
      </c>
      <c r="R3034" s="47"/>
      <c r="S3034" s="47"/>
      <c r="T3034" s="47"/>
      <c r="U3034" s="47"/>
      <c r="V3034" s="47"/>
      <c r="W3034" s="47"/>
      <c r="X3034" s="47"/>
      <c r="Y3034" s="47"/>
      <c r="Z3034" s="47">
        <f t="shared" si="630"/>
        <v>4620</v>
      </c>
      <c r="AA3034" s="47"/>
      <c r="AB3034" s="47"/>
      <c r="AC3034" s="47"/>
      <c r="AD3034" s="47"/>
      <c r="AE3034" s="47">
        <f t="shared" si="635"/>
        <v>5000</v>
      </c>
      <c r="AF3034" s="47">
        <f t="shared" si="631"/>
        <v>1485</v>
      </c>
      <c r="AG3034" s="47"/>
      <c r="AH3034" s="47" t="str">
        <f>IFERROR(_xlfn.XLOOKUP(Table6[[#This Row],[Suburb]],Table5[Travel Surcharge],Table5[$$]),"")</f>
        <v/>
      </c>
      <c r="AI3034" s="47"/>
      <c r="AJ3034" s="47"/>
    </row>
    <row r="3035" spans="1:36">
      <c r="A3035" s="374" t="s">
        <v>4581</v>
      </c>
      <c r="B3035" s="374">
        <v>7</v>
      </c>
      <c r="C3035" s="374" t="s">
        <v>502</v>
      </c>
      <c r="D3035" s="375" t="str">
        <f t="shared" si="629"/>
        <v>Newgate Estate7</v>
      </c>
      <c r="E3035" s="375" t="s">
        <v>4586</v>
      </c>
      <c r="F3035" s="375" t="s">
        <v>2072</v>
      </c>
      <c r="G3035" s="375" t="s">
        <v>2575</v>
      </c>
      <c r="H3035" s="375" t="s">
        <v>2731</v>
      </c>
      <c r="I3035" s="63"/>
      <c r="J3035" s="47">
        <f t="shared" si="632"/>
        <v>3740</v>
      </c>
      <c r="K3035" s="46" t="s">
        <v>10735</v>
      </c>
      <c r="L3035" s="47"/>
      <c r="M3035" s="47">
        <f t="shared" si="634"/>
        <v>1430.0000000000002</v>
      </c>
      <c r="N3035" s="47"/>
      <c r="O3035" s="47"/>
      <c r="P3035" s="47"/>
      <c r="Q3035" s="47">
        <f t="shared" si="633"/>
        <v>0</v>
      </c>
      <c r="R3035" s="47"/>
      <c r="S3035" s="47"/>
      <c r="T3035" s="47"/>
      <c r="U3035" s="47"/>
      <c r="V3035" s="47"/>
      <c r="W3035" s="47"/>
      <c r="X3035" s="47"/>
      <c r="Y3035" s="47"/>
      <c r="Z3035" s="47">
        <f t="shared" si="630"/>
        <v>4620</v>
      </c>
      <c r="AA3035" s="47"/>
      <c r="AB3035" s="47"/>
      <c r="AC3035" s="47"/>
      <c r="AD3035" s="47"/>
      <c r="AE3035" s="47">
        <f t="shared" si="635"/>
        <v>5000</v>
      </c>
      <c r="AF3035" s="47">
        <f t="shared" si="631"/>
        <v>1485</v>
      </c>
      <c r="AG3035" s="47"/>
      <c r="AH3035" s="47" t="str">
        <f>IFERROR(_xlfn.XLOOKUP(Table6[[#This Row],[Suburb]],Table5[Travel Surcharge],Table5[$$]),"")</f>
        <v/>
      </c>
      <c r="AI3035" s="47"/>
      <c r="AJ3035" s="47"/>
    </row>
    <row r="3036" spans="1:36">
      <c r="A3036" s="374" t="s">
        <v>4581</v>
      </c>
      <c r="B3036" s="374">
        <v>8</v>
      </c>
      <c r="C3036" s="374" t="s">
        <v>502</v>
      </c>
      <c r="D3036" s="375" t="str">
        <f t="shared" si="629"/>
        <v>Newgate Estate8</v>
      </c>
      <c r="E3036" s="375" t="s">
        <v>4587</v>
      </c>
      <c r="F3036" s="375" t="s">
        <v>2072</v>
      </c>
      <c r="G3036" s="375" t="s">
        <v>2575</v>
      </c>
      <c r="H3036" s="375" t="s">
        <v>2731</v>
      </c>
      <c r="I3036" s="63"/>
      <c r="J3036" s="47">
        <f t="shared" si="632"/>
        <v>3740</v>
      </c>
      <c r="K3036" s="46" t="s">
        <v>10735</v>
      </c>
      <c r="L3036" s="47"/>
      <c r="M3036" s="47">
        <f t="shared" si="634"/>
        <v>1430.0000000000002</v>
      </c>
      <c r="N3036" s="47"/>
      <c r="O3036" s="47"/>
      <c r="P3036" s="47"/>
      <c r="Q3036" s="47">
        <f t="shared" si="633"/>
        <v>0</v>
      </c>
      <c r="R3036" s="47"/>
      <c r="S3036" s="47"/>
      <c r="T3036" s="47"/>
      <c r="U3036" s="47"/>
      <c r="V3036" s="47"/>
      <c r="W3036" s="47"/>
      <c r="X3036" s="47"/>
      <c r="Y3036" s="47"/>
      <c r="Z3036" s="47">
        <f t="shared" si="630"/>
        <v>4620</v>
      </c>
      <c r="AA3036" s="47"/>
      <c r="AB3036" s="47"/>
      <c r="AC3036" s="47"/>
      <c r="AD3036" s="47"/>
      <c r="AE3036" s="47">
        <f t="shared" si="635"/>
        <v>5000</v>
      </c>
      <c r="AF3036" s="47">
        <f t="shared" si="631"/>
        <v>1485</v>
      </c>
      <c r="AG3036" s="47"/>
      <c r="AH3036" s="47" t="str">
        <f>IFERROR(_xlfn.XLOOKUP(Table6[[#This Row],[Suburb]],Table5[Travel Surcharge],Table5[$$]),"")</f>
        <v/>
      </c>
      <c r="AI3036" s="47"/>
      <c r="AJ3036" s="47"/>
    </row>
    <row r="3037" spans="1:36">
      <c r="A3037" s="374" t="s">
        <v>4581</v>
      </c>
      <c r="B3037" s="374">
        <v>9</v>
      </c>
      <c r="C3037" s="374" t="s">
        <v>502</v>
      </c>
      <c r="D3037" s="375" t="str">
        <f t="shared" si="629"/>
        <v>Newgate Estate9</v>
      </c>
      <c r="E3037" s="375" t="s">
        <v>4588</v>
      </c>
      <c r="F3037" s="375" t="s">
        <v>2072</v>
      </c>
      <c r="G3037" s="375" t="s">
        <v>2575</v>
      </c>
      <c r="H3037" s="375" t="s">
        <v>2731</v>
      </c>
      <c r="I3037" s="63"/>
      <c r="J3037" s="47">
        <f t="shared" si="632"/>
        <v>3740</v>
      </c>
      <c r="K3037" s="46" t="s">
        <v>10735</v>
      </c>
      <c r="L3037" s="47"/>
      <c r="M3037" s="47">
        <f t="shared" si="634"/>
        <v>1430.0000000000002</v>
      </c>
      <c r="N3037" s="47"/>
      <c r="O3037" s="47"/>
      <c r="P3037" s="47"/>
      <c r="Q3037" s="47">
        <f t="shared" si="633"/>
        <v>0</v>
      </c>
      <c r="R3037" s="47"/>
      <c r="S3037" s="47"/>
      <c r="T3037" s="47"/>
      <c r="U3037" s="47"/>
      <c r="V3037" s="47"/>
      <c r="W3037" s="47"/>
      <c r="X3037" s="47"/>
      <c r="Y3037" s="47"/>
      <c r="Z3037" s="47">
        <f t="shared" si="630"/>
        <v>4620</v>
      </c>
      <c r="AA3037" s="47"/>
      <c r="AB3037" s="47"/>
      <c r="AC3037" s="47"/>
      <c r="AD3037" s="47"/>
      <c r="AE3037" s="47">
        <f t="shared" si="635"/>
        <v>5000</v>
      </c>
      <c r="AF3037" s="47">
        <f t="shared" si="631"/>
        <v>1485</v>
      </c>
      <c r="AG3037" s="47"/>
      <c r="AH3037" s="47" t="str">
        <f>IFERROR(_xlfn.XLOOKUP(Table6[[#This Row],[Suburb]],Table5[Travel Surcharge],Table5[$$]),"")</f>
        <v/>
      </c>
      <c r="AI3037" s="47"/>
      <c r="AJ3037" s="47"/>
    </row>
    <row r="3038" spans="1:36">
      <c r="A3038" s="374" t="s">
        <v>4581</v>
      </c>
      <c r="B3038" s="374">
        <v>10</v>
      </c>
      <c r="C3038" s="374" t="s">
        <v>502</v>
      </c>
      <c r="D3038" s="375" t="str">
        <f t="shared" si="629"/>
        <v>Newgate Estate10</v>
      </c>
      <c r="E3038" s="375" t="s">
        <v>4589</v>
      </c>
      <c r="F3038" s="375" t="s">
        <v>2072</v>
      </c>
      <c r="G3038" s="375" t="s">
        <v>2575</v>
      </c>
      <c r="H3038" s="375" t="s">
        <v>2731</v>
      </c>
      <c r="I3038" s="63"/>
      <c r="J3038" s="47">
        <f t="shared" si="632"/>
        <v>3740</v>
      </c>
      <c r="K3038" s="46" t="s">
        <v>10735</v>
      </c>
      <c r="L3038" s="47"/>
      <c r="M3038" s="47">
        <f t="shared" si="634"/>
        <v>1430.0000000000002</v>
      </c>
      <c r="N3038" s="47"/>
      <c r="O3038" s="47"/>
      <c r="P3038" s="47"/>
      <c r="Q3038" s="47">
        <f t="shared" si="633"/>
        <v>0</v>
      </c>
      <c r="R3038" s="47"/>
      <c r="S3038" s="47"/>
      <c r="T3038" s="47"/>
      <c r="U3038" s="47"/>
      <c r="V3038" s="47"/>
      <c r="W3038" s="47"/>
      <c r="X3038" s="47"/>
      <c r="Y3038" s="47"/>
      <c r="Z3038" s="47">
        <f t="shared" si="630"/>
        <v>4620</v>
      </c>
      <c r="AA3038" s="47"/>
      <c r="AB3038" s="47"/>
      <c r="AC3038" s="47"/>
      <c r="AD3038" s="47"/>
      <c r="AE3038" s="47">
        <f t="shared" si="635"/>
        <v>5000</v>
      </c>
      <c r="AF3038" s="47">
        <f t="shared" si="631"/>
        <v>1485</v>
      </c>
      <c r="AG3038" s="47"/>
      <c r="AH3038" s="47" t="str">
        <f>IFERROR(_xlfn.XLOOKUP(Table6[[#This Row],[Suburb]],Table5[Travel Surcharge],Table5[$$]),"")</f>
        <v/>
      </c>
      <c r="AI3038" s="47"/>
      <c r="AJ3038" s="47"/>
    </row>
    <row r="3039" spans="1:36">
      <c r="A3039" s="374" t="s">
        <v>4581</v>
      </c>
      <c r="B3039" s="374">
        <v>11</v>
      </c>
      <c r="C3039" s="374" t="s">
        <v>502</v>
      </c>
      <c r="D3039" s="375" t="str">
        <f t="shared" si="629"/>
        <v>Newgate Estate11</v>
      </c>
      <c r="E3039" s="375" t="s">
        <v>4590</v>
      </c>
      <c r="F3039" s="375" t="s">
        <v>2072</v>
      </c>
      <c r="G3039" s="375" t="s">
        <v>2575</v>
      </c>
      <c r="H3039" s="375" t="s">
        <v>2731</v>
      </c>
      <c r="I3039" s="63"/>
      <c r="J3039" s="47">
        <f t="shared" si="632"/>
        <v>3740</v>
      </c>
      <c r="K3039" s="46" t="s">
        <v>10735</v>
      </c>
      <c r="L3039" s="47"/>
      <c r="M3039" s="47">
        <f t="shared" si="634"/>
        <v>1430.0000000000002</v>
      </c>
      <c r="N3039" s="47"/>
      <c r="O3039" s="47"/>
      <c r="P3039" s="47"/>
      <c r="Q3039" s="47">
        <f t="shared" si="633"/>
        <v>0</v>
      </c>
      <c r="R3039" s="47"/>
      <c r="S3039" s="47"/>
      <c r="T3039" s="47"/>
      <c r="U3039" s="47"/>
      <c r="V3039" s="47"/>
      <c r="W3039" s="47"/>
      <c r="X3039" s="47"/>
      <c r="Y3039" s="47"/>
      <c r="Z3039" s="47">
        <f t="shared" si="630"/>
        <v>4620</v>
      </c>
      <c r="AA3039" s="47"/>
      <c r="AB3039" s="47"/>
      <c r="AC3039" s="47"/>
      <c r="AD3039" s="47"/>
      <c r="AE3039" s="47">
        <f t="shared" si="635"/>
        <v>5000</v>
      </c>
      <c r="AF3039" s="47">
        <f t="shared" si="631"/>
        <v>1485</v>
      </c>
      <c r="AG3039" s="47"/>
      <c r="AH3039" s="47" t="str">
        <f>IFERROR(_xlfn.XLOOKUP(Table6[[#This Row],[Suburb]],Table5[Travel Surcharge],Table5[$$]),"")</f>
        <v/>
      </c>
      <c r="AI3039" s="47"/>
      <c r="AJ3039" s="47"/>
    </row>
    <row r="3040" spans="1:36">
      <c r="A3040" s="374" t="s">
        <v>4581</v>
      </c>
      <c r="B3040" s="374">
        <v>12</v>
      </c>
      <c r="C3040" s="374" t="s">
        <v>502</v>
      </c>
      <c r="D3040" s="375" t="str">
        <f t="shared" si="629"/>
        <v>Newgate Estate12</v>
      </c>
      <c r="E3040" s="375" t="s">
        <v>4591</v>
      </c>
      <c r="F3040" s="375" t="s">
        <v>2072</v>
      </c>
      <c r="G3040" s="375" t="s">
        <v>2575</v>
      </c>
      <c r="H3040" s="375" t="s">
        <v>2731</v>
      </c>
      <c r="I3040" s="63"/>
      <c r="J3040" s="47">
        <f t="shared" si="632"/>
        <v>3740</v>
      </c>
      <c r="K3040" s="46" t="s">
        <v>10735</v>
      </c>
      <c r="L3040" s="47"/>
      <c r="M3040" s="47">
        <f t="shared" si="634"/>
        <v>1430.0000000000002</v>
      </c>
      <c r="N3040" s="47"/>
      <c r="O3040" s="47"/>
      <c r="P3040" s="47"/>
      <c r="Q3040" s="47">
        <f t="shared" si="633"/>
        <v>0</v>
      </c>
      <c r="R3040" s="47"/>
      <c r="S3040" s="47"/>
      <c r="T3040" s="47"/>
      <c r="U3040" s="47"/>
      <c r="V3040" s="47"/>
      <c r="W3040" s="47"/>
      <c r="X3040" s="47"/>
      <c r="Y3040" s="47"/>
      <c r="Z3040" s="47">
        <f t="shared" si="630"/>
        <v>4620</v>
      </c>
      <c r="AA3040" s="47"/>
      <c r="AB3040" s="47"/>
      <c r="AC3040" s="47"/>
      <c r="AD3040" s="47"/>
      <c r="AE3040" s="47">
        <f t="shared" si="635"/>
        <v>5000</v>
      </c>
      <c r="AF3040" s="47">
        <f t="shared" si="631"/>
        <v>1485</v>
      </c>
      <c r="AG3040" s="47"/>
      <c r="AH3040" s="47" t="str">
        <f>IFERROR(_xlfn.XLOOKUP(Table6[[#This Row],[Suburb]],Table5[Travel Surcharge],Table5[$$]),"")</f>
        <v/>
      </c>
      <c r="AI3040" s="47"/>
      <c r="AJ3040" s="47"/>
    </row>
    <row r="3041" spans="1:36">
      <c r="A3041" s="374" t="s">
        <v>4581</v>
      </c>
      <c r="B3041" s="374">
        <v>13</v>
      </c>
      <c r="C3041" s="374" t="s">
        <v>502</v>
      </c>
      <c r="D3041" s="375" t="str">
        <f t="shared" si="629"/>
        <v>Newgate Estate13</v>
      </c>
      <c r="E3041" s="375" t="s">
        <v>4592</v>
      </c>
      <c r="F3041" s="375" t="s">
        <v>2072</v>
      </c>
      <c r="G3041" s="375" t="s">
        <v>2575</v>
      </c>
      <c r="H3041" s="375" t="s">
        <v>2731</v>
      </c>
      <c r="I3041" s="63"/>
      <c r="J3041" s="47">
        <f t="shared" si="632"/>
        <v>3740</v>
      </c>
      <c r="K3041" s="46" t="s">
        <v>10735</v>
      </c>
      <c r="L3041" s="47"/>
      <c r="M3041" s="47">
        <f t="shared" si="634"/>
        <v>1430.0000000000002</v>
      </c>
      <c r="N3041" s="47"/>
      <c r="O3041" s="47"/>
      <c r="P3041" s="47"/>
      <c r="Q3041" s="47">
        <f t="shared" si="633"/>
        <v>0</v>
      </c>
      <c r="R3041" s="47"/>
      <c r="S3041" s="47"/>
      <c r="T3041" s="47"/>
      <c r="U3041" s="47"/>
      <c r="V3041" s="47"/>
      <c r="W3041" s="47"/>
      <c r="X3041" s="47"/>
      <c r="Y3041" s="47"/>
      <c r="Z3041" s="47">
        <f t="shared" si="630"/>
        <v>4620</v>
      </c>
      <c r="AA3041" s="47"/>
      <c r="AB3041" s="47"/>
      <c r="AC3041" s="47"/>
      <c r="AD3041" s="47"/>
      <c r="AE3041" s="47">
        <f t="shared" si="635"/>
        <v>5000</v>
      </c>
      <c r="AF3041" s="47">
        <f t="shared" si="631"/>
        <v>1485</v>
      </c>
      <c r="AG3041" s="47"/>
      <c r="AH3041" s="47" t="str">
        <f>IFERROR(_xlfn.XLOOKUP(Table6[[#This Row],[Suburb]],Table5[Travel Surcharge],Table5[$$]),"")</f>
        <v/>
      </c>
      <c r="AI3041" s="47"/>
      <c r="AJ3041" s="47"/>
    </row>
    <row r="3042" spans="1:36">
      <c r="A3042" s="374" t="s">
        <v>4581</v>
      </c>
      <c r="B3042" s="374">
        <v>15</v>
      </c>
      <c r="C3042" s="374" t="s">
        <v>502</v>
      </c>
      <c r="D3042" s="375" t="str">
        <f t="shared" si="629"/>
        <v>Newgate Estate15</v>
      </c>
      <c r="E3042" s="375" t="s">
        <v>4593</v>
      </c>
      <c r="F3042" s="375" t="s">
        <v>2072</v>
      </c>
      <c r="G3042" s="375" t="s">
        <v>2575</v>
      </c>
      <c r="H3042" s="375" t="s">
        <v>2731</v>
      </c>
      <c r="I3042" s="63"/>
      <c r="J3042" s="47">
        <f t="shared" si="632"/>
        <v>3740</v>
      </c>
      <c r="K3042" s="46" t="s">
        <v>10735</v>
      </c>
      <c r="L3042" s="47"/>
      <c r="M3042" s="47">
        <f t="shared" si="634"/>
        <v>1430.0000000000002</v>
      </c>
      <c r="N3042" s="47"/>
      <c r="O3042" s="47"/>
      <c r="P3042" s="47"/>
      <c r="Q3042" s="47">
        <f t="shared" si="633"/>
        <v>0</v>
      </c>
      <c r="R3042" s="47"/>
      <c r="S3042" s="47"/>
      <c r="T3042" s="47"/>
      <c r="U3042" s="47"/>
      <c r="V3042" s="47"/>
      <c r="W3042" s="47"/>
      <c r="X3042" s="47"/>
      <c r="Y3042" s="47"/>
      <c r="Z3042" s="47">
        <f t="shared" si="630"/>
        <v>4620</v>
      </c>
      <c r="AA3042" s="47"/>
      <c r="AB3042" s="47"/>
      <c r="AC3042" s="47"/>
      <c r="AD3042" s="47"/>
      <c r="AE3042" s="47">
        <f t="shared" si="635"/>
        <v>5000</v>
      </c>
      <c r="AF3042" s="47">
        <f t="shared" si="631"/>
        <v>1485</v>
      </c>
      <c r="AG3042" s="47"/>
      <c r="AH3042" s="47" t="str">
        <f>IFERROR(_xlfn.XLOOKUP(Table6[[#This Row],[Suburb]],Table5[Travel Surcharge],Table5[$$]),"")</f>
        <v/>
      </c>
      <c r="AI3042" s="47"/>
      <c r="AJ3042" s="47"/>
    </row>
    <row r="3043" spans="1:36">
      <c r="A3043" s="374" t="s">
        <v>4581</v>
      </c>
      <c r="B3043" s="374">
        <v>16</v>
      </c>
      <c r="C3043" s="374" t="s">
        <v>502</v>
      </c>
      <c r="D3043" s="375" t="str">
        <f t="shared" si="629"/>
        <v>Newgate Estate16</v>
      </c>
      <c r="E3043" s="375" t="s">
        <v>4594</v>
      </c>
      <c r="F3043" s="375" t="s">
        <v>2072</v>
      </c>
      <c r="G3043" s="375" t="s">
        <v>2575</v>
      </c>
      <c r="H3043" s="375" t="s">
        <v>2731</v>
      </c>
      <c r="I3043" s="63"/>
      <c r="J3043" s="47">
        <f t="shared" si="632"/>
        <v>3740</v>
      </c>
      <c r="K3043" s="46" t="s">
        <v>10735</v>
      </c>
      <c r="L3043" s="47"/>
      <c r="M3043" s="47">
        <f t="shared" si="634"/>
        <v>1430.0000000000002</v>
      </c>
      <c r="N3043" s="47"/>
      <c r="O3043" s="47"/>
      <c r="P3043" s="47"/>
      <c r="Q3043" s="47">
        <f t="shared" si="633"/>
        <v>0</v>
      </c>
      <c r="R3043" s="47"/>
      <c r="S3043" s="47"/>
      <c r="T3043" s="47"/>
      <c r="U3043" s="47"/>
      <c r="V3043" s="47"/>
      <c r="W3043" s="47"/>
      <c r="X3043" s="47"/>
      <c r="Y3043" s="47"/>
      <c r="Z3043" s="47">
        <f t="shared" si="630"/>
        <v>4620</v>
      </c>
      <c r="AA3043" s="47"/>
      <c r="AB3043" s="47"/>
      <c r="AC3043" s="47"/>
      <c r="AD3043" s="47"/>
      <c r="AE3043" s="47">
        <f t="shared" si="635"/>
        <v>5000</v>
      </c>
      <c r="AF3043" s="47">
        <f t="shared" si="631"/>
        <v>1485</v>
      </c>
      <c r="AG3043" s="47"/>
      <c r="AH3043" s="47" t="str">
        <f>IFERROR(_xlfn.XLOOKUP(Table6[[#This Row],[Suburb]],Table5[Travel Surcharge],Table5[$$]),"")</f>
        <v/>
      </c>
      <c r="AI3043" s="47"/>
      <c r="AJ3043" s="47"/>
    </row>
    <row r="3044" spans="1:36">
      <c r="A3044" s="374" t="s">
        <v>4581</v>
      </c>
      <c r="B3044" s="374">
        <v>17</v>
      </c>
      <c r="C3044" s="374" t="s">
        <v>502</v>
      </c>
      <c r="D3044" s="375" t="str">
        <f t="shared" si="629"/>
        <v>Newgate Estate17</v>
      </c>
      <c r="E3044" s="375" t="s">
        <v>2855</v>
      </c>
      <c r="F3044" s="375" t="s">
        <v>2072</v>
      </c>
      <c r="G3044" s="375" t="s">
        <v>2575</v>
      </c>
      <c r="H3044" s="375" t="s">
        <v>2731</v>
      </c>
      <c r="I3044" s="63"/>
      <c r="J3044" s="47">
        <f t="shared" si="632"/>
        <v>3740</v>
      </c>
      <c r="K3044" s="46" t="s">
        <v>10735</v>
      </c>
      <c r="L3044" s="47"/>
      <c r="M3044" s="47">
        <f t="shared" si="634"/>
        <v>1430.0000000000002</v>
      </c>
      <c r="N3044" s="47"/>
      <c r="O3044" s="47"/>
      <c r="P3044" s="47"/>
      <c r="Q3044" s="47">
        <f t="shared" si="633"/>
        <v>0</v>
      </c>
      <c r="R3044" s="47"/>
      <c r="S3044" s="47"/>
      <c r="T3044" s="47"/>
      <c r="U3044" s="47"/>
      <c r="V3044" s="47"/>
      <c r="W3044" s="47"/>
      <c r="X3044" s="47"/>
      <c r="Y3044" s="47"/>
      <c r="Z3044" s="47">
        <f t="shared" si="630"/>
        <v>4620</v>
      </c>
      <c r="AA3044" s="47"/>
      <c r="AB3044" s="47"/>
      <c r="AC3044" s="47"/>
      <c r="AD3044" s="47"/>
      <c r="AE3044" s="47">
        <f t="shared" si="635"/>
        <v>5000</v>
      </c>
      <c r="AF3044" s="47">
        <f t="shared" si="631"/>
        <v>1485</v>
      </c>
      <c r="AG3044" s="47"/>
      <c r="AH3044" s="47" t="str">
        <f>IFERROR(_xlfn.XLOOKUP(Table6[[#This Row],[Suburb]],Table5[Travel Surcharge],Table5[$$]),"")</f>
        <v/>
      </c>
      <c r="AI3044" s="47"/>
      <c r="AJ3044" s="47"/>
    </row>
    <row r="3045" spans="1:36">
      <c r="A3045" s="374" t="s">
        <v>4595</v>
      </c>
      <c r="B3045" s="374">
        <v>1</v>
      </c>
      <c r="C3045" s="374" t="s">
        <v>502</v>
      </c>
      <c r="D3045" s="375" t="str">
        <f t="shared" si="629"/>
        <v>Newhaven Estate1</v>
      </c>
      <c r="E3045" s="375" t="s">
        <v>4596</v>
      </c>
      <c r="F3045" s="375" t="s">
        <v>4597</v>
      </c>
      <c r="G3045" s="375" t="s">
        <v>4598</v>
      </c>
      <c r="H3045" s="375" t="s">
        <v>3854</v>
      </c>
      <c r="I3045" s="63" t="s">
        <v>4599</v>
      </c>
      <c r="J3045" s="47">
        <f t="shared" si="632"/>
        <v>3740</v>
      </c>
      <c r="K3045" s="46" t="s">
        <v>10735</v>
      </c>
      <c r="L3045" s="47"/>
      <c r="M3045" s="47">
        <f t="shared" si="634"/>
        <v>1430.0000000000002</v>
      </c>
      <c r="N3045" s="47"/>
      <c r="O3045" s="47"/>
      <c r="P3045" s="47"/>
      <c r="Q3045" s="47"/>
      <c r="R3045" s="47"/>
      <c r="S3045" s="47" t="s">
        <v>637</v>
      </c>
      <c r="T3045" s="47"/>
      <c r="U3045" s="47"/>
      <c r="V3045" s="47"/>
      <c r="W3045" s="47"/>
      <c r="X3045" s="47"/>
      <c r="Y3045" s="47"/>
      <c r="Z3045" s="47">
        <f t="shared" si="630"/>
        <v>4620</v>
      </c>
      <c r="AA3045" s="47"/>
      <c r="AB3045" s="47"/>
      <c r="AC3045" s="47"/>
      <c r="AD3045" s="47"/>
      <c r="AE3045" s="47"/>
      <c r="AF3045" s="47">
        <f t="shared" si="631"/>
        <v>1485</v>
      </c>
      <c r="AG3045" s="47"/>
      <c r="AH3045" s="47" t="str">
        <f>IFERROR(_xlfn.XLOOKUP(Table6[[#This Row],[Suburb]],Table5[Travel Surcharge],Table5[$$]),"")</f>
        <v/>
      </c>
      <c r="AI3045" s="47"/>
      <c r="AJ3045" s="47"/>
    </row>
    <row r="3046" spans="1:36">
      <c r="A3046" s="374" t="s">
        <v>4595</v>
      </c>
      <c r="B3046" s="374">
        <v>2</v>
      </c>
      <c r="C3046" s="374" t="s">
        <v>502</v>
      </c>
      <c r="D3046" s="375" t="str">
        <f t="shared" si="629"/>
        <v>Newhaven Estate2</v>
      </c>
      <c r="E3046" s="375" t="s">
        <v>4600</v>
      </c>
      <c r="F3046" s="375" t="s">
        <v>4597</v>
      </c>
      <c r="G3046" s="375" t="s">
        <v>4598</v>
      </c>
      <c r="H3046" s="375" t="s">
        <v>3854</v>
      </c>
      <c r="I3046" s="63" t="s">
        <v>4599</v>
      </c>
      <c r="J3046" s="47">
        <f t="shared" si="632"/>
        <v>3740</v>
      </c>
      <c r="K3046" s="46" t="s">
        <v>10735</v>
      </c>
      <c r="L3046" s="47"/>
      <c r="M3046" s="47">
        <f t="shared" si="634"/>
        <v>1430.0000000000002</v>
      </c>
      <c r="N3046" s="47"/>
      <c r="O3046" s="47" t="s">
        <v>4601</v>
      </c>
      <c r="P3046" s="47"/>
      <c r="Q3046" s="47"/>
      <c r="R3046" s="47"/>
      <c r="S3046" s="47" t="s">
        <v>637</v>
      </c>
      <c r="T3046" s="47"/>
      <c r="U3046" s="47"/>
      <c r="V3046" s="47"/>
      <c r="W3046" s="47"/>
      <c r="X3046" s="47"/>
      <c r="Y3046" s="47"/>
      <c r="Z3046" s="47">
        <f t="shared" si="630"/>
        <v>4620</v>
      </c>
      <c r="AA3046" s="47"/>
      <c r="AB3046" s="47"/>
      <c r="AC3046" s="47"/>
      <c r="AD3046" s="47"/>
      <c r="AE3046" s="47"/>
      <c r="AF3046" s="47">
        <f t="shared" si="631"/>
        <v>1485</v>
      </c>
      <c r="AG3046" s="47"/>
      <c r="AH3046" s="47" t="str">
        <f>IFERROR(_xlfn.XLOOKUP(Table6[[#This Row],[Suburb]],Table5[Travel Surcharge],Table5[$$]),"")</f>
        <v/>
      </c>
      <c r="AI3046" s="47"/>
      <c r="AJ3046" s="47"/>
    </row>
    <row r="3047" spans="1:36">
      <c r="A3047" s="374" t="s">
        <v>4595</v>
      </c>
      <c r="B3047" s="374">
        <v>3</v>
      </c>
      <c r="C3047" s="374" t="s">
        <v>502</v>
      </c>
      <c r="D3047" s="375" t="str">
        <f t="shared" si="629"/>
        <v>Newhaven Estate3</v>
      </c>
      <c r="E3047" s="375" t="s">
        <v>4602</v>
      </c>
      <c r="F3047" s="375" t="s">
        <v>4597</v>
      </c>
      <c r="G3047" s="375" t="s">
        <v>4598</v>
      </c>
      <c r="H3047" s="375" t="s">
        <v>3854</v>
      </c>
      <c r="I3047" s="63" t="s">
        <v>4599</v>
      </c>
      <c r="J3047" s="47">
        <f t="shared" si="632"/>
        <v>3740</v>
      </c>
      <c r="K3047" s="46" t="s">
        <v>10735</v>
      </c>
      <c r="L3047" s="47"/>
      <c r="M3047" s="47">
        <f t="shared" si="634"/>
        <v>1430.0000000000002</v>
      </c>
      <c r="N3047" s="47"/>
      <c r="O3047" s="47"/>
      <c r="P3047" s="47"/>
      <c r="Q3047" s="47"/>
      <c r="R3047" s="47"/>
      <c r="S3047" s="47" t="s">
        <v>637</v>
      </c>
      <c r="T3047" s="47"/>
      <c r="U3047" s="47"/>
      <c r="V3047" s="47"/>
      <c r="W3047" s="47"/>
      <c r="X3047" s="47"/>
      <c r="Y3047" s="47"/>
      <c r="Z3047" s="47">
        <f t="shared" si="630"/>
        <v>4620</v>
      </c>
      <c r="AA3047" s="47"/>
      <c r="AB3047" s="47"/>
      <c r="AC3047" s="47"/>
      <c r="AD3047" s="47"/>
      <c r="AE3047" s="47"/>
      <c r="AF3047" s="47">
        <f t="shared" si="631"/>
        <v>1485</v>
      </c>
      <c r="AG3047" s="47"/>
      <c r="AH3047" s="47" t="str">
        <f>IFERROR(_xlfn.XLOOKUP(Table6[[#This Row],[Suburb]],Table5[Travel Surcharge],Table5[$$]),"")</f>
        <v/>
      </c>
      <c r="AI3047" s="47"/>
      <c r="AJ3047" s="47"/>
    </row>
    <row r="3048" spans="1:36">
      <c r="A3048" s="374" t="s">
        <v>4595</v>
      </c>
      <c r="B3048" s="374">
        <v>4</v>
      </c>
      <c r="C3048" s="374" t="s">
        <v>502</v>
      </c>
      <c r="D3048" s="375" t="str">
        <f t="shared" si="629"/>
        <v>Newhaven Estate4</v>
      </c>
      <c r="E3048" s="375" t="s">
        <v>4603</v>
      </c>
      <c r="F3048" s="375" t="s">
        <v>4597</v>
      </c>
      <c r="G3048" s="375" t="s">
        <v>4598</v>
      </c>
      <c r="H3048" s="375" t="s">
        <v>3854</v>
      </c>
      <c r="I3048" s="63" t="s">
        <v>4599</v>
      </c>
      <c r="J3048" s="47">
        <f t="shared" si="632"/>
        <v>3740</v>
      </c>
      <c r="K3048" s="46" t="s">
        <v>10735</v>
      </c>
      <c r="L3048" s="47"/>
      <c r="M3048" s="47">
        <f t="shared" si="634"/>
        <v>1430.0000000000002</v>
      </c>
      <c r="N3048" s="47"/>
      <c r="O3048" s="47"/>
      <c r="P3048" s="47"/>
      <c r="Q3048" s="47"/>
      <c r="R3048" s="47"/>
      <c r="S3048" s="47" t="s">
        <v>637</v>
      </c>
      <c r="T3048" s="47"/>
      <c r="U3048" s="47"/>
      <c r="V3048" s="47"/>
      <c r="W3048" s="47"/>
      <c r="X3048" s="47"/>
      <c r="Y3048" s="47"/>
      <c r="Z3048" s="47">
        <f t="shared" si="630"/>
        <v>4620</v>
      </c>
      <c r="AA3048" s="47"/>
      <c r="AB3048" s="47"/>
      <c r="AC3048" s="47"/>
      <c r="AD3048" s="47"/>
      <c r="AE3048" s="47"/>
      <c r="AF3048" s="47">
        <f t="shared" si="631"/>
        <v>1485</v>
      </c>
      <c r="AG3048" s="47"/>
      <c r="AH3048" s="47" t="str">
        <f>IFERROR(_xlfn.XLOOKUP(Table6[[#This Row],[Suburb]],Table5[Travel Surcharge],Table5[$$]),"")</f>
        <v/>
      </c>
      <c r="AI3048" s="47"/>
      <c r="AJ3048" s="47"/>
    </row>
    <row r="3049" spans="1:36">
      <c r="A3049" s="374" t="s">
        <v>4595</v>
      </c>
      <c r="B3049" s="374">
        <v>5</v>
      </c>
      <c r="C3049" s="374" t="s">
        <v>502</v>
      </c>
      <c r="D3049" s="375" t="str">
        <f t="shared" si="629"/>
        <v>Newhaven Estate5</v>
      </c>
      <c r="E3049" s="375" t="s">
        <v>4604</v>
      </c>
      <c r="F3049" s="375" t="s">
        <v>4597</v>
      </c>
      <c r="G3049" s="375" t="s">
        <v>4598</v>
      </c>
      <c r="H3049" s="375" t="s">
        <v>3854</v>
      </c>
      <c r="I3049" s="63" t="s">
        <v>4599</v>
      </c>
      <c r="J3049" s="47">
        <f t="shared" si="632"/>
        <v>3740</v>
      </c>
      <c r="K3049" s="46" t="s">
        <v>10735</v>
      </c>
      <c r="L3049" s="47"/>
      <c r="M3049" s="47">
        <f t="shared" si="634"/>
        <v>1430.0000000000002</v>
      </c>
      <c r="N3049" s="47"/>
      <c r="O3049" s="47"/>
      <c r="P3049" s="47"/>
      <c r="Q3049" s="47"/>
      <c r="R3049" s="47"/>
      <c r="S3049" s="47" t="s">
        <v>637</v>
      </c>
      <c r="T3049" s="47"/>
      <c r="U3049" s="47"/>
      <c r="V3049" s="47"/>
      <c r="W3049" s="47"/>
      <c r="X3049" s="47"/>
      <c r="Y3049" s="47"/>
      <c r="Z3049" s="47">
        <f t="shared" si="630"/>
        <v>4620</v>
      </c>
      <c r="AA3049" s="47"/>
      <c r="AB3049" s="47"/>
      <c r="AC3049" s="47"/>
      <c r="AD3049" s="47"/>
      <c r="AE3049" s="47"/>
      <c r="AF3049" s="47">
        <f t="shared" si="631"/>
        <v>1485</v>
      </c>
      <c r="AG3049" s="47"/>
      <c r="AH3049" s="47" t="str">
        <f>IFERROR(_xlfn.XLOOKUP(Table6[[#This Row],[Suburb]],Table5[Travel Surcharge],Table5[$$]),"")</f>
        <v/>
      </c>
      <c r="AI3049" s="47"/>
      <c r="AJ3049" s="47"/>
    </row>
    <row r="3050" spans="1:36">
      <c r="A3050" s="374" t="s">
        <v>4595</v>
      </c>
      <c r="B3050" s="374">
        <v>6</v>
      </c>
      <c r="C3050" s="374" t="s">
        <v>502</v>
      </c>
      <c r="D3050" s="375" t="str">
        <f t="shared" si="629"/>
        <v>Newhaven Estate6</v>
      </c>
      <c r="E3050" s="375" t="s">
        <v>4605</v>
      </c>
      <c r="F3050" s="375" t="s">
        <v>4597</v>
      </c>
      <c r="G3050" s="375" t="s">
        <v>4598</v>
      </c>
      <c r="H3050" s="375" t="s">
        <v>3854</v>
      </c>
      <c r="I3050" s="63" t="s">
        <v>4599</v>
      </c>
      <c r="J3050" s="47">
        <f t="shared" si="632"/>
        <v>3740</v>
      </c>
      <c r="K3050" s="46" t="s">
        <v>10735</v>
      </c>
      <c r="L3050" s="47"/>
      <c r="M3050" s="47">
        <f t="shared" si="634"/>
        <v>1430.0000000000002</v>
      </c>
      <c r="N3050" s="47"/>
      <c r="O3050" s="47"/>
      <c r="P3050" s="47"/>
      <c r="Q3050" s="47"/>
      <c r="R3050" s="47"/>
      <c r="S3050" s="47" t="s">
        <v>637</v>
      </c>
      <c r="T3050" s="47"/>
      <c r="U3050" s="47"/>
      <c r="V3050" s="47"/>
      <c r="W3050" s="47"/>
      <c r="X3050" s="47"/>
      <c r="Y3050" s="47"/>
      <c r="Z3050" s="47">
        <f t="shared" si="630"/>
        <v>4620</v>
      </c>
      <c r="AA3050" s="47"/>
      <c r="AB3050" s="47"/>
      <c r="AC3050" s="47"/>
      <c r="AD3050" s="47"/>
      <c r="AE3050" s="47"/>
      <c r="AF3050" s="47">
        <f t="shared" si="631"/>
        <v>1485</v>
      </c>
      <c r="AG3050" s="47"/>
      <c r="AH3050" s="47" t="str">
        <f>IFERROR(_xlfn.XLOOKUP(Table6[[#This Row],[Suburb]],Table5[Travel Surcharge],Table5[$$]),"")</f>
        <v/>
      </c>
      <c r="AI3050" s="47"/>
      <c r="AJ3050" s="47"/>
    </row>
    <row r="3051" spans="1:36">
      <c r="A3051" s="374" t="s">
        <v>4595</v>
      </c>
      <c r="B3051" s="374">
        <v>8</v>
      </c>
      <c r="C3051" s="374" t="s">
        <v>502</v>
      </c>
      <c r="D3051" s="375" t="str">
        <f t="shared" si="629"/>
        <v>Newhaven Estate8</v>
      </c>
      <c r="E3051" s="375" t="s">
        <v>4607</v>
      </c>
      <c r="F3051" s="375" t="s">
        <v>4597</v>
      </c>
      <c r="G3051" s="375" t="s">
        <v>4598</v>
      </c>
      <c r="H3051" s="375" t="s">
        <v>3854</v>
      </c>
      <c r="I3051" s="63" t="s">
        <v>4599</v>
      </c>
      <c r="J3051" s="47">
        <f t="shared" si="632"/>
        <v>3740</v>
      </c>
      <c r="K3051" s="46" t="s">
        <v>10735</v>
      </c>
      <c r="L3051" s="47"/>
      <c r="M3051" s="47">
        <f t="shared" si="634"/>
        <v>1430.0000000000002</v>
      </c>
      <c r="N3051" s="47"/>
      <c r="O3051" s="47"/>
      <c r="P3051" s="47"/>
      <c r="Q3051" s="47"/>
      <c r="R3051" s="47"/>
      <c r="S3051" s="47" t="s">
        <v>637</v>
      </c>
      <c r="T3051" s="47"/>
      <c r="U3051" s="47"/>
      <c r="V3051" s="47"/>
      <c r="W3051" s="47"/>
      <c r="X3051" s="47"/>
      <c r="Y3051" s="47"/>
      <c r="Z3051" s="47">
        <f t="shared" si="630"/>
        <v>4620</v>
      </c>
      <c r="AA3051" s="47"/>
      <c r="AB3051" s="47"/>
      <c r="AC3051" s="47"/>
      <c r="AD3051" s="47"/>
      <c r="AE3051" s="47"/>
      <c r="AF3051" s="47">
        <f t="shared" si="631"/>
        <v>1485</v>
      </c>
      <c r="AG3051" s="47"/>
      <c r="AH3051" s="47" t="str">
        <f>IFERROR(_xlfn.XLOOKUP(Table6[[#This Row],[Suburb]],Table5[Travel Surcharge],Table5[$$]),"")</f>
        <v/>
      </c>
      <c r="AI3051" s="47"/>
      <c r="AJ3051" s="47"/>
    </row>
    <row r="3052" spans="1:36">
      <c r="A3052" s="374" t="s">
        <v>4595</v>
      </c>
      <c r="B3052" s="374">
        <v>9</v>
      </c>
      <c r="C3052" s="374" t="s">
        <v>502</v>
      </c>
      <c r="D3052" s="375" t="str">
        <f t="shared" si="629"/>
        <v>Newhaven Estate9</v>
      </c>
      <c r="E3052" s="375" t="s">
        <v>4608</v>
      </c>
      <c r="F3052" s="375" t="s">
        <v>4597</v>
      </c>
      <c r="G3052" s="375" t="s">
        <v>4598</v>
      </c>
      <c r="H3052" s="375" t="s">
        <v>3854</v>
      </c>
      <c r="I3052" s="63" t="s">
        <v>4599</v>
      </c>
      <c r="J3052" s="47">
        <f t="shared" si="632"/>
        <v>3740</v>
      </c>
      <c r="K3052" s="46" t="s">
        <v>10735</v>
      </c>
      <c r="L3052" s="47"/>
      <c r="M3052" s="47">
        <f t="shared" si="634"/>
        <v>1430.0000000000002</v>
      </c>
      <c r="N3052" s="47"/>
      <c r="O3052" s="47"/>
      <c r="P3052" s="47"/>
      <c r="Q3052" s="47"/>
      <c r="R3052" s="47"/>
      <c r="S3052" s="47" t="s">
        <v>637</v>
      </c>
      <c r="T3052" s="47"/>
      <c r="U3052" s="47"/>
      <c r="V3052" s="47"/>
      <c r="W3052" s="47"/>
      <c r="X3052" s="47"/>
      <c r="Y3052" s="47"/>
      <c r="Z3052" s="47">
        <f t="shared" si="630"/>
        <v>4620</v>
      </c>
      <c r="AA3052" s="47"/>
      <c r="AB3052" s="47"/>
      <c r="AC3052" s="47"/>
      <c r="AD3052" s="47"/>
      <c r="AE3052" s="47"/>
      <c r="AF3052" s="47">
        <f t="shared" si="631"/>
        <v>1485</v>
      </c>
      <c r="AG3052" s="47"/>
      <c r="AH3052" s="47" t="str">
        <f>IFERROR(_xlfn.XLOOKUP(Table6[[#This Row],[Suburb]],Table5[Travel Surcharge],Table5[$$]),"")</f>
        <v/>
      </c>
      <c r="AI3052" s="47"/>
      <c r="AJ3052" s="47"/>
    </row>
    <row r="3053" spans="1:36">
      <c r="A3053" s="374" t="s">
        <v>4595</v>
      </c>
      <c r="B3053" s="374">
        <v>10</v>
      </c>
      <c r="C3053" s="374" t="s">
        <v>502</v>
      </c>
      <c r="D3053" s="375" t="str">
        <f t="shared" si="629"/>
        <v>Newhaven Estate10</v>
      </c>
      <c r="E3053" s="375" t="s">
        <v>4609</v>
      </c>
      <c r="F3053" s="375" t="s">
        <v>4597</v>
      </c>
      <c r="G3053" s="375" t="s">
        <v>4598</v>
      </c>
      <c r="H3053" s="375" t="s">
        <v>3854</v>
      </c>
      <c r="I3053" s="63" t="s">
        <v>4599</v>
      </c>
      <c r="J3053" s="47">
        <f t="shared" si="632"/>
        <v>3740</v>
      </c>
      <c r="K3053" s="46" t="s">
        <v>10735</v>
      </c>
      <c r="L3053" s="47"/>
      <c r="M3053" s="47">
        <f t="shared" si="634"/>
        <v>1430.0000000000002</v>
      </c>
      <c r="N3053" s="47"/>
      <c r="O3053" s="47"/>
      <c r="P3053" s="47"/>
      <c r="Q3053" s="47"/>
      <c r="R3053" s="47"/>
      <c r="S3053" s="47" t="s">
        <v>637</v>
      </c>
      <c r="T3053" s="47"/>
      <c r="U3053" s="47"/>
      <c r="V3053" s="47"/>
      <c r="W3053" s="47"/>
      <c r="X3053" s="47"/>
      <c r="Y3053" s="47"/>
      <c r="Z3053" s="47">
        <f t="shared" si="630"/>
        <v>4620</v>
      </c>
      <c r="AA3053" s="47"/>
      <c r="AB3053" s="47"/>
      <c r="AC3053" s="47"/>
      <c r="AD3053" s="47"/>
      <c r="AE3053" s="47"/>
      <c r="AF3053" s="47">
        <f t="shared" si="631"/>
        <v>1485</v>
      </c>
      <c r="AG3053" s="47"/>
      <c r="AH3053" s="47" t="str">
        <f>IFERROR(_xlfn.XLOOKUP(Table6[[#This Row],[Suburb]],Table5[Travel Surcharge],Table5[$$]),"")</f>
        <v/>
      </c>
      <c r="AI3053" s="47"/>
      <c r="AJ3053" s="47"/>
    </row>
    <row r="3054" spans="1:36">
      <c r="A3054" s="374" t="s">
        <v>4595</v>
      </c>
      <c r="B3054" s="374">
        <v>11</v>
      </c>
      <c r="C3054" s="374" t="s">
        <v>502</v>
      </c>
      <c r="D3054" s="375" t="str">
        <f t="shared" si="629"/>
        <v>Newhaven Estate11</v>
      </c>
      <c r="E3054" s="375" t="s">
        <v>4610</v>
      </c>
      <c r="F3054" s="375" t="s">
        <v>4597</v>
      </c>
      <c r="G3054" s="375" t="s">
        <v>4598</v>
      </c>
      <c r="H3054" s="375" t="s">
        <v>3854</v>
      </c>
      <c r="I3054" s="63" t="s">
        <v>4599</v>
      </c>
      <c r="J3054" s="47">
        <f t="shared" si="632"/>
        <v>3740</v>
      </c>
      <c r="K3054" s="46" t="s">
        <v>10735</v>
      </c>
      <c r="L3054" s="47"/>
      <c r="M3054" s="47">
        <f t="shared" si="634"/>
        <v>1430.0000000000002</v>
      </c>
      <c r="N3054" s="47"/>
      <c r="O3054" s="47"/>
      <c r="P3054" s="47"/>
      <c r="Q3054" s="47"/>
      <c r="R3054" s="47"/>
      <c r="S3054" s="47" t="s">
        <v>637</v>
      </c>
      <c r="T3054" s="47"/>
      <c r="U3054" s="47"/>
      <c r="V3054" s="47"/>
      <c r="W3054" s="47"/>
      <c r="X3054" s="47"/>
      <c r="Y3054" s="47"/>
      <c r="Z3054" s="47">
        <f t="shared" si="630"/>
        <v>4620</v>
      </c>
      <c r="AA3054" s="47"/>
      <c r="AB3054" s="47"/>
      <c r="AC3054" s="47"/>
      <c r="AD3054" s="47"/>
      <c r="AE3054" s="47"/>
      <c r="AF3054" s="47">
        <f t="shared" si="631"/>
        <v>1485</v>
      </c>
      <c r="AG3054" s="47"/>
      <c r="AH3054" s="47" t="str">
        <f>IFERROR(_xlfn.XLOOKUP(Table6[[#This Row],[Suburb]],Table5[Travel Surcharge],Table5[$$]),"")</f>
        <v/>
      </c>
      <c r="AI3054" s="47"/>
      <c r="AJ3054" s="47"/>
    </row>
    <row r="3055" spans="1:36">
      <c r="A3055" s="374" t="s">
        <v>4595</v>
      </c>
      <c r="B3055" s="374">
        <v>12</v>
      </c>
      <c r="C3055" s="374" t="s">
        <v>502</v>
      </c>
      <c r="D3055" s="375" t="str">
        <f t="shared" si="629"/>
        <v>Newhaven Estate12</v>
      </c>
      <c r="E3055" s="375" t="s">
        <v>4611</v>
      </c>
      <c r="F3055" s="375" t="s">
        <v>4597</v>
      </c>
      <c r="G3055" s="375" t="s">
        <v>4598</v>
      </c>
      <c r="H3055" s="375" t="s">
        <v>3854</v>
      </c>
      <c r="I3055" s="63" t="s">
        <v>4599</v>
      </c>
      <c r="J3055" s="47">
        <f t="shared" si="632"/>
        <v>3740</v>
      </c>
      <c r="K3055" s="46" t="s">
        <v>10735</v>
      </c>
      <c r="L3055" s="47"/>
      <c r="M3055" s="47">
        <f t="shared" si="634"/>
        <v>1430.0000000000002</v>
      </c>
      <c r="N3055" s="47"/>
      <c r="O3055" s="47"/>
      <c r="P3055" s="47"/>
      <c r="Q3055" s="47"/>
      <c r="R3055" s="47"/>
      <c r="S3055" s="47" t="s">
        <v>637</v>
      </c>
      <c r="T3055" s="47"/>
      <c r="U3055" s="47"/>
      <c r="V3055" s="47"/>
      <c r="W3055" s="47"/>
      <c r="X3055" s="47"/>
      <c r="Y3055" s="47"/>
      <c r="Z3055" s="47">
        <f t="shared" si="630"/>
        <v>4620</v>
      </c>
      <c r="AA3055" s="47"/>
      <c r="AB3055" s="47"/>
      <c r="AC3055" s="47"/>
      <c r="AD3055" s="47"/>
      <c r="AE3055" s="47"/>
      <c r="AF3055" s="47">
        <f t="shared" si="631"/>
        <v>1485</v>
      </c>
      <c r="AG3055" s="47"/>
      <c r="AH3055" s="47" t="str">
        <f>IFERROR(_xlfn.XLOOKUP(Table6[[#This Row],[Suburb]],Table5[Travel Surcharge],Table5[$$]),"")</f>
        <v/>
      </c>
      <c r="AI3055" s="47"/>
      <c r="AJ3055" s="47"/>
    </row>
    <row r="3056" spans="1:36">
      <c r="A3056" s="374" t="s">
        <v>4595</v>
      </c>
      <c r="B3056" s="374">
        <v>13</v>
      </c>
      <c r="C3056" s="374" t="s">
        <v>502</v>
      </c>
      <c r="D3056" s="375" t="str">
        <f t="shared" si="629"/>
        <v>Newhaven Estate13</v>
      </c>
      <c r="E3056" s="375" t="s">
        <v>4612</v>
      </c>
      <c r="F3056" s="375" t="s">
        <v>4597</v>
      </c>
      <c r="G3056" s="375" t="s">
        <v>4598</v>
      </c>
      <c r="H3056" s="375" t="s">
        <v>3854</v>
      </c>
      <c r="I3056" s="63" t="s">
        <v>4599</v>
      </c>
      <c r="J3056" s="47">
        <f t="shared" si="632"/>
        <v>3740</v>
      </c>
      <c r="K3056" s="46" t="s">
        <v>10735</v>
      </c>
      <c r="L3056" s="47"/>
      <c r="M3056" s="47">
        <f t="shared" si="634"/>
        <v>1430.0000000000002</v>
      </c>
      <c r="N3056" s="47"/>
      <c r="O3056" s="47"/>
      <c r="P3056" s="47"/>
      <c r="Q3056" s="47"/>
      <c r="R3056" s="47"/>
      <c r="S3056" s="47" t="s">
        <v>637</v>
      </c>
      <c r="T3056" s="47"/>
      <c r="U3056" s="47"/>
      <c r="V3056" s="47"/>
      <c r="W3056" s="47"/>
      <c r="X3056" s="47"/>
      <c r="Y3056" s="47"/>
      <c r="Z3056" s="47">
        <f t="shared" si="630"/>
        <v>4620</v>
      </c>
      <c r="AA3056" s="47"/>
      <c r="AB3056" s="47"/>
      <c r="AC3056" s="47"/>
      <c r="AD3056" s="47"/>
      <c r="AE3056" s="47"/>
      <c r="AF3056" s="47">
        <f t="shared" si="631"/>
        <v>1485</v>
      </c>
      <c r="AG3056" s="47"/>
      <c r="AH3056" s="47" t="str">
        <f>IFERROR(_xlfn.XLOOKUP(Table6[[#This Row],[Suburb]],Table5[Travel Surcharge],Table5[$$]),"")</f>
        <v/>
      </c>
      <c r="AI3056" s="47"/>
      <c r="AJ3056" s="47"/>
    </row>
    <row r="3057" spans="1:36">
      <c r="A3057" s="374" t="s">
        <v>4595</v>
      </c>
      <c r="B3057" s="374">
        <v>14</v>
      </c>
      <c r="C3057" s="374" t="s">
        <v>502</v>
      </c>
      <c r="D3057" s="375" t="str">
        <f t="shared" ref="D3057:D3075" si="636">CONCATENATE(A3057,B3057)</f>
        <v>Newhaven Estate14</v>
      </c>
      <c r="E3057" s="375" t="s">
        <v>4613</v>
      </c>
      <c r="F3057" s="375" t="s">
        <v>4597</v>
      </c>
      <c r="G3057" s="375" t="s">
        <v>4598</v>
      </c>
      <c r="H3057" s="375" t="s">
        <v>3854</v>
      </c>
      <c r="I3057" s="63" t="s">
        <v>4599</v>
      </c>
      <c r="J3057" s="47">
        <f t="shared" si="632"/>
        <v>3740</v>
      </c>
      <c r="K3057" s="46" t="s">
        <v>10735</v>
      </c>
      <c r="L3057" s="47"/>
      <c r="M3057" s="47">
        <f t="shared" si="634"/>
        <v>1430.0000000000002</v>
      </c>
      <c r="N3057" s="47"/>
      <c r="O3057" s="47"/>
      <c r="P3057" s="47"/>
      <c r="Q3057" s="47"/>
      <c r="R3057" s="47"/>
      <c r="S3057" s="47" t="s">
        <v>637</v>
      </c>
      <c r="T3057" s="47"/>
      <c r="U3057" s="47"/>
      <c r="V3057" s="47"/>
      <c r="W3057" s="47"/>
      <c r="X3057" s="47"/>
      <c r="Y3057" s="47"/>
      <c r="Z3057" s="47">
        <f t="shared" si="630"/>
        <v>4620</v>
      </c>
      <c r="AA3057" s="47"/>
      <c r="AB3057" s="47"/>
      <c r="AC3057" s="47"/>
      <c r="AD3057" s="47"/>
      <c r="AE3057" s="47"/>
      <c r="AF3057" s="47">
        <f t="shared" si="631"/>
        <v>1485</v>
      </c>
      <c r="AG3057" s="47"/>
      <c r="AH3057" s="47" t="str">
        <f>IFERROR(_xlfn.XLOOKUP(Table6[[#This Row],[Suburb]],Table5[Travel Surcharge],Table5[$$]),"")</f>
        <v/>
      </c>
      <c r="AI3057" s="47"/>
      <c r="AJ3057" s="47"/>
    </row>
    <row r="3058" spans="1:36">
      <c r="A3058" s="374" t="s">
        <v>4595</v>
      </c>
      <c r="B3058" s="374">
        <v>15</v>
      </c>
      <c r="C3058" s="374" t="s">
        <v>502</v>
      </c>
      <c r="D3058" s="375" t="str">
        <f t="shared" si="636"/>
        <v>Newhaven Estate15</v>
      </c>
      <c r="E3058" s="375" t="s">
        <v>4614</v>
      </c>
      <c r="F3058" s="375" t="s">
        <v>4597</v>
      </c>
      <c r="G3058" s="375" t="s">
        <v>4598</v>
      </c>
      <c r="H3058" s="375" t="s">
        <v>3854</v>
      </c>
      <c r="I3058" s="63" t="s">
        <v>4599</v>
      </c>
      <c r="J3058" s="47">
        <f t="shared" si="632"/>
        <v>3740</v>
      </c>
      <c r="K3058" s="46" t="s">
        <v>10735</v>
      </c>
      <c r="L3058" s="47"/>
      <c r="M3058" s="47">
        <f t="shared" si="634"/>
        <v>1430.0000000000002</v>
      </c>
      <c r="N3058" s="47"/>
      <c r="O3058" s="47"/>
      <c r="P3058" s="47"/>
      <c r="Q3058" s="47"/>
      <c r="R3058" s="47"/>
      <c r="S3058" s="47" t="s">
        <v>637</v>
      </c>
      <c r="T3058" s="47"/>
      <c r="U3058" s="47"/>
      <c r="V3058" s="47"/>
      <c r="W3058" s="47"/>
      <c r="X3058" s="47"/>
      <c r="Y3058" s="47"/>
      <c r="Z3058" s="47">
        <f t="shared" si="630"/>
        <v>4620</v>
      </c>
      <c r="AA3058" s="47"/>
      <c r="AB3058" s="47"/>
      <c r="AC3058" s="47"/>
      <c r="AD3058" s="47"/>
      <c r="AE3058" s="47"/>
      <c r="AF3058" s="47">
        <f t="shared" si="631"/>
        <v>1485</v>
      </c>
      <c r="AG3058" s="47"/>
      <c r="AH3058" s="47" t="str">
        <f>IFERROR(_xlfn.XLOOKUP(Table6[[#This Row],[Suburb]],Table5[Travel Surcharge],Table5[$$]),"")</f>
        <v/>
      </c>
      <c r="AI3058" s="47"/>
      <c r="AJ3058" s="47"/>
    </row>
    <row r="3059" spans="1:36">
      <c r="A3059" s="374" t="s">
        <v>4595</v>
      </c>
      <c r="B3059" s="374">
        <v>16</v>
      </c>
      <c r="C3059" s="374" t="s">
        <v>502</v>
      </c>
      <c r="D3059" s="375" t="str">
        <f t="shared" si="636"/>
        <v>Newhaven Estate16</v>
      </c>
      <c r="E3059" s="375" t="s">
        <v>4615</v>
      </c>
      <c r="F3059" s="375" t="s">
        <v>4597</v>
      </c>
      <c r="G3059" s="375" t="s">
        <v>4598</v>
      </c>
      <c r="H3059" s="375" t="s">
        <v>3854</v>
      </c>
      <c r="I3059" s="63" t="s">
        <v>4599</v>
      </c>
      <c r="J3059" s="47">
        <f t="shared" si="632"/>
        <v>3740</v>
      </c>
      <c r="K3059" s="46" t="s">
        <v>10735</v>
      </c>
      <c r="L3059" s="47"/>
      <c r="M3059" s="47">
        <f t="shared" si="634"/>
        <v>1430.0000000000002</v>
      </c>
      <c r="N3059" s="47"/>
      <c r="O3059" s="47"/>
      <c r="P3059" s="47"/>
      <c r="Q3059" s="47"/>
      <c r="R3059" s="47"/>
      <c r="S3059" s="47" t="s">
        <v>637</v>
      </c>
      <c r="T3059" s="47"/>
      <c r="U3059" s="47"/>
      <c r="V3059" s="47"/>
      <c r="W3059" s="47"/>
      <c r="X3059" s="47"/>
      <c r="Y3059" s="47"/>
      <c r="Z3059" s="47">
        <f t="shared" si="630"/>
        <v>4620</v>
      </c>
      <c r="AA3059" s="47"/>
      <c r="AB3059" s="47"/>
      <c r="AC3059" s="47"/>
      <c r="AD3059" s="47"/>
      <c r="AE3059" s="47"/>
      <c r="AF3059" s="47">
        <f t="shared" si="631"/>
        <v>1485</v>
      </c>
      <c r="AG3059" s="47"/>
      <c r="AH3059" s="47" t="str">
        <f>IFERROR(_xlfn.XLOOKUP(Table6[[#This Row],[Suburb]],Table5[Travel Surcharge],Table5[$$]),"")</f>
        <v/>
      </c>
      <c r="AI3059" s="47"/>
      <c r="AJ3059" s="47"/>
    </row>
    <row r="3060" spans="1:36">
      <c r="A3060" s="374" t="s">
        <v>4595</v>
      </c>
      <c r="B3060" s="374">
        <v>17</v>
      </c>
      <c r="C3060" s="374" t="s">
        <v>502</v>
      </c>
      <c r="D3060" s="375" t="str">
        <f t="shared" si="636"/>
        <v>Newhaven Estate17</v>
      </c>
      <c r="E3060" s="375" t="s">
        <v>4616</v>
      </c>
      <c r="F3060" s="375" t="s">
        <v>4597</v>
      </c>
      <c r="G3060" s="375" t="s">
        <v>4598</v>
      </c>
      <c r="H3060" s="375" t="s">
        <v>3854</v>
      </c>
      <c r="I3060" s="63" t="s">
        <v>4599</v>
      </c>
      <c r="J3060" s="47">
        <f t="shared" si="632"/>
        <v>3740</v>
      </c>
      <c r="K3060" s="46" t="s">
        <v>10735</v>
      </c>
      <c r="L3060" s="47"/>
      <c r="M3060" s="47">
        <f t="shared" si="634"/>
        <v>1430.0000000000002</v>
      </c>
      <c r="N3060" s="47"/>
      <c r="O3060" s="47"/>
      <c r="P3060" s="47"/>
      <c r="Q3060" s="47"/>
      <c r="R3060" s="47"/>
      <c r="S3060" s="47" t="s">
        <v>637</v>
      </c>
      <c r="T3060" s="47"/>
      <c r="U3060" s="47"/>
      <c r="V3060" s="47"/>
      <c r="W3060" s="47"/>
      <c r="X3060" s="47"/>
      <c r="Y3060" s="47"/>
      <c r="Z3060" s="47">
        <f t="shared" si="630"/>
        <v>4620</v>
      </c>
      <c r="AA3060" s="47"/>
      <c r="AB3060" s="47"/>
      <c r="AC3060" s="47"/>
      <c r="AD3060" s="47"/>
      <c r="AE3060" s="47"/>
      <c r="AF3060" s="47">
        <f t="shared" si="631"/>
        <v>1485</v>
      </c>
      <c r="AG3060" s="47"/>
      <c r="AH3060" s="47" t="str">
        <f>IFERROR(_xlfn.XLOOKUP(Table6[[#This Row],[Suburb]],Table5[Travel Surcharge],Table5[$$]),"")</f>
        <v/>
      </c>
      <c r="AI3060" s="47"/>
      <c r="AJ3060" s="47"/>
    </row>
    <row r="3061" spans="1:36">
      <c r="A3061" s="374" t="s">
        <v>4595</v>
      </c>
      <c r="B3061" s="374">
        <v>18</v>
      </c>
      <c r="C3061" s="374" t="s">
        <v>502</v>
      </c>
      <c r="D3061" s="375" t="str">
        <f t="shared" si="636"/>
        <v>Newhaven Estate18</v>
      </c>
      <c r="E3061" s="375" t="s">
        <v>4617</v>
      </c>
      <c r="F3061" s="375" t="s">
        <v>4597</v>
      </c>
      <c r="G3061" s="375" t="s">
        <v>4598</v>
      </c>
      <c r="H3061" s="375" t="s">
        <v>3854</v>
      </c>
      <c r="I3061" s="63" t="s">
        <v>4599</v>
      </c>
      <c r="J3061" s="47">
        <f t="shared" si="632"/>
        <v>3740</v>
      </c>
      <c r="K3061" s="46" t="s">
        <v>10735</v>
      </c>
      <c r="L3061" s="47"/>
      <c r="M3061" s="47">
        <f t="shared" si="634"/>
        <v>1430.0000000000002</v>
      </c>
      <c r="N3061" s="47" t="s">
        <v>4618</v>
      </c>
      <c r="O3061" s="47"/>
      <c r="P3061" s="47"/>
      <c r="Q3061" s="47"/>
      <c r="R3061" s="47"/>
      <c r="S3061" s="47" t="s">
        <v>637</v>
      </c>
      <c r="T3061" s="47"/>
      <c r="U3061" s="47"/>
      <c r="V3061" s="47"/>
      <c r="W3061" s="47"/>
      <c r="X3061" s="47"/>
      <c r="Y3061" s="47"/>
      <c r="Z3061" s="47">
        <f t="shared" si="630"/>
        <v>4620</v>
      </c>
      <c r="AA3061" s="47"/>
      <c r="AB3061" s="47"/>
      <c r="AC3061" s="47"/>
      <c r="AD3061" s="47"/>
      <c r="AE3061" s="47"/>
      <c r="AF3061" s="47">
        <f t="shared" si="631"/>
        <v>1485</v>
      </c>
      <c r="AG3061" s="47"/>
      <c r="AH3061" s="47" t="str">
        <f>IFERROR(_xlfn.XLOOKUP(Table6[[#This Row],[Suburb]],Table5[Travel Surcharge],Table5[$$]),"")</f>
        <v/>
      </c>
      <c r="AI3061" s="47"/>
      <c r="AJ3061" s="47"/>
    </row>
    <row r="3062" spans="1:36">
      <c r="A3062" s="374" t="s">
        <v>4595</v>
      </c>
      <c r="B3062" s="374">
        <v>19</v>
      </c>
      <c r="C3062" s="374" t="s">
        <v>502</v>
      </c>
      <c r="D3062" s="375" t="str">
        <f t="shared" si="636"/>
        <v>Newhaven Estate19</v>
      </c>
      <c r="E3062" s="375" t="s">
        <v>4619</v>
      </c>
      <c r="F3062" s="375" t="s">
        <v>4597</v>
      </c>
      <c r="G3062" s="375" t="s">
        <v>4598</v>
      </c>
      <c r="H3062" s="375" t="s">
        <v>3854</v>
      </c>
      <c r="I3062" s="63" t="s">
        <v>4599</v>
      </c>
      <c r="J3062" s="47">
        <f t="shared" si="632"/>
        <v>3740</v>
      </c>
      <c r="K3062" s="46" t="s">
        <v>10735</v>
      </c>
      <c r="L3062" s="47"/>
      <c r="M3062" s="47">
        <f t="shared" si="634"/>
        <v>1430.0000000000002</v>
      </c>
      <c r="N3062" s="47" t="s">
        <v>4618</v>
      </c>
      <c r="O3062" s="47"/>
      <c r="P3062" s="47"/>
      <c r="Q3062" s="47"/>
      <c r="R3062" s="47"/>
      <c r="S3062" s="47" t="s">
        <v>637</v>
      </c>
      <c r="T3062" s="47"/>
      <c r="U3062" s="47"/>
      <c r="V3062" s="47"/>
      <c r="W3062" s="47"/>
      <c r="X3062" s="47"/>
      <c r="Y3062" s="47"/>
      <c r="Z3062" s="47">
        <f t="shared" si="630"/>
        <v>4620</v>
      </c>
      <c r="AA3062" s="47"/>
      <c r="AB3062" s="47"/>
      <c r="AC3062" s="47"/>
      <c r="AD3062" s="47"/>
      <c r="AE3062" s="47"/>
      <c r="AF3062" s="47">
        <f t="shared" si="631"/>
        <v>1485</v>
      </c>
      <c r="AG3062" s="47"/>
      <c r="AH3062" s="47" t="str">
        <f>IFERROR(_xlfn.XLOOKUP(Table6[[#This Row],[Suburb]],Table5[Travel Surcharge],Table5[$$]),"")</f>
        <v/>
      </c>
      <c r="AI3062" s="47"/>
      <c r="AJ3062" s="47"/>
    </row>
    <row r="3063" spans="1:36">
      <c r="A3063" s="374" t="s">
        <v>4595</v>
      </c>
      <c r="B3063" s="374">
        <v>20</v>
      </c>
      <c r="C3063" s="374" t="s">
        <v>502</v>
      </c>
      <c r="D3063" s="375" t="str">
        <f t="shared" si="636"/>
        <v>Newhaven Estate20</v>
      </c>
      <c r="E3063" s="375" t="s">
        <v>4620</v>
      </c>
      <c r="F3063" s="375" t="s">
        <v>4597</v>
      </c>
      <c r="G3063" s="375" t="s">
        <v>4598</v>
      </c>
      <c r="H3063" s="375" t="s">
        <v>3854</v>
      </c>
      <c r="I3063" s="63" t="s">
        <v>4599</v>
      </c>
      <c r="J3063" s="47">
        <f t="shared" si="632"/>
        <v>3740</v>
      </c>
      <c r="K3063" s="46" t="s">
        <v>10735</v>
      </c>
      <c r="L3063" s="47"/>
      <c r="M3063" s="47">
        <f t="shared" si="634"/>
        <v>1430.0000000000002</v>
      </c>
      <c r="N3063" s="47" t="s">
        <v>4618</v>
      </c>
      <c r="O3063" s="47"/>
      <c r="P3063" s="47"/>
      <c r="Q3063" s="47"/>
      <c r="R3063" s="47"/>
      <c r="S3063" s="47" t="s">
        <v>637</v>
      </c>
      <c r="T3063" s="47"/>
      <c r="U3063" s="47"/>
      <c r="V3063" s="47"/>
      <c r="W3063" s="47"/>
      <c r="X3063" s="47"/>
      <c r="Y3063" s="47"/>
      <c r="Z3063" s="47">
        <f t="shared" si="630"/>
        <v>4620</v>
      </c>
      <c r="AA3063" s="47"/>
      <c r="AB3063" s="47"/>
      <c r="AC3063" s="47"/>
      <c r="AD3063" s="47"/>
      <c r="AE3063" s="47"/>
      <c r="AF3063" s="47">
        <f t="shared" si="631"/>
        <v>1485</v>
      </c>
      <c r="AG3063" s="47"/>
      <c r="AH3063" s="47" t="str">
        <f>IFERROR(_xlfn.XLOOKUP(Table6[[#This Row],[Suburb]],Table5[Travel Surcharge],Table5[$$]),"")</f>
        <v/>
      </c>
      <c r="AI3063" s="47"/>
      <c r="AJ3063" s="47"/>
    </row>
    <row r="3064" spans="1:36">
      <c r="A3064" s="374" t="s">
        <v>4595</v>
      </c>
      <c r="B3064" s="374">
        <v>21</v>
      </c>
      <c r="C3064" s="374" t="s">
        <v>502</v>
      </c>
      <c r="D3064" s="375" t="str">
        <f t="shared" si="636"/>
        <v>Newhaven Estate21</v>
      </c>
      <c r="E3064" s="375" t="s">
        <v>4621</v>
      </c>
      <c r="F3064" s="375" t="s">
        <v>4597</v>
      </c>
      <c r="G3064" s="375" t="s">
        <v>4598</v>
      </c>
      <c r="H3064" s="375" t="s">
        <v>3854</v>
      </c>
      <c r="I3064" s="63" t="s">
        <v>4599</v>
      </c>
      <c r="J3064" s="47">
        <f t="shared" si="632"/>
        <v>3740</v>
      </c>
      <c r="K3064" s="46" t="s">
        <v>10735</v>
      </c>
      <c r="L3064" s="47"/>
      <c r="M3064" s="47">
        <f t="shared" si="634"/>
        <v>1430.0000000000002</v>
      </c>
      <c r="N3064" s="47" t="s">
        <v>4618</v>
      </c>
      <c r="O3064" s="47"/>
      <c r="P3064" s="47"/>
      <c r="Q3064" s="47"/>
      <c r="R3064" s="47"/>
      <c r="S3064" s="47" t="s">
        <v>637</v>
      </c>
      <c r="T3064" s="47"/>
      <c r="U3064" s="47"/>
      <c r="V3064" s="47"/>
      <c r="W3064" s="47"/>
      <c r="X3064" s="47"/>
      <c r="Y3064" s="47"/>
      <c r="Z3064" s="47">
        <f t="shared" si="630"/>
        <v>4620</v>
      </c>
      <c r="AA3064" s="47"/>
      <c r="AB3064" s="47"/>
      <c r="AC3064" s="47"/>
      <c r="AD3064" s="47"/>
      <c r="AE3064" s="47"/>
      <c r="AF3064" s="47">
        <f t="shared" si="631"/>
        <v>1485</v>
      </c>
      <c r="AG3064" s="47"/>
      <c r="AH3064" s="47" t="str">
        <f>IFERROR(_xlfn.XLOOKUP(Table6[[#This Row],[Suburb]],Table5[Travel Surcharge],Table5[$$]),"")</f>
        <v/>
      </c>
      <c r="AI3064" s="47"/>
      <c r="AJ3064" s="47"/>
    </row>
    <row r="3065" spans="1:36">
      <c r="A3065" s="157" t="s">
        <v>4595</v>
      </c>
      <c r="B3065" s="157">
        <v>22</v>
      </c>
      <c r="C3065" s="157" t="s">
        <v>8090</v>
      </c>
      <c r="D3065" s="157" t="str">
        <f t="shared" si="636"/>
        <v>Newhaven Estate22</v>
      </c>
      <c r="E3065" s="157" t="s">
        <v>8463</v>
      </c>
      <c r="F3065" s="157" t="s">
        <v>4597</v>
      </c>
      <c r="G3065" s="157" t="s">
        <v>4598</v>
      </c>
      <c r="H3065" s="157" t="s">
        <v>8462</v>
      </c>
      <c r="I3065" s="158" t="s">
        <v>4599</v>
      </c>
      <c r="J3065" s="47">
        <f t="shared" si="632"/>
        <v>3740</v>
      </c>
      <c r="K3065" s="46" t="s">
        <v>10735</v>
      </c>
      <c r="L3065" s="47"/>
      <c r="M3065" s="47">
        <f t="shared" si="634"/>
        <v>1430.0000000000002</v>
      </c>
      <c r="N3065" s="47" t="s">
        <v>4618</v>
      </c>
      <c r="O3065" s="47"/>
      <c r="P3065" s="47"/>
      <c r="Q3065" s="47"/>
      <c r="R3065" s="47"/>
      <c r="S3065" s="47" t="s">
        <v>637</v>
      </c>
      <c r="T3065" s="47"/>
      <c r="U3065" s="47"/>
      <c r="V3065" s="47"/>
      <c r="W3065" s="47"/>
      <c r="X3065" s="47"/>
      <c r="Y3065" s="47"/>
      <c r="Z3065" s="47">
        <f t="shared" si="630"/>
        <v>4620</v>
      </c>
      <c r="AA3065" s="47"/>
      <c r="AB3065" s="47"/>
      <c r="AC3065" s="47"/>
      <c r="AD3065" s="47"/>
      <c r="AE3065" s="47"/>
      <c r="AF3065" s="47">
        <f t="shared" si="631"/>
        <v>1485</v>
      </c>
      <c r="AG3065" s="47"/>
      <c r="AH3065" s="47" t="str">
        <f>IFERROR(_xlfn.XLOOKUP(Table6[[#This Row],[Suburb]],Table5[Travel Surcharge],Table5[$$]),"")</f>
        <v/>
      </c>
      <c r="AI3065" s="47"/>
      <c r="AJ3065" s="47"/>
    </row>
    <row r="3066" spans="1:36">
      <c r="A3066" s="157" t="s">
        <v>4595</v>
      </c>
      <c r="B3066" s="157">
        <v>23</v>
      </c>
      <c r="C3066" s="157" t="s">
        <v>8090</v>
      </c>
      <c r="D3066" s="157" t="str">
        <f t="shared" si="636"/>
        <v>Newhaven Estate23</v>
      </c>
      <c r="E3066" s="157" t="s">
        <v>9179</v>
      </c>
      <c r="F3066" s="157" t="s">
        <v>4597</v>
      </c>
      <c r="G3066" s="157" t="s">
        <v>4598</v>
      </c>
      <c r="H3066" s="157" t="s">
        <v>8462</v>
      </c>
      <c r="I3066" s="158" t="s">
        <v>4599</v>
      </c>
      <c r="J3066" s="47">
        <f t="shared" si="632"/>
        <v>3740</v>
      </c>
      <c r="K3066" s="46" t="s">
        <v>10735</v>
      </c>
      <c r="L3066" s="47"/>
      <c r="M3066" s="47">
        <f t="shared" si="634"/>
        <v>1430.0000000000002</v>
      </c>
      <c r="N3066" s="47" t="s">
        <v>4618</v>
      </c>
      <c r="O3066" s="47"/>
      <c r="P3066" s="47"/>
      <c r="Q3066" s="47"/>
      <c r="R3066" s="47"/>
      <c r="S3066" s="47" t="s">
        <v>637</v>
      </c>
      <c r="T3066" s="47"/>
      <c r="U3066" s="47"/>
      <c r="V3066" s="47"/>
      <c r="W3066" s="47"/>
      <c r="X3066" s="47"/>
      <c r="Y3066" s="47"/>
      <c r="Z3066" s="47">
        <f t="shared" si="630"/>
        <v>4620</v>
      </c>
      <c r="AA3066" s="47"/>
      <c r="AB3066" s="47"/>
      <c r="AC3066" s="47"/>
      <c r="AD3066" s="47"/>
      <c r="AE3066" s="47"/>
      <c r="AF3066" s="47">
        <f t="shared" si="631"/>
        <v>1485</v>
      </c>
      <c r="AG3066" s="47"/>
      <c r="AH3066" s="47" t="str">
        <f>IFERROR(_xlfn.XLOOKUP(Table6[[#This Row],[Suburb]],Table5[Travel Surcharge],Table5[$$]),"")</f>
        <v/>
      </c>
      <c r="AI3066" s="47"/>
      <c r="AJ3066" s="47"/>
    </row>
    <row r="3067" spans="1:36">
      <c r="A3067" s="157" t="s">
        <v>4595</v>
      </c>
      <c r="B3067" s="157">
        <v>26</v>
      </c>
      <c r="C3067" s="157" t="s">
        <v>502</v>
      </c>
      <c r="D3067" s="157" t="str">
        <f t="shared" si="636"/>
        <v>Newhaven Estate26</v>
      </c>
      <c r="E3067" s="157" t="s">
        <v>8325</v>
      </c>
      <c r="F3067" s="157" t="s">
        <v>4597</v>
      </c>
      <c r="G3067" s="157" t="s">
        <v>4598</v>
      </c>
      <c r="H3067" s="157" t="s">
        <v>3854</v>
      </c>
      <c r="I3067" s="158" t="s">
        <v>4599</v>
      </c>
      <c r="J3067" s="47">
        <f t="shared" si="632"/>
        <v>3740</v>
      </c>
      <c r="K3067" s="46" t="s">
        <v>10735</v>
      </c>
      <c r="L3067" s="47"/>
      <c r="M3067" s="47">
        <f t="shared" si="634"/>
        <v>1430.0000000000002</v>
      </c>
      <c r="N3067" s="47" t="s">
        <v>4618</v>
      </c>
      <c r="O3067" s="47"/>
      <c r="P3067" s="47"/>
      <c r="Q3067" s="47"/>
      <c r="R3067" s="47"/>
      <c r="S3067" s="47" t="s">
        <v>637</v>
      </c>
      <c r="T3067" s="47"/>
      <c r="U3067" s="47"/>
      <c r="V3067" s="47"/>
      <c r="W3067" s="47"/>
      <c r="X3067" s="47"/>
      <c r="Y3067" s="47"/>
      <c r="Z3067" s="47">
        <f t="shared" si="630"/>
        <v>4620</v>
      </c>
      <c r="AA3067" s="47"/>
      <c r="AB3067" s="47"/>
      <c r="AC3067" s="47"/>
      <c r="AD3067" s="47" t="s">
        <v>8326</v>
      </c>
      <c r="AE3067" s="47"/>
      <c r="AF3067" s="47">
        <f t="shared" si="631"/>
        <v>1485</v>
      </c>
      <c r="AG3067" s="47"/>
      <c r="AH3067" s="47" t="str">
        <f>IFERROR(_xlfn.XLOOKUP(Table6[[#This Row],[Suburb]],Table5[Travel Surcharge],Table5[$$]),"")</f>
        <v/>
      </c>
      <c r="AI3067" s="47"/>
      <c r="AJ3067" s="47"/>
    </row>
    <row r="3068" spans="1:36">
      <c r="A3068" s="374" t="s">
        <v>4595</v>
      </c>
      <c r="B3068" s="374">
        <v>28</v>
      </c>
      <c r="C3068" s="374" t="s">
        <v>502</v>
      </c>
      <c r="D3068" s="375" t="str">
        <f t="shared" si="636"/>
        <v>Newhaven Estate28</v>
      </c>
      <c r="E3068" s="375" t="s">
        <v>10461</v>
      </c>
      <c r="F3068" s="375" t="s">
        <v>4597</v>
      </c>
      <c r="G3068" s="375" t="s">
        <v>4598</v>
      </c>
      <c r="H3068" s="375" t="s">
        <v>3854</v>
      </c>
      <c r="I3068" s="63" t="s">
        <v>4599</v>
      </c>
      <c r="J3068" s="47">
        <v>3740</v>
      </c>
      <c r="K3068" s="46" t="s">
        <v>10735</v>
      </c>
      <c r="L3068" s="47"/>
      <c r="M3068" s="47">
        <v>1430.0000000000002</v>
      </c>
      <c r="N3068" s="47" t="s">
        <v>4618</v>
      </c>
      <c r="O3068" s="47"/>
      <c r="P3068" s="47"/>
      <c r="Q3068" s="47"/>
      <c r="R3068" s="47"/>
      <c r="S3068" s="47" t="s">
        <v>637</v>
      </c>
      <c r="T3068" s="47"/>
      <c r="U3068" s="47"/>
      <c r="V3068" s="47"/>
      <c r="W3068" s="47"/>
      <c r="X3068" s="47"/>
      <c r="Y3068" s="47"/>
      <c r="Z3068" s="47">
        <v>4620</v>
      </c>
      <c r="AA3068" s="47"/>
      <c r="AB3068" s="47"/>
      <c r="AC3068" s="47"/>
      <c r="AD3068" s="47"/>
      <c r="AE3068" s="47"/>
      <c r="AF3068" s="47">
        <v>1485</v>
      </c>
      <c r="AG3068" s="47"/>
      <c r="AH3068" s="47" t="s">
        <v>9976</v>
      </c>
      <c r="AI3068" s="47"/>
      <c r="AJ3068" s="47"/>
    </row>
    <row r="3069" spans="1:36">
      <c r="A3069" s="374" t="s">
        <v>4595</v>
      </c>
      <c r="B3069" s="374">
        <v>29</v>
      </c>
      <c r="C3069" s="374" t="s">
        <v>502</v>
      </c>
      <c r="D3069" s="375" t="str">
        <f t="shared" si="636"/>
        <v>Newhaven Estate29</v>
      </c>
      <c r="E3069" s="375" t="s">
        <v>10730</v>
      </c>
      <c r="F3069" s="375" t="s">
        <v>4597</v>
      </c>
      <c r="G3069" s="375" t="s">
        <v>4598</v>
      </c>
      <c r="H3069" s="375" t="s">
        <v>3854</v>
      </c>
      <c r="I3069" s="63" t="s">
        <v>4599</v>
      </c>
      <c r="J3069" s="47">
        <v>3740</v>
      </c>
      <c r="K3069" s="46" t="s">
        <v>10735</v>
      </c>
      <c r="L3069" s="47"/>
      <c r="M3069" s="47">
        <v>1430.0000000000002</v>
      </c>
      <c r="N3069" s="47" t="s">
        <v>4618</v>
      </c>
      <c r="O3069" s="47"/>
      <c r="P3069" s="47"/>
      <c r="Q3069" s="47"/>
      <c r="R3069" s="47"/>
      <c r="S3069" s="47" t="s">
        <v>637</v>
      </c>
      <c r="T3069" s="47"/>
      <c r="U3069" s="47"/>
      <c r="V3069" s="47"/>
      <c r="W3069" s="47"/>
      <c r="X3069" s="47"/>
      <c r="Y3069" s="47"/>
      <c r="Z3069" s="47">
        <v>4620</v>
      </c>
      <c r="AA3069" s="47"/>
      <c r="AB3069" s="47"/>
      <c r="AC3069" s="47"/>
      <c r="AD3069" s="47"/>
      <c r="AE3069" s="47"/>
      <c r="AF3069" s="47">
        <v>1485</v>
      </c>
      <c r="AG3069" s="47"/>
      <c r="AH3069" s="47" t="s">
        <v>9976</v>
      </c>
      <c r="AI3069" s="47"/>
      <c r="AJ3069" s="47"/>
    </row>
    <row r="3070" spans="1:36">
      <c r="A3070" s="374" t="s">
        <v>4595</v>
      </c>
      <c r="B3070" s="374" t="s">
        <v>1630</v>
      </c>
      <c r="C3070" s="374" t="s">
        <v>502</v>
      </c>
      <c r="D3070" s="375" t="str">
        <f t="shared" si="636"/>
        <v>Newhaven Estate7B</v>
      </c>
      <c r="E3070" s="375" t="s">
        <v>4606</v>
      </c>
      <c r="F3070" s="375" t="s">
        <v>4597</v>
      </c>
      <c r="G3070" s="375" t="s">
        <v>4598</v>
      </c>
      <c r="H3070" s="375" t="s">
        <v>3854</v>
      </c>
      <c r="I3070" s="63" t="s">
        <v>4599</v>
      </c>
      <c r="J3070" s="47">
        <f t="shared" si="632"/>
        <v>3740</v>
      </c>
      <c r="K3070" s="46" t="s">
        <v>10735</v>
      </c>
      <c r="L3070" s="47"/>
      <c r="M3070" s="47">
        <f t="shared" si="634"/>
        <v>1430.0000000000002</v>
      </c>
      <c r="N3070" s="47"/>
      <c r="O3070" s="47"/>
      <c r="P3070" s="47"/>
      <c r="Q3070" s="47"/>
      <c r="R3070" s="47"/>
      <c r="S3070" s="47" t="s">
        <v>637</v>
      </c>
      <c r="T3070" s="47"/>
      <c r="U3070" s="47"/>
      <c r="V3070" s="47"/>
      <c r="W3070" s="47"/>
      <c r="X3070" s="47"/>
      <c r="Y3070" s="47"/>
      <c r="Z3070" s="47">
        <f t="shared" si="630"/>
        <v>4620</v>
      </c>
      <c r="AA3070" s="47"/>
      <c r="AB3070" s="47"/>
      <c r="AC3070" s="47"/>
      <c r="AD3070" s="47"/>
      <c r="AE3070" s="47"/>
      <c r="AF3070" s="47">
        <f t="shared" si="631"/>
        <v>1485</v>
      </c>
      <c r="AG3070" s="47"/>
      <c r="AH3070" s="47" t="str">
        <f>IFERROR(_xlfn.XLOOKUP(Table6[[#This Row],[Suburb]],Table5[Travel Surcharge],Table5[$$]),"")</f>
        <v/>
      </c>
      <c r="AI3070" s="47"/>
      <c r="AJ3070" s="47"/>
    </row>
    <row r="3071" spans="1:36">
      <c r="A3071" s="374" t="s">
        <v>4622</v>
      </c>
      <c r="B3071" s="374">
        <v>1</v>
      </c>
      <c r="C3071" s="374" t="s">
        <v>282</v>
      </c>
      <c r="D3071" s="375" t="str">
        <f t="shared" si="636"/>
        <v>Newmarque Estate1</v>
      </c>
      <c r="E3071" s="375" t="s">
        <v>4623</v>
      </c>
      <c r="F3071" s="375" t="s">
        <v>4624</v>
      </c>
      <c r="G3071" s="375" t="s">
        <v>4625</v>
      </c>
      <c r="H3071" s="375" t="s">
        <v>4626</v>
      </c>
      <c r="I3071" s="63" t="s">
        <v>4627</v>
      </c>
      <c r="J3071" s="47">
        <f t="shared" si="632"/>
        <v>3740</v>
      </c>
      <c r="K3071" s="46" t="s">
        <v>10735</v>
      </c>
      <c r="L3071" s="47"/>
      <c r="M3071" s="47" t="s">
        <v>4628</v>
      </c>
      <c r="N3071" s="47" t="s">
        <v>4629</v>
      </c>
      <c r="O3071" s="47">
        <f>O$7</f>
        <v>4950</v>
      </c>
      <c r="P3071" s="47"/>
      <c r="Q3071" s="47"/>
      <c r="R3071" s="47"/>
      <c r="S3071" s="47" t="s">
        <v>4630</v>
      </c>
      <c r="T3071" s="47"/>
      <c r="U3071" s="47"/>
      <c r="V3071" s="47"/>
      <c r="W3071" s="47"/>
      <c r="X3071" s="47"/>
      <c r="Y3071" s="47"/>
      <c r="Z3071" s="47">
        <f t="shared" si="630"/>
        <v>4620</v>
      </c>
      <c r="AA3071" s="47"/>
      <c r="AB3071" s="47"/>
      <c r="AC3071" s="47"/>
      <c r="AD3071" s="47"/>
      <c r="AE3071" s="47"/>
      <c r="AF3071" s="47">
        <f t="shared" si="631"/>
        <v>1485</v>
      </c>
      <c r="AG3071" s="47"/>
      <c r="AH3071" s="47">
        <f>IFERROR(_xlfn.XLOOKUP(Table6[[#This Row],[Suburb]],Table5[Travel Surcharge],Table5[$$]),"")</f>
        <v>8000</v>
      </c>
      <c r="AI3071" s="47"/>
      <c r="AJ3071" s="47">
        <f>AJ$7</f>
        <v>4400</v>
      </c>
    </row>
    <row r="3072" spans="1:36">
      <c r="A3072" s="374" t="s">
        <v>4622</v>
      </c>
      <c r="B3072" s="374">
        <v>3</v>
      </c>
      <c r="C3072" s="374" t="s">
        <v>282</v>
      </c>
      <c r="D3072" s="375" t="str">
        <f t="shared" si="636"/>
        <v>Newmarque Estate3</v>
      </c>
      <c r="E3072" s="375" t="s">
        <v>4631</v>
      </c>
      <c r="F3072" s="375" t="s">
        <v>4624</v>
      </c>
      <c r="G3072" s="375" t="s">
        <v>4625</v>
      </c>
      <c r="H3072" s="375" t="s">
        <v>4626</v>
      </c>
      <c r="I3072" s="63" t="s">
        <v>4627</v>
      </c>
      <c r="J3072" s="47">
        <f t="shared" si="632"/>
        <v>3740</v>
      </c>
      <c r="K3072" s="46" t="s">
        <v>10735</v>
      </c>
      <c r="L3072" s="47"/>
      <c r="M3072" s="47" t="s">
        <v>4628</v>
      </c>
      <c r="N3072" s="47" t="s">
        <v>4629</v>
      </c>
      <c r="O3072" s="47">
        <f>O$7</f>
        <v>4950</v>
      </c>
      <c r="P3072" s="47"/>
      <c r="Q3072" s="47"/>
      <c r="R3072" s="47"/>
      <c r="S3072" s="47" t="s">
        <v>4630</v>
      </c>
      <c r="T3072" s="47"/>
      <c r="U3072" s="47"/>
      <c r="V3072" s="47"/>
      <c r="W3072" s="47"/>
      <c r="X3072" s="47"/>
      <c r="Y3072" s="47"/>
      <c r="Z3072" s="47">
        <f t="shared" si="630"/>
        <v>4620</v>
      </c>
      <c r="AA3072" s="47"/>
      <c r="AB3072" s="47"/>
      <c r="AC3072" s="47"/>
      <c r="AD3072" s="47"/>
      <c r="AE3072" s="47"/>
      <c r="AF3072" s="47">
        <f t="shared" si="631"/>
        <v>1485</v>
      </c>
      <c r="AG3072" s="47"/>
      <c r="AH3072" s="47">
        <f>IFERROR(_xlfn.XLOOKUP(Table6[[#This Row],[Suburb]],Table5[Travel Surcharge],Table5[$$]),"")</f>
        <v>8000</v>
      </c>
      <c r="AI3072" s="47"/>
      <c r="AJ3072" s="47">
        <f>AJ$7</f>
        <v>4400</v>
      </c>
    </row>
    <row r="3073" spans="1:36">
      <c r="A3073" s="374" t="s">
        <v>4622</v>
      </c>
      <c r="B3073" s="374">
        <v>4</v>
      </c>
      <c r="C3073" s="374" t="s">
        <v>282</v>
      </c>
      <c r="D3073" s="375" t="str">
        <f t="shared" si="636"/>
        <v>Newmarque Estate4</v>
      </c>
      <c r="E3073" s="375" t="s">
        <v>4632</v>
      </c>
      <c r="F3073" s="375" t="s">
        <v>4624</v>
      </c>
      <c r="G3073" s="375" t="s">
        <v>4625</v>
      </c>
      <c r="H3073" s="375" t="s">
        <v>4626</v>
      </c>
      <c r="I3073" s="63" t="s">
        <v>4627</v>
      </c>
      <c r="J3073" s="47">
        <f t="shared" si="632"/>
        <v>3740</v>
      </c>
      <c r="K3073" s="46" t="s">
        <v>10735</v>
      </c>
      <c r="L3073" s="47"/>
      <c r="M3073" s="47" t="s">
        <v>4628</v>
      </c>
      <c r="N3073" s="47" t="s">
        <v>4629</v>
      </c>
      <c r="O3073" s="47">
        <f>O$7</f>
        <v>4950</v>
      </c>
      <c r="P3073" s="47"/>
      <c r="Q3073" s="47"/>
      <c r="R3073" s="47"/>
      <c r="S3073" s="47" t="s">
        <v>4630</v>
      </c>
      <c r="T3073" s="47"/>
      <c r="U3073" s="47"/>
      <c r="V3073" s="47"/>
      <c r="W3073" s="47"/>
      <c r="X3073" s="47"/>
      <c r="Y3073" s="47"/>
      <c r="Z3073" s="47">
        <f t="shared" si="630"/>
        <v>4620</v>
      </c>
      <c r="AA3073" s="47"/>
      <c r="AB3073" s="47"/>
      <c r="AC3073" s="47"/>
      <c r="AD3073" s="47"/>
      <c r="AE3073" s="47"/>
      <c r="AF3073" s="47"/>
      <c r="AG3073" s="47"/>
      <c r="AH3073" s="47">
        <f>IFERROR(_xlfn.XLOOKUP(Table6[[#This Row],[Suburb]],Table5[Travel Surcharge],Table5[$$]),"")</f>
        <v>8000</v>
      </c>
      <c r="AI3073" s="47"/>
      <c r="AJ3073" s="47">
        <f>AJ$7</f>
        <v>4400</v>
      </c>
    </row>
    <row r="3074" spans="1:36">
      <c r="A3074" s="374" t="s">
        <v>4622</v>
      </c>
      <c r="B3074" s="374">
        <v>5</v>
      </c>
      <c r="C3074" s="374" t="s">
        <v>282</v>
      </c>
      <c r="D3074" s="375" t="str">
        <f t="shared" si="636"/>
        <v>Newmarque Estate5</v>
      </c>
      <c r="E3074" s="375" t="s">
        <v>4633</v>
      </c>
      <c r="F3074" s="375" t="s">
        <v>4624</v>
      </c>
      <c r="G3074" s="375" t="s">
        <v>4625</v>
      </c>
      <c r="H3074" s="375" t="s">
        <v>4626</v>
      </c>
      <c r="I3074" s="63" t="s">
        <v>4627</v>
      </c>
      <c r="J3074" s="47">
        <f t="shared" si="632"/>
        <v>3740</v>
      </c>
      <c r="K3074" s="46" t="s">
        <v>10735</v>
      </c>
      <c r="L3074" s="47"/>
      <c r="M3074" s="47" t="s">
        <v>4628</v>
      </c>
      <c r="N3074" s="47" t="s">
        <v>4629</v>
      </c>
      <c r="O3074" s="47">
        <f>O$7</f>
        <v>4950</v>
      </c>
      <c r="P3074" s="47"/>
      <c r="Q3074" s="47"/>
      <c r="R3074" s="47"/>
      <c r="S3074" s="47" t="s">
        <v>4630</v>
      </c>
      <c r="T3074" s="47"/>
      <c r="U3074" s="47"/>
      <c r="V3074" s="47"/>
      <c r="W3074" s="47"/>
      <c r="X3074" s="47"/>
      <c r="Y3074" s="47"/>
      <c r="Z3074" s="47">
        <f t="shared" si="630"/>
        <v>4620</v>
      </c>
      <c r="AA3074" s="47"/>
      <c r="AB3074" s="47"/>
      <c r="AC3074" s="47"/>
      <c r="AD3074" s="47"/>
      <c r="AE3074" s="47"/>
      <c r="AF3074" s="47"/>
      <c r="AG3074" s="47"/>
      <c r="AH3074" s="47">
        <f>IFERROR(_xlfn.XLOOKUP(Table6[[#This Row],[Suburb]],Table5[Travel Surcharge],Table5[$$]),"")</f>
        <v>8000</v>
      </c>
      <c r="AI3074" s="47"/>
      <c r="AJ3074" s="47">
        <f>AJ$7</f>
        <v>4400</v>
      </c>
    </row>
    <row r="3075" spans="1:36">
      <c r="A3075" s="374" t="s">
        <v>355</v>
      </c>
      <c r="B3075" s="374" t="s">
        <v>356</v>
      </c>
      <c r="C3075" s="374"/>
      <c r="D3075" s="375" t="str">
        <f t="shared" si="636"/>
        <v xml:space="preserve">No Estate </v>
      </c>
      <c r="E3075" s="375"/>
      <c r="F3075" s="375"/>
      <c r="G3075" s="375"/>
      <c r="H3075" s="375"/>
      <c r="I3075" s="63"/>
      <c r="J3075" s="47"/>
      <c r="K3075" s="46" t="s">
        <v>10735</v>
      </c>
      <c r="L3075" s="47" t="s">
        <v>357</v>
      </c>
      <c r="M3075" s="47" t="s">
        <v>358</v>
      </c>
      <c r="N3075" s="47" t="s">
        <v>359</v>
      </c>
      <c r="O3075" s="47" t="s">
        <v>360</v>
      </c>
      <c r="P3075" s="47" t="s">
        <v>361</v>
      </c>
      <c r="Q3075" s="47" t="s">
        <v>362</v>
      </c>
      <c r="R3075" s="47"/>
      <c r="S3075" s="47" t="s">
        <v>363</v>
      </c>
      <c r="T3075" s="47" t="s">
        <v>364</v>
      </c>
      <c r="U3075" s="47" t="s">
        <v>365</v>
      </c>
      <c r="V3075" s="47" t="s">
        <v>366</v>
      </c>
      <c r="W3075" s="47" t="s">
        <v>367</v>
      </c>
      <c r="X3075" s="47" t="s">
        <v>368</v>
      </c>
      <c r="Y3075" s="47"/>
      <c r="Z3075" s="47"/>
      <c r="AA3075" s="47"/>
      <c r="AB3075" s="47"/>
      <c r="AC3075" s="47"/>
      <c r="AD3075" s="47"/>
      <c r="AE3075" s="47"/>
      <c r="AF3075" s="47"/>
      <c r="AG3075" s="47"/>
      <c r="AH3075" s="47" t="str">
        <f>IFERROR(_xlfn.XLOOKUP(Table6[[#This Row],[Suburb]],Table5[Travel Surcharge],Table5[$$]),"")</f>
        <v/>
      </c>
      <c r="AI3075" s="47"/>
      <c r="AJ3075" s="47"/>
    </row>
    <row r="3076" spans="1:36">
      <c r="A3076" s="374" t="s">
        <v>7368</v>
      </c>
      <c r="B3076" s="374">
        <v>1</v>
      </c>
      <c r="C3076" s="374" t="s">
        <v>298</v>
      </c>
      <c r="D3076" s="375" t="s">
        <v>9673</v>
      </c>
      <c r="E3076" s="375" t="s">
        <v>7383</v>
      </c>
      <c r="F3076" s="375"/>
      <c r="G3076" s="375" t="s">
        <v>7384</v>
      </c>
      <c r="H3076" s="375" t="s">
        <v>7385</v>
      </c>
      <c r="I3076" s="63" t="s">
        <v>7386</v>
      </c>
      <c r="J3076" s="47"/>
      <c r="K3076" s="46" t="s">
        <v>10735</v>
      </c>
      <c r="L3076" s="47">
        <v>1210</v>
      </c>
      <c r="M3076" s="47"/>
      <c r="N3076" s="47" t="s">
        <v>7397</v>
      </c>
      <c r="O3076" s="47" t="s">
        <v>7398</v>
      </c>
      <c r="P3076" s="47" t="s">
        <v>10410</v>
      </c>
      <c r="Q3076" s="47"/>
      <c r="R3076" s="47"/>
      <c r="S3076" s="47"/>
      <c r="T3076" s="47" t="s">
        <v>7399</v>
      </c>
      <c r="U3076" s="47"/>
      <c r="V3076" s="47"/>
      <c r="W3076" s="47"/>
      <c r="X3076" s="47"/>
      <c r="Y3076" s="47"/>
      <c r="Z3076" s="47">
        <v>4620</v>
      </c>
      <c r="AA3076" s="47"/>
      <c r="AB3076" s="47"/>
      <c r="AC3076" s="47"/>
      <c r="AD3076" s="47"/>
      <c r="AE3076" s="47"/>
      <c r="AF3076" s="47">
        <v>1485</v>
      </c>
      <c r="AG3076" s="47"/>
      <c r="AH3076" s="47">
        <f>IFERROR(_xlfn.XLOOKUP(Table6[[#This Row],[Suburb]],Table5[Travel Surcharge],Table5[$$]),"")</f>
        <v>7000</v>
      </c>
      <c r="AI3076" s="47"/>
      <c r="AJ3076" s="47"/>
    </row>
    <row r="3077" spans="1:36">
      <c r="A3077" s="374" t="s">
        <v>7368</v>
      </c>
      <c r="B3077" s="374">
        <v>3</v>
      </c>
      <c r="C3077" s="374" t="s">
        <v>298</v>
      </c>
      <c r="D3077" s="375" t="s">
        <v>9674</v>
      </c>
      <c r="E3077" s="375" t="s">
        <v>9675</v>
      </c>
      <c r="F3077" s="375"/>
      <c r="G3077" s="375" t="s">
        <v>7384</v>
      </c>
      <c r="H3077" s="375" t="s">
        <v>7385</v>
      </c>
      <c r="I3077" s="63" t="s">
        <v>7386</v>
      </c>
      <c r="J3077" s="47"/>
      <c r="K3077" s="46" t="s">
        <v>10735</v>
      </c>
      <c r="L3077" s="47">
        <v>1210</v>
      </c>
      <c r="M3077" s="47"/>
      <c r="N3077" s="47" t="s">
        <v>7397</v>
      </c>
      <c r="O3077" s="47" t="s">
        <v>7398</v>
      </c>
      <c r="P3077" s="47" t="s">
        <v>10410</v>
      </c>
      <c r="Q3077" s="47"/>
      <c r="R3077" s="47"/>
      <c r="S3077" s="47"/>
      <c r="T3077" s="47" t="s">
        <v>7399</v>
      </c>
      <c r="U3077" s="47"/>
      <c r="V3077" s="47"/>
      <c r="W3077" s="47"/>
      <c r="X3077" s="47"/>
      <c r="Y3077" s="47"/>
      <c r="Z3077" s="47">
        <v>4620</v>
      </c>
      <c r="AA3077" s="47"/>
      <c r="AB3077" s="47"/>
      <c r="AC3077" s="47"/>
      <c r="AD3077" s="47"/>
      <c r="AE3077" s="47"/>
      <c r="AF3077" s="47">
        <v>1485</v>
      </c>
      <c r="AG3077" s="47"/>
      <c r="AH3077" s="47">
        <f>IFERROR(_xlfn.XLOOKUP(Table6[[#This Row],[Suburb]],Table5[Travel Surcharge],Table5[$$]),"")</f>
        <v>7000</v>
      </c>
      <c r="AI3077" s="47"/>
      <c r="AJ3077" s="47"/>
    </row>
    <row r="3078" spans="1:36">
      <c r="A3078" s="157" t="s">
        <v>7368</v>
      </c>
      <c r="B3078" s="157">
        <v>2</v>
      </c>
      <c r="C3078" s="157" t="s">
        <v>298</v>
      </c>
      <c r="D3078" s="157" t="str">
        <f t="shared" ref="D3078:D3127" si="637">CONCATENATE(A3078,B3078)</f>
        <v>North Quarter2</v>
      </c>
      <c r="E3078" s="157" t="s">
        <v>8047</v>
      </c>
      <c r="F3078" s="157"/>
      <c r="G3078" s="157" t="s">
        <v>7384</v>
      </c>
      <c r="H3078" s="157" t="s">
        <v>7385</v>
      </c>
      <c r="I3078" s="158" t="s">
        <v>7386</v>
      </c>
      <c r="J3078" s="47"/>
      <c r="K3078" s="46" t="s">
        <v>10735</v>
      </c>
      <c r="L3078" s="47">
        <f>L$7</f>
        <v>1210</v>
      </c>
      <c r="M3078" s="47"/>
      <c r="N3078" s="47" t="s">
        <v>7397</v>
      </c>
      <c r="O3078" s="47" t="s">
        <v>7398</v>
      </c>
      <c r="P3078" s="47" t="s">
        <v>10410</v>
      </c>
      <c r="Q3078" s="47"/>
      <c r="R3078" s="47"/>
      <c r="S3078" s="47"/>
      <c r="T3078" s="47" t="s">
        <v>7399</v>
      </c>
      <c r="U3078" s="47"/>
      <c r="V3078" s="47"/>
      <c r="W3078" s="47"/>
      <c r="X3078" s="47"/>
      <c r="Y3078" s="47"/>
      <c r="Z3078" s="47">
        <f t="shared" ref="Z3078:Z3127" si="638">Z$7</f>
        <v>4620</v>
      </c>
      <c r="AA3078" s="47"/>
      <c r="AB3078" s="47"/>
      <c r="AC3078" s="47"/>
      <c r="AD3078" s="47"/>
      <c r="AE3078" s="47"/>
      <c r="AF3078" s="47">
        <f t="shared" ref="AF3078:AF3088" si="639">AF$7</f>
        <v>1485</v>
      </c>
      <c r="AG3078" s="47"/>
      <c r="AH3078" s="47">
        <f>IFERROR(_xlfn.XLOOKUP(Table6[[#This Row],[Suburb]],Table5[Travel Surcharge],Table5[$$]),"")</f>
        <v>7000</v>
      </c>
      <c r="AI3078" s="47"/>
      <c r="AJ3078" s="47"/>
    </row>
    <row r="3079" spans="1:36">
      <c r="A3079" s="374" t="s">
        <v>4650</v>
      </c>
      <c r="B3079" s="374">
        <v>3</v>
      </c>
      <c r="C3079" s="374" t="s">
        <v>1024</v>
      </c>
      <c r="D3079" s="375" t="str">
        <f t="shared" si="637"/>
        <v>Northgate3</v>
      </c>
      <c r="E3079" s="375" t="s">
        <v>4651</v>
      </c>
      <c r="F3079" s="375" t="s">
        <v>4652</v>
      </c>
      <c r="G3079" s="375" t="s">
        <v>4653</v>
      </c>
      <c r="H3079" s="375" t="s">
        <v>4654</v>
      </c>
      <c r="I3079" s="63" t="s">
        <v>4655</v>
      </c>
      <c r="J3079" s="47">
        <f t="shared" ref="J3079:J3091" si="640">J$7</f>
        <v>3740</v>
      </c>
      <c r="K3079" s="46" t="s">
        <v>10735</v>
      </c>
      <c r="L3079" s="47">
        <f>L$7</f>
        <v>1210</v>
      </c>
      <c r="M3079" s="47"/>
      <c r="N3079" s="47" t="s">
        <v>2583</v>
      </c>
      <c r="O3079" s="47"/>
      <c r="P3079" s="47"/>
      <c r="Q3079" s="47"/>
      <c r="R3079" s="47">
        <f>R$2</f>
        <v>540</v>
      </c>
      <c r="S3079" s="47" t="s">
        <v>4656</v>
      </c>
      <c r="T3079" s="47"/>
      <c r="U3079" s="47"/>
      <c r="V3079" s="47"/>
      <c r="W3079" s="47"/>
      <c r="X3079" s="47"/>
      <c r="Y3079" s="47"/>
      <c r="Z3079" s="47">
        <f t="shared" si="638"/>
        <v>4620</v>
      </c>
      <c r="AA3079" s="47"/>
      <c r="AB3079" s="47"/>
      <c r="AC3079" s="47"/>
      <c r="AD3079" s="47"/>
      <c r="AE3079" s="47"/>
      <c r="AF3079" s="47">
        <f t="shared" si="639"/>
        <v>1485</v>
      </c>
      <c r="AG3079" s="47"/>
      <c r="AH3079" s="47" t="str">
        <f>IFERROR(_xlfn.XLOOKUP(Table6[[#This Row],[Suburb]],Table5[Travel Surcharge],Table5[$$]),"")</f>
        <v/>
      </c>
      <c r="AI3079" s="47"/>
      <c r="AJ3079" s="47"/>
    </row>
    <row r="3080" spans="1:36">
      <c r="A3080" s="374" t="s">
        <v>4641</v>
      </c>
      <c r="B3080" s="374">
        <v>1</v>
      </c>
      <c r="C3080" s="374" t="s">
        <v>802</v>
      </c>
      <c r="D3080" s="375" t="str">
        <f t="shared" si="637"/>
        <v>Northridge1</v>
      </c>
      <c r="E3080" s="375" t="s">
        <v>4642</v>
      </c>
      <c r="F3080" s="375"/>
      <c r="G3080" s="375" t="s">
        <v>4643</v>
      </c>
      <c r="H3080" s="375" t="s">
        <v>4644</v>
      </c>
      <c r="I3080" s="63" t="s">
        <v>4645</v>
      </c>
      <c r="J3080" s="47">
        <f t="shared" si="640"/>
        <v>3740</v>
      </c>
      <c r="K3080" s="46" t="s">
        <v>10735</v>
      </c>
      <c r="L3080" s="47"/>
      <c r="M3080" s="47">
        <f>M$7</f>
        <v>1430.0000000000002</v>
      </c>
      <c r="N3080" s="47" t="s">
        <v>4646</v>
      </c>
      <c r="O3080" s="47" t="s">
        <v>4647</v>
      </c>
      <c r="P3080" s="47" t="s">
        <v>4648</v>
      </c>
      <c r="Q3080" s="47"/>
      <c r="R3080" s="47">
        <f>R$2</f>
        <v>540</v>
      </c>
      <c r="S3080" s="47"/>
      <c r="T3080" s="47" t="s">
        <v>4649</v>
      </c>
      <c r="U3080" s="47"/>
      <c r="V3080" s="47"/>
      <c r="W3080" s="47"/>
      <c r="X3080" s="47"/>
      <c r="Y3080" s="47"/>
      <c r="Z3080" s="47">
        <f t="shared" si="638"/>
        <v>4620</v>
      </c>
      <c r="AA3080" s="47"/>
      <c r="AB3080" s="47"/>
      <c r="AC3080" s="47"/>
      <c r="AD3080" s="47"/>
      <c r="AE3080" s="47"/>
      <c r="AF3080" s="47">
        <f t="shared" si="639"/>
        <v>1485</v>
      </c>
      <c r="AG3080" s="47"/>
      <c r="AH3080" s="47" t="str">
        <f>IFERROR(_xlfn.XLOOKUP(Table6[[#This Row],[Suburb]],Table5[Travel Surcharge],Table5[$$]),"")</f>
        <v/>
      </c>
      <c r="AI3080" s="47"/>
      <c r="AJ3080" s="47"/>
    </row>
    <row r="3081" spans="1:36">
      <c r="A3081" s="374" t="s">
        <v>9263</v>
      </c>
      <c r="B3081" s="374">
        <v>1</v>
      </c>
      <c r="C3081" s="374" t="s">
        <v>9264</v>
      </c>
      <c r="D3081" s="375" t="str">
        <f t="shared" si="637"/>
        <v>Northside 1</v>
      </c>
      <c r="E3081" s="375" t="s">
        <v>9265</v>
      </c>
      <c r="F3081" s="375"/>
      <c r="G3081" s="375" t="s">
        <v>2287</v>
      </c>
      <c r="H3081" s="375" t="s">
        <v>9266</v>
      </c>
      <c r="I3081" s="63" t="s">
        <v>9267</v>
      </c>
      <c r="J3081" s="47">
        <f t="shared" si="640"/>
        <v>3740</v>
      </c>
      <c r="K3081" s="46" t="s">
        <v>10735</v>
      </c>
      <c r="L3081" s="47"/>
      <c r="M3081" s="47">
        <v>1430</v>
      </c>
      <c r="N3081" s="47" t="s">
        <v>9272</v>
      </c>
      <c r="O3081" s="47"/>
      <c r="P3081" s="47"/>
      <c r="Q3081" s="47"/>
      <c r="R3081" s="47"/>
      <c r="S3081" s="47" t="s">
        <v>9273</v>
      </c>
      <c r="T3081" s="47">
        <f>T$2</f>
        <v>780</v>
      </c>
      <c r="U3081" s="47"/>
      <c r="V3081" s="47" t="s">
        <v>9268</v>
      </c>
      <c r="W3081" s="47" t="s">
        <v>9271</v>
      </c>
      <c r="X3081" s="47"/>
      <c r="Y3081" s="47" t="s">
        <v>9270</v>
      </c>
      <c r="Z3081" s="47">
        <f t="shared" si="638"/>
        <v>4620</v>
      </c>
      <c r="AA3081" s="47">
        <f>AA$7</f>
        <v>1400</v>
      </c>
      <c r="AB3081" s="47"/>
      <c r="AC3081" s="47"/>
      <c r="AD3081" s="47"/>
      <c r="AE3081" s="47"/>
      <c r="AF3081" s="47">
        <f t="shared" si="639"/>
        <v>1485</v>
      </c>
      <c r="AG3081" s="47"/>
      <c r="AH3081" s="47" t="str">
        <f>IFERROR(_xlfn.XLOOKUP(Table6[[#This Row],[Suburb]],Table5[Travel Surcharge],Table5[$$]),"")</f>
        <v/>
      </c>
      <c r="AI3081" s="47"/>
      <c r="AJ3081" s="47"/>
    </row>
    <row r="3082" spans="1:36">
      <c r="A3082" s="374" t="s">
        <v>9263</v>
      </c>
      <c r="B3082" s="374">
        <v>2</v>
      </c>
      <c r="C3082" s="374" t="s">
        <v>9264</v>
      </c>
      <c r="D3082" s="375" t="str">
        <f t="shared" si="637"/>
        <v>Northside 2</v>
      </c>
      <c r="E3082" s="375" t="s">
        <v>9488</v>
      </c>
      <c r="F3082" s="375"/>
      <c r="G3082" s="375" t="s">
        <v>2287</v>
      </c>
      <c r="H3082" s="375" t="s">
        <v>9266</v>
      </c>
      <c r="I3082" s="63" t="s">
        <v>9267</v>
      </c>
      <c r="J3082" s="47">
        <f t="shared" si="640"/>
        <v>3740</v>
      </c>
      <c r="K3082" s="46" t="s">
        <v>10735</v>
      </c>
      <c r="L3082" s="47"/>
      <c r="M3082" s="47">
        <v>1430</v>
      </c>
      <c r="N3082" s="47" t="s">
        <v>9272</v>
      </c>
      <c r="O3082" s="47"/>
      <c r="P3082" s="47"/>
      <c r="Q3082" s="47"/>
      <c r="R3082" s="47"/>
      <c r="S3082" s="47" t="s">
        <v>9273</v>
      </c>
      <c r="T3082" s="47">
        <f>T$2</f>
        <v>780</v>
      </c>
      <c r="U3082" s="47"/>
      <c r="V3082" s="47" t="s">
        <v>9268</v>
      </c>
      <c r="W3082" s="47" t="s">
        <v>9271</v>
      </c>
      <c r="X3082" s="47"/>
      <c r="Y3082" s="47" t="s">
        <v>9270</v>
      </c>
      <c r="Z3082" s="47">
        <f t="shared" si="638"/>
        <v>4620</v>
      </c>
      <c r="AA3082" s="47">
        <f>AA$7</f>
        <v>1400</v>
      </c>
      <c r="AB3082" s="47"/>
      <c r="AC3082" s="47"/>
      <c r="AD3082" s="47"/>
      <c r="AE3082" s="47"/>
      <c r="AF3082" s="47">
        <f t="shared" si="639"/>
        <v>1485</v>
      </c>
      <c r="AG3082" s="47"/>
      <c r="AH3082" s="47" t="str">
        <f>IFERROR(_xlfn.XLOOKUP(Table6[[#This Row],[Suburb]],Table5[Travel Surcharge],Table5[$$]),"")</f>
        <v/>
      </c>
      <c r="AI3082" s="47"/>
      <c r="AJ3082" s="47"/>
    </row>
    <row r="3083" spans="1:36">
      <c r="A3083" s="374" t="s">
        <v>9263</v>
      </c>
      <c r="B3083" s="374">
        <v>3</v>
      </c>
      <c r="C3083" s="374" t="s">
        <v>9264</v>
      </c>
      <c r="D3083" s="375" t="str">
        <f t="shared" si="637"/>
        <v>Northside 3</v>
      </c>
      <c r="E3083" s="375" t="s">
        <v>9946</v>
      </c>
      <c r="F3083" s="375"/>
      <c r="G3083" s="375" t="s">
        <v>2287</v>
      </c>
      <c r="H3083" s="375" t="s">
        <v>9266</v>
      </c>
      <c r="I3083" s="63" t="s">
        <v>9267</v>
      </c>
      <c r="J3083" s="47">
        <v>3740</v>
      </c>
      <c r="K3083" s="46" t="s">
        <v>10735</v>
      </c>
      <c r="L3083" s="47"/>
      <c r="M3083" s="47">
        <v>1430</v>
      </c>
      <c r="N3083" s="47" t="s">
        <v>9272</v>
      </c>
      <c r="O3083" s="47"/>
      <c r="P3083" s="47"/>
      <c r="Q3083" s="47"/>
      <c r="R3083" s="47"/>
      <c r="S3083" s="47" t="s">
        <v>9273</v>
      </c>
      <c r="T3083" s="47">
        <v>1420</v>
      </c>
      <c r="U3083" s="47"/>
      <c r="V3083" s="47" t="s">
        <v>9268</v>
      </c>
      <c r="W3083" s="47" t="s">
        <v>9271</v>
      </c>
      <c r="X3083" s="47"/>
      <c r="Y3083" s="47" t="s">
        <v>9270</v>
      </c>
      <c r="Z3083" s="47">
        <v>4620</v>
      </c>
      <c r="AA3083" s="47">
        <v>1400</v>
      </c>
      <c r="AB3083" s="47"/>
      <c r="AC3083" s="47"/>
      <c r="AD3083" s="47"/>
      <c r="AE3083" s="47"/>
      <c r="AF3083" s="47">
        <v>1485</v>
      </c>
      <c r="AG3083" s="47"/>
      <c r="AH3083" s="47" t="str">
        <f>IFERROR(_xlfn.XLOOKUP(Table6[[#This Row],[Suburb]],Table5[Travel Surcharge],Table5[$$]),"")</f>
        <v/>
      </c>
      <c r="AI3083" s="47"/>
      <c r="AJ3083" s="47"/>
    </row>
    <row r="3084" spans="1:36">
      <c r="A3084" s="374" t="s">
        <v>9263</v>
      </c>
      <c r="B3084" s="276" t="s">
        <v>606</v>
      </c>
      <c r="C3084" s="374" t="s">
        <v>9264</v>
      </c>
      <c r="D3084" s="375" t="str">
        <f t="shared" si="637"/>
        <v>Northside 3A</v>
      </c>
      <c r="E3084" s="375" t="s">
        <v>10476</v>
      </c>
      <c r="F3084" s="375"/>
      <c r="G3084" s="375" t="s">
        <v>2287</v>
      </c>
      <c r="H3084" s="375" t="s">
        <v>9266</v>
      </c>
      <c r="I3084" s="63" t="s">
        <v>9267</v>
      </c>
      <c r="J3084" s="47">
        <v>3740</v>
      </c>
      <c r="K3084" s="46" t="s">
        <v>10735</v>
      </c>
      <c r="L3084" s="47"/>
      <c r="M3084" s="47">
        <v>1430</v>
      </c>
      <c r="N3084" s="47" t="s">
        <v>9272</v>
      </c>
      <c r="O3084" s="47"/>
      <c r="P3084" s="47"/>
      <c r="Q3084" s="47"/>
      <c r="R3084" s="47"/>
      <c r="S3084" s="47" t="s">
        <v>9273</v>
      </c>
      <c r="T3084" s="47">
        <v>1420</v>
      </c>
      <c r="U3084" s="47"/>
      <c r="V3084" s="47" t="s">
        <v>9268</v>
      </c>
      <c r="W3084" s="47" t="s">
        <v>9271</v>
      </c>
      <c r="X3084" s="47"/>
      <c r="Y3084" s="47" t="s">
        <v>9270</v>
      </c>
      <c r="Z3084" s="47">
        <v>4620</v>
      </c>
      <c r="AA3084" s="47">
        <v>1400</v>
      </c>
      <c r="AB3084" s="47"/>
      <c r="AC3084" s="47"/>
      <c r="AD3084" s="47"/>
      <c r="AE3084" s="47"/>
      <c r="AF3084" s="47">
        <v>1485</v>
      </c>
      <c r="AG3084" s="47"/>
      <c r="AH3084" s="47" t="s">
        <v>9976</v>
      </c>
      <c r="AI3084" s="47"/>
      <c r="AJ3084" s="47"/>
    </row>
    <row r="3085" spans="1:36">
      <c r="A3085" s="374" t="s">
        <v>9263</v>
      </c>
      <c r="B3085" s="276">
        <v>4</v>
      </c>
      <c r="C3085" s="374" t="s">
        <v>9264</v>
      </c>
      <c r="D3085" s="375" t="str">
        <f t="shared" si="637"/>
        <v>Northside 4</v>
      </c>
      <c r="E3085" s="375" t="s">
        <v>10815</v>
      </c>
      <c r="F3085" s="375"/>
      <c r="G3085" s="375" t="s">
        <v>2287</v>
      </c>
      <c r="H3085" s="375" t="s">
        <v>9266</v>
      </c>
      <c r="I3085" s="63" t="s">
        <v>9267</v>
      </c>
      <c r="J3085" s="47">
        <v>3740</v>
      </c>
      <c r="K3085" s="46" t="s">
        <v>10735</v>
      </c>
      <c r="L3085" s="47"/>
      <c r="M3085" s="47">
        <v>1430</v>
      </c>
      <c r="N3085" s="47" t="s">
        <v>9272</v>
      </c>
      <c r="O3085" s="47"/>
      <c r="P3085" s="47"/>
      <c r="Q3085" s="47"/>
      <c r="R3085" s="47"/>
      <c r="S3085" s="47" t="s">
        <v>9273</v>
      </c>
      <c r="T3085" s="47">
        <v>1420</v>
      </c>
      <c r="U3085" s="47"/>
      <c r="V3085" s="47" t="s">
        <v>9268</v>
      </c>
      <c r="W3085" s="47" t="s">
        <v>9271</v>
      </c>
      <c r="X3085" s="47"/>
      <c r="Y3085" s="47" t="s">
        <v>9270</v>
      </c>
      <c r="Z3085" s="47">
        <v>4620</v>
      </c>
      <c r="AA3085" s="47">
        <v>1400</v>
      </c>
      <c r="AB3085" s="47"/>
      <c r="AC3085" s="47"/>
      <c r="AD3085" s="47"/>
      <c r="AE3085" s="47"/>
      <c r="AF3085" s="47">
        <v>1485</v>
      </c>
      <c r="AG3085" s="47"/>
      <c r="AH3085" s="47" t="s">
        <v>9976</v>
      </c>
      <c r="AI3085" s="47"/>
      <c r="AJ3085" s="47"/>
    </row>
    <row r="3086" spans="1:36">
      <c r="A3086" s="374" t="s">
        <v>9496</v>
      </c>
      <c r="B3086" s="374">
        <v>2</v>
      </c>
      <c r="C3086" s="374" t="s">
        <v>428</v>
      </c>
      <c r="D3086" s="375" t="str">
        <f t="shared" si="637"/>
        <v>Oak Grove2</v>
      </c>
      <c r="E3086" s="375" t="s">
        <v>10961</v>
      </c>
      <c r="F3086" s="375"/>
      <c r="G3086" s="375" t="s">
        <v>9498</v>
      </c>
      <c r="H3086" s="375" t="s">
        <v>9499</v>
      </c>
      <c r="I3086" s="63" t="s">
        <v>9500</v>
      </c>
      <c r="J3086" s="47">
        <f t="shared" si="640"/>
        <v>3740</v>
      </c>
      <c r="K3086" s="46" t="s">
        <v>10735</v>
      </c>
      <c r="L3086" s="47" t="s">
        <v>8773</v>
      </c>
      <c r="M3086" s="47">
        <f>M$7</f>
        <v>1430.0000000000002</v>
      </c>
      <c r="N3086" s="47"/>
      <c r="O3086" s="47"/>
      <c r="P3086" s="47" t="s">
        <v>9501</v>
      </c>
      <c r="Q3086" s="47" t="s">
        <v>9504</v>
      </c>
      <c r="R3086" s="47">
        <f>R$2</f>
        <v>540</v>
      </c>
      <c r="S3086" s="47"/>
      <c r="T3086" s="47" t="s">
        <v>9505</v>
      </c>
      <c r="U3086" s="47"/>
      <c r="V3086" s="47" t="s">
        <v>9502</v>
      </c>
      <c r="W3086" s="47" t="s">
        <v>9503</v>
      </c>
      <c r="X3086" s="47"/>
      <c r="Y3086" s="47"/>
      <c r="Z3086" s="47">
        <f t="shared" si="638"/>
        <v>4620</v>
      </c>
      <c r="AA3086" s="47">
        <f>AA$7</f>
        <v>1400</v>
      </c>
      <c r="AB3086" s="47"/>
      <c r="AC3086" s="47"/>
      <c r="AD3086" s="47"/>
      <c r="AE3086" s="47"/>
      <c r="AF3086" s="47">
        <f t="shared" si="639"/>
        <v>1485</v>
      </c>
      <c r="AG3086" s="47"/>
      <c r="AH3086" s="47" t="str">
        <f>IFERROR(_xlfn.XLOOKUP(Table6[[#This Row],[Suburb]],Table5[Travel Surcharge],Table5[$$]),"")</f>
        <v/>
      </c>
      <c r="AI3086" s="47"/>
      <c r="AJ3086" s="47"/>
    </row>
    <row r="3087" spans="1:36">
      <c r="A3087" s="374" t="s">
        <v>9496</v>
      </c>
      <c r="B3087" s="374">
        <v>3</v>
      </c>
      <c r="C3087" s="374" t="s">
        <v>428</v>
      </c>
      <c r="D3087" s="375" t="str">
        <f t="shared" ref="D3087" si="641">CONCATENATE(A3087,B3087)</f>
        <v>Oak Grove3</v>
      </c>
      <c r="E3087" s="375" t="s">
        <v>10620</v>
      </c>
      <c r="F3087" s="375"/>
      <c r="G3087" s="375" t="s">
        <v>9498</v>
      </c>
      <c r="H3087" s="375" t="s">
        <v>9499</v>
      </c>
      <c r="I3087" s="63" t="s">
        <v>9500</v>
      </c>
      <c r="J3087" s="47">
        <f t="shared" si="640"/>
        <v>3740</v>
      </c>
      <c r="K3087" s="46" t="s">
        <v>10735</v>
      </c>
      <c r="L3087" s="47" t="s">
        <v>8773</v>
      </c>
      <c r="M3087" s="47">
        <f>M$7</f>
        <v>1430.0000000000002</v>
      </c>
      <c r="N3087" s="47"/>
      <c r="O3087" s="47"/>
      <c r="P3087" s="47" t="s">
        <v>9501</v>
      </c>
      <c r="Q3087" s="47" t="s">
        <v>9504</v>
      </c>
      <c r="R3087" s="47">
        <f>R$2</f>
        <v>540</v>
      </c>
      <c r="S3087" s="47"/>
      <c r="T3087" s="47" t="s">
        <v>9505</v>
      </c>
      <c r="U3087" s="47"/>
      <c r="V3087" s="47" t="s">
        <v>9502</v>
      </c>
      <c r="W3087" s="47" t="s">
        <v>9503</v>
      </c>
      <c r="X3087" s="47"/>
      <c r="Y3087" s="47"/>
      <c r="Z3087" s="47">
        <f t="shared" si="638"/>
        <v>4620</v>
      </c>
      <c r="AA3087" s="47">
        <f>AA$7</f>
        <v>1400</v>
      </c>
      <c r="AB3087" s="47"/>
      <c r="AC3087" s="47"/>
      <c r="AD3087" s="47"/>
      <c r="AE3087" s="47"/>
      <c r="AF3087" s="47">
        <f t="shared" si="639"/>
        <v>1485</v>
      </c>
      <c r="AG3087" s="47"/>
      <c r="AH3087" s="47" t="str">
        <f>IFERROR(_xlfn.XLOOKUP(Table6[[#This Row],[Suburb]],Table5[Travel Surcharge],Table5[$$]),"")</f>
        <v/>
      </c>
      <c r="AI3087" s="47"/>
      <c r="AJ3087" s="47"/>
    </row>
    <row r="3088" spans="1:36">
      <c r="A3088" s="374" t="s">
        <v>9496</v>
      </c>
      <c r="B3088" s="374">
        <v>4</v>
      </c>
      <c r="C3088" s="374" t="s">
        <v>428</v>
      </c>
      <c r="D3088" s="375" t="str">
        <f t="shared" si="637"/>
        <v>Oak Grove4</v>
      </c>
      <c r="E3088" s="375" t="s">
        <v>9497</v>
      </c>
      <c r="F3088" s="375"/>
      <c r="G3088" s="375" t="s">
        <v>9498</v>
      </c>
      <c r="H3088" s="375" t="s">
        <v>9499</v>
      </c>
      <c r="I3088" s="63" t="s">
        <v>9500</v>
      </c>
      <c r="J3088" s="47">
        <f t="shared" si="640"/>
        <v>3740</v>
      </c>
      <c r="K3088" s="46" t="s">
        <v>10735</v>
      </c>
      <c r="L3088" s="47" t="s">
        <v>8773</v>
      </c>
      <c r="M3088" s="47">
        <f>M$7</f>
        <v>1430.0000000000002</v>
      </c>
      <c r="N3088" s="47"/>
      <c r="O3088" s="47"/>
      <c r="P3088" s="47" t="s">
        <v>9501</v>
      </c>
      <c r="Q3088" s="47" t="s">
        <v>9504</v>
      </c>
      <c r="R3088" s="47">
        <f>R$2</f>
        <v>540</v>
      </c>
      <c r="S3088" s="47"/>
      <c r="T3088" s="47" t="s">
        <v>9505</v>
      </c>
      <c r="U3088" s="47"/>
      <c r="V3088" s="47" t="s">
        <v>9502</v>
      </c>
      <c r="W3088" s="47" t="s">
        <v>9503</v>
      </c>
      <c r="X3088" s="47"/>
      <c r="Y3088" s="47"/>
      <c r="Z3088" s="47">
        <f t="shared" si="638"/>
        <v>4620</v>
      </c>
      <c r="AA3088" s="47">
        <f>AA$7</f>
        <v>1400</v>
      </c>
      <c r="AB3088" s="47"/>
      <c r="AC3088" s="47"/>
      <c r="AD3088" s="47"/>
      <c r="AE3088" s="47"/>
      <c r="AF3088" s="47">
        <f t="shared" si="639"/>
        <v>1485</v>
      </c>
      <c r="AG3088" s="47"/>
      <c r="AH3088" s="47" t="str">
        <f>IFERROR(_xlfn.XLOOKUP(Table6[[#This Row],[Suburb]],Table5[Travel Surcharge],Table5[$$]),"")</f>
        <v/>
      </c>
      <c r="AI3088" s="47"/>
      <c r="AJ3088" s="47"/>
    </row>
    <row r="3089" spans="1:36">
      <c r="A3089" s="374" t="s">
        <v>9496</v>
      </c>
      <c r="B3089" s="374">
        <v>5</v>
      </c>
      <c r="C3089" s="374" t="s">
        <v>428</v>
      </c>
      <c r="D3089" s="375" t="str">
        <f t="shared" si="637"/>
        <v>Oak Grove5</v>
      </c>
      <c r="E3089" s="375" t="s">
        <v>10243</v>
      </c>
      <c r="F3089" s="375"/>
      <c r="G3089" s="375" t="s">
        <v>9498</v>
      </c>
      <c r="H3089" s="375" t="s">
        <v>9499</v>
      </c>
      <c r="I3089" s="63" t="s">
        <v>9500</v>
      </c>
      <c r="J3089" s="47">
        <v>3740</v>
      </c>
      <c r="K3089" s="46" t="s">
        <v>10735</v>
      </c>
      <c r="L3089" s="47" t="s">
        <v>8773</v>
      </c>
      <c r="M3089" s="47">
        <v>1430.0000000000002</v>
      </c>
      <c r="N3089" s="47"/>
      <c r="O3089" s="47"/>
      <c r="P3089" s="47" t="s">
        <v>9501</v>
      </c>
      <c r="Q3089" s="47" t="s">
        <v>9504</v>
      </c>
      <c r="R3089" s="47">
        <v>540</v>
      </c>
      <c r="S3089" s="47"/>
      <c r="T3089" s="47" t="s">
        <v>9505</v>
      </c>
      <c r="U3089" s="47"/>
      <c r="V3089" s="47" t="s">
        <v>9502</v>
      </c>
      <c r="W3089" s="47" t="s">
        <v>9503</v>
      </c>
      <c r="X3089" s="47"/>
      <c r="Y3089" s="47"/>
      <c r="Z3089" s="47">
        <v>4620</v>
      </c>
      <c r="AA3089" s="47">
        <v>1400</v>
      </c>
      <c r="AB3089" s="47"/>
      <c r="AC3089" s="47"/>
      <c r="AD3089" s="47"/>
      <c r="AE3089" s="47"/>
      <c r="AF3089" s="47">
        <v>1485</v>
      </c>
      <c r="AG3089" s="47"/>
      <c r="AH3089" s="47" t="s">
        <v>9976</v>
      </c>
      <c r="AI3089" s="47"/>
      <c r="AJ3089" s="47"/>
    </row>
    <row r="3090" spans="1:36">
      <c r="A3090" s="374" t="s">
        <v>4669</v>
      </c>
      <c r="B3090" s="374">
        <v>1</v>
      </c>
      <c r="C3090" s="374" t="s">
        <v>299</v>
      </c>
      <c r="D3090" s="375" t="str">
        <f t="shared" si="637"/>
        <v>Oak Hill Estate1</v>
      </c>
      <c r="E3090" s="375" t="s">
        <v>4670</v>
      </c>
      <c r="F3090" s="375"/>
      <c r="G3090" s="375" t="s">
        <v>2824</v>
      </c>
      <c r="H3090" s="375" t="s">
        <v>2825</v>
      </c>
      <c r="I3090" s="63" t="s">
        <v>2826</v>
      </c>
      <c r="J3090" s="47">
        <f t="shared" si="640"/>
        <v>3740</v>
      </c>
      <c r="K3090" s="46" t="s">
        <v>10735</v>
      </c>
      <c r="L3090" s="47"/>
      <c r="M3090" s="47"/>
      <c r="N3090" s="47"/>
      <c r="O3090" s="47" t="s">
        <v>4671</v>
      </c>
      <c r="P3090" s="47"/>
      <c r="Q3090" s="47"/>
      <c r="R3090" s="47"/>
      <c r="S3090" s="47"/>
      <c r="T3090" s="47"/>
      <c r="U3090" s="47">
        <f>U$2</f>
        <v>430</v>
      </c>
      <c r="V3090" s="47"/>
      <c r="W3090" s="47"/>
      <c r="X3090" s="47"/>
      <c r="Y3090" s="47"/>
      <c r="Z3090" s="47">
        <f t="shared" si="638"/>
        <v>4620</v>
      </c>
      <c r="AA3090" s="47"/>
      <c r="AB3090" s="47"/>
      <c r="AC3090" s="47"/>
      <c r="AD3090" s="47"/>
      <c r="AE3090" s="47"/>
      <c r="AF3090" s="47"/>
      <c r="AG3090" s="47"/>
      <c r="AH3090" s="47">
        <f>IFERROR(_xlfn.XLOOKUP(Table6[[#This Row],[Suburb]],Table5[Travel Surcharge],Table5[$$]),"")</f>
        <v>7000</v>
      </c>
      <c r="AI3090" s="47"/>
      <c r="AJ3090" s="47"/>
    </row>
    <row r="3091" spans="1:36">
      <c r="A3091" s="374" t="s">
        <v>4669</v>
      </c>
      <c r="B3091" s="374">
        <v>3</v>
      </c>
      <c r="C3091" s="374" t="s">
        <v>299</v>
      </c>
      <c r="D3091" s="375" t="str">
        <f t="shared" si="637"/>
        <v>Oak Hill Estate3</v>
      </c>
      <c r="E3091" s="375" t="s">
        <v>4672</v>
      </c>
      <c r="F3091" s="375"/>
      <c r="G3091" s="375" t="s">
        <v>2824</v>
      </c>
      <c r="H3091" s="375" t="s">
        <v>2825</v>
      </c>
      <c r="I3091" s="63" t="s">
        <v>2826</v>
      </c>
      <c r="J3091" s="47">
        <f t="shared" si="640"/>
        <v>3740</v>
      </c>
      <c r="K3091" s="46" t="s">
        <v>10735</v>
      </c>
      <c r="L3091" s="47"/>
      <c r="M3091" s="47"/>
      <c r="N3091" s="47"/>
      <c r="O3091" s="47" t="s">
        <v>4671</v>
      </c>
      <c r="P3091" s="47"/>
      <c r="Q3091" s="47"/>
      <c r="R3091" s="47"/>
      <c r="S3091" s="47"/>
      <c r="T3091" s="47"/>
      <c r="U3091" s="47">
        <f>U$2</f>
        <v>430</v>
      </c>
      <c r="V3091" s="47"/>
      <c r="W3091" s="47"/>
      <c r="X3091" s="47"/>
      <c r="Y3091" s="47"/>
      <c r="Z3091" s="47">
        <f t="shared" si="638"/>
        <v>4620</v>
      </c>
      <c r="AA3091" s="47"/>
      <c r="AB3091" s="47"/>
      <c r="AC3091" s="47"/>
      <c r="AD3091" s="47"/>
      <c r="AE3091" s="47"/>
      <c r="AF3091" s="47"/>
      <c r="AG3091" s="47"/>
      <c r="AH3091" s="47">
        <f>IFERROR(_xlfn.XLOOKUP(Table6[[#This Row],[Suburb]],Table5[Travel Surcharge],Table5[$$]),"")</f>
        <v>7000</v>
      </c>
      <c r="AI3091" s="47"/>
      <c r="AJ3091" s="47"/>
    </row>
    <row r="3092" spans="1:36">
      <c r="A3092" s="374" t="s">
        <v>4669</v>
      </c>
      <c r="B3092" s="374">
        <v>4</v>
      </c>
      <c r="C3092" s="374" t="s">
        <v>299</v>
      </c>
      <c r="D3092" s="375" t="str">
        <f t="shared" si="637"/>
        <v>Oak Hill Estate4</v>
      </c>
      <c r="E3092" s="375"/>
      <c r="F3092" s="375"/>
      <c r="G3092" s="375" t="s">
        <v>2824</v>
      </c>
      <c r="H3092" s="375" t="s">
        <v>2825</v>
      </c>
      <c r="I3092" s="63" t="s">
        <v>2826</v>
      </c>
      <c r="J3092" s="47">
        <v>3740</v>
      </c>
      <c r="K3092" s="46" t="s">
        <v>10735</v>
      </c>
      <c r="L3092" s="47"/>
      <c r="M3092" s="47"/>
      <c r="N3092" s="47"/>
      <c r="O3092" s="47" t="s">
        <v>4671</v>
      </c>
      <c r="P3092" s="47"/>
      <c r="Q3092" s="47"/>
      <c r="R3092" s="47"/>
      <c r="S3092" s="47"/>
      <c r="T3092" s="47"/>
      <c r="U3092" s="47">
        <v>430</v>
      </c>
      <c r="V3092" s="47"/>
      <c r="W3092" s="47"/>
      <c r="X3092" s="47"/>
      <c r="Y3092" s="47"/>
      <c r="Z3092" s="47">
        <v>4620</v>
      </c>
      <c r="AA3092" s="47"/>
      <c r="AB3092" s="47"/>
      <c r="AC3092" s="47"/>
      <c r="AD3092" s="47"/>
      <c r="AE3092" s="47"/>
      <c r="AF3092" s="47"/>
      <c r="AG3092" s="47"/>
      <c r="AH3092" s="47">
        <v>7000</v>
      </c>
      <c r="AI3092" s="47"/>
      <c r="AJ3092" s="47"/>
    </row>
    <row r="3093" spans="1:36">
      <c r="A3093" s="374" t="s">
        <v>4669</v>
      </c>
      <c r="B3093" s="374">
        <v>5</v>
      </c>
      <c r="C3093" s="374" t="s">
        <v>299</v>
      </c>
      <c r="D3093" s="375" t="str">
        <f t="shared" si="637"/>
        <v>Oak Hill Estate5</v>
      </c>
      <c r="E3093" s="375"/>
      <c r="F3093" s="375"/>
      <c r="G3093" s="375" t="s">
        <v>2824</v>
      </c>
      <c r="H3093" s="375" t="s">
        <v>2825</v>
      </c>
      <c r="I3093" s="63" t="s">
        <v>2826</v>
      </c>
      <c r="J3093" s="47">
        <v>3740</v>
      </c>
      <c r="K3093" s="46" t="s">
        <v>10735</v>
      </c>
      <c r="L3093" s="47"/>
      <c r="M3093" s="47"/>
      <c r="N3093" s="47"/>
      <c r="O3093" s="47" t="s">
        <v>4671</v>
      </c>
      <c r="P3093" s="47"/>
      <c r="Q3093" s="47"/>
      <c r="R3093" s="47"/>
      <c r="S3093" s="47"/>
      <c r="T3093" s="47"/>
      <c r="U3093" s="47">
        <v>430</v>
      </c>
      <c r="V3093" s="47"/>
      <c r="W3093" s="47"/>
      <c r="X3093" s="47"/>
      <c r="Y3093" s="47"/>
      <c r="Z3093" s="47">
        <v>4620</v>
      </c>
      <c r="AA3093" s="47"/>
      <c r="AB3093" s="47"/>
      <c r="AC3093" s="47"/>
      <c r="AD3093" s="47"/>
      <c r="AE3093" s="47"/>
      <c r="AF3093" s="47"/>
      <c r="AG3093" s="47"/>
      <c r="AH3093" s="47">
        <v>7000</v>
      </c>
      <c r="AI3093" s="47"/>
      <c r="AJ3093" s="47"/>
    </row>
    <row r="3094" spans="1:36">
      <c r="A3094" s="374" t="s">
        <v>4657</v>
      </c>
      <c r="B3094" s="374">
        <v>7</v>
      </c>
      <c r="C3094" s="374" t="s">
        <v>291</v>
      </c>
      <c r="D3094" s="375" t="str">
        <f t="shared" si="637"/>
        <v>Oakdene Estate7</v>
      </c>
      <c r="E3094" s="375" t="s">
        <v>4658</v>
      </c>
      <c r="F3094" s="375" t="s">
        <v>4659</v>
      </c>
      <c r="G3094" s="375" t="s">
        <v>4660</v>
      </c>
      <c r="H3094" s="375" t="s">
        <v>4661</v>
      </c>
      <c r="I3094" s="63" t="s">
        <v>4662</v>
      </c>
      <c r="J3094" s="47"/>
      <c r="K3094" s="46" t="s">
        <v>10735</v>
      </c>
      <c r="L3094" s="47"/>
      <c r="M3094" s="47">
        <f t="shared" ref="M3094:M3102" si="642">M$7</f>
        <v>1430.0000000000002</v>
      </c>
      <c r="N3094" s="47" t="s">
        <v>4663</v>
      </c>
      <c r="O3094" s="47"/>
      <c r="P3094" s="47"/>
      <c r="Q3094" s="47">
        <f t="shared" ref="Q3094:Q3101" si="643">Q$2</f>
        <v>0</v>
      </c>
      <c r="R3094" s="47" t="s">
        <v>4664</v>
      </c>
      <c r="S3094" s="47"/>
      <c r="T3094" s="47"/>
      <c r="U3094" s="47"/>
      <c r="V3094" s="47"/>
      <c r="W3094" s="47">
        <f t="shared" ref="W3094:W3101" si="644">W$7</f>
        <v>5990</v>
      </c>
      <c r="X3094" s="47"/>
      <c r="Y3094" s="47"/>
      <c r="Z3094" s="47">
        <f t="shared" si="638"/>
        <v>4620</v>
      </c>
      <c r="AA3094" s="47"/>
      <c r="AB3094" s="47"/>
      <c r="AC3094" s="47"/>
      <c r="AD3094" s="47"/>
      <c r="AE3094" s="47"/>
      <c r="AF3094" s="47"/>
      <c r="AG3094" s="47"/>
      <c r="AH3094" s="47">
        <f>IFERROR(_xlfn.XLOOKUP(Table6[[#This Row],[Suburb]],Table5[Travel Surcharge],Table5[$$]),"")</f>
        <v>1500</v>
      </c>
      <c r="AI3094" s="47">
        <f t="shared" ref="AI3094:AI3101" si="645">AI$7</f>
        <v>1650.0000000000002</v>
      </c>
      <c r="AJ3094" s="47"/>
    </row>
    <row r="3095" spans="1:36">
      <c r="A3095" s="374" t="s">
        <v>4657</v>
      </c>
      <c r="B3095" s="374">
        <v>8</v>
      </c>
      <c r="C3095" s="374" t="s">
        <v>291</v>
      </c>
      <c r="D3095" s="375" t="str">
        <f t="shared" si="637"/>
        <v>Oakdene Estate8</v>
      </c>
      <c r="E3095" s="375" t="s">
        <v>4665</v>
      </c>
      <c r="F3095" s="375" t="s">
        <v>4659</v>
      </c>
      <c r="G3095" s="375" t="s">
        <v>4660</v>
      </c>
      <c r="H3095" s="375" t="s">
        <v>4661</v>
      </c>
      <c r="I3095" s="63" t="s">
        <v>4662</v>
      </c>
      <c r="J3095" s="47"/>
      <c r="K3095" s="46" t="s">
        <v>10735</v>
      </c>
      <c r="L3095" s="47"/>
      <c r="M3095" s="47">
        <f t="shared" si="642"/>
        <v>1430.0000000000002</v>
      </c>
      <c r="N3095" s="47"/>
      <c r="O3095" s="47"/>
      <c r="P3095" s="47"/>
      <c r="Q3095" s="47">
        <f t="shared" si="643"/>
        <v>0</v>
      </c>
      <c r="R3095" s="47" t="s">
        <v>4664</v>
      </c>
      <c r="S3095" s="47"/>
      <c r="T3095" s="47"/>
      <c r="U3095" s="47"/>
      <c r="V3095" s="47"/>
      <c r="W3095" s="47">
        <f t="shared" si="644"/>
        <v>5990</v>
      </c>
      <c r="X3095" s="47"/>
      <c r="Y3095" s="47"/>
      <c r="Z3095" s="47">
        <f t="shared" si="638"/>
        <v>4620</v>
      </c>
      <c r="AA3095" s="47"/>
      <c r="AB3095" s="47"/>
      <c r="AC3095" s="47"/>
      <c r="AD3095" s="47"/>
      <c r="AE3095" s="47"/>
      <c r="AF3095" s="47"/>
      <c r="AG3095" s="47"/>
      <c r="AH3095" s="47">
        <f>IFERROR(_xlfn.XLOOKUP(Table6[[#This Row],[Suburb]],Table5[Travel Surcharge],Table5[$$]),"")</f>
        <v>1500</v>
      </c>
      <c r="AI3095" s="47">
        <f t="shared" si="645"/>
        <v>1650.0000000000002</v>
      </c>
      <c r="AJ3095" s="47"/>
    </row>
    <row r="3096" spans="1:36">
      <c r="A3096" s="374" t="s">
        <v>4657</v>
      </c>
      <c r="B3096" s="374">
        <v>9</v>
      </c>
      <c r="C3096" s="374" t="s">
        <v>291</v>
      </c>
      <c r="D3096" s="375" t="str">
        <f t="shared" si="637"/>
        <v>Oakdene Estate9</v>
      </c>
      <c r="E3096" s="375" t="s">
        <v>4666</v>
      </c>
      <c r="F3096" s="375" t="s">
        <v>4659</v>
      </c>
      <c r="G3096" s="375" t="s">
        <v>4660</v>
      </c>
      <c r="H3096" s="375" t="s">
        <v>4661</v>
      </c>
      <c r="I3096" s="63" t="s">
        <v>4662</v>
      </c>
      <c r="J3096" s="47"/>
      <c r="K3096" s="46" t="s">
        <v>10735</v>
      </c>
      <c r="L3096" s="47"/>
      <c r="M3096" s="47">
        <f t="shared" si="642"/>
        <v>1430.0000000000002</v>
      </c>
      <c r="N3096" s="47"/>
      <c r="O3096" s="47"/>
      <c r="P3096" s="47"/>
      <c r="Q3096" s="47">
        <f t="shared" si="643"/>
        <v>0</v>
      </c>
      <c r="R3096" s="47" t="s">
        <v>4664</v>
      </c>
      <c r="S3096" s="47"/>
      <c r="T3096" s="47"/>
      <c r="U3096" s="47"/>
      <c r="V3096" s="47"/>
      <c r="W3096" s="47">
        <f t="shared" si="644"/>
        <v>5990</v>
      </c>
      <c r="X3096" s="47"/>
      <c r="Y3096" s="47"/>
      <c r="Z3096" s="47">
        <f t="shared" si="638"/>
        <v>4620</v>
      </c>
      <c r="AA3096" s="47"/>
      <c r="AB3096" s="47"/>
      <c r="AC3096" s="47"/>
      <c r="AD3096" s="47"/>
      <c r="AE3096" s="47"/>
      <c r="AF3096" s="47"/>
      <c r="AG3096" s="47"/>
      <c r="AH3096" s="47">
        <f>IFERROR(_xlfn.XLOOKUP(Table6[[#This Row],[Suburb]],Table5[Travel Surcharge],Table5[$$]),"")</f>
        <v>1500</v>
      </c>
      <c r="AI3096" s="47">
        <f t="shared" si="645"/>
        <v>1650.0000000000002</v>
      </c>
      <c r="AJ3096" s="47"/>
    </row>
    <row r="3097" spans="1:36">
      <c r="A3097" s="374" t="s">
        <v>4657</v>
      </c>
      <c r="B3097" s="374">
        <v>10</v>
      </c>
      <c r="C3097" s="374" t="s">
        <v>291</v>
      </c>
      <c r="D3097" s="375" t="str">
        <f t="shared" si="637"/>
        <v>Oakdene Estate10</v>
      </c>
      <c r="E3097" s="375" t="s">
        <v>4667</v>
      </c>
      <c r="F3097" s="375" t="s">
        <v>4659</v>
      </c>
      <c r="G3097" s="375" t="s">
        <v>4660</v>
      </c>
      <c r="H3097" s="375" t="s">
        <v>4661</v>
      </c>
      <c r="I3097" s="63" t="s">
        <v>4662</v>
      </c>
      <c r="J3097" s="47"/>
      <c r="K3097" s="46" t="s">
        <v>10735</v>
      </c>
      <c r="L3097" s="47"/>
      <c r="M3097" s="47">
        <f t="shared" si="642"/>
        <v>1430.0000000000002</v>
      </c>
      <c r="N3097" s="47"/>
      <c r="O3097" s="47"/>
      <c r="P3097" s="47"/>
      <c r="Q3097" s="47">
        <f t="shared" si="643"/>
        <v>0</v>
      </c>
      <c r="R3097" s="47" t="s">
        <v>4664</v>
      </c>
      <c r="S3097" s="47"/>
      <c r="T3097" s="47"/>
      <c r="U3097" s="47"/>
      <c r="V3097" s="47"/>
      <c r="W3097" s="47">
        <f t="shared" si="644"/>
        <v>5990</v>
      </c>
      <c r="X3097" s="47"/>
      <c r="Y3097" s="47"/>
      <c r="Z3097" s="47">
        <f t="shared" si="638"/>
        <v>4620</v>
      </c>
      <c r="AA3097" s="47"/>
      <c r="AB3097" s="47"/>
      <c r="AC3097" s="47"/>
      <c r="AD3097" s="47"/>
      <c r="AE3097" s="47"/>
      <c r="AF3097" s="47"/>
      <c r="AG3097" s="47"/>
      <c r="AH3097" s="47">
        <f>IFERROR(_xlfn.XLOOKUP(Table6[[#This Row],[Suburb]],Table5[Travel Surcharge],Table5[$$]),"")</f>
        <v>1500</v>
      </c>
      <c r="AI3097" s="47">
        <f t="shared" si="645"/>
        <v>1650.0000000000002</v>
      </c>
      <c r="AJ3097" s="47"/>
    </row>
    <row r="3098" spans="1:36">
      <c r="A3098" s="374" t="s">
        <v>4657</v>
      </c>
      <c r="B3098" s="374" t="s">
        <v>714</v>
      </c>
      <c r="C3098" s="374" t="s">
        <v>291</v>
      </c>
      <c r="D3098" s="375" t="str">
        <f t="shared" si="637"/>
        <v>Oakdene Estate11A</v>
      </c>
      <c r="E3098" s="375" t="s">
        <v>7496</v>
      </c>
      <c r="F3098" s="375" t="s">
        <v>4659</v>
      </c>
      <c r="G3098" s="375" t="s">
        <v>4660</v>
      </c>
      <c r="H3098" s="375" t="s">
        <v>4661</v>
      </c>
      <c r="I3098" s="63" t="s">
        <v>4662</v>
      </c>
      <c r="J3098" s="47"/>
      <c r="K3098" s="46" t="s">
        <v>10735</v>
      </c>
      <c r="L3098" s="47"/>
      <c r="M3098" s="47">
        <f t="shared" si="642"/>
        <v>1430.0000000000002</v>
      </c>
      <c r="N3098" s="47" t="s">
        <v>7495</v>
      </c>
      <c r="O3098" s="47"/>
      <c r="P3098" s="47"/>
      <c r="Q3098" s="47">
        <f t="shared" si="643"/>
        <v>0</v>
      </c>
      <c r="R3098" s="47" t="s">
        <v>4664</v>
      </c>
      <c r="S3098" s="47"/>
      <c r="T3098" s="47"/>
      <c r="U3098" s="47"/>
      <c r="V3098" s="47"/>
      <c r="W3098" s="47">
        <f t="shared" si="644"/>
        <v>5990</v>
      </c>
      <c r="X3098" s="47"/>
      <c r="Y3098" s="47"/>
      <c r="Z3098" s="47">
        <f t="shared" si="638"/>
        <v>4620</v>
      </c>
      <c r="AA3098" s="47"/>
      <c r="AB3098" s="47"/>
      <c r="AC3098" s="47"/>
      <c r="AD3098" s="47"/>
      <c r="AE3098" s="47"/>
      <c r="AF3098" s="47"/>
      <c r="AG3098" s="47"/>
      <c r="AH3098" s="47">
        <f>IFERROR(_xlfn.XLOOKUP(Table6[[#This Row],[Suburb]],Table5[Travel Surcharge],Table5[$$]),"")</f>
        <v>1500</v>
      </c>
      <c r="AI3098" s="47">
        <f t="shared" si="645"/>
        <v>1650.0000000000002</v>
      </c>
      <c r="AJ3098" s="47"/>
    </row>
    <row r="3099" spans="1:36">
      <c r="A3099" s="374" t="s">
        <v>4657</v>
      </c>
      <c r="B3099" s="374">
        <v>18</v>
      </c>
      <c r="C3099" s="374" t="s">
        <v>291</v>
      </c>
      <c r="D3099" s="375" t="str">
        <f t="shared" si="637"/>
        <v>Oakdene Estate18</v>
      </c>
      <c r="E3099" s="375" t="s">
        <v>4668</v>
      </c>
      <c r="F3099" s="375" t="s">
        <v>4659</v>
      </c>
      <c r="G3099" s="375" t="s">
        <v>4660</v>
      </c>
      <c r="H3099" s="375" t="s">
        <v>4661</v>
      </c>
      <c r="I3099" s="63" t="s">
        <v>4662</v>
      </c>
      <c r="J3099" s="47"/>
      <c r="K3099" s="46" t="s">
        <v>10735</v>
      </c>
      <c r="L3099" s="47"/>
      <c r="M3099" s="47">
        <f t="shared" si="642"/>
        <v>1430.0000000000002</v>
      </c>
      <c r="N3099" s="47"/>
      <c r="O3099" s="47"/>
      <c r="P3099" s="47"/>
      <c r="Q3099" s="47">
        <f t="shared" si="643"/>
        <v>0</v>
      </c>
      <c r="R3099" s="47" t="s">
        <v>4664</v>
      </c>
      <c r="S3099" s="47"/>
      <c r="T3099" s="47"/>
      <c r="U3099" s="47"/>
      <c r="V3099" s="47"/>
      <c r="W3099" s="47">
        <f t="shared" si="644"/>
        <v>5990</v>
      </c>
      <c r="X3099" s="47"/>
      <c r="Y3099" s="47"/>
      <c r="Z3099" s="47">
        <f t="shared" si="638"/>
        <v>4620</v>
      </c>
      <c r="AA3099" s="47"/>
      <c r="AB3099" s="47"/>
      <c r="AC3099" s="47"/>
      <c r="AD3099" s="47"/>
      <c r="AE3099" s="47"/>
      <c r="AF3099" s="47"/>
      <c r="AG3099" s="47"/>
      <c r="AH3099" s="47">
        <f>IFERROR(_xlfn.XLOOKUP(Table6[[#This Row],[Suburb]],Table5[Travel Surcharge],Table5[$$]),"")</f>
        <v>1500</v>
      </c>
      <c r="AI3099" s="47">
        <f t="shared" si="645"/>
        <v>1650.0000000000002</v>
      </c>
      <c r="AJ3099" s="47"/>
    </row>
    <row r="3100" spans="1:36">
      <c r="A3100" s="157" t="s">
        <v>4657</v>
      </c>
      <c r="B3100" s="157">
        <v>21</v>
      </c>
      <c r="C3100" s="157" t="s">
        <v>8071</v>
      </c>
      <c r="D3100" s="157" t="str">
        <f t="shared" si="637"/>
        <v>Oakdene Estate21</v>
      </c>
      <c r="E3100" s="157" t="s">
        <v>8097</v>
      </c>
      <c r="F3100" s="157" t="s">
        <v>4659</v>
      </c>
      <c r="G3100" s="157" t="s">
        <v>4660</v>
      </c>
      <c r="H3100" s="157" t="s">
        <v>8072</v>
      </c>
      <c r="I3100" s="158" t="s">
        <v>4662</v>
      </c>
      <c r="J3100" s="47"/>
      <c r="K3100" s="46" t="s">
        <v>10735</v>
      </c>
      <c r="L3100" s="47"/>
      <c r="M3100" s="47">
        <f t="shared" si="642"/>
        <v>1430.0000000000002</v>
      </c>
      <c r="N3100" s="47"/>
      <c r="O3100" s="47"/>
      <c r="P3100" s="47"/>
      <c r="Q3100" s="47">
        <f t="shared" si="643"/>
        <v>0</v>
      </c>
      <c r="R3100" s="47" t="s">
        <v>4664</v>
      </c>
      <c r="S3100" s="47"/>
      <c r="T3100" s="47"/>
      <c r="U3100" s="47"/>
      <c r="V3100" s="47"/>
      <c r="W3100" s="47">
        <f t="shared" si="644"/>
        <v>5990</v>
      </c>
      <c r="X3100" s="47"/>
      <c r="Y3100" s="47"/>
      <c r="Z3100" s="47">
        <f t="shared" si="638"/>
        <v>4620</v>
      </c>
      <c r="AA3100" s="47"/>
      <c r="AB3100" s="47"/>
      <c r="AC3100" s="47"/>
      <c r="AD3100" s="47"/>
      <c r="AE3100" s="47"/>
      <c r="AF3100" s="47"/>
      <c r="AG3100" s="47"/>
      <c r="AH3100" s="47" t="str">
        <f>IFERROR(_xlfn.XLOOKUP(Table6[[#This Row],[Suburb]],Table5[Travel Surcharge],Table5[$$]),"")</f>
        <v/>
      </c>
      <c r="AI3100" s="47">
        <f t="shared" si="645"/>
        <v>1650.0000000000002</v>
      </c>
      <c r="AJ3100" s="47"/>
    </row>
    <row r="3101" spans="1:36">
      <c r="A3101" s="157" t="s">
        <v>4657</v>
      </c>
      <c r="B3101" s="157">
        <v>23</v>
      </c>
      <c r="C3101" s="157" t="s">
        <v>8071</v>
      </c>
      <c r="D3101" s="157" t="str">
        <f t="shared" si="637"/>
        <v>Oakdene Estate23</v>
      </c>
      <c r="E3101" s="157" t="s">
        <v>8073</v>
      </c>
      <c r="F3101" s="157" t="s">
        <v>4659</v>
      </c>
      <c r="G3101" s="157" t="s">
        <v>4660</v>
      </c>
      <c r="H3101" s="157" t="s">
        <v>8072</v>
      </c>
      <c r="I3101" s="158" t="s">
        <v>4662</v>
      </c>
      <c r="J3101" s="47"/>
      <c r="K3101" s="46" t="s">
        <v>10735</v>
      </c>
      <c r="L3101" s="47"/>
      <c r="M3101" s="47">
        <f t="shared" si="642"/>
        <v>1430.0000000000002</v>
      </c>
      <c r="N3101" s="47"/>
      <c r="O3101" s="47"/>
      <c r="P3101" s="47"/>
      <c r="Q3101" s="47">
        <f t="shared" si="643"/>
        <v>0</v>
      </c>
      <c r="R3101" s="47" t="s">
        <v>4664</v>
      </c>
      <c r="S3101" s="47"/>
      <c r="T3101" s="47"/>
      <c r="U3101" s="47"/>
      <c r="V3101" s="47"/>
      <c r="W3101" s="47">
        <f t="shared" si="644"/>
        <v>5990</v>
      </c>
      <c r="X3101" s="47"/>
      <c r="Y3101" s="47"/>
      <c r="Z3101" s="47">
        <f t="shared" si="638"/>
        <v>4620</v>
      </c>
      <c r="AA3101" s="47"/>
      <c r="AB3101" s="47"/>
      <c r="AC3101" s="47"/>
      <c r="AD3101" s="47"/>
      <c r="AE3101" s="47"/>
      <c r="AF3101" s="47"/>
      <c r="AG3101" s="47"/>
      <c r="AH3101" s="47" t="str">
        <f>IFERROR(_xlfn.XLOOKUP(Table6[[#This Row],[Suburb]],Table5[Travel Surcharge],Table5[$$]),"")</f>
        <v/>
      </c>
      <c r="AI3101" s="47">
        <f t="shared" si="645"/>
        <v>1650.0000000000002</v>
      </c>
      <c r="AJ3101" s="47"/>
    </row>
    <row r="3102" spans="1:36">
      <c r="A3102" s="157" t="s">
        <v>8408</v>
      </c>
      <c r="B3102" s="157">
        <v>1</v>
      </c>
      <c r="C3102" s="157" t="s">
        <v>8409</v>
      </c>
      <c r="D3102" s="157" t="str">
        <f t="shared" si="637"/>
        <v>Oaklands Estate 1</v>
      </c>
      <c r="E3102" s="157" t="s">
        <v>8410</v>
      </c>
      <c r="F3102" s="157" t="s">
        <v>1862</v>
      </c>
      <c r="G3102" s="157"/>
      <c r="H3102" s="157" t="s">
        <v>8411</v>
      </c>
      <c r="I3102" s="158" t="s">
        <v>8412</v>
      </c>
      <c r="J3102" s="47" t="s">
        <v>8413</v>
      </c>
      <c r="K3102" s="46" t="s">
        <v>10735</v>
      </c>
      <c r="L3102" s="47"/>
      <c r="M3102" s="47">
        <f t="shared" si="642"/>
        <v>1430.0000000000002</v>
      </c>
      <c r="N3102" s="47"/>
      <c r="O3102" s="47" t="s">
        <v>8414</v>
      </c>
      <c r="P3102" s="47"/>
      <c r="Q3102" s="47"/>
      <c r="R3102" s="47">
        <f t="shared" ref="R3102:R3113" si="646">R$2</f>
        <v>540</v>
      </c>
      <c r="S3102" s="47"/>
      <c r="T3102" s="47"/>
      <c r="U3102" s="47" t="s">
        <v>8449</v>
      </c>
      <c r="V3102" s="47" t="s">
        <v>8415</v>
      </c>
      <c r="W3102" s="47" t="s">
        <v>8416</v>
      </c>
      <c r="X3102" s="47"/>
      <c r="Y3102" s="47"/>
      <c r="Z3102" s="47">
        <f t="shared" si="638"/>
        <v>4620</v>
      </c>
      <c r="AA3102" s="47"/>
      <c r="AB3102" s="47"/>
      <c r="AC3102" s="47"/>
      <c r="AD3102" s="47"/>
      <c r="AE3102" s="47"/>
      <c r="AF3102" s="47">
        <f t="shared" ref="AF3102:AF3127" si="647">AF$7</f>
        <v>1485</v>
      </c>
      <c r="AG3102" s="47"/>
      <c r="AH3102" s="47" t="str">
        <f>IFERROR(_xlfn.XLOOKUP(Table6[[#This Row],[Suburb]],Table5[Travel Surcharge],Table5[$$]),"")</f>
        <v/>
      </c>
      <c r="AI3102" s="47"/>
      <c r="AJ3102" s="47"/>
    </row>
    <row r="3103" spans="1:36">
      <c r="A3103" s="374" t="s">
        <v>8408</v>
      </c>
      <c r="B3103" s="374">
        <v>3</v>
      </c>
      <c r="C3103" s="374" t="s">
        <v>8409</v>
      </c>
      <c r="D3103" s="157" t="str">
        <f t="shared" si="637"/>
        <v>Oaklands Estate 3</v>
      </c>
      <c r="E3103" s="375" t="s">
        <v>10304</v>
      </c>
      <c r="F3103" s="375" t="s">
        <v>1862</v>
      </c>
      <c r="G3103" s="375"/>
      <c r="H3103" s="375" t="s">
        <v>8411</v>
      </c>
      <c r="I3103" s="63" t="s">
        <v>8412</v>
      </c>
      <c r="J3103" s="47" t="s">
        <v>8413</v>
      </c>
      <c r="K3103" s="46" t="s">
        <v>10735</v>
      </c>
      <c r="L3103" s="47"/>
      <c r="M3103" s="47">
        <v>1430.0000000000002</v>
      </c>
      <c r="N3103" s="47"/>
      <c r="O3103" s="47" t="s">
        <v>8414</v>
      </c>
      <c r="P3103" s="47"/>
      <c r="Q3103" s="47"/>
      <c r="R3103" s="47">
        <v>540</v>
      </c>
      <c r="S3103" s="47"/>
      <c r="T3103" s="47"/>
      <c r="U3103" s="47" t="s">
        <v>8449</v>
      </c>
      <c r="V3103" s="47" t="s">
        <v>8415</v>
      </c>
      <c r="W3103" s="47" t="s">
        <v>8416</v>
      </c>
      <c r="X3103" s="47"/>
      <c r="Y3103" s="47"/>
      <c r="Z3103" s="47">
        <v>4620</v>
      </c>
      <c r="AA3103" s="47"/>
      <c r="AB3103" s="47"/>
      <c r="AC3103" s="47"/>
      <c r="AD3103" s="47"/>
      <c r="AE3103" s="47"/>
      <c r="AF3103" s="47">
        <v>1485</v>
      </c>
      <c r="AG3103" s="47"/>
      <c r="AH3103" s="47" t="s">
        <v>9976</v>
      </c>
      <c r="AI3103" s="47"/>
      <c r="AJ3103" s="47"/>
    </row>
    <row r="3104" spans="1:36">
      <c r="A3104" s="374" t="s">
        <v>8408</v>
      </c>
      <c r="B3104" s="374">
        <v>4</v>
      </c>
      <c r="C3104" s="374" t="s">
        <v>8409</v>
      </c>
      <c r="D3104" s="375" t="str">
        <f t="shared" si="637"/>
        <v>Oaklands Estate 4</v>
      </c>
      <c r="E3104" s="375" t="s">
        <v>10806</v>
      </c>
      <c r="F3104" s="375" t="s">
        <v>1862</v>
      </c>
      <c r="G3104" s="375"/>
      <c r="H3104" s="375" t="s">
        <v>8411</v>
      </c>
      <c r="I3104" s="63" t="s">
        <v>8412</v>
      </c>
      <c r="J3104" s="47" t="s">
        <v>8413</v>
      </c>
      <c r="K3104" s="46" t="s">
        <v>10735</v>
      </c>
      <c r="L3104" s="47"/>
      <c r="M3104" s="47">
        <v>1430.0000000000002</v>
      </c>
      <c r="N3104" s="47"/>
      <c r="O3104" s="47" t="s">
        <v>8414</v>
      </c>
      <c r="P3104" s="47"/>
      <c r="Q3104" s="47"/>
      <c r="R3104" s="47">
        <v>540</v>
      </c>
      <c r="S3104" s="47"/>
      <c r="T3104" s="47"/>
      <c r="U3104" s="47" t="s">
        <v>8449</v>
      </c>
      <c r="V3104" s="47" t="s">
        <v>8415</v>
      </c>
      <c r="W3104" s="47" t="s">
        <v>8416</v>
      </c>
      <c r="X3104" s="47"/>
      <c r="Y3104" s="47"/>
      <c r="Z3104" s="47">
        <v>4620</v>
      </c>
      <c r="AA3104" s="47"/>
      <c r="AB3104" s="47"/>
      <c r="AC3104" s="47"/>
      <c r="AD3104" s="47"/>
      <c r="AE3104" s="47"/>
      <c r="AF3104" s="47">
        <v>1485</v>
      </c>
      <c r="AG3104" s="47"/>
      <c r="AH3104" s="47" t="s">
        <v>9976</v>
      </c>
      <c r="AI3104" s="47"/>
      <c r="AJ3104" s="47"/>
    </row>
    <row r="3105" spans="1:36">
      <c r="A3105" s="374" t="s">
        <v>11011</v>
      </c>
      <c r="B3105" s="374">
        <v>1</v>
      </c>
      <c r="C3105" s="374" t="s">
        <v>286</v>
      </c>
      <c r="D3105" s="375" t="str">
        <f>CONCATENATE(A3105,B3105)</f>
        <v>Oceana1</v>
      </c>
      <c r="E3105" s="375" t="s">
        <v>11012</v>
      </c>
      <c r="F3105" s="375"/>
      <c r="G3105" s="375"/>
      <c r="H3105" s="375"/>
      <c r="I3105" s="63"/>
      <c r="J3105" s="47">
        <v>3740</v>
      </c>
      <c r="K3105" s="46" t="s">
        <v>10735</v>
      </c>
      <c r="L3105" s="47" t="s">
        <v>10898</v>
      </c>
      <c r="M3105" s="47" t="s">
        <v>10988</v>
      </c>
      <c r="N3105" s="47" t="s">
        <v>10380</v>
      </c>
      <c r="O3105" s="47" t="s">
        <v>11013</v>
      </c>
      <c r="P3105" s="47" t="s">
        <v>11014</v>
      </c>
      <c r="Q3105" s="47">
        <v>0</v>
      </c>
      <c r="R3105" s="47" t="s">
        <v>11015</v>
      </c>
      <c r="S3105" s="47" t="s">
        <v>11016</v>
      </c>
      <c r="T3105" s="47"/>
      <c r="U3105" s="47"/>
      <c r="V3105" s="47"/>
      <c r="W3105" s="47"/>
      <c r="X3105" s="47"/>
      <c r="Y3105" s="47"/>
      <c r="Z3105" s="47">
        <f>Z$7</f>
        <v>4620</v>
      </c>
      <c r="AA3105" s="47"/>
      <c r="AB3105" s="47"/>
      <c r="AC3105" s="47"/>
      <c r="AD3105" s="47"/>
      <c r="AE3105" s="47"/>
      <c r="AF3105" s="47"/>
      <c r="AG3105" s="47"/>
      <c r="AH3105" s="47">
        <v>1500</v>
      </c>
      <c r="AI3105" s="47"/>
      <c r="AJ3105" s="47"/>
    </row>
    <row r="3106" spans="1:36">
      <c r="A3106" s="374" t="s">
        <v>4673</v>
      </c>
      <c r="B3106" s="374">
        <v>3</v>
      </c>
      <c r="C3106" s="374" t="s">
        <v>4674</v>
      </c>
      <c r="D3106" s="375" t="str">
        <f t="shared" si="637"/>
        <v>Octave3</v>
      </c>
      <c r="E3106" s="375" t="s">
        <v>4685</v>
      </c>
      <c r="F3106" s="375"/>
      <c r="G3106" s="375"/>
      <c r="H3106" s="375"/>
      <c r="I3106" s="63"/>
      <c r="J3106" s="47">
        <f t="shared" ref="J3106:J3127" si="648">J$7</f>
        <v>3740</v>
      </c>
      <c r="K3106" s="46" t="s">
        <v>10735</v>
      </c>
      <c r="L3106" s="47">
        <f t="shared" ref="L3106:L3113" si="649">L$7</f>
        <v>1210</v>
      </c>
      <c r="M3106" s="47" t="s">
        <v>2646</v>
      </c>
      <c r="N3106" s="47" t="s">
        <v>4676</v>
      </c>
      <c r="O3106" s="47"/>
      <c r="P3106" s="47"/>
      <c r="Q3106" s="47"/>
      <c r="R3106" s="47">
        <f t="shared" si="646"/>
        <v>540</v>
      </c>
      <c r="S3106" s="47"/>
      <c r="T3106" s="47" t="s">
        <v>4679</v>
      </c>
      <c r="U3106" s="47" t="s">
        <v>536</v>
      </c>
      <c r="V3106" s="47"/>
      <c r="W3106" s="47"/>
      <c r="X3106" s="47">
        <f t="shared" ref="X3106:X3113" si="650">X$7</f>
        <v>3000</v>
      </c>
      <c r="Y3106" s="47" t="s">
        <v>4680</v>
      </c>
      <c r="Z3106" s="47">
        <f t="shared" si="638"/>
        <v>4620</v>
      </c>
      <c r="AA3106" s="47" t="s">
        <v>4681</v>
      </c>
      <c r="AB3106" s="47" t="s">
        <v>4682</v>
      </c>
      <c r="AC3106" s="47"/>
      <c r="AD3106" s="47"/>
      <c r="AE3106" s="47">
        <f t="shared" ref="AE3106:AE3113" si="651">AE$7</f>
        <v>5000</v>
      </c>
      <c r="AF3106" s="47">
        <f t="shared" si="647"/>
        <v>1485</v>
      </c>
      <c r="AG3106" s="47" t="s">
        <v>4683</v>
      </c>
      <c r="AH3106" s="47" t="str">
        <f>IFERROR(_xlfn.XLOOKUP(Table6[[#This Row],[Suburb]],Table5[Travel Surcharge],Table5[$$]),"")</f>
        <v/>
      </c>
      <c r="AI3106" s="47">
        <f t="shared" ref="AI3106:AI3113" si="652">AI$7</f>
        <v>1650.0000000000002</v>
      </c>
      <c r="AJ3106" s="47"/>
    </row>
    <row r="3107" spans="1:36">
      <c r="A3107" s="374" t="s">
        <v>4673</v>
      </c>
      <c r="B3107" s="374">
        <v>4</v>
      </c>
      <c r="C3107" s="374" t="s">
        <v>4674</v>
      </c>
      <c r="D3107" s="375" t="str">
        <f t="shared" si="637"/>
        <v>Octave4</v>
      </c>
      <c r="E3107" s="375" t="s">
        <v>4686</v>
      </c>
      <c r="F3107" s="375"/>
      <c r="G3107" s="375"/>
      <c r="H3107" s="375"/>
      <c r="I3107" s="63"/>
      <c r="J3107" s="47">
        <f t="shared" si="648"/>
        <v>3740</v>
      </c>
      <c r="K3107" s="46" t="s">
        <v>10735</v>
      </c>
      <c r="L3107" s="47">
        <f t="shared" si="649"/>
        <v>1210</v>
      </c>
      <c r="M3107" s="47" t="s">
        <v>2646</v>
      </c>
      <c r="N3107" s="47" t="s">
        <v>4676</v>
      </c>
      <c r="O3107" s="47" t="s">
        <v>4687</v>
      </c>
      <c r="P3107" s="47" t="s">
        <v>4688</v>
      </c>
      <c r="Q3107" s="47"/>
      <c r="R3107" s="47">
        <f t="shared" si="646"/>
        <v>540</v>
      </c>
      <c r="S3107" s="47"/>
      <c r="T3107" s="47" t="s">
        <v>4679</v>
      </c>
      <c r="U3107" s="47" t="s">
        <v>536</v>
      </c>
      <c r="V3107" s="47"/>
      <c r="W3107" s="47"/>
      <c r="X3107" s="47">
        <f t="shared" si="650"/>
        <v>3000</v>
      </c>
      <c r="Y3107" s="47" t="s">
        <v>4680</v>
      </c>
      <c r="Z3107" s="47">
        <f t="shared" si="638"/>
        <v>4620</v>
      </c>
      <c r="AA3107" s="47" t="s">
        <v>4681</v>
      </c>
      <c r="AB3107" s="47" t="s">
        <v>4682</v>
      </c>
      <c r="AC3107" s="47"/>
      <c r="AD3107" s="47"/>
      <c r="AE3107" s="47">
        <f t="shared" si="651"/>
        <v>5000</v>
      </c>
      <c r="AF3107" s="47">
        <f t="shared" si="647"/>
        <v>1485</v>
      </c>
      <c r="AG3107" s="47" t="s">
        <v>4683</v>
      </c>
      <c r="AH3107" s="47" t="str">
        <f>IFERROR(_xlfn.XLOOKUP(Table6[[#This Row],[Suburb]],Table5[Travel Surcharge],Table5[$$]),"")</f>
        <v/>
      </c>
      <c r="AI3107" s="47">
        <f t="shared" si="652"/>
        <v>1650.0000000000002</v>
      </c>
      <c r="AJ3107" s="47"/>
    </row>
    <row r="3108" spans="1:36">
      <c r="A3108" s="374" t="s">
        <v>4673</v>
      </c>
      <c r="B3108" s="374">
        <v>5</v>
      </c>
      <c r="C3108" s="374" t="s">
        <v>4674</v>
      </c>
      <c r="D3108" s="375" t="str">
        <f t="shared" si="637"/>
        <v>Octave5</v>
      </c>
      <c r="E3108" s="375" t="s">
        <v>4689</v>
      </c>
      <c r="F3108" s="375"/>
      <c r="G3108" s="375"/>
      <c r="H3108" s="375"/>
      <c r="I3108" s="63"/>
      <c r="J3108" s="47">
        <f t="shared" si="648"/>
        <v>3740</v>
      </c>
      <c r="K3108" s="46" t="s">
        <v>10735</v>
      </c>
      <c r="L3108" s="47">
        <f t="shared" si="649"/>
        <v>1210</v>
      </c>
      <c r="M3108" s="47" t="s">
        <v>2646</v>
      </c>
      <c r="N3108" s="47" t="s">
        <v>4676</v>
      </c>
      <c r="O3108" s="47"/>
      <c r="P3108" s="47"/>
      <c r="Q3108" s="47"/>
      <c r="R3108" s="47">
        <f t="shared" si="646"/>
        <v>540</v>
      </c>
      <c r="S3108" s="47"/>
      <c r="T3108" s="47" t="s">
        <v>4679</v>
      </c>
      <c r="U3108" s="47" t="s">
        <v>536</v>
      </c>
      <c r="V3108" s="47"/>
      <c r="W3108" s="47"/>
      <c r="X3108" s="47">
        <f t="shared" si="650"/>
        <v>3000</v>
      </c>
      <c r="Y3108" s="47" t="s">
        <v>4680</v>
      </c>
      <c r="Z3108" s="47">
        <f t="shared" si="638"/>
        <v>4620</v>
      </c>
      <c r="AA3108" s="47" t="s">
        <v>4681</v>
      </c>
      <c r="AB3108" s="47" t="s">
        <v>4682</v>
      </c>
      <c r="AC3108" s="47"/>
      <c r="AD3108" s="47"/>
      <c r="AE3108" s="47">
        <f t="shared" si="651"/>
        <v>5000</v>
      </c>
      <c r="AF3108" s="47">
        <f t="shared" si="647"/>
        <v>1485</v>
      </c>
      <c r="AG3108" s="47" t="s">
        <v>4683</v>
      </c>
      <c r="AH3108" s="47" t="str">
        <f>IFERROR(_xlfn.XLOOKUP(Table6[[#This Row],[Suburb]],Table5[Travel Surcharge],Table5[$$]),"")</f>
        <v/>
      </c>
      <c r="AI3108" s="47">
        <f t="shared" si="652"/>
        <v>1650.0000000000002</v>
      </c>
      <c r="AJ3108" s="47"/>
    </row>
    <row r="3109" spans="1:36">
      <c r="A3109" s="374" t="s">
        <v>4673</v>
      </c>
      <c r="B3109" s="374">
        <v>6</v>
      </c>
      <c r="C3109" s="374" t="s">
        <v>4674</v>
      </c>
      <c r="D3109" s="375" t="str">
        <f t="shared" si="637"/>
        <v>Octave6</v>
      </c>
      <c r="E3109" s="375" t="s">
        <v>4690</v>
      </c>
      <c r="F3109" s="375"/>
      <c r="G3109" s="375"/>
      <c r="H3109" s="375"/>
      <c r="I3109" s="63"/>
      <c r="J3109" s="47">
        <f t="shared" si="648"/>
        <v>3740</v>
      </c>
      <c r="K3109" s="46" t="s">
        <v>10735</v>
      </c>
      <c r="L3109" s="47">
        <f t="shared" si="649"/>
        <v>1210</v>
      </c>
      <c r="M3109" s="47" t="s">
        <v>2646</v>
      </c>
      <c r="N3109" s="47"/>
      <c r="O3109" s="47" t="s">
        <v>4691</v>
      </c>
      <c r="P3109" s="47" t="s">
        <v>4692</v>
      </c>
      <c r="Q3109" s="47"/>
      <c r="R3109" s="47">
        <f t="shared" si="646"/>
        <v>540</v>
      </c>
      <c r="S3109" s="47"/>
      <c r="T3109" s="47" t="s">
        <v>4679</v>
      </c>
      <c r="U3109" s="47" t="s">
        <v>536</v>
      </c>
      <c r="V3109" s="47" t="s">
        <v>4676</v>
      </c>
      <c r="W3109" s="47" t="s">
        <v>4693</v>
      </c>
      <c r="X3109" s="47">
        <f t="shared" si="650"/>
        <v>3000</v>
      </c>
      <c r="Y3109" s="47" t="s">
        <v>4680</v>
      </c>
      <c r="Z3109" s="47">
        <f t="shared" si="638"/>
        <v>4620</v>
      </c>
      <c r="AA3109" s="47" t="s">
        <v>4681</v>
      </c>
      <c r="AB3109" s="47" t="s">
        <v>4682</v>
      </c>
      <c r="AC3109" s="47"/>
      <c r="AD3109" s="47"/>
      <c r="AE3109" s="47">
        <f t="shared" si="651"/>
        <v>5000</v>
      </c>
      <c r="AF3109" s="47">
        <f t="shared" si="647"/>
        <v>1485</v>
      </c>
      <c r="AG3109" s="47" t="s">
        <v>4683</v>
      </c>
      <c r="AH3109" s="47" t="str">
        <f>IFERROR(_xlfn.XLOOKUP(Table6[[#This Row],[Suburb]],Table5[Travel Surcharge],Table5[$$]),"")</f>
        <v/>
      </c>
      <c r="AI3109" s="47">
        <f t="shared" si="652"/>
        <v>1650.0000000000002</v>
      </c>
      <c r="AJ3109" s="47"/>
    </row>
    <row r="3110" spans="1:36">
      <c r="A3110" s="374" t="s">
        <v>4673</v>
      </c>
      <c r="B3110" s="374">
        <v>7</v>
      </c>
      <c r="C3110" s="374" t="s">
        <v>4674</v>
      </c>
      <c r="D3110" s="375" t="str">
        <f t="shared" si="637"/>
        <v>Octave7</v>
      </c>
      <c r="E3110" s="375" t="s">
        <v>4694</v>
      </c>
      <c r="F3110" s="375"/>
      <c r="G3110" s="375"/>
      <c r="H3110" s="375"/>
      <c r="I3110" s="63"/>
      <c r="J3110" s="47">
        <f t="shared" si="648"/>
        <v>3740</v>
      </c>
      <c r="K3110" s="46" t="s">
        <v>10735</v>
      </c>
      <c r="L3110" s="47">
        <f t="shared" si="649"/>
        <v>1210</v>
      </c>
      <c r="M3110" s="47" t="s">
        <v>2646</v>
      </c>
      <c r="N3110" s="47" t="s">
        <v>4676</v>
      </c>
      <c r="O3110" s="47"/>
      <c r="P3110" s="47"/>
      <c r="Q3110" s="47"/>
      <c r="R3110" s="47">
        <f t="shared" si="646"/>
        <v>540</v>
      </c>
      <c r="S3110" s="47"/>
      <c r="T3110" s="47" t="s">
        <v>4679</v>
      </c>
      <c r="U3110" s="47" t="s">
        <v>536</v>
      </c>
      <c r="V3110" s="47"/>
      <c r="W3110" s="47"/>
      <c r="X3110" s="47">
        <f t="shared" si="650"/>
        <v>3000</v>
      </c>
      <c r="Y3110" s="47" t="s">
        <v>4680</v>
      </c>
      <c r="Z3110" s="47">
        <f t="shared" si="638"/>
        <v>4620</v>
      </c>
      <c r="AA3110" s="47" t="s">
        <v>4681</v>
      </c>
      <c r="AB3110" s="47" t="s">
        <v>4682</v>
      </c>
      <c r="AC3110" s="47"/>
      <c r="AD3110" s="47"/>
      <c r="AE3110" s="47">
        <f t="shared" si="651"/>
        <v>5000</v>
      </c>
      <c r="AF3110" s="47">
        <f t="shared" si="647"/>
        <v>1485</v>
      </c>
      <c r="AG3110" s="47" t="s">
        <v>4683</v>
      </c>
      <c r="AH3110" s="47" t="str">
        <f>IFERROR(_xlfn.XLOOKUP(Table6[[#This Row],[Suburb]],Table5[Travel Surcharge],Table5[$$]),"")</f>
        <v/>
      </c>
      <c r="AI3110" s="47">
        <f t="shared" si="652"/>
        <v>1650.0000000000002</v>
      </c>
      <c r="AJ3110" s="47"/>
    </row>
    <row r="3111" spans="1:36">
      <c r="A3111" s="374" t="s">
        <v>4673</v>
      </c>
      <c r="B3111" s="374" t="s">
        <v>501</v>
      </c>
      <c r="C3111" s="374" t="s">
        <v>4674</v>
      </c>
      <c r="D3111" s="375" t="str">
        <f t="shared" si="637"/>
        <v>Octave1A</v>
      </c>
      <c r="E3111" s="375" t="s">
        <v>4675</v>
      </c>
      <c r="F3111" s="375"/>
      <c r="G3111" s="375"/>
      <c r="H3111" s="375"/>
      <c r="I3111" s="63"/>
      <c r="J3111" s="47">
        <f t="shared" si="648"/>
        <v>3740</v>
      </c>
      <c r="K3111" s="46" t="s">
        <v>10735</v>
      </c>
      <c r="L3111" s="47">
        <f t="shared" si="649"/>
        <v>1210</v>
      </c>
      <c r="M3111" s="47" t="s">
        <v>2646</v>
      </c>
      <c r="N3111" s="47" t="s">
        <v>4676</v>
      </c>
      <c r="O3111" s="47" t="s">
        <v>4677</v>
      </c>
      <c r="P3111" s="47" t="s">
        <v>4678</v>
      </c>
      <c r="Q3111" s="47"/>
      <c r="R3111" s="47">
        <f t="shared" si="646"/>
        <v>540</v>
      </c>
      <c r="S3111" s="47"/>
      <c r="T3111" s="47" t="s">
        <v>4679</v>
      </c>
      <c r="U3111" s="47" t="s">
        <v>536</v>
      </c>
      <c r="V3111" s="47"/>
      <c r="W3111" s="47"/>
      <c r="X3111" s="47">
        <f t="shared" si="650"/>
        <v>3000</v>
      </c>
      <c r="Y3111" s="47" t="s">
        <v>4680</v>
      </c>
      <c r="Z3111" s="47">
        <f t="shared" si="638"/>
        <v>4620</v>
      </c>
      <c r="AA3111" s="47" t="s">
        <v>4681</v>
      </c>
      <c r="AB3111" s="47" t="s">
        <v>4682</v>
      </c>
      <c r="AC3111" s="47"/>
      <c r="AD3111" s="47"/>
      <c r="AE3111" s="47">
        <f t="shared" si="651"/>
        <v>5000</v>
      </c>
      <c r="AF3111" s="47">
        <f t="shared" si="647"/>
        <v>1485</v>
      </c>
      <c r="AG3111" s="47" t="s">
        <v>4683</v>
      </c>
      <c r="AH3111" s="47" t="str">
        <f>IFERROR(_xlfn.XLOOKUP(Table6[[#This Row],[Suburb]],Table5[Travel Surcharge],Table5[$$]),"")</f>
        <v/>
      </c>
      <c r="AI3111" s="47">
        <f t="shared" si="652"/>
        <v>1650.0000000000002</v>
      </c>
      <c r="AJ3111" s="47"/>
    </row>
    <row r="3112" spans="1:36">
      <c r="A3112" s="374" t="s">
        <v>4673</v>
      </c>
      <c r="B3112" s="374" t="s">
        <v>507</v>
      </c>
      <c r="C3112" s="374" t="s">
        <v>4674</v>
      </c>
      <c r="D3112" s="375" t="str">
        <f t="shared" si="637"/>
        <v>Octave1B</v>
      </c>
      <c r="E3112" s="375" t="s">
        <v>4675</v>
      </c>
      <c r="F3112" s="375"/>
      <c r="G3112" s="375"/>
      <c r="H3112" s="375"/>
      <c r="I3112" s="63"/>
      <c r="J3112" s="47">
        <f t="shared" si="648"/>
        <v>3740</v>
      </c>
      <c r="K3112" s="46" t="s">
        <v>10735</v>
      </c>
      <c r="L3112" s="47">
        <f t="shared" si="649"/>
        <v>1210</v>
      </c>
      <c r="M3112" s="47" t="s">
        <v>2646</v>
      </c>
      <c r="N3112" s="47" t="s">
        <v>4676</v>
      </c>
      <c r="O3112" s="47"/>
      <c r="P3112" s="47"/>
      <c r="Q3112" s="47"/>
      <c r="R3112" s="47">
        <f t="shared" si="646"/>
        <v>540</v>
      </c>
      <c r="S3112" s="47"/>
      <c r="T3112" s="47" t="s">
        <v>4679</v>
      </c>
      <c r="U3112" s="47" t="s">
        <v>536</v>
      </c>
      <c r="V3112" s="47"/>
      <c r="W3112" s="47"/>
      <c r="X3112" s="47">
        <f t="shared" si="650"/>
        <v>3000</v>
      </c>
      <c r="Y3112" s="47" t="s">
        <v>4680</v>
      </c>
      <c r="Z3112" s="47">
        <f t="shared" si="638"/>
        <v>4620</v>
      </c>
      <c r="AA3112" s="47" t="s">
        <v>4681</v>
      </c>
      <c r="AB3112" s="47" t="s">
        <v>4682</v>
      </c>
      <c r="AC3112" s="47"/>
      <c r="AD3112" s="47"/>
      <c r="AE3112" s="47">
        <f t="shared" si="651"/>
        <v>5000</v>
      </c>
      <c r="AF3112" s="47">
        <f t="shared" si="647"/>
        <v>1485</v>
      </c>
      <c r="AG3112" s="47" t="s">
        <v>4683</v>
      </c>
      <c r="AH3112" s="47" t="str">
        <f>IFERROR(_xlfn.XLOOKUP(Table6[[#This Row],[Suburb]],Table5[Travel Surcharge],Table5[$$]),"")</f>
        <v/>
      </c>
      <c r="AI3112" s="47">
        <f t="shared" si="652"/>
        <v>1650.0000000000002</v>
      </c>
      <c r="AJ3112" s="47"/>
    </row>
    <row r="3113" spans="1:36">
      <c r="A3113" s="374" t="s">
        <v>4673</v>
      </c>
      <c r="B3113" s="374" t="s">
        <v>718</v>
      </c>
      <c r="C3113" s="374" t="s">
        <v>4674</v>
      </c>
      <c r="D3113" s="375" t="str">
        <f t="shared" si="637"/>
        <v>Octave2A</v>
      </c>
      <c r="E3113" s="375" t="s">
        <v>4684</v>
      </c>
      <c r="F3113" s="375"/>
      <c r="G3113" s="375"/>
      <c r="H3113" s="375"/>
      <c r="I3113" s="63"/>
      <c r="J3113" s="47">
        <f t="shared" si="648"/>
        <v>3740</v>
      </c>
      <c r="K3113" s="46" t="s">
        <v>10735</v>
      </c>
      <c r="L3113" s="47">
        <f t="shared" si="649"/>
        <v>1210</v>
      </c>
      <c r="M3113" s="47" t="s">
        <v>2646</v>
      </c>
      <c r="N3113" s="47" t="s">
        <v>4676</v>
      </c>
      <c r="O3113" s="47"/>
      <c r="P3113" s="47"/>
      <c r="Q3113" s="47"/>
      <c r="R3113" s="47">
        <f t="shared" si="646"/>
        <v>540</v>
      </c>
      <c r="S3113" s="47"/>
      <c r="T3113" s="47" t="s">
        <v>4679</v>
      </c>
      <c r="U3113" s="47" t="s">
        <v>536</v>
      </c>
      <c r="V3113" s="47"/>
      <c r="W3113" s="47"/>
      <c r="X3113" s="47">
        <f t="shared" si="650"/>
        <v>3000</v>
      </c>
      <c r="Y3113" s="47" t="s">
        <v>4680</v>
      </c>
      <c r="Z3113" s="47">
        <f t="shared" si="638"/>
        <v>4620</v>
      </c>
      <c r="AA3113" s="47" t="s">
        <v>4681</v>
      </c>
      <c r="AB3113" s="47" t="s">
        <v>4682</v>
      </c>
      <c r="AC3113" s="47"/>
      <c r="AD3113" s="47"/>
      <c r="AE3113" s="47">
        <f t="shared" si="651"/>
        <v>5000</v>
      </c>
      <c r="AF3113" s="47">
        <f t="shared" si="647"/>
        <v>1485</v>
      </c>
      <c r="AG3113" s="47" t="s">
        <v>4683</v>
      </c>
      <c r="AH3113" s="47" t="str">
        <f>IFERROR(_xlfn.XLOOKUP(Table6[[#This Row],[Suburb]],Table5[Travel Surcharge],Table5[$$]),"")</f>
        <v/>
      </c>
      <c r="AI3113" s="47">
        <f t="shared" si="652"/>
        <v>1650.0000000000002</v>
      </c>
      <c r="AJ3113" s="47"/>
    </row>
    <row r="3114" spans="1:36">
      <c r="A3114" s="374" t="s">
        <v>10327</v>
      </c>
      <c r="B3114" s="374">
        <v>1</v>
      </c>
      <c r="C3114" s="374" t="s">
        <v>291</v>
      </c>
      <c r="D3114" s="375" t="str">
        <f>CONCATENATE(A3114,B3114)</f>
        <v>Ocean Grand1</v>
      </c>
      <c r="E3114" s="375" t="s">
        <v>10328</v>
      </c>
      <c r="F3114" s="375"/>
      <c r="G3114" s="375"/>
      <c r="H3114" s="375"/>
      <c r="I3114" s="63"/>
      <c r="J3114" s="47" t="s">
        <v>10329</v>
      </c>
      <c r="K3114" s="46" t="s">
        <v>10735</v>
      </c>
      <c r="L3114" s="47" t="s">
        <v>10331</v>
      </c>
      <c r="M3114" s="47">
        <v>1430</v>
      </c>
      <c r="N3114" s="47" t="s">
        <v>10330</v>
      </c>
      <c r="O3114" s="47" t="s">
        <v>10333</v>
      </c>
      <c r="P3114" s="47" t="s">
        <v>5179</v>
      </c>
      <c r="Q3114" s="47" t="s">
        <v>5178</v>
      </c>
      <c r="R3114" s="47">
        <v>540</v>
      </c>
      <c r="S3114" s="47" t="s">
        <v>10334</v>
      </c>
      <c r="T3114" s="47"/>
      <c r="U3114" s="47"/>
      <c r="V3114" s="47"/>
      <c r="W3114" s="47">
        <v>5990</v>
      </c>
      <c r="X3114" s="47"/>
      <c r="Y3114" s="47"/>
      <c r="Z3114" s="47">
        <f>Z$7</f>
        <v>4620</v>
      </c>
      <c r="AA3114" s="47"/>
      <c r="AB3114" s="47"/>
      <c r="AC3114" s="47"/>
      <c r="AD3114" s="47"/>
      <c r="AE3114" s="47"/>
      <c r="AF3114" s="47">
        <v>1485</v>
      </c>
      <c r="AG3114" s="47"/>
      <c r="AH3114" s="47">
        <v>1500</v>
      </c>
      <c r="AI3114" s="47"/>
      <c r="AJ3114" s="47"/>
    </row>
    <row r="3115" spans="1:36">
      <c r="A3115" s="374" t="s">
        <v>4695</v>
      </c>
      <c r="B3115" s="374">
        <v>1</v>
      </c>
      <c r="C3115" s="374" t="s">
        <v>802</v>
      </c>
      <c r="D3115" s="375" t="str">
        <f t="shared" si="637"/>
        <v>Officer Central1</v>
      </c>
      <c r="E3115" s="375" t="s">
        <v>4696</v>
      </c>
      <c r="F3115" s="375"/>
      <c r="G3115" s="375" t="s">
        <v>4697</v>
      </c>
      <c r="H3115" s="375" t="s">
        <v>4698</v>
      </c>
      <c r="I3115" s="63" t="s">
        <v>4699</v>
      </c>
      <c r="J3115" s="47">
        <f t="shared" si="648"/>
        <v>3740</v>
      </c>
      <c r="K3115" s="46" t="s">
        <v>7938</v>
      </c>
      <c r="L3115" s="47"/>
      <c r="M3115" s="47">
        <f t="shared" ref="M3115:M3127" si="653">M$7</f>
        <v>1430.0000000000002</v>
      </c>
      <c r="N3115" s="47" t="s">
        <v>4700</v>
      </c>
      <c r="O3115" s="47"/>
      <c r="P3115" s="47"/>
      <c r="Q3115" s="47"/>
      <c r="R3115" s="47"/>
      <c r="S3115" s="47"/>
      <c r="T3115" s="47"/>
      <c r="U3115" s="47">
        <f t="shared" ref="U3115:U3127" si="654">U$2</f>
        <v>430</v>
      </c>
      <c r="V3115" s="47"/>
      <c r="W3115" s="47"/>
      <c r="X3115" s="47"/>
      <c r="Y3115" s="47"/>
      <c r="Z3115" s="47">
        <f t="shared" si="638"/>
        <v>4620</v>
      </c>
      <c r="AA3115" s="47"/>
      <c r="AB3115" s="47"/>
      <c r="AC3115" s="47"/>
      <c r="AD3115" s="47"/>
      <c r="AE3115" s="47"/>
      <c r="AF3115" s="47">
        <f t="shared" si="647"/>
        <v>1485</v>
      </c>
      <c r="AG3115" s="47"/>
      <c r="AH3115" s="47" t="str">
        <f>IFERROR(_xlfn.XLOOKUP(Table6[[#This Row],[Suburb]],Table5[Travel Surcharge],Table5[$$]),"")</f>
        <v/>
      </c>
      <c r="AI3115" s="47"/>
      <c r="AJ3115" s="47"/>
    </row>
    <row r="3116" spans="1:36">
      <c r="A3116" s="374" t="s">
        <v>4695</v>
      </c>
      <c r="B3116" s="374">
        <v>2</v>
      </c>
      <c r="C3116" s="374" t="s">
        <v>802</v>
      </c>
      <c r="D3116" s="375" t="str">
        <f t="shared" si="637"/>
        <v>Officer Central2</v>
      </c>
      <c r="E3116" s="375" t="s">
        <v>4701</v>
      </c>
      <c r="F3116" s="375"/>
      <c r="G3116" s="375" t="s">
        <v>4697</v>
      </c>
      <c r="H3116" s="375" t="s">
        <v>4698</v>
      </c>
      <c r="I3116" s="63" t="s">
        <v>4699</v>
      </c>
      <c r="J3116" s="47">
        <f t="shared" si="648"/>
        <v>3740</v>
      </c>
      <c r="K3116" s="46" t="s">
        <v>7938</v>
      </c>
      <c r="L3116" s="47"/>
      <c r="M3116" s="47">
        <f t="shared" si="653"/>
        <v>1430.0000000000002</v>
      </c>
      <c r="N3116" s="47" t="s">
        <v>4700</v>
      </c>
      <c r="O3116" s="47"/>
      <c r="P3116" s="47"/>
      <c r="Q3116" s="47"/>
      <c r="R3116" s="47"/>
      <c r="S3116" s="47"/>
      <c r="T3116" s="47"/>
      <c r="U3116" s="47">
        <f t="shared" si="654"/>
        <v>430</v>
      </c>
      <c r="V3116" s="47"/>
      <c r="W3116" s="47"/>
      <c r="X3116" s="47"/>
      <c r="Y3116" s="47"/>
      <c r="Z3116" s="47">
        <f t="shared" si="638"/>
        <v>4620</v>
      </c>
      <c r="AA3116" s="47"/>
      <c r="AB3116" s="47"/>
      <c r="AC3116" s="47"/>
      <c r="AD3116" s="47"/>
      <c r="AE3116" s="47"/>
      <c r="AF3116" s="47">
        <f t="shared" si="647"/>
        <v>1485</v>
      </c>
      <c r="AG3116" s="47"/>
      <c r="AH3116" s="47" t="str">
        <f>IFERROR(_xlfn.XLOOKUP(Table6[[#This Row],[Suburb]],Table5[Travel Surcharge],Table5[$$]),"")</f>
        <v/>
      </c>
      <c r="AI3116" s="47"/>
      <c r="AJ3116" s="47"/>
    </row>
    <row r="3117" spans="1:36">
      <c r="A3117" s="374" t="s">
        <v>4695</v>
      </c>
      <c r="B3117" s="374">
        <v>3</v>
      </c>
      <c r="C3117" s="374" t="s">
        <v>802</v>
      </c>
      <c r="D3117" s="375" t="str">
        <f t="shared" si="637"/>
        <v>Officer Central3</v>
      </c>
      <c r="E3117" s="375" t="s">
        <v>4702</v>
      </c>
      <c r="F3117" s="375"/>
      <c r="G3117" s="375" t="s">
        <v>4697</v>
      </c>
      <c r="H3117" s="375" t="s">
        <v>4698</v>
      </c>
      <c r="I3117" s="63" t="s">
        <v>4699</v>
      </c>
      <c r="J3117" s="47">
        <f t="shared" si="648"/>
        <v>3740</v>
      </c>
      <c r="K3117" s="46" t="s">
        <v>7938</v>
      </c>
      <c r="L3117" s="47"/>
      <c r="M3117" s="47">
        <f t="shared" si="653"/>
        <v>1430.0000000000002</v>
      </c>
      <c r="N3117" s="47" t="s">
        <v>4700</v>
      </c>
      <c r="O3117" s="47"/>
      <c r="P3117" s="47"/>
      <c r="Q3117" s="47"/>
      <c r="R3117" s="47"/>
      <c r="S3117" s="47"/>
      <c r="T3117" s="47"/>
      <c r="U3117" s="47">
        <f t="shared" si="654"/>
        <v>430</v>
      </c>
      <c r="V3117" s="47"/>
      <c r="W3117" s="47"/>
      <c r="X3117" s="47"/>
      <c r="Y3117" s="47"/>
      <c r="Z3117" s="47">
        <f t="shared" si="638"/>
        <v>4620</v>
      </c>
      <c r="AA3117" s="47"/>
      <c r="AB3117" s="47"/>
      <c r="AC3117" s="47"/>
      <c r="AD3117" s="47"/>
      <c r="AE3117" s="47"/>
      <c r="AF3117" s="47">
        <f t="shared" si="647"/>
        <v>1485</v>
      </c>
      <c r="AG3117" s="47"/>
      <c r="AH3117" s="47" t="str">
        <f>IFERROR(_xlfn.XLOOKUP(Table6[[#This Row],[Suburb]],Table5[Travel Surcharge],Table5[$$]),"")</f>
        <v/>
      </c>
      <c r="AI3117" s="47"/>
      <c r="AJ3117" s="47"/>
    </row>
    <row r="3118" spans="1:36">
      <c r="A3118" s="374" t="s">
        <v>4695</v>
      </c>
      <c r="B3118" s="374">
        <v>4</v>
      </c>
      <c r="C3118" s="374" t="s">
        <v>802</v>
      </c>
      <c r="D3118" s="375" t="str">
        <f t="shared" si="637"/>
        <v>Officer Central4</v>
      </c>
      <c r="E3118" s="375" t="s">
        <v>4704</v>
      </c>
      <c r="F3118" s="375"/>
      <c r="G3118" s="375" t="s">
        <v>4697</v>
      </c>
      <c r="H3118" s="375" t="s">
        <v>4698</v>
      </c>
      <c r="I3118" s="63" t="s">
        <v>4699</v>
      </c>
      <c r="J3118" s="47">
        <f t="shared" si="648"/>
        <v>3740</v>
      </c>
      <c r="K3118" s="46" t="s">
        <v>7938</v>
      </c>
      <c r="L3118" s="47"/>
      <c r="M3118" s="47">
        <f t="shared" si="653"/>
        <v>1430.0000000000002</v>
      </c>
      <c r="N3118" s="47" t="s">
        <v>4700</v>
      </c>
      <c r="O3118" s="47"/>
      <c r="P3118" s="47"/>
      <c r="Q3118" s="47"/>
      <c r="R3118" s="47"/>
      <c r="S3118" s="47"/>
      <c r="T3118" s="47"/>
      <c r="U3118" s="47">
        <f t="shared" si="654"/>
        <v>430</v>
      </c>
      <c r="V3118" s="47"/>
      <c r="W3118" s="47"/>
      <c r="X3118" s="47"/>
      <c r="Y3118" s="47"/>
      <c r="Z3118" s="47">
        <f t="shared" si="638"/>
        <v>4620</v>
      </c>
      <c r="AA3118" s="47"/>
      <c r="AB3118" s="47"/>
      <c r="AC3118" s="47"/>
      <c r="AD3118" s="47"/>
      <c r="AE3118" s="47"/>
      <c r="AF3118" s="47">
        <f t="shared" si="647"/>
        <v>1485</v>
      </c>
      <c r="AG3118" s="47"/>
      <c r="AH3118" s="47" t="str">
        <f>IFERROR(_xlfn.XLOOKUP(Table6[[#This Row],[Suburb]],Table5[Travel Surcharge],Table5[$$]),"")</f>
        <v/>
      </c>
      <c r="AI3118" s="47"/>
      <c r="AJ3118" s="47"/>
    </row>
    <row r="3119" spans="1:36">
      <c r="A3119" s="374" t="s">
        <v>4695</v>
      </c>
      <c r="B3119" s="374">
        <v>5</v>
      </c>
      <c r="C3119" s="374" t="s">
        <v>802</v>
      </c>
      <c r="D3119" s="375" t="str">
        <f t="shared" si="637"/>
        <v>Officer Central5</v>
      </c>
      <c r="E3119" s="375" t="s">
        <v>4705</v>
      </c>
      <c r="F3119" s="375"/>
      <c r="G3119" s="375" t="s">
        <v>4697</v>
      </c>
      <c r="H3119" s="375" t="s">
        <v>4698</v>
      </c>
      <c r="I3119" s="63" t="s">
        <v>4699</v>
      </c>
      <c r="J3119" s="47">
        <f t="shared" si="648"/>
        <v>3740</v>
      </c>
      <c r="K3119" s="46" t="s">
        <v>7938</v>
      </c>
      <c r="L3119" s="47"/>
      <c r="M3119" s="47">
        <f t="shared" si="653"/>
        <v>1430.0000000000002</v>
      </c>
      <c r="N3119" s="47" t="s">
        <v>4700</v>
      </c>
      <c r="O3119" s="47"/>
      <c r="P3119" s="47"/>
      <c r="Q3119" s="47"/>
      <c r="R3119" s="47"/>
      <c r="S3119" s="47"/>
      <c r="T3119" s="47"/>
      <c r="U3119" s="47">
        <f t="shared" si="654"/>
        <v>430</v>
      </c>
      <c r="V3119" s="47"/>
      <c r="W3119" s="47"/>
      <c r="X3119" s="47"/>
      <c r="Y3119" s="47"/>
      <c r="Z3119" s="47">
        <f t="shared" si="638"/>
        <v>4620</v>
      </c>
      <c r="AA3119" s="47"/>
      <c r="AB3119" s="47"/>
      <c r="AC3119" s="47"/>
      <c r="AD3119" s="47"/>
      <c r="AE3119" s="47"/>
      <c r="AF3119" s="47">
        <f t="shared" si="647"/>
        <v>1485</v>
      </c>
      <c r="AG3119" s="47"/>
      <c r="AH3119" s="47" t="str">
        <f>IFERROR(_xlfn.XLOOKUP(Table6[[#This Row],[Suburb]],Table5[Travel Surcharge],Table5[$$]),"")</f>
        <v/>
      </c>
      <c r="AI3119" s="47"/>
      <c r="AJ3119" s="47"/>
    </row>
    <row r="3120" spans="1:36">
      <c r="A3120" s="374" t="s">
        <v>4695</v>
      </c>
      <c r="B3120" s="374">
        <v>6</v>
      </c>
      <c r="C3120" s="374" t="s">
        <v>802</v>
      </c>
      <c r="D3120" s="375" t="str">
        <f t="shared" si="637"/>
        <v>Officer Central6</v>
      </c>
      <c r="E3120" s="375" t="s">
        <v>4706</v>
      </c>
      <c r="F3120" s="375"/>
      <c r="G3120" s="375" t="s">
        <v>4697</v>
      </c>
      <c r="H3120" s="375" t="s">
        <v>4698</v>
      </c>
      <c r="I3120" s="63" t="s">
        <v>4699</v>
      </c>
      <c r="J3120" s="47">
        <f t="shared" si="648"/>
        <v>3740</v>
      </c>
      <c r="K3120" s="46" t="s">
        <v>7938</v>
      </c>
      <c r="L3120" s="47"/>
      <c r="M3120" s="47">
        <f t="shared" si="653"/>
        <v>1430.0000000000002</v>
      </c>
      <c r="N3120" s="47" t="s">
        <v>4700</v>
      </c>
      <c r="O3120" s="47"/>
      <c r="P3120" s="47"/>
      <c r="Q3120" s="47"/>
      <c r="R3120" s="47"/>
      <c r="S3120" s="47"/>
      <c r="T3120" s="47"/>
      <c r="U3120" s="47">
        <f t="shared" si="654"/>
        <v>430</v>
      </c>
      <c r="V3120" s="47"/>
      <c r="W3120" s="47"/>
      <c r="X3120" s="47"/>
      <c r="Y3120" s="47"/>
      <c r="Z3120" s="47">
        <f t="shared" si="638"/>
        <v>4620</v>
      </c>
      <c r="AA3120" s="47"/>
      <c r="AB3120" s="47"/>
      <c r="AC3120" s="47"/>
      <c r="AD3120" s="47"/>
      <c r="AE3120" s="47"/>
      <c r="AF3120" s="47">
        <f t="shared" si="647"/>
        <v>1485</v>
      </c>
      <c r="AG3120" s="47"/>
      <c r="AH3120" s="47" t="str">
        <f>IFERROR(_xlfn.XLOOKUP(Table6[[#This Row],[Suburb]],Table5[Travel Surcharge],Table5[$$]),"")</f>
        <v/>
      </c>
      <c r="AI3120" s="47"/>
      <c r="AJ3120" s="47"/>
    </row>
    <row r="3121" spans="1:36">
      <c r="A3121" s="157" t="s">
        <v>4695</v>
      </c>
      <c r="B3121" s="157">
        <v>7</v>
      </c>
      <c r="C3121" s="157" t="s">
        <v>802</v>
      </c>
      <c r="D3121" s="157" t="str">
        <f t="shared" si="637"/>
        <v>Officer Central7</v>
      </c>
      <c r="E3121" s="157" t="s">
        <v>8152</v>
      </c>
      <c r="F3121" s="157"/>
      <c r="G3121" s="157" t="s">
        <v>4697</v>
      </c>
      <c r="H3121" s="157" t="s">
        <v>4698</v>
      </c>
      <c r="I3121" s="158" t="s">
        <v>4699</v>
      </c>
      <c r="J3121" s="47">
        <f t="shared" si="648"/>
        <v>3740</v>
      </c>
      <c r="K3121" s="46" t="s">
        <v>7938</v>
      </c>
      <c r="L3121" s="47"/>
      <c r="M3121" s="47">
        <f t="shared" si="653"/>
        <v>1430.0000000000002</v>
      </c>
      <c r="N3121" s="47" t="s">
        <v>4700</v>
      </c>
      <c r="O3121" s="47"/>
      <c r="P3121" s="47"/>
      <c r="Q3121" s="47"/>
      <c r="R3121" s="47"/>
      <c r="S3121" s="47"/>
      <c r="T3121" s="47"/>
      <c r="U3121" s="47">
        <f t="shared" si="654"/>
        <v>430</v>
      </c>
      <c r="V3121" s="47"/>
      <c r="W3121" s="47"/>
      <c r="X3121" s="47"/>
      <c r="Y3121" s="47"/>
      <c r="Z3121" s="47">
        <f t="shared" si="638"/>
        <v>4620</v>
      </c>
      <c r="AA3121" s="47"/>
      <c r="AB3121" s="47"/>
      <c r="AC3121" s="47"/>
      <c r="AD3121" s="47"/>
      <c r="AE3121" s="47"/>
      <c r="AF3121" s="47">
        <f t="shared" si="647"/>
        <v>1485</v>
      </c>
      <c r="AG3121" s="47"/>
      <c r="AH3121" s="47" t="str">
        <f>IFERROR(_xlfn.XLOOKUP(Table6[[#This Row],[Suburb]],Table5[Travel Surcharge],Table5[$$]),"")</f>
        <v/>
      </c>
      <c r="AI3121" s="47"/>
      <c r="AJ3121" s="47"/>
    </row>
    <row r="3122" spans="1:36">
      <c r="A3122" s="157" t="s">
        <v>4695</v>
      </c>
      <c r="B3122" s="157">
        <v>8</v>
      </c>
      <c r="C3122" s="157" t="s">
        <v>802</v>
      </c>
      <c r="D3122" s="157" t="str">
        <f t="shared" si="637"/>
        <v>Officer Central8</v>
      </c>
      <c r="E3122" s="157" t="s">
        <v>9330</v>
      </c>
      <c r="F3122" s="157"/>
      <c r="G3122" s="157" t="s">
        <v>4697</v>
      </c>
      <c r="H3122" s="157" t="s">
        <v>4698</v>
      </c>
      <c r="I3122" s="158" t="s">
        <v>4699</v>
      </c>
      <c r="J3122" s="47">
        <f t="shared" si="648"/>
        <v>3740</v>
      </c>
      <c r="K3122" s="46" t="s">
        <v>7938</v>
      </c>
      <c r="L3122" s="47"/>
      <c r="M3122" s="47">
        <f t="shared" si="653"/>
        <v>1430.0000000000002</v>
      </c>
      <c r="N3122" s="47" t="s">
        <v>4700</v>
      </c>
      <c r="O3122" s="47"/>
      <c r="P3122" s="47"/>
      <c r="Q3122" s="47"/>
      <c r="R3122" s="47"/>
      <c r="S3122" s="47"/>
      <c r="T3122" s="47"/>
      <c r="U3122" s="47">
        <f t="shared" si="654"/>
        <v>430</v>
      </c>
      <c r="V3122" s="47"/>
      <c r="W3122" s="47"/>
      <c r="X3122" s="47"/>
      <c r="Y3122" s="47"/>
      <c r="Z3122" s="47">
        <f t="shared" si="638"/>
        <v>4620</v>
      </c>
      <c r="AA3122" s="47"/>
      <c r="AB3122" s="47"/>
      <c r="AC3122" s="47"/>
      <c r="AD3122" s="47"/>
      <c r="AE3122" s="47"/>
      <c r="AF3122" s="47">
        <f t="shared" si="647"/>
        <v>1485</v>
      </c>
      <c r="AG3122" s="47"/>
      <c r="AH3122" s="47" t="str">
        <f>IFERROR(_xlfn.XLOOKUP(Table6[[#This Row],[Suburb]],Table5[Travel Surcharge],Table5[$$]),"")</f>
        <v/>
      </c>
      <c r="AI3122" s="47"/>
      <c r="AJ3122" s="47"/>
    </row>
    <row r="3123" spans="1:36">
      <c r="A3123" s="374" t="s">
        <v>4695</v>
      </c>
      <c r="B3123" s="374">
        <v>9</v>
      </c>
      <c r="C3123" s="374" t="s">
        <v>802</v>
      </c>
      <c r="D3123" s="157" t="str">
        <f t="shared" si="637"/>
        <v>Officer Central9</v>
      </c>
      <c r="E3123" s="375" t="s">
        <v>10118</v>
      </c>
      <c r="F3123" s="375"/>
      <c r="G3123" s="375" t="s">
        <v>4697</v>
      </c>
      <c r="H3123" s="375" t="s">
        <v>4698</v>
      </c>
      <c r="I3123" s="63" t="s">
        <v>4699</v>
      </c>
      <c r="J3123" s="47">
        <v>3740</v>
      </c>
      <c r="K3123" s="46" t="s">
        <v>7938</v>
      </c>
      <c r="L3123" s="47"/>
      <c r="M3123" s="47">
        <v>1430.0000000000002</v>
      </c>
      <c r="N3123" s="47" t="s">
        <v>4700</v>
      </c>
      <c r="O3123" s="47"/>
      <c r="P3123" s="47"/>
      <c r="Q3123" s="47"/>
      <c r="R3123" s="47"/>
      <c r="S3123" s="47"/>
      <c r="T3123" s="47"/>
      <c r="U3123" s="47">
        <v>540</v>
      </c>
      <c r="V3123" s="47"/>
      <c r="W3123" s="47"/>
      <c r="X3123" s="47"/>
      <c r="Y3123" s="47"/>
      <c r="Z3123" s="47">
        <v>4620</v>
      </c>
      <c r="AA3123" s="47"/>
      <c r="AB3123" s="47"/>
      <c r="AC3123" s="47"/>
      <c r="AD3123" s="47"/>
      <c r="AE3123" s="47"/>
      <c r="AF3123" s="47">
        <v>1485</v>
      </c>
      <c r="AG3123" s="47"/>
      <c r="AH3123" s="47" t="s">
        <v>9976</v>
      </c>
      <c r="AI3123" s="47"/>
      <c r="AJ3123" s="47"/>
    </row>
    <row r="3124" spans="1:36">
      <c r="A3124" s="374" t="s">
        <v>4695</v>
      </c>
      <c r="B3124" s="374">
        <v>11</v>
      </c>
      <c r="C3124" s="374" t="s">
        <v>802</v>
      </c>
      <c r="D3124" s="375" t="str">
        <f>CONCATENATE(A3124,B3124)</f>
        <v>Officer Central11</v>
      </c>
      <c r="E3124" s="375" t="s">
        <v>10008</v>
      </c>
      <c r="F3124" s="375"/>
      <c r="G3124" s="375" t="s">
        <v>4697</v>
      </c>
      <c r="H3124" s="375" t="s">
        <v>4698</v>
      </c>
      <c r="I3124" s="63" t="s">
        <v>4699</v>
      </c>
      <c r="J3124" s="47">
        <v>3740</v>
      </c>
      <c r="K3124" s="46" t="s">
        <v>7938</v>
      </c>
      <c r="L3124" s="47"/>
      <c r="M3124" s="47">
        <v>1430.0000000000002</v>
      </c>
      <c r="N3124" s="47" t="s">
        <v>4700</v>
      </c>
      <c r="O3124" s="47"/>
      <c r="P3124" s="47"/>
      <c r="Q3124" s="47"/>
      <c r="R3124" s="47"/>
      <c r="S3124" s="47"/>
      <c r="T3124" s="47"/>
      <c r="U3124" s="47">
        <v>540</v>
      </c>
      <c r="V3124" s="47"/>
      <c r="W3124" s="47"/>
      <c r="X3124" s="47"/>
      <c r="Y3124" s="47"/>
      <c r="Z3124" s="47">
        <v>4620</v>
      </c>
      <c r="AA3124" s="47"/>
      <c r="AB3124" s="47"/>
      <c r="AC3124" s="47"/>
      <c r="AD3124" s="47"/>
      <c r="AE3124" s="47"/>
      <c r="AF3124" s="47">
        <v>1485</v>
      </c>
      <c r="AG3124" s="47"/>
      <c r="AH3124" s="47" t="s">
        <v>9976</v>
      </c>
      <c r="AI3124" s="47"/>
      <c r="AJ3124" s="47"/>
    </row>
    <row r="3125" spans="1:36">
      <c r="A3125" s="374" t="s">
        <v>4695</v>
      </c>
      <c r="B3125" s="374">
        <v>12</v>
      </c>
      <c r="C3125" s="374" t="s">
        <v>802</v>
      </c>
      <c r="D3125" s="375" t="str">
        <f>CONCATENATE(A3125,B3125)</f>
        <v>Officer Central12</v>
      </c>
      <c r="E3125" s="375" t="s">
        <v>10903</v>
      </c>
      <c r="F3125" s="375"/>
      <c r="G3125" s="375" t="s">
        <v>4697</v>
      </c>
      <c r="H3125" s="375" t="s">
        <v>4698</v>
      </c>
      <c r="I3125" s="63" t="s">
        <v>4699</v>
      </c>
      <c r="J3125" s="47">
        <v>3740</v>
      </c>
      <c r="K3125" s="46" t="s">
        <v>7938</v>
      </c>
      <c r="L3125" s="47"/>
      <c r="M3125" s="47">
        <v>1430.0000000000002</v>
      </c>
      <c r="N3125" s="47" t="s">
        <v>4700</v>
      </c>
      <c r="O3125" s="47"/>
      <c r="P3125" s="47"/>
      <c r="Q3125" s="47"/>
      <c r="R3125" s="47"/>
      <c r="S3125" s="47"/>
      <c r="T3125" s="47"/>
      <c r="U3125" s="47">
        <v>540</v>
      </c>
      <c r="V3125" s="47"/>
      <c r="W3125" s="47"/>
      <c r="X3125" s="47"/>
      <c r="Y3125" s="47"/>
      <c r="Z3125" s="47">
        <v>4620</v>
      </c>
      <c r="AA3125" s="47"/>
      <c r="AB3125" s="47"/>
      <c r="AC3125" s="47"/>
      <c r="AD3125" s="47"/>
      <c r="AE3125" s="47"/>
      <c r="AF3125" s="47">
        <v>1485</v>
      </c>
      <c r="AG3125" s="47"/>
      <c r="AH3125" s="47" t="s">
        <v>9976</v>
      </c>
      <c r="AI3125" s="47"/>
      <c r="AJ3125" s="47"/>
    </row>
    <row r="3126" spans="1:36">
      <c r="A3126" s="374" t="s">
        <v>4695</v>
      </c>
      <c r="B3126" s="374" t="s">
        <v>606</v>
      </c>
      <c r="C3126" s="374" t="s">
        <v>802</v>
      </c>
      <c r="D3126" s="375" t="str">
        <f t="shared" si="637"/>
        <v>Officer Central3A</v>
      </c>
      <c r="E3126" s="375" t="s">
        <v>4703</v>
      </c>
      <c r="F3126" s="375"/>
      <c r="G3126" s="375" t="s">
        <v>4697</v>
      </c>
      <c r="H3126" s="375" t="s">
        <v>4698</v>
      </c>
      <c r="I3126" s="63" t="s">
        <v>4699</v>
      </c>
      <c r="J3126" s="47">
        <f t="shared" si="648"/>
        <v>3740</v>
      </c>
      <c r="K3126" s="46" t="s">
        <v>7938</v>
      </c>
      <c r="L3126" s="47"/>
      <c r="M3126" s="47">
        <f t="shared" si="653"/>
        <v>1430.0000000000002</v>
      </c>
      <c r="N3126" s="47" t="s">
        <v>4700</v>
      </c>
      <c r="O3126" s="47"/>
      <c r="P3126" s="47"/>
      <c r="Q3126" s="47"/>
      <c r="R3126" s="47"/>
      <c r="S3126" s="47"/>
      <c r="T3126" s="47"/>
      <c r="U3126" s="47">
        <f t="shared" si="654"/>
        <v>430</v>
      </c>
      <c r="V3126" s="47"/>
      <c r="W3126" s="47"/>
      <c r="X3126" s="47"/>
      <c r="Y3126" s="47"/>
      <c r="Z3126" s="47">
        <f t="shared" si="638"/>
        <v>4620</v>
      </c>
      <c r="AA3126" s="47"/>
      <c r="AB3126" s="47"/>
      <c r="AC3126" s="47"/>
      <c r="AD3126" s="47"/>
      <c r="AE3126" s="47"/>
      <c r="AF3126" s="47">
        <f t="shared" si="647"/>
        <v>1485</v>
      </c>
      <c r="AG3126" s="47"/>
      <c r="AH3126" s="47" t="str">
        <f>IFERROR(_xlfn.XLOOKUP(Table6[[#This Row],[Suburb]],Table5[Travel Surcharge],Table5[$$]),"")</f>
        <v/>
      </c>
      <c r="AI3126" s="47"/>
      <c r="AJ3126" s="47"/>
    </row>
    <row r="3127" spans="1:36">
      <c r="A3127" s="374" t="s">
        <v>4707</v>
      </c>
      <c r="B3127" s="374">
        <v>1</v>
      </c>
      <c r="C3127" s="374" t="s">
        <v>802</v>
      </c>
      <c r="D3127" s="375" t="str">
        <f t="shared" si="637"/>
        <v>Officer Fields1</v>
      </c>
      <c r="E3127" s="375" t="s">
        <v>4708</v>
      </c>
      <c r="F3127" s="375" t="s">
        <v>4202</v>
      </c>
      <c r="G3127" s="375" t="s">
        <v>4697</v>
      </c>
      <c r="H3127" s="375"/>
      <c r="I3127" s="63" t="s">
        <v>4699</v>
      </c>
      <c r="J3127" s="47">
        <f t="shared" si="648"/>
        <v>3740</v>
      </c>
      <c r="K3127" s="46" t="s">
        <v>10735</v>
      </c>
      <c r="L3127" s="47"/>
      <c r="M3127" s="47">
        <f t="shared" si="653"/>
        <v>1430.0000000000002</v>
      </c>
      <c r="N3127" s="47"/>
      <c r="O3127" s="47"/>
      <c r="P3127" s="47"/>
      <c r="Q3127" s="47"/>
      <c r="R3127" s="47"/>
      <c r="S3127" s="47"/>
      <c r="T3127" s="47"/>
      <c r="U3127" s="47">
        <f t="shared" si="654"/>
        <v>430</v>
      </c>
      <c r="V3127" s="47"/>
      <c r="W3127" s="47"/>
      <c r="X3127" s="47"/>
      <c r="Y3127" s="47"/>
      <c r="Z3127" s="47">
        <f t="shared" si="638"/>
        <v>4620</v>
      </c>
      <c r="AA3127" s="47"/>
      <c r="AB3127" s="47"/>
      <c r="AC3127" s="47"/>
      <c r="AD3127" s="47"/>
      <c r="AE3127" s="47"/>
      <c r="AF3127" s="47">
        <f t="shared" si="647"/>
        <v>1485</v>
      </c>
      <c r="AG3127" s="47"/>
      <c r="AH3127" s="47" t="str">
        <f>IFERROR(_xlfn.XLOOKUP(Table6[[#This Row],[Suburb]],Table5[Travel Surcharge],Table5[$$]),"")</f>
        <v/>
      </c>
      <c r="AI3127" s="47" t="s">
        <v>4709</v>
      </c>
      <c r="AJ3127" s="47"/>
    </row>
    <row r="3128" spans="1:36">
      <c r="A3128" s="374" t="s">
        <v>4707</v>
      </c>
      <c r="B3128" s="374">
        <v>2</v>
      </c>
      <c r="C3128" s="374" t="s">
        <v>802</v>
      </c>
      <c r="D3128" s="375" t="s">
        <v>4710</v>
      </c>
      <c r="E3128" s="375" t="s">
        <v>4711</v>
      </c>
      <c r="F3128" s="375" t="s">
        <v>4202</v>
      </c>
      <c r="G3128" s="375" t="s">
        <v>4697</v>
      </c>
      <c r="H3128" s="375"/>
      <c r="I3128" s="63" t="s">
        <v>4699</v>
      </c>
      <c r="J3128" s="47">
        <v>3740</v>
      </c>
      <c r="K3128" s="46" t="s">
        <v>10735</v>
      </c>
      <c r="L3128" s="47"/>
      <c r="M3128" s="47">
        <v>1430.0000000000002</v>
      </c>
      <c r="N3128" s="47"/>
      <c r="O3128" s="47"/>
      <c r="P3128" s="47"/>
      <c r="Q3128" s="47"/>
      <c r="R3128" s="47"/>
      <c r="S3128" s="47"/>
      <c r="T3128" s="47"/>
      <c r="U3128" s="47">
        <v>540</v>
      </c>
      <c r="V3128" s="47"/>
      <c r="W3128" s="47"/>
      <c r="X3128" s="47"/>
      <c r="Y3128" s="47"/>
      <c r="Z3128" s="47">
        <v>4620</v>
      </c>
      <c r="AA3128" s="47"/>
      <c r="AB3128" s="47"/>
      <c r="AC3128" s="47"/>
      <c r="AD3128" s="47"/>
      <c r="AE3128" s="47"/>
      <c r="AF3128" s="47">
        <v>1650.0000000000002</v>
      </c>
      <c r="AG3128" s="47"/>
      <c r="AH3128" s="47" t="str">
        <f>IFERROR(_xlfn.XLOOKUP(Table6[[#This Row],[Suburb]],Table5[Travel Surcharge],Table5[$$]),"")</f>
        <v/>
      </c>
      <c r="AI3128" s="47" t="s">
        <v>4709</v>
      </c>
      <c r="AJ3128" s="47"/>
    </row>
    <row r="3129" spans="1:36">
      <c r="A3129" s="374" t="s">
        <v>4707</v>
      </c>
      <c r="B3129" s="374">
        <v>3</v>
      </c>
      <c r="C3129" s="374" t="s">
        <v>802</v>
      </c>
      <c r="D3129" s="375" t="str">
        <f t="shared" ref="D3129:D3140" si="655">CONCATENATE(A3129,B3129)</f>
        <v>Officer Fields3</v>
      </c>
      <c r="E3129" s="375" t="s">
        <v>4712</v>
      </c>
      <c r="F3129" s="375" t="s">
        <v>4202</v>
      </c>
      <c r="G3129" s="375" t="s">
        <v>4697</v>
      </c>
      <c r="H3129" s="375"/>
      <c r="I3129" s="63" t="s">
        <v>4699</v>
      </c>
      <c r="J3129" s="47">
        <f>J$7</f>
        <v>3740</v>
      </c>
      <c r="K3129" s="46" t="s">
        <v>10735</v>
      </c>
      <c r="L3129" s="47"/>
      <c r="M3129" s="47">
        <f>M$7</f>
        <v>1430.0000000000002</v>
      </c>
      <c r="N3129" s="47"/>
      <c r="O3129" s="47"/>
      <c r="P3129" s="47"/>
      <c r="Q3129" s="47"/>
      <c r="R3129" s="47"/>
      <c r="S3129" s="47"/>
      <c r="T3129" s="47"/>
      <c r="U3129" s="47">
        <f>U$2</f>
        <v>430</v>
      </c>
      <c r="V3129" s="47"/>
      <c r="W3129" s="47"/>
      <c r="X3129" s="47"/>
      <c r="Y3129" s="47"/>
      <c r="Z3129" s="47">
        <f t="shared" ref="Z3129:Z3140" si="656">Z$7</f>
        <v>4620</v>
      </c>
      <c r="AA3129" s="47"/>
      <c r="AB3129" s="47"/>
      <c r="AC3129" s="47"/>
      <c r="AD3129" s="47"/>
      <c r="AE3129" s="47"/>
      <c r="AF3129" s="47">
        <f>AF$7</f>
        <v>1485</v>
      </c>
      <c r="AG3129" s="47"/>
      <c r="AH3129" s="47" t="str">
        <f>IFERROR(_xlfn.XLOOKUP(Table6[[#This Row],[Suburb]],Table5[Travel Surcharge],Table5[$$]),"")</f>
        <v/>
      </c>
      <c r="AI3129" s="47" t="s">
        <v>4709</v>
      </c>
      <c r="AJ3129" s="47"/>
    </row>
    <row r="3130" spans="1:36">
      <c r="A3130" s="374" t="s">
        <v>4707</v>
      </c>
      <c r="B3130" s="374">
        <v>4</v>
      </c>
      <c r="C3130" s="374" t="s">
        <v>802</v>
      </c>
      <c r="D3130" s="375" t="str">
        <f t="shared" si="655"/>
        <v>Officer Fields4</v>
      </c>
      <c r="E3130" s="375" t="s">
        <v>4713</v>
      </c>
      <c r="F3130" s="375" t="s">
        <v>4202</v>
      </c>
      <c r="G3130" s="375" t="s">
        <v>4697</v>
      </c>
      <c r="H3130" s="375"/>
      <c r="I3130" s="63" t="s">
        <v>4699</v>
      </c>
      <c r="J3130" s="47">
        <f>J$7</f>
        <v>3740</v>
      </c>
      <c r="K3130" s="46" t="s">
        <v>10735</v>
      </c>
      <c r="L3130" s="47"/>
      <c r="M3130" s="47">
        <f>M$7</f>
        <v>1430.0000000000002</v>
      </c>
      <c r="N3130" s="47"/>
      <c r="O3130" s="47"/>
      <c r="P3130" s="47"/>
      <c r="Q3130" s="47"/>
      <c r="R3130" s="47"/>
      <c r="S3130" s="47"/>
      <c r="T3130" s="47"/>
      <c r="U3130" s="47">
        <f>U$2</f>
        <v>430</v>
      </c>
      <c r="V3130" s="47"/>
      <c r="W3130" s="47"/>
      <c r="X3130" s="47"/>
      <c r="Y3130" s="47"/>
      <c r="Z3130" s="47">
        <f t="shared" si="656"/>
        <v>4620</v>
      </c>
      <c r="AA3130" s="47"/>
      <c r="AB3130" s="47"/>
      <c r="AC3130" s="47"/>
      <c r="AD3130" s="47"/>
      <c r="AE3130" s="47"/>
      <c r="AF3130" s="47">
        <f>AF$7</f>
        <v>1485</v>
      </c>
      <c r="AG3130" s="47"/>
      <c r="AH3130" s="47" t="str">
        <f>IFERROR(_xlfn.XLOOKUP(Table6[[#This Row],[Suburb]],Table5[Travel Surcharge],Table5[$$]),"")</f>
        <v/>
      </c>
      <c r="AI3130" s="47" t="s">
        <v>4709</v>
      </c>
      <c r="AJ3130" s="47"/>
    </row>
    <row r="3131" spans="1:36">
      <c r="A3131" s="374" t="s">
        <v>4707</v>
      </c>
      <c r="B3131" s="374">
        <v>5</v>
      </c>
      <c r="C3131" s="374" t="s">
        <v>802</v>
      </c>
      <c r="D3131" s="375" t="str">
        <f t="shared" si="655"/>
        <v>Officer Fields5</v>
      </c>
      <c r="E3131" s="375" t="s">
        <v>9589</v>
      </c>
      <c r="F3131" s="375" t="s">
        <v>4202</v>
      </c>
      <c r="G3131" s="375" t="s">
        <v>4697</v>
      </c>
      <c r="H3131" s="375"/>
      <c r="I3131" s="63" t="s">
        <v>4699</v>
      </c>
      <c r="J3131" s="47">
        <f>J$7</f>
        <v>3740</v>
      </c>
      <c r="K3131" s="46" t="s">
        <v>10735</v>
      </c>
      <c r="L3131" s="47"/>
      <c r="M3131" s="47">
        <f>M$7</f>
        <v>1430.0000000000002</v>
      </c>
      <c r="N3131" s="47" t="s">
        <v>2646</v>
      </c>
      <c r="O3131" s="47" t="s">
        <v>9590</v>
      </c>
      <c r="P3131" s="47"/>
      <c r="Q3131" s="47"/>
      <c r="R3131" s="47"/>
      <c r="S3131" s="47"/>
      <c r="T3131" s="47"/>
      <c r="U3131" s="47">
        <f>U$2</f>
        <v>430</v>
      </c>
      <c r="V3131" s="47"/>
      <c r="W3131" s="47"/>
      <c r="X3131" s="47"/>
      <c r="Y3131" s="47"/>
      <c r="Z3131" s="47">
        <f t="shared" si="656"/>
        <v>4620</v>
      </c>
      <c r="AA3131" s="47">
        <f>AA$7</f>
        <v>1400</v>
      </c>
      <c r="AB3131" s="47"/>
      <c r="AC3131" s="47"/>
      <c r="AD3131" s="47"/>
      <c r="AE3131" s="47"/>
      <c r="AF3131" s="47">
        <f>AF$7</f>
        <v>1485</v>
      </c>
      <c r="AG3131" s="47"/>
      <c r="AH3131" s="47" t="str">
        <f>IFERROR(_xlfn.XLOOKUP(Table6[[#This Row],[Suburb]],Table5[Travel Surcharge],Table5[$$]),"")</f>
        <v/>
      </c>
      <c r="AI3131" s="47" t="s">
        <v>4709</v>
      </c>
      <c r="AJ3131" s="47"/>
    </row>
    <row r="3132" spans="1:36">
      <c r="A3132" s="374" t="s">
        <v>4707</v>
      </c>
      <c r="B3132" s="374">
        <v>7</v>
      </c>
      <c r="C3132" s="374" t="s">
        <v>802</v>
      </c>
      <c r="D3132" s="375" t="str">
        <f t="shared" si="655"/>
        <v>Officer Fields7</v>
      </c>
      <c r="E3132" s="375" t="s">
        <v>10794</v>
      </c>
      <c r="F3132" s="375" t="s">
        <v>4202</v>
      </c>
      <c r="G3132" s="375" t="s">
        <v>4697</v>
      </c>
      <c r="H3132" s="375"/>
      <c r="I3132" s="63" t="s">
        <v>4699</v>
      </c>
      <c r="J3132" s="47">
        <v>3740</v>
      </c>
      <c r="K3132" s="46" t="s">
        <v>10735</v>
      </c>
      <c r="L3132" s="47"/>
      <c r="M3132" s="47">
        <v>1430.0000000000002</v>
      </c>
      <c r="N3132" s="47" t="s">
        <v>2646</v>
      </c>
      <c r="O3132" s="47" t="s">
        <v>9590</v>
      </c>
      <c r="P3132" s="47"/>
      <c r="Q3132" s="47"/>
      <c r="R3132" s="47"/>
      <c r="S3132" s="47"/>
      <c r="T3132" s="47"/>
      <c r="U3132" s="47">
        <v>430</v>
      </c>
      <c r="V3132" s="47"/>
      <c r="W3132" s="47"/>
      <c r="X3132" s="47"/>
      <c r="Y3132" s="47"/>
      <c r="Z3132" s="47">
        <v>4620</v>
      </c>
      <c r="AA3132" s="47">
        <v>1400</v>
      </c>
      <c r="AB3132" s="47"/>
      <c r="AC3132" s="47"/>
      <c r="AD3132" s="47"/>
      <c r="AE3132" s="47"/>
      <c r="AF3132" s="47">
        <v>1485</v>
      </c>
      <c r="AG3132" s="47"/>
      <c r="AH3132" s="47" t="s">
        <v>9976</v>
      </c>
      <c r="AI3132" s="47" t="s">
        <v>4709</v>
      </c>
      <c r="AJ3132" s="47"/>
    </row>
    <row r="3133" spans="1:36">
      <c r="A3133" s="374" t="s">
        <v>11009</v>
      </c>
      <c r="B3133" s="374">
        <v>1</v>
      </c>
      <c r="C3133" s="374" t="s">
        <v>300</v>
      </c>
      <c r="D3133" s="375" t="str">
        <f>CONCATENATE(A3133,B3133)</f>
        <v>Olearia1</v>
      </c>
      <c r="E3133" s="375" t="s">
        <v>11010</v>
      </c>
      <c r="F3133" s="375"/>
      <c r="G3133" s="375"/>
      <c r="H3133" s="375"/>
      <c r="I3133" s="63"/>
      <c r="J3133" s="47"/>
      <c r="K3133" s="46" t="s">
        <v>10986</v>
      </c>
      <c r="L3133" s="47"/>
      <c r="M3133" s="47"/>
      <c r="N3133" s="47"/>
      <c r="O3133" s="47"/>
      <c r="P3133" s="47"/>
      <c r="Q3133" s="47"/>
      <c r="R3133" s="47"/>
      <c r="S3133" s="47">
        <f>S$2</f>
        <v>590</v>
      </c>
      <c r="T3133" s="47"/>
      <c r="U3133" s="47"/>
      <c r="V3133" s="47"/>
      <c r="W3133" s="47"/>
      <c r="X3133" s="47"/>
      <c r="Y3133" s="47"/>
      <c r="Z3133" s="47">
        <f>Z$7</f>
        <v>4620</v>
      </c>
      <c r="AA3133" s="47"/>
      <c r="AB3133" s="47"/>
      <c r="AC3133" s="47"/>
      <c r="AD3133" s="47"/>
      <c r="AE3133" s="47"/>
      <c r="AF3133" s="47"/>
      <c r="AG3133" s="47"/>
      <c r="AH3133" s="47">
        <v>12000</v>
      </c>
      <c r="AI3133" s="47"/>
      <c r="AJ3133" s="47"/>
    </row>
    <row r="3134" spans="1:36">
      <c r="A3134" s="374" t="s">
        <v>9557</v>
      </c>
      <c r="B3134" s="374">
        <v>1</v>
      </c>
      <c r="C3134" s="374" t="s">
        <v>9558</v>
      </c>
      <c r="D3134" s="375" t="str">
        <f t="shared" si="655"/>
        <v>Olive Court1</v>
      </c>
      <c r="E3134" s="375" t="s">
        <v>9559</v>
      </c>
      <c r="F3134" s="375"/>
      <c r="G3134" s="375"/>
      <c r="H3134" s="375"/>
      <c r="I3134" s="63"/>
      <c r="J3134" s="47"/>
      <c r="K3134" s="46" t="s">
        <v>10735</v>
      </c>
      <c r="L3134" s="47"/>
      <c r="M3134" s="47"/>
      <c r="N3134" s="47"/>
      <c r="O3134" s="47"/>
      <c r="P3134" s="47"/>
      <c r="Q3134" s="47">
        <f>Q$2</f>
        <v>0</v>
      </c>
      <c r="R3134" s="47"/>
      <c r="S3134" s="47"/>
      <c r="T3134" s="47"/>
      <c r="U3134" s="47"/>
      <c r="V3134" s="47"/>
      <c r="W3134" s="47"/>
      <c r="X3134" s="47"/>
      <c r="Y3134" s="47"/>
      <c r="Z3134" s="47">
        <f t="shared" si="656"/>
        <v>4620</v>
      </c>
      <c r="AA3134" s="47"/>
      <c r="AB3134" s="47"/>
      <c r="AC3134" s="47"/>
      <c r="AD3134" s="47"/>
      <c r="AE3134" s="47"/>
      <c r="AF3134" s="47"/>
      <c r="AG3134" s="47"/>
      <c r="AH3134" s="47">
        <f>IFERROR(_xlfn.XLOOKUP(Table6[[#This Row],[Suburb]],Table5[Travel Surcharge],Table5[$$]),"")</f>
        <v>18000</v>
      </c>
      <c r="AI3134" s="47"/>
      <c r="AJ3134" s="47"/>
    </row>
    <row r="3135" spans="1:36">
      <c r="A3135" s="374" t="s">
        <v>4714</v>
      </c>
      <c r="B3135" s="374">
        <v>2</v>
      </c>
      <c r="C3135" s="374" t="s">
        <v>538</v>
      </c>
      <c r="D3135" s="375" t="str">
        <f t="shared" si="655"/>
        <v>Olivia Estate2</v>
      </c>
      <c r="E3135" s="375" t="s">
        <v>4715</v>
      </c>
      <c r="F3135" s="375" t="s">
        <v>4716</v>
      </c>
      <c r="G3135" s="375" t="s">
        <v>4717</v>
      </c>
      <c r="H3135" s="375" t="s">
        <v>4718</v>
      </c>
      <c r="I3135" s="63" t="s">
        <v>4719</v>
      </c>
      <c r="J3135" s="47" t="s">
        <v>10314</v>
      </c>
      <c r="K3135" s="46" t="s">
        <v>10735</v>
      </c>
      <c r="L3135" s="47">
        <f t="shared" ref="L3135:L3140" si="657">L$7</f>
        <v>1210</v>
      </c>
      <c r="M3135" s="47" t="s">
        <v>2646</v>
      </c>
      <c r="N3135" s="47" t="s">
        <v>4720</v>
      </c>
      <c r="O3135" s="47" t="s">
        <v>4721</v>
      </c>
      <c r="P3135" s="47"/>
      <c r="Q3135" s="47"/>
      <c r="R3135" s="47"/>
      <c r="S3135" s="47"/>
      <c r="T3135" s="47">
        <f t="shared" ref="T3135:T3144" si="658">T$2</f>
        <v>780</v>
      </c>
      <c r="U3135" s="47"/>
      <c r="V3135" s="47"/>
      <c r="W3135" s="47"/>
      <c r="X3135" s="47"/>
      <c r="Y3135" s="47"/>
      <c r="Z3135" s="47">
        <f t="shared" si="656"/>
        <v>4620</v>
      </c>
      <c r="AA3135" s="47">
        <f t="shared" ref="AA3135:AA3140" si="659">AA$7</f>
        <v>1400</v>
      </c>
      <c r="AB3135" s="47"/>
      <c r="AC3135" s="47"/>
      <c r="AD3135" s="47" t="s">
        <v>1</v>
      </c>
      <c r="AE3135" s="47"/>
      <c r="AF3135" s="47">
        <f t="shared" ref="AF3135:AF3140" si="660">AF$7</f>
        <v>1485</v>
      </c>
      <c r="AG3135" s="47"/>
      <c r="AH3135" s="47" t="str">
        <f>IFERROR(_xlfn.XLOOKUP(Table6[[#This Row],[Suburb]],Table5[Travel Surcharge],Table5[$$]),"")</f>
        <v/>
      </c>
      <c r="AI3135" s="47"/>
      <c r="AJ3135" s="47"/>
    </row>
    <row r="3136" spans="1:36">
      <c r="A3136" s="374" t="s">
        <v>4714</v>
      </c>
      <c r="B3136" s="374">
        <v>3</v>
      </c>
      <c r="C3136" s="374" t="s">
        <v>538</v>
      </c>
      <c r="D3136" s="375" t="str">
        <f t="shared" si="655"/>
        <v>Olivia Estate3</v>
      </c>
      <c r="E3136" s="375" t="s">
        <v>4722</v>
      </c>
      <c r="F3136" s="375" t="s">
        <v>4716</v>
      </c>
      <c r="G3136" s="375" t="s">
        <v>4717</v>
      </c>
      <c r="H3136" s="375" t="s">
        <v>4718</v>
      </c>
      <c r="I3136" s="63" t="s">
        <v>4719</v>
      </c>
      <c r="J3136" s="47" t="s">
        <v>10314</v>
      </c>
      <c r="K3136" s="46" t="s">
        <v>10735</v>
      </c>
      <c r="L3136" s="47">
        <f t="shared" si="657"/>
        <v>1210</v>
      </c>
      <c r="M3136" s="47" t="s">
        <v>2646</v>
      </c>
      <c r="N3136" s="47" t="s">
        <v>4720</v>
      </c>
      <c r="O3136" s="47" t="s">
        <v>4721</v>
      </c>
      <c r="P3136" s="47"/>
      <c r="Q3136" s="47"/>
      <c r="R3136" s="47"/>
      <c r="S3136" s="47"/>
      <c r="T3136" s="47">
        <f t="shared" si="658"/>
        <v>780</v>
      </c>
      <c r="U3136" s="47"/>
      <c r="V3136" s="47"/>
      <c r="W3136" s="47"/>
      <c r="X3136" s="47"/>
      <c r="Y3136" s="47"/>
      <c r="Z3136" s="47">
        <f t="shared" si="656"/>
        <v>4620</v>
      </c>
      <c r="AA3136" s="47">
        <f t="shared" si="659"/>
        <v>1400</v>
      </c>
      <c r="AB3136" s="47"/>
      <c r="AC3136" s="47"/>
      <c r="AD3136" s="47" t="s">
        <v>1</v>
      </c>
      <c r="AE3136" s="47"/>
      <c r="AF3136" s="47">
        <f t="shared" si="660"/>
        <v>1485</v>
      </c>
      <c r="AG3136" s="47"/>
      <c r="AH3136" s="47" t="str">
        <f>IFERROR(_xlfn.XLOOKUP(Table6[[#This Row],[Suburb]],Table5[Travel Surcharge],Table5[$$]),"")</f>
        <v/>
      </c>
      <c r="AI3136" s="47"/>
      <c r="AJ3136" s="47"/>
    </row>
    <row r="3137" spans="1:36">
      <c r="A3137" s="374" t="s">
        <v>4714</v>
      </c>
      <c r="B3137" s="374">
        <v>4</v>
      </c>
      <c r="C3137" s="374" t="s">
        <v>538</v>
      </c>
      <c r="D3137" s="375" t="str">
        <f t="shared" si="655"/>
        <v>Olivia Estate4</v>
      </c>
      <c r="E3137" s="375" t="s">
        <v>4723</v>
      </c>
      <c r="F3137" s="375" t="s">
        <v>4716</v>
      </c>
      <c r="G3137" s="375" t="s">
        <v>4717</v>
      </c>
      <c r="H3137" s="375" t="s">
        <v>4718</v>
      </c>
      <c r="I3137" s="63" t="s">
        <v>4719</v>
      </c>
      <c r="J3137" s="47" t="s">
        <v>10314</v>
      </c>
      <c r="K3137" s="46" t="s">
        <v>10735</v>
      </c>
      <c r="L3137" s="47">
        <f t="shared" si="657"/>
        <v>1210</v>
      </c>
      <c r="M3137" s="47" t="s">
        <v>2646</v>
      </c>
      <c r="N3137" s="47" t="s">
        <v>4720</v>
      </c>
      <c r="O3137" s="47" t="s">
        <v>4721</v>
      </c>
      <c r="P3137" s="47"/>
      <c r="Q3137" s="47"/>
      <c r="R3137" s="47"/>
      <c r="S3137" s="47"/>
      <c r="T3137" s="47">
        <f t="shared" si="658"/>
        <v>780</v>
      </c>
      <c r="U3137" s="47"/>
      <c r="V3137" s="47"/>
      <c r="W3137" s="47"/>
      <c r="X3137" s="47"/>
      <c r="Y3137" s="47"/>
      <c r="Z3137" s="47">
        <f t="shared" si="656"/>
        <v>4620</v>
      </c>
      <c r="AA3137" s="47">
        <f t="shared" si="659"/>
        <v>1400</v>
      </c>
      <c r="AB3137" s="47"/>
      <c r="AC3137" s="47"/>
      <c r="AD3137" s="47" t="s">
        <v>1</v>
      </c>
      <c r="AE3137" s="47"/>
      <c r="AF3137" s="47">
        <f t="shared" si="660"/>
        <v>1485</v>
      </c>
      <c r="AG3137" s="47"/>
      <c r="AH3137" s="47" t="str">
        <f>IFERROR(_xlfn.XLOOKUP(Table6[[#This Row],[Suburb]],Table5[Travel Surcharge],Table5[$$]),"")</f>
        <v/>
      </c>
      <c r="AI3137" s="47"/>
      <c r="AJ3137" s="47"/>
    </row>
    <row r="3138" spans="1:36">
      <c r="A3138" s="374" t="s">
        <v>4714</v>
      </c>
      <c r="B3138" s="374">
        <v>5</v>
      </c>
      <c r="C3138" s="374" t="s">
        <v>538</v>
      </c>
      <c r="D3138" s="375" t="str">
        <f t="shared" si="655"/>
        <v>Olivia Estate5</v>
      </c>
      <c r="E3138" s="375" t="s">
        <v>4724</v>
      </c>
      <c r="F3138" s="375" t="s">
        <v>4716</v>
      </c>
      <c r="G3138" s="375" t="s">
        <v>4717</v>
      </c>
      <c r="H3138" s="375" t="s">
        <v>4718</v>
      </c>
      <c r="I3138" s="63" t="s">
        <v>4719</v>
      </c>
      <c r="J3138" s="47" t="s">
        <v>10314</v>
      </c>
      <c r="K3138" s="46" t="s">
        <v>10735</v>
      </c>
      <c r="L3138" s="47">
        <f t="shared" si="657"/>
        <v>1210</v>
      </c>
      <c r="M3138" s="47" t="s">
        <v>2646</v>
      </c>
      <c r="N3138" s="47" t="s">
        <v>4720</v>
      </c>
      <c r="O3138" s="47" t="s">
        <v>4721</v>
      </c>
      <c r="P3138" s="47"/>
      <c r="Q3138" s="47"/>
      <c r="R3138" s="47"/>
      <c r="S3138" s="47"/>
      <c r="T3138" s="47">
        <f t="shared" si="658"/>
        <v>780</v>
      </c>
      <c r="U3138" s="47"/>
      <c r="V3138" s="47"/>
      <c r="W3138" s="47"/>
      <c r="X3138" s="47"/>
      <c r="Y3138" s="47"/>
      <c r="Z3138" s="47">
        <f t="shared" si="656"/>
        <v>4620</v>
      </c>
      <c r="AA3138" s="47">
        <f t="shared" si="659"/>
        <v>1400</v>
      </c>
      <c r="AB3138" s="47"/>
      <c r="AC3138" s="47"/>
      <c r="AD3138" s="47" t="s">
        <v>1</v>
      </c>
      <c r="AE3138" s="47"/>
      <c r="AF3138" s="47">
        <f t="shared" si="660"/>
        <v>1485</v>
      </c>
      <c r="AG3138" s="47"/>
      <c r="AH3138" s="47" t="str">
        <f>IFERROR(_xlfn.XLOOKUP(Table6[[#This Row],[Suburb]],Table5[Travel Surcharge],Table5[$$]),"")</f>
        <v/>
      </c>
      <c r="AI3138" s="47"/>
      <c r="AJ3138" s="47"/>
    </row>
    <row r="3139" spans="1:36">
      <c r="A3139" s="374" t="s">
        <v>4714</v>
      </c>
      <c r="B3139" s="374">
        <v>6</v>
      </c>
      <c r="C3139" s="374" t="s">
        <v>538</v>
      </c>
      <c r="D3139" s="375" t="str">
        <f t="shared" si="655"/>
        <v>Olivia Estate6</v>
      </c>
      <c r="E3139" s="375" t="s">
        <v>4725</v>
      </c>
      <c r="F3139" s="375" t="s">
        <v>4716</v>
      </c>
      <c r="G3139" s="375" t="s">
        <v>4717</v>
      </c>
      <c r="H3139" s="375" t="s">
        <v>4718</v>
      </c>
      <c r="I3139" s="63" t="s">
        <v>4719</v>
      </c>
      <c r="J3139" s="47" t="s">
        <v>10314</v>
      </c>
      <c r="K3139" s="46" t="s">
        <v>10735</v>
      </c>
      <c r="L3139" s="47">
        <f t="shared" si="657"/>
        <v>1210</v>
      </c>
      <c r="M3139" s="47" t="s">
        <v>2646</v>
      </c>
      <c r="N3139" s="47" t="s">
        <v>4720</v>
      </c>
      <c r="O3139" s="47" t="s">
        <v>4721</v>
      </c>
      <c r="P3139" s="47"/>
      <c r="Q3139" s="47"/>
      <c r="R3139" s="47"/>
      <c r="S3139" s="47"/>
      <c r="T3139" s="47">
        <f t="shared" si="658"/>
        <v>780</v>
      </c>
      <c r="U3139" s="47"/>
      <c r="V3139" s="47"/>
      <c r="W3139" s="47"/>
      <c r="X3139" s="47"/>
      <c r="Y3139" s="47"/>
      <c r="Z3139" s="47">
        <f t="shared" si="656"/>
        <v>4620</v>
      </c>
      <c r="AA3139" s="47">
        <f t="shared" si="659"/>
        <v>1400</v>
      </c>
      <c r="AB3139" s="47"/>
      <c r="AC3139" s="47"/>
      <c r="AD3139" s="47" t="s">
        <v>1</v>
      </c>
      <c r="AE3139" s="47"/>
      <c r="AF3139" s="47">
        <f t="shared" si="660"/>
        <v>1485</v>
      </c>
      <c r="AG3139" s="47"/>
      <c r="AH3139" s="47" t="str">
        <f>IFERROR(_xlfn.XLOOKUP(Table6[[#This Row],[Suburb]],Table5[Travel Surcharge],Table5[$$]),"")</f>
        <v/>
      </c>
      <c r="AI3139" s="47"/>
      <c r="AJ3139" s="47"/>
    </row>
    <row r="3140" spans="1:36">
      <c r="A3140" s="374" t="s">
        <v>4714</v>
      </c>
      <c r="B3140" s="374">
        <v>7</v>
      </c>
      <c r="C3140" s="374" t="s">
        <v>538</v>
      </c>
      <c r="D3140" s="375" t="str">
        <f t="shared" si="655"/>
        <v>Olivia Estate7</v>
      </c>
      <c r="E3140" s="375" t="s">
        <v>9037</v>
      </c>
      <c r="F3140" s="375" t="s">
        <v>4716</v>
      </c>
      <c r="G3140" s="375" t="s">
        <v>4717</v>
      </c>
      <c r="H3140" s="375" t="s">
        <v>4718</v>
      </c>
      <c r="I3140" s="63" t="s">
        <v>4719</v>
      </c>
      <c r="J3140" s="47" t="s">
        <v>10314</v>
      </c>
      <c r="K3140" s="46" t="s">
        <v>10735</v>
      </c>
      <c r="L3140" s="47">
        <f t="shared" si="657"/>
        <v>1210</v>
      </c>
      <c r="M3140" s="47" t="s">
        <v>2646</v>
      </c>
      <c r="N3140" s="47" t="s">
        <v>4720</v>
      </c>
      <c r="O3140" s="47" t="s">
        <v>4721</v>
      </c>
      <c r="P3140" s="47"/>
      <c r="Q3140" s="47"/>
      <c r="R3140" s="47"/>
      <c r="S3140" s="47"/>
      <c r="T3140" s="47">
        <f t="shared" si="658"/>
        <v>780</v>
      </c>
      <c r="U3140" s="47"/>
      <c r="V3140" s="47"/>
      <c r="W3140" s="47"/>
      <c r="X3140" s="47"/>
      <c r="Y3140" s="47"/>
      <c r="Z3140" s="47">
        <f t="shared" si="656"/>
        <v>4620</v>
      </c>
      <c r="AA3140" s="47">
        <f t="shared" si="659"/>
        <v>1400</v>
      </c>
      <c r="AB3140" s="47"/>
      <c r="AC3140" s="47"/>
      <c r="AD3140" s="47" t="s">
        <v>1</v>
      </c>
      <c r="AE3140" s="47"/>
      <c r="AF3140" s="47">
        <f t="shared" si="660"/>
        <v>1485</v>
      </c>
      <c r="AG3140" s="47"/>
      <c r="AH3140" s="47" t="str">
        <f>IFERROR(_xlfn.XLOOKUP(Table6[[#This Row],[Suburb]],Table5[Travel Surcharge],Table5[$$]),"")</f>
        <v/>
      </c>
      <c r="AI3140" s="47"/>
      <c r="AJ3140" s="47"/>
    </row>
    <row r="3141" spans="1:36">
      <c r="A3141" s="374" t="s">
        <v>4714</v>
      </c>
      <c r="B3141" s="374">
        <v>8</v>
      </c>
      <c r="C3141" s="374" t="s">
        <v>538</v>
      </c>
      <c r="D3141" s="375" t="s">
        <v>4726</v>
      </c>
      <c r="E3141" s="375" t="s">
        <v>4727</v>
      </c>
      <c r="F3141" s="375" t="s">
        <v>4716</v>
      </c>
      <c r="G3141" s="375" t="s">
        <v>4717</v>
      </c>
      <c r="H3141" s="375" t="s">
        <v>4718</v>
      </c>
      <c r="I3141" s="63" t="s">
        <v>4719</v>
      </c>
      <c r="J3141" s="47" t="s">
        <v>10314</v>
      </c>
      <c r="K3141" s="46" t="s">
        <v>10735</v>
      </c>
      <c r="L3141" s="47">
        <v>1210</v>
      </c>
      <c r="M3141" s="47" t="s">
        <v>2646</v>
      </c>
      <c r="N3141" s="47" t="s">
        <v>4720</v>
      </c>
      <c r="O3141" s="47" t="s">
        <v>4721</v>
      </c>
      <c r="P3141" s="47"/>
      <c r="Q3141" s="47"/>
      <c r="R3141" s="47"/>
      <c r="S3141" s="47"/>
      <c r="T3141" s="47">
        <f t="shared" si="658"/>
        <v>780</v>
      </c>
      <c r="U3141" s="47"/>
      <c r="V3141" s="47"/>
      <c r="W3141" s="47"/>
      <c r="X3141" s="47"/>
      <c r="Y3141" s="47"/>
      <c r="Z3141" s="47">
        <v>4620</v>
      </c>
      <c r="AA3141" s="47">
        <v>1400</v>
      </c>
      <c r="AB3141" s="47"/>
      <c r="AC3141" s="47"/>
      <c r="AD3141" s="47" t="s">
        <v>1</v>
      </c>
      <c r="AE3141" s="47"/>
      <c r="AF3141" s="47">
        <v>1650.0000000000002</v>
      </c>
      <c r="AG3141" s="47"/>
      <c r="AH3141" s="47" t="str">
        <f>IFERROR(_xlfn.XLOOKUP(Table6[[#This Row],[Suburb]],Table5[Travel Surcharge],Table5[$$]),"")</f>
        <v/>
      </c>
      <c r="AI3141" s="47"/>
      <c r="AJ3141" s="47"/>
    </row>
    <row r="3142" spans="1:36">
      <c r="A3142" s="374" t="s">
        <v>4714</v>
      </c>
      <c r="B3142" s="374">
        <v>11</v>
      </c>
      <c r="C3142" s="374" t="s">
        <v>538</v>
      </c>
      <c r="D3142" s="375" t="str">
        <f t="shared" ref="D3142:D3173" si="661">CONCATENATE(A3142,B3142)</f>
        <v>Olivia Estate11</v>
      </c>
      <c r="E3142" s="375" t="s">
        <v>4728</v>
      </c>
      <c r="F3142" s="375" t="s">
        <v>4716</v>
      </c>
      <c r="G3142" s="375" t="s">
        <v>4717</v>
      </c>
      <c r="H3142" s="375" t="s">
        <v>4718</v>
      </c>
      <c r="I3142" s="63" t="s">
        <v>4719</v>
      </c>
      <c r="J3142" s="47" t="s">
        <v>10314</v>
      </c>
      <c r="K3142" s="46" t="s">
        <v>10735</v>
      </c>
      <c r="L3142" s="47">
        <f>L$7</f>
        <v>1210</v>
      </c>
      <c r="M3142" s="47" t="s">
        <v>2646</v>
      </c>
      <c r="N3142" s="47" t="s">
        <v>4720</v>
      </c>
      <c r="O3142" s="47" t="s">
        <v>4721</v>
      </c>
      <c r="P3142" s="47"/>
      <c r="Q3142" s="47"/>
      <c r="R3142" s="47"/>
      <c r="S3142" s="47"/>
      <c r="T3142" s="47">
        <f t="shared" si="658"/>
        <v>780</v>
      </c>
      <c r="U3142" s="47"/>
      <c r="V3142" s="47"/>
      <c r="W3142" s="47"/>
      <c r="X3142" s="47"/>
      <c r="Y3142" s="47"/>
      <c r="Z3142" s="47">
        <f t="shared" ref="Z3142:AA3144" si="662">Z$7</f>
        <v>4620</v>
      </c>
      <c r="AA3142" s="47">
        <f t="shared" si="662"/>
        <v>1400</v>
      </c>
      <c r="AB3142" s="47"/>
      <c r="AC3142" s="47"/>
      <c r="AD3142" s="47" t="s">
        <v>1</v>
      </c>
      <c r="AE3142" s="47"/>
      <c r="AF3142" s="47">
        <f t="shared" ref="AF3142:AF3173" si="663">AF$7</f>
        <v>1485</v>
      </c>
      <c r="AG3142" s="47"/>
      <c r="AH3142" s="47" t="str">
        <f>IFERROR(_xlfn.XLOOKUP(Table6[[#This Row],[Suburb]],Table5[Travel Surcharge],Table5[$$]),"")</f>
        <v/>
      </c>
      <c r="AI3142" s="47"/>
      <c r="AJ3142" s="47"/>
    </row>
    <row r="3143" spans="1:36">
      <c r="A3143" s="374" t="s">
        <v>4714</v>
      </c>
      <c r="B3143" s="374">
        <v>13</v>
      </c>
      <c r="C3143" s="374" t="s">
        <v>538</v>
      </c>
      <c r="D3143" s="375" t="str">
        <f t="shared" si="661"/>
        <v>Olivia Estate13</v>
      </c>
      <c r="E3143" s="375" t="s">
        <v>4729</v>
      </c>
      <c r="F3143" s="375" t="s">
        <v>4716</v>
      </c>
      <c r="G3143" s="375" t="s">
        <v>4717</v>
      </c>
      <c r="H3143" s="375" t="s">
        <v>4718</v>
      </c>
      <c r="I3143" s="63" t="s">
        <v>4719</v>
      </c>
      <c r="J3143" s="47" t="s">
        <v>10314</v>
      </c>
      <c r="K3143" s="46" t="s">
        <v>10735</v>
      </c>
      <c r="L3143" s="47">
        <f>L$7</f>
        <v>1210</v>
      </c>
      <c r="M3143" s="47" t="s">
        <v>2646</v>
      </c>
      <c r="N3143" s="47" t="s">
        <v>4720</v>
      </c>
      <c r="O3143" s="47" t="s">
        <v>4721</v>
      </c>
      <c r="P3143" s="47"/>
      <c r="Q3143" s="47"/>
      <c r="R3143" s="47"/>
      <c r="S3143" s="47"/>
      <c r="T3143" s="47">
        <f t="shared" si="658"/>
        <v>780</v>
      </c>
      <c r="U3143" s="47"/>
      <c r="V3143" s="47"/>
      <c r="W3143" s="47"/>
      <c r="X3143" s="47"/>
      <c r="Y3143" s="47"/>
      <c r="Z3143" s="47">
        <f t="shared" si="662"/>
        <v>4620</v>
      </c>
      <c r="AA3143" s="47">
        <f t="shared" si="662"/>
        <v>1400</v>
      </c>
      <c r="AB3143" s="47"/>
      <c r="AC3143" s="47"/>
      <c r="AD3143" s="47" t="s">
        <v>1</v>
      </c>
      <c r="AE3143" s="47"/>
      <c r="AF3143" s="47">
        <f t="shared" si="663"/>
        <v>1485</v>
      </c>
      <c r="AG3143" s="47"/>
      <c r="AH3143" s="47" t="str">
        <f>IFERROR(_xlfn.XLOOKUP(Table6[[#This Row],[Suburb]],Table5[Travel Surcharge],Table5[$$]),"")</f>
        <v/>
      </c>
      <c r="AI3143" s="47"/>
      <c r="AJ3143" s="47"/>
    </row>
    <row r="3144" spans="1:36">
      <c r="A3144" s="374" t="s">
        <v>4714</v>
      </c>
      <c r="B3144" s="374">
        <v>14</v>
      </c>
      <c r="C3144" s="374" t="s">
        <v>538</v>
      </c>
      <c r="D3144" s="375" t="str">
        <f t="shared" si="661"/>
        <v>Olivia Estate14</v>
      </c>
      <c r="E3144" s="375" t="s">
        <v>4730</v>
      </c>
      <c r="F3144" s="375" t="s">
        <v>4716</v>
      </c>
      <c r="G3144" s="375" t="s">
        <v>4717</v>
      </c>
      <c r="H3144" s="375" t="s">
        <v>4718</v>
      </c>
      <c r="I3144" s="63" t="s">
        <v>4719</v>
      </c>
      <c r="J3144" s="47" t="s">
        <v>10314</v>
      </c>
      <c r="K3144" s="46" t="s">
        <v>10735</v>
      </c>
      <c r="L3144" s="47">
        <f>L$7</f>
        <v>1210</v>
      </c>
      <c r="M3144" s="47" t="s">
        <v>2646</v>
      </c>
      <c r="N3144" s="47" t="s">
        <v>4720</v>
      </c>
      <c r="O3144" s="47" t="s">
        <v>4721</v>
      </c>
      <c r="P3144" s="47"/>
      <c r="Q3144" s="47"/>
      <c r="R3144" s="47"/>
      <c r="S3144" s="47"/>
      <c r="T3144" s="47">
        <f t="shared" si="658"/>
        <v>780</v>
      </c>
      <c r="U3144" s="47"/>
      <c r="V3144" s="47"/>
      <c r="W3144" s="47"/>
      <c r="X3144" s="47"/>
      <c r="Y3144" s="47"/>
      <c r="Z3144" s="47">
        <f t="shared" si="662"/>
        <v>4620</v>
      </c>
      <c r="AA3144" s="47">
        <f t="shared" si="662"/>
        <v>1400</v>
      </c>
      <c r="AB3144" s="47"/>
      <c r="AC3144" s="47"/>
      <c r="AD3144" s="47" t="s">
        <v>1</v>
      </c>
      <c r="AE3144" s="47"/>
      <c r="AF3144" s="47">
        <f t="shared" si="663"/>
        <v>1485</v>
      </c>
      <c r="AG3144" s="47"/>
      <c r="AH3144" s="47" t="str">
        <f>IFERROR(_xlfn.XLOOKUP(Table6[[#This Row],[Suburb]],Table5[Travel Surcharge],Table5[$$]),"")</f>
        <v/>
      </c>
      <c r="AI3144" s="47"/>
      <c r="AJ3144" s="47"/>
    </row>
    <row r="3145" spans="1:36">
      <c r="A3145" s="374" t="s">
        <v>4731</v>
      </c>
      <c r="B3145" s="374">
        <v>1</v>
      </c>
      <c r="C3145" s="374" t="s">
        <v>1264</v>
      </c>
      <c r="D3145" s="375" t="str">
        <f t="shared" si="661"/>
        <v>Olivine Estate1</v>
      </c>
      <c r="E3145" s="375" t="s">
        <v>4732</v>
      </c>
      <c r="F3145" s="375" t="s">
        <v>3077</v>
      </c>
      <c r="G3145" s="375" t="s">
        <v>4733</v>
      </c>
      <c r="H3145" s="375" t="s">
        <v>4734</v>
      </c>
      <c r="I3145" s="63" t="s">
        <v>4735</v>
      </c>
      <c r="J3145" s="47">
        <f t="shared" ref="J3145:J3166" si="664">J$7</f>
        <v>3740</v>
      </c>
      <c r="K3145" s="46" t="s">
        <v>10735</v>
      </c>
      <c r="L3145" s="47" t="s">
        <v>4736</v>
      </c>
      <c r="M3145" s="47" t="s">
        <v>808</v>
      </c>
      <c r="N3145" s="47" t="s">
        <v>4737</v>
      </c>
      <c r="O3145" s="47"/>
      <c r="P3145" s="47"/>
      <c r="Q3145" s="47"/>
      <c r="R3145" s="47"/>
      <c r="S3145" s="47"/>
      <c r="T3145" s="47"/>
      <c r="U3145" s="47">
        <f t="shared" ref="U3145:U3173" si="665">U$2</f>
        <v>430</v>
      </c>
      <c r="V3145" s="47"/>
      <c r="W3145" s="47"/>
      <c r="X3145" s="47">
        <f t="shared" ref="X3145:X3166" si="666">X$7</f>
        <v>3000</v>
      </c>
      <c r="Y3145" s="47"/>
      <c r="Z3145" s="47">
        <f t="shared" ref="Z3145:Z3173" si="667">Z$7</f>
        <v>4620</v>
      </c>
      <c r="AA3145" s="47"/>
      <c r="AB3145" s="47"/>
      <c r="AC3145" s="47"/>
      <c r="AD3145" s="47" t="s">
        <v>1</v>
      </c>
      <c r="AE3145" s="47"/>
      <c r="AF3145" s="47">
        <f t="shared" si="663"/>
        <v>1485</v>
      </c>
      <c r="AG3145" s="47"/>
      <c r="AH3145" s="47" t="str">
        <f>IFERROR(_xlfn.XLOOKUP(Table6[[#This Row],[Suburb]],Table5[Travel Surcharge],Table5[$$]),"")</f>
        <v/>
      </c>
      <c r="AI3145" s="47"/>
      <c r="AJ3145" s="47"/>
    </row>
    <row r="3146" spans="1:36">
      <c r="A3146" s="374" t="s">
        <v>4731</v>
      </c>
      <c r="B3146" s="374">
        <v>2</v>
      </c>
      <c r="C3146" s="374" t="s">
        <v>1264</v>
      </c>
      <c r="D3146" s="375" t="str">
        <f t="shared" si="661"/>
        <v>Olivine Estate2</v>
      </c>
      <c r="E3146" s="375" t="s">
        <v>4738</v>
      </c>
      <c r="F3146" s="375" t="s">
        <v>3077</v>
      </c>
      <c r="G3146" s="375" t="s">
        <v>4733</v>
      </c>
      <c r="H3146" s="375" t="s">
        <v>4734</v>
      </c>
      <c r="I3146" s="63" t="s">
        <v>4735</v>
      </c>
      <c r="J3146" s="47">
        <f t="shared" si="664"/>
        <v>3740</v>
      </c>
      <c r="K3146" s="46" t="s">
        <v>10735</v>
      </c>
      <c r="L3146" s="47" t="s">
        <v>4736</v>
      </c>
      <c r="M3146" s="47" t="s">
        <v>808</v>
      </c>
      <c r="N3146" s="47" t="s">
        <v>4737</v>
      </c>
      <c r="O3146" s="47"/>
      <c r="P3146" s="47"/>
      <c r="Q3146" s="47"/>
      <c r="R3146" s="47"/>
      <c r="S3146" s="47"/>
      <c r="T3146" s="47"/>
      <c r="U3146" s="47">
        <f t="shared" si="665"/>
        <v>430</v>
      </c>
      <c r="V3146" s="47"/>
      <c r="W3146" s="47"/>
      <c r="X3146" s="47">
        <f t="shared" si="666"/>
        <v>3000</v>
      </c>
      <c r="Y3146" s="47"/>
      <c r="Z3146" s="47">
        <f t="shared" si="667"/>
        <v>4620</v>
      </c>
      <c r="AA3146" s="47"/>
      <c r="AB3146" s="47"/>
      <c r="AC3146" s="47"/>
      <c r="AD3146" s="47" t="s">
        <v>1</v>
      </c>
      <c r="AE3146" s="47"/>
      <c r="AF3146" s="47">
        <f t="shared" si="663"/>
        <v>1485</v>
      </c>
      <c r="AG3146" s="47"/>
      <c r="AH3146" s="47" t="str">
        <f>IFERROR(_xlfn.XLOOKUP(Table6[[#This Row],[Suburb]],Table5[Travel Surcharge],Table5[$$]),"")</f>
        <v/>
      </c>
      <c r="AI3146" s="47"/>
      <c r="AJ3146" s="47"/>
    </row>
    <row r="3147" spans="1:36">
      <c r="A3147" s="374" t="s">
        <v>4731</v>
      </c>
      <c r="B3147" s="374">
        <v>3</v>
      </c>
      <c r="C3147" s="374" t="s">
        <v>1264</v>
      </c>
      <c r="D3147" s="375" t="str">
        <f t="shared" si="661"/>
        <v>Olivine Estate3</v>
      </c>
      <c r="E3147" s="375" t="s">
        <v>4739</v>
      </c>
      <c r="F3147" s="375" t="s">
        <v>3077</v>
      </c>
      <c r="G3147" s="375" t="s">
        <v>4733</v>
      </c>
      <c r="H3147" s="375" t="s">
        <v>4734</v>
      </c>
      <c r="I3147" s="63" t="s">
        <v>4735</v>
      </c>
      <c r="J3147" s="47">
        <f t="shared" si="664"/>
        <v>3740</v>
      </c>
      <c r="K3147" s="46" t="s">
        <v>10735</v>
      </c>
      <c r="L3147" s="47" t="s">
        <v>4736</v>
      </c>
      <c r="M3147" s="47" t="s">
        <v>808</v>
      </c>
      <c r="N3147" s="47" t="s">
        <v>4737</v>
      </c>
      <c r="O3147" s="47"/>
      <c r="P3147" s="47"/>
      <c r="Q3147" s="47"/>
      <c r="R3147" s="47"/>
      <c r="S3147" s="47"/>
      <c r="T3147" s="47"/>
      <c r="U3147" s="47">
        <f t="shared" si="665"/>
        <v>430</v>
      </c>
      <c r="V3147" s="47"/>
      <c r="W3147" s="47"/>
      <c r="X3147" s="47">
        <f t="shared" si="666"/>
        <v>3000</v>
      </c>
      <c r="Y3147" s="47"/>
      <c r="Z3147" s="47">
        <f t="shared" si="667"/>
        <v>4620</v>
      </c>
      <c r="AA3147" s="47"/>
      <c r="AB3147" s="47"/>
      <c r="AC3147" s="47"/>
      <c r="AD3147" s="47" t="s">
        <v>1</v>
      </c>
      <c r="AE3147" s="47"/>
      <c r="AF3147" s="47">
        <f t="shared" si="663"/>
        <v>1485</v>
      </c>
      <c r="AG3147" s="47"/>
      <c r="AH3147" s="47" t="str">
        <f>IFERROR(_xlfn.XLOOKUP(Table6[[#This Row],[Suburb]],Table5[Travel Surcharge],Table5[$$]),"")</f>
        <v/>
      </c>
      <c r="AI3147" s="47"/>
      <c r="AJ3147" s="47"/>
    </row>
    <row r="3148" spans="1:36">
      <c r="A3148" s="374" t="s">
        <v>4731</v>
      </c>
      <c r="B3148" s="374">
        <v>4</v>
      </c>
      <c r="C3148" s="374" t="s">
        <v>1264</v>
      </c>
      <c r="D3148" s="375" t="str">
        <f t="shared" si="661"/>
        <v>Olivine Estate4</v>
      </c>
      <c r="E3148" s="375" t="s">
        <v>4740</v>
      </c>
      <c r="F3148" s="375" t="s">
        <v>3077</v>
      </c>
      <c r="G3148" s="375" t="s">
        <v>4733</v>
      </c>
      <c r="H3148" s="375" t="s">
        <v>4734</v>
      </c>
      <c r="I3148" s="63" t="s">
        <v>4735</v>
      </c>
      <c r="J3148" s="47">
        <f t="shared" si="664"/>
        <v>3740</v>
      </c>
      <c r="K3148" s="46" t="s">
        <v>10735</v>
      </c>
      <c r="L3148" s="47" t="s">
        <v>4736</v>
      </c>
      <c r="M3148" s="47" t="s">
        <v>808</v>
      </c>
      <c r="N3148" s="47" t="s">
        <v>4737</v>
      </c>
      <c r="O3148" s="47"/>
      <c r="P3148" s="47"/>
      <c r="Q3148" s="47"/>
      <c r="R3148" s="47"/>
      <c r="S3148" s="47"/>
      <c r="T3148" s="47"/>
      <c r="U3148" s="47">
        <f t="shared" si="665"/>
        <v>430</v>
      </c>
      <c r="V3148" s="47"/>
      <c r="W3148" s="47"/>
      <c r="X3148" s="47">
        <f t="shared" si="666"/>
        <v>3000</v>
      </c>
      <c r="Y3148" s="47"/>
      <c r="Z3148" s="47">
        <f t="shared" si="667"/>
        <v>4620</v>
      </c>
      <c r="AA3148" s="47"/>
      <c r="AB3148" s="47"/>
      <c r="AC3148" s="47"/>
      <c r="AD3148" s="47" t="s">
        <v>1</v>
      </c>
      <c r="AE3148" s="47"/>
      <c r="AF3148" s="47">
        <f t="shared" si="663"/>
        <v>1485</v>
      </c>
      <c r="AG3148" s="47"/>
      <c r="AH3148" s="47" t="str">
        <f>IFERROR(_xlfn.XLOOKUP(Table6[[#This Row],[Suburb]],Table5[Travel Surcharge],Table5[$$]),"")</f>
        <v/>
      </c>
      <c r="AI3148" s="47"/>
      <c r="AJ3148" s="47"/>
    </row>
    <row r="3149" spans="1:36">
      <c r="A3149" s="374" t="s">
        <v>4731</v>
      </c>
      <c r="B3149" s="374">
        <v>5</v>
      </c>
      <c r="C3149" s="374" t="s">
        <v>1264</v>
      </c>
      <c r="D3149" s="375" t="str">
        <f t="shared" si="661"/>
        <v>Olivine Estate5</v>
      </c>
      <c r="E3149" s="375" t="s">
        <v>4741</v>
      </c>
      <c r="F3149" s="375" t="s">
        <v>3077</v>
      </c>
      <c r="G3149" s="375" t="s">
        <v>4733</v>
      </c>
      <c r="H3149" s="375" t="s">
        <v>4734</v>
      </c>
      <c r="I3149" s="63" t="s">
        <v>4735</v>
      </c>
      <c r="J3149" s="47">
        <f t="shared" si="664"/>
        <v>3740</v>
      </c>
      <c r="K3149" s="46" t="s">
        <v>10735</v>
      </c>
      <c r="L3149" s="47" t="s">
        <v>4736</v>
      </c>
      <c r="M3149" s="47" t="s">
        <v>808</v>
      </c>
      <c r="N3149" s="47" t="s">
        <v>4737</v>
      </c>
      <c r="O3149" s="47"/>
      <c r="P3149" s="47"/>
      <c r="Q3149" s="47"/>
      <c r="R3149" s="47"/>
      <c r="S3149" s="47"/>
      <c r="T3149" s="47"/>
      <c r="U3149" s="47">
        <f t="shared" si="665"/>
        <v>430</v>
      </c>
      <c r="V3149" s="47"/>
      <c r="W3149" s="47"/>
      <c r="X3149" s="47">
        <f t="shared" si="666"/>
        <v>3000</v>
      </c>
      <c r="Y3149" s="47"/>
      <c r="Z3149" s="47">
        <f t="shared" si="667"/>
        <v>4620</v>
      </c>
      <c r="AA3149" s="47"/>
      <c r="AB3149" s="47"/>
      <c r="AC3149" s="47"/>
      <c r="AD3149" s="47" t="s">
        <v>1</v>
      </c>
      <c r="AE3149" s="47"/>
      <c r="AF3149" s="47">
        <f t="shared" si="663"/>
        <v>1485</v>
      </c>
      <c r="AG3149" s="47"/>
      <c r="AH3149" s="47" t="str">
        <f>IFERROR(_xlfn.XLOOKUP(Table6[[#This Row],[Suburb]],Table5[Travel Surcharge],Table5[$$]),"")</f>
        <v/>
      </c>
      <c r="AI3149" s="47"/>
      <c r="AJ3149" s="47"/>
    </row>
    <row r="3150" spans="1:36">
      <c r="A3150" s="374" t="s">
        <v>4731</v>
      </c>
      <c r="B3150" s="374">
        <v>9</v>
      </c>
      <c r="C3150" s="374" t="s">
        <v>1264</v>
      </c>
      <c r="D3150" s="375" t="str">
        <f t="shared" si="661"/>
        <v>Olivine Estate9</v>
      </c>
      <c r="E3150" s="375" t="s">
        <v>4742</v>
      </c>
      <c r="F3150" s="375" t="s">
        <v>3077</v>
      </c>
      <c r="G3150" s="375" t="s">
        <v>4733</v>
      </c>
      <c r="H3150" s="375" t="s">
        <v>4734</v>
      </c>
      <c r="I3150" s="63" t="s">
        <v>4735</v>
      </c>
      <c r="J3150" s="47">
        <f t="shared" si="664"/>
        <v>3740</v>
      </c>
      <c r="K3150" s="46" t="s">
        <v>10735</v>
      </c>
      <c r="L3150" s="47" t="s">
        <v>4736</v>
      </c>
      <c r="M3150" s="47" t="s">
        <v>808</v>
      </c>
      <c r="N3150" s="47" t="s">
        <v>4737</v>
      </c>
      <c r="O3150" s="47"/>
      <c r="P3150" s="47"/>
      <c r="Q3150" s="47"/>
      <c r="R3150" s="47"/>
      <c r="S3150" s="47"/>
      <c r="T3150" s="47"/>
      <c r="U3150" s="47">
        <f t="shared" si="665"/>
        <v>430</v>
      </c>
      <c r="V3150" s="47"/>
      <c r="W3150" s="47"/>
      <c r="X3150" s="47">
        <f t="shared" si="666"/>
        <v>3000</v>
      </c>
      <c r="Y3150" s="47"/>
      <c r="Z3150" s="47">
        <f t="shared" si="667"/>
        <v>4620</v>
      </c>
      <c r="AA3150" s="47"/>
      <c r="AB3150" s="47"/>
      <c r="AC3150" s="47"/>
      <c r="AD3150" s="47" t="s">
        <v>1</v>
      </c>
      <c r="AE3150" s="47"/>
      <c r="AF3150" s="47">
        <f t="shared" si="663"/>
        <v>1485</v>
      </c>
      <c r="AG3150" s="47"/>
      <c r="AH3150" s="47" t="str">
        <f>IFERROR(_xlfn.XLOOKUP(Table6[[#This Row],[Suburb]],Table5[Travel Surcharge],Table5[$$]),"")</f>
        <v/>
      </c>
      <c r="AI3150" s="47"/>
      <c r="AJ3150" s="47"/>
    </row>
    <row r="3151" spans="1:36">
      <c r="A3151" s="374" t="s">
        <v>4731</v>
      </c>
      <c r="B3151" s="374">
        <v>10</v>
      </c>
      <c r="C3151" s="374" t="s">
        <v>1264</v>
      </c>
      <c r="D3151" s="375" t="str">
        <f t="shared" si="661"/>
        <v>Olivine Estate10</v>
      </c>
      <c r="E3151" s="375" t="s">
        <v>4743</v>
      </c>
      <c r="F3151" s="375" t="s">
        <v>3077</v>
      </c>
      <c r="G3151" s="375" t="s">
        <v>4733</v>
      </c>
      <c r="H3151" s="375" t="s">
        <v>4734</v>
      </c>
      <c r="I3151" s="63" t="s">
        <v>4735</v>
      </c>
      <c r="J3151" s="47">
        <f t="shared" si="664"/>
        <v>3740</v>
      </c>
      <c r="K3151" s="46" t="s">
        <v>10735</v>
      </c>
      <c r="L3151" s="47" t="s">
        <v>4736</v>
      </c>
      <c r="M3151" s="47" t="s">
        <v>808</v>
      </c>
      <c r="N3151" s="47" t="s">
        <v>4737</v>
      </c>
      <c r="O3151" s="47"/>
      <c r="P3151" s="47"/>
      <c r="Q3151" s="47"/>
      <c r="R3151" s="47"/>
      <c r="S3151" s="47"/>
      <c r="T3151" s="47"/>
      <c r="U3151" s="47">
        <f t="shared" si="665"/>
        <v>430</v>
      </c>
      <c r="V3151" s="47"/>
      <c r="W3151" s="47"/>
      <c r="X3151" s="47">
        <f t="shared" si="666"/>
        <v>3000</v>
      </c>
      <c r="Y3151" s="47"/>
      <c r="Z3151" s="47">
        <f t="shared" si="667"/>
        <v>4620</v>
      </c>
      <c r="AA3151" s="47"/>
      <c r="AB3151" s="47"/>
      <c r="AC3151" s="47"/>
      <c r="AD3151" s="47" t="s">
        <v>1</v>
      </c>
      <c r="AE3151" s="47"/>
      <c r="AF3151" s="47">
        <f t="shared" si="663"/>
        <v>1485</v>
      </c>
      <c r="AG3151" s="47"/>
      <c r="AH3151" s="47" t="str">
        <f>IFERROR(_xlfn.XLOOKUP(Table6[[#This Row],[Suburb]],Table5[Travel Surcharge],Table5[$$]),"")</f>
        <v/>
      </c>
      <c r="AI3151" s="47"/>
      <c r="AJ3151" s="47"/>
    </row>
    <row r="3152" spans="1:36">
      <c r="A3152" s="374" t="s">
        <v>4731</v>
      </c>
      <c r="B3152" s="374">
        <v>11</v>
      </c>
      <c r="C3152" s="374" t="s">
        <v>1264</v>
      </c>
      <c r="D3152" s="375" t="str">
        <f t="shared" si="661"/>
        <v>Olivine Estate11</v>
      </c>
      <c r="E3152" s="375" t="s">
        <v>4744</v>
      </c>
      <c r="F3152" s="375" t="s">
        <v>3077</v>
      </c>
      <c r="G3152" s="375" t="s">
        <v>4733</v>
      </c>
      <c r="H3152" s="375" t="s">
        <v>4734</v>
      </c>
      <c r="I3152" s="63" t="s">
        <v>4735</v>
      </c>
      <c r="J3152" s="47">
        <f t="shared" si="664"/>
        <v>3740</v>
      </c>
      <c r="K3152" s="46" t="s">
        <v>10735</v>
      </c>
      <c r="L3152" s="47" t="s">
        <v>4736</v>
      </c>
      <c r="M3152" s="47" t="s">
        <v>808</v>
      </c>
      <c r="N3152" s="47" t="s">
        <v>4737</v>
      </c>
      <c r="O3152" s="47"/>
      <c r="P3152" s="47"/>
      <c r="Q3152" s="47"/>
      <c r="R3152" s="47"/>
      <c r="S3152" s="47"/>
      <c r="T3152" s="47"/>
      <c r="U3152" s="47">
        <f t="shared" si="665"/>
        <v>430</v>
      </c>
      <c r="V3152" s="47"/>
      <c r="W3152" s="47"/>
      <c r="X3152" s="47">
        <f t="shared" si="666"/>
        <v>3000</v>
      </c>
      <c r="Y3152" s="47"/>
      <c r="Z3152" s="47">
        <f t="shared" si="667"/>
        <v>4620</v>
      </c>
      <c r="AA3152" s="47"/>
      <c r="AB3152" s="47"/>
      <c r="AC3152" s="47"/>
      <c r="AD3152" s="47" t="s">
        <v>1</v>
      </c>
      <c r="AE3152" s="47"/>
      <c r="AF3152" s="47">
        <f t="shared" si="663"/>
        <v>1485</v>
      </c>
      <c r="AG3152" s="47"/>
      <c r="AH3152" s="47" t="str">
        <f>IFERROR(_xlfn.XLOOKUP(Table6[[#This Row],[Suburb]],Table5[Travel Surcharge],Table5[$$]),"")</f>
        <v/>
      </c>
      <c r="AI3152" s="47"/>
      <c r="AJ3152" s="47"/>
    </row>
    <row r="3153" spans="1:36">
      <c r="A3153" s="374" t="s">
        <v>4731</v>
      </c>
      <c r="B3153" s="374">
        <v>12</v>
      </c>
      <c r="C3153" s="374" t="s">
        <v>1264</v>
      </c>
      <c r="D3153" s="375" t="str">
        <f t="shared" si="661"/>
        <v>Olivine Estate12</v>
      </c>
      <c r="E3153" s="375" t="s">
        <v>4745</v>
      </c>
      <c r="F3153" s="375" t="s">
        <v>3077</v>
      </c>
      <c r="G3153" s="375" t="s">
        <v>4733</v>
      </c>
      <c r="H3153" s="375" t="s">
        <v>4734</v>
      </c>
      <c r="I3153" s="63" t="s">
        <v>4735</v>
      </c>
      <c r="J3153" s="47">
        <f t="shared" si="664"/>
        <v>3740</v>
      </c>
      <c r="K3153" s="46" t="s">
        <v>10735</v>
      </c>
      <c r="L3153" s="47" t="s">
        <v>4736</v>
      </c>
      <c r="M3153" s="47" t="s">
        <v>808</v>
      </c>
      <c r="N3153" s="47" t="s">
        <v>4737</v>
      </c>
      <c r="O3153" s="47"/>
      <c r="P3153" s="47"/>
      <c r="Q3153" s="47"/>
      <c r="R3153" s="47"/>
      <c r="S3153" s="47"/>
      <c r="T3153" s="47"/>
      <c r="U3153" s="47">
        <f t="shared" si="665"/>
        <v>430</v>
      </c>
      <c r="V3153" s="47"/>
      <c r="W3153" s="47"/>
      <c r="X3153" s="47">
        <f t="shared" si="666"/>
        <v>3000</v>
      </c>
      <c r="Y3153" s="47"/>
      <c r="Z3153" s="47">
        <f t="shared" si="667"/>
        <v>4620</v>
      </c>
      <c r="AA3153" s="47"/>
      <c r="AB3153" s="47"/>
      <c r="AC3153" s="47"/>
      <c r="AD3153" s="47" t="s">
        <v>1</v>
      </c>
      <c r="AE3153" s="47"/>
      <c r="AF3153" s="47">
        <f t="shared" si="663"/>
        <v>1485</v>
      </c>
      <c r="AG3153" s="47"/>
      <c r="AH3153" s="47" t="str">
        <f>IFERROR(_xlfn.XLOOKUP(Table6[[#This Row],[Suburb]],Table5[Travel Surcharge],Table5[$$]),"")</f>
        <v/>
      </c>
      <c r="AI3153" s="47"/>
      <c r="AJ3153" s="47"/>
    </row>
    <row r="3154" spans="1:36">
      <c r="A3154" s="374" t="s">
        <v>4731</v>
      </c>
      <c r="B3154" s="374">
        <v>13</v>
      </c>
      <c r="C3154" s="374" t="s">
        <v>1264</v>
      </c>
      <c r="D3154" s="375" t="str">
        <f t="shared" si="661"/>
        <v>Olivine Estate13</v>
      </c>
      <c r="E3154" s="375" t="s">
        <v>4746</v>
      </c>
      <c r="F3154" s="375" t="s">
        <v>3077</v>
      </c>
      <c r="G3154" s="375" t="s">
        <v>4733</v>
      </c>
      <c r="H3154" s="375" t="s">
        <v>4734</v>
      </c>
      <c r="I3154" s="63" t="s">
        <v>4735</v>
      </c>
      <c r="J3154" s="47">
        <f t="shared" si="664"/>
        <v>3740</v>
      </c>
      <c r="K3154" s="46" t="s">
        <v>10735</v>
      </c>
      <c r="L3154" s="47" t="s">
        <v>4736</v>
      </c>
      <c r="M3154" s="47" t="s">
        <v>808</v>
      </c>
      <c r="N3154" s="47" t="s">
        <v>4737</v>
      </c>
      <c r="O3154" s="47"/>
      <c r="P3154" s="47"/>
      <c r="Q3154" s="47"/>
      <c r="R3154" s="47"/>
      <c r="S3154" s="47"/>
      <c r="T3154" s="47"/>
      <c r="U3154" s="47">
        <f t="shared" si="665"/>
        <v>430</v>
      </c>
      <c r="V3154" s="47"/>
      <c r="W3154" s="47"/>
      <c r="X3154" s="47">
        <f t="shared" si="666"/>
        <v>3000</v>
      </c>
      <c r="Y3154" s="47"/>
      <c r="Z3154" s="47">
        <f t="shared" si="667"/>
        <v>4620</v>
      </c>
      <c r="AA3154" s="47"/>
      <c r="AB3154" s="47"/>
      <c r="AC3154" s="47"/>
      <c r="AD3154" s="47" t="s">
        <v>1</v>
      </c>
      <c r="AE3154" s="47"/>
      <c r="AF3154" s="47">
        <f t="shared" si="663"/>
        <v>1485</v>
      </c>
      <c r="AG3154" s="47"/>
      <c r="AH3154" s="47" t="str">
        <f>IFERROR(_xlfn.XLOOKUP(Table6[[#This Row],[Suburb]],Table5[Travel Surcharge],Table5[$$]),"")</f>
        <v/>
      </c>
      <c r="AI3154" s="47"/>
      <c r="AJ3154" s="47"/>
    </row>
    <row r="3155" spans="1:36">
      <c r="A3155" s="374" t="s">
        <v>4731</v>
      </c>
      <c r="B3155" s="374">
        <v>15</v>
      </c>
      <c r="C3155" s="374" t="s">
        <v>1264</v>
      </c>
      <c r="D3155" s="375" t="str">
        <f t="shared" si="661"/>
        <v>Olivine Estate15</v>
      </c>
      <c r="E3155" s="375" t="s">
        <v>4747</v>
      </c>
      <c r="F3155" s="375" t="s">
        <v>3077</v>
      </c>
      <c r="G3155" s="375" t="s">
        <v>4733</v>
      </c>
      <c r="H3155" s="375" t="s">
        <v>4734</v>
      </c>
      <c r="I3155" s="63" t="s">
        <v>4735</v>
      </c>
      <c r="J3155" s="47">
        <f t="shared" si="664"/>
        <v>3740</v>
      </c>
      <c r="K3155" s="46" t="s">
        <v>10735</v>
      </c>
      <c r="L3155" s="47" t="s">
        <v>4736</v>
      </c>
      <c r="M3155" s="47" t="s">
        <v>808</v>
      </c>
      <c r="N3155" s="47" t="s">
        <v>4737</v>
      </c>
      <c r="O3155" s="47"/>
      <c r="P3155" s="47"/>
      <c r="Q3155" s="47"/>
      <c r="R3155" s="47"/>
      <c r="S3155" s="47"/>
      <c r="T3155" s="47"/>
      <c r="U3155" s="47">
        <f t="shared" si="665"/>
        <v>430</v>
      </c>
      <c r="V3155" s="47"/>
      <c r="W3155" s="47"/>
      <c r="X3155" s="47">
        <f t="shared" si="666"/>
        <v>3000</v>
      </c>
      <c r="Y3155" s="47"/>
      <c r="Z3155" s="47">
        <f t="shared" si="667"/>
        <v>4620</v>
      </c>
      <c r="AA3155" s="47"/>
      <c r="AB3155" s="47"/>
      <c r="AC3155" s="47"/>
      <c r="AD3155" s="47" t="s">
        <v>1</v>
      </c>
      <c r="AE3155" s="47"/>
      <c r="AF3155" s="47">
        <f t="shared" si="663"/>
        <v>1485</v>
      </c>
      <c r="AG3155" s="47"/>
      <c r="AH3155" s="47" t="str">
        <f>IFERROR(_xlfn.XLOOKUP(Table6[[#This Row],[Suburb]],Table5[Travel Surcharge],Table5[$$]),"")</f>
        <v/>
      </c>
      <c r="AI3155" s="47"/>
      <c r="AJ3155" s="47"/>
    </row>
    <row r="3156" spans="1:36">
      <c r="A3156" s="374" t="s">
        <v>4731</v>
      </c>
      <c r="B3156" s="374">
        <v>16</v>
      </c>
      <c r="C3156" s="374" t="s">
        <v>1264</v>
      </c>
      <c r="D3156" s="375" t="str">
        <f t="shared" si="661"/>
        <v>Olivine Estate16</v>
      </c>
      <c r="E3156" s="375" t="s">
        <v>9323</v>
      </c>
      <c r="F3156" s="375" t="s">
        <v>3077</v>
      </c>
      <c r="G3156" s="375" t="s">
        <v>4733</v>
      </c>
      <c r="H3156" s="375" t="s">
        <v>4734</v>
      </c>
      <c r="I3156" s="63" t="s">
        <v>4735</v>
      </c>
      <c r="J3156" s="47">
        <f t="shared" si="664"/>
        <v>3740</v>
      </c>
      <c r="K3156" s="46" t="s">
        <v>10735</v>
      </c>
      <c r="L3156" s="47" t="s">
        <v>4736</v>
      </c>
      <c r="M3156" s="47" t="s">
        <v>808</v>
      </c>
      <c r="N3156" s="47" t="s">
        <v>4737</v>
      </c>
      <c r="O3156" s="47"/>
      <c r="P3156" s="47"/>
      <c r="Q3156" s="47"/>
      <c r="R3156" s="47"/>
      <c r="S3156" s="47"/>
      <c r="T3156" s="47"/>
      <c r="U3156" s="47">
        <f t="shared" si="665"/>
        <v>430</v>
      </c>
      <c r="V3156" s="47"/>
      <c r="W3156" s="47"/>
      <c r="X3156" s="47">
        <f t="shared" si="666"/>
        <v>3000</v>
      </c>
      <c r="Y3156" s="47"/>
      <c r="Z3156" s="47">
        <f t="shared" si="667"/>
        <v>4620</v>
      </c>
      <c r="AA3156" s="47"/>
      <c r="AB3156" s="47"/>
      <c r="AC3156" s="47"/>
      <c r="AD3156" s="47" t="s">
        <v>1</v>
      </c>
      <c r="AE3156" s="47"/>
      <c r="AF3156" s="47">
        <f t="shared" si="663"/>
        <v>1485</v>
      </c>
      <c r="AG3156" s="47"/>
      <c r="AH3156" s="47" t="str">
        <f>IFERROR(_xlfn.XLOOKUP(Table6[[#This Row],[Suburb]],Table5[Travel Surcharge],Table5[$$]),"")</f>
        <v/>
      </c>
      <c r="AI3156" s="47"/>
      <c r="AJ3156" s="47"/>
    </row>
    <row r="3157" spans="1:36">
      <c r="A3157" s="374" t="s">
        <v>4731</v>
      </c>
      <c r="B3157" s="374">
        <v>17</v>
      </c>
      <c r="C3157" s="374" t="s">
        <v>1264</v>
      </c>
      <c r="D3157" s="375" t="str">
        <f t="shared" si="661"/>
        <v>Olivine Estate17</v>
      </c>
      <c r="E3157" s="375" t="s">
        <v>4748</v>
      </c>
      <c r="F3157" s="375" t="s">
        <v>3077</v>
      </c>
      <c r="G3157" s="375" t="s">
        <v>4733</v>
      </c>
      <c r="H3157" s="375" t="s">
        <v>4734</v>
      </c>
      <c r="I3157" s="63" t="s">
        <v>4735</v>
      </c>
      <c r="J3157" s="47">
        <f t="shared" si="664"/>
        <v>3740</v>
      </c>
      <c r="K3157" s="46" t="s">
        <v>10735</v>
      </c>
      <c r="L3157" s="47" t="s">
        <v>4736</v>
      </c>
      <c r="M3157" s="47" t="s">
        <v>808</v>
      </c>
      <c r="N3157" s="47" t="s">
        <v>4737</v>
      </c>
      <c r="O3157" s="47"/>
      <c r="P3157" s="47"/>
      <c r="Q3157" s="47"/>
      <c r="R3157" s="47"/>
      <c r="S3157" s="47"/>
      <c r="T3157" s="47"/>
      <c r="U3157" s="47">
        <f t="shared" si="665"/>
        <v>430</v>
      </c>
      <c r="V3157" s="47"/>
      <c r="W3157" s="47"/>
      <c r="X3157" s="47">
        <f t="shared" si="666"/>
        <v>3000</v>
      </c>
      <c r="Y3157" s="47"/>
      <c r="Z3157" s="47">
        <f t="shared" si="667"/>
        <v>4620</v>
      </c>
      <c r="AA3157" s="47"/>
      <c r="AB3157" s="47"/>
      <c r="AC3157" s="47"/>
      <c r="AD3157" s="47" t="s">
        <v>1</v>
      </c>
      <c r="AE3157" s="47"/>
      <c r="AF3157" s="47">
        <f t="shared" si="663"/>
        <v>1485</v>
      </c>
      <c r="AG3157" s="47"/>
      <c r="AH3157" s="47" t="str">
        <f>IFERROR(_xlfn.XLOOKUP(Table6[[#This Row],[Suburb]],Table5[Travel Surcharge],Table5[$$]),"")</f>
        <v/>
      </c>
      <c r="AI3157" s="47"/>
      <c r="AJ3157" s="47"/>
    </row>
    <row r="3158" spans="1:36">
      <c r="A3158" s="157" t="s">
        <v>4731</v>
      </c>
      <c r="B3158" s="157">
        <v>18</v>
      </c>
      <c r="C3158" s="157" t="s">
        <v>1264</v>
      </c>
      <c r="D3158" s="157" t="str">
        <f t="shared" si="661"/>
        <v>Olivine Estate18</v>
      </c>
      <c r="E3158" s="157" t="s">
        <v>7984</v>
      </c>
      <c r="F3158" s="157" t="s">
        <v>3077</v>
      </c>
      <c r="G3158" s="157" t="s">
        <v>4733</v>
      </c>
      <c r="H3158" s="157" t="s">
        <v>4734</v>
      </c>
      <c r="I3158" s="158" t="s">
        <v>4735</v>
      </c>
      <c r="J3158" s="47">
        <f t="shared" si="664"/>
        <v>3740</v>
      </c>
      <c r="K3158" s="46" t="s">
        <v>10735</v>
      </c>
      <c r="L3158" s="47" t="s">
        <v>4736</v>
      </c>
      <c r="M3158" s="47" t="s">
        <v>808</v>
      </c>
      <c r="N3158" s="47" t="s">
        <v>4737</v>
      </c>
      <c r="O3158" s="47"/>
      <c r="P3158" s="47"/>
      <c r="Q3158" s="47"/>
      <c r="R3158" s="47"/>
      <c r="S3158" s="47"/>
      <c r="T3158" s="47"/>
      <c r="U3158" s="47">
        <f t="shared" si="665"/>
        <v>430</v>
      </c>
      <c r="V3158" s="47"/>
      <c r="W3158" s="47" t="s">
        <v>7985</v>
      </c>
      <c r="X3158" s="47">
        <f t="shared" si="666"/>
        <v>3000</v>
      </c>
      <c r="Y3158" s="47"/>
      <c r="Z3158" s="47">
        <f t="shared" si="667"/>
        <v>4620</v>
      </c>
      <c r="AA3158" s="47"/>
      <c r="AB3158" s="47"/>
      <c r="AC3158" s="47"/>
      <c r="AD3158" s="47" t="s">
        <v>1</v>
      </c>
      <c r="AE3158" s="47"/>
      <c r="AF3158" s="47">
        <f t="shared" si="663"/>
        <v>1485</v>
      </c>
      <c r="AG3158" s="47"/>
      <c r="AH3158" s="47" t="str">
        <f>IFERROR(_xlfn.XLOOKUP(Table6[[#This Row],[Suburb]],Table5[Travel Surcharge],Table5[$$]),"")</f>
        <v/>
      </c>
      <c r="AI3158" s="47"/>
      <c r="AJ3158" s="47"/>
    </row>
    <row r="3159" spans="1:36">
      <c r="A3159" s="374" t="s">
        <v>4731</v>
      </c>
      <c r="B3159" s="374">
        <v>22</v>
      </c>
      <c r="C3159" s="374" t="s">
        <v>1264</v>
      </c>
      <c r="D3159" s="375" t="str">
        <f t="shared" si="661"/>
        <v>Olivine Estate22</v>
      </c>
      <c r="E3159" s="375" t="s">
        <v>4749</v>
      </c>
      <c r="F3159" s="375" t="s">
        <v>3077</v>
      </c>
      <c r="G3159" s="375" t="s">
        <v>4733</v>
      </c>
      <c r="H3159" s="375" t="s">
        <v>4734</v>
      </c>
      <c r="I3159" s="63" t="s">
        <v>4735</v>
      </c>
      <c r="J3159" s="47">
        <f t="shared" si="664"/>
        <v>3740</v>
      </c>
      <c r="K3159" s="46" t="s">
        <v>10735</v>
      </c>
      <c r="L3159" s="47" t="s">
        <v>4736</v>
      </c>
      <c r="M3159" s="47" t="s">
        <v>808</v>
      </c>
      <c r="N3159" s="47" t="s">
        <v>4737</v>
      </c>
      <c r="O3159" s="47"/>
      <c r="P3159" s="47"/>
      <c r="Q3159" s="47"/>
      <c r="R3159" s="47"/>
      <c r="S3159" s="47"/>
      <c r="T3159" s="47"/>
      <c r="U3159" s="47">
        <f t="shared" si="665"/>
        <v>430</v>
      </c>
      <c r="V3159" s="47"/>
      <c r="W3159" s="47"/>
      <c r="X3159" s="47">
        <f t="shared" si="666"/>
        <v>3000</v>
      </c>
      <c r="Y3159" s="47"/>
      <c r="Z3159" s="47">
        <f t="shared" si="667"/>
        <v>4620</v>
      </c>
      <c r="AA3159" s="47"/>
      <c r="AB3159" s="47"/>
      <c r="AC3159" s="47"/>
      <c r="AD3159" s="47" t="s">
        <v>1</v>
      </c>
      <c r="AE3159" s="47"/>
      <c r="AF3159" s="47">
        <f t="shared" si="663"/>
        <v>1485</v>
      </c>
      <c r="AG3159" s="47"/>
      <c r="AH3159" s="47" t="str">
        <f>IFERROR(_xlfn.XLOOKUP(Table6[[#This Row],[Suburb]],Table5[Travel Surcharge],Table5[$$]),"")</f>
        <v/>
      </c>
      <c r="AI3159" s="47"/>
      <c r="AJ3159" s="47"/>
    </row>
    <row r="3160" spans="1:36">
      <c r="A3160" s="374" t="s">
        <v>4731</v>
      </c>
      <c r="B3160" s="374">
        <v>23</v>
      </c>
      <c r="C3160" s="374" t="s">
        <v>1264</v>
      </c>
      <c r="D3160" s="375" t="str">
        <f t="shared" si="661"/>
        <v>Olivine Estate23</v>
      </c>
      <c r="E3160" s="375" t="s">
        <v>9039</v>
      </c>
      <c r="F3160" s="375" t="s">
        <v>3077</v>
      </c>
      <c r="G3160" s="375" t="s">
        <v>4733</v>
      </c>
      <c r="H3160" s="375" t="s">
        <v>4734</v>
      </c>
      <c r="I3160" s="63" t="s">
        <v>4735</v>
      </c>
      <c r="J3160" s="47">
        <f t="shared" si="664"/>
        <v>3740</v>
      </c>
      <c r="K3160" s="46" t="s">
        <v>10735</v>
      </c>
      <c r="L3160" s="47" t="s">
        <v>4736</v>
      </c>
      <c r="M3160" s="47" t="s">
        <v>808</v>
      </c>
      <c r="N3160" s="47" t="s">
        <v>4737</v>
      </c>
      <c r="O3160" s="47"/>
      <c r="P3160" s="47"/>
      <c r="Q3160" s="47"/>
      <c r="R3160" s="47"/>
      <c r="S3160" s="47"/>
      <c r="T3160" s="47"/>
      <c r="U3160" s="47">
        <f t="shared" si="665"/>
        <v>430</v>
      </c>
      <c r="V3160" s="47"/>
      <c r="W3160" s="47"/>
      <c r="X3160" s="47">
        <f t="shared" si="666"/>
        <v>3000</v>
      </c>
      <c r="Y3160" s="47"/>
      <c r="Z3160" s="47">
        <f t="shared" si="667"/>
        <v>4620</v>
      </c>
      <c r="AA3160" s="47"/>
      <c r="AB3160" s="47"/>
      <c r="AC3160" s="47"/>
      <c r="AD3160" s="47" t="s">
        <v>1</v>
      </c>
      <c r="AE3160" s="47"/>
      <c r="AF3160" s="47">
        <f t="shared" si="663"/>
        <v>1485</v>
      </c>
      <c r="AG3160" s="47"/>
      <c r="AH3160" s="47" t="str">
        <f>IFERROR(_xlfn.XLOOKUP(Table6[[#This Row],[Suburb]],Table5[Travel Surcharge],Table5[$$]),"")</f>
        <v/>
      </c>
      <c r="AI3160" s="47"/>
      <c r="AJ3160" s="47"/>
    </row>
    <row r="3161" spans="1:36">
      <c r="A3161" s="374" t="s">
        <v>4731</v>
      </c>
      <c r="B3161" s="374">
        <v>24</v>
      </c>
      <c r="C3161" s="374" t="s">
        <v>1264</v>
      </c>
      <c r="D3161" s="375" t="str">
        <f t="shared" si="661"/>
        <v>Olivine Estate24</v>
      </c>
      <c r="E3161" s="375" t="s">
        <v>4750</v>
      </c>
      <c r="F3161" s="375" t="s">
        <v>3077</v>
      </c>
      <c r="G3161" s="375" t="s">
        <v>4733</v>
      </c>
      <c r="H3161" s="375" t="s">
        <v>4734</v>
      </c>
      <c r="I3161" s="63" t="s">
        <v>4735</v>
      </c>
      <c r="J3161" s="47">
        <f t="shared" si="664"/>
        <v>3740</v>
      </c>
      <c r="K3161" s="46" t="s">
        <v>10735</v>
      </c>
      <c r="L3161" s="47" t="s">
        <v>4736</v>
      </c>
      <c r="M3161" s="47" t="s">
        <v>808</v>
      </c>
      <c r="N3161" s="47" t="s">
        <v>4737</v>
      </c>
      <c r="O3161" s="47"/>
      <c r="P3161" s="47"/>
      <c r="Q3161" s="47"/>
      <c r="R3161" s="47"/>
      <c r="S3161" s="47"/>
      <c r="T3161" s="47"/>
      <c r="U3161" s="47">
        <f t="shared" si="665"/>
        <v>430</v>
      </c>
      <c r="V3161" s="47"/>
      <c r="W3161" s="47"/>
      <c r="X3161" s="47">
        <f t="shared" si="666"/>
        <v>3000</v>
      </c>
      <c r="Y3161" s="47"/>
      <c r="Z3161" s="47">
        <f t="shared" si="667"/>
        <v>4620</v>
      </c>
      <c r="AA3161" s="47"/>
      <c r="AB3161" s="47"/>
      <c r="AC3161" s="47"/>
      <c r="AD3161" s="47" t="s">
        <v>1</v>
      </c>
      <c r="AE3161" s="47"/>
      <c r="AF3161" s="47">
        <f t="shared" si="663"/>
        <v>1485</v>
      </c>
      <c r="AG3161" s="47"/>
      <c r="AH3161" s="47" t="str">
        <f>IFERROR(_xlfn.XLOOKUP(Table6[[#This Row],[Suburb]],Table5[Travel Surcharge],Table5[$$]),"")</f>
        <v/>
      </c>
      <c r="AI3161" s="47"/>
      <c r="AJ3161" s="47"/>
    </row>
    <row r="3162" spans="1:36">
      <c r="A3162" s="374" t="s">
        <v>4731</v>
      </c>
      <c r="B3162" s="374">
        <v>25</v>
      </c>
      <c r="C3162" s="374" t="s">
        <v>1264</v>
      </c>
      <c r="D3162" s="375" t="str">
        <f t="shared" si="661"/>
        <v>Olivine Estate25</v>
      </c>
      <c r="E3162" s="375" t="s">
        <v>4751</v>
      </c>
      <c r="F3162" s="375" t="s">
        <v>3077</v>
      </c>
      <c r="G3162" s="375" t="s">
        <v>4733</v>
      </c>
      <c r="H3162" s="375" t="s">
        <v>4734</v>
      </c>
      <c r="I3162" s="63" t="s">
        <v>4735</v>
      </c>
      <c r="J3162" s="47">
        <f t="shared" si="664"/>
        <v>3740</v>
      </c>
      <c r="K3162" s="46" t="s">
        <v>10735</v>
      </c>
      <c r="L3162" s="47" t="s">
        <v>4736</v>
      </c>
      <c r="M3162" s="47" t="s">
        <v>808</v>
      </c>
      <c r="N3162" s="47" t="s">
        <v>4737</v>
      </c>
      <c r="O3162" s="47"/>
      <c r="P3162" s="47"/>
      <c r="Q3162" s="47"/>
      <c r="R3162" s="47"/>
      <c r="S3162" s="47"/>
      <c r="T3162" s="47"/>
      <c r="U3162" s="47">
        <f t="shared" si="665"/>
        <v>430</v>
      </c>
      <c r="V3162" s="47"/>
      <c r="W3162" s="47"/>
      <c r="X3162" s="47">
        <f t="shared" si="666"/>
        <v>3000</v>
      </c>
      <c r="Y3162" s="47"/>
      <c r="Z3162" s="47">
        <f t="shared" si="667"/>
        <v>4620</v>
      </c>
      <c r="AA3162" s="47"/>
      <c r="AB3162" s="47"/>
      <c r="AC3162" s="47"/>
      <c r="AD3162" s="47" t="s">
        <v>1</v>
      </c>
      <c r="AE3162" s="47"/>
      <c r="AF3162" s="47">
        <f t="shared" si="663"/>
        <v>1485</v>
      </c>
      <c r="AG3162" s="47"/>
      <c r="AH3162" s="47" t="str">
        <f>IFERROR(_xlfn.XLOOKUP(Table6[[#This Row],[Suburb]],Table5[Travel Surcharge],Table5[$$]),"")</f>
        <v/>
      </c>
      <c r="AI3162" s="47"/>
      <c r="AJ3162" s="47"/>
    </row>
    <row r="3163" spans="1:36">
      <c r="A3163" s="374" t="s">
        <v>4731</v>
      </c>
      <c r="B3163" s="374">
        <v>26</v>
      </c>
      <c r="C3163" s="374" t="s">
        <v>1264</v>
      </c>
      <c r="D3163" s="375" t="str">
        <f t="shared" si="661"/>
        <v>Olivine Estate26</v>
      </c>
      <c r="E3163" s="375" t="s">
        <v>10753</v>
      </c>
      <c r="F3163" s="375" t="s">
        <v>3077</v>
      </c>
      <c r="G3163" s="375" t="s">
        <v>4733</v>
      </c>
      <c r="H3163" s="375" t="s">
        <v>4734</v>
      </c>
      <c r="I3163" s="63" t="s">
        <v>4735</v>
      </c>
      <c r="J3163" s="47">
        <v>3740</v>
      </c>
      <c r="K3163" s="46" t="s">
        <v>10735</v>
      </c>
      <c r="L3163" s="47" t="s">
        <v>4736</v>
      </c>
      <c r="M3163" s="47" t="s">
        <v>808</v>
      </c>
      <c r="N3163" s="47" t="s">
        <v>4737</v>
      </c>
      <c r="O3163" s="47"/>
      <c r="P3163" s="47"/>
      <c r="Q3163" s="47"/>
      <c r="R3163" s="47"/>
      <c r="S3163" s="47"/>
      <c r="T3163" s="47"/>
      <c r="U3163" s="47">
        <v>540</v>
      </c>
      <c r="V3163" s="47"/>
      <c r="W3163" s="47"/>
      <c r="X3163" s="47">
        <v>3000</v>
      </c>
      <c r="Y3163" s="47"/>
      <c r="Z3163" s="47">
        <v>4620</v>
      </c>
      <c r="AA3163" s="47"/>
      <c r="AB3163" s="47"/>
      <c r="AC3163" s="47"/>
      <c r="AD3163" s="47" t="s">
        <v>1</v>
      </c>
      <c r="AE3163" s="47"/>
      <c r="AF3163" s="47">
        <v>1485</v>
      </c>
      <c r="AG3163" s="47"/>
      <c r="AH3163" s="47" t="s">
        <v>9976</v>
      </c>
      <c r="AI3163" s="47"/>
      <c r="AJ3163" s="47"/>
    </row>
    <row r="3164" spans="1:36">
      <c r="A3164" s="157" t="s">
        <v>4731</v>
      </c>
      <c r="B3164" s="157">
        <v>27</v>
      </c>
      <c r="C3164" s="157" t="s">
        <v>1264</v>
      </c>
      <c r="D3164" s="157" t="str">
        <f t="shared" si="661"/>
        <v>Olivine Estate27</v>
      </c>
      <c r="E3164" s="157" t="s">
        <v>7971</v>
      </c>
      <c r="F3164" s="157" t="s">
        <v>3077</v>
      </c>
      <c r="G3164" s="157" t="s">
        <v>4733</v>
      </c>
      <c r="H3164" s="157" t="s">
        <v>4734</v>
      </c>
      <c r="I3164" s="158" t="s">
        <v>4735</v>
      </c>
      <c r="J3164" s="47">
        <f t="shared" si="664"/>
        <v>3740</v>
      </c>
      <c r="K3164" s="46" t="s">
        <v>10735</v>
      </c>
      <c r="L3164" s="47" t="s">
        <v>4736</v>
      </c>
      <c r="M3164" s="47" t="s">
        <v>808</v>
      </c>
      <c r="N3164" s="47" t="s">
        <v>4737</v>
      </c>
      <c r="O3164" s="47"/>
      <c r="P3164" s="47"/>
      <c r="Q3164" s="47"/>
      <c r="R3164" s="47"/>
      <c r="S3164" s="47"/>
      <c r="T3164" s="47"/>
      <c r="U3164" s="47">
        <f t="shared" si="665"/>
        <v>430</v>
      </c>
      <c r="V3164" s="47"/>
      <c r="W3164" s="47"/>
      <c r="X3164" s="47">
        <f t="shared" si="666"/>
        <v>3000</v>
      </c>
      <c r="Y3164" s="47" t="s">
        <v>7973</v>
      </c>
      <c r="Z3164" s="47">
        <f t="shared" si="667"/>
        <v>4620</v>
      </c>
      <c r="AA3164" s="47" t="s">
        <v>7972</v>
      </c>
      <c r="AB3164" s="47"/>
      <c r="AC3164" s="47"/>
      <c r="AD3164" s="47" t="s">
        <v>1</v>
      </c>
      <c r="AE3164" s="47"/>
      <c r="AF3164" s="47">
        <f t="shared" si="663"/>
        <v>1485</v>
      </c>
      <c r="AG3164" s="47"/>
      <c r="AH3164" s="47" t="str">
        <f>IFERROR(_xlfn.XLOOKUP(Table6[[#This Row],[Suburb]],Table5[Travel Surcharge],Table5[$$]),"")</f>
        <v/>
      </c>
      <c r="AI3164" s="47"/>
      <c r="AJ3164" s="47"/>
    </row>
    <row r="3165" spans="1:36">
      <c r="A3165" s="157" t="s">
        <v>4731</v>
      </c>
      <c r="B3165" s="157">
        <v>28</v>
      </c>
      <c r="C3165" s="157" t="s">
        <v>1264</v>
      </c>
      <c r="D3165" s="157" t="str">
        <f t="shared" si="661"/>
        <v>Olivine Estate28</v>
      </c>
      <c r="E3165" s="157" t="s">
        <v>9494</v>
      </c>
      <c r="F3165" s="157" t="s">
        <v>3077</v>
      </c>
      <c r="G3165" s="157" t="s">
        <v>4733</v>
      </c>
      <c r="H3165" s="157" t="s">
        <v>4734</v>
      </c>
      <c r="I3165" s="158" t="s">
        <v>4735</v>
      </c>
      <c r="J3165" s="47">
        <f t="shared" si="664"/>
        <v>3740</v>
      </c>
      <c r="K3165" s="46" t="s">
        <v>10735</v>
      </c>
      <c r="L3165" s="47" t="s">
        <v>4736</v>
      </c>
      <c r="M3165" s="47" t="s">
        <v>808</v>
      </c>
      <c r="N3165" s="47" t="s">
        <v>4737</v>
      </c>
      <c r="O3165" s="47"/>
      <c r="P3165" s="47"/>
      <c r="Q3165" s="47"/>
      <c r="R3165" s="47"/>
      <c r="S3165" s="47"/>
      <c r="T3165" s="47"/>
      <c r="U3165" s="47">
        <f t="shared" si="665"/>
        <v>430</v>
      </c>
      <c r="V3165" s="47"/>
      <c r="W3165" s="47"/>
      <c r="X3165" s="47">
        <f t="shared" si="666"/>
        <v>3000</v>
      </c>
      <c r="Y3165" s="47" t="s">
        <v>7973</v>
      </c>
      <c r="Z3165" s="47">
        <f t="shared" si="667"/>
        <v>4620</v>
      </c>
      <c r="AA3165" s="47" t="s">
        <v>7972</v>
      </c>
      <c r="AB3165" s="47"/>
      <c r="AC3165" s="47"/>
      <c r="AD3165" s="47" t="s">
        <v>1</v>
      </c>
      <c r="AE3165" s="47"/>
      <c r="AF3165" s="47">
        <f t="shared" si="663"/>
        <v>1485</v>
      </c>
      <c r="AG3165" s="47"/>
      <c r="AH3165" s="47" t="str">
        <f>IFERROR(_xlfn.XLOOKUP(Table6[[#This Row],[Suburb]],Table5[Travel Surcharge],Table5[$$]),"")</f>
        <v/>
      </c>
      <c r="AI3165" s="47"/>
      <c r="AJ3165" s="47"/>
    </row>
    <row r="3166" spans="1:36">
      <c r="A3166" s="157" t="s">
        <v>4731</v>
      </c>
      <c r="B3166" s="157">
        <v>29</v>
      </c>
      <c r="C3166" s="157" t="s">
        <v>1264</v>
      </c>
      <c r="D3166" s="157" t="str">
        <f t="shared" si="661"/>
        <v>Olivine Estate29</v>
      </c>
      <c r="E3166" s="157" t="s">
        <v>9690</v>
      </c>
      <c r="F3166" s="157" t="s">
        <v>3077</v>
      </c>
      <c r="G3166" s="157" t="s">
        <v>4733</v>
      </c>
      <c r="H3166" s="157" t="s">
        <v>4734</v>
      </c>
      <c r="I3166" s="158" t="s">
        <v>4735</v>
      </c>
      <c r="J3166" s="47">
        <f t="shared" si="664"/>
        <v>3740</v>
      </c>
      <c r="K3166" s="46" t="s">
        <v>10735</v>
      </c>
      <c r="L3166" s="47" t="s">
        <v>4736</v>
      </c>
      <c r="M3166" s="47" t="s">
        <v>808</v>
      </c>
      <c r="N3166" s="47" t="s">
        <v>4737</v>
      </c>
      <c r="O3166" s="47"/>
      <c r="P3166" s="47"/>
      <c r="Q3166" s="47"/>
      <c r="R3166" s="47"/>
      <c r="S3166" s="47"/>
      <c r="T3166" s="47"/>
      <c r="U3166" s="47">
        <f t="shared" si="665"/>
        <v>430</v>
      </c>
      <c r="V3166" s="47"/>
      <c r="W3166" s="47"/>
      <c r="X3166" s="47">
        <f t="shared" si="666"/>
        <v>3000</v>
      </c>
      <c r="Y3166" s="47" t="s">
        <v>7973</v>
      </c>
      <c r="Z3166" s="47">
        <f t="shared" si="667"/>
        <v>4620</v>
      </c>
      <c r="AA3166" s="47" t="s">
        <v>7972</v>
      </c>
      <c r="AB3166" s="47"/>
      <c r="AC3166" s="47"/>
      <c r="AD3166" s="47" t="s">
        <v>1</v>
      </c>
      <c r="AE3166" s="47"/>
      <c r="AF3166" s="47">
        <f t="shared" si="663"/>
        <v>1485</v>
      </c>
      <c r="AG3166" s="47"/>
      <c r="AH3166" s="47" t="str">
        <f>IFERROR(_xlfn.XLOOKUP(Table6[[#This Row],[Suburb]],Table5[Travel Surcharge],Table5[$$]),"")</f>
        <v/>
      </c>
      <c r="AI3166" s="47"/>
      <c r="AJ3166" s="47"/>
    </row>
    <row r="3167" spans="1:36">
      <c r="A3167" s="374" t="s">
        <v>4731</v>
      </c>
      <c r="B3167" s="374">
        <v>32</v>
      </c>
      <c r="C3167" s="374" t="s">
        <v>1264</v>
      </c>
      <c r="D3167" s="375" t="str">
        <f t="shared" ref="D3167" si="668">CONCATENATE(A3167,B3167)</f>
        <v>Olivine Estate32</v>
      </c>
      <c r="E3167" s="375"/>
      <c r="F3167" s="375" t="s">
        <v>3077</v>
      </c>
      <c r="G3167" s="375" t="s">
        <v>4733</v>
      </c>
      <c r="H3167" s="375" t="s">
        <v>4734</v>
      </c>
      <c r="I3167" s="63" t="s">
        <v>4735</v>
      </c>
      <c r="J3167" s="47">
        <v>3740</v>
      </c>
      <c r="K3167" s="46" t="s">
        <v>10735</v>
      </c>
      <c r="L3167" s="47" t="s">
        <v>4736</v>
      </c>
      <c r="M3167" s="47" t="s">
        <v>808</v>
      </c>
      <c r="N3167" s="47" t="s">
        <v>4737</v>
      </c>
      <c r="O3167" s="47" t="s">
        <v>10979</v>
      </c>
      <c r="P3167" s="47" t="s">
        <v>10898</v>
      </c>
      <c r="Q3167" s="47" t="s">
        <v>10980</v>
      </c>
      <c r="R3167" s="47" t="s">
        <v>10981</v>
      </c>
      <c r="S3167" s="47"/>
      <c r="T3167" s="47"/>
      <c r="U3167" s="47">
        <v>540</v>
      </c>
      <c r="V3167" s="47"/>
      <c r="W3167" s="47"/>
      <c r="X3167" s="47">
        <v>3000</v>
      </c>
      <c r="Y3167" s="47"/>
      <c r="Z3167" s="47">
        <v>4620</v>
      </c>
      <c r="AA3167" s="47"/>
      <c r="AB3167" s="47"/>
      <c r="AC3167" s="47"/>
      <c r="AD3167" s="47" t="s">
        <v>1</v>
      </c>
      <c r="AE3167" s="47"/>
      <c r="AF3167" s="47">
        <v>1485</v>
      </c>
      <c r="AG3167" s="47"/>
      <c r="AH3167" s="47" t="s">
        <v>9976</v>
      </c>
      <c r="AI3167" s="47"/>
      <c r="AJ3167" s="47"/>
    </row>
    <row r="3168" spans="1:36">
      <c r="A3168" s="157" t="s">
        <v>8591</v>
      </c>
      <c r="B3168" s="157">
        <v>1</v>
      </c>
      <c r="C3168" s="157" t="s">
        <v>1660</v>
      </c>
      <c r="D3168" s="157" t="str">
        <f t="shared" si="661"/>
        <v>One1</v>
      </c>
      <c r="E3168" s="157" t="s">
        <v>8592</v>
      </c>
      <c r="F3168" s="157"/>
      <c r="G3168" s="157"/>
      <c r="H3168" s="157"/>
      <c r="I3168" s="158"/>
      <c r="J3168" s="47"/>
      <c r="K3168" s="46" t="s">
        <v>10735</v>
      </c>
      <c r="L3168" s="47"/>
      <c r="M3168" s="47">
        <f>M$7</f>
        <v>1430.0000000000002</v>
      </c>
      <c r="N3168" s="47"/>
      <c r="O3168" s="47" t="s">
        <v>8596</v>
      </c>
      <c r="P3168" s="47"/>
      <c r="Q3168" s="47"/>
      <c r="R3168" s="47"/>
      <c r="S3168" s="47"/>
      <c r="T3168" s="47"/>
      <c r="U3168" s="47">
        <f t="shared" si="665"/>
        <v>430</v>
      </c>
      <c r="V3168" s="47"/>
      <c r="W3168" s="47"/>
      <c r="X3168" s="47"/>
      <c r="Y3168" s="47"/>
      <c r="Z3168" s="47">
        <f t="shared" si="667"/>
        <v>4620</v>
      </c>
      <c r="AA3168" s="47" t="s">
        <v>8595</v>
      </c>
      <c r="AB3168" s="47"/>
      <c r="AC3168" s="47"/>
      <c r="AD3168" s="47" t="s">
        <v>1</v>
      </c>
      <c r="AE3168" s="47"/>
      <c r="AF3168" s="47">
        <f t="shared" si="663"/>
        <v>1485</v>
      </c>
      <c r="AG3168" s="47" t="s">
        <v>8594</v>
      </c>
      <c r="AH3168" s="47" t="str">
        <f>IFERROR(_xlfn.XLOOKUP(Table6[[#This Row],[Suburb]],Table5[Travel Surcharge],Table5[$$]),"")</f>
        <v/>
      </c>
      <c r="AI3168" s="47">
        <f t="shared" ref="AI3168:AI3173" si="669">AI$7</f>
        <v>1650.0000000000002</v>
      </c>
      <c r="AJ3168" s="47"/>
    </row>
    <row r="3169" spans="1:36">
      <c r="A3169" s="157" t="s">
        <v>8591</v>
      </c>
      <c r="B3169" s="157">
        <v>2</v>
      </c>
      <c r="C3169" s="384" t="s">
        <v>1660</v>
      </c>
      <c r="D3169" s="157" t="str">
        <f t="shared" si="661"/>
        <v>One2</v>
      </c>
      <c r="E3169" s="157" t="s">
        <v>8698</v>
      </c>
      <c r="F3169" s="157"/>
      <c r="G3169" s="157"/>
      <c r="H3169" s="157"/>
      <c r="I3169" s="158"/>
      <c r="J3169" s="47"/>
      <c r="K3169" s="46" t="s">
        <v>10735</v>
      </c>
      <c r="L3169" s="47"/>
      <c r="M3169" s="47">
        <f>M$7</f>
        <v>1430.0000000000002</v>
      </c>
      <c r="N3169" s="47"/>
      <c r="O3169" s="47" t="s">
        <v>8596</v>
      </c>
      <c r="P3169" s="47"/>
      <c r="Q3169" s="47"/>
      <c r="R3169" s="47"/>
      <c r="S3169" s="47"/>
      <c r="T3169" s="47"/>
      <c r="U3169" s="47">
        <f t="shared" si="665"/>
        <v>430</v>
      </c>
      <c r="V3169" s="47"/>
      <c r="W3169" s="47"/>
      <c r="X3169" s="47"/>
      <c r="Y3169" s="47"/>
      <c r="Z3169" s="47">
        <f t="shared" si="667"/>
        <v>4620</v>
      </c>
      <c r="AA3169" s="47" t="s">
        <v>8595</v>
      </c>
      <c r="AB3169" s="47"/>
      <c r="AC3169" s="47"/>
      <c r="AD3169" s="47" t="s">
        <v>1</v>
      </c>
      <c r="AE3169" s="47"/>
      <c r="AF3169" s="47">
        <f t="shared" si="663"/>
        <v>1485</v>
      </c>
      <c r="AG3169" s="47" t="s">
        <v>8594</v>
      </c>
      <c r="AH3169" s="47" t="str">
        <f>IFERROR(_xlfn.XLOOKUP(Table6[[#This Row],[Suburb]],Table5[Travel Surcharge],Table5[$$]),"")</f>
        <v/>
      </c>
      <c r="AI3169" s="47">
        <f t="shared" si="669"/>
        <v>1650.0000000000002</v>
      </c>
      <c r="AJ3169" s="47"/>
    </row>
    <row r="3170" spans="1:36">
      <c r="A3170" s="157" t="s">
        <v>8591</v>
      </c>
      <c r="B3170" s="157">
        <v>4</v>
      </c>
      <c r="C3170" s="157" t="s">
        <v>8561</v>
      </c>
      <c r="D3170" s="157" t="str">
        <f t="shared" si="661"/>
        <v>One4</v>
      </c>
      <c r="E3170" s="157" t="s">
        <v>8593</v>
      </c>
      <c r="F3170" s="157"/>
      <c r="G3170" s="157"/>
      <c r="H3170" s="157"/>
      <c r="I3170" s="158"/>
      <c r="J3170" s="47"/>
      <c r="K3170" s="46" t="s">
        <v>10735</v>
      </c>
      <c r="L3170" s="47"/>
      <c r="M3170" s="47">
        <f>M$7</f>
        <v>1430.0000000000002</v>
      </c>
      <c r="N3170" s="47"/>
      <c r="O3170" s="47" t="s">
        <v>8596</v>
      </c>
      <c r="P3170" s="47"/>
      <c r="Q3170" s="47"/>
      <c r="R3170" s="47"/>
      <c r="S3170" s="47"/>
      <c r="T3170" s="47"/>
      <c r="U3170" s="47">
        <f t="shared" si="665"/>
        <v>430</v>
      </c>
      <c r="V3170" s="47"/>
      <c r="W3170" s="47"/>
      <c r="X3170" s="47"/>
      <c r="Y3170" s="47"/>
      <c r="Z3170" s="47">
        <f t="shared" si="667"/>
        <v>4620</v>
      </c>
      <c r="AA3170" s="47" t="s">
        <v>8595</v>
      </c>
      <c r="AB3170" s="47"/>
      <c r="AC3170" s="47"/>
      <c r="AD3170" s="47" t="s">
        <v>1</v>
      </c>
      <c r="AE3170" s="47"/>
      <c r="AF3170" s="47">
        <f t="shared" si="663"/>
        <v>1485</v>
      </c>
      <c r="AG3170" s="47" t="s">
        <v>8594</v>
      </c>
      <c r="AH3170" s="47" t="str">
        <f>IFERROR(_xlfn.XLOOKUP(Table6[[#This Row],[Suburb]],Table5[Travel Surcharge],Table5[$$]),"")</f>
        <v/>
      </c>
      <c r="AI3170" s="47">
        <f t="shared" si="669"/>
        <v>1650.0000000000002</v>
      </c>
      <c r="AJ3170" s="47"/>
    </row>
    <row r="3171" spans="1:36">
      <c r="A3171" s="374" t="s">
        <v>4752</v>
      </c>
      <c r="B3171" s="374">
        <v>1</v>
      </c>
      <c r="C3171" s="374" t="s">
        <v>4753</v>
      </c>
      <c r="D3171" s="375" t="str">
        <f t="shared" si="661"/>
        <v>One  1</v>
      </c>
      <c r="E3171" s="375" t="s">
        <v>4754</v>
      </c>
      <c r="F3171" s="375" t="s">
        <v>4755</v>
      </c>
      <c r="G3171" s="375" t="s">
        <v>4756</v>
      </c>
      <c r="H3171" s="375" t="s">
        <v>4757</v>
      </c>
      <c r="I3171" s="63" t="s">
        <v>4758</v>
      </c>
      <c r="J3171" s="47"/>
      <c r="K3171" s="46" t="s">
        <v>10735</v>
      </c>
      <c r="L3171" s="47">
        <f>L$7</f>
        <v>1210</v>
      </c>
      <c r="M3171" s="47" t="s">
        <v>4759</v>
      </c>
      <c r="N3171" s="47" t="s">
        <v>4760</v>
      </c>
      <c r="O3171" s="47"/>
      <c r="P3171" s="47"/>
      <c r="Q3171" s="47"/>
      <c r="R3171" s="47"/>
      <c r="S3171" s="47"/>
      <c r="T3171" s="47"/>
      <c r="U3171" s="47">
        <f t="shared" si="665"/>
        <v>430</v>
      </c>
      <c r="V3171" s="47"/>
      <c r="W3171" s="47"/>
      <c r="X3171" s="47"/>
      <c r="Y3171" s="47"/>
      <c r="Z3171" s="47">
        <f t="shared" si="667"/>
        <v>4620</v>
      </c>
      <c r="AA3171" s="47"/>
      <c r="AB3171" s="47"/>
      <c r="AC3171" s="47"/>
      <c r="AD3171" s="47" t="s">
        <v>1</v>
      </c>
      <c r="AE3171" s="47"/>
      <c r="AF3171" s="47">
        <f t="shared" si="663"/>
        <v>1485</v>
      </c>
      <c r="AG3171" s="47"/>
      <c r="AH3171" s="47" t="str">
        <f>IFERROR(_xlfn.XLOOKUP(Table6[[#This Row],[Suburb]],Table5[Travel Surcharge],Table5[$$]),"")</f>
        <v/>
      </c>
      <c r="AI3171" s="47">
        <f t="shared" si="669"/>
        <v>1650.0000000000002</v>
      </c>
      <c r="AJ3171" s="47"/>
    </row>
    <row r="3172" spans="1:36">
      <c r="A3172" s="374" t="s">
        <v>4752</v>
      </c>
      <c r="B3172" s="374">
        <v>2</v>
      </c>
      <c r="C3172" s="374" t="s">
        <v>4753</v>
      </c>
      <c r="D3172" s="375" t="str">
        <f t="shared" si="661"/>
        <v>One  2</v>
      </c>
      <c r="E3172" s="375" t="s">
        <v>4754</v>
      </c>
      <c r="F3172" s="375" t="s">
        <v>4755</v>
      </c>
      <c r="G3172" s="375" t="s">
        <v>4756</v>
      </c>
      <c r="H3172" s="375" t="s">
        <v>4757</v>
      </c>
      <c r="I3172" s="63" t="s">
        <v>4758</v>
      </c>
      <c r="J3172" s="47"/>
      <c r="K3172" s="46" t="s">
        <v>10735</v>
      </c>
      <c r="L3172" s="47">
        <f>L$7</f>
        <v>1210</v>
      </c>
      <c r="M3172" s="47" t="s">
        <v>4759</v>
      </c>
      <c r="N3172" s="47" t="s">
        <v>4760</v>
      </c>
      <c r="O3172" s="47"/>
      <c r="P3172" s="47"/>
      <c r="Q3172" s="47"/>
      <c r="R3172" s="47"/>
      <c r="S3172" s="47"/>
      <c r="T3172" s="47"/>
      <c r="U3172" s="47">
        <f t="shared" si="665"/>
        <v>430</v>
      </c>
      <c r="V3172" s="47"/>
      <c r="W3172" s="47"/>
      <c r="X3172" s="47"/>
      <c r="Y3172" s="47"/>
      <c r="Z3172" s="47">
        <f t="shared" si="667"/>
        <v>4620</v>
      </c>
      <c r="AA3172" s="47"/>
      <c r="AB3172" s="47"/>
      <c r="AC3172" s="47"/>
      <c r="AD3172" s="47" t="s">
        <v>1</v>
      </c>
      <c r="AE3172" s="47"/>
      <c r="AF3172" s="47">
        <f t="shared" si="663"/>
        <v>1485</v>
      </c>
      <c r="AG3172" s="47"/>
      <c r="AH3172" s="47" t="str">
        <f>IFERROR(_xlfn.XLOOKUP(Table6[[#This Row],[Suburb]],Table5[Travel Surcharge],Table5[$$]),"")</f>
        <v/>
      </c>
      <c r="AI3172" s="47">
        <f t="shared" si="669"/>
        <v>1650.0000000000002</v>
      </c>
      <c r="AJ3172" s="47"/>
    </row>
    <row r="3173" spans="1:36">
      <c r="A3173" s="374" t="s">
        <v>4752</v>
      </c>
      <c r="B3173" s="374">
        <v>3</v>
      </c>
      <c r="C3173" s="374" t="s">
        <v>4753</v>
      </c>
      <c r="D3173" s="375" t="str">
        <f t="shared" si="661"/>
        <v>One  3</v>
      </c>
      <c r="E3173" s="375" t="s">
        <v>4754</v>
      </c>
      <c r="F3173" s="375" t="s">
        <v>4755</v>
      </c>
      <c r="G3173" s="375" t="s">
        <v>4756</v>
      </c>
      <c r="H3173" s="375" t="s">
        <v>4757</v>
      </c>
      <c r="I3173" s="63" t="s">
        <v>4758</v>
      </c>
      <c r="J3173" s="47"/>
      <c r="K3173" s="46" t="s">
        <v>10735</v>
      </c>
      <c r="L3173" s="47">
        <f>L$7</f>
        <v>1210</v>
      </c>
      <c r="M3173" s="47" t="s">
        <v>4759</v>
      </c>
      <c r="N3173" s="47" t="s">
        <v>4760</v>
      </c>
      <c r="O3173" s="47"/>
      <c r="P3173" s="47"/>
      <c r="Q3173" s="47"/>
      <c r="R3173" s="47"/>
      <c r="S3173" s="47"/>
      <c r="T3173" s="47"/>
      <c r="U3173" s="47">
        <f t="shared" si="665"/>
        <v>430</v>
      </c>
      <c r="V3173" s="47"/>
      <c r="W3173" s="47"/>
      <c r="X3173" s="47"/>
      <c r="Y3173" s="47"/>
      <c r="Z3173" s="47">
        <f t="shared" si="667"/>
        <v>4620</v>
      </c>
      <c r="AA3173" s="47"/>
      <c r="AB3173" s="47"/>
      <c r="AC3173" s="47"/>
      <c r="AD3173" s="47" t="s">
        <v>1</v>
      </c>
      <c r="AE3173" s="47"/>
      <c r="AF3173" s="47">
        <f t="shared" si="663"/>
        <v>1485</v>
      </c>
      <c r="AG3173" s="47"/>
      <c r="AH3173" s="47" t="str">
        <f>IFERROR(_xlfn.XLOOKUP(Table6[[#This Row],[Suburb]],Table5[Travel Surcharge],Table5[$$]),"")</f>
        <v/>
      </c>
      <c r="AI3173" s="47">
        <f t="shared" si="669"/>
        <v>1650.0000000000002</v>
      </c>
      <c r="AJ3173" s="47"/>
    </row>
    <row r="3174" spans="1:36">
      <c r="A3174" s="374" t="s">
        <v>4761</v>
      </c>
      <c r="B3174" s="374">
        <v>16</v>
      </c>
      <c r="C3174" s="374" t="s">
        <v>1042</v>
      </c>
      <c r="D3174" s="375" t="s">
        <v>9599</v>
      </c>
      <c r="E3174" s="375" t="s">
        <v>9600</v>
      </c>
      <c r="F3174" s="375" t="s">
        <v>4755</v>
      </c>
      <c r="G3174" s="375" t="s">
        <v>4763</v>
      </c>
      <c r="H3174" s="375" t="s">
        <v>4764</v>
      </c>
      <c r="I3174" s="63" t="s">
        <v>4765</v>
      </c>
      <c r="J3174" s="47">
        <v>3740</v>
      </c>
      <c r="K3174" s="46" t="s">
        <v>10735</v>
      </c>
      <c r="L3174" s="47">
        <v>1210</v>
      </c>
      <c r="M3174" s="47"/>
      <c r="N3174" s="47"/>
      <c r="O3174" s="47" t="s">
        <v>4766</v>
      </c>
      <c r="P3174" s="47" t="s">
        <v>2237</v>
      </c>
      <c r="Q3174" s="47"/>
      <c r="R3174" s="47"/>
      <c r="S3174" s="47"/>
      <c r="T3174" s="47" t="s">
        <v>4767</v>
      </c>
      <c r="U3174" s="47" t="s">
        <v>10291</v>
      </c>
      <c r="V3174" s="47" t="s">
        <v>7652</v>
      </c>
      <c r="W3174" s="47"/>
      <c r="X3174" s="47"/>
      <c r="Y3174" s="47"/>
      <c r="Z3174" s="47">
        <v>4620</v>
      </c>
      <c r="AA3174" s="47">
        <v>1400</v>
      </c>
      <c r="AB3174" s="47"/>
      <c r="AC3174" s="47"/>
      <c r="AD3174" s="47"/>
      <c r="AE3174" s="47"/>
      <c r="AF3174" s="47">
        <v>1650.0000000000002</v>
      </c>
      <c r="AG3174" s="47"/>
      <c r="AH3174" s="47" t="str">
        <f>IFERROR(_xlfn.XLOOKUP(Table6[[#This Row],[Suburb]],Table5[Travel Surcharge],Table5[$$]),"")</f>
        <v/>
      </c>
      <c r="AI3174" s="47"/>
      <c r="AJ3174" s="47"/>
    </row>
    <row r="3175" spans="1:36">
      <c r="A3175" s="374" t="s">
        <v>4761</v>
      </c>
      <c r="B3175" s="374">
        <v>2</v>
      </c>
      <c r="C3175" s="374" t="s">
        <v>1042</v>
      </c>
      <c r="D3175" s="375" t="str">
        <f t="shared" ref="D3175:D3195" si="670">CONCATENATE(A3175,B3175)</f>
        <v>One Bells Estate2</v>
      </c>
      <c r="E3175" s="375" t="s">
        <v>4762</v>
      </c>
      <c r="F3175" s="375" t="s">
        <v>4755</v>
      </c>
      <c r="G3175" s="375" t="s">
        <v>4763</v>
      </c>
      <c r="H3175" s="375" t="s">
        <v>4764</v>
      </c>
      <c r="I3175" s="63" t="s">
        <v>4765</v>
      </c>
      <c r="J3175" s="47">
        <f t="shared" ref="J3175:J3195" si="671">J$7</f>
        <v>3740</v>
      </c>
      <c r="K3175" s="46" t="s">
        <v>10735</v>
      </c>
      <c r="L3175" s="47">
        <f t="shared" ref="L3175:L3188" si="672">L$7</f>
        <v>1210</v>
      </c>
      <c r="M3175" s="47"/>
      <c r="N3175" s="47"/>
      <c r="O3175" s="47" t="s">
        <v>4766</v>
      </c>
      <c r="P3175" s="47" t="s">
        <v>2237</v>
      </c>
      <c r="Q3175" s="47"/>
      <c r="R3175" s="47"/>
      <c r="S3175" s="47"/>
      <c r="T3175" s="47" t="s">
        <v>4767</v>
      </c>
      <c r="U3175" s="47" t="s">
        <v>10291</v>
      </c>
      <c r="V3175" s="47" t="s">
        <v>7652</v>
      </c>
      <c r="W3175" s="47"/>
      <c r="X3175" s="47"/>
      <c r="Y3175" s="47"/>
      <c r="Z3175" s="47">
        <f t="shared" ref="Z3175:AA3195" si="673">Z$7</f>
        <v>4620</v>
      </c>
      <c r="AA3175" s="47">
        <f t="shared" si="673"/>
        <v>1400</v>
      </c>
      <c r="AB3175" s="47"/>
      <c r="AC3175" s="47"/>
      <c r="AD3175" s="47"/>
      <c r="AE3175" s="47"/>
      <c r="AF3175" s="47">
        <f t="shared" ref="AF3175:AF3188" si="674">AF$7</f>
        <v>1485</v>
      </c>
      <c r="AG3175" s="47"/>
      <c r="AH3175" s="47" t="str">
        <f>IFERROR(_xlfn.XLOOKUP(Table6[[#This Row],[Suburb]],Table5[Travel Surcharge],Table5[$$]),"")</f>
        <v/>
      </c>
      <c r="AI3175" s="47"/>
      <c r="AJ3175" s="47"/>
    </row>
    <row r="3176" spans="1:36">
      <c r="A3176" s="374" t="s">
        <v>4761</v>
      </c>
      <c r="B3176" s="374">
        <v>3</v>
      </c>
      <c r="C3176" s="374" t="s">
        <v>1042</v>
      </c>
      <c r="D3176" s="375" t="str">
        <f t="shared" si="670"/>
        <v>One Bells Estate3</v>
      </c>
      <c r="E3176" s="375" t="s">
        <v>4769</v>
      </c>
      <c r="F3176" s="375" t="s">
        <v>4755</v>
      </c>
      <c r="G3176" s="375" t="s">
        <v>4763</v>
      </c>
      <c r="H3176" s="375" t="s">
        <v>4764</v>
      </c>
      <c r="I3176" s="63" t="s">
        <v>4765</v>
      </c>
      <c r="J3176" s="47">
        <f t="shared" si="671"/>
        <v>3740</v>
      </c>
      <c r="K3176" s="46" t="s">
        <v>10735</v>
      </c>
      <c r="L3176" s="47">
        <f t="shared" si="672"/>
        <v>1210</v>
      </c>
      <c r="M3176" s="47"/>
      <c r="N3176" s="47"/>
      <c r="O3176" s="47" t="s">
        <v>4766</v>
      </c>
      <c r="P3176" s="47" t="s">
        <v>2237</v>
      </c>
      <c r="Q3176" s="47"/>
      <c r="R3176" s="47"/>
      <c r="S3176" s="47"/>
      <c r="T3176" s="47" t="s">
        <v>4767</v>
      </c>
      <c r="U3176" s="47" t="s">
        <v>10291</v>
      </c>
      <c r="V3176" s="47" t="s">
        <v>4768</v>
      </c>
      <c r="W3176" s="47"/>
      <c r="X3176" s="47"/>
      <c r="Y3176" s="47"/>
      <c r="Z3176" s="47">
        <f t="shared" si="673"/>
        <v>4620</v>
      </c>
      <c r="AA3176" s="47">
        <f t="shared" si="673"/>
        <v>1400</v>
      </c>
      <c r="AB3176" s="47"/>
      <c r="AC3176" s="47"/>
      <c r="AD3176" s="47"/>
      <c r="AE3176" s="47"/>
      <c r="AF3176" s="47">
        <f t="shared" si="674"/>
        <v>1485</v>
      </c>
      <c r="AG3176" s="47"/>
      <c r="AH3176" s="47" t="str">
        <f>IFERROR(_xlfn.XLOOKUP(Table6[[#This Row],[Suburb]],Table5[Travel Surcharge],Table5[$$]),"")</f>
        <v/>
      </c>
      <c r="AI3176" s="47"/>
      <c r="AJ3176" s="47"/>
    </row>
    <row r="3177" spans="1:36">
      <c r="A3177" s="157" t="s">
        <v>4761</v>
      </c>
      <c r="B3177" s="157">
        <v>4</v>
      </c>
      <c r="C3177" s="157" t="s">
        <v>1042</v>
      </c>
      <c r="D3177" s="157" t="str">
        <f t="shared" si="670"/>
        <v>One Bells Estate4</v>
      </c>
      <c r="E3177" s="157" t="s">
        <v>7780</v>
      </c>
      <c r="F3177" s="157" t="s">
        <v>4755</v>
      </c>
      <c r="G3177" s="157" t="s">
        <v>4763</v>
      </c>
      <c r="H3177" s="157" t="s">
        <v>4764</v>
      </c>
      <c r="I3177" s="158" t="s">
        <v>4765</v>
      </c>
      <c r="J3177" s="47">
        <f t="shared" si="671"/>
        <v>3740</v>
      </c>
      <c r="K3177" s="46" t="s">
        <v>10735</v>
      </c>
      <c r="L3177" s="47">
        <f t="shared" si="672"/>
        <v>1210</v>
      </c>
      <c r="M3177" s="47"/>
      <c r="N3177" s="47"/>
      <c r="O3177" s="47" t="s">
        <v>4766</v>
      </c>
      <c r="P3177" s="47" t="s">
        <v>2237</v>
      </c>
      <c r="Q3177" s="47"/>
      <c r="R3177" s="47"/>
      <c r="S3177" s="47"/>
      <c r="T3177" s="47" t="s">
        <v>4767</v>
      </c>
      <c r="U3177" s="47" t="s">
        <v>10291</v>
      </c>
      <c r="V3177" s="47" t="s">
        <v>4768</v>
      </c>
      <c r="W3177" s="47"/>
      <c r="X3177" s="47"/>
      <c r="Y3177" s="47"/>
      <c r="Z3177" s="47">
        <f t="shared" si="673"/>
        <v>4620</v>
      </c>
      <c r="AA3177" s="47">
        <f t="shared" si="673"/>
        <v>1400</v>
      </c>
      <c r="AB3177" s="47"/>
      <c r="AC3177" s="47"/>
      <c r="AD3177" s="47"/>
      <c r="AE3177" s="47"/>
      <c r="AF3177" s="47">
        <f t="shared" si="674"/>
        <v>1485</v>
      </c>
      <c r="AG3177" s="47"/>
      <c r="AH3177" s="47" t="str">
        <f>IFERROR(_xlfn.XLOOKUP(Table6[[#This Row],[Suburb]],Table5[Travel Surcharge],Table5[$$]),"")</f>
        <v/>
      </c>
      <c r="AI3177" s="47"/>
      <c r="AJ3177" s="47"/>
    </row>
    <row r="3178" spans="1:36">
      <c r="A3178" s="374" t="s">
        <v>4761</v>
      </c>
      <c r="B3178" s="374">
        <v>5</v>
      </c>
      <c r="C3178" s="374" t="s">
        <v>1042</v>
      </c>
      <c r="D3178" s="375" t="str">
        <f t="shared" si="670"/>
        <v>One Bells Estate5</v>
      </c>
      <c r="E3178" s="375" t="s">
        <v>7387</v>
      </c>
      <c r="F3178" s="375" t="s">
        <v>4755</v>
      </c>
      <c r="G3178" s="375" t="s">
        <v>4763</v>
      </c>
      <c r="H3178" s="375" t="s">
        <v>4764</v>
      </c>
      <c r="I3178" s="63" t="s">
        <v>4765</v>
      </c>
      <c r="J3178" s="47">
        <f t="shared" si="671"/>
        <v>3740</v>
      </c>
      <c r="K3178" s="46" t="s">
        <v>10735</v>
      </c>
      <c r="L3178" s="47">
        <f t="shared" si="672"/>
        <v>1210</v>
      </c>
      <c r="M3178" s="47"/>
      <c r="N3178" s="47"/>
      <c r="O3178" s="47" t="s">
        <v>4766</v>
      </c>
      <c r="P3178" s="47" t="s">
        <v>2237</v>
      </c>
      <c r="Q3178" s="47"/>
      <c r="R3178" s="47"/>
      <c r="S3178" s="47"/>
      <c r="T3178" s="47" t="s">
        <v>4767</v>
      </c>
      <c r="U3178" s="47" t="s">
        <v>10291</v>
      </c>
      <c r="V3178" s="47" t="s">
        <v>4768</v>
      </c>
      <c r="W3178" s="47" t="s">
        <v>4771</v>
      </c>
      <c r="X3178" s="47"/>
      <c r="Y3178" s="47"/>
      <c r="Z3178" s="47">
        <f t="shared" si="673"/>
        <v>4620</v>
      </c>
      <c r="AA3178" s="47">
        <f t="shared" si="673"/>
        <v>1400</v>
      </c>
      <c r="AB3178" s="47"/>
      <c r="AC3178" s="47"/>
      <c r="AD3178" s="47"/>
      <c r="AE3178" s="47"/>
      <c r="AF3178" s="47">
        <f t="shared" si="674"/>
        <v>1485</v>
      </c>
      <c r="AG3178" s="47"/>
      <c r="AH3178" s="47" t="str">
        <f>IFERROR(_xlfn.XLOOKUP(Table6[[#This Row],[Suburb]],Table5[Travel Surcharge],Table5[$$]),"")</f>
        <v/>
      </c>
      <c r="AI3178" s="47"/>
      <c r="AJ3178" s="47"/>
    </row>
    <row r="3179" spans="1:36">
      <c r="A3179" s="374" t="s">
        <v>4761</v>
      </c>
      <c r="B3179" s="374">
        <v>7</v>
      </c>
      <c r="C3179" s="374" t="s">
        <v>1042</v>
      </c>
      <c r="D3179" s="375" t="str">
        <f t="shared" si="670"/>
        <v>One Bells Estate7</v>
      </c>
      <c r="E3179" s="375" t="s">
        <v>7388</v>
      </c>
      <c r="F3179" s="375" t="s">
        <v>4755</v>
      </c>
      <c r="G3179" s="375" t="s">
        <v>4763</v>
      </c>
      <c r="H3179" s="375" t="s">
        <v>4764</v>
      </c>
      <c r="I3179" s="63" t="s">
        <v>4765</v>
      </c>
      <c r="J3179" s="47">
        <f t="shared" si="671"/>
        <v>3740</v>
      </c>
      <c r="K3179" s="46" t="s">
        <v>10735</v>
      </c>
      <c r="L3179" s="47">
        <f t="shared" si="672"/>
        <v>1210</v>
      </c>
      <c r="M3179" s="47"/>
      <c r="N3179" s="47"/>
      <c r="O3179" s="47" t="s">
        <v>4766</v>
      </c>
      <c r="P3179" s="47" t="s">
        <v>2237</v>
      </c>
      <c r="Q3179" s="47"/>
      <c r="R3179" s="47"/>
      <c r="S3179" s="47"/>
      <c r="T3179" s="47" t="s">
        <v>4767</v>
      </c>
      <c r="U3179" s="47" t="s">
        <v>10291</v>
      </c>
      <c r="V3179" s="47" t="s">
        <v>4768</v>
      </c>
      <c r="W3179" s="47" t="s">
        <v>4771</v>
      </c>
      <c r="X3179" s="47"/>
      <c r="Y3179" s="47"/>
      <c r="Z3179" s="47">
        <f t="shared" si="673"/>
        <v>4620</v>
      </c>
      <c r="AA3179" s="47">
        <f t="shared" si="673"/>
        <v>1400</v>
      </c>
      <c r="AB3179" s="47"/>
      <c r="AC3179" s="47"/>
      <c r="AD3179" s="47"/>
      <c r="AE3179" s="47"/>
      <c r="AF3179" s="47">
        <f t="shared" si="674"/>
        <v>1485</v>
      </c>
      <c r="AG3179" s="47"/>
      <c r="AH3179" s="47" t="str">
        <f>IFERROR(_xlfn.XLOOKUP(Table6[[#This Row],[Suburb]],Table5[Travel Surcharge],Table5[$$]),"")</f>
        <v/>
      </c>
      <c r="AI3179" s="47"/>
      <c r="AJ3179" s="47"/>
    </row>
    <row r="3180" spans="1:36">
      <c r="A3180" s="157" t="s">
        <v>4761</v>
      </c>
      <c r="B3180" s="157">
        <v>8</v>
      </c>
      <c r="C3180" s="157" t="s">
        <v>1042</v>
      </c>
      <c r="D3180" s="157" t="str">
        <f t="shared" si="670"/>
        <v>One Bells Estate8</v>
      </c>
      <c r="E3180" s="157" t="s">
        <v>7466</v>
      </c>
      <c r="F3180" s="157" t="s">
        <v>4755</v>
      </c>
      <c r="G3180" s="157" t="s">
        <v>4763</v>
      </c>
      <c r="H3180" s="157" t="s">
        <v>4764</v>
      </c>
      <c r="I3180" s="158" t="s">
        <v>4765</v>
      </c>
      <c r="J3180" s="47">
        <f t="shared" si="671"/>
        <v>3740</v>
      </c>
      <c r="K3180" s="46" t="s">
        <v>10735</v>
      </c>
      <c r="L3180" s="47">
        <f t="shared" si="672"/>
        <v>1210</v>
      </c>
      <c r="M3180" s="47"/>
      <c r="N3180" s="47"/>
      <c r="O3180" s="47" t="s">
        <v>4766</v>
      </c>
      <c r="P3180" s="47" t="s">
        <v>2237</v>
      </c>
      <c r="Q3180" s="47"/>
      <c r="R3180" s="47"/>
      <c r="S3180" s="47"/>
      <c r="T3180" s="47" t="s">
        <v>4767</v>
      </c>
      <c r="U3180" s="47" t="s">
        <v>10291</v>
      </c>
      <c r="V3180" s="47" t="s">
        <v>4768</v>
      </c>
      <c r="W3180" s="47" t="s">
        <v>4771</v>
      </c>
      <c r="X3180" s="47"/>
      <c r="Y3180" s="47"/>
      <c r="Z3180" s="47">
        <f t="shared" si="673"/>
        <v>4620</v>
      </c>
      <c r="AA3180" s="47">
        <f t="shared" si="673"/>
        <v>1400</v>
      </c>
      <c r="AB3180" s="47"/>
      <c r="AC3180" s="47"/>
      <c r="AD3180" s="47"/>
      <c r="AE3180" s="47"/>
      <c r="AF3180" s="47">
        <f t="shared" si="674"/>
        <v>1485</v>
      </c>
      <c r="AG3180" s="47"/>
      <c r="AH3180" s="47" t="str">
        <f>IFERROR(_xlfn.XLOOKUP(Table6[[#This Row],[Suburb]],Table5[Travel Surcharge],Table5[$$]),"")</f>
        <v/>
      </c>
      <c r="AI3180" s="47"/>
      <c r="AJ3180" s="47"/>
    </row>
    <row r="3181" spans="1:36">
      <c r="A3181" s="157" t="s">
        <v>4761</v>
      </c>
      <c r="B3181" s="157">
        <v>9</v>
      </c>
      <c r="C3181" s="157" t="s">
        <v>1042</v>
      </c>
      <c r="D3181" s="157" t="str">
        <f t="shared" si="670"/>
        <v>One Bells Estate9</v>
      </c>
      <c r="E3181" s="157" t="s">
        <v>9284</v>
      </c>
      <c r="F3181" s="157" t="s">
        <v>4755</v>
      </c>
      <c r="G3181" s="157" t="s">
        <v>4763</v>
      </c>
      <c r="H3181" s="157" t="s">
        <v>4764</v>
      </c>
      <c r="I3181" s="158" t="s">
        <v>4765</v>
      </c>
      <c r="J3181" s="47">
        <f t="shared" si="671"/>
        <v>3740</v>
      </c>
      <c r="K3181" s="46" t="s">
        <v>10735</v>
      </c>
      <c r="L3181" s="47">
        <f t="shared" si="672"/>
        <v>1210</v>
      </c>
      <c r="M3181" s="47"/>
      <c r="N3181" s="47"/>
      <c r="O3181" s="47" t="s">
        <v>4766</v>
      </c>
      <c r="P3181" s="47" t="s">
        <v>2237</v>
      </c>
      <c r="Q3181" s="47"/>
      <c r="R3181" s="47"/>
      <c r="S3181" s="47"/>
      <c r="T3181" s="47" t="s">
        <v>4767</v>
      </c>
      <c r="U3181" s="47" t="s">
        <v>10291</v>
      </c>
      <c r="V3181" s="47" t="s">
        <v>4768</v>
      </c>
      <c r="W3181" s="47" t="s">
        <v>4771</v>
      </c>
      <c r="X3181" s="47"/>
      <c r="Y3181" s="47"/>
      <c r="Z3181" s="47">
        <f t="shared" si="673"/>
        <v>4620</v>
      </c>
      <c r="AA3181" s="47">
        <f t="shared" si="673"/>
        <v>1400</v>
      </c>
      <c r="AB3181" s="47"/>
      <c r="AC3181" s="47"/>
      <c r="AD3181" s="47"/>
      <c r="AE3181" s="47"/>
      <c r="AF3181" s="47">
        <f t="shared" si="674"/>
        <v>1485</v>
      </c>
      <c r="AG3181" s="47"/>
      <c r="AH3181" s="47" t="str">
        <f>IFERROR(_xlfn.XLOOKUP(Table6[[#This Row],[Suburb]],Table5[Travel Surcharge],Table5[$$]),"")</f>
        <v/>
      </c>
      <c r="AI3181" s="47"/>
      <c r="AJ3181" s="47"/>
    </row>
    <row r="3182" spans="1:36">
      <c r="A3182" s="374" t="s">
        <v>4761</v>
      </c>
      <c r="B3182" s="374">
        <v>11</v>
      </c>
      <c r="C3182" s="374" t="s">
        <v>1042</v>
      </c>
      <c r="D3182" s="375" t="str">
        <f t="shared" si="670"/>
        <v>One Bells Estate11</v>
      </c>
      <c r="E3182" s="375" t="s">
        <v>4770</v>
      </c>
      <c r="F3182" s="375" t="s">
        <v>4755</v>
      </c>
      <c r="G3182" s="375" t="s">
        <v>4763</v>
      </c>
      <c r="H3182" s="375" t="s">
        <v>4764</v>
      </c>
      <c r="I3182" s="63" t="s">
        <v>4765</v>
      </c>
      <c r="J3182" s="47">
        <f t="shared" si="671"/>
        <v>3740</v>
      </c>
      <c r="K3182" s="46" t="s">
        <v>10735</v>
      </c>
      <c r="L3182" s="47">
        <f t="shared" si="672"/>
        <v>1210</v>
      </c>
      <c r="M3182" s="47"/>
      <c r="N3182" s="47"/>
      <c r="O3182" s="47" t="s">
        <v>4766</v>
      </c>
      <c r="P3182" s="47" t="s">
        <v>2237</v>
      </c>
      <c r="Q3182" s="47"/>
      <c r="R3182" s="47"/>
      <c r="S3182" s="47"/>
      <c r="T3182" s="47" t="s">
        <v>4767</v>
      </c>
      <c r="U3182" s="47" t="s">
        <v>10291</v>
      </c>
      <c r="V3182" s="47" t="s">
        <v>4768</v>
      </c>
      <c r="W3182" s="47" t="s">
        <v>4771</v>
      </c>
      <c r="X3182" s="47"/>
      <c r="Y3182" s="47"/>
      <c r="Z3182" s="47">
        <f t="shared" si="673"/>
        <v>4620</v>
      </c>
      <c r="AA3182" s="47">
        <f t="shared" si="673"/>
        <v>1400</v>
      </c>
      <c r="AB3182" s="47"/>
      <c r="AC3182" s="47"/>
      <c r="AD3182" s="47"/>
      <c r="AE3182" s="47"/>
      <c r="AF3182" s="47">
        <f t="shared" si="674"/>
        <v>1485</v>
      </c>
      <c r="AG3182" s="47"/>
      <c r="AH3182" s="47" t="str">
        <f>IFERROR(_xlfn.XLOOKUP(Table6[[#This Row],[Suburb]],Table5[Travel Surcharge],Table5[$$]),"")</f>
        <v/>
      </c>
      <c r="AI3182" s="47"/>
      <c r="AJ3182" s="47"/>
    </row>
    <row r="3183" spans="1:36">
      <c r="A3183" s="374" t="s">
        <v>4761</v>
      </c>
      <c r="B3183" s="374">
        <v>12</v>
      </c>
      <c r="C3183" s="374" t="s">
        <v>1042</v>
      </c>
      <c r="D3183" s="375" t="str">
        <f t="shared" si="670"/>
        <v>One Bells Estate12</v>
      </c>
      <c r="E3183" s="375" t="s">
        <v>4772</v>
      </c>
      <c r="F3183" s="375" t="s">
        <v>4755</v>
      </c>
      <c r="G3183" s="375" t="s">
        <v>4763</v>
      </c>
      <c r="H3183" s="375" t="s">
        <v>4764</v>
      </c>
      <c r="I3183" s="63" t="s">
        <v>4765</v>
      </c>
      <c r="J3183" s="47">
        <f t="shared" si="671"/>
        <v>3740</v>
      </c>
      <c r="K3183" s="46" t="s">
        <v>10735</v>
      </c>
      <c r="L3183" s="47">
        <f t="shared" si="672"/>
        <v>1210</v>
      </c>
      <c r="M3183" s="47"/>
      <c r="N3183" s="47"/>
      <c r="O3183" s="47" t="s">
        <v>4766</v>
      </c>
      <c r="P3183" s="47" t="s">
        <v>2237</v>
      </c>
      <c r="Q3183" s="47"/>
      <c r="R3183" s="47"/>
      <c r="S3183" s="47"/>
      <c r="T3183" s="47" t="s">
        <v>4767</v>
      </c>
      <c r="U3183" s="47" t="s">
        <v>10291</v>
      </c>
      <c r="V3183" s="47" t="s">
        <v>4768</v>
      </c>
      <c r="W3183" s="47" t="s">
        <v>4771</v>
      </c>
      <c r="X3183" s="47"/>
      <c r="Y3183" s="47"/>
      <c r="Z3183" s="47">
        <f t="shared" si="673"/>
        <v>4620</v>
      </c>
      <c r="AA3183" s="47">
        <f t="shared" si="673"/>
        <v>1400</v>
      </c>
      <c r="AB3183" s="47"/>
      <c r="AC3183" s="47"/>
      <c r="AD3183" s="47"/>
      <c r="AE3183" s="47"/>
      <c r="AF3183" s="47">
        <f t="shared" si="674"/>
        <v>1485</v>
      </c>
      <c r="AG3183" s="47"/>
      <c r="AH3183" s="47" t="str">
        <f>IFERROR(_xlfn.XLOOKUP(Table6[[#This Row],[Suburb]],Table5[Travel Surcharge],Table5[$$]),"")</f>
        <v/>
      </c>
      <c r="AI3183" s="47"/>
      <c r="AJ3183" s="47"/>
    </row>
    <row r="3184" spans="1:36">
      <c r="A3184" s="374" t="s">
        <v>4761</v>
      </c>
      <c r="B3184" s="374">
        <v>13</v>
      </c>
      <c r="C3184" s="374" t="s">
        <v>1042</v>
      </c>
      <c r="D3184" s="375" t="str">
        <f t="shared" si="670"/>
        <v>One Bells Estate13</v>
      </c>
      <c r="E3184" s="375" t="s">
        <v>4773</v>
      </c>
      <c r="F3184" s="375" t="s">
        <v>4755</v>
      </c>
      <c r="G3184" s="375" t="s">
        <v>4763</v>
      </c>
      <c r="H3184" s="375" t="s">
        <v>4764</v>
      </c>
      <c r="I3184" s="63" t="s">
        <v>4765</v>
      </c>
      <c r="J3184" s="47">
        <f t="shared" si="671"/>
        <v>3740</v>
      </c>
      <c r="K3184" s="46" t="s">
        <v>10735</v>
      </c>
      <c r="L3184" s="47">
        <f t="shared" si="672"/>
        <v>1210</v>
      </c>
      <c r="M3184" s="47"/>
      <c r="N3184" s="47"/>
      <c r="O3184" s="47" t="s">
        <v>4766</v>
      </c>
      <c r="P3184" s="47" t="s">
        <v>2237</v>
      </c>
      <c r="Q3184" s="47"/>
      <c r="R3184" s="47"/>
      <c r="S3184" s="47"/>
      <c r="T3184" s="47" t="s">
        <v>4767</v>
      </c>
      <c r="U3184" s="47" t="s">
        <v>10291</v>
      </c>
      <c r="V3184" s="47" t="s">
        <v>4768</v>
      </c>
      <c r="W3184" s="47"/>
      <c r="X3184" s="47"/>
      <c r="Y3184" s="47"/>
      <c r="Z3184" s="47">
        <f t="shared" si="673"/>
        <v>4620</v>
      </c>
      <c r="AA3184" s="47">
        <f t="shared" si="673"/>
        <v>1400</v>
      </c>
      <c r="AB3184" s="47"/>
      <c r="AC3184" s="47"/>
      <c r="AD3184" s="47"/>
      <c r="AE3184" s="47"/>
      <c r="AF3184" s="47">
        <f t="shared" si="674"/>
        <v>1485</v>
      </c>
      <c r="AG3184" s="47"/>
      <c r="AH3184" s="47" t="str">
        <f>IFERROR(_xlfn.XLOOKUP(Table6[[#This Row],[Suburb]],Table5[Travel Surcharge],Table5[$$]),"")</f>
        <v/>
      </c>
      <c r="AI3184" s="47"/>
      <c r="AJ3184" s="47"/>
    </row>
    <row r="3185" spans="1:36">
      <c r="A3185" s="157" t="s">
        <v>4761</v>
      </c>
      <c r="B3185" s="157">
        <v>14</v>
      </c>
      <c r="C3185" s="157" t="s">
        <v>7429</v>
      </c>
      <c r="D3185" s="157" t="str">
        <f t="shared" si="670"/>
        <v>One Bells Estate14</v>
      </c>
      <c r="E3185" s="157" t="s">
        <v>8529</v>
      </c>
      <c r="F3185" s="157" t="s">
        <v>4755</v>
      </c>
      <c r="G3185" s="157" t="s">
        <v>4763</v>
      </c>
      <c r="H3185" s="157" t="s">
        <v>8527</v>
      </c>
      <c r="I3185" s="158" t="s">
        <v>4765</v>
      </c>
      <c r="J3185" s="47">
        <f t="shared" si="671"/>
        <v>3740</v>
      </c>
      <c r="K3185" s="46" t="s">
        <v>10735</v>
      </c>
      <c r="L3185" s="47">
        <f t="shared" si="672"/>
        <v>1210</v>
      </c>
      <c r="M3185" s="47"/>
      <c r="N3185" s="47"/>
      <c r="O3185" s="47" t="s">
        <v>4766</v>
      </c>
      <c r="P3185" s="47" t="s">
        <v>8528</v>
      </c>
      <c r="Q3185" s="47"/>
      <c r="R3185" s="47"/>
      <c r="S3185" s="47"/>
      <c r="T3185" s="47" t="s">
        <v>4767</v>
      </c>
      <c r="U3185" s="47" t="s">
        <v>10291</v>
      </c>
      <c r="V3185" s="47" t="s">
        <v>4768</v>
      </c>
      <c r="W3185" s="47"/>
      <c r="X3185" s="47"/>
      <c r="Y3185" s="47"/>
      <c r="Z3185" s="47">
        <f t="shared" si="673"/>
        <v>4620</v>
      </c>
      <c r="AA3185" s="47">
        <f t="shared" si="673"/>
        <v>1400</v>
      </c>
      <c r="AB3185" s="47"/>
      <c r="AC3185" s="47"/>
      <c r="AD3185" s="47"/>
      <c r="AE3185" s="47"/>
      <c r="AF3185" s="47">
        <f t="shared" si="674"/>
        <v>1485</v>
      </c>
      <c r="AG3185" s="47"/>
      <c r="AH3185" s="47" t="str">
        <f>IFERROR(_xlfn.XLOOKUP(Table6[[#This Row],[Suburb]],Table5[Travel Surcharge],Table5[$$]),"")</f>
        <v/>
      </c>
      <c r="AI3185" s="47"/>
      <c r="AJ3185" s="47"/>
    </row>
    <row r="3186" spans="1:36">
      <c r="A3186" s="374" t="s">
        <v>4761</v>
      </c>
      <c r="B3186" s="374">
        <v>15</v>
      </c>
      <c r="C3186" s="374" t="s">
        <v>1042</v>
      </c>
      <c r="D3186" s="375" t="str">
        <f t="shared" si="670"/>
        <v>One Bells Estate15</v>
      </c>
      <c r="E3186" s="375" t="s">
        <v>4774</v>
      </c>
      <c r="F3186" s="375" t="s">
        <v>4755</v>
      </c>
      <c r="G3186" s="375" t="s">
        <v>4763</v>
      </c>
      <c r="H3186" s="375" t="s">
        <v>4764</v>
      </c>
      <c r="I3186" s="63" t="s">
        <v>4765</v>
      </c>
      <c r="J3186" s="47">
        <f t="shared" si="671"/>
        <v>3740</v>
      </c>
      <c r="K3186" s="46" t="s">
        <v>10735</v>
      </c>
      <c r="L3186" s="47">
        <f t="shared" si="672"/>
        <v>1210</v>
      </c>
      <c r="M3186" s="47"/>
      <c r="N3186" s="47"/>
      <c r="O3186" s="47" t="s">
        <v>4766</v>
      </c>
      <c r="P3186" s="47" t="s">
        <v>2237</v>
      </c>
      <c r="Q3186" s="47"/>
      <c r="R3186" s="47"/>
      <c r="S3186" s="47"/>
      <c r="T3186" s="47" t="s">
        <v>4767</v>
      </c>
      <c r="U3186" s="47" t="s">
        <v>10291</v>
      </c>
      <c r="V3186" s="47" t="s">
        <v>4768</v>
      </c>
      <c r="W3186" s="47" t="s">
        <v>4771</v>
      </c>
      <c r="X3186" s="47"/>
      <c r="Y3186" s="47"/>
      <c r="Z3186" s="47">
        <f t="shared" si="673"/>
        <v>4620</v>
      </c>
      <c r="AA3186" s="47">
        <f t="shared" si="673"/>
        <v>1400</v>
      </c>
      <c r="AB3186" s="47"/>
      <c r="AC3186" s="47"/>
      <c r="AD3186" s="47"/>
      <c r="AE3186" s="47"/>
      <c r="AF3186" s="47">
        <f t="shared" si="674"/>
        <v>1485</v>
      </c>
      <c r="AG3186" s="47"/>
      <c r="AH3186" s="47" t="str">
        <f>IFERROR(_xlfn.XLOOKUP(Table6[[#This Row],[Suburb]],Table5[Travel Surcharge],Table5[$$]),"")</f>
        <v/>
      </c>
      <c r="AI3186" s="47"/>
      <c r="AJ3186" s="47"/>
    </row>
    <row r="3187" spans="1:36">
      <c r="A3187" s="374" t="s">
        <v>4775</v>
      </c>
      <c r="B3187" s="374">
        <v>1</v>
      </c>
      <c r="C3187" s="374" t="s">
        <v>385</v>
      </c>
      <c r="D3187" s="375" t="str">
        <f t="shared" si="670"/>
        <v>One Village Estate1</v>
      </c>
      <c r="E3187" s="375" t="s">
        <v>4776</v>
      </c>
      <c r="F3187" s="375" t="s">
        <v>4755</v>
      </c>
      <c r="G3187" s="375" t="s">
        <v>4756</v>
      </c>
      <c r="H3187" s="375" t="s">
        <v>4757</v>
      </c>
      <c r="I3187" s="63"/>
      <c r="J3187" s="47">
        <f t="shared" si="671"/>
        <v>3740</v>
      </c>
      <c r="K3187" s="46" t="s">
        <v>7938</v>
      </c>
      <c r="L3187" s="47">
        <f t="shared" si="672"/>
        <v>1210</v>
      </c>
      <c r="M3187" s="47"/>
      <c r="N3187" s="47"/>
      <c r="O3187" s="47"/>
      <c r="P3187" s="47"/>
      <c r="Q3187" s="47"/>
      <c r="R3187" s="47">
        <f>R$2</f>
        <v>540</v>
      </c>
      <c r="S3187" s="47"/>
      <c r="T3187" s="47"/>
      <c r="U3187" s="47"/>
      <c r="V3187" s="47"/>
      <c r="W3187" s="47"/>
      <c r="X3187" s="47"/>
      <c r="Y3187" s="47"/>
      <c r="Z3187" s="47">
        <f t="shared" si="673"/>
        <v>4620</v>
      </c>
      <c r="AA3187" s="47">
        <f t="shared" si="673"/>
        <v>1400</v>
      </c>
      <c r="AB3187" s="47"/>
      <c r="AC3187" s="47"/>
      <c r="AD3187" s="47" t="s">
        <v>1</v>
      </c>
      <c r="AE3187" s="47"/>
      <c r="AF3187" s="47">
        <f t="shared" si="674"/>
        <v>1485</v>
      </c>
      <c r="AG3187" s="47"/>
      <c r="AH3187" s="47" t="str">
        <f>IFERROR(_xlfn.XLOOKUP(Table6[[#This Row],[Suburb]],Table5[Travel Surcharge],Table5[$$]),"")</f>
        <v/>
      </c>
      <c r="AI3187" s="47"/>
      <c r="AJ3187" s="47"/>
    </row>
    <row r="3188" spans="1:36">
      <c r="A3188" s="374" t="s">
        <v>4775</v>
      </c>
      <c r="B3188" s="374">
        <v>3</v>
      </c>
      <c r="C3188" s="374" t="s">
        <v>385</v>
      </c>
      <c r="D3188" s="375" t="str">
        <f t="shared" si="670"/>
        <v>One Village Estate3</v>
      </c>
      <c r="E3188" s="375" t="s">
        <v>4777</v>
      </c>
      <c r="F3188" s="375" t="s">
        <v>4755</v>
      </c>
      <c r="G3188" s="375" t="s">
        <v>4756</v>
      </c>
      <c r="H3188" s="375" t="s">
        <v>4757</v>
      </c>
      <c r="I3188" s="63"/>
      <c r="J3188" s="47">
        <f t="shared" si="671"/>
        <v>3740</v>
      </c>
      <c r="K3188" s="46" t="s">
        <v>7938</v>
      </c>
      <c r="L3188" s="47">
        <f t="shared" si="672"/>
        <v>1210</v>
      </c>
      <c r="M3188" s="47"/>
      <c r="N3188" s="47"/>
      <c r="O3188" s="47"/>
      <c r="P3188" s="47"/>
      <c r="Q3188" s="47"/>
      <c r="R3188" s="47">
        <f>R$2</f>
        <v>540</v>
      </c>
      <c r="S3188" s="47"/>
      <c r="T3188" s="47"/>
      <c r="U3188" s="47"/>
      <c r="V3188" s="47"/>
      <c r="W3188" s="47"/>
      <c r="X3188" s="47"/>
      <c r="Y3188" s="47"/>
      <c r="Z3188" s="47">
        <f t="shared" si="673"/>
        <v>4620</v>
      </c>
      <c r="AA3188" s="47">
        <f t="shared" si="673"/>
        <v>1400</v>
      </c>
      <c r="AB3188" s="47"/>
      <c r="AC3188" s="47"/>
      <c r="AD3188" s="47" t="s">
        <v>1</v>
      </c>
      <c r="AE3188" s="47"/>
      <c r="AF3188" s="47">
        <f t="shared" si="674"/>
        <v>1485</v>
      </c>
      <c r="AG3188" s="47"/>
      <c r="AH3188" s="47" t="str">
        <f>IFERROR(_xlfn.XLOOKUP(Table6[[#This Row],[Suburb]],Table5[Travel Surcharge],Table5[$$]),"")</f>
        <v/>
      </c>
      <c r="AI3188" s="47"/>
      <c r="AJ3188" s="47"/>
    </row>
    <row r="3189" spans="1:36">
      <c r="A3189" s="374" t="s">
        <v>4778</v>
      </c>
      <c r="B3189" s="374">
        <v>1</v>
      </c>
      <c r="C3189" s="374" t="s">
        <v>631</v>
      </c>
      <c r="D3189" s="375" t="str">
        <f t="shared" si="670"/>
        <v>Ooranya1</v>
      </c>
      <c r="E3189" s="375" t="s">
        <v>9063</v>
      </c>
      <c r="F3189" s="375" t="s">
        <v>2373</v>
      </c>
      <c r="G3189" s="375"/>
      <c r="H3189" s="375" t="s">
        <v>4780</v>
      </c>
      <c r="I3189" s="63" t="s">
        <v>4781</v>
      </c>
      <c r="J3189" s="47">
        <f t="shared" si="671"/>
        <v>3740</v>
      </c>
      <c r="K3189" s="46" t="s">
        <v>10735</v>
      </c>
      <c r="L3189" s="47" t="s">
        <v>4782</v>
      </c>
      <c r="M3189" s="47"/>
      <c r="N3189" s="47"/>
      <c r="O3189" s="47"/>
      <c r="P3189" s="47"/>
      <c r="Q3189" s="47"/>
      <c r="R3189" s="47"/>
      <c r="S3189" s="47"/>
      <c r="T3189" s="47"/>
      <c r="U3189" s="47">
        <f t="shared" ref="U3189:U3195" si="675">U$2</f>
        <v>430</v>
      </c>
      <c r="V3189" s="47"/>
      <c r="W3189" s="47"/>
      <c r="X3189" s="47"/>
      <c r="Y3189" s="47"/>
      <c r="Z3189" s="47">
        <f t="shared" si="673"/>
        <v>4620</v>
      </c>
      <c r="AA3189" s="47">
        <f t="shared" si="673"/>
        <v>1400</v>
      </c>
      <c r="AB3189" s="47"/>
      <c r="AC3189" s="47"/>
      <c r="AD3189" s="47"/>
      <c r="AE3189" s="47"/>
      <c r="AF3189" s="47"/>
      <c r="AG3189" s="47"/>
      <c r="AH3189" s="47" t="str">
        <f>IFERROR(_xlfn.XLOOKUP(Table6[[#This Row],[Suburb]],Table5[Travel Surcharge],Table5[$$]),"")</f>
        <v/>
      </c>
      <c r="AI3189" s="47"/>
      <c r="AJ3189" s="47"/>
    </row>
    <row r="3190" spans="1:36">
      <c r="A3190" s="374" t="s">
        <v>4778</v>
      </c>
      <c r="B3190" s="374">
        <v>3</v>
      </c>
      <c r="C3190" s="374" t="s">
        <v>631</v>
      </c>
      <c r="D3190" s="375" t="str">
        <f t="shared" si="670"/>
        <v>Ooranya3</v>
      </c>
      <c r="E3190" s="375" t="s">
        <v>4779</v>
      </c>
      <c r="F3190" s="375" t="s">
        <v>2373</v>
      </c>
      <c r="G3190" s="375"/>
      <c r="H3190" s="375" t="s">
        <v>4780</v>
      </c>
      <c r="I3190" s="63" t="s">
        <v>4781</v>
      </c>
      <c r="J3190" s="47">
        <f t="shared" si="671"/>
        <v>3740</v>
      </c>
      <c r="K3190" s="46" t="s">
        <v>10735</v>
      </c>
      <c r="L3190" s="47" t="s">
        <v>4782</v>
      </c>
      <c r="M3190" s="47"/>
      <c r="N3190" s="47"/>
      <c r="O3190" s="47"/>
      <c r="P3190" s="47"/>
      <c r="Q3190" s="47"/>
      <c r="R3190" s="47"/>
      <c r="S3190" s="47"/>
      <c r="T3190" s="47"/>
      <c r="U3190" s="47">
        <f t="shared" si="675"/>
        <v>430</v>
      </c>
      <c r="V3190" s="47"/>
      <c r="W3190" s="47"/>
      <c r="X3190" s="47"/>
      <c r="Y3190" s="47"/>
      <c r="Z3190" s="47">
        <f t="shared" si="673"/>
        <v>4620</v>
      </c>
      <c r="AA3190" s="47">
        <f t="shared" si="673"/>
        <v>1400</v>
      </c>
      <c r="AB3190" s="47"/>
      <c r="AC3190" s="47"/>
      <c r="AD3190" s="47"/>
      <c r="AE3190" s="47"/>
      <c r="AF3190" s="47"/>
      <c r="AG3190" s="47"/>
      <c r="AH3190" s="47" t="str">
        <f>IFERROR(_xlfn.XLOOKUP(Table6[[#This Row],[Suburb]],Table5[Travel Surcharge],Table5[$$]),"")</f>
        <v/>
      </c>
      <c r="AI3190" s="47"/>
      <c r="AJ3190" s="47"/>
    </row>
    <row r="3191" spans="1:36">
      <c r="A3191" s="374" t="s">
        <v>4778</v>
      </c>
      <c r="B3191" s="374">
        <v>4</v>
      </c>
      <c r="C3191" s="374" t="s">
        <v>631</v>
      </c>
      <c r="D3191" s="375" t="str">
        <f t="shared" si="670"/>
        <v>Ooranya4</v>
      </c>
      <c r="E3191" s="375" t="s">
        <v>4783</v>
      </c>
      <c r="F3191" s="375" t="s">
        <v>2373</v>
      </c>
      <c r="G3191" s="375"/>
      <c r="H3191" s="375" t="s">
        <v>4780</v>
      </c>
      <c r="I3191" s="63" t="s">
        <v>4781</v>
      </c>
      <c r="J3191" s="47">
        <f t="shared" si="671"/>
        <v>3740</v>
      </c>
      <c r="K3191" s="46" t="s">
        <v>10735</v>
      </c>
      <c r="L3191" s="47" t="s">
        <v>4782</v>
      </c>
      <c r="M3191" s="47"/>
      <c r="N3191" s="47"/>
      <c r="O3191" s="47"/>
      <c r="P3191" s="47"/>
      <c r="Q3191" s="47"/>
      <c r="R3191" s="47"/>
      <c r="S3191" s="47"/>
      <c r="T3191" s="47"/>
      <c r="U3191" s="47">
        <f t="shared" si="675"/>
        <v>430</v>
      </c>
      <c r="V3191" s="47"/>
      <c r="W3191" s="47"/>
      <c r="X3191" s="47"/>
      <c r="Y3191" s="47"/>
      <c r="Z3191" s="47">
        <f t="shared" si="673"/>
        <v>4620</v>
      </c>
      <c r="AA3191" s="47">
        <f t="shared" si="673"/>
        <v>1400</v>
      </c>
      <c r="AB3191" s="47"/>
      <c r="AC3191" s="47"/>
      <c r="AD3191" s="47"/>
      <c r="AE3191" s="47"/>
      <c r="AF3191" s="47"/>
      <c r="AG3191" s="47"/>
      <c r="AH3191" s="47" t="str">
        <f>IFERROR(_xlfn.XLOOKUP(Table6[[#This Row],[Suburb]],Table5[Travel Surcharge],Table5[$$]),"")</f>
        <v/>
      </c>
      <c r="AI3191" s="47"/>
      <c r="AJ3191" s="47"/>
    </row>
    <row r="3192" spans="1:36">
      <c r="A3192" s="374" t="s">
        <v>4778</v>
      </c>
      <c r="B3192" s="374">
        <v>7</v>
      </c>
      <c r="C3192" s="374" t="s">
        <v>631</v>
      </c>
      <c r="D3192" s="375" t="str">
        <f t="shared" si="670"/>
        <v>Ooranya7</v>
      </c>
      <c r="E3192" s="375" t="s">
        <v>4785</v>
      </c>
      <c r="F3192" s="375" t="s">
        <v>2373</v>
      </c>
      <c r="G3192" s="375"/>
      <c r="H3192" s="375" t="s">
        <v>4780</v>
      </c>
      <c r="I3192" s="63" t="s">
        <v>4781</v>
      </c>
      <c r="J3192" s="47">
        <f t="shared" si="671"/>
        <v>3740</v>
      </c>
      <c r="K3192" s="46" t="s">
        <v>10735</v>
      </c>
      <c r="L3192" s="47" t="s">
        <v>4782</v>
      </c>
      <c r="M3192" s="47"/>
      <c r="N3192" s="47"/>
      <c r="O3192" s="47"/>
      <c r="P3192" s="47"/>
      <c r="Q3192" s="47"/>
      <c r="R3192" s="47"/>
      <c r="S3192" s="47"/>
      <c r="T3192" s="47"/>
      <c r="U3192" s="47">
        <f t="shared" si="675"/>
        <v>430</v>
      </c>
      <c r="V3192" s="47"/>
      <c r="W3192" s="47"/>
      <c r="X3192" s="47"/>
      <c r="Y3192" s="47"/>
      <c r="Z3192" s="47">
        <f t="shared" si="673"/>
        <v>4620</v>
      </c>
      <c r="AA3192" s="47">
        <f t="shared" si="673"/>
        <v>1400</v>
      </c>
      <c r="AB3192" s="47"/>
      <c r="AC3192" s="47"/>
      <c r="AD3192" s="47"/>
      <c r="AE3192" s="47"/>
      <c r="AF3192" s="47"/>
      <c r="AG3192" s="47"/>
      <c r="AH3192" s="47" t="str">
        <f>IFERROR(_xlfn.XLOOKUP(Table6[[#This Row],[Suburb]],Table5[Travel Surcharge],Table5[$$]),"")</f>
        <v/>
      </c>
      <c r="AI3192" s="47"/>
      <c r="AJ3192" s="47"/>
    </row>
    <row r="3193" spans="1:36">
      <c r="A3193" s="374" t="s">
        <v>4778</v>
      </c>
      <c r="B3193" s="374">
        <v>8</v>
      </c>
      <c r="C3193" s="374" t="s">
        <v>631</v>
      </c>
      <c r="D3193" s="375" t="str">
        <f t="shared" si="670"/>
        <v>Ooranya8</v>
      </c>
      <c r="E3193" s="375" t="s">
        <v>4786</v>
      </c>
      <c r="F3193" s="375" t="s">
        <v>2373</v>
      </c>
      <c r="G3193" s="375"/>
      <c r="H3193" s="375" t="s">
        <v>4780</v>
      </c>
      <c r="I3193" s="63" t="s">
        <v>4781</v>
      </c>
      <c r="J3193" s="47">
        <f t="shared" si="671"/>
        <v>3740</v>
      </c>
      <c r="K3193" s="46" t="s">
        <v>10735</v>
      </c>
      <c r="L3193" s="47" t="s">
        <v>4782</v>
      </c>
      <c r="M3193" s="47"/>
      <c r="N3193" s="47"/>
      <c r="O3193" s="47"/>
      <c r="P3193" s="47"/>
      <c r="Q3193" s="47"/>
      <c r="R3193" s="47"/>
      <c r="S3193" s="47"/>
      <c r="T3193" s="47"/>
      <c r="U3193" s="47">
        <f t="shared" si="675"/>
        <v>430</v>
      </c>
      <c r="V3193" s="47"/>
      <c r="W3193" s="47"/>
      <c r="X3193" s="47"/>
      <c r="Y3193" s="47"/>
      <c r="Z3193" s="47">
        <f t="shared" si="673"/>
        <v>4620</v>
      </c>
      <c r="AA3193" s="47">
        <f t="shared" si="673"/>
        <v>1400</v>
      </c>
      <c r="AB3193" s="47"/>
      <c r="AC3193" s="47"/>
      <c r="AD3193" s="47"/>
      <c r="AE3193" s="47"/>
      <c r="AF3193" s="47"/>
      <c r="AG3193" s="47"/>
      <c r="AH3193" s="47" t="str">
        <f>IFERROR(_xlfn.XLOOKUP(Table6[[#This Row],[Suburb]],Table5[Travel Surcharge],Table5[$$]),"")</f>
        <v/>
      </c>
      <c r="AI3193" s="47"/>
      <c r="AJ3193" s="47"/>
    </row>
    <row r="3194" spans="1:36">
      <c r="A3194" s="374" t="s">
        <v>4778</v>
      </c>
      <c r="B3194" s="276" t="s">
        <v>710</v>
      </c>
      <c r="C3194" s="374" t="s">
        <v>631</v>
      </c>
      <c r="D3194" s="375" t="str">
        <f t="shared" si="670"/>
        <v>Ooranya9B</v>
      </c>
      <c r="E3194" s="375" t="s">
        <v>9018</v>
      </c>
      <c r="F3194" s="375" t="s">
        <v>2373</v>
      </c>
      <c r="G3194" s="375"/>
      <c r="H3194" s="375" t="s">
        <v>4780</v>
      </c>
      <c r="I3194" s="63" t="s">
        <v>4781</v>
      </c>
      <c r="J3194" s="47">
        <f t="shared" si="671"/>
        <v>3740</v>
      </c>
      <c r="K3194" s="46" t="s">
        <v>10735</v>
      </c>
      <c r="L3194" s="47" t="s">
        <v>4782</v>
      </c>
      <c r="M3194" s="47"/>
      <c r="N3194" s="47"/>
      <c r="O3194" s="47"/>
      <c r="P3194" s="47"/>
      <c r="Q3194" s="47"/>
      <c r="R3194" s="47"/>
      <c r="S3194" s="47"/>
      <c r="T3194" s="47"/>
      <c r="U3194" s="47">
        <f t="shared" si="675"/>
        <v>430</v>
      </c>
      <c r="V3194" s="47"/>
      <c r="W3194" s="47"/>
      <c r="X3194" s="47"/>
      <c r="Y3194" s="47"/>
      <c r="Z3194" s="47">
        <f t="shared" si="673"/>
        <v>4620</v>
      </c>
      <c r="AA3194" s="47">
        <f t="shared" si="673"/>
        <v>1400</v>
      </c>
      <c r="AB3194" s="47"/>
      <c r="AC3194" s="47"/>
      <c r="AD3194" s="47"/>
      <c r="AE3194" s="47"/>
      <c r="AF3194" s="47"/>
      <c r="AG3194" s="47"/>
      <c r="AH3194" s="47" t="str">
        <f>IFERROR(_xlfn.XLOOKUP(Table6[[#This Row],[Suburb]],Table5[Travel Surcharge],Table5[$$]),"")</f>
        <v/>
      </c>
      <c r="AI3194" s="47"/>
      <c r="AJ3194" s="47"/>
    </row>
    <row r="3195" spans="1:36">
      <c r="A3195" s="374" t="s">
        <v>4778</v>
      </c>
      <c r="B3195" s="276">
        <v>11</v>
      </c>
      <c r="C3195" s="374" t="s">
        <v>631</v>
      </c>
      <c r="D3195" s="375" t="str">
        <f t="shared" si="670"/>
        <v>Ooranya11</v>
      </c>
      <c r="E3195" s="375" t="s">
        <v>4787</v>
      </c>
      <c r="F3195" s="375" t="s">
        <v>2373</v>
      </c>
      <c r="G3195" s="375"/>
      <c r="H3195" s="375" t="s">
        <v>4780</v>
      </c>
      <c r="I3195" s="63" t="s">
        <v>4781</v>
      </c>
      <c r="J3195" s="47">
        <f t="shared" si="671"/>
        <v>3740</v>
      </c>
      <c r="K3195" s="46" t="s">
        <v>10735</v>
      </c>
      <c r="L3195" s="47" t="s">
        <v>4782</v>
      </c>
      <c r="M3195" s="47"/>
      <c r="N3195" s="47"/>
      <c r="O3195" s="47"/>
      <c r="P3195" s="47"/>
      <c r="Q3195" s="47"/>
      <c r="R3195" s="47"/>
      <c r="S3195" s="47"/>
      <c r="T3195" s="47"/>
      <c r="U3195" s="47">
        <f t="shared" si="675"/>
        <v>430</v>
      </c>
      <c r="V3195" s="47"/>
      <c r="W3195" s="47"/>
      <c r="X3195" s="47"/>
      <c r="Y3195" s="47"/>
      <c r="Z3195" s="47">
        <f t="shared" si="673"/>
        <v>4620</v>
      </c>
      <c r="AA3195" s="47">
        <f t="shared" si="673"/>
        <v>1400</v>
      </c>
      <c r="AB3195" s="47"/>
      <c r="AC3195" s="47"/>
      <c r="AD3195" s="47"/>
      <c r="AE3195" s="47"/>
      <c r="AF3195" s="47"/>
      <c r="AG3195" s="47"/>
      <c r="AH3195" s="47" t="str">
        <f>IFERROR(_xlfn.XLOOKUP(Table6[[#This Row],[Suburb]],Table5[Travel Surcharge],Table5[$$]),"")</f>
        <v/>
      </c>
      <c r="AI3195" s="47"/>
      <c r="AJ3195" s="47"/>
    </row>
    <row r="3196" spans="1:36">
      <c r="A3196" s="374" t="s">
        <v>4778</v>
      </c>
      <c r="B3196" s="276" t="s">
        <v>9324</v>
      </c>
      <c r="C3196" s="374" t="s">
        <v>631</v>
      </c>
      <c r="D3196" s="375" t="s">
        <v>9325</v>
      </c>
      <c r="E3196" s="375" t="s">
        <v>9326</v>
      </c>
      <c r="F3196" s="375" t="s">
        <v>2373</v>
      </c>
      <c r="G3196" s="375"/>
      <c r="H3196" s="375" t="s">
        <v>4780</v>
      </c>
      <c r="I3196" s="63" t="s">
        <v>4781</v>
      </c>
      <c r="J3196" s="47">
        <v>3740</v>
      </c>
      <c r="K3196" s="46" t="s">
        <v>10735</v>
      </c>
      <c r="L3196" s="47" t="s">
        <v>4782</v>
      </c>
      <c r="M3196" s="47"/>
      <c r="N3196" s="47"/>
      <c r="O3196" s="47"/>
      <c r="P3196" s="47"/>
      <c r="Q3196" s="47"/>
      <c r="R3196" s="47"/>
      <c r="S3196" s="47"/>
      <c r="T3196" s="47"/>
      <c r="U3196" s="47">
        <v>540</v>
      </c>
      <c r="V3196" s="47"/>
      <c r="W3196" s="47"/>
      <c r="X3196" s="47"/>
      <c r="Y3196" s="47"/>
      <c r="Z3196" s="47">
        <v>4620</v>
      </c>
      <c r="AA3196" s="47">
        <v>1400</v>
      </c>
      <c r="AB3196" s="47"/>
      <c r="AC3196" s="47"/>
      <c r="AD3196" s="47"/>
      <c r="AE3196" s="47"/>
      <c r="AF3196" s="47"/>
      <c r="AG3196" s="47"/>
      <c r="AH3196" s="47" t="str">
        <f>IFERROR(_xlfn.XLOOKUP(Table6[[#This Row],[Suburb]],Table5[Travel Surcharge],Table5[$$]),"")</f>
        <v/>
      </c>
      <c r="AI3196" s="47"/>
      <c r="AJ3196" s="47"/>
    </row>
    <row r="3197" spans="1:36">
      <c r="A3197" s="374" t="s">
        <v>4778</v>
      </c>
      <c r="B3197" s="276">
        <v>12</v>
      </c>
      <c r="C3197" s="374" t="s">
        <v>631</v>
      </c>
      <c r="D3197" s="375" t="str">
        <f t="shared" ref="D3197:D3215" si="676">CONCATENATE(A3197,B3197)</f>
        <v>Ooranya12</v>
      </c>
      <c r="E3197" s="375" t="s">
        <v>4788</v>
      </c>
      <c r="F3197" s="375" t="s">
        <v>2373</v>
      </c>
      <c r="G3197" s="375"/>
      <c r="H3197" s="375" t="s">
        <v>4780</v>
      </c>
      <c r="I3197" s="63" t="s">
        <v>4781</v>
      </c>
      <c r="J3197" s="47">
        <f t="shared" ref="J3197:J3215" si="677">J$7</f>
        <v>3740</v>
      </c>
      <c r="K3197" s="46" t="s">
        <v>10735</v>
      </c>
      <c r="L3197" s="47" t="s">
        <v>4782</v>
      </c>
      <c r="M3197" s="47"/>
      <c r="N3197" s="47"/>
      <c r="O3197" s="47"/>
      <c r="P3197" s="47"/>
      <c r="Q3197" s="47"/>
      <c r="R3197" s="47"/>
      <c r="S3197" s="47"/>
      <c r="T3197" s="47"/>
      <c r="U3197" s="47">
        <f t="shared" ref="U3197:U3213" si="678">U$2</f>
        <v>430</v>
      </c>
      <c r="V3197" s="47"/>
      <c r="W3197" s="47"/>
      <c r="X3197" s="47"/>
      <c r="Y3197" s="47"/>
      <c r="Z3197" s="47">
        <f t="shared" ref="Z3197:AA3202" si="679">Z$7</f>
        <v>4620</v>
      </c>
      <c r="AA3197" s="47">
        <f t="shared" si="679"/>
        <v>1400</v>
      </c>
      <c r="AB3197" s="47"/>
      <c r="AC3197" s="47"/>
      <c r="AD3197" s="47"/>
      <c r="AE3197" s="47"/>
      <c r="AF3197" s="47"/>
      <c r="AG3197" s="47"/>
      <c r="AH3197" s="47" t="str">
        <f>IFERROR(_xlfn.XLOOKUP(Table6[[#This Row],[Suburb]],Table5[Travel Surcharge],Table5[$$]),"")</f>
        <v/>
      </c>
      <c r="AI3197" s="47"/>
      <c r="AJ3197" s="47"/>
    </row>
    <row r="3198" spans="1:36">
      <c r="A3198" s="157" t="s">
        <v>4778</v>
      </c>
      <c r="B3198" s="324">
        <v>14</v>
      </c>
      <c r="C3198" s="157" t="s">
        <v>8078</v>
      </c>
      <c r="D3198" s="157" t="str">
        <f t="shared" si="676"/>
        <v>Ooranya14</v>
      </c>
      <c r="E3198" s="157" t="s">
        <v>8080</v>
      </c>
      <c r="F3198" s="157" t="s">
        <v>2373</v>
      </c>
      <c r="G3198" s="157"/>
      <c r="H3198" s="157" t="s">
        <v>8079</v>
      </c>
      <c r="I3198" s="158" t="s">
        <v>4781</v>
      </c>
      <c r="J3198" s="47">
        <f t="shared" si="677"/>
        <v>3740</v>
      </c>
      <c r="K3198" s="46" t="s">
        <v>10735</v>
      </c>
      <c r="L3198" s="47" t="s">
        <v>4782</v>
      </c>
      <c r="M3198" s="47"/>
      <c r="N3198" s="47"/>
      <c r="O3198" s="47"/>
      <c r="P3198" s="47"/>
      <c r="Q3198" s="47"/>
      <c r="R3198" s="47"/>
      <c r="S3198" s="47"/>
      <c r="T3198" s="47"/>
      <c r="U3198" s="47">
        <f t="shared" si="678"/>
        <v>430</v>
      </c>
      <c r="V3198" s="47"/>
      <c r="W3198" s="47"/>
      <c r="X3198" s="47"/>
      <c r="Y3198" s="47"/>
      <c r="Z3198" s="47">
        <f t="shared" si="679"/>
        <v>4620</v>
      </c>
      <c r="AA3198" s="47">
        <f t="shared" si="679"/>
        <v>1400</v>
      </c>
      <c r="AB3198" s="47"/>
      <c r="AC3198" s="47"/>
      <c r="AD3198" s="47"/>
      <c r="AE3198" s="47"/>
      <c r="AF3198" s="47"/>
      <c r="AG3198" s="47"/>
      <c r="AH3198" s="47" t="str">
        <f>IFERROR(_xlfn.XLOOKUP(Table6[[#This Row],[Suburb]],Table5[Travel Surcharge],Table5[$$]),"")</f>
        <v/>
      </c>
      <c r="AI3198" s="47"/>
      <c r="AJ3198" s="47"/>
    </row>
    <row r="3199" spans="1:36">
      <c r="A3199" s="157" t="s">
        <v>4778</v>
      </c>
      <c r="B3199" s="324">
        <v>16</v>
      </c>
      <c r="C3199" s="157" t="s">
        <v>8078</v>
      </c>
      <c r="D3199" s="157" t="str">
        <f t="shared" si="676"/>
        <v>Ooranya16</v>
      </c>
      <c r="E3199" s="157" t="s">
        <v>9009</v>
      </c>
      <c r="F3199" s="157" t="s">
        <v>2373</v>
      </c>
      <c r="G3199" s="157"/>
      <c r="H3199" s="157" t="s">
        <v>8079</v>
      </c>
      <c r="I3199" s="158" t="s">
        <v>4781</v>
      </c>
      <c r="J3199" s="47">
        <f t="shared" si="677"/>
        <v>3740</v>
      </c>
      <c r="K3199" s="46" t="s">
        <v>10735</v>
      </c>
      <c r="L3199" s="47" t="s">
        <v>4782</v>
      </c>
      <c r="M3199" s="47"/>
      <c r="N3199" s="47"/>
      <c r="O3199" s="47"/>
      <c r="P3199" s="47"/>
      <c r="Q3199" s="47"/>
      <c r="R3199" s="47"/>
      <c r="S3199" s="47"/>
      <c r="T3199" s="47"/>
      <c r="U3199" s="47">
        <f t="shared" si="678"/>
        <v>430</v>
      </c>
      <c r="V3199" s="47"/>
      <c r="W3199" s="47"/>
      <c r="X3199" s="47"/>
      <c r="Y3199" s="47"/>
      <c r="Z3199" s="47">
        <f t="shared" si="679"/>
        <v>4620</v>
      </c>
      <c r="AA3199" s="47">
        <f t="shared" si="679"/>
        <v>1400</v>
      </c>
      <c r="AB3199" s="47"/>
      <c r="AC3199" s="47"/>
      <c r="AD3199" s="47"/>
      <c r="AE3199" s="47"/>
      <c r="AF3199" s="47"/>
      <c r="AG3199" s="47"/>
      <c r="AH3199" s="47" t="str">
        <f>IFERROR(_xlfn.XLOOKUP(Table6[[#This Row],[Suburb]],Table5[Travel Surcharge],Table5[$$]),"")</f>
        <v/>
      </c>
      <c r="AI3199" s="47"/>
      <c r="AJ3199" s="47"/>
    </row>
    <row r="3200" spans="1:36">
      <c r="A3200" s="374" t="s">
        <v>4778</v>
      </c>
      <c r="B3200" s="276" t="s">
        <v>1458</v>
      </c>
      <c r="C3200" s="374" t="s">
        <v>8078</v>
      </c>
      <c r="D3200" s="157" t="str">
        <f t="shared" si="676"/>
        <v>Ooranya16B</v>
      </c>
      <c r="E3200" s="375" t="s">
        <v>10873</v>
      </c>
      <c r="F3200" s="375" t="s">
        <v>2373</v>
      </c>
      <c r="G3200" s="375"/>
      <c r="H3200" s="375" t="s">
        <v>8079</v>
      </c>
      <c r="I3200" s="63" t="s">
        <v>4781</v>
      </c>
      <c r="J3200" s="47">
        <v>3740</v>
      </c>
      <c r="K3200" s="46" t="s">
        <v>10735</v>
      </c>
      <c r="L3200" s="47" t="s">
        <v>4782</v>
      </c>
      <c r="M3200" s="47"/>
      <c r="N3200" s="47"/>
      <c r="O3200" s="47"/>
      <c r="P3200" s="47"/>
      <c r="Q3200" s="47"/>
      <c r="R3200" s="47"/>
      <c r="S3200" s="47"/>
      <c r="T3200" s="47"/>
      <c r="U3200" s="47">
        <v>430</v>
      </c>
      <c r="V3200" s="47"/>
      <c r="W3200" s="47"/>
      <c r="X3200" s="47"/>
      <c r="Y3200" s="47"/>
      <c r="Z3200" s="47">
        <v>4620</v>
      </c>
      <c r="AA3200" s="47">
        <v>1400</v>
      </c>
      <c r="AB3200" s="47"/>
      <c r="AC3200" s="47"/>
      <c r="AD3200" s="47"/>
      <c r="AE3200" s="47"/>
      <c r="AF3200" s="47"/>
      <c r="AG3200" s="47"/>
      <c r="AH3200" s="47" t="s">
        <v>9976</v>
      </c>
      <c r="AI3200" s="47"/>
      <c r="AJ3200" s="47"/>
    </row>
    <row r="3201" spans="1:36">
      <c r="A3201" s="374" t="s">
        <v>4778</v>
      </c>
      <c r="B3201" s="276" t="s">
        <v>1936</v>
      </c>
      <c r="C3201" s="374" t="s">
        <v>631</v>
      </c>
      <c r="D3201" s="375" t="str">
        <f t="shared" si="676"/>
        <v>Ooranya15A</v>
      </c>
      <c r="E3201" s="375" t="s">
        <v>4789</v>
      </c>
      <c r="F3201" s="375" t="s">
        <v>2373</v>
      </c>
      <c r="G3201" s="375"/>
      <c r="H3201" s="375" t="s">
        <v>4780</v>
      </c>
      <c r="I3201" s="63" t="s">
        <v>4781</v>
      </c>
      <c r="J3201" s="47">
        <f t="shared" si="677"/>
        <v>3740</v>
      </c>
      <c r="K3201" s="46" t="s">
        <v>10735</v>
      </c>
      <c r="L3201" s="47" t="s">
        <v>4782</v>
      </c>
      <c r="M3201" s="47"/>
      <c r="N3201" s="47"/>
      <c r="O3201" s="47"/>
      <c r="P3201" s="47"/>
      <c r="Q3201" s="47"/>
      <c r="R3201" s="47"/>
      <c r="S3201" s="47"/>
      <c r="T3201" s="47"/>
      <c r="U3201" s="47">
        <f t="shared" si="678"/>
        <v>430</v>
      </c>
      <c r="V3201" s="47"/>
      <c r="W3201" s="47"/>
      <c r="X3201" s="47"/>
      <c r="Y3201" s="47"/>
      <c r="Z3201" s="47">
        <f t="shared" si="679"/>
        <v>4620</v>
      </c>
      <c r="AA3201" s="47">
        <f t="shared" si="679"/>
        <v>1400</v>
      </c>
      <c r="AB3201" s="47"/>
      <c r="AC3201" s="47"/>
      <c r="AD3201" s="47"/>
      <c r="AE3201" s="47"/>
      <c r="AF3201" s="47"/>
      <c r="AG3201" s="47"/>
      <c r="AH3201" s="47" t="str">
        <f>IFERROR(_xlfn.XLOOKUP(Table6[[#This Row],[Suburb]],Table5[Travel Surcharge],Table5[$$]),"")</f>
        <v/>
      </c>
      <c r="AI3201" s="47"/>
      <c r="AJ3201" s="47"/>
    </row>
    <row r="3202" spans="1:36">
      <c r="A3202" s="374" t="s">
        <v>4778</v>
      </c>
      <c r="B3202" s="276" t="s">
        <v>615</v>
      </c>
      <c r="C3202" s="374" t="s">
        <v>631</v>
      </c>
      <c r="D3202" s="375" t="str">
        <f t="shared" si="676"/>
        <v>Ooranya4C</v>
      </c>
      <c r="E3202" s="375" t="s">
        <v>4784</v>
      </c>
      <c r="F3202" s="375" t="s">
        <v>2373</v>
      </c>
      <c r="G3202" s="375"/>
      <c r="H3202" s="375" t="s">
        <v>4780</v>
      </c>
      <c r="I3202" s="63" t="s">
        <v>4781</v>
      </c>
      <c r="J3202" s="47">
        <f t="shared" si="677"/>
        <v>3740</v>
      </c>
      <c r="K3202" s="46" t="s">
        <v>10735</v>
      </c>
      <c r="L3202" s="47" t="s">
        <v>4782</v>
      </c>
      <c r="M3202" s="47"/>
      <c r="N3202" s="47"/>
      <c r="O3202" s="47"/>
      <c r="P3202" s="47"/>
      <c r="Q3202" s="47"/>
      <c r="R3202" s="47"/>
      <c r="S3202" s="47"/>
      <c r="T3202" s="47"/>
      <c r="U3202" s="47">
        <f t="shared" si="678"/>
        <v>430</v>
      </c>
      <c r="V3202" s="47"/>
      <c r="W3202" s="47"/>
      <c r="X3202" s="47"/>
      <c r="Y3202" s="47"/>
      <c r="Z3202" s="47">
        <f t="shared" si="679"/>
        <v>4620</v>
      </c>
      <c r="AA3202" s="47">
        <f t="shared" si="679"/>
        <v>1400</v>
      </c>
      <c r="AB3202" s="47"/>
      <c r="AC3202" s="47"/>
      <c r="AD3202" s="47"/>
      <c r="AE3202" s="47"/>
      <c r="AF3202" s="47"/>
      <c r="AG3202" s="47"/>
      <c r="AH3202" s="47" t="str">
        <f>IFERROR(_xlfn.XLOOKUP(Table6[[#This Row],[Suburb]],Table5[Travel Surcharge],Table5[$$]),"")</f>
        <v/>
      </c>
      <c r="AI3202" s="47"/>
      <c r="AJ3202" s="47"/>
    </row>
    <row r="3203" spans="1:36">
      <c r="A3203" s="374" t="s">
        <v>4778</v>
      </c>
      <c r="B3203" s="276">
        <v>21</v>
      </c>
      <c r="C3203" s="374" t="s">
        <v>631</v>
      </c>
      <c r="D3203" s="375" t="str">
        <f t="shared" si="676"/>
        <v>Ooranya21</v>
      </c>
      <c r="E3203" s="375" t="s">
        <v>10816</v>
      </c>
      <c r="F3203" s="375" t="s">
        <v>2373</v>
      </c>
      <c r="G3203" s="375"/>
      <c r="H3203" s="375" t="s">
        <v>4780</v>
      </c>
      <c r="I3203" s="63" t="s">
        <v>4781</v>
      </c>
      <c r="J3203" s="47">
        <v>3740</v>
      </c>
      <c r="K3203" s="46" t="s">
        <v>10735</v>
      </c>
      <c r="L3203" s="47" t="s">
        <v>4782</v>
      </c>
      <c r="M3203" s="47">
        <v>1430</v>
      </c>
      <c r="N3203" s="47" t="s">
        <v>10113</v>
      </c>
      <c r="O3203" s="47" t="s">
        <v>10112</v>
      </c>
      <c r="P3203" s="47" t="s">
        <v>10114</v>
      </c>
      <c r="Q3203" s="47"/>
      <c r="R3203" s="47"/>
      <c r="S3203" s="47"/>
      <c r="T3203" s="47"/>
      <c r="U3203" s="47">
        <v>540</v>
      </c>
      <c r="V3203" s="47"/>
      <c r="W3203" s="47"/>
      <c r="X3203" s="47"/>
      <c r="Y3203" s="47"/>
      <c r="Z3203" s="47">
        <v>4620</v>
      </c>
      <c r="AA3203" s="47">
        <v>1400</v>
      </c>
      <c r="AB3203" s="47"/>
      <c r="AC3203" s="47"/>
      <c r="AD3203" s="47"/>
      <c r="AE3203" s="47"/>
      <c r="AF3203" s="47"/>
      <c r="AG3203" s="47"/>
      <c r="AH3203" s="47" t="s">
        <v>9976</v>
      </c>
      <c r="AI3203" s="47"/>
      <c r="AJ3203" s="47"/>
    </row>
    <row r="3204" spans="1:36">
      <c r="A3204" s="374" t="s">
        <v>4778</v>
      </c>
      <c r="B3204" s="276" t="s">
        <v>10110</v>
      </c>
      <c r="C3204" s="374" t="s">
        <v>631</v>
      </c>
      <c r="D3204" s="375" t="str">
        <f t="shared" si="676"/>
        <v>Ooranya26a</v>
      </c>
      <c r="E3204" s="375" t="s">
        <v>10111</v>
      </c>
      <c r="F3204" s="375" t="s">
        <v>2373</v>
      </c>
      <c r="G3204" s="375"/>
      <c r="H3204" s="375" t="s">
        <v>4780</v>
      </c>
      <c r="I3204" s="63" t="s">
        <v>4781</v>
      </c>
      <c r="J3204" s="47">
        <v>3740</v>
      </c>
      <c r="K3204" s="46" t="s">
        <v>10735</v>
      </c>
      <c r="L3204" s="47" t="s">
        <v>4782</v>
      </c>
      <c r="M3204" s="47">
        <v>1430</v>
      </c>
      <c r="N3204" s="47" t="s">
        <v>10113</v>
      </c>
      <c r="O3204" s="47" t="s">
        <v>10112</v>
      </c>
      <c r="P3204" s="47" t="s">
        <v>10114</v>
      </c>
      <c r="Q3204" s="47"/>
      <c r="R3204" s="47"/>
      <c r="S3204" s="47"/>
      <c r="T3204" s="47"/>
      <c r="U3204" s="47">
        <v>540</v>
      </c>
      <c r="V3204" s="47"/>
      <c r="W3204" s="47"/>
      <c r="X3204" s="47"/>
      <c r="Y3204" s="47"/>
      <c r="Z3204" s="47">
        <v>4620</v>
      </c>
      <c r="AA3204" s="47">
        <v>1400</v>
      </c>
      <c r="AB3204" s="47"/>
      <c r="AC3204" s="47"/>
      <c r="AD3204" s="47"/>
      <c r="AE3204" s="47"/>
      <c r="AF3204" s="47"/>
      <c r="AG3204" s="47"/>
      <c r="AH3204" s="47" t="s">
        <v>9976</v>
      </c>
      <c r="AI3204" s="47"/>
      <c r="AJ3204" s="47"/>
    </row>
    <row r="3205" spans="1:36">
      <c r="A3205" s="374" t="s">
        <v>4790</v>
      </c>
      <c r="B3205" s="374">
        <v>1</v>
      </c>
      <c r="C3205" s="374" t="s">
        <v>1412</v>
      </c>
      <c r="D3205" s="375" t="str">
        <f t="shared" si="676"/>
        <v>Opalia1</v>
      </c>
      <c r="E3205" s="375" t="s">
        <v>4791</v>
      </c>
      <c r="F3205" s="375"/>
      <c r="G3205" s="375"/>
      <c r="H3205" s="375"/>
      <c r="I3205" s="63"/>
      <c r="J3205" s="47">
        <f t="shared" si="677"/>
        <v>3740</v>
      </c>
      <c r="K3205" s="46" t="s">
        <v>7938</v>
      </c>
      <c r="L3205" s="47" t="s">
        <v>4792</v>
      </c>
      <c r="M3205" s="47">
        <f t="shared" ref="M3205:M3215" si="680">M$7</f>
        <v>1430.0000000000002</v>
      </c>
      <c r="N3205" s="47" t="s">
        <v>4793</v>
      </c>
      <c r="O3205" s="47">
        <f t="shared" ref="O3205:O3213" si="681">O$7</f>
        <v>4950</v>
      </c>
      <c r="P3205" s="47" t="s">
        <v>4794</v>
      </c>
      <c r="Q3205" s="47" t="s">
        <v>4795</v>
      </c>
      <c r="R3205" s="47"/>
      <c r="S3205" s="47"/>
      <c r="T3205" s="47"/>
      <c r="U3205" s="47">
        <f t="shared" si="678"/>
        <v>430</v>
      </c>
      <c r="V3205" s="47"/>
      <c r="W3205" s="47"/>
      <c r="X3205" s="47"/>
      <c r="Y3205" s="47"/>
      <c r="Z3205" s="47">
        <f t="shared" ref="Z3205:Z3215" si="682">Z$7</f>
        <v>4620</v>
      </c>
      <c r="AA3205" s="47"/>
      <c r="AB3205" s="47"/>
      <c r="AC3205" s="47"/>
      <c r="AD3205" s="47"/>
      <c r="AE3205" s="47"/>
      <c r="AF3205" s="47"/>
      <c r="AG3205" s="47"/>
      <c r="AH3205" s="47" t="str">
        <f>IFERROR(_xlfn.XLOOKUP(Table6[[#This Row],[Suburb]],Table5[Travel Surcharge],Table5[$$]),"")</f>
        <v/>
      </c>
      <c r="AI3205" s="47"/>
      <c r="AJ3205" s="47"/>
    </row>
    <row r="3206" spans="1:36">
      <c r="A3206" s="374" t="s">
        <v>4790</v>
      </c>
      <c r="B3206" s="374">
        <v>2</v>
      </c>
      <c r="C3206" s="374" t="s">
        <v>1412</v>
      </c>
      <c r="D3206" s="375" t="str">
        <f t="shared" si="676"/>
        <v>Opalia2</v>
      </c>
      <c r="E3206" s="375" t="s">
        <v>4796</v>
      </c>
      <c r="F3206" s="375"/>
      <c r="G3206" s="375"/>
      <c r="H3206" s="375"/>
      <c r="I3206" s="63"/>
      <c r="J3206" s="47">
        <f t="shared" si="677"/>
        <v>3740</v>
      </c>
      <c r="K3206" s="46" t="s">
        <v>7938</v>
      </c>
      <c r="L3206" s="47" t="s">
        <v>4792</v>
      </c>
      <c r="M3206" s="47">
        <f t="shared" si="680"/>
        <v>1430.0000000000002</v>
      </c>
      <c r="N3206" s="47" t="s">
        <v>4793</v>
      </c>
      <c r="O3206" s="47">
        <f t="shared" si="681"/>
        <v>4950</v>
      </c>
      <c r="P3206" s="47" t="s">
        <v>4794</v>
      </c>
      <c r="Q3206" s="47" t="s">
        <v>4795</v>
      </c>
      <c r="R3206" s="47"/>
      <c r="S3206" s="47"/>
      <c r="T3206" s="47"/>
      <c r="U3206" s="47">
        <f t="shared" si="678"/>
        <v>430</v>
      </c>
      <c r="V3206" s="47"/>
      <c r="W3206" s="47"/>
      <c r="X3206" s="47"/>
      <c r="Y3206" s="47"/>
      <c r="Z3206" s="47">
        <f t="shared" si="682"/>
        <v>4620</v>
      </c>
      <c r="AA3206" s="47"/>
      <c r="AB3206" s="47"/>
      <c r="AC3206" s="47"/>
      <c r="AD3206" s="47"/>
      <c r="AE3206" s="47"/>
      <c r="AF3206" s="47"/>
      <c r="AG3206" s="47"/>
      <c r="AH3206" s="47" t="str">
        <f>IFERROR(_xlfn.XLOOKUP(Table6[[#This Row],[Suburb]],Table5[Travel Surcharge],Table5[$$]),"")</f>
        <v/>
      </c>
      <c r="AI3206" s="47"/>
      <c r="AJ3206" s="47"/>
    </row>
    <row r="3207" spans="1:36">
      <c r="A3207" s="374" t="s">
        <v>4790</v>
      </c>
      <c r="B3207" s="374">
        <v>3</v>
      </c>
      <c r="C3207" s="374" t="s">
        <v>1412</v>
      </c>
      <c r="D3207" s="375" t="str">
        <f t="shared" si="676"/>
        <v>Opalia3</v>
      </c>
      <c r="E3207" s="375" t="s">
        <v>4798</v>
      </c>
      <c r="F3207" s="375"/>
      <c r="G3207" s="375"/>
      <c r="H3207" s="375"/>
      <c r="I3207" s="63"/>
      <c r="J3207" s="47">
        <f t="shared" si="677"/>
        <v>3740</v>
      </c>
      <c r="K3207" s="46" t="s">
        <v>7938</v>
      </c>
      <c r="L3207" s="47" t="s">
        <v>4792</v>
      </c>
      <c r="M3207" s="47">
        <f t="shared" si="680"/>
        <v>1430.0000000000002</v>
      </c>
      <c r="N3207" s="47" t="s">
        <v>4793</v>
      </c>
      <c r="O3207" s="47">
        <f t="shared" si="681"/>
        <v>4950</v>
      </c>
      <c r="P3207" s="47" t="s">
        <v>4794</v>
      </c>
      <c r="Q3207" s="47" t="s">
        <v>4795</v>
      </c>
      <c r="R3207" s="47"/>
      <c r="S3207" s="47"/>
      <c r="T3207" s="47"/>
      <c r="U3207" s="47">
        <f t="shared" si="678"/>
        <v>430</v>
      </c>
      <c r="V3207" s="47"/>
      <c r="W3207" s="47"/>
      <c r="X3207" s="47"/>
      <c r="Y3207" s="47"/>
      <c r="Z3207" s="47">
        <f t="shared" si="682"/>
        <v>4620</v>
      </c>
      <c r="AA3207" s="47"/>
      <c r="AB3207" s="47"/>
      <c r="AC3207" s="47"/>
      <c r="AD3207" s="47"/>
      <c r="AE3207" s="47"/>
      <c r="AF3207" s="47"/>
      <c r="AG3207" s="47"/>
      <c r="AH3207" s="47" t="str">
        <f>IFERROR(_xlfn.XLOOKUP(Table6[[#This Row],[Suburb]],Table5[Travel Surcharge],Table5[$$]),"")</f>
        <v/>
      </c>
      <c r="AI3207" s="47"/>
      <c r="AJ3207" s="47"/>
    </row>
    <row r="3208" spans="1:36">
      <c r="A3208" s="374" t="s">
        <v>4790</v>
      </c>
      <c r="B3208" s="374">
        <v>4</v>
      </c>
      <c r="C3208" s="374" t="s">
        <v>1412</v>
      </c>
      <c r="D3208" s="375" t="str">
        <f t="shared" si="676"/>
        <v>Opalia4</v>
      </c>
      <c r="E3208" s="375" t="s">
        <v>4799</v>
      </c>
      <c r="F3208" s="375"/>
      <c r="G3208" s="375"/>
      <c r="H3208" s="375"/>
      <c r="I3208" s="63"/>
      <c r="J3208" s="47">
        <f t="shared" si="677"/>
        <v>3740</v>
      </c>
      <c r="K3208" s="46" t="s">
        <v>7938</v>
      </c>
      <c r="L3208" s="47" t="s">
        <v>4792</v>
      </c>
      <c r="M3208" s="47">
        <f t="shared" si="680"/>
        <v>1430.0000000000002</v>
      </c>
      <c r="N3208" s="47" t="s">
        <v>4793</v>
      </c>
      <c r="O3208" s="47">
        <f t="shared" si="681"/>
        <v>4950</v>
      </c>
      <c r="P3208" s="47" t="s">
        <v>4794</v>
      </c>
      <c r="Q3208" s="47" t="s">
        <v>4795</v>
      </c>
      <c r="R3208" s="47"/>
      <c r="S3208" s="47"/>
      <c r="T3208" s="47"/>
      <c r="U3208" s="47">
        <f t="shared" si="678"/>
        <v>430</v>
      </c>
      <c r="V3208" s="47"/>
      <c r="W3208" s="47"/>
      <c r="X3208" s="47"/>
      <c r="Y3208" s="47"/>
      <c r="Z3208" s="47">
        <f t="shared" si="682"/>
        <v>4620</v>
      </c>
      <c r="AA3208" s="47"/>
      <c r="AB3208" s="47"/>
      <c r="AC3208" s="47"/>
      <c r="AD3208" s="47"/>
      <c r="AE3208" s="47"/>
      <c r="AF3208" s="47"/>
      <c r="AG3208" s="47"/>
      <c r="AH3208" s="47" t="str">
        <f>IFERROR(_xlfn.XLOOKUP(Table6[[#This Row],[Suburb]],Table5[Travel Surcharge],Table5[$$]),"")</f>
        <v/>
      </c>
      <c r="AI3208" s="47"/>
      <c r="AJ3208" s="47"/>
    </row>
    <row r="3209" spans="1:36">
      <c r="A3209" s="374" t="s">
        <v>4790</v>
      </c>
      <c r="B3209" s="374">
        <v>5</v>
      </c>
      <c r="C3209" s="374" t="s">
        <v>1412</v>
      </c>
      <c r="D3209" s="375" t="str">
        <f t="shared" si="676"/>
        <v>Opalia5</v>
      </c>
      <c r="E3209" s="375" t="s">
        <v>4800</v>
      </c>
      <c r="F3209" s="375"/>
      <c r="G3209" s="375"/>
      <c r="H3209" s="375"/>
      <c r="I3209" s="63"/>
      <c r="J3209" s="47">
        <f t="shared" si="677"/>
        <v>3740</v>
      </c>
      <c r="K3209" s="46" t="s">
        <v>7938</v>
      </c>
      <c r="L3209" s="47" t="s">
        <v>4792</v>
      </c>
      <c r="M3209" s="47">
        <f t="shared" si="680"/>
        <v>1430.0000000000002</v>
      </c>
      <c r="N3209" s="47" t="s">
        <v>4793</v>
      </c>
      <c r="O3209" s="47">
        <f t="shared" si="681"/>
        <v>4950</v>
      </c>
      <c r="P3209" s="47" t="s">
        <v>4794</v>
      </c>
      <c r="Q3209" s="47" t="s">
        <v>4795</v>
      </c>
      <c r="R3209" s="47"/>
      <c r="S3209" s="47"/>
      <c r="T3209" s="47"/>
      <c r="U3209" s="47">
        <f t="shared" si="678"/>
        <v>430</v>
      </c>
      <c r="V3209" s="47"/>
      <c r="W3209" s="47"/>
      <c r="X3209" s="47"/>
      <c r="Y3209" s="47"/>
      <c r="Z3209" s="47">
        <f t="shared" si="682"/>
        <v>4620</v>
      </c>
      <c r="AA3209" s="47"/>
      <c r="AB3209" s="47"/>
      <c r="AC3209" s="47"/>
      <c r="AD3209" s="47"/>
      <c r="AE3209" s="47"/>
      <c r="AF3209" s="47"/>
      <c r="AG3209" s="47"/>
      <c r="AH3209" s="47" t="str">
        <f>IFERROR(_xlfn.XLOOKUP(Table6[[#This Row],[Suburb]],Table5[Travel Surcharge],Table5[$$]),"")</f>
        <v/>
      </c>
      <c r="AI3209" s="47"/>
      <c r="AJ3209" s="47"/>
    </row>
    <row r="3210" spans="1:36">
      <c r="A3210" s="374" t="s">
        <v>4790</v>
      </c>
      <c r="B3210" s="374">
        <v>6</v>
      </c>
      <c r="C3210" s="374" t="s">
        <v>1412</v>
      </c>
      <c r="D3210" s="375" t="str">
        <f t="shared" si="676"/>
        <v>Opalia6</v>
      </c>
      <c r="E3210" s="375" t="s">
        <v>4801</v>
      </c>
      <c r="F3210" s="375"/>
      <c r="G3210" s="375"/>
      <c r="H3210" s="375"/>
      <c r="I3210" s="63"/>
      <c r="J3210" s="47">
        <f t="shared" si="677"/>
        <v>3740</v>
      </c>
      <c r="K3210" s="46" t="s">
        <v>7938</v>
      </c>
      <c r="L3210" s="47" t="s">
        <v>4792</v>
      </c>
      <c r="M3210" s="47">
        <f t="shared" si="680"/>
        <v>1430.0000000000002</v>
      </c>
      <c r="N3210" s="47" t="s">
        <v>4793</v>
      </c>
      <c r="O3210" s="47">
        <f t="shared" si="681"/>
        <v>4950</v>
      </c>
      <c r="P3210" s="47" t="s">
        <v>4794</v>
      </c>
      <c r="Q3210" s="47" t="s">
        <v>4795</v>
      </c>
      <c r="R3210" s="47"/>
      <c r="S3210" s="47"/>
      <c r="T3210" s="47"/>
      <c r="U3210" s="47">
        <f t="shared" si="678"/>
        <v>430</v>
      </c>
      <c r="V3210" s="47"/>
      <c r="W3210" s="47"/>
      <c r="X3210" s="47"/>
      <c r="Y3210" s="47"/>
      <c r="Z3210" s="47">
        <f t="shared" si="682"/>
        <v>4620</v>
      </c>
      <c r="AA3210" s="47"/>
      <c r="AB3210" s="47"/>
      <c r="AC3210" s="47"/>
      <c r="AD3210" s="47"/>
      <c r="AE3210" s="47"/>
      <c r="AF3210" s="47"/>
      <c r="AG3210" s="47"/>
      <c r="AH3210" s="47" t="str">
        <f>IFERROR(_xlfn.XLOOKUP(Table6[[#This Row],[Suburb]],Table5[Travel Surcharge],Table5[$$]),"")</f>
        <v/>
      </c>
      <c r="AI3210" s="47"/>
      <c r="AJ3210" s="47"/>
    </row>
    <row r="3211" spans="1:36">
      <c r="A3211" s="374" t="s">
        <v>4790</v>
      </c>
      <c r="B3211" s="374">
        <v>8</v>
      </c>
      <c r="C3211" s="374" t="s">
        <v>1412</v>
      </c>
      <c r="D3211" s="375" t="str">
        <f t="shared" si="676"/>
        <v>Opalia8</v>
      </c>
      <c r="E3211" s="375" t="s">
        <v>4802</v>
      </c>
      <c r="F3211" s="375"/>
      <c r="G3211" s="375"/>
      <c r="H3211" s="375"/>
      <c r="I3211" s="63"/>
      <c r="J3211" s="47">
        <f t="shared" si="677"/>
        <v>3740</v>
      </c>
      <c r="K3211" s="46" t="s">
        <v>7938</v>
      </c>
      <c r="L3211" s="47" t="s">
        <v>4792</v>
      </c>
      <c r="M3211" s="47">
        <f t="shared" si="680"/>
        <v>1430.0000000000002</v>
      </c>
      <c r="N3211" s="47" t="s">
        <v>4793</v>
      </c>
      <c r="O3211" s="47">
        <f t="shared" si="681"/>
        <v>4950</v>
      </c>
      <c r="P3211" s="47" t="s">
        <v>4794</v>
      </c>
      <c r="Q3211" s="47" t="s">
        <v>4795</v>
      </c>
      <c r="R3211" s="47"/>
      <c r="S3211" s="47"/>
      <c r="T3211" s="47"/>
      <c r="U3211" s="47">
        <f t="shared" si="678"/>
        <v>430</v>
      </c>
      <c r="V3211" s="47"/>
      <c r="W3211" s="47"/>
      <c r="X3211" s="47"/>
      <c r="Y3211" s="47"/>
      <c r="Z3211" s="47">
        <f t="shared" si="682"/>
        <v>4620</v>
      </c>
      <c r="AA3211" s="47"/>
      <c r="AB3211" s="47"/>
      <c r="AC3211" s="47"/>
      <c r="AD3211" s="47"/>
      <c r="AE3211" s="47"/>
      <c r="AF3211" s="47"/>
      <c r="AG3211" s="47"/>
      <c r="AH3211" s="47" t="str">
        <f>IFERROR(_xlfn.XLOOKUP(Table6[[#This Row],[Suburb]],Table5[Travel Surcharge],Table5[$$]),"")</f>
        <v/>
      </c>
      <c r="AI3211" s="47"/>
      <c r="AJ3211" s="47"/>
    </row>
    <row r="3212" spans="1:36">
      <c r="A3212" s="374" t="s">
        <v>4790</v>
      </c>
      <c r="B3212" s="374">
        <v>9</v>
      </c>
      <c r="C3212" s="374" t="s">
        <v>1412</v>
      </c>
      <c r="D3212" s="375" t="str">
        <f t="shared" si="676"/>
        <v>Opalia9</v>
      </c>
      <c r="E3212" s="375" t="s">
        <v>4803</v>
      </c>
      <c r="F3212" s="375"/>
      <c r="G3212" s="375"/>
      <c r="H3212" s="375"/>
      <c r="I3212" s="63"/>
      <c r="J3212" s="47">
        <f t="shared" si="677"/>
        <v>3740</v>
      </c>
      <c r="K3212" s="46" t="s">
        <v>7938</v>
      </c>
      <c r="L3212" s="47" t="s">
        <v>4792</v>
      </c>
      <c r="M3212" s="47">
        <f t="shared" si="680"/>
        <v>1430.0000000000002</v>
      </c>
      <c r="N3212" s="47" t="s">
        <v>4793</v>
      </c>
      <c r="O3212" s="47">
        <f t="shared" si="681"/>
        <v>4950</v>
      </c>
      <c r="P3212" s="47" t="s">
        <v>4794</v>
      </c>
      <c r="Q3212" s="47" t="s">
        <v>4795</v>
      </c>
      <c r="R3212" s="47"/>
      <c r="S3212" s="47"/>
      <c r="T3212" s="47"/>
      <c r="U3212" s="47">
        <f t="shared" si="678"/>
        <v>430</v>
      </c>
      <c r="V3212" s="47"/>
      <c r="W3212" s="47"/>
      <c r="X3212" s="47"/>
      <c r="Y3212" s="47"/>
      <c r="Z3212" s="47">
        <f t="shared" si="682"/>
        <v>4620</v>
      </c>
      <c r="AA3212" s="47"/>
      <c r="AB3212" s="47"/>
      <c r="AC3212" s="47"/>
      <c r="AD3212" s="47"/>
      <c r="AE3212" s="47"/>
      <c r="AF3212" s="47"/>
      <c r="AG3212" s="47"/>
      <c r="AH3212" s="47" t="str">
        <f>IFERROR(_xlfn.XLOOKUP(Table6[[#This Row],[Suburb]],Table5[Travel Surcharge],Table5[$$]),"")</f>
        <v/>
      </c>
      <c r="AI3212" s="47"/>
      <c r="AJ3212" s="47"/>
    </row>
    <row r="3213" spans="1:36">
      <c r="A3213" s="374" t="s">
        <v>4790</v>
      </c>
      <c r="B3213" s="374" t="s">
        <v>718</v>
      </c>
      <c r="C3213" s="374" t="s">
        <v>1412</v>
      </c>
      <c r="D3213" s="375" t="str">
        <f t="shared" si="676"/>
        <v>Opalia2A</v>
      </c>
      <c r="E3213" s="375" t="s">
        <v>4797</v>
      </c>
      <c r="F3213" s="375"/>
      <c r="G3213" s="375"/>
      <c r="H3213" s="375"/>
      <c r="I3213" s="63"/>
      <c r="J3213" s="47">
        <f t="shared" si="677"/>
        <v>3740</v>
      </c>
      <c r="K3213" s="46" t="s">
        <v>7938</v>
      </c>
      <c r="L3213" s="47" t="s">
        <v>4792</v>
      </c>
      <c r="M3213" s="47">
        <f t="shared" si="680"/>
        <v>1430.0000000000002</v>
      </c>
      <c r="N3213" s="47" t="s">
        <v>4793</v>
      </c>
      <c r="O3213" s="47">
        <f t="shared" si="681"/>
        <v>4950</v>
      </c>
      <c r="P3213" s="47" t="s">
        <v>4794</v>
      </c>
      <c r="Q3213" s="47" t="s">
        <v>4795</v>
      </c>
      <c r="R3213" s="47"/>
      <c r="S3213" s="47"/>
      <c r="T3213" s="47"/>
      <c r="U3213" s="47">
        <f t="shared" si="678"/>
        <v>430</v>
      </c>
      <c r="V3213" s="47"/>
      <c r="W3213" s="47"/>
      <c r="X3213" s="47"/>
      <c r="Y3213" s="47"/>
      <c r="Z3213" s="47">
        <f t="shared" si="682"/>
        <v>4620</v>
      </c>
      <c r="AA3213" s="47"/>
      <c r="AB3213" s="47"/>
      <c r="AC3213" s="47"/>
      <c r="AD3213" s="47"/>
      <c r="AE3213" s="47"/>
      <c r="AF3213" s="47"/>
      <c r="AG3213" s="47"/>
      <c r="AH3213" s="47" t="str">
        <f>IFERROR(_xlfn.XLOOKUP(Table6[[#This Row],[Suburb]],Table5[Travel Surcharge],Table5[$$]),"")</f>
        <v/>
      </c>
      <c r="AI3213" s="47"/>
      <c r="AJ3213" s="47"/>
    </row>
    <row r="3214" spans="1:36">
      <c r="A3214" s="374" t="s">
        <v>4804</v>
      </c>
      <c r="B3214" s="374">
        <v>2</v>
      </c>
      <c r="C3214" s="374" t="s">
        <v>593</v>
      </c>
      <c r="D3214" s="375" t="str">
        <f t="shared" si="676"/>
        <v>Ora2</v>
      </c>
      <c r="E3214" s="375" t="s">
        <v>4808</v>
      </c>
      <c r="F3214" s="375"/>
      <c r="G3214" s="375" t="s">
        <v>494</v>
      </c>
      <c r="H3214" s="375" t="s">
        <v>1521</v>
      </c>
      <c r="I3214" s="63" t="s">
        <v>4016</v>
      </c>
      <c r="J3214" s="47">
        <f t="shared" si="677"/>
        <v>3740</v>
      </c>
      <c r="K3214" s="46" t="s">
        <v>10735</v>
      </c>
      <c r="L3214" s="47" t="s">
        <v>4806</v>
      </c>
      <c r="M3214" s="47">
        <f t="shared" si="680"/>
        <v>1430.0000000000002</v>
      </c>
      <c r="N3214" s="47"/>
      <c r="O3214" s="47" t="s">
        <v>4807</v>
      </c>
      <c r="P3214" s="47"/>
      <c r="Q3214" s="47">
        <f>Q$2</f>
        <v>0</v>
      </c>
      <c r="R3214" s="47"/>
      <c r="S3214" s="47"/>
      <c r="T3214" s="47"/>
      <c r="U3214" s="47"/>
      <c r="V3214" s="47"/>
      <c r="W3214" s="47"/>
      <c r="X3214" s="47"/>
      <c r="Y3214" s="47"/>
      <c r="Z3214" s="47">
        <f t="shared" si="682"/>
        <v>4620</v>
      </c>
      <c r="AA3214" s="47">
        <f>AA$7</f>
        <v>1400</v>
      </c>
      <c r="AB3214" s="47"/>
      <c r="AC3214" s="47"/>
      <c r="AD3214" s="47"/>
      <c r="AE3214" s="47"/>
      <c r="AF3214" s="47">
        <f>AF$7</f>
        <v>1485</v>
      </c>
      <c r="AG3214" s="47"/>
      <c r="AH3214" s="47" t="str">
        <f>IFERROR(_xlfn.XLOOKUP(Table6[[#This Row],[Suburb]],Table5[Travel Surcharge],Table5[$$]),"")</f>
        <v/>
      </c>
      <c r="AI3214" s="47"/>
      <c r="AJ3214" s="47"/>
    </row>
    <row r="3215" spans="1:36">
      <c r="A3215" s="374" t="s">
        <v>4804</v>
      </c>
      <c r="B3215" s="374" t="s">
        <v>501</v>
      </c>
      <c r="C3215" s="374" t="s">
        <v>593</v>
      </c>
      <c r="D3215" s="375" t="str">
        <f t="shared" si="676"/>
        <v>Ora1A</v>
      </c>
      <c r="E3215" s="375" t="s">
        <v>4805</v>
      </c>
      <c r="F3215" s="375"/>
      <c r="G3215" s="375" t="s">
        <v>494</v>
      </c>
      <c r="H3215" s="375" t="s">
        <v>1521</v>
      </c>
      <c r="I3215" s="63" t="s">
        <v>4016</v>
      </c>
      <c r="J3215" s="47">
        <f t="shared" si="677"/>
        <v>3740</v>
      </c>
      <c r="K3215" s="46" t="s">
        <v>10735</v>
      </c>
      <c r="L3215" s="47" t="s">
        <v>4806</v>
      </c>
      <c r="M3215" s="47">
        <f t="shared" si="680"/>
        <v>1430.0000000000002</v>
      </c>
      <c r="N3215" s="47"/>
      <c r="O3215" s="47" t="s">
        <v>4807</v>
      </c>
      <c r="P3215" s="47"/>
      <c r="Q3215" s="47">
        <f>Q$2</f>
        <v>0</v>
      </c>
      <c r="R3215" s="47"/>
      <c r="S3215" s="47"/>
      <c r="T3215" s="47"/>
      <c r="U3215" s="47"/>
      <c r="V3215" s="47"/>
      <c r="W3215" s="47"/>
      <c r="X3215" s="47"/>
      <c r="Y3215" s="47"/>
      <c r="Z3215" s="47">
        <f t="shared" si="682"/>
        <v>4620</v>
      </c>
      <c r="AA3215" s="47">
        <f>AA$7</f>
        <v>1400</v>
      </c>
      <c r="AB3215" s="47"/>
      <c r="AC3215" s="47"/>
      <c r="AD3215" s="47"/>
      <c r="AE3215" s="47"/>
      <c r="AF3215" s="47">
        <f>AF$7</f>
        <v>1485</v>
      </c>
      <c r="AG3215" s="47"/>
      <c r="AH3215" s="47" t="str">
        <f>IFERROR(_xlfn.XLOOKUP(Table6[[#This Row],[Suburb]],Table5[Travel Surcharge],Table5[$$]),"")</f>
        <v/>
      </c>
      <c r="AI3215" s="47"/>
      <c r="AJ3215" s="47"/>
    </row>
    <row r="3216" spans="1:36">
      <c r="A3216" s="374" t="s">
        <v>4809</v>
      </c>
      <c r="B3216" s="374">
        <v>22</v>
      </c>
      <c r="C3216" s="374" t="s">
        <v>428</v>
      </c>
      <c r="D3216" s="375" t="s">
        <v>9802</v>
      </c>
      <c r="E3216" s="375" t="s">
        <v>9803</v>
      </c>
      <c r="F3216" s="375" t="s">
        <v>4811</v>
      </c>
      <c r="G3216" s="375" t="s">
        <v>4812</v>
      </c>
      <c r="H3216" s="375" t="s">
        <v>2754</v>
      </c>
      <c r="I3216" s="63" t="s">
        <v>4813</v>
      </c>
      <c r="J3216" s="47">
        <v>3740</v>
      </c>
      <c r="K3216" s="46" t="s">
        <v>10735</v>
      </c>
      <c r="L3216" s="47"/>
      <c r="M3216" s="47">
        <v>1430.0000000000002</v>
      </c>
      <c r="N3216" s="47" t="s">
        <v>4814</v>
      </c>
      <c r="O3216" s="47" t="s">
        <v>4815</v>
      </c>
      <c r="P3216" s="47"/>
      <c r="Q3216" s="47"/>
      <c r="R3216" s="47"/>
      <c r="S3216" s="47" t="s">
        <v>463</v>
      </c>
      <c r="T3216" s="47"/>
      <c r="U3216" s="47"/>
      <c r="V3216" s="47" t="s">
        <v>4816</v>
      </c>
      <c r="W3216" s="47" t="s">
        <v>7985</v>
      </c>
      <c r="X3216" s="47"/>
      <c r="Y3216" s="47"/>
      <c r="Z3216" s="47">
        <v>4620</v>
      </c>
      <c r="AA3216" s="47"/>
      <c r="AB3216" s="47"/>
      <c r="AC3216" s="47"/>
      <c r="AD3216" s="47"/>
      <c r="AE3216" s="47"/>
      <c r="AF3216" s="47">
        <v>1485</v>
      </c>
      <c r="AG3216" s="47"/>
      <c r="AH3216" s="47" t="str">
        <f>IFERROR(_xlfn.XLOOKUP(Table6[[#This Row],[Suburb]],Table5[Travel Surcharge],Table5[$$]),"")</f>
        <v/>
      </c>
      <c r="AI3216" s="47"/>
      <c r="AJ3216" s="47"/>
    </row>
    <row r="3217" spans="1:36">
      <c r="A3217" s="374" t="s">
        <v>4809</v>
      </c>
      <c r="B3217" s="374">
        <v>10</v>
      </c>
      <c r="C3217" s="374" t="s">
        <v>428</v>
      </c>
      <c r="D3217" s="375" t="s">
        <v>9730</v>
      </c>
      <c r="E3217" s="375" t="s">
        <v>9731</v>
      </c>
      <c r="F3217" s="375" t="s">
        <v>4811</v>
      </c>
      <c r="G3217" s="375" t="s">
        <v>4812</v>
      </c>
      <c r="H3217" s="375" t="s">
        <v>2754</v>
      </c>
      <c r="I3217" s="63" t="s">
        <v>4813</v>
      </c>
      <c r="J3217" s="47">
        <v>3740</v>
      </c>
      <c r="K3217" s="46" t="s">
        <v>10735</v>
      </c>
      <c r="L3217" s="47"/>
      <c r="M3217" s="47">
        <v>1430.0000000000002</v>
      </c>
      <c r="N3217" s="47" t="s">
        <v>4814</v>
      </c>
      <c r="O3217" s="47" t="s">
        <v>4815</v>
      </c>
      <c r="P3217" s="47"/>
      <c r="Q3217" s="47"/>
      <c r="R3217" s="47"/>
      <c r="S3217" s="47" t="s">
        <v>463</v>
      </c>
      <c r="T3217" s="47"/>
      <c r="U3217" s="47"/>
      <c r="V3217" s="47" t="s">
        <v>4816</v>
      </c>
      <c r="W3217" s="47" t="s">
        <v>7985</v>
      </c>
      <c r="X3217" s="47"/>
      <c r="Y3217" s="47"/>
      <c r="Z3217" s="47">
        <v>4620</v>
      </c>
      <c r="AA3217" s="47"/>
      <c r="AB3217" s="47"/>
      <c r="AC3217" s="47"/>
      <c r="AD3217" s="47"/>
      <c r="AE3217" s="47"/>
      <c r="AF3217" s="47">
        <v>1485</v>
      </c>
      <c r="AG3217" s="47"/>
      <c r="AH3217" s="47" t="str">
        <f>IFERROR(_xlfn.XLOOKUP(Table6[[#This Row],[Suburb]],Table5[Travel Surcharge],Table5[$$]),"")</f>
        <v/>
      </c>
      <c r="AI3217" s="47"/>
      <c r="AJ3217" s="47"/>
    </row>
    <row r="3218" spans="1:36">
      <c r="A3218" s="374" t="s">
        <v>4809</v>
      </c>
      <c r="B3218" s="374">
        <v>2</v>
      </c>
      <c r="C3218" s="374" t="s">
        <v>428</v>
      </c>
      <c r="D3218" s="375" t="str">
        <f>CONCATENATE(A3218,B3218)</f>
        <v>Orana2</v>
      </c>
      <c r="E3218" s="375" t="s">
        <v>4810</v>
      </c>
      <c r="F3218" s="375" t="s">
        <v>4811</v>
      </c>
      <c r="G3218" s="375" t="s">
        <v>4812</v>
      </c>
      <c r="H3218" s="375" t="s">
        <v>2754</v>
      </c>
      <c r="I3218" s="63" t="s">
        <v>4813</v>
      </c>
      <c r="J3218" s="47">
        <f>J$7</f>
        <v>3740</v>
      </c>
      <c r="K3218" s="46" t="s">
        <v>10735</v>
      </c>
      <c r="L3218" s="47"/>
      <c r="M3218" s="47">
        <f>M$7</f>
        <v>1430.0000000000002</v>
      </c>
      <c r="N3218" s="47" t="s">
        <v>4814</v>
      </c>
      <c r="O3218" s="47" t="s">
        <v>4815</v>
      </c>
      <c r="P3218" s="47"/>
      <c r="Q3218" s="47"/>
      <c r="R3218" s="47"/>
      <c r="S3218" s="47" t="s">
        <v>463</v>
      </c>
      <c r="T3218" s="47"/>
      <c r="U3218" s="47"/>
      <c r="V3218" s="47" t="s">
        <v>4816</v>
      </c>
      <c r="W3218" s="159" t="s">
        <v>7985</v>
      </c>
      <c r="X3218" s="47"/>
      <c r="Y3218" s="47"/>
      <c r="Z3218" s="47">
        <f>Z$7</f>
        <v>4620</v>
      </c>
      <c r="AA3218" s="47"/>
      <c r="AB3218" s="47"/>
      <c r="AC3218" s="47"/>
      <c r="AD3218" s="47"/>
      <c r="AE3218" s="47"/>
      <c r="AF3218" s="47">
        <f>AF$7</f>
        <v>1485</v>
      </c>
      <c r="AG3218" s="47"/>
      <c r="AH3218" s="47" t="str">
        <f>IFERROR(_xlfn.XLOOKUP(Table6[[#This Row],[Suburb]],Table5[Travel Surcharge],Table5[$$]),"")</f>
        <v/>
      </c>
      <c r="AI3218" s="47"/>
      <c r="AJ3218" s="47"/>
    </row>
    <row r="3219" spans="1:36">
      <c r="A3219" s="374" t="s">
        <v>4809</v>
      </c>
      <c r="B3219" s="374">
        <v>3</v>
      </c>
      <c r="C3219" s="374" t="s">
        <v>428</v>
      </c>
      <c r="D3219" s="375" t="str">
        <f>CONCATENATE(A3219,B3219)</f>
        <v>Orana3</v>
      </c>
      <c r="E3219" s="375" t="s">
        <v>4817</v>
      </c>
      <c r="F3219" s="375" t="s">
        <v>4811</v>
      </c>
      <c r="G3219" s="375" t="s">
        <v>4812</v>
      </c>
      <c r="H3219" s="375" t="s">
        <v>2754</v>
      </c>
      <c r="I3219" s="63" t="s">
        <v>4813</v>
      </c>
      <c r="J3219" s="47">
        <f>J$7</f>
        <v>3740</v>
      </c>
      <c r="K3219" s="46" t="s">
        <v>10735</v>
      </c>
      <c r="L3219" s="47"/>
      <c r="M3219" s="47">
        <f>M$7</f>
        <v>1430.0000000000002</v>
      </c>
      <c r="N3219" s="47" t="s">
        <v>4814</v>
      </c>
      <c r="O3219" s="47" t="s">
        <v>4815</v>
      </c>
      <c r="P3219" s="47"/>
      <c r="Q3219" s="47"/>
      <c r="R3219" s="47"/>
      <c r="S3219" s="47" t="s">
        <v>463</v>
      </c>
      <c r="T3219" s="47"/>
      <c r="U3219" s="47"/>
      <c r="V3219" s="47" t="s">
        <v>4816</v>
      </c>
      <c r="W3219" s="159" t="s">
        <v>7985</v>
      </c>
      <c r="X3219" s="47"/>
      <c r="Y3219" s="47"/>
      <c r="Z3219" s="47">
        <f>Z$7</f>
        <v>4620</v>
      </c>
      <c r="AA3219" s="47"/>
      <c r="AB3219" s="47"/>
      <c r="AC3219" s="47"/>
      <c r="AD3219" s="47"/>
      <c r="AE3219" s="47"/>
      <c r="AF3219" s="47">
        <f>AF$7</f>
        <v>1485</v>
      </c>
      <c r="AG3219" s="47"/>
      <c r="AH3219" s="47" t="str">
        <f>IFERROR(_xlfn.XLOOKUP(Table6[[#This Row],[Suburb]],Table5[Travel Surcharge],Table5[$$]),"")</f>
        <v/>
      </c>
      <c r="AI3219" s="47"/>
      <c r="AJ3219" s="47"/>
    </row>
    <row r="3220" spans="1:36">
      <c r="A3220" s="374" t="s">
        <v>4809</v>
      </c>
      <c r="B3220" s="374">
        <v>4</v>
      </c>
      <c r="C3220" s="374" t="s">
        <v>428</v>
      </c>
      <c r="D3220" s="375" t="str">
        <f>CONCATENATE(A3220,B3220)</f>
        <v>Orana4</v>
      </c>
      <c r="E3220" s="375" t="s">
        <v>4818</v>
      </c>
      <c r="F3220" s="375" t="s">
        <v>4811</v>
      </c>
      <c r="G3220" s="375" t="s">
        <v>4812</v>
      </c>
      <c r="H3220" s="375" t="s">
        <v>2754</v>
      </c>
      <c r="I3220" s="63" t="s">
        <v>4813</v>
      </c>
      <c r="J3220" s="47">
        <f>J$7</f>
        <v>3740</v>
      </c>
      <c r="K3220" s="46" t="s">
        <v>10735</v>
      </c>
      <c r="L3220" s="47"/>
      <c r="M3220" s="47">
        <f>M$7</f>
        <v>1430.0000000000002</v>
      </c>
      <c r="N3220" s="47" t="s">
        <v>4814</v>
      </c>
      <c r="O3220" s="47" t="s">
        <v>4815</v>
      </c>
      <c r="P3220" s="47"/>
      <c r="Q3220" s="47"/>
      <c r="R3220" s="47"/>
      <c r="S3220" s="47" t="s">
        <v>463</v>
      </c>
      <c r="T3220" s="47"/>
      <c r="U3220" s="47"/>
      <c r="V3220" s="47" t="s">
        <v>4816</v>
      </c>
      <c r="W3220" s="159" t="s">
        <v>7985</v>
      </c>
      <c r="X3220" s="47"/>
      <c r="Y3220" s="47"/>
      <c r="Z3220" s="47">
        <f>Z$7</f>
        <v>4620</v>
      </c>
      <c r="AA3220" s="47"/>
      <c r="AB3220" s="47"/>
      <c r="AC3220" s="47"/>
      <c r="AD3220" s="47"/>
      <c r="AE3220" s="47"/>
      <c r="AF3220" s="47">
        <f>AF$7</f>
        <v>1485</v>
      </c>
      <c r="AG3220" s="47"/>
      <c r="AH3220" s="47" t="str">
        <f>IFERROR(_xlfn.XLOOKUP(Table6[[#This Row],[Suburb]],Table5[Travel Surcharge],Table5[$$]),"")</f>
        <v/>
      </c>
      <c r="AI3220" s="47"/>
      <c r="AJ3220" s="47"/>
    </row>
    <row r="3221" spans="1:36">
      <c r="A3221" s="374" t="s">
        <v>4809</v>
      </c>
      <c r="B3221" s="374">
        <v>5</v>
      </c>
      <c r="C3221" s="374" t="s">
        <v>428</v>
      </c>
      <c r="D3221" s="375" t="str">
        <f>CONCATENATE(A3221,B3221)</f>
        <v>Orana5</v>
      </c>
      <c r="E3221" s="375" t="s">
        <v>4819</v>
      </c>
      <c r="F3221" s="375" t="s">
        <v>4811</v>
      </c>
      <c r="G3221" s="375" t="s">
        <v>4812</v>
      </c>
      <c r="H3221" s="375" t="s">
        <v>2754</v>
      </c>
      <c r="I3221" s="63" t="s">
        <v>4813</v>
      </c>
      <c r="J3221" s="47">
        <f>J$7</f>
        <v>3740</v>
      </c>
      <c r="K3221" s="46" t="s">
        <v>10735</v>
      </c>
      <c r="L3221" s="47"/>
      <c r="M3221" s="47">
        <f>M$7</f>
        <v>1430.0000000000002</v>
      </c>
      <c r="N3221" s="47" t="s">
        <v>4814</v>
      </c>
      <c r="O3221" s="47" t="s">
        <v>4815</v>
      </c>
      <c r="P3221" s="47"/>
      <c r="Q3221" s="47"/>
      <c r="R3221" s="47"/>
      <c r="S3221" s="47" t="s">
        <v>463</v>
      </c>
      <c r="T3221" s="47"/>
      <c r="U3221" s="47"/>
      <c r="V3221" s="47" t="s">
        <v>4816</v>
      </c>
      <c r="W3221" s="159" t="s">
        <v>7985</v>
      </c>
      <c r="X3221" s="47"/>
      <c r="Y3221" s="47"/>
      <c r="Z3221" s="47">
        <f>Z$7</f>
        <v>4620</v>
      </c>
      <c r="AA3221" s="47"/>
      <c r="AB3221" s="47"/>
      <c r="AC3221" s="47"/>
      <c r="AD3221" s="47"/>
      <c r="AE3221" s="47"/>
      <c r="AF3221" s="47">
        <f>AF$7</f>
        <v>1485</v>
      </c>
      <c r="AG3221" s="47"/>
      <c r="AH3221" s="47" t="str">
        <f>IFERROR(_xlfn.XLOOKUP(Table6[[#This Row],[Suburb]],Table5[Travel Surcharge],Table5[$$]),"")</f>
        <v/>
      </c>
      <c r="AI3221" s="47"/>
      <c r="AJ3221" s="47"/>
    </row>
    <row r="3222" spans="1:36">
      <c r="A3222" s="374" t="s">
        <v>4809</v>
      </c>
      <c r="B3222" s="374">
        <v>9</v>
      </c>
      <c r="C3222" s="374" t="s">
        <v>428</v>
      </c>
      <c r="D3222" s="375" t="str">
        <f>CONCATENATE(A3222,B3222)</f>
        <v>Orana9</v>
      </c>
      <c r="E3222" s="375" t="s">
        <v>4820</v>
      </c>
      <c r="F3222" s="375" t="s">
        <v>4811</v>
      </c>
      <c r="G3222" s="375" t="s">
        <v>4812</v>
      </c>
      <c r="H3222" s="375" t="s">
        <v>2754</v>
      </c>
      <c r="I3222" s="63" t="s">
        <v>4813</v>
      </c>
      <c r="J3222" s="47">
        <f>J$7</f>
        <v>3740</v>
      </c>
      <c r="K3222" s="46" t="s">
        <v>10735</v>
      </c>
      <c r="L3222" s="47"/>
      <c r="M3222" s="47">
        <f>M$7</f>
        <v>1430.0000000000002</v>
      </c>
      <c r="N3222" s="47" t="s">
        <v>4814</v>
      </c>
      <c r="O3222" s="47" t="s">
        <v>4815</v>
      </c>
      <c r="P3222" s="47"/>
      <c r="Q3222" s="47"/>
      <c r="R3222" s="47"/>
      <c r="S3222" s="47" t="s">
        <v>463</v>
      </c>
      <c r="T3222" s="47"/>
      <c r="U3222" s="47"/>
      <c r="V3222" s="47" t="s">
        <v>4816</v>
      </c>
      <c r="W3222" s="159" t="s">
        <v>7985</v>
      </c>
      <c r="X3222" s="47"/>
      <c r="Y3222" s="47"/>
      <c r="Z3222" s="47">
        <f>Z$7</f>
        <v>4620</v>
      </c>
      <c r="AA3222" s="47"/>
      <c r="AB3222" s="47"/>
      <c r="AC3222" s="47"/>
      <c r="AD3222" s="47"/>
      <c r="AE3222" s="47"/>
      <c r="AF3222" s="47">
        <f>AF$7</f>
        <v>1485</v>
      </c>
      <c r="AG3222" s="47"/>
      <c r="AH3222" s="47" t="str">
        <f>IFERROR(_xlfn.XLOOKUP(Table6[[#This Row],[Suburb]],Table5[Travel Surcharge],Table5[$$]),"")</f>
        <v/>
      </c>
      <c r="AI3222" s="47"/>
      <c r="AJ3222" s="47"/>
    </row>
    <row r="3223" spans="1:36">
      <c r="A3223" s="374" t="s">
        <v>4809</v>
      </c>
      <c r="B3223" s="374">
        <v>11</v>
      </c>
      <c r="C3223" s="374" t="s">
        <v>428</v>
      </c>
      <c r="D3223" s="375" t="s">
        <v>9517</v>
      </c>
      <c r="E3223" s="375" t="s">
        <v>9518</v>
      </c>
      <c r="F3223" s="375" t="s">
        <v>4811</v>
      </c>
      <c r="G3223" s="375" t="s">
        <v>4812</v>
      </c>
      <c r="H3223" s="375" t="s">
        <v>2754</v>
      </c>
      <c r="I3223" s="63" t="s">
        <v>4813</v>
      </c>
      <c r="J3223" s="47">
        <v>3740</v>
      </c>
      <c r="K3223" s="46" t="s">
        <v>10735</v>
      </c>
      <c r="L3223" s="47"/>
      <c r="M3223" s="47">
        <v>1430.0000000000002</v>
      </c>
      <c r="N3223" s="47" t="s">
        <v>4814</v>
      </c>
      <c r="O3223" s="47" t="s">
        <v>4815</v>
      </c>
      <c r="P3223" s="47"/>
      <c r="Q3223" s="47"/>
      <c r="R3223" s="47"/>
      <c r="S3223" s="47" t="s">
        <v>463</v>
      </c>
      <c r="T3223" s="47"/>
      <c r="U3223" s="47"/>
      <c r="V3223" s="47" t="s">
        <v>4816</v>
      </c>
      <c r="W3223" s="159" t="s">
        <v>7985</v>
      </c>
      <c r="X3223" s="47"/>
      <c r="Y3223" s="47"/>
      <c r="Z3223" s="47">
        <v>4620</v>
      </c>
      <c r="AA3223" s="47"/>
      <c r="AB3223" s="47"/>
      <c r="AC3223" s="47"/>
      <c r="AD3223" s="47"/>
      <c r="AE3223" s="47"/>
      <c r="AF3223" s="47">
        <v>1650.0000000000002</v>
      </c>
      <c r="AG3223" s="47"/>
      <c r="AH3223" s="47" t="str">
        <f>IFERROR(_xlfn.XLOOKUP(Table6[[#This Row],[Suburb]],Table5[Travel Surcharge],Table5[$$]),"")</f>
        <v/>
      </c>
      <c r="AI3223" s="47"/>
      <c r="AJ3223" s="47"/>
    </row>
    <row r="3224" spans="1:36">
      <c r="A3224" s="374" t="s">
        <v>4809</v>
      </c>
      <c r="B3224" s="374">
        <v>12</v>
      </c>
      <c r="C3224" s="374" t="s">
        <v>428</v>
      </c>
      <c r="D3224" s="375" t="str">
        <f t="shared" ref="D3224:D3256" si="683">CONCATENATE(A3224,B3224)</f>
        <v>Orana12</v>
      </c>
      <c r="E3224" s="375" t="s">
        <v>4821</v>
      </c>
      <c r="F3224" s="375" t="s">
        <v>4811</v>
      </c>
      <c r="G3224" s="375" t="s">
        <v>4812</v>
      </c>
      <c r="H3224" s="375" t="s">
        <v>2754</v>
      </c>
      <c r="I3224" s="63" t="s">
        <v>4813</v>
      </c>
      <c r="J3224" s="47">
        <f t="shared" ref="J3224:J3250" si="684">J$7</f>
        <v>3740</v>
      </c>
      <c r="K3224" s="46" t="s">
        <v>10735</v>
      </c>
      <c r="L3224" s="47"/>
      <c r="M3224" s="47">
        <f t="shared" ref="M3224:M3250" si="685">M$7</f>
        <v>1430.0000000000002</v>
      </c>
      <c r="N3224" s="47" t="s">
        <v>4814</v>
      </c>
      <c r="O3224" s="47" t="s">
        <v>4815</v>
      </c>
      <c r="P3224" s="47"/>
      <c r="Q3224" s="47"/>
      <c r="R3224" s="47"/>
      <c r="S3224" s="47" t="s">
        <v>463</v>
      </c>
      <c r="T3224" s="47"/>
      <c r="U3224" s="47"/>
      <c r="V3224" s="47" t="s">
        <v>4816</v>
      </c>
      <c r="W3224" s="159" t="s">
        <v>7985</v>
      </c>
      <c r="X3224" s="47"/>
      <c r="Y3224" s="47"/>
      <c r="Z3224" s="47">
        <f t="shared" ref="Z3224:Z3256" si="686">Z$7</f>
        <v>4620</v>
      </c>
      <c r="AA3224" s="47"/>
      <c r="AB3224" s="47"/>
      <c r="AC3224" s="47"/>
      <c r="AD3224" s="47"/>
      <c r="AE3224" s="47"/>
      <c r="AF3224" s="47">
        <f t="shared" ref="AF3224:AF3250" si="687">AF$7</f>
        <v>1485</v>
      </c>
      <c r="AG3224" s="47"/>
      <c r="AH3224" s="47" t="str">
        <f>IFERROR(_xlfn.XLOOKUP(Table6[[#This Row],[Suburb]],Table5[Travel Surcharge],Table5[$$]),"")</f>
        <v/>
      </c>
      <c r="AI3224" s="47"/>
      <c r="AJ3224" s="47"/>
    </row>
    <row r="3225" spans="1:36">
      <c r="A3225" s="374" t="s">
        <v>4809</v>
      </c>
      <c r="B3225" s="374">
        <v>14</v>
      </c>
      <c r="C3225" s="374" t="s">
        <v>428</v>
      </c>
      <c r="D3225" s="375" t="str">
        <f t="shared" si="683"/>
        <v>Orana14</v>
      </c>
      <c r="E3225" s="375" t="s">
        <v>4822</v>
      </c>
      <c r="F3225" s="375" t="s">
        <v>4811</v>
      </c>
      <c r="G3225" s="375" t="s">
        <v>4812</v>
      </c>
      <c r="H3225" s="375" t="s">
        <v>2754</v>
      </c>
      <c r="I3225" s="63" t="s">
        <v>4813</v>
      </c>
      <c r="J3225" s="47">
        <f t="shared" si="684"/>
        <v>3740</v>
      </c>
      <c r="K3225" s="46" t="s">
        <v>10735</v>
      </c>
      <c r="L3225" s="47"/>
      <c r="M3225" s="47">
        <f t="shared" si="685"/>
        <v>1430.0000000000002</v>
      </c>
      <c r="N3225" s="47" t="s">
        <v>4814</v>
      </c>
      <c r="O3225" s="47" t="s">
        <v>4815</v>
      </c>
      <c r="P3225" s="47"/>
      <c r="Q3225" s="47"/>
      <c r="R3225" s="47"/>
      <c r="S3225" s="47" t="s">
        <v>463</v>
      </c>
      <c r="T3225" s="47"/>
      <c r="U3225" s="47"/>
      <c r="V3225" s="47" t="s">
        <v>4816</v>
      </c>
      <c r="W3225" s="159" t="s">
        <v>7985</v>
      </c>
      <c r="X3225" s="47"/>
      <c r="Y3225" s="47"/>
      <c r="Z3225" s="47">
        <f t="shared" si="686"/>
        <v>4620</v>
      </c>
      <c r="AA3225" s="47"/>
      <c r="AB3225" s="47"/>
      <c r="AC3225" s="47"/>
      <c r="AD3225" s="47"/>
      <c r="AE3225" s="47"/>
      <c r="AF3225" s="47">
        <f t="shared" si="687"/>
        <v>1485</v>
      </c>
      <c r="AG3225" s="47"/>
      <c r="AH3225" s="47" t="str">
        <f>IFERROR(_xlfn.XLOOKUP(Table6[[#This Row],[Suburb]],Table5[Travel Surcharge],Table5[$$]),"")</f>
        <v/>
      </c>
      <c r="AI3225" s="47"/>
      <c r="AJ3225" s="47"/>
    </row>
    <row r="3226" spans="1:36">
      <c r="A3226" s="157" t="s">
        <v>4809</v>
      </c>
      <c r="B3226" s="157">
        <v>16</v>
      </c>
      <c r="C3226" s="157" t="s">
        <v>428</v>
      </c>
      <c r="D3226" s="157" t="str">
        <f t="shared" si="683"/>
        <v>Orana16</v>
      </c>
      <c r="E3226" s="157" t="s">
        <v>7764</v>
      </c>
      <c r="F3226" s="157" t="s">
        <v>4811</v>
      </c>
      <c r="G3226" s="157" t="s">
        <v>4812</v>
      </c>
      <c r="H3226" s="157" t="s">
        <v>2754</v>
      </c>
      <c r="I3226" s="158" t="s">
        <v>4813</v>
      </c>
      <c r="J3226" s="159">
        <f t="shared" si="684"/>
        <v>3740</v>
      </c>
      <c r="K3226" s="46" t="s">
        <v>10735</v>
      </c>
      <c r="L3226" s="159"/>
      <c r="M3226" s="159">
        <f t="shared" si="685"/>
        <v>1430.0000000000002</v>
      </c>
      <c r="N3226" s="159" t="s">
        <v>4814</v>
      </c>
      <c r="O3226" s="159" t="s">
        <v>4815</v>
      </c>
      <c r="P3226" s="159"/>
      <c r="Q3226" s="159"/>
      <c r="R3226" s="159"/>
      <c r="S3226" s="159" t="s">
        <v>463</v>
      </c>
      <c r="T3226" s="159"/>
      <c r="U3226" s="159"/>
      <c r="V3226" s="159" t="s">
        <v>4816</v>
      </c>
      <c r="W3226" s="159" t="s">
        <v>7985</v>
      </c>
      <c r="X3226" s="159"/>
      <c r="Y3226" s="159"/>
      <c r="Z3226" s="159">
        <f t="shared" si="686"/>
        <v>4620</v>
      </c>
      <c r="AA3226" s="159"/>
      <c r="AB3226" s="159"/>
      <c r="AC3226" s="159"/>
      <c r="AD3226" s="159"/>
      <c r="AE3226" s="159"/>
      <c r="AF3226" s="159">
        <f t="shared" si="687"/>
        <v>1485</v>
      </c>
      <c r="AG3226" s="159"/>
      <c r="AH3226" s="47" t="str">
        <f>IFERROR(_xlfn.XLOOKUP(Table6[[#This Row],[Suburb]],Table5[Travel Surcharge],Table5[$$]),"")</f>
        <v/>
      </c>
      <c r="AI3226" s="159"/>
      <c r="AJ3226" s="159"/>
    </row>
    <row r="3227" spans="1:36">
      <c r="A3227" s="157" t="s">
        <v>4809</v>
      </c>
      <c r="B3227" s="157">
        <v>17</v>
      </c>
      <c r="C3227" s="157" t="s">
        <v>428</v>
      </c>
      <c r="D3227" s="157" t="str">
        <f t="shared" si="683"/>
        <v>Orana17</v>
      </c>
      <c r="E3227" s="157" t="s">
        <v>8081</v>
      </c>
      <c r="F3227" s="157" t="s">
        <v>4811</v>
      </c>
      <c r="G3227" s="157" t="s">
        <v>4812</v>
      </c>
      <c r="H3227" s="157" t="s">
        <v>2754</v>
      </c>
      <c r="I3227" s="158" t="s">
        <v>4813</v>
      </c>
      <c r="J3227" s="159">
        <f t="shared" si="684"/>
        <v>3740</v>
      </c>
      <c r="K3227" s="46" t="s">
        <v>10735</v>
      </c>
      <c r="L3227" s="159"/>
      <c r="M3227" s="159">
        <f t="shared" si="685"/>
        <v>1430.0000000000002</v>
      </c>
      <c r="N3227" s="159" t="s">
        <v>4814</v>
      </c>
      <c r="O3227" s="159" t="s">
        <v>4815</v>
      </c>
      <c r="P3227" s="159"/>
      <c r="Q3227" s="159"/>
      <c r="R3227" s="159"/>
      <c r="S3227" s="159" t="s">
        <v>463</v>
      </c>
      <c r="T3227" s="159"/>
      <c r="U3227" s="159"/>
      <c r="V3227" s="159" t="s">
        <v>4816</v>
      </c>
      <c r="W3227" s="159" t="s">
        <v>7985</v>
      </c>
      <c r="X3227" s="159"/>
      <c r="Y3227" s="159"/>
      <c r="Z3227" s="159">
        <f t="shared" si="686"/>
        <v>4620</v>
      </c>
      <c r="AA3227" s="159"/>
      <c r="AB3227" s="159"/>
      <c r="AC3227" s="159"/>
      <c r="AD3227" s="159"/>
      <c r="AE3227" s="159"/>
      <c r="AF3227" s="159">
        <f t="shared" si="687"/>
        <v>1485</v>
      </c>
      <c r="AG3227" s="159"/>
      <c r="AH3227" s="47" t="str">
        <f>IFERROR(_xlfn.XLOOKUP(Table6[[#This Row],[Suburb]],Table5[Travel Surcharge],Table5[$$]),"")</f>
        <v/>
      </c>
      <c r="AI3227" s="159"/>
      <c r="AJ3227" s="159"/>
    </row>
    <row r="3228" spans="1:36">
      <c r="A3228" s="157" t="s">
        <v>4809</v>
      </c>
      <c r="B3228" s="157">
        <v>18</v>
      </c>
      <c r="C3228" s="157" t="s">
        <v>428</v>
      </c>
      <c r="D3228" s="157" t="str">
        <f t="shared" si="683"/>
        <v>Orana18</v>
      </c>
      <c r="E3228" s="157" t="s">
        <v>8392</v>
      </c>
      <c r="F3228" s="157" t="s">
        <v>4811</v>
      </c>
      <c r="G3228" s="157" t="s">
        <v>4812</v>
      </c>
      <c r="H3228" s="157" t="s">
        <v>2754</v>
      </c>
      <c r="I3228" s="158" t="s">
        <v>4813</v>
      </c>
      <c r="J3228" s="159">
        <f t="shared" si="684"/>
        <v>3740</v>
      </c>
      <c r="K3228" s="46" t="s">
        <v>10735</v>
      </c>
      <c r="L3228" s="159"/>
      <c r="M3228" s="159">
        <f t="shared" si="685"/>
        <v>1430.0000000000002</v>
      </c>
      <c r="N3228" s="159" t="s">
        <v>4814</v>
      </c>
      <c r="O3228" s="159" t="s">
        <v>4815</v>
      </c>
      <c r="P3228" s="159"/>
      <c r="Q3228" s="159"/>
      <c r="R3228" s="159"/>
      <c r="S3228" s="159" t="s">
        <v>463</v>
      </c>
      <c r="T3228" s="159"/>
      <c r="U3228" s="159"/>
      <c r="V3228" s="159" t="s">
        <v>4816</v>
      </c>
      <c r="W3228" s="159" t="s">
        <v>7985</v>
      </c>
      <c r="X3228" s="159"/>
      <c r="Y3228" s="159"/>
      <c r="Z3228" s="159">
        <f t="shared" si="686"/>
        <v>4620</v>
      </c>
      <c r="AA3228" s="159"/>
      <c r="AB3228" s="159"/>
      <c r="AC3228" s="159"/>
      <c r="AD3228" s="159"/>
      <c r="AE3228" s="159"/>
      <c r="AF3228" s="159">
        <f t="shared" si="687"/>
        <v>1485</v>
      </c>
      <c r="AG3228" s="159"/>
      <c r="AH3228" s="47" t="str">
        <f>IFERROR(_xlfn.XLOOKUP(Table6[[#This Row],[Suburb]],Table5[Travel Surcharge],Table5[$$]),"")</f>
        <v/>
      </c>
      <c r="AI3228" s="159"/>
      <c r="AJ3228" s="159"/>
    </row>
    <row r="3229" spans="1:36">
      <c r="A3229" s="157" t="s">
        <v>4809</v>
      </c>
      <c r="B3229" s="157">
        <v>19</v>
      </c>
      <c r="C3229" s="157" t="s">
        <v>428</v>
      </c>
      <c r="D3229" s="157" t="str">
        <f t="shared" si="683"/>
        <v>Orana19</v>
      </c>
      <c r="E3229" s="157" t="s">
        <v>8995</v>
      </c>
      <c r="F3229" s="157" t="s">
        <v>4811</v>
      </c>
      <c r="G3229" s="157" t="s">
        <v>4812</v>
      </c>
      <c r="H3229" s="157" t="s">
        <v>2754</v>
      </c>
      <c r="I3229" s="158" t="s">
        <v>4813</v>
      </c>
      <c r="J3229" s="159">
        <f t="shared" si="684"/>
        <v>3740</v>
      </c>
      <c r="K3229" s="46" t="s">
        <v>10735</v>
      </c>
      <c r="L3229" s="159"/>
      <c r="M3229" s="159">
        <f t="shared" si="685"/>
        <v>1430.0000000000002</v>
      </c>
      <c r="N3229" s="159" t="s">
        <v>4814</v>
      </c>
      <c r="O3229" s="159" t="s">
        <v>4815</v>
      </c>
      <c r="P3229" s="159"/>
      <c r="Q3229" s="159"/>
      <c r="R3229" s="159"/>
      <c r="S3229" s="159" t="s">
        <v>463</v>
      </c>
      <c r="T3229" s="159"/>
      <c r="U3229" s="159"/>
      <c r="V3229" s="159" t="s">
        <v>4816</v>
      </c>
      <c r="W3229" s="159" t="s">
        <v>7985</v>
      </c>
      <c r="X3229" s="159"/>
      <c r="Y3229" s="159"/>
      <c r="Z3229" s="159">
        <f t="shared" si="686"/>
        <v>4620</v>
      </c>
      <c r="AA3229" s="159"/>
      <c r="AB3229" s="159"/>
      <c r="AC3229" s="159"/>
      <c r="AD3229" s="159"/>
      <c r="AE3229" s="159"/>
      <c r="AF3229" s="159">
        <f t="shared" si="687"/>
        <v>1485</v>
      </c>
      <c r="AG3229" s="159"/>
      <c r="AH3229" s="47" t="str">
        <f>IFERROR(_xlfn.XLOOKUP(Table6[[#This Row],[Suburb]],Table5[Travel Surcharge],Table5[$$]),"")</f>
        <v/>
      </c>
      <c r="AI3229" s="159"/>
      <c r="AJ3229" s="159"/>
    </row>
    <row r="3230" spans="1:36">
      <c r="A3230" s="157" t="s">
        <v>4809</v>
      </c>
      <c r="B3230" s="157">
        <v>20</v>
      </c>
      <c r="C3230" s="157" t="s">
        <v>428</v>
      </c>
      <c r="D3230" s="157" t="str">
        <f t="shared" si="683"/>
        <v>Orana20</v>
      </c>
      <c r="E3230" s="157" t="s">
        <v>9242</v>
      </c>
      <c r="F3230" s="157" t="s">
        <v>4811</v>
      </c>
      <c r="G3230" s="157" t="s">
        <v>4812</v>
      </c>
      <c r="H3230" s="157" t="s">
        <v>2754</v>
      </c>
      <c r="I3230" s="158" t="s">
        <v>4813</v>
      </c>
      <c r="J3230" s="159">
        <f t="shared" si="684"/>
        <v>3740</v>
      </c>
      <c r="K3230" s="46" t="s">
        <v>10735</v>
      </c>
      <c r="L3230" s="159"/>
      <c r="M3230" s="159">
        <f t="shared" si="685"/>
        <v>1430.0000000000002</v>
      </c>
      <c r="N3230" s="159" t="s">
        <v>4814</v>
      </c>
      <c r="O3230" s="159" t="s">
        <v>4815</v>
      </c>
      <c r="P3230" s="159"/>
      <c r="Q3230" s="159"/>
      <c r="R3230" s="159"/>
      <c r="S3230" s="159" t="s">
        <v>463</v>
      </c>
      <c r="T3230" s="159"/>
      <c r="U3230" s="159"/>
      <c r="V3230" s="159" t="s">
        <v>4816</v>
      </c>
      <c r="W3230" s="159" t="s">
        <v>7985</v>
      </c>
      <c r="X3230" s="159"/>
      <c r="Y3230" s="159"/>
      <c r="Z3230" s="159">
        <f t="shared" si="686"/>
        <v>4620</v>
      </c>
      <c r="AA3230" s="159"/>
      <c r="AB3230" s="159"/>
      <c r="AC3230" s="159"/>
      <c r="AD3230" s="159"/>
      <c r="AE3230" s="159"/>
      <c r="AF3230" s="159">
        <f t="shared" si="687"/>
        <v>1485</v>
      </c>
      <c r="AG3230" s="159"/>
      <c r="AH3230" s="47" t="str">
        <f>IFERROR(_xlfn.XLOOKUP(Table6[[#This Row],[Suburb]],Table5[Travel Surcharge],Table5[$$]),"")</f>
        <v/>
      </c>
      <c r="AI3230" s="159"/>
      <c r="AJ3230" s="159"/>
    </row>
    <row r="3231" spans="1:36">
      <c r="A3231" s="157" t="s">
        <v>4809</v>
      </c>
      <c r="B3231" s="157">
        <v>21</v>
      </c>
      <c r="C3231" s="157" t="s">
        <v>428</v>
      </c>
      <c r="D3231" s="157" t="str">
        <f t="shared" si="683"/>
        <v>Orana21</v>
      </c>
      <c r="E3231" s="157" t="s">
        <v>9506</v>
      </c>
      <c r="F3231" s="157" t="s">
        <v>4811</v>
      </c>
      <c r="G3231" s="157" t="s">
        <v>4812</v>
      </c>
      <c r="H3231" s="157" t="s">
        <v>2754</v>
      </c>
      <c r="I3231" s="158" t="s">
        <v>4813</v>
      </c>
      <c r="J3231" s="159">
        <f t="shared" si="684"/>
        <v>3740</v>
      </c>
      <c r="K3231" s="46" t="s">
        <v>10735</v>
      </c>
      <c r="L3231" s="159"/>
      <c r="M3231" s="159">
        <f t="shared" si="685"/>
        <v>1430.0000000000002</v>
      </c>
      <c r="N3231" s="159" t="s">
        <v>4814</v>
      </c>
      <c r="O3231" s="159" t="s">
        <v>4815</v>
      </c>
      <c r="P3231" s="159"/>
      <c r="Q3231" s="159"/>
      <c r="R3231" s="159"/>
      <c r="S3231" s="159" t="s">
        <v>463</v>
      </c>
      <c r="T3231" s="159"/>
      <c r="U3231" s="159"/>
      <c r="V3231" s="159" t="s">
        <v>4816</v>
      </c>
      <c r="W3231" s="159" t="s">
        <v>7985</v>
      </c>
      <c r="X3231" s="159"/>
      <c r="Y3231" s="159"/>
      <c r="Z3231" s="159">
        <f t="shared" si="686"/>
        <v>4620</v>
      </c>
      <c r="AA3231" s="159"/>
      <c r="AB3231" s="159"/>
      <c r="AC3231" s="159"/>
      <c r="AD3231" s="159"/>
      <c r="AE3231" s="159"/>
      <c r="AF3231" s="159">
        <f t="shared" si="687"/>
        <v>1485</v>
      </c>
      <c r="AG3231" s="159"/>
      <c r="AH3231" s="47" t="str">
        <f>IFERROR(_xlfn.XLOOKUP(Table6[[#This Row],[Suburb]],Table5[Travel Surcharge],Table5[$$]),"")</f>
        <v/>
      </c>
      <c r="AI3231" s="159"/>
      <c r="AJ3231" s="159"/>
    </row>
    <row r="3232" spans="1:36">
      <c r="A3232" s="374" t="s">
        <v>4809</v>
      </c>
      <c r="B3232" s="374">
        <v>23</v>
      </c>
      <c r="C3232" s="374" t="s">
        <v>428</v>
      </c>
      <c r="D3232" s="375" t="str">
        <f t="shared" si="683"/>
        <v>Orana23</v>
      </c>
      <c r="E3232" s="375" t="s">
        <v>10179</v>
      </c>
      <c r="F3232" s="375" t="s">
        <v>4811</v>
      </c>
      <c r="G3232" s="375" t="s">
        <v>4812</v>
      </c>
      <c r="H3232" s="375" t="s">
        <v>2754</v>
      </c>
      <c r="I3232" s="63" t="s">
        <v>4813</v>
      </c>
      <c r="J3232" s="159">
        <v>3740</v>
      </c>
      <c r="K3232" s="46" t="s">
        <v>10735</v>
      </c>
      <c r="L3232" s="159"/>
      <c r="M3232" s="159">
        <v>1430.0000000000002</v>
      </c>
      <c r="N3232" s="159" t="s">
        <v>4814</v>
      </c>
      <c r="O3232" s="159" t="s">
        <v>4815</v>
      </c>
      <c r="P3232" s="159"/>
      <c r="Q3232" s="159"/>
      <c r="R3232" s="159"/>
      <c r="S3232" s="159" t="s">
        <v>463</v>
      </c>
      <c r="T3232" s="159"/>
      <c r="U3232" s="159"/>
      <c r="V3232" s="159" t="s">
        <v>4816</v>
      </c>
      <c r="W3232" s="159" t="s">
        <v>7985</v>
      </c>
      <c r="X3232" s="159"/>
      <c r="Y3232" s="159"/>
      <c r="Z3232" s="159">
        <v>4620</v>
      </c>
      <c r="AA3232" s="159"/>
      <c r="AB3232" s="159"/>
      <c r="AC3232" s="159"/>
      <c r="AD3232" s="159"/>
      <c r="AE3232" s="159"/>
      <c r="AF3232" s="159">
        <v>1485</v>
      </c>
      <c r="AG3232" s="159"/>
      <c r="AH3232" s="47" t="s">
        <v>9976</v>
      </c>
      <c r="AI3232" s="159"/>
      <c r="AJ3232" s="159"/>
    </row>
    <row r="3233" spans="1:36">
      <c r="A3233" s="374" t="s">
        <v>4809</v>
      </c>
      <c r="B3233" s="374">
        <v>24</v>
      </c>
      <c r="C3233" s="374" t="s">
        <v>428</v>
      </c>
      <c r="D3233" s="375" t="str">
        <f t="shared" si="683"/>
        <v>Orana24</v>
      </c>
      <c r="E3233" s="375" t="s">
        <v>4823</v>
      </c>
      <c r="F3233" s="375" t="s">
        <v>4811</v>
      </c>
      <c r="G3233" s="375" t="s">
        <v>4812</v>
      </c>
      <c r="H3233" s="375" t="s">
        <v>2754</v>
      </c>
      <c r="I3233" s="63" t="s">
        <v>4813</v>
      </c>
      <c r="J3233" s="47">
        <f t="shared" si="684"/>
        <v>3740</v>
      </c>
      <c r="K3233" s="46" t="s">
        <v>10735</v>
      </c>
      <c r="L3233" s="47"/>
      <c r="M3233" s="47">
        <f t="shared" si="685"/>
        <v>1430.0000000000002</v>
      </c>
      <c r="N3233" s="47" t="s">
        <v>4814</v>
      </c>
      <c r="O3233" s="47" t="s">
        <v>4815</v>
      </c>
      <c r="P3233" s="47"/>
      <c r="Q3233" s="47"/>
      <c r="R3233" s="47"/>
      <c r="S3233" s="47" t="s">
        <v>463</v>
      </c>
      <c r="T3233" s="47"/>
      <c r="U3233" s="47"/>
      <c r="V3233" s="47" t="s">
        <v>4816</v>
      </c>
      <c r="W3233" s="159" t="s">
        <v>7985</v>
      </c>
      <c r="X3233" s="47"/>
      <c r="Y3233" s="47"/>
      <c r="Z3233" s="47">
        <f t="shared" si="686"/>
        <v>4620</v>
      </c>
      <c r="AA3233" s="47"/>
      <c r="AB3233" s="47"/>
      <c r="AC3233" s="47"/>
      <c r="AD3233" s="47"/>
      <c r="AE3233" s="47"/>
      <c r="AF3233" s="47">
        <f t="shared" si="687"/>
        <v>1485</v>
      </c>
      <c r="AG3233" s="47"/>
      <c r="AH3233" s="47" t="str">
        <f>IFERROR(_xlfn.XLOOKUP(Table6[[#This Row],[Suburb]],Table5[Travel Surcharge],Table5[$$]),"")</f>
        <v/>
      </c>
      <c r="AI3233" s="47"/>
      <c r="AJ3233" s="47"/>
    </row>
    <row r="3234" spans="1:36">
      <c r="A3234" s="374" t="s">
        <v>4809</v>
      </c>
      <c r="B3234" s="374">
        <v>25</v>
      </c>
      <c r="C3234" s="374" t="s">
        <v>428</v>
      </c>
      <c r="D3234" s="375" t="str">
        <f t="shared" si="683"/>
        <v>Orana25</v>
      </c>
      <c r="E3234" s="375" t="s">
        <v>7389</v>
      </c>
      <c r="F3234" s="375" t="s">
        <v>4811</v>
      </c>
      <c r="G3234" s="375" t="s">
        <v>4812</v>
      </c>
      <c r="H3234" s="375" t="s">
        <v>2754</v>
      </c>
      <c r="I3234" s="63" t="s">
        <v>4813</v>
      </c>
      <c r="J3234" s="47">
        <f t="shared" si="684"/>
        <v>3740</v>
      </c>
      <c r="K3234" s="46" t="s">
        <v>10735</v>
      </c>
      <c r="L3234" s="47">
        <f>L$7</f>
        <v>1210</v>
      </c>
      <c r="M3234" s="47">
        <f t="shared" si="685"/>
        <v>1430.0000000000002</v>
      </c>
      <c r="N3234" s="47" t="s">
        <v>4814</v>
      </c>
      <c r="O3234" s="47" t="s">
        <v>4815</v>
      </c>
      <c r="P3234" s="47" t="s">
        <v>7400</v>
      </c>
      <c r="Q3234" s="47"/>
      <c r="R3234" s="47"/>
      <c r="S3234" s="47" t="s">
        <v>463</v>
      </c>
      <c r="T3234" s="47"/>
      <c r="U3234" s="47"/>
      <c r="V3234" s="47" t="s">
        <v>4816</v>
      </c>
      <c r="W3234" s="159" t="s">
        <v>7985</v>
      </c>
      <c r="X3234" s="47"/>
      <c r="Y3234" s="47"/>
      <c r="Z3234" s="47">
        <f t="shared" si="686"/>
        <v>4620</v>
      </c>
      <c r="AA3234" s="47"/>
      <c r="AB3234" s="47"/>
      <c r="AC3234" s="47"/>
      <c r="AD3234" s="47"/>
      <c r="AE3234" s="47"/>
      <c r="AF3234" s="47">
        <f t="shared" si="687"/>
        <v>1485</v>
      </c>
      <c r="AG3234" s="47"/>
      <c r="AH3234" s="47" t="str">
        <f>IFERROR(_xlfn.XLOOKUP(Table6[[#This Row],[Suburb]],Table5[Travel Surcharge],Table5[$$]),"")</f>
        <v/>
      </c>
      <c r="AI3234" s="47"/>
      <c r="AJ3234" s="47"/>
    </row>
    <row r="3235" spans="1:36">
      <c r="A3235" s="157" t="s">
        <v>4809</v>
      </c>
      <c r="B3235" s="157">
        <v>26</v>
      </c>
      <c r="C3235" s="157" t="s">
        <v>7416</v>
      </c>
      <c r="D3235" s="157" t="str">
        <f t="shared" si="683"/>
        <v>Orana26</v>
      </c>
      <c r="E3235" s="157" t="s">
        <v>7389</v>
      </c>
      <c r="F3235" s="157" t="s">
        <v>4811</v>
      </c>
      <c r="G3235" s="157" t="s">
        <v>4812</v>
      </c>
      <c r="H3235" s="157" t="s">
        <v>8532</v>
      </c>
      <c r="I3235" s="158" t="s">
        <v>4813</v>
      </c>
      <c r="J3235" s="47">
        <f t="shared" si="684"/>
        <v>3740</v>
      </c>
      <c r="K3235" s="46" t="s">
        <v>10735</v>
      </c>
      <c r="L3235" s="47">
        <f>L$7</f>
        <v>1210</v>
      </c>
      <c r="M3235" s="47">
        <f t="shared" si="685"/>
        <v>1430.0000000000002</v>
      </c>
      <c r="N3235" s="47" t="s">
        <v>8533</v>
      </c>
      <c r="O3235" s="47" t="s">
        <v>4815</v>
      </c>
      <c r="P3235" s="47" t="s">
        <v>7400</v>
      </c>
      <c r="Q3235" s="47"/>
      <c r="R3235" s="47"/>
      <c r="S3235" s="47" t="s">
        <v>463</v>
      </c>
      <c r="T3235" s="47"/>
      <c r="U3235" s="47"/>
      <c r="V3235" s="47" t="s">
        <v>4816</v>
      </c>
      <c r="W3235" s="159" t="s">
        <v>7985</v>
      </c>
      <c r="X3235" s="47"/>
      <c r="Y3235" s="47"/>
      <c r="Z3235" s="47">
        <f t="shared" si="686"/>
        <v>4620</v>
      </c>
      <c r="AA3235" s="47"/>
      <c r="AB3235" s="47"/>
      <c r="AC3235" s="47"/>
      <c r="AD3235" s="47"/>
      <c r="AE3235" s="47"/>
      <c r="AF3235" s="47">
        <f t="shared" si="687"/>
        <v>1485</v>
      </c>
      <c r="AG3235" s="47"/>
      <c r="AH3235" s="47" t="str">
        <f>IFERROR(_xlfn.XLOOKUP(Table6[[#This Row],[Suburb]],Table5[Travel Surcharge],Table5[$$]),"")</f>
        <v/>
      </c>
      <c r="AI3235" s="47"/>
      <c r="AJ3235" s="47"/>
    </row>
    <row r="3236" spans="1:36">
      <c r="A3236" s="374" t="s">
        <v>4824</v>
      </c>
      <c r="B3236" s="374">
        <v>1</v>
      </c>
      <c r="C3236" s="374" t="s">
        <v>502</v>
      </c>
      <c r="D3236" s="375" t="str">
        <f t="shared" si="683"/>
        <v>Orchard Estate1</v>
      </c>
      <c r="E3236" s="375" t="s">
        <v>4825</v>
      </c>
      <c r="F3236" s="375" t="s">
        <v>4826</v>
      </c>
      <c r="G3236" s="375" t="s">
        <v>4827</v>
      </c>
      <c r="H3236" s="375" t="s">
        <v>4828</v>
      </c>
      <c r="I3236" s="63"/>
      <c r="J3236" s="47">
        <f t="shared" si="684"/>
        <v>3740</v>
      </c>
      <c r="K3236" s="46" t="s">
        <v>10735</v>
      </c>
      <c r="L3236" s="47"/>
      <c r="M3236" s="47">
        <f t="shared" si="685"/>
        <v>1430.0000000000002</v>
      </c>
      <c r="N3236" s="47"/>
      <c r="O3236" s="47"/>
      <c r="P3236" s="47"/>
      <c r="Q3236" s="47"/>
      <c r="R3236" s="47"/>
      <c r="S3236" s="47"/>
      <c r="T3236" s="47">
        <f t="shared" ref="T3236:T3250" si="688">T$2</f>
        <v>780</v>
      </c>
      <c r="U3236" s="47"/>
      <c r="V3236" s="47"/>
      <c r="W3236" s="47"/>
      <c r="X3236" s="47"/>
      <c r="Y3236" s="47"/>
      <c r="Z3236" s="47">
        <f t="shared" si="686"/>
        <v>4620</v>
      </c>
      <c r="AA3236" s="47"/>
      <c r="AB3236" s="47"/>
      <c r="AC3236" s="47"/>
      <c r="AD3236" s="47"/>
      <c r="AE3236" s="47"/>
      <c r="AF3236" s="47">
        <f t="shared" si="687"/>
        <v>1485</v>
      </c>
      <c r="AG3236" s="47"/>
      <c r="AH3236" s="47" t="str">
        <f>IFERROR(_xlfn.XLOOKUP(Table6[[#This Row],[Suburb]],Table5[Travel Surcharge],Table5[$$]),"")</f>
        <v/>
      </c>
      <c r="AI3236" s="47"/>
      <c r="AJ3236" s="47"/>
    </row>
    <row r="3237" spans="1:36">
      <c r="A3237" s="374" t="s">
        <v>4824</v>
      </c>
      <c r="B3237" s="374">
        <v>2</v>
      </c>
      <c r="C3237" s="374" t="s">
        <v>502</v>
      </c>
      <c r="D3237" s="375" t="str">
        <f t="shared" si="683"/>
        <v>Orchard Estate2</v>
      </c>
      <c r="E3237" s="375" t="s">
        <v>4829</v>
      </c>
      <c r="F3237" s="375" t="s">
        <v>4826</v>
      </c>
      <c r="G3237" s="375" t="s">
        <v>4827</v>
      </c>
      <c r="H3237" s="375" t="s">
        <v>4828</v>
      </c>
      <c r="I3237" s="63"/>
      <c r="J3237" s="47">
        <f t="shared" si="684"/>
        <v>3740</v>
      </c>
      <c r="K3237" s="46" t="s">
        <v>10735</v>
      </c>
      <c r="L3237" s="47"/>
      <c r="M3237" s="47">
        <f t="shared" si="685"/>
        <v>1430.0000000000002</v>
      </c>
      <c r="N3237" s="47"/>
      <c r="O3237" s="47"/>
      <c r="P3237" s="47"/>
      <c r="Q3237" s="47"/>
      <c r="R3237" s="47"/>
      <c r="S3237" s="47"/>
      <c r="T3237" s="47">
        <f t="shared" si="688"/>
        <v>780</v>
      </c>
      <c r="U3237" s="47"/>
      <c r="V3237" s="47"/>
      <c r="W3237" s="47"/>
      <c r="X3237" s="47"/>
      <c r="Y3237" s="47"/>
      <c r="Z3237" s="47">
        <f t="shared" si="686"/>
        <v>4620</v>
      </c>
      <c r="AA3237" s="47"/>
      <c r="AB3237" s="47"/>
      <c r="AC3237" s="47"/>
      <c r="AD3237" s="47"/>
      <c r="AE3237" s="47"/>
      <c r="AF3237" s="47">
        <f t="shared" si="687"/>
        <v>1485</v>
      </c>
      <c r="AG3237" s="47"/>
      <c r="AH3237" s="47" t="str">
        <f>IFERROR(_xlfn.XLOOKUP(Table6[[#This Row],[Suburb]],Table5[Travel Surcharge],Table5[$$]),"")</f>
        <v/>
      </c>
      <c r="AI3237" s="47"/>
      <c r="AJ3237" s="47"/>
    </row>
    <row r="3238" spans="1:36">
      <c r="A3238" s="374" t="s">
        <v>4824</v>
      </c>
      <c r="B3238" s="374">
        <v>3</v>
      </c>
      <c r="C3238" s="374" t="s">
        <v>502</v>
      </c>
      <c r="D3238" s="375" t="str">
        <f t="shared" si="683"/>
        <v>Orchard Estate3</v>
      </c>
      <c r="E3238" s="375" t="s">
        <v>4830</v>
      </c>
      <c r="F3238" s="375" t="s">
        <v>4826</v>
      </c>
      <c r="G3238" s="375" t="s">
        <v>4827</v>
      </c>
      <c r="H3238" s="375" t="s">
        <v>4828</v>
      </c>
      <c r="I3238" s="63"/>
      <c r="J3238" s="47">
        <f t="shared" si="684"/>
        <v>3740</v>
      </c>
      <c r="K3238" s="46" t="s">
        <v>10735</v>
      </c>
      <c r="L3238" s="47"/>
      <c r="M3238" s="47">
        <f t="shared" si="685"/>
        <v>1430.0000000000002</v>
      </c>
      <c r="N3238" s="47"/>
      <c r="O3238" s="47"/>
      <c r="P3238" s="47"/>
      <c r="Q3238" s="47"/>
      <c r="R3238" s="47"/>
      <c r="S3238" s="47"/>
      <c r="T3238" s="47">
        <f t="shared" si="688"/>
        <v>780</v>
      </c>
      <c r="U3238" s="47"/>
      <c r="V3238" s="47"/>
      <c r="W3238" s="47"/>
      <c r="X3238" s="47"/>
      <c r="Y3238" s="47"/>
      <c r="Z3238" s="47">
        <f t="shared" si="686"/>
        <v>4620</v>
      </c>
      <c r="AA3238" s="47"/>
      <c r="AB3238" s="47"/>
      <c r="AC3238" s="47"/>
      <c r="AD3238" s="47"/>
      <c r="AE3238" s="47"/>
      <c r="AF3238" s="47">
        <f t="shared" si="687"/>
        <v>1485</v>
      </c>
      <c r="AG3238" s="47"/>
      <c r="AH3238" s="47" t="str">
        <f>IFERROR(_xlfn.XLOOKUP(Table6[[#This Row],[Suburb]],Table5[Travel Surcharge],Table5[$$]),"")</f>
        <v/>
      </c>
      <c r="AI3238" s="47"/>
      <c r="AJ3238" s="47"/>
    </row>
    <row r="3239" spans="1:36">
      <c r="A3239" s="374" t="s">
        <v>4824</v>
      </c>
      <c r="B3239" s="374">
        <v>4</v>
      </c>
      <c r="C3239" s="374" t="s">
        <v>502</v>
      </c>
      <c r="D3239" s="375" t="str">
        <f t="shared" si="683"/>
        <v>Orchard Estate4</v>
      </c>
      <c r="E3239" s="375" t="s">
        <v>4831</v>
      </c>
      <c r="F3239" s="375" t="s">
        <v>4826</v>
      </c>
      <c r="G3239" s="375" t="s">
        <v>4827</v>
      </c>
      <c r="H3239" s="375" t="s">
        <v>4828</v>
      </c>
      <c r="I3239" s="63"/>
      <c r="J3239" s="47">
        <f t="shared" si="684"/>
        <v>3740</v>
      </c>
      <c r="K3239" s="46" t="s">
        <v>10735</v>
      </c>
      <c r="L3239" s="47"/>
      <c r="M3239" s="47">
        <f t="shared" si="685"/>
        <v>1430.0000000000002</v>
      </c>
      <c r="N3239" s="47"/>
      <c r="O3239" s="47"/>
      <c r="P3239" s="47"/>
      <c r="Q3239" s="47"/>
      <c r="R3239" s="47"/>
      <c r="S3239" s="47"/>
      <c r="T3239" s="47">
        <f t="shared" si="688"/>
        <v>780</v>
      </c>
      <c r="U3239" s="47"/>
      <c r="V3239" s="47"/>
      <c r="W3239" s="47"/>
      <c r="X3239" s="47"/>
      <c r="Y3239" s="47"/>
      <c r="Z3239" s="47">
        <f t="shared" si="686"/>
        <v>4620</v>
      </c>
      <c r="AA3239" s="47"/>
      <c r="AB3239" s="47"/>
      <c r="AC3239" s="47"/>
      <c r="AD3239" s="47"/>
      <c r="AE3239" s="47"/>
      <c r="AF3239" s="47">
        <f t="shared" si="687"/>
        <v>1485</v>
      </c>
      <c r="AG3239" s="47"/>
      <c r="AH3239" s="47" t="str">
        <f>IFERROR(_xlfn.XLOOKUP(Table6[[#This Row],[Suburb]],Table5[Travel Surcharge],Table5[$$]),"")</f>
        <v/>
      </c>
      <c r="AI3239" s="47"/>
      <c r="AJ3239" s="47"/>
    </row>
    <row r="3240" spans="1:36">
      <c r="A3240" s="374" t="s">
        <v>4824</v>
      </c>
      <c r="B3240" s="374">
        <v>5</v>
      </c>
      <c r="C3240" s="374" t="s">
        <v>502</v>
      </c>
      <c r="D3240" s="375" t="str">
        <f t="shared" si="683"/>
        <v>Orchard Estate5</v>
      </c>
      <c r="E3240" s="375" t="s">
        <v>4832</v>
      </c>
      <c r="F3240" s="375" t="s">
        <v>4826</v>
      </c>
      <c r="G3240" s="375" t="s">
        <v>4827</v>
      </c>
      <c r="H3240" s="375" t="s">
        <v>4828</v>
      </c>
      <c r="I3240" s="63"/>
      <c r="J3240" s="47">
        <f t="shared" si="684"/>
        <v>3740</v>
      </c>
      <c r="K3240" s="46" t="s">
        <v>10735</v>
      </c>
      <c r="L3240" s="47"/>
      <c r="M3240" s="47">
        <f t="shared" si="685"/>
        <v>1430.0000000000002</v>
      </c>
      <c r="N3240" s="47"/>
      <c r="O3240" s="47"/>
      <c r="P3240" s="47"/>
      <c r="Q3240" s="47"/>
      <c r="R3240" s="47"/>
      <c r="S3240" s="47"/>
      <c r="T3240" s="47">
        <f t="shared" si="688"/>
        <v>780</v>
      </c>
      <c r="U3240" s="47"/>
      <c r="V3240" s="47"/>
      <c r="W3240" s="47"/>
      <c r="X3240" s="47"/>
      <c r="Y3240" s="47"/>
      <c r="Z3240" s="47">
        <f t="shared" si="686"/>
        <v>4620</v>
      </c>
      <c r="AA3240" s="47"/>
      <c r="AB3240" s="47"/>
      <c r="AC3240" s="47"/>
      <c r="AD3240" s="47"/>
      <c r="AE3240" s="47"/>
      <c r="AF3240" s="47">
        <f t="shared" si="687"/>
        <v>1485</v>
      </c>
      <c r="AG3240" s="47"/>
      <c r="AH3240" s="47" t="str">
        <f>IFERROR(_xlfn.XLOOKUP(Table6[[#This Row],[Suburb]],Table5[Travel Surcharge],Table5[$$]),"")</f>
        <v/>
      </c>
      <c r="AI3240" s="47"/>
      <c r="AJ3240" s="47"/>
    </row>
    <row r="3241" spans="1:36">
      <c r="A3241" s="374" t="s">
        <v>4824</v>
      </c>
      <c r="B3241" s="374">
        <v>6</v>
      </c>
      <c r="C3241" s="374" t="s">
        <v>502</v>
      </c>
      <c r="D3241" s="375" t="str">
        <f t="shared" si="683"/>
        <v>Orchard Estate6</v>
      </c>
      <c r="E3241" s="375" t="s">
        <v>4833</v>
      </c>
      <c r="F3241" s="375" t="s">
        <v>4826</v>
      </c>
      <c r="G3241" s="375" t="s">
        <v>4827</v>
      </c>
      <c r="H3241" s="375" t="s">
        <v>4828</v>
      </c>
      <c r="I3241" s="63"/>
      <c r="J3241" s="47">
        <f t="shared" si="684"/>
        <v>3740</v>
      </c>
      <c r="K3241" s="46" t="s">
        <v>10735</v>
      </c>
      <c r="L3241" s="47"/>
      <c r="M3241" s="47">
        <f t="shared" si="685"/>
        <v>1430.0000000000002</v>
      </c>
      <c r="N3241" s="47"/>
      <c r="O3241" s="47"/>
      <c r="P3241" s="47"/>
      <c r="Q3241" s="47"/>
      <c r="R3241" s="47"/>
      <c r="S3241" s="47"/>
      <c r="T3241" s="47">
        <f t="shared" si="688"/>
        <v>780</v>
      </c>
      <c r="U3241" s="47"/>
      <c r="V3241" s="47"/>
      <c r="W3241" s="47"/>
      <c r="X3241" s="47"/>
      <c r="Y3241" s="47"/>
      <c r="Z3241" s="47">
        <f t="shared" si="686"/>
        <v>4620</v>
      </c>
      <c r="AA3241" s="47"/>
      <c r="AB3241" s="47"/>
      <c r="AC3241" s="47"/>
      <c r="AD3241" s="47"/>
      <c r="AE3241" s="47"/>
      <c r="AF3241" s="47">
        <f t="shared" si="687"/>
        <v>1485</v>
      </c>
      <c r="AG3241" s="47"/>
      <c r="AH3241" s="47" t="str">
        <f>IFERROR(_xlfn.XLOOKUP(Table6[[#This Row],[Suburb]],Table5[Travel Surcharge],Table5[$$]),"")</f>
        <v/>
      </c>
      <c r="AI3241" s="47"/>
      <c r="AJ3241" s="47"/>
    </row>
    <row r="3242" spans="1:36">
      <c r="A3242" s="374" t="s">
        <v>4824</v>
      </c>
      <c r="B3242" s="374">
        <v>7</v>
      </c>
      <c r="C3242" s="374" t="s">
        <v>502</v>
      </c>
      <c r="D3242" s="375" t="str">
        <f t="shared" si="683"/>
        <v>Orchard Estate7</v>
      </c>
      <c r="E3242" s="375" t="s">
        <v>4834</v>
      </c>
      <c r="F3242" s="375" t="s">
        <v>4826</v>
      </c>
      <c r="G3242" s="375" t="s">
        <v>4827</v>
      </c>
      <c r="H3242" s="375" t="s">
        <v>4828</v>
      </c>
      <c r="I3242" s="63"/>
      <c r="J3242" s="47">
        <f t="shared" si="684"/>
        <v>3740</v>
      </c>
      <c r="K3242" s="46" t="s">
        <v>10735</v>
      </c>
      <c r="L3242" s="47"/>
      <c r="M3242" s="47">
        <f t="shared" si="685"/>
        <v>1430.0000000000002</v>
      </c>
      <c r="N3242" s="47"/>
      <c r="O3242" s="47"/>
      <c r="P3242" s="47"/>
      <c r="Q3242" s="47"/>
      <c r="R3242" s="47"/>
      <c r="S3242" s="47"/>
      <c r="T3242" s="47">
        <f t="shared" si="688"/>
        <v>780</v>
      </c>
      <c r="U3242" s="47"/>
      <c r="V3242" s="47"/>
      <c r="W3242" s="47"/>
      <c r="X3242" s="47"/>
      <c r="Y3242" s="47"/>
      <c r="Z3242" s="47">
        <f t="shared" si="686"/>
        <v>4620</v>
      </c>
      <c r="AA3242" s="47"/>
      <c r="AB3242" s="47"/>
      <c r="AC3242" s="47"/>
      <c r="AD3242" s="47"/>
      <c r="AE3242" s="47"/>
      <c r="AF3242" s="47">
        <f t="shared" si="687"/>
        <v>1485</v>
      </c>
      <c r="AG3242" s="47"/>
      <c r="AH3242" s="47" t="str">
        <f>IFERROR(_xlfn.XLOOKUP(Table6[[#This Row],[Suburb]],Table5[Travel Surcharge],Table5[$$]),"")</f>
        <v/>
      </c>
      <c r="AI3242" s="47"/>
      <c r="AJ3242" s="47"/>
    </row>
    <row r="3243" spans="1:36">
      <c r="A3243" s="374" t="s">
        <v>4824</v>
      </c>
      <c r="B3243" s="374">
        <v>8</v>
      </c>
      <c r="C3243" s="374" t="s">
        <v>502</v>
      </c>
      <c r="D3243" s="375" t="str">
        <f t="shared" si="683"/>
        <v>Orchard Estate8</v>
      </c>
      <c r="E3243" s="375" t="s">
        <v>4835</v>
      </c>
      <c r="F3243" s="375" t="s">
        <v>4826</v>
      </c>
      <c r="G3243" s="375" t="s">
        <v>4827</v>
      </c>
      <c r="H3243" s="375" t="s">
        <v>4828</v>
      </c>
      <c r="I3243" s="63"/>
      <c r="J3243" s="47">
        <f t="shared" si="684"/>
        <v>3740</v>
      </c>
      <c r="K3243" s="46" t="s">
        <v>10735</v>
      </c>
      <c r="L3243" s="47"/>
      <c r="M3243" s="47">
        <f t="shared" si="685"/>
        <v>1430.0000000000002</v>
      </c>
      <c r="N3243" s="47"/>
      <c r="O3243" s="47"/>
      <c r="P3243" s="47"/>
      <c r="Q3243" s="47"/>
      <c r="R3243" s="47"/>
      <c r="S3243" s="47"/>
      <c r="T3243" s="47">
        <f t="shared" si="688"/>
        <v>780</v>
      </c>
      <c r="U3243" s="47"/>
      <c r="V3243" s="47"/>
      <c r="W3243" s="47"/>
      <c r="X3243" s="47"/>
      <c r="Y3243" s="47"/>
      <c r="Z3243" s="47">
        <f t="shared" si="686"/>
        <v>4620</v>
      </c>
      <c r="AA3243" s="47"/>
      <c r="AB3243" s="47"/>
      <c r="AC3243" s="47"/>
      <c r="AD3243" s="47"/>
      <c r="AE3243" s="47"/>
      <c r="AF3243" s="47">
        <f t="shared" si="687"/>
        <v>1485</v>
      </c>
      <c r="AG3243" s="47"/>
      <c r="AH3243" s="47" t="str">
        <f>IFERROR(_xlfn.XLOOKUP(Table6[[#This Row],[Suburb]],Table5[Travel Surcharge],Table5[$$]),"")</f>
        <v/>
      </c>
      <c r="AI3243" s="47"/>
      <c r="AJ3243" s="47"/>
    </row>
    <row r="3244" spans="1:36">
      <c r="A3244" s="374" t="s">
        <v>4824</v>
      </c>
      <c r="B3244" s="374">
        <v>9</v>
      </c>
      <c r="C3244" s="374" t="s">
        <v>502</v>
      </c>
      <c r="D3244" s="375" t="str">
        <f t="shared" si="683"/>
        <v>Orchard Estate9</v>
      </c>
      <c r="E3244" s="375" t="s">
        <v>4836</v>
      </c>
      <c r="F3244" s="375" t="s">
        <v>4826</v>
      </c>
      <c r="G3244" s="375" t="s">
        <v>4827</v>
      </c>
      <c r="H3244" s="375" t="s">
        <v>4828</v>
      </c>
      <c r="I3244" s="63"/>
      <c r="J3244" s="47">
        <f t="shared" si="684"/>
        <v>3740</v>
      </c>
      <c r="K3244" s="46" t="s">
        <v>10735</v>
      </c>
      <c r="L3244" s="47"/>
      <c r="M3244" s="47">
        <f t="shared" si="685"/>
        <v>1430.0000000000002</v>
      </c>
      <c r="N3244" s="47"/>
      <c r="O3244" s="47"/>
      <c r="P3244" s="47"/>
      <c r="Q3244" s="47"/>
      <c r="R3244" s="47"/>
      <c r="S3244" s="47"/>
      <c r="T3244" s="47">
        <f t="shared" si="688"/>
        <v>780</v>
      </c>
      <c r="U3244" s="47"/>
      <c r="V3244" s="47"/>
      <c r="W3244" s="47"/>
      <c r="X3244" s="47"/>
      <c r="Y3244" s="47"/>
      <c r="Z3244" s="47">
        <f t="shared" si="686"/>
        <v>4620</v>
      </c>
      <c r="AA3244" s="47"/>
      <c r="AB3244" s="47"/>
      <c r="AC3244" s="47"/>
      <c r="AD3244" s="47"/>
      <c r="AE3244" s="47"/>
      <c r="AF3244" s="47">
        <f t="shared" si="687"/>
        <v>1485</v>
      </c>
      <c r="AG3244" s="47"/>
      <c r="AH3244" s="47" t="str">
        <f>IFERROR(_xlfn.XLOOKUP(Table6[[#This Row],[Suburb]],Table5[Travel Surcharge],Table5[$$]),"")</f>
        <v/>
      </c>
      <c r="AI3244" s="47"/>
      <c r="AJ3244" s="47"/>
    </row>
    <row r="3245" spans="1:36">
      <c r="A3245" s="374" t="s">
        <v>4824</v>
      </c>
      <c r="B3245" s="374">
        <v>10</v>
      </c>
      <c r="C3245" s="374" t="s">
        <v>502</v>
      </c>
      <c r="D3245" s="375" t="str">
        <f t="shared" si="683"/>
        <v>Orchard Estate10</v>
      </c>
      <c r="E3245" s="375" t="s">
        <v>4837</v>
      </c>
      <c r="F3245" s="375" t="s">
        <v>4826</v>
      </c>
      <c r="G3245" s="375" t="s">
        <v>4827</v>
      </c>
      <c r="H3245" s="375" t="s">
        <v>4828</v>
      </c>
      <c r="I3245" s="63"/>
      <c r="J3245" s="47">
        <f t="shared" si="684"/>
        <v>3740</v>
      </c>
      <c r="K3245" s="46" t="s">
        <v>10735</v>
      </c>
      <c r="L3245" s="47"/>
      <c r="M3245" s="47">
        <f t="shared" si="685"/>
        <v>1430.0000000000002</v>
      </c>
      <c r="N3245" s="47"/>
      <c r="O3245" s="47"/>
      <c r="P3245" s="47"/>
      <c r="Q3245" s="47"/>
      <c r="R3245" s="47"/>
      <c r="S3245" s="47"/>
      <c r="T3245" s="47">
        <f t="shared" si="688"/>
        <v>780</v>
      </c>
      <c r="U3245" s="47"/>
      <c r="V3245" s="47"/>
      <c r="W3245" s="47"/>
      <c r="X3245" s="47"/>
      <c r="Y3245" s="47"/>
      <c r="Z3245" s="47">
        <f t="shared" si="686"/>
        <v>4620</v>
      </c>
      <c r="AA3245" s="47"/>
      <c r="AB3245" s="47"/>
      <c r="AC3245" s="47"/>
      <c r="AD3245" s="47"/>
      <c r="AE3245" s="47"/>
      <c r="AF3245" s="47">
        <f t="shared" si="687"/>
        <v>1485</v>
      </c>
      <c r="AG3245" s="47"/>
      <c r="AH3245" s="47" t="str">
        <f>IFERROR(_xlfn.XLOOKUP(Table6[[#This Row],[Suburb]],Table5[Travel Surcharge],Table5[$$]),"")</f>
        <v/>
      </c>
      <c r="AI3245" s="47"/>
      <c r="AJ3245" s="47"/>
    </row>
    <row r="3246" spans="1:36">
      <c r="A3246" s="374" t="s">
        <v>4824</v>
      </c>
      <c r="B3246" s="374">
        <v>11</v>
      </c>
      <c r="C3246" s="374" t="s">
        <v>502</v>
      </c>
      <c r="D3246" s="375" t="str">
        <f t="shared" si="683"/>
        <v>Orchard Estate11</v>
      </c>
      <c r="E3246" s="375" t="s">
        <v>4838</v>
      </c>
      <c r="F3246" s="375" t="s">
        <v>4826</v>
      </c>
      <c r="G3246" s="375" t="s">
        <v>4827</v>
      </c>
      <c r="H3246" s="375" t="s">
        <v>4828</v>
      </c>
      <c r="I3246" s="63"/>
      <c r="J3246" s="47">
        <f t="shared" si="684"/>
        <v>3740</v>
      </c>
      <c r="K3246" s="46" t="s">
        <v>10735</v>
      </c>
      <c r="L3246" s="47"/>
      <c r="M3246" s="47">
        <f t="shared" si="685"/>
        <v>1430.0000000000002</v>
      </c>
      <c r="N3246" s="47"/>
      <c r="O3246" s="47"/>
      <c r="P3246" s="47"/>
      <c r="Q3246" s="47"/>
      <c r="R3246" s="47"/>
      <c r="S3246" s="47"/>
      <c r="T3246" s="47">
        <f t="shared" si="688"/>
        <v>780</v>
      </c>
      <c r="U3246" s="47"/>
      <c r="V3246" s="47"/>
      <c r="W3246" s="47"/>
      <c r="X3246" s="47"/>
      <c r="Y3246" s="47"/>
      <c r="Z3246" s="47">
        <f t="shared" si="686"/>
        <v>4620</v>
      </c>
      <c r="AA3246" s="47"/>
      <c r="AB3246" s="47"/>
      <c r="AC3246" s="47"/>
      <c r="AD3246" s="47"/>
      <c r="AE3246" s="47"/>
      <c r="AF3246" s="47">
        <f t="shared" si="687"/>
        <v>1485</v>
      </c>
      <c r="AG3246" s="47"/>
      <c r="AH3246" s="47" t="str">
        <f>IFERROR(_xlfn.XLOOKUP(Table6[[#This Row],[Suburb]],Table5[Travel Surcharge],Table5[$$]),"")</f>
        <v/>
      </c>
      <c r="AI3246" s="47"/>
      <c r="AJ3246" s="47"/>
    </row>
    <row r="3247" spans="1:36">
      <c r="A3247" s="374" t="s">
        <v>4824</v>
      </c>
      <c r="B3247" s="374">
        <v>12</v>
      </c>
      <c r="C3247" s="374" t="s">
        <v>502</v>
      </c>
      <c r="D3247" s="375" t="str">
        <f t="shared" si="683"/>
        <v>Orchard Estate12</v>
      </c>
      <c r="E3247" s="375" t="s">
        <v>4839</v>
      </c>
      <c r="F3247" s="375" t="s">
        <v>4826</v>
      </c>
      <c r="G3247" s="375" t="s">
        <v>4827</v>
      </c>
      <c r="H3247" s="375" t="s">
        <v>4828</v>
      </c>
      <c r="I3247" s="63"/>
      <c r="J3247" s="47">
        <f t="shared" si="684"/>
        <v>3740</v>
      </c>
      <c r="K3247" s="46" t="s">
        <v>10735</v>
      </c>
      <c r="L3247" s="47"/>
      <c r="M3247" s="47">
        <f t="shared" si="685"/>
        <v>1430.0000000000002</v>
      </c>
      <c r="N3247" s="47"/>
      <c r="O3247" s="47"/>
      <c r="P3247" s="47"/>
      <c r="Q3247" s="47"/>
      <c r="R3247" s="47"/>
      <c r="S3247" s="47"/>
      <c r="T3247" s="47">
        <f t="shared" si="688"/>
        <v>780</v>
      </c>
      <c r="U3247" s="47"/>
      <c r="V3247" s="47"/>
      <c r="W3247" s="47"/>
      <c r="X3247" s="47"/>
      <c r="Y3247" s="47"/>
      <c r="Z3247" s="47">
        <f t="shared" si="686"/>
        <v>4620</v>
      </c>
      <c r="AA3247" s="47"/>
      <c r="AB3247" s="47"/>
      <c r="AC3247" s="47"/>
      <c r="AD3247" s="47"/>
      <c r="AE3247" s="47"/>
      <c r="AF3247" s="47">
        <f t="shared" si="687"/>
        <v>1485</v>
      </c>
      <c r="AG3247" s="47"/>
      <c r="AH3247" s="47" t="str">
        <f>IFERROR(_xlfn.XLOOKUP(Table6[[#This Row],[Suburb]],Table5[Travel Surcharge],Table5[$$]),"")</f>
        <v/>
      </c>
      <c r="AI3247" s="47"/>
      <c r="AJ3247" s="47"/>
    </row>
    <row r="3248" spans="1:36">
      <c r="A3248" s="374" t="s">
        <v>4824</v>
      </c>
      <c r="B3248" s="374">
        <v>13</v>
      </c>
      <c r="C3248" s="374" t="s">
        <v>502</v>
      </c>
      <c r="D3248" s="375" t="str">
        <f t="shared" si="683"/>
        <v>Orchard Estate13</v>
      </c>
      <c r="E3248" s="375" t="s">
        <v>4840</v>
      </c>
      <c r="F3248" s="375" t="s">
        <v>4826</v>
      </c>
      <c r="G3248" s="375" t="s">
        <v>4827</v>
      </c>
      <c r="H3248" s="375" t="s">
        <v>4828</v>
      </c>
      <c r="I3248" s="63"/>
      <c r="J3248" s="47">
        <f t="shared" si="684"/>
        <v>3740</v>
      </c>
      <c r="K3248" s="46" t="s">
        <v>10735</v>
      </c>
      <c r="L3248" s="47"/>
      <c r="M3248" s="47">
        <f t="shared" si="685"/>
        <v>1430.0000000000002</v>
      </c>
      <c r="N3248" s="47"/>
      <c r="O3248" s="47"/>
      <c r="P3248" s="47"/>
      <c r="Q3248" s="47"/>
      <c r="R3248" s="47"/>
      <c r="S3248" s="47"/>
      <c r="T3248" s="47">
        <f t="shared" si="688"/>
        <v>780</v>
      </c>
      <c r="U3248" s="47"/>
      <c r="V3248" s="47"/>
      <c r="W3248" s="47"/>
      <c r="X3248" s="47"/>
      <c r="Y3248" s="47"/>
      <c r="Z3248" s="47">
        <f t="shared" si="686"/>
        <v>4620</v>
      </c>
      <c r="AA3248" s="47"/>
      <c r="AB3248" s="47"/>
      <c r="AC3248" s="47"/>
      <c r="AD3248" s="47"/>
      <c r="AE3248" s="47"/>
      <c r="AF3248" s="47">
        <f t="shared" si="687"/>
        <v>1485</v>
      </c>
      <c r="AG3248" s="47"/>
      <c r="AH3248" s="47" t="str">
        <f>IFERROR(_xlfn.XLOOKUP(Table6[[#This Row],[Suburb]],Table5[Travel Surcharge],Table5[$$]),"")</f>
        <v/>
      </c>
      <c r="AI3248" s="47"/>
      <c r="AJ3248" s="47"/>
    </row>
    <row r="3249" spans="1:36">
      <c r="A3249" s="374" t="s">
        <v>4824</v>
      </c>
      <c r="B3249" s="374">
        <v>14</v>
      </c>
      <c r="C3249" s="374" t="s">
        <v>502</v>
      </c>
      <c r="D3249" s="375" t="str">
        <f t="shared" si="683"/>
        <v>Orchard Estate14</v>
      </c>
      <c r="E3249" s="375" t="s">
        <v>4841</v>
      </c>
      <c r="F3249" s="375" t="s">
        <v>4826</v>
      </c>
      <c r="G3249" s="375" t="s">
        <v>4827</v>
      </c>
      <c r="H3249" s="375" t="s">
        <v>4828</v>
      </c>
      <c r="I3249" s="63"/>
      <c r="J3249" s="47">
        <f t="shared" si="684"/>
        <v>3740</v>
      </c>
      <c r="K3249" s="46" t="s">
        <v>10735</v>
      </c>
      <c r="L3249" s="47"/>
      <c r="M3249" s="47">
        <f t="shared" si="685"/>
        <v>1430.0000000000002</v>
      </c>
      <c r="N3249" s="47"/>
      <c r="O3249" s="47" t="s">
        <v>4842</v>
      </c>
      <c r="P3249" s="47"/>
      <c r="Q3249" s="47"/>
      <c r="R3249" s="47"/>
      <c r="S3249" s="47"/>
      <c r="T3249" s="47">
        <f t="shared" si="688"/>
        <v>780</v>
      </c>
      <c r="U3249" s="47"/>
      <c r="V3249" s="47"/>
      <c r="W3249" s="47"/>
      <c r="X3249" s="47"/>
      <c r="Y3249" s="47"/>
      <c r="Z3249" s="47">
        <f t="shared" si="686"/>
        <v>4620</v>
      </c>
      <c r="AA3249" s="47"/>
      <c r="AB3249" s="47"/>
      <c r="AC3249" s="47"/>
      <c r="AD3249" s="47"/>
      <c r="AE3249" s="47"/>
      <c r="AF3249" s="47">
        <f t="shared" si="687"/>
        <v>1485</v>
      </c>
      <c r="AG3249" s="47"/>
      <c r="AH3249" s="47" t="str">
        <f>IFERROR(_xlfn.XLOOKUP(Table6[[#This Row],[Suburb]],Table5[Travel Surcharge],Table5[$$]),"")</f>
        <v/>
      </c>
      <c r="AI3249" s="47"/>
      <c r="AJ3249" s="47"/>
    </row>
    <row r="3250" spans="1:36">
      <c r="A3250" s="374" t="s">
        <v>4824</v>
      </c>
      <c r="B3250" s="374">
        <v>15</v>
      </c>
      <c r="C3250" s="374" t="s">
        <v>502</v>
      </c>
      <c r="D3250" s="375" t="str">
        <f t="shared" si="683"/>
        <v>Orchard Estate15</v>
      </c>
      <c r="E3250" s="375" t="s">
        <v>4843</v>
      </c>
      <c r="F3250" s="375" t="s">
        <v>4826</v>
      </c>
      <c r="G3250" s="375" t="s">
        <v>4827</v>
      </c>
      <c r="H3250" s="375" t="s">
        <v>4828</v>
      </c>
      <c r="I3250" s="63"/>
      <c r="J3250" s="47">
        <f t="shared" si="684"/>
        <v>3740</v>
      </c>
      <c r="K3250" s="46" t="s">
        <v>10735</v>
      </c>
      <c r="L3250" s="47"/>
      <c r="M3250" s="47">
        <f t="shared" si="685"/>
        <v>1430.0000000000002</v>
      </c>
      <c r="N3250" s="47"/>
      <c r="O3250" s="47" t="s">
        <v>4842</v>
      </c>
      <c r="P3250" s="47"/>
      <c r="Q3250" s="47"/>
      <c r="R3250" s="47"/>
      <c r="S3250" s="47"/>
      <c r="T3250" s="47">
        <f t="shared" si="688"/>
        <v>780</v>
      </c>
      <c r="U3250" s="47"/>
      <c r="V3250" s="47"/>
      <c r="W3250" s="47"/>
      <c r="X3250" s="47"/>
      <c r="Y3250" s="47"/>
      <c r="Z3250" s="47">
        <f t="shared" si="686"/>
        <v>4620</v>
      </c>
      <c r="AA3250" s="47"/>
      <c r="AB3250" s="47"/>
      <c r="AC3250" s="47"/>
      <c r="AD3250" s="47"/>
      <c r="AE3250" s="47"/>
      <c r="AF3250" s="47">
        <f t="shared" si="687"/>
        <v>1485</v>
      </c>
      <c r="AG3250" s="47"/>
      <c r="AH3250" s="47" t="str">
        <f>IFERROR(_xlfn.XLOOKUP(Table6[[#This Row],[Suburb]],Table5[Travel Surcharge],Table5[$$]),"")</f>
        <v/>
      </c>
      <c r="AI3250" s="47"/>
      <c r="AJ3250" s="47"/>
    </row>
    <row r="3251" spans="1:36">
      <c r="A3251" s="374" t="s">
        <v>4844</v>
      </c>
      <c r="B3251" s="374">
        <v>1</v>
      </c>
      <c r="C3251" s="374" t="s">
        <v>1412</v>
      </c>
      <c r="D3251" s="375" t="str">
        <f t="shared" si="683"/>
        <v>Orchard Green Estate1</v>
      </c>
      <c r="E3251" s="375" t="s">
        <v>4845</v>
      </c>
      <c r="F3251" s="375"/>
      <c r="G3251" s="375"/>
      <c r="H3251" s="375"/>
      <c r="I3251" s="63"/>
      <c r="J3251" s="47"/>
      <c r="K3251" s="46" t="s">
        <v>10735</v>
      </c>
      <c r="L3251" s="47"/>
      <c r="M3251" s="47"/>
      <c r="N3251" s="47"/>
      <c r="O3251" s="47"/>
      <c r="P3251" s="47"/>
      <c r="Q3251" s="47">
        <f t="shared" ref="Q3251:Q3266" si="689">Q$2</f>
        <v>0</v>
      </c>
      <c r="R3251" s="47"/>
      <c r="S3251" s="47"/>
      <c r="T3251" s="47"/>
      <c r="U3251" s="47"/>
      <c r="V3251" s="47"/>
      <c r="W3251" s="47"/>
      <c r="X3251" s="47"/>
      <c r="Y3251" s="47"/>
      <c r="Z3251" s="47">
        <f t="shared" si="686"/>
        <v>4620</v>
      </c>
      <c r="AA3251" s="47"/>
      <c r="AB3251" s="47"/>
      <c r="AC3251" s="47"/>
      <c r="AD3251" s="47"/>
      <c r="AE3251" s="47"/>
      <c r="AF3251" s="47"/>
      <c r="AG3251" s="47"/>
      <c r="AH3251" s="47" t="str">
        <f>IFERROR(_xlfn.XLOOKUP(Table6[[#This Row],[Suburb]],Table5[Travel Surcharge],Table5[$$]),"")</f>
        <v/>
      </c>
      <c r="AI3251" s="47"/>
      <c r="AJ3251" s="47"/>
    </row>
    <row r="3252" spans="1:36">
      <c r="A3252" s="374" t="s">
        <v>4844</v>
      </c>
      <c r="B3252" s="374">
        <v>2</v>
      </c>
      <c r="C3252" s="374" t="s">
        <v>1412</v>
      </c>
      <c r="D3252" s="375" t="str">
        <f t="shared" si="683"/>
        <v>Orchard Green Estate2</v>
      </c>
      <c r="E3252" s="375" t="s">
        <v>4846</v>
      </c>
      <c r="F3252" s="375"/>
      <c r="G3252" s="375"/>
      <c r="H3252" s="375"/>
      <c r="I3252" s="63"/>
      <c r="J3252" s="47"/>
      <c r="K3252" s="46" t="s">
        <v>10735</v>
      </c>
      <c r="L3252" s="47"/>
      <c r="M3252" s="47"/>
      <c r="N3252" s="47"/>
      <c r="O3252" s="47"/>
      <c r="P3252" s="47"/>
      <c r="Q3252" s="47">
        <f t="shared" si="689"/>
        <v>0</v>
      </c>
      <c r="R3252" s="47"/>
      <c r="S3252" s="47"/>
      <c r="T3252" s="47"/>
      <c r="U3252" s="47"/>
      <c r="V3252" s="47"/>
      <c r="W3252" s="47"/>
      <c r="X3252" s="47"/>
      <c r="Y3252" s="47"/>
      <c r="Z3252" s="47">
        <f t="shared" si="686"/>
        <v>4620</v>
      </c>
      <c r="AA3252" s="47"/>
      <c r="AB3252" s="47"/>
      <c r="AC3252" s="47"/>
      <c r="AD3252" s="47"/>
      <c r="AE3252" s="47"/>
      <c r="AF3252" s="47"/>
      <c r="AG3252" s="47"/>
      <c r="AH3252" s="47" t="str">
        <f>IFERROR(_xlfn.XLOOKUP(Table6[[#This Row],[Suburb]],Table5[Travel Surcharge],Table5[$$]),"")</f>
        <v/>
      </c>
      <c r="AI3252" s="47"/>
      <c r="AJ3252" s="47"/>
    </row>
    <row r="3253" spans="1:36">
      <c r="A3253" s="374" t="s">
        <v>4844</v>
      </c>
      <c r="B3253" s="374">
        <v>3</v>
      </c>
      <c r="C3253" s="374" t="s">
        <v>1412</v>
      </c>
      <c r="D3253" s="375" t="str">
        <f t="shared" si="683"/>
        <v>Orchard Green Estate3</v>
      </c>
      <c r="E3253" s="375" t="s">
        <v>4847</v>
      </c>
      <c r="F3253" s="375"/>
      <c r="G3253" s="375"/>
      <c r="H3253" s="375"/>
      <c r="I3253" s="63"/>
      <c r="J3253" s="47"/>
      <c r="K3253" s="46" t="s">
        <v>10735</v>
      </c>
      <c r="L3253" s="47"/>
      <c r="M3253" s="47"/>
      <c r="N3253" s="47"/>
      <c r="O3253" s="47"/>
      <c r="P3253" s="47"/>
      <c r="Q3253" s="47">
        <f t="shared" si="689"/>
        <v>0</v>
      </c>
      <c r="R3253" s="47"/>
      <c r="S3253" s="47"/>
      <c r="T3253" s="47"/>
      <c r="U3253" s="47"/>
      <c r="V3253" s="47"/>
      <c r="W3253" s="47"/>
      <c r="X3253" s="47"/>
      <c r="Y3253" s="47"/>
      <c r="Z3253" s="47">
        <f t="shared" si="686"/>
        <v>4620</v>
      </c>
      <c r="AA3253" s="47"/>
      <c r="AB3253" s="47"/>
      <c r="AC3253" s="47"/>
      <c r="AD3253" s="47"/>
      <c r="AE3253" s="47"/>
      <c r="AF3253" s="47"/>
      <c r="AG3253" s="47"/>
      <c r="AH3253" s="47" t="str">
        <f>IFERROR(_xlfn.XLOOKUP(Table6[[#This Row],[Suburb]],Table5[Travel Surcharge],Table5[$$]),"")</f>
        <v/>
      </c>
      <c r="AI3253" s="47"/>
      <c r="AJ3253" s="47"/>
    </row>
    <row r="3254" spans="1:36">
      <c r="A3254" s="374" t="s">
        <v>4844</v>
      </c>
      <c r="B3254" s="374">
        <v>4</v>
      </c>
      <c r="C3254" s="374" t="s">
        <v>1412</v>
      </c>
      <c r="D3254" s="375" t="str">
        <f t="shared" si="683"/>
        <v>Orchard Green Estate4</v>
      </c>
      <c r="E3254" s="375" t="s">
        <v>4848</v>
      </c>
      <c r="F3254" s="375"/>
      <c r="G3254" s="375"/>
      <c r="H3254" s="375"/>
      <c r="I3254" s="63"/>
      <c r="J3254" s="47"/>
      <c r="K3254" s="46" t="s">
        <v>10735</v>
      </c>
      <c r="L3254" s="47"/>
      <c r="M3254" s="47"/>
      <c r="N3254" s="47"/>
      <c r="O3254" s="47"/>
      <c r="P3254" s="47"/>
      <c r="Q3254" s="47">
        <f t="shared" si="689"/>
        <v>0</v>
      </c>
      <c r="R3254" s="47"/>
      <c r="S3254" s="47"/>
      <c r="T3254" s="47"/>
      <c r="U3254" s="47"/>
      <c r="V3254" s="47"/>
      <c r="W3254" s="47"/>
      <c r="X3254" s="47"/>
      <c r="Y3254" s="47"/>
      <c r="Z3254" s="47">
        <f t="shared" si="686"/>
        <v>4620</v>
      </c>
      <c r="AA3254" s="47"/>
      <c r="AB3254" s="47"/>
      <c r="AC3254" s="47"/>
      <c r="AD3254" s="47"/>
      <c r="AE3254" s="47"/>
      <c r="AF3254" s="47"/>
      <c r="AG3254" s="47"/>
      <c r="AH3254" s="47" t="str">
        <f>IFERROR(_xlfn.XLOOKUP(Table6[[#This Row],[Suburb]],Table5[Travel Surcharge],Table5[$$]),"")</f>
        <v/>
      </c>
      <c r="AI3254" s="47"/>
      <c r="AJ3254" s="47"/>
    </row>
    <row r="3255" spans="1:36">
      <c r="A3255" s="374" t="s">
        <v>4844</v>
      </c>
      <c r="B3255" s="374">
        <v>6</v>
      </c>
      <c r="C3255" s="374" t="s">
        <v>1412</v>
      </c>
      <c r="D3255" s="375" t="str">
        <f t="shared" si="683"/>
        <v>Orchard Green Estate6</v>
      </c>
      <c r="E3255" s="375" t="s">
        <v>4851</v>
      </c>
      <c r="F3255" s="375"/>
      <c r="G3255" s="375"/>
      <c r="H3255" s="375"/>
      <c r="I3255" s="63"/>
      <c r="J3255" s="47"/>
      <c r="K3255" s="46" t="s">
        <v>10735</v>
      </c>
      <c r="L3255" s="47"/>
      <c r="M3255" s="47"/>
      <c r="N3255" s="47"/>
      <c r="O3255" s="47"/>
      <c r="P3255" s="47"/>
      <c r="Q3255" s="47">
        <f t="shared" si="689"/>
        <v>0</v>
      </c>
      <c r="R3255" s="47"/>
      <c r="S3255" s="47"/>
      <c r="T3255" s="47"/>
      <c r="U3255" s="47"/>
      <c r="V3255" s="47"/>
      <c r="W3255" s="47"/>
      <c r="X3255" s="47"/>
      <c r="Y3255" s="47"/>
      <c r="Z3255" s="47">
        <f t="shared" si="686"/>
        <v>4620</v>
      </c>
      <c r="AA3255" s="47"/>
      <c r="AB3255" s="47"/>
      <c r="AC3255" s="47"/>
      <c r="AD3255" s="47"/>
      <c r="AE3255" s="47"/>
      <c r="AF3255" s="47"/>
      <c r="AG3255" s="47"/>
      <c r="AH3255" s="47" t="str">
        <f>IFERROR(_xlfn.XLOOKUP(Table6[[#This Row],[Suburb]],Table5[Travel Surcharge],Table5[$$]),"")</f>
        <v/>
      </c>
      <c r="AI3255" s="47"/>
      <c r="AJ3255" s="47"/>
    </row>
    <row r="3256" spans="1:36">
      <c r="A3256" s="374" t="s">
        <v>4844</v>
      </c>
      <c r="B3256" s="374">
        <v>7</v>
      </c>
      <c r="C3256" s="374" t="s">
        <v>1412</v>
      </c>
      <c r="D3256" s="375" t="str">
        <f t="shared" si="683"/>
        <v>Orchard Green Estate7</v>
      </c>
      <c r="E3256" s="375" t="s">
        <v>4852</v>
      </c>
      <c r="F3256" s="375"/>
      <c r="G3256" s="375"/>
      <c r="H3256" s="375"/>
      <c r="I3256" s="63"/>
      <c r="J3256" s="47"/>
      <c r="K3256" s="46" t="s">
        <v>10735</v>
      </c>
      <c r="L3256" s="47"/>
      <c r="M3256" s="47"/>
      <c r="N3256" s="47"/>
      <c r="O3256" s="47"/>
      <c r="P3256" s="47"/>
      <c r="Q3256" s="47">
        <f t="shared" si="689"/>
        <v>0</v>
      </c>
      <c r="R3256" s="47"/>
      <c r="S3256" s="47"/>
      <c r="T3256" s="47"/>
      <c r="U3256" s="47"/>
      <c r="V3256" s="47"/>
      <c r="W3256" s="47"/>
      <c r="X3256" s="47"/>
      <c r="Y3256" s="47"/>
      <c r="Z3256" s="47">
        <f t="shared" si="686"/>
        <v>4620</v>
      </c>
      <c r="AA3256" s="47"/>
      <c r="AB3256" s="47"/>
      <c r="AC3256" s="47"/>
      <c r="AD3256" s="47"/>
      <c r="AE3256" s="47"/>
      <c r="AF3256" s="47"/>
      <c r="AG3256" s="47"/>
      <c r="AH3256" s="47" t="str">
        <f>IFERROR(_xlfn.XLOOKUP(Table6[[#This Row],[Suburb]],Table5[Travel Surcharge],Table5[$$]),"")</f>
        <v/>
      </c>
      <c r="AI3256" s="47"/>
      <c r="AJ3256" s="47"/>
    </row>
    <row r="3257" spans="1:36">
      <c r="A3257" s="374" t="s">
        <v>4844</v>
      </c>
      <c r="B3257" s="374">
        <v>8</v>
      </c>
      <c r="C3257" s="374" t="s">
        <v>1412</v>
      </c>
      <c r="D3257" s="375" t="str">
        <f t="shared" ref="D3257:D3295" si="690">CONCATENATE(A3257,B3257)</f>
        <v>Orchard Green Estate8</v>
      </c>
      <c r="E3257" s="375" t="s">
        <v>4853</v>
      </c>
      <c r="F3257" s="375"/>
      <c r="G3257" s="375"/>
      <c r="H3257" s="375"/>
      <c r="I3257" s="63"/>
      <c r="J3257" s="47"/>
      <c r="K3257" s="46" t="s">
        <v>10735</v>
      </c>
      <c r="L3257" s="47"/>
      <c r="M3257" s="47"/>
      <c r="N3257" s="47"/>
      <c r="O3257" s="47"/>
      <c r="P3257" s="47"/>
      <c r="Q3257" s="47">
        <f t="shared" si="689"/>
        <v>0</v>
      </c>
      <c r="R3257" s="47"/>
      <c r="S3257" s="47"/>
      <c r="T3257" s="47"/>
      <c r="U3257" s="47"/>
      <c r="V3257" s="47"/>
      <c r="W3257" s="47"/>
      <c r="X3257" s="47"/>
      <c r="Y3257" s="47"/>
      <c r="Z3257" s="47">
        <f t="shared" ref="Z3257:Z3292" si="691">Z$7</f>
        <v>4620</v>
      </c>
      <c r="AA3257" s="47"/>
      <c r="AB3257" s="47"/>
      <c r="AC3257" s="47"/>
      <c r="AD3257" s="47"/>
      <c r="AE3257" s="47"/>
      <c r="AF3257" s="47"/>
      <c r="AG3257" s="47"/>
      <c r="AH3257" s="47" t="str">
        <f>IFERROR(_xlfn.XLOOKUP(Table6[[#This Row],[Suburb]],Table5[Travel Surcharge],Table5[$$]),"")</f>
        <v/>
      </c>
      <c r="AI3257" s="47"/>
      <c r="AJ3257" s="47"/>
    </row>
    <row r="3258" spans="1:36">
      <c r="A3258" s="374" t="s">
        <v>4844</v>
      </c>
      <c r="B3258" s="374">
        <v>9</v>
      </c>
      <c r="C3258" s="374" t="s">
        <v>1412</v>
      </c>
      <c r="D3258" s="375" t="str">
        <f t="shared" si="690"/>
        <v>Orchard Green Estate9</v>
      </c>
      <c r="E3258" s="375" t="s">
        <v>4854</v>
      </c>
      <c r="F3258" s="375"/>
      <c r="G3258" s="375"/>
      <c r="H3258" s="375"/>
      <c r="I3258" s="63"/>
      <c r="J3258" s="47"/>
      <c r="K3258" s="46" t="s">
        <v>10735</v>
      </c>
      <c r="L3258" s="47"/>
      <c r="M3258" s="47"/>
      <c r="N3258" s="47"/>
      <c r="O3258" s="47"/>
      <c r="P3258" s="47"/>
      <c r="Q3258" s="47">
        <f t="shared" si="689"/>
        <v>0</v>
      </c>
      <c r="R3258" s="47"/>
      <c r="S3258" s="47"/>
      <c r="T3258" s="47"/>
      <c r="U3258" s="47"/>
      <c r="V3258" s="47"/>
      <c r="W3258" s="47"/>
      <c r="X3258" s="47"/>
      <c r="Y3258" s="47"/>
      <c r="Z3258" s="47">
        <f t="shared" si="691"/>
        <v>4620</v>
      </c>
      <c r="AA3258" s="47"/>
      <c r="AB3258" s="47"/>
      <c r="AC3258" s="47"/>
      <c r="AD3258" s="47"/>
      <c r="AE3258" s="47"/>
      <c r="AF3258" s="47"/>
      <c r="AG3258" s="47"/>
      <c r="AH3258" s="47" t="str">
        <f>IFERROR(_xlfn.XLOOKUP(Table6[[#This Row],[Suburb]],Table5[Travel Surcharge],Table5[$$]),"")</f>
        <v/>
      </c>
      <c r="AI3258" s="47"/>
      <c r="AJ3258" s="47"/>
    </row>
    <row r="3259" spans="1:36">
      <c r="A3259" s="157" t="s">
        <v>4844</v>
      </c>
      <c r="B3259" s="157">
        <v>10</v>
      </c>
      <c r="C3259" s="157" t="s">
        <v>7414</v>
      </c>
      <c r="D3259" s="157" t="str">
        <f t="shared" si="690"/>
        <v>Orchard Green Estate10</v>
      </c>
      <c r="E3259" s="157" t="s">
        <v>7415</v>
      </c>
      <c r="F3259" s="157"/>
      <c r="G3259" s="157"/>
      <c r="H3259" s="157"/>
      <c r="I3259" s="158"/>
      <c r="J3259" s="47"/>
      <c r="K3259" s="46" t="s">
        <v>10735</v>
      </c>
      <c r="L3259" s="47"/>
      <c r="M3259" s="47"/>
      <c r="N3259" s="47"/>
      <c r="O3259" s="47"/>
      <c r="P3259" s="47"/>
      <c r="Q3259" s="47">
        <f t="shared" si="689"/>
        <v>0</v>
      </c>
      <c r="R3259" s="47"/>
      <c r="S3259" s="47"/>
      <c r="T3259" s="47"/>
      <c r="U3259" s="47"/>
      <c r="V3259" s="47"/>
      <c r="W3259" s="47"/>
      <c r="X3259" s="47"/>
      <c r="Y3259" s="47"/>
      <c r="Z3259" s="47">
        <f t="shared" si="691"/>
        <v>4620</v>
      </c>
      <c r="AA3259" s="47"/>
      <c r="AB3259" s="47"/>
      <c r="AC3259" s="47"/>
      <c r="AD3259" s="47"/>
      <c r="AE3259" s="47"/>
      <c r="AF3259" s="47"/>
      <c r="AG3259" s="47"/>
      <c r="AH3259" s="47" t="str">
        <f>IFERROR(_xlfn.XLOOKUP(Table6[[#This Row],[Suburb]],Table5[Travel Surcharge],Table5[$$]),"")</f>
        <v/>
      </c>
      <c r="AI3259" s="47"/>
      <c r="AJ3259" s="47"/>
    </row>
    <row r="3260" spans="1:36">
      <c r="A3260" s="157" t="s">
        <v>4844</v>
      </c>
      <c r="B3260" s="157">
        <v>11</v>
      </c>
      <c r="C3260" s="157" t="s">
        <v>7414</v>
      </c>
      <c r="D3260" s="157" t="str">
        <f t="shared" si="690"/>
        <v>Orchard Green Estate11</v>
      </c>
      <c r="E3260" s="157" t="s">
        <v>7917</v>
      </c>
      <c r="F3260" s="157"/>
      <c r="G3260" s="157"/>
      <c r="H3260" s="157"/>
      <c r="I3260" s="158"/>
      <c r="J3260" s="47"/>
      <c r="K3260" s="46" t="s">
        <v>10735</v>
      </c>
      <c r="L3260" s="47"/>
      <c r="M3260" s="47"/>
      <c r="N3260" s="47"/>
      <c r="O3260" s="47"/>
      <c r="P3260" s="47"/>
      <c r="Q3260" s="47">
        <f t="shared" si="689"/>
        <v>0</v>
      </c>
      <c r="R3260" s="47"/>
      <c r="S3260" s="47"/>
      <c r="T3260" s="47"/>
      <c r="U3260" s="47"/>
      <c r="V3260" s="47"/>
      <c r="W3260" s="47"/>
      <c r="X3260" s="47"/>
      <c r="Y3260" s="47"/>
      <c r="Z3260" s="47">
        <f t="shared" si="691"/>
        <v>4620</v>
      </c>
      <c r="AA3260" s="47"/>
      <c r="AB3260" s="47"/>
      <c r="AC3260" s="47"/>
      <c r="AD3260" s="47"/>
      <c r="AE3260" s="47"/>
      <c r="AF3260" s="47"/>
      <c r="AG3260" s="47"/>
      <c r="AH3260" s="47" t="str">
        <f>IFERROR(_xlfn.XLOOKUP(Table6[[#This Row],[Suburb]],Table5[Travel Surcharge],Table5[$$]),"")</f>
        <v/>
      </c>
      <c r="AI3260" s="47"/>
      <c r="AJ3260" s="47"/>
    </row>
    <row r="3261" spans="1:36">
      <c r="A3261" s="157" t="s">
        <v>4844</v>
      </c>
      <c r="B3261" s="157">
        <v>12</v>
      </c>
      <c r="C3261" s="157" t="s">
        <v>7414</v>
      </c>
      <c r="D3261" s="157" t="str">
        <f t="shared" si="690"/>
        <v>Orchard Green Estate12</v>
      </c>
      <c r="E3261" s="157" t="s">
        <v>7479</v>
      </c>
      <c r="F3261" s="157"/>
      <c r="G3261" s="157"/>
      <c r="H3261" s="157"/>
      <c r="I3261" s="158"/>
      <c r="J3261" s="47"/>
      <c r="K3261" s="46" t="s">
        <v>10735</v>
      </c>
      <c r="L3261" s="47"/>
      <c r="M3261" s="47"/>
      <c r="N3261" s="47"/>
      <c r="O3261" s="47"/>
      <c r="P3261" s="47"/>
      <c r="Q3261" s="47">
        <f t="shared" si="689"/>
        <v>0</v>
      </c>
      <c r="R3261" s="47"/>
      <c r="S3261" s="47"/>
      <c r="T3261" s="47"/>
      <c r="U3261" s="47"/>
      <c r="V3261" s="47"/>
      <c r="W3261" s="47"/>
      <c r="X3261" s="47"/>
      <c r="Y3261" s="47"/>
      <c r="Z3261" s="47">
        <f t="shared" si="691"/>
        <v>4620</v>
      </c>
      <c r="AA3261" s="47"/>
      <c r="AB3261" s="47"/>
      <c r="AC3261" s="47"/>
      <c r="AD3261" s="47"/>
      <c r="AE3261" s="47"/>
      <c r="AF3261" s="47"/>
      <c r="AG3261" s="47"/>
      <c r="AH3261" s="47" t="str">
        <f>IFERROR(_xlfn.XLOOKUP(Table6[[#This Row],[Suburb]],Table5[Travel Surcharge],Table5[$$]),"")</f>
        <v/>
      </c>
      <c r="AI3261" s="47"/>
      <c r="AJ3261" s="47"/>
    </row>
    <row r="3262" spans="1:36">
      <c r="A3262" s="157" t="s">
        <v>4844</v>
      </c>
      <c r="B3262" s="157">
        <v>14</v>
      </c>
      <c r="C3262" s="157" t="s">
        <v>7414</v>
      </c>
      <c r="D3262" s="157" t="str">
        <f t="shared" si="690"/>
        <v>Orchard Green Estate14</v>
      </c>
      <c r="E3262" s="157" t="s">
        <v>9032</v>
      </c>
      <c r="F3262" s="157"/>
      <c r="G3262" s="157"/>
      <c r="H3262" s="157"/>
      <c r="I3262" s="158"/>
      <c r="J3262" s="47"/>
      <c r="K3262" s="46" t="s">
        <v>10735</v>
      </c>
      <c r="L3262" s="47"/>
      <c r="M3262" s="47"/>
      <c r="N3262" s="47"/>
      <c r="O3262" s="47"/>
      <c r="P3262" s="47"/>
      <c r="Q3262" s="47">
        <f t="shared" si="689"/>
        <v>0</v>
      </c>
      <c r="R3262" s="47"/>
      <c r="S3262" s="47"/>
      <c r="T3262" s="47"/>
      <c r="U3262" s="47"/>
      <c r="V3262" s="47"/>
      <c r="W3262" s="47"/>
      <c r="X3262" s="47"/>
      <c r="Y3262" s="47"/>
      <c r="Z3262" s="47">
        <f t="shared" si="691"/>
        <v>4620</v>
      </c>
      <c r="AA3262" s="47"/>
      <c r="AB3262" s="47"/>
      <c r="AC3262" s="47"/>
      <c r="AD3262" s="47"/>
      <c r="AE3262" s="47"/>
      <c r="AF3262" s="47"/>
      <c r="AG3262" s="47"/>
      <c r="AH3262" s="47" t="str">
        <f>IFERROR(_xlfn.XLOOKUP(Table6[[#This Row],[Suburb]],Table5[Travel Surcharge],Table5[$$]),"")</f>
        <v/>
      </c>
      <c r="AI3262" s="47"/>
      <c r="AJ3262" s="47"/>
    </row>
    <row r="3263" spans="1:36">
      <c r="A3263" s="157" t="s">
        <v>4844</v>
      </c>
      <c r="B3263" s="157">
        <v>15</v>
      </c>
      <c r="C3263" s="157" t="s">
        <v>7414</v>
      </c>
      <c r="D3263" s="157" t="str">
        <f t="shared" si="690"/>
        <v>Orchard Green Estate15</v>
      </c>
      <c r="E3263" s="157" t="s">
        <v>9035</v>
      </c>
      <c r="F3263" s="157"/>
      <c r="G3263" s="157"/>
      <c r="H3263" s="157"/>
      <c r="I3263" s="158"/>
      <c r="J3263" s="47"/>
      <c r="K3263" s="46" t="s">
        <v>10735</v>
      </c>
      <c r="L3263" s="47"/>
      <c r="M3263" s="47"/>
      <c r="N3263" s="47"/>
      <c r="O3263" s="47"/>
      <c r="P3263" s="47"/>
      <c r="Q3263" s="47">
        <f t="shared" si="689"/>
        <v>0</v>
      </c>
      <c r="R3263" s="47"/>
      <c r="S3263" s="47"/>
      <c r="T3263" s="47"/>
      <c r="U3263" s="47"/>
      <c r="V3263" s="47"/>
      <c r="W3263" s="47"/>
      <c r="X3263" s="47"/>
      <c r="Y3263" s="47"/>
      <c r="Z3263" s="47">
        <f t="shared" si="691"/>
        <v>4620</v>
      </c>
      <c r="AA3263" s="47"/>
      <c r="AB3263" s="47"/>
      <c r="AC3263" s="47"/>
      <c r="AD3263" s="47"/>
      <c r="AE3263" s="47"/>
      <c r="AF3263" s="47"/>
      <c r="AG3263" s="47"/>
      <c r="AH3263" s="47" t="str">
        <f>IFERROR(_xlfn.XLOOKUP(Table6[[#This Row],[Suburb]],Table5[Travel Surcharge],Table5[$$]),"")</f>
        <v/>
      </c>
      <c r="AI3263" s="47"/>
      <c r="AJ3263" s="47"/>
    </row>
    <row r="3264" spans="1:36">
      <c r="A3264" s="374" t="s">
        <v>4844</v>
      </c>
      <c r="B3264" s="276" t="s">
        <v>4855</v>
      </c>
      <c r="C3264" s="374" t="s">
        <v>1412</v>
      </c>
      <c r="D3264" s="375" t="str">
        <f t="shared" si="690"/>
        <v>Orchard Green Estate13A</v>
      </c>
      <c r="E3264" s="375" t="s">
        <v>4856</v>
      </c>
      <c r="F3264" s="375"/>
      <c r="G3264" s="375"/>
      <c r="H3264" s="375"/>
      <c r="I3264" s="63"/>
      <c r="J3264" s="47"/>
      <c r="K3264" s="46" t="s">
        <v>10735</v>
      </c>
      <c r="L3264" s="47"/>
      <c r="M3264" s="47"/>
      <c r="N3264" s="47"/>
      <c r="O3264" s="47"/>
      <c r="P3264" s="47"/>
      <c r="Q3264" s="47">
        <f t="shared" si="689"/>
        <v>0</v>
      </c>
      <c r="R3264" s="47"/>
      <c r="S3264" s="47"/>
      <c r="T3264" s="47"/>
      <c r="U3264" s="47"/>
      <c r="V3264" s="47"/>
      <c r="W3264" s="47"/>
      <c r="X3264" s="47"/>
      <c r="Y3264" s="47"/>
      <c r="Z3264" s="47">
        <f t="shared" si="691"/>
        <v>4620</v>
      </c>
      <c r="AA3264" s="47"/>
      <c r="AB3264" s="47"/>
      <c r="AC3264" s="47"/>
      <c r="AD3264" s="47"/>
      <c r="AE3264" s="47"/>
      <c r="AF3264" s="47"/>
      <c r="AG3264" s="47"/>
      <c r="AH3264" s="47" t="str">
        <f>IFERROR(_xlfn.XLOOKUP(Table6[[#This Row],[Suburb]],Table5[Travel Surcharge],Table5[$$]),"")</f>
        <v/>
      </c>
      <c r="AI3264" s="47"/>
      <c r="AJ3264" s="47"/>
    </row>
    <row r="3265" spans="1:36">
      <c r="A3265" s="374" t="s">
        <v>4844</v>
      </c>
      <c r="B3265" s="276" t="s">
        <v>613</v>
      </c>
      <c r="C3265" s="374" t="s">
        <v>1412</v>
      </c>
      <c r="D3265" s="375" t="str">
        <f t="shared" si="690"/>
        <v>Orchard Green Estate4B</v>
      </c>
      <c r="E3265" s="375" t="s">
        <v>4849</v>
      </c>
      <c r="F3265" s="375"/>
      <c r="G3265" s="375"/>
      <c r="H3265" s="375"/>
      <c r="I3265" s="63"/>
      <c r="J3265" s="47"/>
      <c r="K3265" s="46" t="s">
        <v>10735</v>
      </c>
      <c r="L3265" s="47"/>
      <c r="M3265" s="47"/>
      <c r="N3265" s="47"/>
      <c r="O3265" s="47"/>
      <c r="P3265" s="47"/>
      <c r="Q3265" s="47">
        <f t="shared" si="689"/>
        <v>0</v>
      </c>
      <c r="R3265" s="47"/>
      <c r="S3265" s="47"/>
      <c r="T3265" s="47"/>
      <c r="U3265" s="47"/>
      <c r="V3265" s="47"/>
      <c r="W3265" s="47"/>
      <c r="X3265" s="47"/>
      <c r="Y3265" s="47"/>
      <c r="Z3265" s="47">
        <f t="shared" si="691"/>
        <v>4620</v>
      </c>
      <c r="AA3265" s="47"/>
      <c r="AB3265" s="47"/>
      <c r="AC3265" s="47"/>
      <c r="AD3265" s="47"/>
      <c r="AE3265" s="47"/>
      <c r="AF3265" s="47"/>
      <c r="AG3265" s="47"/>
      <c r="AH3265" s="47" t="str">
        <f>IFERROR(_xlfn.XLOOKUP(Table6[[#This Row],[Suburb]],Table5[Travel Surcharge],Table5[$$]),"")</f>
        <v/>
      </c>
      <c r="AI3265" s="47"/>
      <c r="AJ3265" s="47"/>
    </row>
    <row r="3266" spans="1:36">
      <c r="A3266" s="374" t="s">
        <v>4844</v>
      </c>
      <c r="B3266" s="276" t="s">
        <v>617</v>
      </c>
      <c r="C3266" s="374" t="s">
        <v>1412</v>
      </c>
      <c r="D3266" s="375" t="str">
        <f t="shared" si="690"/>
        <v>Orchard Green Estate5A</v>
      </c>
      <c r="E3266" s="375" t="s">
        <v>4850</v>
      </c>
      <c r="F3266" s="375"/>
      <c r="G3266" s="375"/>
      <c r="H3266" s="375"/>
      <c r="I3266" s="63"/>
      <c r="J3266" s="47"/>
      <c r="K3266" s="46" t="s">
        <v>10735</v>
      </c>
      <c r="L3266" s="47"/>
      <c r="M3266" s="47"/>
      <c r="N3266" s="47"/>
      <c r="O3266" s="47"/>
      <c r="P3266" s="47"/>
      <c r="Q3266" s="47">
        <f t="shared" si="689"/>
        <v>0</v>
      </c>
      <c r="R3266" s="47"/>
      <c r="S3266" s="47"/>
      <c r="T3266" s="47"/>
      <c r="U3266" s="47"/>
      <c r="V3266" s="47"/>
      <c r="W3266" s="47"/>
      <c r="X3266" s="47"/>
      <c r="Y3266" s="47"/>
      <c r="Z3266" s="47">
        <f t="shared" si="691"/>
        <v>4620</v>
      </c>
      <c r="AA3266" s="47"/>
      <c r="AB3266" s="47"/>
      <c r="AC3266" s="47"/>
      <c r="AD3266" s="47"/>
      <c r="AE3266" s="47"/>
      <c r="AF3266" s="47"/>
      <c r="AG3266" s="47"/>
      <c r="AH3266" s="47" t="str">
        <f>IFERROR(_xlfn.XLOOKUP(Table6[[#This Row],[Suburb]],Table5[Travel Surcharge],Table5[$$]),"")</f>
        <v/>
      </c>
      <c r="AI3266" s="47"/>
      <c r="AJ3266" s="47"/>
    </row>
    <row r="3267" spans="1:36">
      <c r="A3267" s="374" t="s">
        <v>4844</v>
      </c>
      <c r="B3267" s="276" t="s">
        <v>10855</v>
      </c>
      <c r="C3267" s="374" t="s">
        <v>1412</v>
      </c>
      <c r="D3267" s="375" t="str">
        <f t="shared" si="690"/>
        <v>Orchard Green Estate16A</v>
      </c>
      <c r="E3267" s="375" t="s">
        <v>10856</v>
      </c>
      <c r="F3267" s="375"/>
      <c r="G3267" s="375"/>
      <c r="H3267" s="375"/>
      <c r="I3267" s="63"/>
      <c r="J3267" s="47"/>
      <c r="K3267" s="46" t="s">
        <v>10735</v>
      </c>
      <c r="L3267" s="47"/>
      <c r="M3267" s="47"/>
      <c r="N3267" s="47"/>
      <c r="O3267" s="47"/>
      <c r="P3267" s="47"/>
      <c r="Q3267" s="47">
        <v>0</v>
      </c>
      <c r="R3267" s="47"/>
      <c r="S3267" s="47"/>
      <c r="T3267" s="47"/>
      <c r="U3267" s="47"/>
      <c r="V3267" s="47"/>
      <c r="W3267" s="47"/>
      <c r="X3267" s="47"/>
      <c r="Y3267" s="47"/>
      <c r="Z3267" s="47">
        <v>4620</v>
      </c>
      <c r="AA3267" s="47"/>
      <c r="AB3267" s="47"/>
      <c r="AC3267" s="47"/>
      <c r="AD3267" s="47"/>
      <c r="AE3267" s="47"/>
      <c r="AF3267" s="47"/>
      <c r="AG3267" s="47"/>
      <c r="AH3267" s="47" t="s">
        <v>9976</v>
      </c>
      <c r="AI3267" s="47"/>
      <c r="AJ3267" s="47"/>
    </row>
    <row r="3268" spans="1:36">
      <c r="A3268" s="374" t="s">
        <v>4857</v>
      </c>
      <c r="B3268" s="374">
        <v>5</v>
      </c>
      <c r="C3268" s="374" t="s">
        <v>593</v>
      </c>
      <c r="D3268" s="375" t="str">
        <f t="shared" si="690"/>
        <v>Orchard Rise Estate5</v>
      </c>
      <c r="E3268" s="375" t="s">
        <v>4858</v>
      </c>
      <c r="F3268" s="375" t="s">
        <v>4859</v>
      </c>
      <c r="G3268" s="375" t="s">
        <v>4860</v>
      </c>
      <c r="H3268" s="375" t="s">
        <v>4861</v>
      </c>
      <c r="I3268" s="63" t="s">
        <v>4862</v>
      </c>
      <c r="J3268" s="47"/>
      <c r="K3268" s="46" t="s">
        <v>10735</v>
      </c>
      <c r="L3268" s="47" t="s">
        <v>4863</v>
      </c>
      <c r="M3268" s="47"/>
      <c r="N3268" s="47"/>
      <c r="O3268" s="47"/>
      <c r="P3268" s="47"/>
      <c r="Q3268" s="47"/>
      <c r="R3268" s="47" t="s">
        <v>4664</v>
      </c>
      <c r="S3268" s="47"/>
      <c r="T3268" s="47">
        <f>T$2</f>
        <v>780</v>
      </c>
      <c r="U3268" s="47"/>
      <c r="V3268" s="47"/>
      <c r="W3268" s="47"/>
      <c r="X3268" s="47"/>
      <c r="Y3268" s="47"/>
      <c r="Z3268" s="47">
        <f t="shared" si="691"/>
        <v>4620</v>
      </c>
      <c r="AA3268" s="47"/>
      <c r="AB3268" s="47"/>
      <c r="AC3268" s="47"/>
      <c r="AD3268" s="47"/>
      <c r="AE3268" s="47"/>
      <c r="AF3268" s="47"/>
      <c r="AG3268" s="47"/>
      <c r="AH3268" s="47" t="str">
        <f>IFERROR(_xlfn.XLOOKUP(Table6[[#This Row],[Suburb]],Table5[Travel Surcharge],Table5[$$]),"")</f>
        <v/>
      </c>
      <c r="AI3268" s="47"/>
      <c r="AJ3268" s="47"/>
    </row>
    <row r="3269" spans="1:36">
      <c r="A3269" s="374" t="s">
        <v>4857</v>
      </c>
      <c r="B3269" s="374">
        <v>8</v>
      </c>
      <c r="C3269" s="374" t="s">
        <v>593</v>
      </c>
      <c r="D3269" s="375" t="str">
        <f t="shared" si="690"/>
        <v>Orchard Rise Estate8</v>
      </c>
      <c r="E3269" s="375" t="s">
        <v>4864</v>
      </c>
      <c r="F3269" s="375" t="s">
        <v>4859</v>
      </c>
      <c r="G3269" s="375" t="s">
        <v>4860</v>
      </c>
      <c r="H3269" s="375" t="s">
        <v>4861</v>
      </c>
      <c r="I3269" s="63" t="s">
        <v>4862</v>
      </c>
      <c r="J3269" s="47"/>
      <c r="K3269" s="46" t="s">
        <v>10735</v>
      </c>
      <c r="L3269" s="47" t="s">
        <v>4863</v>
      </c>
      <c r="M3269" s="47"/>
      <c r="N3269" s="47"/>
      <c r="O3269" s="47"/>
      <c r="P3269" s="47"/>
      <c r="Q3269" s="47"/>
      <c r="R3269" s="47" t="s">
        <v>4664</v>
      </c>
      <c r="S3269" s="47"/>
      <c r="T3269" s="47">
        <f>T$2</f>
        <v>780</v>
      </c>
      <c r="U3269" s="47"/>
      <c r="V3269" s="47"/>
      <c r="W3269" s="47"/>
      <c r="X3269" s="47"/>
      <c r="Y3269" s="47"/>
      <c r="Z3269" s="47">
        <f t="shared" si="691"/>
        <v>4620</v>
      </c>
      <c r="AA3269" s="47"/>
      <c r="AB3269" s="47"/>
      <c r="AC3269" s="47"/>
      <c r="AD3269" s="47"/>
      <c r="AE3269" s="47"/>
      <c r="AF3269" s="47"/>
      <c r="AG3269" s="47"/>
      <c r="AH3269" s="47" t="str">
        <f>IFERROR(_xlfn.XLOOKUP(Table6[[#This Row],[Suburb]],Table5[Travel Surcharge],Table5[$$]),"")</f>
        <v/>
      </c>
      <c r="AI3269" s="47"/>
      <c r="AJ3269" s="47"/>
    </row>
    <row r="3270" spans="1:36">
      <c r="A3270" s="374" t="s">
        <v>4865</v>
      </c>
      <c r="B3270" s="374" t="s">
        <v>8153</v>
      </c>
      <c r="C3270" s="374" t="s">
        <v>1261</v>
      </c>
      <c r="D3270" s="375" t="str">
        <f t="shared" si="690"/>
        <v>Orchard Square1 Lot A</v>
      </c>
      <c r="E3270" s="375" t="s">
        <v>4866</v>
      </c>
      <c r="F3270" s="375"/>
      <c r="G3270" s="375" t="s">
        <v>4867</v>
      </c>
      <c r="H3270" s="375" t="s">
        <v>4868</v>
      </c>
      <c r="I3270" s="63" t="s">
        <v>4869</v>
      </c>
      <c r="J3270" s="47">
        <f>J$7</f>
        <v>3740</v>
      </c>
      <c r="K3270" s="46" t="s">
        <v>10735</v>
      </c>
      <c r="L3270" s="47"/>
      <c r="M3270" s="47"/>
      <c r="N3270" s="47"/>
      <c r="O3270" s="47">
        <f>$O$7</f>
        <v>4950</v>
      </c>
      <c r="P3270" s="47"/>
      <c r="Q3270" s="47">
        <f>Q$2</f>
        <v>0</v>
      </c>
      <c r="R3270" s="47"/>
      <c r="S3270" s="47"/>
      <c r="T3270" s="47"/>
      <c r="U3270" s="47"/>
      <c r="V3270" s="47"/>
      <c r="W3270" s="47"/>
      <c r="X3270" s="47"/>
      <c r="Y3270" s="47"/>
      <c r="Z3270" s="47">
        <f t="shared" si="691"/>
        <v>4620</v>
      </c>
      <c r="AA3270" s="47"/>
      <c r="AB3270" s="47"/>
      <c r="AC3270" s="47"/>
      <c r="AD3270" s="47"/>
      <c r="AE3270" s="47"/>
      <c r="AF3270" s="47"/>
      <c r="AG3270" s="47"/>
      <c r="AH3270" s="47" t="str">
        <f>IFERROR(_xlfn.XLOOKUP(Table6[[#This Row],[Suburb]],Table5[Travel Surcharge],Table5[$$]),"")</f>
        <v/>
      </c>
      <c r="AI3270" s="47"/>
      <c r="AJ3270" s="47"/>
    </row>
    <row r="3271" spans="1:36">
      <c r="A3271" s="374" t="s">
        <v>4865</v>
      </c>
      <c r="B3271" s="374" t="s">
        <v>8154</v>
      </c>
      <c r="C3271" s="374" t="s">
        <v>1261</v>
      </c>
      <c r="D3271" s="375" t="str">
        <f t="shared" si="690"/>
        <v>Orchard Square1 Lot C</v>
      </c>
      <c r="E3271" s="375" t="s">
        <v>8155</v>
      </c>
      <c r="F3271" s="375"/>
      <c r="G3271" s="375" t="s">
        <v>4867</v>
      </c>
      <c r="H3271" s="375" t="s">
        <v>4868</v>
      </c>
      <c r="I3271" s="63" t="s">
        <v>4869</v>
      </c>
      <c r="J3271" s="47">
        <f>J$7</f>
        <v>3740</v>
      </c>
      <c r="K3271" s="46" t="s">
        <v>10735</v>
      </c>
      <c r="L3271" s="47"/>
      <c r="M3271" s="47"/>
      <c r="N3271" s="47"/>
      <c r="O3271" s="47">
        <f>$O$7</f>
        <v>4950</v>
      </c>
      <c r="P3271" s="47"/>
      <c r="Q3271" s="47">
        <f>Q$2</f>
        <v>0</v>
      </c>
      <c r="R3271" s="47"/>
      <c r="S3271" s="47"/>
      <c r="T3271" s="47"/>
      <c r="U3271" s="47"/>
      <c r="V3271" s="47"/>
      <c r="W3271" s="47"/>
      <c r="X3271" s="47"/>
      <c r="Y3271" s="47"/>
      <c r="Z3271" s="47">
        <f t="shared" si="691"/>
        <v>4620</v>
      </c>
      <c r="AA3271" s="47"/>
      <c r="AB3271" s="47"/>
      <c r="AC3271" s="47"/>
      <c r="AD3271" s="47"/>
      <c r="AE3271" s="47"/>
      <c r="AF3271" s="47"/>
      <c r="AG3271" s="47"/>
      <c r="AH3271" s="47" t="str">
        <f>IFERROR(_xlfn.XLOOKUP(Table6[[#This Row],[Suburb]],Table5[Travel Surcharge],Table5[$$]),"")</f>
        <v/>
      </c>
      <c r="AI3271" s="47"/>
      <c r="AJ3271" s="47"/>
    </row>
    <row r="3272" spans="1:36">
      <c r="A3272" s="374" t="s">
        <v>10892</v>
      </c>
      <c r="B3272" s="374">
        <v>1</v>
      </c>
      <c r="C3272" s="374" t="s">
        <v>1721</v>
      </c>
      <c r="D3272" s="375" t="str">
        <f>CONCATENATE(A3272,B3272)</f>
        <v>Orison1</v>
      </c>
      <c r="E3272" s="375" t="s">
        <v>10893</v>
      </c>
      <c r="F3272" s="375"/>
      <c r="G3272" s="375"/>
      <c r="H3272" s="375"/>
      <c r="I3272" s="63"/>
      <c r="J3272" s="47"/>
      <c r="K3272" s="46" t="s">
        <v>10735</v>
      </c>
      <c r="L3272" s="47">
        <v>1210</v>
      </c>
      <c r="M3272" s="47" t="s">
        <v>10894</v>
      </c>
      <c r="N3272" s="47" t="s">
        <v>10898</v>
      </c>
      <c r="O3272" s="47" t="s">
        <v>10897</v>
      </c>
      <c r="P3272" s="47" t="s">
        <v>10899</v>
      </c>
      <c r="Q3272" s="47" t="s">
        <v>10380</v>
      </c>
      <c r="R3272" s="47">
        <v>540</v>
      </c>
      <c r="S3272" s="47"/>
      <c r="T3272" s="47"/>
      <c r="U3272" s="47" t="s">
        <v>10895</v>
      </c>
      <c r="V3272" s="47"/>
      <c r="W3272" s="47"/>
      <c r="X3272" s="47"/>
      <c r="Y3272" s="47"/>
      <c r="Z3272" s="47">
        <f>Z$7</f>
        <v>4620</v>
      </c>
      <c r="AA3272" s="47"/>
      <c r="AB3272" s="47"/>
      <c r="AC3272" s="47"/>
      <c r="AD3272" s="47"/>
      <c r="AE3272" s="47"/>
      <c r="AF3272" s="47">
        <v>1485</v>
      </c>
      <c r="AG3272" s="47"/>
      <c r="AH3272" s="47" t="e">
        <f>IF((COUNTIF(#REF!,C3272)&gt;0),(IF('Pricing Sheet'!$C$3&lt;&gt;"",(VLOOKUP(C3272,AQ:AQ,2,FALSE)),(VLOOKUP(C3272,AQ:AQ,3,FALSE)))),"")</f>
        <v>#REF!</v>
      </c>
      <c r="AI3272" s="47"/>
      <c r="AJ3272" s="47"/>
    </row>
    <row r="3273" spans="1:36">
      <c r="A3273" s="374" t="s">
        <v>4870</v>
      </c>
      <c r="B3273" s="374">
        <v>1</v>
      </c>
      <c r="C3273" s="374" t="s">
        <v>385</v>
      </c>
      <c r="D3273" s="375" t="str">
        <f t="shared" si="690"/>
        <v>Ortus1</v>
      </c>
      <c r="E3273" s="375" t="s">
        <v>4871</v>
      </c>
      <c r="F3273" s="375"/>
      <c r="G3273" s="375" t="s">
        <v>4431</v>
      </c>
      <c r="H3273" s="375" t="s">
        <v>4432</v>
      </c>
      <c r="I3273" s="63" t="s">
        <v>4872</v>
      </c>
      <c r="J3273" s="47">
        <f>J$7</f>
        <v>3740</v>
      </c>
      <c r="K3273" s="46" t="s">
        <v>10735</v>
      </c>
      <c r="L3273" s="47" t="s">
        <v>4873</v>
      </c>
      <c r="M3273" s="47"/>
      <c r="N3273" s="47"/>
      <c r="O3273" s="47" t="s">
        <v>10896</v>
      </c>
      <c r="P3273" s="47"/>
      <c r="Q3273" s="47"/>
      <c r="R3273" s="47"/>
      <c r="S3273" s="47"/>
      <c r="T3273" s="47"/>
      <c r="U3273" s="47">
        <f>U$2</f>
        <v>430</v>
      </c>
      <c r="V3273" s="47"/>
      <c r="W3273" s="47"/>
      <c r="X3273" s="47"/>
      <c r="Y3273" s="47"/>
      <c r="Z3273" s="47">
        <f t="shared" si="691"/>
        <v>4620</v>
      </c>
      <c r="AA3273" s="47"/>
      <c r="AB3273" s="47"/>
      <c r="AC3273" s="47"/>
      <c r="AD3273" s="47"/>
      <c r="AE3273" s="47"/>
      <c r="AF3273" s="47"/>
      <c r="AG3273" s="47"/>
      <c r="AH3273" s="47" t="str">
        <f>IFERROR(_xlfn.XLOOKUP(Table6[[#This Row],[Suburb]],Table5[Travel Surcharge],Table5[$$]),"")</f>
        <v/>
      </c>
      <c r="AI3273" s="47"/>
      <c r="AJ3273" s="47"/>
    </row>
    <row r="3274" spans="1:36">
      <c r="A3274" s="374" t="s">
        <v>4874</v>
      </c>
      <c r="B3274" s="374">
        <v>1</v>
      </c>
      <c r="C3274" s="374" t="s">
        <v>675</v>
      </c>
      <c r="D3274" s="375" t="str">
        <f t="shared" si="690"/>
        <v>Oskar Court1</v>
      </c>
      <c r="E3274" s="375" t="s">
        <v>2334</v>
      </c>
      <c r="F3274" s="375"/>
      <c r="G3274" s="375"/>
      <c r="H3274" s="375"/>
      <c r="I3274" s="63"/>
      <c r="J3274" s="47">
        <f>J$7</f>
        <v>3740</v>
      </c>
      <c r="K3274" s="46" t="s">
        <v>10735</v>
      </c>
      <c r="L3274" s="47"/>
      <c r="M3274" s="47"/>
      <c r="N3274" s="47"/>
      <c r="O3274" s="47"/>
      <c r="P3274" s="47"/>
      <c r="Q3274" s="47">
        <f>Q$2</f>
        <v>0</v>
      </c>
      <c r="R3274" s="47"/>
      <c r="S3274" s="47"/>
      <c r="T3274" s="47"/>
      <c r="U3274" s="47"/>
      <c r="V3274" s="47"/>
      <c r="W3274" s="47"/>
      <c r="X3274" s="47"/>
      <c r="Y3274" s="47"/>
      <c r="Z3274" s="47">
        <f t="shared" si="691"/>
        <v>4620</v>
      </c>
      <c r="AA3274" s="47"/>
      <c r="AB3274" s="47"/>
      <c r="AC3274" s="47"/>
      <c r="AD3274" s="47"/>
      <c r="AE3274" s="47"/>
      <c r="AF3274" s="47"/>
      <c r="AG3274" s="47"/>
      <c r="AH3274" s="47" t="str">
        <f>IFERROR(_xlfn.XLOOKUP(Table6[[#This Row],[Suburb]],Table5[Travel Surcharge],Table5[$$]),"")</f>
        <v/>
      </c>
      <c r="AI3274" s="47"/>
      <c r="AJ3274" s="47"/>
    </row>
    <row r="3275" spans="1:36">
      <c r="A3275" s="374" t="s">
        <v>4875</v>
      </c>
      <c r="B3275" s="374">
        <v>1</v>
      </c>
      <c r="C3275" s="374" t="s">
        <v>675</v>
      </c>
      <c r="D3275" s="375" t="str">
        <f t="shared" si="690"/>
        <v>Pakenham Rise Estate1</v>
      </c>
      <c r="E3275" s="375" t="s">
        <v>4876</v>
      </c>
      <c r="F3275" s="375"/>
      <c r="G3275" s="375"/>
      <c r="H3275" s="375"/>
      <c r="I3275" s="63"/>
      <c r="J3275" s="47"/>
      <c r="K3275" s="46" t="s">
        <v>10735</v>
      </c>
      <c r="L3275" s="47"/>
      <c r="M3275" s="47"/>
      <c r="N3275" s="47"/>
      <c r="O3275" s="47" t="s">
        <v>4877</v>
      </c>
      <c r="P3275" s="47" t="s">
        <v>4878</v>
      </c>
      <c r="Q3275" s="47"/>
      <c r="R3275" s="47">
        <f>R$2</f>
        <v>540</v>
      </c>
      <c r="S3275" s="47"/>
      <c r="T3275" s="47"/>
      <c r="U3275" s="47"/>
      <c r="V3275" s="47"/>
      <c r="W3275" s="47"/>
      <c r="X3275" s="47">
        <f>X$7</f>
        <v>3000</v>
      </c>
      <c r="Y3275" s="47"/>
      <c r="Z3275" s="47">
        <f t="shared" si="691"/>
        <v>4620</v>
      </c>
      <c r="AA3275" s="47"/>
      <c r="AB3275" s="47"/>
      <c r="AC3275" s="47"/>
      <c r="AD3275" s="47"/>
      <c r="AE3275" s="47"/>
      <c r="AF3275" s="47">
        <f>AF$7</f>
        <v>1485</v>
      </c>
      <c r="AG3275" s="47"/>
      <c r="AH3275" s="47" t="str">
        <f>IFERROR(_xlfn.XLOOKUP(Table6[[#This Row],[Suburb]],Table5[Travel Surcharge],Table5[$$]),"")</f>
        <v/>
      </c>
      <c r="AI3275" s="47"/>
      <c r="AJ3275" s="47"/>
    </row>
    <row r="3276" spans="1:36">
      <c r="A3276" s="374" t="s">
        <v>10296</v>
      </c>
      <c r="B3276" s="374">
        <v>1</v>
      </c>
      <c r="C3276" s="374" t="s">
        <v>281</v>
      </c>
      <c r="D3276" s="375" t="str">
        <f>CONCATENATE(A3276,B3276)</f>
        <v>Palomino1</v>
      </c>
      <c r="E3276" s="375" t="s">
        <v>10297</v>
      </c>
      <c r="F3276" s="375"/>
      <c r="G3276" s="375"/>
      <c r="H3276" s="375"/>
      <c r="I3276" s="63"/>
      <c r="J3276" s="47">
        <v>3740</v>
      </c>
      <c r="K3276" s="46" t="s">
        <v>10735</v>
      </c>
      <c r="L3276" s="47">
        <v>1210</v>
      </c>
      <c r="M3276" s="47" t="s">
        <v>10408</v>
      </c>
      <c r="N3276" s="47" t="s">
        <v>10409</v>
      </c>
      <c r="O3276" s="47" t="s">
        <v>10407</v>
      </c>
      <c r="P3276" s="47" t="s">
        <v>10300</v>
      </c>
      <c r="Q3276" s="47">
        <v>0</v>
      </c>
      <c r="R3276" s="47" t="s">
        <v>10298</v>
      </c>
      <c r="S3276" s="47"/>
      <c r="T3276" s="47"/>
      <c r="U3276" s="47"/>
      <c r="V3276" s="47"/>
      <c r="W3276" s="47"/>
      <c r="X3276" s="47"/>
      <c r="Y3276" s="47"/>
      <c r="Z3276" s="47">
        <f>Z$7</f>
        <v>4620</v>
      </c>
      <c r="AA3276" s="47" t="s">
        <v>10299</v>
      </c>
      <c r="AB3276" s="47"/>
      <c r="AC3276" s="47"/>
      <c r="AD3276" s="47"/>
      <c r="AE3276" s="47"/>
      <c r="AF3276" s="47"/>
      <c r="AG3276" s="47"/>
      <c r="AH3276" s="47">
        <v>1500</v>
      </c>
      <c r="AI3276" s="47">
        <v>1650</v>
      </c>
      <c r="AJ3276" s="47"/>
    </row>
    <row r="3277" spans="1:36">
      <c r="A3277" s="374" t="s">
        <v>10296</v>
      </c>
      <c r="B3277" s="374">
        <v>2</v>
      </c>
      <c r="C3277" s="374" t="s">
        <v>281</v>
      </c>
      <c r="D3277" s="375" t="str">
        <f>CONCATENATE(A3277,B3277)</f>
        <v>Palomino2</v>
      </c>
      <c r="E3277" s="375" t="s">
        <v>10676</v>
      </c>
      <c r="F3277" s="375"/>
      <c r="G3277" s="375"/>
      <c r="H3277" s="375"/>
      <c r="I3277" s="63"/>
      <c r="J3277" s="47">
        <v>3740</v>
      </c>
      <c r="K3277" s="46" t="s">
        <v>10735</v>
      </c>
      <c r="L3277" s="47">
        <v>1210</v>
      </c>
      <c r="M3277" s="47" t="s">
        <v>10408</v>
      </c>
      <c r="N3277" s="47" t="s">
        <v>10409</v>
      </c>
      <c r="O3277" s="47" t="s">
        <v>10407</v>
      </c>
      <c r="P3277" s="47" t="s">
        <v>10300</v>
      </c>
      <c r="Q3277" s="47">
        <v>0</v>
      </c>
      <c r="R3277" s="47" t="s">
        <v>10298</v>
      </c>
      <c r="S3277" s="47"/>
      <c r="T3277" s="47"/>
      <c r="U3277" s="47"/>
      <c r="V3277" s="47"/>
      <c r="W3277" s="47"/>
      <c r="X3277" s="47"/>
      <c r="Y3277" s="47"/>
      <c r="Z3277" s="47">
        <f>Z$7</f>
        <v>4620</v>
      </c>
      <c r="AA3277" s="47" t="s">
        <v>10299</v>
      </c>
      <c r="AB3277" s="47"/>
      <c r="AC3277" s="47"/>
      <c r="AD3277" s="47"/>
      <c r="AE3277" s="47"/>
      <c r="AF3277" s="47"/>
      <c r="AG3277" s="47"/>
      <c r="AH3277" s="47">
        <v>1500</v>
      </c>
      <c r="AI3277" s="47">
        <v>1650</v>
      </c>
      <c r="AJ3277" s="47"/>
    </row>
    <row r="3278" spans="1:36">
      <c r="A3278" s="374" t="s">
        <v>10246</v>
      </c>
      <c r="B3278" s="374">
        <v>1</v>
      </c>
      <c r="C3278" s="374" t="s">
        <v>304</v>
      </c>
      <c r="D3278" s="375" t="str">
        <f t="shared" si="690"/>
        <v>Panorama Estate DO NOT PACKAGE1</v>
      </c>
      <c r="E3278" s="375" t="s">
        <v>4879</v>
      </c>
      <c r="F3278" s="375"/>
      <c r="G3278" s="375" t="s">
        <v>4880</v>
      </c>
      <c r="H3278" s="375" t="s">
        <v>4881</v>
      </c>
      <c r="I3278" s="63" t="s">
        <v>4882</v>
      </c>
      <c r="J3278" s="47">
        <f t="shared" ref="J3278:J3283" si="692">J$7</f>
        <v>3740</v>
      </c>
      <c r="K3278" s="46" t="s">
        <v>10735</v>
      </c>
      <c r="L3278" s="47" t="s">
        <v>4883</v>
      </c>
      <c r="M3278" s="47" t="s">
        <v>4884</v>
      </c>
      <c r="N3278" s="47" t="s">
        <v>4885</v>
      </c>
      <c r="O3278" s="47" t="s">
        <v>4886</v>
      </c>
      <c r="P3278" s="47"/>
      <c r="Q3278" s="47" t="s">
        <v>4887</v>
      </c>
      <c r="R3278" s="47" t="s">
        <v>4888</v>
      </c>
      <c r="S3278" s="47" t="s">
        <v>4889</v>
      </c>
      <c r="T3278" s="47" t="s">
        <v>4890</v>
      </c>
      <c r="U3278" s="47" t="s">
        <v>4891</v>
      </c>
      <c r="V3278" s="47" t="s">
        <v>4892</v>
      </c>
      <c r="W3278" s="47" t="s">
        <v>4893</v>
      </c>
      <c r="X3278" s="47"/>
      <c r="Y3278" s="47"/>
      <c r="Z3278" s="47">
        <f t="shared" si="691"/>
        <v>4620</v>
      </c>
      <c r="AA3278" s="47">
        <f>AA$7</f>
        <v>1400</v>
      </c>
      <c r="AB3278" s="47"/>
      <c r="AC3278" s="47">
        <f>AC$7</f>
        <v>5200</v>
      </c>
      <c r="AD3278" s="47"/>
      <c r="AE3278" s="47"/>
      <c r="AF3278" s="47" t="s">
        <v>4894</v>
      </c>
      <c r="AG3278" s="47"/>
      <c r="AH3278" s="47">
        <f>IFERROR(_xlfn.XLOOKUP(Table6[[#This Row],[Suburb]],Table5[Travel Surcharge],Table5[$$]),"")</f>
        <v>1500</v>
      </c>
      <c r="AI3278" s="47"/>
      <c r="AJ3278" s="47"/>
    </row>
    <row r="3279" spans="1:36">
      <c r="A3279" s="157" t="s">
        <v>10246</v>
      </c>
      <c r="B3279" s="157">
        <v>2</v>
      </c>
      <c r="C3279" s="157" t="s">
        <v>8483</v>
      </c>
      <c r="D3279" s="157" t="str">
        <f t="shared" si="690"/>
        <v>Panorama Estate DO NOT PACKAGE2</v>
      </c>
      <c r="E3279" s="157" t="s">
        <v>8486</v>
      </c>
      <c r="F3279" s="157"/>
      <c r="G3279" s="157" t="s">
        <v>4880</v>
      </c>
      <c r="H3279" s="157" t="s">
        <v>8484</v>
      </c>
      <c r="I3279" s="158" t="s">
        <v>4882</v>
      </c>
      <c r="J3279" s="47">
        <f t="shared" si="692"/>
        <v>3740</v>
      </c>
      <c r="K3279" s="46" t="s">
        <v>10735</v>
      </c>
      <c r="L3279" s="47" t="s">
        <v>4883</v>
      </c>
      <c r="M3279" s="47" t="s">
        <v>4884</v>
      </c>
      <c r="N3279" s="47" t="s">
        <v>4885</v>
      </c>
      <c r="O3279" s="47" t="s">
        <v>4886</v>
      </c>
      <c r="P3279" s="47"/>
      <c r="Q3279" s="47" t="s">
        <v>4887</v>
      </c>
      <c r="R3279" s="47" t="s">
        <v>4888</v>
      </c>
      <c r="S3279" s="47" t="s">
        <v>4889</v>
      </c>
      <c r="T3279" s="47" t="s">
        <v>4890</v>
      </c>
      <c r="U3279" s="47" t="s">
        <v>4891</v>
      </c>
      <c r="V3279" s="47" t="s">
        <v>4892</v>
      </c>
      <c r="W3279" s="47" t="s">
        <v>4893</v>
      </c>
      <c r="X3279" s="47"/>
      <c r="Y3279" s="47"/>
      <c r="Z3279" s="47">
        <f t="shared" si="691"/>
        <v>4620</v>
      </c>
      <c r="AA3279" s="47">
        <f>AA$7</f>
        <v>1400</v>
      </c>
      <c r="AB3279" s="47"/>
      <c r="AC3279" s="47">
        <f>AC$7</f>
        <v>5200</v>
      </c>
      <c r="AD3279" s="47"/>
      <c r="AE3279" s="47"/>
      <c r="AF3279" s="47" t="s">
        <v>8485</v>
      </c>
      <c r="AG3279" s="47"/>
      <c r="AH3279" s="47" t="str">
        <f>IFERROR(_xlfn.XLOOKUP(Table6[[#This Row],[Suburb]],Table5[Travel Surcharge],Table5[$$]),"")</f>
        <v/>
      </c>
      <c r="AI3279" s="47"/>
      <c r="AJ3279" s="47"/>
    </row>
    <row r="3280" spans="1:36">
      <c r="A3280" s="157" t="s">
        <v>10246</v>
      </c>
      <c r="B3280" s="157">
        <v>3</v>
      </c>
      <c r="C3280" s="157" t="s">
        <v>8487</v>
      </c>
      <c r="D3280" s="157" t="str">
        <f t="shared" si="690"/>
        <v>Panorama Estate DO NOT PACKAGE3</v>
      </c>
      <c r="E3280" s="157" t="s">
        <v>8490</v>
      </c>
      <c r="F3280" s="157"/>
      <c r="G3280" s="157" t="s">
        <v>4880</v>
      </c>
      <c r="H3280" s="157" t="s">
        <v>8488</v>
      </c>
      <c r="I3280" s="158" t="s">
        <v>4882</v>
      </c>
      <c r="J3280" s="47">
        <f t="shared" si="692"/>
        <v>3740</v>
      </c>
      <c r="K3280" s="46" t="s">
        <v>10735</v>
      </c>
      <c r="L3280" s="47" t="s">
        <v>4883</v>
      </c>
      <c r="M3280" s="47" t="s">
        <v>4884</v>
      </c>
      <c r="N3280" s="47" t="s">
        <v>4885</v>
      </c>
      <c r="O3280" s="47" t="s">
        <v>4886</v>
      </c>
      <c r="P3280" s="47"/>
      <c r="Q3280" s="47" t="s">
        <v>4887</v>
      </c>
      <c r="R3280" s="47" t="s">
        <v>4888</v>
      </c>
      <c r="S3280" s="47" t="s">
        <v>4889</v>
      </c>
      <c r="T3280" s="47" t="s">
        <v>4890</v>
      </c>
      <c r="U3280" s="47" t="s">
        <v>4891</v>
      </c>
      <c r="V3280" s="47" t="s">
        <v>4892</v>
      </c>
      <c r="W3280" s="47" t="s">
        <v>4893</v>
      </c>
      <c r="X3280" s="47"/>
      <c r="Y3280" s="47"/>
      <c r="Z3280" s="47">
        <f t="shared" si="691"/>
        <v>4620</v>
      </c>
      <c r="AA3280" s="47">
        <f>AA$7</f>
        <v>1400</v>
      </c>
      <c r="AB3280" s="47"/>
      <c r="AC3280" s="47">
        <f>AC$7</f>
        <v>5200</v>
      </c>
      <c r="AD3280" s="47"/>
      <c r="AE3280" s="47"/>
      <c r="AF3280" s="47" t="s">
        <v>8489</v>
      </c>
      <c r="AG3280" s="47"/>
      <c r="AH3280" s="47" t="str">
        <f>IFERROR(_xlfn.XLOOKUP(Table6[[#This Row],[Suburb]],Table5[Travel Surcharge],Table5[$$]),"")</f>
        <v/>
      </c>
      <c r="AI3280" s="47"/>
      <c r="AJ3280" s="47"/>
    </row>
    <row r="3281" spans="1:36">
      <c r="A3281" s="157" t="s">
        <v>8130</v>
      </c>
      <c r="B3281" s="157">
        <v>1</v>
      </c>
      <c r="C3281" s="157" t="s">
        <v>300</v>
      </c>
      <c r="D3281" s="157" t="str">
        <f t="shared" si="690"/>
        <v>Panorama Estate Morwell1</v>
      </c>
      <c r="E3281" s="157" t="s">
        <v>8132</v>
      </c>
      <c r="F3281" s="157"/>
      <c r="G3281" s="157"/>
      <c r="H3281" s="157"/>
      <c r="I3281" s="158"/>
      <c r="J3281" s="47">
        <f t="shared" si="692"/>
        <v>3740</v>
      </c>
      <c r="K3281" s="46" t="s">
        <v>10735</v>
      </c>
      <c r="L3281" s="47" t="s">
        <v>9790</v>
      </c>
      <c r="M3281" s="47"/>
      <c r="N3281" s="47"/>
      <c r="O3281" s="47"/>
      <c r="P3281" s="47"/>
      <c r="Q3281" s="47">
        <f>$Q$2</f>
        <v>0</v>
      </c>
      <c r="R3281" s="47"/>
      <c r="S3281" s="47"/>
      <c r="T3281" s="47"/>
      <c r="U3281" s="47"/>
      <c r="V3281" s="47"/>
      <c r="W3281" s="47"/>
      <c r="X3281" s="47"/>
      <c r="Y3281" s="47"/>
      <c r="Z3281" s="47">
        <f t="shared" si="691"/>
        <v>4620</v>
      </c>
      <c r="AA3281" s="47"/>
      <c r="AB3281" s="47"/>
      <c r="AC3281" s="47"/>
      <c r="AD3281" s="47"/>
      <c r="AE3281" s="47"/>
      <c r="AF3281" s="47"/>
      <c r="AG3281" s="47"/>
      <c r="AH3281" s="47">
        <f>IFERROR(_xlfn.XLOOKUP(Table6[[#This Row],[Suburb]],Table5[Travel Surcharge],Table5[$$]),"")</f>
        <v>12000</v>
      </c>
      <c r="AI3281" s="47"/>
      <c r="AJ3281" s="47"/>
    </row>
    <row r="3282" spans="1:36">
      <c r="A3282" s="157" t="s">
        <v>8130</v>
      </c>
      <c r="B3282" s="157">
        <v>2</v>
      </c>
      <c r="C3282" s="157" t="s">
        <v>300</v>
      </c>
      <c r="D3282" s="157" t="str">
        <f t="shared" si="690"/>
        <v>Panorama Estate Morwell2</v>
      </c>
      <c r="E3282" s="157" t="s">
        <v>8131</v>
      </c>
      <c r="F3282" s="157"/>
      <c r="G3282" s="157"/>
      <c r="H3282" s="157"/>
      <c r="I3282" s="158"/>
      <c r="J3282" s="47">
        <f t="shared" si="692"/>
        <v>3740</v>
      </c>
      <c r="K3282" s="46" t="s">
        <v>10735</v>
      </c>
      <c r="L3282" s="47" t="s">
        <v>9790</v>
      </c>
      <c r="M3282" s="47"/>
      <c r="N3282" s="47"/>
      <c r="O3282" s="47"/>
      <c r="P3282" s="47"/>
      <c r="Q3282" s="47">
        <f>$Q$2</f>
        <v>0</v>
      </c>
      <c r="R3282" s="47"/>
      <c r="S3282" s="47"/>
      <c r="T3282" s="47"/>
      <c r="U3282" s="47"/>
      <c r="V3282" s="47"/>
      <c r="W3282" s="47"/>
      <c r="X3282" s="47"/>
      <c r="Y3282" s="47"/>
      <c r="Z3282" s="47">
        <f t="shared" si="691"/>
        <v>4620</v>
      </c>
      <c r="AA3282" s="47"/>
      <c r="AB3282" s="47"/>
      <c r="AC3282" s="47"/>
      <c r="AD3282" s="47"/>
      <c r="AE3282" s="47"/>
      <c r="AF3282" s="47"/>
      <c r="AG3282" s="47"/>
      <c r="AH3282" s="47">
        <f>IFERROR(_xlfn.XLOOKUP(Table6[[#This Row],[Suburb]],Table5[Travel Surcharge],Table5[$$]),"")</f>
        <v>12000</v>
      </c>
      <c r="AI3282" s="47"/>
      <c r="AJ3282" s="47"/>
    </row>
    <row r="3283" spans="1:36">
      <c r="A3283" s="157" t="s">
        <v>8130</v>
      </c>
      <c r="B3283" s="157">
        <v>3</v>
      </c>
      <c r="C3283" s="157" t="s">
        <v>300</v>
      </c>
      <c r="D3283" s="157" t="str">
        <f t="shared" si="690"/>
        <v>Panorama Estate Morwell3</v>
      </c>
      <c r="E3283" s="157" t="s">
        <v>8133</v>
      </c>
      <c r="F3283" s="157"/>
      <c r="G3283" s="157"/>
      <c r="H3283" s="157"/>
      <c r="I3283" s="158"/>
      <c r="J3283" s="47">
        <f t="shared" si="692"/>
        <v>3740</v>
      </c>
      <c r="K3283" s="46" t="s">
        <v>10735</v>
      </c>
      <c r="L3283" s="47" t="s">
        <v>9791</v>
      </c>
      <c r="M3283" s="47"/>
      <c r="N3283" s="47"/>
      <c r="O3283" s="47"/>
      <c r="P3283" s="47"/>
      <c r="Q3283" s="47">
        <f>$Q$2</f>
        <v>0</v>
      </c>
      <c r="R3283" s="47"/>
      <c r="S3283" s="47"/>
      <c r="T3283" s="47"/>
      <c r="U3283" s="47"/>
      <c r="V3283" s="47"/>
      <c r="W3283" s="47"/>
      <c r="X3283" s="47"/>
      <c r="Y3283" s="47"/>
      <c r="Z3283" s="47">
        <f t="shared" si="691"/>
        <v>4620</v>
      </c>
      <c r="AA3283" s="47"/>
      <c r="AB3283" s="47"/>
      <c r="AC3283" s="47"/>
      <c r="AD3283" s="47"/>
      <c r="AE3283" s="47"/>
      <c r="AF3283" s="47"/>
      <c r="AG3283" s="47"/>
      <c r="AH3283" s="47">
        <f>IFERROR(_xlfn.XLOOKUP(Table6[[#This Row],[Suburb]],Table5[Travel Surcharge],Table5[$$]),"")</f>
        <v>12000</v>
      </c>
      <c r="AI3283" s="47"/>
      <c r="AJ3283" s="47"/>
    </row>
    <row r="3284" spans="1:36">
      <c r="A3284" s="374" t="s">
        <v>4895</v>
      </c>
      <c r="B3284" s="374">
        <v>4</v>
      </c>
      <c r="C3284" s="374" t="s">
        <v>1590</v>
      </c>
      <c r="D3284" s="375" t="str">
        <f t="shared" si="690"/>
        <v>Paragon Estate4</v>
      </c>
      <c r="E3284" s="375" t="s">
        <v>4896</v>
      </c>
      <c r="F3284" s="375" t="s">
        <v>1155</v>
      </c>
      <c r="G3284" s="375" t="s">
        <v>4897</v>
      </c>
      <c r="H3284" s="375"/>
      <c r="I3284" s="63"/>
      <c r="J3284" s="47"/>
      <c r="K3284" s="46" t="s">
        <v>10735</v>
      </c>
      <c r="L3284" s="47"/>
      <c r="M3284" s="47"/>
      <c r="N3284" s="47"/>
      <c r="O3284" s="47">
        <f>O$7</f>
        <v>4950</v>
      </c>
      <c r="P3284" s="47"/>
      <c r="Q3284" s="47"/>
      <c r="R3284" s="47">
        <f>R$2</f>
        <v>540</v>
      </c>
      <c r="S3284" s="47"/>
      <c r="T3284" s="47"/>
      <c r="U3284" s="47"/>
      <c r="V3284" s="47"/>
      <c r="W3284" s="47"/>
      <c r="X3284" s="47"/>
      <c r="Y3284" s="47"/>
      <c r="Z3284" s="47">
        <f t="shared" si="691"/>
        <v>4620</v>
      </c>
      <c r="AA3284" s="47"/>
      <c r="AB3284" s="47"/>
      <c r="AC3284" s="47">
        <f>AC$7</f>
        <v>5200</v>
      </c>
      <c r="AD3284" s="47"/>
      <c r="AE3284" s="47"/>
      <c r="AF3284" s="47"/>
      <c r="AG3284" s="47"/>
      <c r="AH3284" s="47" t="str">
        <f>IFERROR(_xlfn.XLOOKUP(Table6[[#This Row],[Suburb]],Table5[Travel Surcharge],Table5[$$]),"")</f>
        <v/>
      </c>
      <c r="AI3284" s="47"/>
      <c r="AJ3284" s="47"/>
    </row>
    <row r="3285" spans="1:36">
      <c r="A3285" s="374" t="s">
        <v>4895</v>
      </c>
      <c r="B3285" s="374">
        <v>5</v>
      </c>
      <c r="C3285" s="374" t="s">
        <v>1590</v>
      </c>
      <c r="D3285" s="375" t="str">
        <f t="shared" si="690"/>
        <v>Paragon Estate5</v>
      </c>
      <c r="E3285" s="375" t="s">
        <v>4898</v>
      </c>
      <c r="F3285" s="375" t="s">
        <v>1155</v>
      </c>
      <c r="G3285" s="375" t="s">
        <v>4897</v>
      </c>
      <c r="H3285" s="375"/>
      <c r="I3285" s="63"/>
      <c r="J3285" s="47"/>
      <c r="K3285" s="46" t="s">
        <v>10735</v>
      </c>
      <c r="L3285" s="47"/>
      <c r="M3285" s="47"/>
      <c r="N3285" s="47"/>
      <c r="O3285" s="47">
        <f>O$7</f>
        <v>4950</v>
      </c>
      <c r="P3285" s="47"/>
      <c r="Q3285" s="47"/>
      <c r="R3285" s="47">
        <f>R$2</f>
        <v>540</v>
      </c>
      <c r="S3285" s="47"/>
      <c r="T3285" s="47"/>
      <c r="U3285" s="47"/>
      <c r="V3285" s="47"/>
      <c r="W3285" s="47"/>
      <c r="X3285" s="47"/>
      <c r="Y3285" s="47"/>
      <c r="Z3285" s="47">
        <f t="shared" si="691"/>
        <v>4620</v>
      </c>
      <c r="AA3285" s="47"/>
      <c r="AB3285" s="47"/>
      <c r="AC3285" s="47">
        <f>AC$7</f>
        <v>5200</v>
      </c>
      <c r="AD3285" s="47"/>
      <c r="AE3285" s="47"/>
      <c r="AF3285" s="47"/>
      <c r="AG3285" s="47"/>
      <c r="AH3285" s="47" t="str">
        <f>IFERROR(_xlfn.XLOOKUP(Table6[[#This Row],[Suburb]],Table5[Travel Surcharge],Table5[$$]),"")</f>
        <v/>
      </c>
      <c r="AI3285" s="47"/>
      <c r="AJ3285" s="47"/>
    </row>
    <row r="3286" spans="1:36">
      <c r="A3286" s="374" t="s">
        <v>4950</v>
      </c>
      <c r="B3286" s="374">
        <v>1</v>
      </c>
      <c r="C3286" s="374" t="s">
        <v>4951</v>
      </c>
      <c r="D3286" s="375" t="str">
        <f t="shared" si="690"/>
        <v>Parc On Plymount1</v>
      </c>
      <c r="E3286" s="375" t="s">
        <v>4952</v>
      </c>
      <c r="F3286" s="375"/>
      <c r="G3286" s="375" t="s">
        <v>4953</v>
      </c>
      <c r="H3286" s="375" t="s">
        <v>4954</v>
      </c>
      <c r="I3286" s="63" t="s">
        <v>4955</v>
      </c>
      <c r="J3286" s="47"/>
      <c r="K3286" s="46" t="s">
        <v>10735</v>
      </c>
      <c r="L3286" s="47" t="s">
        <v>4956</v>
      </c>
      <c r="M3286" s="47">
        <f>M$7</f>
        <v>1430.0000000000002</v>
      </c>
      <c r="N3286" s="47"/>
      <c r="O3286" s="47"/>
      <c r="P3286" s="47"/>
      <c r="Q3286" s="47">
        <f>Q$2</f>
        <v>0</v>
      </c>
      <c r="R3286" s="47"/>
      <c r="S3286" s="47"/>
      <c r="T3286" s="47"/>
      <c r="U3286" s="47"/>
      <c r="V3286" s="47"/>
      <c r="W3286" s="47"/>
      <c r="X3286" s="47"/>
      <c r="Y3286" s="47"/>
      <c r="Z3286" s="47">
        <f t="shared" si="691"/>
        <v>4620</v>
      </c>
      <c r="AA3286" s="47"/>
      <c r="AB3286" s="47"/>
      <c r="AC3286" s="47"/>
      <c r="AD3286" s="47"/>
      <c r="AE3286" s="47"/>
      <c r="AF3286" s="47"/>
      <c r="AG3286" s="47"/>
      <c r="AH3286" s="47" t="str">
        <f>IFERROR(_xlfn.XLOOKUP(Table6[[#This Row],[Suburb]],Table5[Travel Surcharge],Table5[$$]),"")</f>
        <v/>
      </c>
      <c r="AI3286" s="47"/>
      <c r="AJ3286" s="47"/>
    </row>
    <row r="3287" spans="1:36" ht="15.75" customHeight="1">
      <c r="A3287" s="374" t="s">
        <v>4899</v>
      </c>
      <c r="B3287" s="374">
        <v>6</v>
      </c>
      <c r="C3287" s="374" t="s">
        <v>802</v>
      </c>
      <c r="D3287" s="375" t="str">
        <f t="shared" si="690"/>
        <v>Park Central Estate6</v>
      </c>
      <c r="E3287" s="375" t="s">
        <v>4900</v>
      </c>
      <c r="F3287" s="375" t="s">
        <v>1351</v>
      </c>
      <c r="G3287" s="375" t="s">
        <v>2440</v>
      </c>
      <c r="H3287" s="375"/>
      <c r="I3287" s="63"/>
      <c r="J3287" s="47">
        <f t="shared" ref="J3287:J3303" si="693">J$7</f>
        <v>3740</v>
      </c>
      <c r="K3287" s="46" t="s">
        <v>10735</v>
      </c>
      <c r="L3287" s="47"/>
      <c r="M3287" s="47"/>
      <c r="N3287" s="47"/>
      <c r="O3287" s="47"/>
      <c r="P3287" s="47"/>
      <c r="Q3287" s="47"/>
      <c r="R3287" s="47"/>
      <c r="S3287" s="47"/>
      <c r="T3287" s="47">
        <f>T$2</f>
        <v>780</v>
      </c>
      <c r="U3287" s="47"/>
      <c r="V3287" s="47"/>
      <c r="W3287" s="47"/>
      <c r="X3287" s="47">
        <f>X$7</f>
        <v>3000</v>
      </c>
      <c r="Y3287" s="47"/>
      <c r="Z3287" s="47">
        <f t="shared" si="691"/>
        <v>4620</v>
      </c>
      <c r="AA3287" s="47"/>
      <c r="AB3287" s="47"/>
      <c r="AC3287" s="47"/>
      <c r="AD3287" s="47"/>
      <c r="AE3287" s="47"/>
      <c r="AF3287" s="47"/>
      <c r="AG3287" s="47"/>
      <c r="AH3287" s="47" t="str">
        <f>IFERROR(_xlfn.XLOOKUP(Table6[[#This Row],[Suburb]],Table5[Travel Surcharge],Table5[$$]),"")</f>
        <v/>
      </c>
      <c r="AI3287" s="47"/>
      <c r="AJ3287" s="47"/>
    </row>
    <row r="3288" spans="1:36">
      <c r="A3288" s="374" t="s">
        <v>4901</v>
      </c>
      <c r="B3288" s="374">
        <v>1</v>
      </c>
      <c r="C3288" s="374" t="s">
        <v>2060</v>
      </c>
      <c r="D3288" s="375" t="str">
        <f t="shared" si="690"/>
        <v>Parkbrook Estate1</v>
      </c>
      <c r="E3288" s="375" t="s">
        <v>4902</v>
      </c>
      <c r="F3288" s="375"/>
      <c r="G3288" s="375"/>
      <c r="H3288" s="375"/>
      <c r="I3288" s="63"/>
      <c r="J3288" s="47">
        <f t="shared" si="693"/>
        <v>3740</v>
      </c>
      <c r="K3288" s="46" t="s">
        <v>10735</v>
      </c>
      <c r="L3288" s="47">
        <f t="shared" ref="L3288:L3294" si="694">L$7</f>
        <v>1210</v>
      </c>
      <c r="M3288" s="47"/>
      <c r="N3288" s="47"/>
      <c r="O3288" s="47" t="s">
        <v>4903</v>
      </c>
      <c r="P3288" s="47" t="s">
        <v>4904</v>
      </c>
      <c r="Q3288" s="47"/>
      <c r="R3288" s="47"/>
      <c r="S3288" s="47" t="s">
        <v>463</v>
      </c>
      <c r="T3288" s="47" t="s">
        <v>4905</v>
      </c>
      <c r="U3288" s="47"/>
      <c r="V3288" s="47"/>
      <c r="W3288" s="47"/>
      <c r="X3288" s="47"/>
      <c r="Y3288" s="47"/>
      <c r="Z3288" s="47">
        <f t="shared" si="691"/>
        <v>4620</v>
      </c>
      <c r="AA3288" s="47"/>
      <c r="AB3288" s="47"/>
      <c r="AC3288" s="47"/>
      <c r="AD3288" s="47" t="s">
        <v>1</v>
      </c>
      <c r="AE3288" s="47"/>
      <c r="AF3288" s="47">
        <f t="shared" ref="AF3288:AF3302" si="695">AF$7</f>
        <v>1485</v>
      </c>
      <c r="AG3288" s="47"/>
      <c r="AH3288" s="47" t="str">
        <f>IFERROR(_xlfn.XLOOKUP(Table6[[#This Row],[Suburb]],Table5[Travel Surcharge],Table5[$$]),"")</f>
        <v/>
      </c>
      <c r="AI3288" s="47"/>
      <c r="AJ3288" s="47"/>
    </row>
    <row r="3289" spans="1:36">
      <c r="A3289" s="374" t="s">
        <v>4901</v>
      </c>
      <c r="B3289" s="374">
        <v>2</v>
      </c>
      <c r="C3289" s="374" t="s">
        <v>2060</v>
      </c>
      <c r="D3289" s="375" t="str">
        <f t="shared" si="690"/>
        <v>Parkbrook Estate2</v>
      </c>
      <c r="E3289" s="375" t="s">
        <v>4906</v>
      </c>
      <c r="F3289" s="375"/>
      <c r="G3289" s="375"/>
      <c r="H3289" s="375"/>
      <c r="I3289" s="63"/>
      <c r="J3289" s="47">
        <f t="shared" si="693"/>
        <v>3740</v>
      </c>
      <c r="K3289" s="46" t="s">
        <v>10735</v>
      </c>
      <c r="L3289" s="47">
        <f t="shared" si="694"/>
        <v>1210</v>
      </c>
      <c r="M3289" s="47"/>
      <c r="N3289" s="47"/>
      <c r="O3289" s="47" t="s">
        <v>4903</v>
      </c>
      <c r="P3289" s="47" t="s">
        <v>4904</v>
      </c>
      <c r="Q3289" s="47"/>
      <c r="R3289" s="47"/>
      <c r="S3289" s="47" t="s">
        <v>463</v>
      </c>
      <c r="T3289" s="47" t="s">
        <v>4905</v>
      </c>
      <c r="U3289" s="47"/>
      <c r="V3289" s="47"/>
      <c r="W3289" s="47"/>
      <c r="X3289" s="47"/>
      <c r="Y3289" s="47"/>
      <c r="Z3289" s="47">
        <f t="shared" si="691"/>
        <v>4620</v>
      </c>
      <c r="AA3289" s="47"/>
      <c r="AB3289" s="47"/>
      <c r="AC3289" s="47"/>
      <c r="AD3289" s="47" t="s">
        <v>1</v>
      </c>
      <c r="AE3289" s="47"/>
      <c r="AF3289" s="47">
        <f t="shared" si="695"/>
        <v>1485</v>
      </c>
      <c r="AG3289" s="47"/>
      <c r="AH3289" s="47" t="str">
        <f>IFERROR(_xlfn.XLOOKUP(Table6[[#This Row],[Suburb]],Table5[Travel Surcharge],Table5[$$]),"")</f>
        <v/>
      </c>
      <c r="AI3289" s="47"/>
      <c r="AJ3289" s="47"/>
    </row>
    <row r="3290" spans="1:36">
      <c r="A3290" s="374" t="s">
        <v>4901</v>
      </c>
      <c r="B3290" s="374">
        <v>3</v>
      </c>
      <c r="C3290" s="374" t="s">
        <v>2060</v>
      </c>
      <c r="D3290" s="375" t="str">
        <f t="shared" si="690"/>
        <v>Parkbrook Estate3</v>
      </c>
      <c r="E3290" s="375" t="s">
        <v>4907</v>
      </c>
      <c r="F3290" s="375"/>
      <c r="G3290" s="375"/>
      <c r="H3290" s="375"/>
      <c r="I3290" s="63"/>
      <c r="J3290" s="47">
        <f t="shared" si="693"/>
        <v>3740</v>
      </c>
      <c r="K3290" s="46" t="s">
        <v>10735</v>
      </c>
      <c r="L3290" s="47">
        <f t="shared" si="694"/>
        <v>1210</v>
      </c>
      <c r="M3290" s="47"/>
      <c r="N3290" s="47"/>
      <c r="O3290" s="47" t="s">
        <v>4903</v>
      </c>
      <c r="P3290" s="47" t="s">
        <v>4904</v>
      </c>
      <c r="Q3290" s="47"/>
      <c r="R3290" s="47"/>
      <c r="S3290" s="47" t="s">
        <v>463</v>
      </c>
      <c r="T3290" s="47" t="s">
        <v>4905</v>
      </c>
      <c r="U3290" s="47"/>
      <c r="V3290" s="47"/>
      <c r="W3290" s="47"/>
      <c r="X3290" s="47"/>
      <c r="Y3290" s="47"/>
      <c r="Z3290" s="47">
        <f t="shared" si="691"/>
        <v>4620</v>
      </c>
      <c r="AA3290" s="47"/>
      <c r="AB3290" s="47"/>
      <c r="AC3290" s="47"/>
      <c r="AD3290" s="47" t="s">
        <v>1</v>
      </c>
      <c r="AE3290" s="47"/>
      <c r="AF3290" s="47">
        <f t="shared" si="695"/>
        <v>1485</v>
      </c>
      <c r="AG3290" s="47"/>
      <c r="AH3290" s="47" t="str">
        <f>IFERROR(_xlfn.XLOOKUP(Table6[[#This Row],[Suburb]],Table5[Travel Surcharge],Table5[$$]),"")</f>
        <v/>
      </c>
      <c r="AI3290" s="47"/>
      <c r="AJ3290" s="47"/>
    </row>
    <row r="3291" spans="1:36">
      <c r="A3291" s="374" t="s">
        <v>4901</v>
      </c>
      <c r="B3291" s="374">
        <v>4</v>
      </c>
      <c r="C3291" s="374" t="s">
        <v>2060</v>
      </c>
      <c r="D3291" s="375" t="str">
        <f t="shared" si="690"/>
        <v>Parkbrook Estate4</v>
      </c>
      <c r="E3291" s="375" t="s">
        <v>4908</v>
      </c>
      <c r="F3291" s="375"/>
      <c r="G3291" s="375"/>
      <c r="H3291" s="375"/>
      <c r="I3291" s="63"/>
      <c r="J3291" s="47">
        <f t="shared" si="693"/>
        <v>3740</v>
      </c>
      <c r="K3291" s="46" t="s">
        <v>10735</v>
      </c>
      <c r="L3291" s="47">
        <f t="shared" si="694"/>
        <v>1210</v>
      </c>
      <c r="M3291" s="47"/>
      <c r="N3291" s="47"/>
      <c r="O3291" s="47" t="s">
        <v>4903</v>
      </c>
      <c r="P3291" s="47" t="s">
        <v>4904</v>
      </c>
      <c r="Q3291" s="47"/>
      <c r="R3291" s="47"/>
      <c r="S3291" s="47" t="s">
        <v>463</v>
      </c>
      <c r="T3291" s="47" t="s">
        <v>4905</v>
      </c>
      <c r="U3291" s="47"/>
      <c r="V3291" s="47"/>
      <c r="W3291" s="47"/>
      <c r="X3291" s="47"/>
      <c r="Y3291" s="47"/>
      <c r="Z3291" s="47">
        <f t="shared" si="691"/>
        <v>4620</v>
      </c>
      <c r="AA3291" s="47"/>
      <c r="AB3291" s="47"/>
      <c r="AC3291" s="47"/>
      <c r="AD3291" s="47" t="s">
        <v>1</v>
      </c>
      <c r="AE3291" s="47"/>
      <c r="AF3291" s="47">
        <f t="shared" si="695"/>
        <v>1485</v>
      </c>
      <c r="AG3291" s="47"/>
      <c r="AH3291" s="47" t="str">
        <f>IFERROR(_xlfn.XLOOKUP(Table6[[#This Row],[Suburb]],Table5[Travel Surcharge],Table5[$$]),"")</f>
        <v/>
      </c>
      <c r="AI3291" s="47"/>
      <c r="AJ3291" s="47"/>
    </row>
    <row r="3292" spans="1:36">
      <c r="A3292" s="374" t="s">
        <v>4901</v>
      </c>
      <c r="B3292" s="374">
        <v>5</v>
      </c>
      <c r="C3292" s="374" t="s">
        <v>2060</v>
      </c>
      <c r="D3292" s="375" t="str">
        <f t="shared" si="690"/>
        <v>Parkbrook Estate5</v>
      </c>
      <c r="E3292" s="375" t="s">
        <v>9567</v>
      </c>
      <c r="F3292" s="375"/>
      <c r="G3292" s="375"/>
      <c r="H3292" s="375"/>
      <c r="I3292" s="63"/>
      <c r="J3292" s="47">
        <f t="shared" si="693"/>
        <v>3740</v>
      </c>
      <c r="K3292" s="46" t="s">
        <v>10735</v>
      </c>
      <c r="L3292" s="47">
        <f t="shared" si="694"/>
        <v>1210</v>
      </c>
      <c r="M3292" s="47"/>
      <c r="N3292" s="47"/>
      <c r="O3292" s="47" t="s">
        <v>4903</v>
      </c>
      <c r="P3292" s="47" t="s">
        <v>4904</v>
      </c>
      <c r="Q3292" s="47"/>
      <c r="R3292" s="47"/>
      <c r="S3292" s="47" t="s">
        <v>463</v>
      </c>
      <c r="T3292" s="47" t="s">
        <v>4905</v>
      </c>
      <c r="U3292" s="47"/>
      <c r="V3292" s="47"/>
      <c r="W3292" s="47"/>
      <c r="X3292" s="47"/>
      <c r="Y3292" s="47"/>
      <c r="Z3292" s="47">
        <f t="shared" si="691"/>
        <v>4620</v>
      </c>
      <c r="AA3292" s="47"/>
      <c r="AB3292" s="47"/>
      <c r="AC3292" s="47"/>
      <c r="AD3292" s="47" t="s">
        <v>1</v>
      </c>
      <c r="AE3292" s="47"/>
      <c r="AF3292" s="47">
        <f t="shared" si="695"/>
        <v>1485</v>
      </c>
      <c r="AG3292" s="47"/>
      <c r="AH3292" s="47" t="str">
        <f>IFERROR(_xlfn.XLOOKUP(Table6[[#This Row],[Suburb]],Table5[Travel Surcharge],Table5[$$]),"")</f>
        <v/>
      </c>
      <c r="AI3292" s="47"/>
      <c r="AJ3292" s="47"/>
    </row>
    <row r="3293" spans="1:36">
      <c r="A3293" s="157" t="s">
        <v>4901</v>
      </c>
      <c r="B3293" s="157">
        <v>6</v>
      </c>
      <c r="C3293" s="157" t="s">
        <v>7462</v>
      </c>
      <c r="D3293" s="375" t="str">
        <f t="shared" si="690"/>
        <v>Parkbrook Estate6</v>
      </c>
      <c r="E3293" s="157" t="s">
        <v>8639</v>
      </c>
      <c r="F3293" s="157"/>
      <c r="G3293" s="157"/>
      <c r="H3293" s="157"/>
      <c r="I3293" s="158"/>
      <c r="J3293" s="47">
        <f t="shared" si="693"/>
        <v>3740</v>
      </c>
      <c r="K3293" s="46" t="s">
        <v>10735</v>
      </c>
      <c r="L3293" s="47">
        <f t="shared" si="694"/>
        <v>1210</v>
      </c>
      <c r="M3293" s="47"/>
      <c r="N3293" s="47"/>
      <c r="O3293" s="47" t="s">
        <v>4903</v>
      </c>
      <c r="P3293" s="47" t="s">
        <v>4904</v>
      </c>
      <c r="Q3293" s="47"/>
      <c r="R3293" s="47"/>
      <c r="S3293" s="47" t="s">
        <v>463</v>
      </c>
      <c r="T3293" s="47" t="s">
        <v>4905</v>
      </c>
      <c r="U3293" s="47"/>
      <c r="V3293" s="47"/>
      <c r="W3293" s="47"/>
      <c r="X3293" s="47"/>
      <c r="Y3293" s="47"/>
      <c r="Z3293" s="47">
        <f t="shared" ref="Z3293:Z3330" si="696">Z$7</f>
        <v>4620</v>
      </c>
      <c r="AA3293" s="47"/>
      <c r="AB3293" s="47"/>
      <c r="AC3293" s="47"/>
      <c r="AD3293" s="47" t="s">
        <v>1</v>
      </c>
      <c r="AE3293" s="47"/>
      <c r="AF3293" s="47">
        <f t="shared" si="695"/>
        <v>1485</v>
      </c>
      <c r="AG3293" s="47"/>
      <c r="AH3293" s="47" t="str">
        <f>IFERROR(_xlfn.XLOOKUP(Table6[[#This Row],[Suburb]],Table5[Travel Surcharge],Table5[$$]),"")</f>
        <v/>
      </c>
      <c r="AI3293" s="47"/>
      <c r="AJ3293" s="47"/>
    </row>
    <row r="3294" spans="1:36">
      <c r="A3294" s="157" t="s">
        <v>4901</v>
      </c>
      <c r="B3294" s="157">
        <v>7</v>
      </c>
      <c r="C3294" s="157" t="s">
        <v>7462</v>
      </c>
      <c r="D3294" s="375" t="str">
        <f t="shared" si="690"/>
        <v>Parkbrook Estate7</v>
      </c>
      <c r="E3294" s="157" t="s">
        <v>9748</v>
      </c>
      <c r="F3294" s="157"/>
      <c r="G3294" s="157"/>
      <c r="H3294" s="157"/>
      <c r="I3294" s="158"/>
      <c r="J3294" s="47">
        <f t="shared" si="693"/>
        <v>3740</v>
      </c>
      <c r="K3294" s="46" t="s">
        <v>10735</v>
      </c>
      <c r="L3294" s="47">
        <f t="shared" si="694"/>
        <v>1210</v>
      </c>
      <c r="M3294" s="47"/>
      <c r="N3294" s="47"/>
      <c r="O3294" s="47" t="s">
        <v>4903</v>
      </c>
      <c r="P3294" s="47" t="s">
        <v>4904</v>
      </c>
      <c r="Q3294" s="47"/>
      <c r="R3294" s="47"/>
      <c r="S3294" s="47" t="s">
        <v>463</v>
      </c>
      <c r="T3294" s="47" t="s">
        <v>4905</v>
      </c>
      <c r="U3294" s="47"/>
      <c r="V3294" s="47"/>
      <c r="W3294" s="47"/>
      <c r="X3294" s="47"/>
      <c r="Y3294" s="47"/>
      <c r="Z3294" s="47">
        <f t="shared" si="696"/>
        <v>4620</v>
      </c>
      <c r="AA3294" s="47"/>
      <c r="AB3294" s="47"/>
      <c r="AC3294" s="47"/>
      <c r="AD3294" s="47" t="s">
        <v>1</v>
      </c>
      <c r="AE3294" s="47"/>
      <c r="AF3294" s="47">
        <f t="shared" si="695"/>
        <v>1485</v>
      </c>
      <c r="AG3294" s="47"/>
      <c r="AH3294" s="47" t="str">
        <f>IFERROR(_xlfn.XLOOKUP(Table6[[#This Row],[Suburb]],Table5[Travel Surcharge],Table5[$$]),"")</f>
        <v/>
      </c>
      <c r="AI3294" s="47"/>
      <c r="AJ3294" s="47"/>
    </row>
    <row r="3295" spans="1:36">
      <c r="A3295" s="374" t="s">
        <v>4901</v>
      </c>
      <c r="B3295" s="374">
        <v>9</v>
      </c>
      <c r="C3295" s="374" t="s">
        <v>2060</v>
      </c>
      <c r="D3295" s="375" t="str">
        <f t="shared" si="690"/>
        <v>Parkbrook Estate9</v>
      </c>
      <c r="E3295" s="375" t="s">
        <v>10697</v>
      </c>
      <c r="F3295" s="375"/>
      <c r="G3295" s="375"/>
      <c r="H3295" s="375"/>
      <c r="I3295" s="63"/>
      <c r="J3295" s="47">
        <v>3740</v>
      </c>
      <c r="K3295" s="46" t="s">
        <v>10735</v>
      </c>
      <c r="L3295" s="47">
        <v>1210</v>
      </c>
      <c r="M3295" s="47"/>
      <c r="N3295" s="47"/>
      <c r="O3295" s="47" t="s">
        <v>4903</v>
      </c>
      <c r="P3295" s="47" t="s">
        <v>4904</v>
      </c>
      <c r="Q3295" s="47"/>
      <c r="R3295" s="47"/>
      <c r="S3295" s="47" t="s">
        <v>463</v>
      </c>
      <c r="T3295" s="47" t="s">
        <v>4905</v>
      </c>
      <c r="U3295" s="47"/>
      <c r="V3295" s="47"/>
      <c r="W3295" s="47"/>
      <c r="X3295" s="47"/>
      <c r="Y3295" s="47"/>
      <c r="Z3295" s="47">
        <v>4620</v>
      </c>
      <c r="AA3295" s="47"/>
      <c r="AB3295" s="47"/>
      <c r="AC3295" s="47"/>
      <c r="AD3295" s="47" t="s">
        <v>1</v>
      </c>
      <c r="AE3295" s="47"/>
      <c r="AF3295" s="47">
        <v>1485</v>
      </c>
      <c r="AG3295" s="47"/>
      <c r="AH3295" s="47" t="s">
        <v>9976</v>
      </c>
      <c r="AI3295" s="47"/>
      <c r="AJ3295" s="47"/>
    </row>
    <row r="3296" spans="1:36">
      <c r="A3296" s="374" t="s">
        <v>4909</v>
      </c>
      <c r="B3296" s="374">
        <v>1</v>
      </c>
      <c r="C3296" s="374" t="s">
        <v>385</v>
      </c>
      <c r="D3296" s="375" t="str">
        <f t="shared" ref="D3296:D3330" si="697">CONCATENATE(A3296,B3296)</f>
        <v>Parklane Estate1</v>
      </c>
      <c r="E3296" s="375" t="s">
        <v>4910</v>
      </c>
      <c r="F3296" s="375"/>
      <c r="G3296" s="375" t="s">
        <v>494</v>
      </c>
      <c r="H3296" s="375" t="s">
        <v>1521</v>
      </c>
      <c r="I3296" s="63" t="s">
        <v>4911</v>
      </c>
      <c r="J3296" s="47">
        <f t="shared" si="693"/>
        <v>3740</v>
      </c>
      <c r="K3296" s="46" t="s">
        <v>10735</v>
      </c>
      <c r="L3296" s="47" t="s">
        <v>4912</v>
      </c>
      <c r="M3296" s="47">
        <f>M$7</f>
        <v>1430.0000000000002</v>
      </c>
      <c r="N3296" s="47" t="s">
        <v>4913</v>
      </c>
      <c r="O3296" s="47" t="s">
        <v>4914</v>
      </c>
      <c r="P3296" s="47" t="s">
        <v>4915</v>
      </c>
      <c r="Q3296" s="47">
        <f>Q$2</f>
        <v>0</v>
      </c>
      <c r="R3296" s="47"/>
      <c r="S3296" s="47"/>
      <c r="T3296" s="47"/>
      <c r="U3296" s="47"/>
      <c r="V3296" s="47" t="str">
        <f>V$7</f>
        <v>$6/m2</v>
      </c>
      <c r="W3296" s="47"/>
      <c r="X3296" s="47"/>
      <c r="Y3296" s="47"/>
      <c r="Z3296" s="47">
        <f t="shared" si="696"/>
        <v>4620</v>
      </c>
      <c r="AA3296" s="47"/>
      <c r="AB3296" s="47"/>
      <c r="AC3296" s="47"/>
      <c r="AD3296" s="47"/>
      <c r="AE3296" s="47"/>
      <c r="AF3296" s="47">
        <f t="shared" si="695"/>
        <v>1485</v>
      </c>
      <c r="AG3296" s="47"/>
      <c r="AH3296" s="47" t="str">
        <f>IFERROR(_xlfn.XLOOKUP(Table6[[#This Row],[Suburb]],Table5[Travel Surcharge],Table5[$$]),"")</f>
        <v/>
      </c>
      <c r="AI3296" s="47"/>
      <c r="AJ3296" s="47"/>
    </row>
    <row r="3297" spans="1:36">
      <c r="A3297" s="374" t="s">
        <v>4909</v>
      </c>
      <c r="B3297" s="374">
        <v>2</v>
      </c>
      <c r="C3297" s="374" t="s">
        <v>385</v>
      </c>
      <c r="D3297" s="375" t="str">
        <f t="shared" si="697"/>
        <v>Parklane Estate2</v>
      </c>
      <c r="E3297" s="375" t="s">
        <v>4916</v>
      </c>
      <c r="F3297" s="375"/>
      <c r="G3297" s="375" t="s">
        <v>494</v>
      </c>
      <c r="H3297" s="375" t="s">
        <v>1521</v>
      </c>
      <c r="I3297" s="63" t="s">
        <v>4911</v>
      </c>
      <c r="J3297" s="47">
        <f t="shared" si="693"/>
        <v>3740</v>
      </c>
      <c r="K3297" s="46" t="s">
        <v>10735</v>
      </c>
      <c r="L3297" s="47" t="s">
        <v>4912</v>
      </c>
      <c r="M3297" s="47">
        <f>M$7</f>
        <v>1430.0000000000002</v>
      </c>
      <c r="N3297" s="47" t="s">
        <v>4913</v>
      </c>
      <c r="O3297" s="47" t="s">
        <v>4914</v>
      </c>
      <c r="P3297" s="47" t="s">
        <v>4915</v>
      </c>
      <c r="Q3297" s="47">
        <f>Q$2</f>
        <v>0</v>
      </c>
      <c r="R3297" s="47"/>
      <c r="S3297" s="47"/>
      <c r="T3297" s="47"/>
      <c r="U3297" s="47"/>
      <c r="V3297" s="47" t="str">
        <f>V$7</f>
        <v>$6/m2</v>
      </c>
      <c r="W3297" s="47"/>
      <c r="X3297" s="47"/>
      <c r="Y3297" s="47"/>
      <c r="Z3297" s="47">
        <f t="shared" si="696"/>
        <v>4620</v>
      </c>
      <c r="AA3297" s="47"/>
      <c r="AB3297" s="47"/>
      <c r="AC3297" s="47"/>
      <c r="AD3297" s="47"/>
      <c r="AE3297" s="47"/>
      <c r="AF3297" s="47">
        <f t="shared" si="695"/>
        <v>1485</v>
      </c>
      <c r="AG3297" s="47"/>
      <c r="AH3297" s="47" t="str">
        <f>IFERROR(_xlfn.XLOOKUP(Table6[[#This Row],[Suburb]],Table5[Travel Surcharge],Table5[$$]),"")</f>
        <v/>
      </c>
      <c r="AI3297" s="47"/>
      <c r="AJ3297" s="47"/>
    </row>
    <row r="3298" spans="1:36">
      <c r="A3298" s="374" t="s">
        <v>4917</v>
      </c>
      <c r="B3298" s="374">
        <v>2</v>
      </c>
      <c r="C3298" s="374" t="s">
        <v>2060</v>
      </c>
      <c r="D3298" s="375" t="str">
        <f t="shared" si="697"/>
        <v>Parklane Garden2</v>
      </c>
      <c r="E3298" s="375" t="s">
        <v>4918</v>
      </c>
      <c r="F3298" s="375"/>
      <c r="G3298" s="375" t="s">
        <v>4919</v>
      </c>
      <c r="H3298" s="375" t="s">
        <v>4920</v>
      </c>
      <c r="I3298" s="63" t="s">
        <v>4921</v>
      </c>
      <c r="J3298" s="47">
        <f t="shared" si="693"/>
        <v>3740</v>
      </c>
      <c r="K3298" s="46" t="s">
        <v>10735</v>
      </c>
      <c r="L3298" s="47" t="s">
        <v>4922</v>
      </c>
      <c r="M3298" s="47"/>
      <c r="N3298" s="47"/>
      <c r="O3298" s="47"/>
      <c r="P3298" s="47"/>
      <c r="Q3298" s="47"/>
      <c r="R3298" s="47"/>
      <c r="S3298" s="47"/>
      <c r="T3298" s="47" t="s">
        <v>4923</v>
      </c>
      <c r="U3298" s="47">
        <f>U$2</f>
        <v>430</v>
      </c>
      <c r="V3298" s="47"/>
      <c r="W3298" s="47"/>
      <c r="X3298" s="47"/>
      <c r="Y3298" s="47"/>
      <c r="Z3298" s="47">
        <f t="shared" si="696"/>
        <v>4620</v>
      </c>
      <c r="AA3298" s="47"/>
      <c r="AB3298" s="47"/>
      <c r="AC3298" s="47"/>
      <c r="AD3298" s="47"/>
      <c r="AE3298" s="47"/>
      <c r="AF3298" s="47">
        <f t="shared" si="695"/>
        <v>1485</v>
      </c>
      <c r="AG3298" s="47"/>
      <c r="AH3298" s="47" t="str">
        <f>IFERROR(_xlfn.XLOOKUP(Table6[[#This Row],[Suburb]],Table5[Travel Surcharge],Table5[$$]),"")</f>
        <v/>
      </c>
      <c r="AI3298" s="47"/>
      <c r="AJ3298" s="47"/>
    </row>
    <row r="3299" spans="1:36">
      <c r="A3299" s="157" t="s">
        <v>4917</v>
      </c>
      <c r="B3299" s="157">
        <v>3</v>
      </c>
      <c r="C3299" s="157" t="s">
        <v>2060</v>
      </c>
      <c r="D3299" s="157" t="str">
        <f t="shared" si="697"/>
        <v>Parklane Garden3</v>
      </c>
      <c r="E3299" s="157" t="s">
        <v>7775</v>
      </c>
      <c r="F3299" s="157"/>
      <c r="G3299" s="157" t="s">
        <v>4919</v>
      </c>
      <c r="H3299" s="157" t="s">
        <v>4920</v>
      </c>
      <c r="I3299" s="158" t="s">
        <v>4921</v>
      </c>
      <c r="J3299" s="47">
        <f t="shared" si="693"/>
        <v>3740</v>
      </c>
      <c r="K3299" s="46" t="s">
        <v>10735</v>
      </c>
      <c r="L3299" s="47" t="s">
        <v>4922</v>
      </c>
      <c r="M3299" s="47"/>
      <c r="N3299" s="47"/>
      <c r="O3299" s="47"/>
      <c r="P3299" s="47"/>
      <c r="Q3299" s="47"/>
      <c r="R3299" s="47"/>
      <c r="S3299" s="47"/>
      <c r="T3299" s="47" t="s">
        <v>4923</v>
      </c>
      <c r="U3299" s="47">
        <f>U$2</f>
        <v>430</v>
      </c>
      <c r="V3299" s="47"/>
      <c r="W3299" s="47"/>
      <c r="X3299" s="47"/>
      <c r="Y3299" s="47"/>
      <c r="Z3299" s="47">
        <f t="shared" si="696"/>
        <v>4620</v>
      </c>
      <c r="AA3299" s="47"/>
      <c r="AB3299" s="47"/>
      <c r="AC3299" s="47"/>
      <c r="AD3299" s="47"/>
      <c r="AE3299" s="47"/>
      <c r="AF3299" s="47">
        <f t="shared" si="695"/>
        <v>1485</v>
      </c>
      <c r="AG3299" s="47"/>
      <c r="AH3299" s="47" t="str">
        <f>IFERROR(_xlfn.XLOOKUP(Table6[[#This Row],[Suburb]],Table5[Travel Surcharge],Table5[$$]),"")</f>
        <v/>
      </c>
      <c r="AI3299" s="47"/>
      <c r="AJ3299" s="47"/>
    </row>
    <row r="3300" spans="1:36">
      <c r="A3300" s="374" t="s">
        <v>4917</v>
      </c>
      <c r="B3300" s="374">
        <v>4</v>
      </c>
      <c r="C3300" s="374" t="s">
        <v>2060</v>
      </c>
      <c r="D3300" s="375" t="str">
        <f t="shared" si="697"/>
        <v>Parklane Garden4</v>
      </c>
      <c r="E3300" s="375" t="s">
        <v>4924</v>
      </c>
      <c r="F3300" s="375"/>
      <c r="G3300" s="375" t="s">
        <v>4919</v>
      </c>
      <c r="H3300" s="375" t="s">
        <v>4920</v>
      </c>
      <c r="I3300" s="63" t="s">
        <v>4921</v>
      </c>
      <c r="J3300" s="47">
        <f t="shared" si="693"/>
        <v>3740</v>
      </c>
      <c r="K3300" s="46" t="s">
        <v>10735</v>
      </c>
      <c r="L3300" s="47" t="s">
        <v>4922</v>
      </c>
      <c r="M3300" s="47"/>
      <c r="N3300" s="47"/>
      <c r="O3300" s="47"/>
      <c r="P3300" s="47"/>
      <c r="Q3300" s="47"/>
      <c r="R3300" s="47"/>
      <c r="S3300" s="47"/>
      <c r="T3300" s="47" t="s">
        <v>4923</v>
      </c>
      <c r="U3300" s="47">
        <f>U$2</f>
        <v>430</v>
      </c>
      <c r="V3300" s="47"/>
      <c r="W3300" s="47"/>
      <c r="X3300" s="47"/>
      <c r="Y3300" s="47"/>
      <c r="Z3300" s="47">
        <f t="shared" si="696"/>
        <v>4620</v>
      </c>
      <c r="AA3300" s="47"/>
      <c r="AB3300" s="47"/>
      <c r="AC3300" s="47"/>
      <c r="AD3300" s="47"/>
      <c r="AE3300" s="47"/>
      <c r="AF3300" s="47">
        <f t="shared" si="695"/>
        <v>1485</v>
      </c>
      <c r="AG3300" s="47"/>
      <c r="AH3300" s="47" t="str">
        <f>IFERROR(_xlfn.XLOOKUP(Table6[[#This Row],[Suburb]],Table5[Travel Surcharge],Table5[$$]),"")</f>
        <v/>
      </c>
      <c r="AI3300" s="47"/>
      <c r="AJ3300" s="47"/>
    </row>
    <row r="3301" spans="1:36">
      <c r="A3301" s="374" t="s">
        <v>4917</v>
      </c>
      <c r="B3301" s="374">
        <v>5</v>
      </c>
      <c r="C3301" s="374" t="s">
        <v>2060</v>
      </c>
      <c r="D3301" s="375" t="str">
        <f t="shared" si="697"/>
        <v>Parklane Garden5</v>
      </c>
      <c r="E3301" s="375" t="s">
        <v>4925</v>
      </c>
      <c r="F3301" s="375"/>
      <c r="G3301" s="375" t="s">
        <v>4919</v>
      </c>
      <c r="H3301" s="375" t="s">
        <v>4920</v>
      </c>
      <c r="I3301" s="63" t="s">
        <v>4921</v>
      </c>
      <c r="J3301" s="47">
        <f t="shared" si="693"/>
        <v>3740</v>
      </c>
      <c r="K3301" s="46" t="s">
        <v>10735</v>
      </c>
      <c r="L3301" s="47" t="s">
        <v>4922</v>
      </c>
      <c r="M3301" s="47"/>
      <c r="N3301" s="47"/>
      <c r="O3301" s="47"/>
      <c r="P3301" s="47"/>
      <c r="Q3301" s="47"/>
      <c r="R3301" s="47"/>
      <c r="S3301" s="47"/>
      <c r="T3301" s="47" t="s">
        <v>4923</v>
      </c>
      <c r="U3301" s="47">
        <f>U$2</f>
        <v>430</v>
      </c>
      <c r="V3301" s="47"/>
      <c r="W3301" s="47"/>
      <c r="X3301" s="47"/>
      <c r="Y3301" s="47"/>
      <c r="Z3301" s="47">
        <f t="shared" si="696"/>
        <v>4620</v>
      </c>
      <c r="AA3301" s="47"/>
      <c r="AB3301" s="47"/>
      <c r="AC3301" s="47"/>
      <c r="AD3301" s="47"/>
      <c r="AE3301" s="47"/>
      <c r="AF3301" s="47">
        <f t="shared" si="695"/>
        <v>1485</v>
      </c>
      <c r="AG3301" s="47"/>
      <c r="AH3301" s="47" t="str">
        <f>IFERROR(_xlfn.XLOOKUP(Table6[[#This Row],[Suburb]],Table5[Travel Surcharge],Table5[$$]),"")</f>
        <v/>
      </c>
      <c r="AI3301" s="47"/>
      <c r="AJ3301" s="47"/>
    </row>
    <row r="3302" spans="1:36">
      <c r="A3302" s="374" t="s">
        <v>4917</v>
      </c>
      <c r="B3302" s="374">
        <v>7</v>
      </c>
      <c r="C3302" s="374" t="s">
        <v>2060</v>
      </c>
      <c r="D3302" s="375" t="str">
        <f t="shared" si="697"/>
        <v>Parklane Garden7</v>
      </c>
      <c r="E3302" s="375" t="s">
        <v>9643</v>
      </c>
      <c r="F3302" s="375"/>
      <c r="G3302" s="375" t="s">
        <v>4919</v>
      </c>
      <c r="H3302" s="375" t="s">
        <v>4920</v>
      </c>
      <c r="I3302" s="63" t="s">
        <v>4921</v>
      </c>
      <c r="J3302" s="47">
        <f t="shared" si="693"/>
        <v>3740</v>
      </c>
      <c r="K3302" s="46" t="s">
        <v>10735</v>
      </c>
      <c r="L3302" s="47" t="s">
        <v>4922</v>
      </c>
      <c r="M3302" s="47"/>
      <c r="N3302" s="47"/>
      <c r="O3302" s="47"/>
      <c r="P3302" s="47"/>
      <c r="Q3302" s="47"/>
      <c r="R3302" s="47"/>
      <c r="S3302" s="47"/>
      <c r="T3302" s="47" t="s">
        <v>4923</v>
      </c>
      <c r="U3302" s="47">
        <f>U$2</f>
        <v>430</v>
      </c>
      <c r="V3302" s="47"/>
      <c r="W3302" s="47"/>
      <c r="X3302" s="47"/>
      <c r="Y3302" s="47"/>
      <c r="Z3302" s="47">
        <f t="shared" si="696"/>
        <v>4620</v>
      </c>
      <c r="AA3302" s="47"/>
      <c r="AB3302" s="47"/>
      <c r="AC3302" s="47"/>
      <c r="AD3302" s="47"/>
      <c r="AE3302" s="47"/>
      <c r="AF3302" s="47">
        <f t="shared" si="695"/>
        <v>1485</v>
      </c>
      <c r="AG3302" s="47"/>
      <c r="AH3302" s="47" t="str">
        <f>IFERROR(_xlfn.XLOOKUP(Table6[[#This Row],[Suburb]],Table5[Travel Surcharge],Table5[$$]),"")</f>
        <v/>
      </c>
      <c r="AI3302" s="47"/>
      <c r="AJ3302" s="47"/>
    </row>
    <row r="3303" spans="1:36">
      <c r="A3303" s="374" t="s">
        <v>4934</v>
      </c>
      <c r="B3303" s="374">
        <v>8</v>
      </c>
      <c r="C3303" s="374" t="s">
        <v>529</v>
      </c>
      <c r="D3303" s="375" t="str">
        <f t="shared" si="697"/>
        <v>Parks Edge Estate8</v>
      </c>
      <c r="E3303" s="375" t="s">
        <v>4935</v>
      </c>
      <c r="F3303" s="375" t="s">
        <v>2664</v>
      </c>
      <c r="G3303" s="375" t="s">
        <v>2658</v>
      </c>
      <c r="H3303" s="375" t="s">
        <v>4936</v>
      </c>
      <c r="I3303" s="63" t="s">
        <v>4937</v>
      </c>
      <c r="J3303" s="47">
        <f t="shared" si="693"/>
        <v>3740</v>
      </c>
      <c r="K3303" s="46" t="s">
        <v>10735</v>
      </c>
      <c r="L3303" s="47"/>
      <c r="M3303" s="47"/>
      <c r="N3303" s="47"/>
      <c r="O3303" s="47"/>
      <c r="P3303" s="47"/>
      <c r="Q3303" s="47"/>
      <c r="R3303" s="47"/>
      <c r="S3303" s="47" t="s">
        <v>4938</v>
      </c>
      <c r="T3303" s="47"/>
      <c r="U3303" s="47"/>
      <c r="V3303" s="47"/>
      <c r="W3303" s="47"/>
      <c r="X3303" s="47">
        <f>X$7</f>
        <v>3000</v>
      </c>
      <c r="Y3303" s="47"/>
      <c r="Z3303" s="47">
        <f t="shared" si="696"/>
        <v>4620</v>
      </c>
      <c r="AA3303" s="47">
        <f>AA$7</f>
        <v>1400</v>
      </c>
      <c r="AB3303" s="47"/>
      <c r="AC3303" s="47"/>
      <c r="AD3303" s="47"/>
      <c r="AE3303" s="47"/>
      <c r="AF3303" s="47"/>
      <c r="AG3303" s="47"/>
      <c r="AH3303" s="47" t="str">
        <f>IFERROR(_xlfn.XLOOKUP(Table6[[#This Row],[Suburb]],Table5[Travel Surcharge],Table5[$$]),"")</f>
        <v/>
      </c>
      <c r="AI3303" s="47"/>
      <c r="AJ3303" s="47"/>
    </row>
    <row r="3304" spans="1:36">
      <c r="A3304" s="374" t="s">
        <v>9880</v>
      </c>
      <c r="B3304" s="374">
        <v>1</v>
      </c>
      <c r="C3304" s="374" t="s">
        <v>593</v>
      </c>
      <c r="D3304" s="375" t="str">
        <f t="shared" ref="D3304:D3305" si="698">CONCATENATE(A3304,B3304)</f>
        <v>Parkside Berwick1</v>
      </c>
      <c r="E3304" s="375" t="s">
        <v>9881</v>
      </c>
      <c r="F3304" s="375"/>
      <c r="G3304" s="375" t="s">
        <v>4431</v>
      </c>
      <c r="H3304" s="375" t="s">
        <v>3818</v>
      </c>
      <c r="I3304" s="63" t="s">
        <v>4433</v>
      </c>
      <c r="J3304" s="47" t="s">
        <v>9882</v>
      </c>
      <c r="K3304" s="46" t="s">
        <v>7938</v>
      </c>
      <c r="L3304" s="47"/>
      <c r="M3304" s="47"/>
      <c r="N3304" s="47"/>
      <c r="O3304" s="47">
        <v>4950</v>
      </c>
      <c r="P3304" s="47"/>
      <c r="Q3304" s="47">
        <f t="shared" ref="Q3304:Q3325" si="699">Q$2</f>
        <v>0</v>
      </c>
      <c r="R3304" s="47"/>
      <c r="S3304" s="47"/>
      <c r="T3304" s="47"/>
      <c r="U3304" s="47"/>
      <c r="V3304" s="47"/>
      <c r="W3304" s="47"/>
      <c r="X3304" s="47"/>
      <c r="Y3304" s="47"/>
      <c r="Z3304" s="47">
        <f t="shared" si="696"/>
        <v>4620</v>
      </c>
      <c r="AA3304" s="47"/>
      <c r="AB3304" s="47"/>
      <c r="AC3304" s="47"/>
      <c r="AD3304" s="47"/>
      <c r="AE3304" s="47"/>
      <c r="AF3304" s="47"/>
      <c r="AG3304" s="47"/>
      <c r="AH3304" s="47" t="str">
        <f>IFERROR(_xlfn.XLOOKUP(Table6[[#This Row],[Suburb]],Table5[Travel Surcharge],Table5[$$]),"")</f>
        <v/>
      </c>
      <c r="AI3304" s="47"/>
      <c r="AJ3304" s="47"/>
    </row>
    <row r="3305" spans="1:36">
      <c r="A3305" s="374" t="s">
        <v>9880</v>
      </c>
      <c r="B3305" s="374">
        <v>2</v>
      </c>
      <c r="C3305" s="374" t="s">
        <v>593</v>
      </c>
      <c r="D3305" s="375" t="str">
        <f t="shared" si="698"/>
        <v>Parkside Berwick2</v>
      </c>
      <c r="E3305" s="375" t="s">
        <v>9881</v>
      </c>
      <c r="F3305" s="375"/>
      <c r="G3305" s="375" t="s">
        <v>4431</v>
      </c>
      <c r="H3305" s="375" t="s">
        <v>3818</v>
      </c>
      <c r="I3305" s="63" t="s">
        <v>4433</v>
      </c>
      <c r="J3305" s="47" t="s">
        <v>9882</v>
      </c>
      <c r="K3305" s="46" t="s">
        <v>7938</v>
      </c>
      <c r="L3305" s="47"/>
      <c r="M3305" s="47"/>
      <c r="N3305" s="47"/>
      <c r="O3305" s="47">
        <v>4950</v>
      </c>
      <c r="P3305" s="47"/>
      <c r="Q3305" s="47">
        <v>0</v>
      </c>
      <c r="R3305" s="47"/>
      <c r="S3305" s="47"/>
      <c r="T3305" s="47"/>
      <c r="U3305" s="47"/>
      <c r="V3305" s="47"/>
      <c r="W3305" s="47"/>
      <c r="X3305" s="47"/>
      <c r="Y3305" s="47"/>
      <c r="Z3305" s="47">
        <v>4620</v>
      </c>
      <c r="AA3305" s="47"/>
      <c r="AB3305" s="47"/>
      <c r="AC3305" s="47"/>
      <c r="AD3305" s="47"/>
      <c r="AE3305" s="47"/>
      <c r="AF3305" s="47"/>
      <c r="AG3305" s="47"/>
      <c r="AH3305" s="47" t="s">
        <v>9976</v>
      </c>
      <c r="AI3305" s="47"/>
      <c r="AJ3305" s="47"/>
    </row>
    <row r="3306" spans="1:36">
      <c r="A3306" s="374" t="s">
        <v>4926</v>
      </c>
      <c r="B3306" s="374">
        <v>1</v>
      </c>
      <c r="C3306" s="374" t="s">
        <v>287</v>
      </c>
      <c r="D3306" s="375" t="str">
        <f t="shared" si="697"/>
        <v>Parkside Estate1</v>
      </c>
      <c r="E3306" s="375" t="s">
        <v>9013</v>
      </c>
      <c r="F3306" s="375"/>
      <c r="G3306" s="375" t="s">
        <v>4928</v>
      </c>
      <c r="H3306" s="375" t="s">
        <v>4560</v>
      </c>
      <c r="I3306" s="63" t="s">
        <v>4929</v>
      </c>
      <c r="J3306" s="47"/>
      <c r="K3306" s="46" t="s">
        <v>10735</v>
      </c>
      <c r="L3306" s="47"/>
      <c r="M3306" s="47"/>
      <c r="N3306" s="47" t="s">
        <v>4930</v>
      </c>
      <c r="O3306" s="47" t="s">
        <v>4931</v>
      </c>
      <c r="P3306" s="47"/>
      <c r="Q3306" s="47">
        <f t="shared" si="699"/>
        <v>0</v>
      </c>
      <c r="R3306" s="47"/>
      <c r="S3306" s="47"/>
      <c r="T3306" s="47"/>
      <c r="U3306" s="47"/>
      <c r="V3306" s="47"/>
      <c r="W3306" s="47"/>
      <c r="X3306" s="47"/>
      <c r="Y3306" s="47"/>
      <c r="Z3306" s="47">
        <f t="shared" si="696"/>
        <v>4620</v>
      </c>
      <c r="AA3306" s="47"/>
      <c r="AB3306" s="47"/>
      <c r="AC3306" s="47"/>
      <c r="AD3306" s="47"/>
      <c r="AE3306" s="47"/>
      <c r="AF3306" s="47"/>
      <c r="AG3306" s="47"/>
      <c r="AH3306" s="47">
        <f>IFERROR(_xlfn.XLOOKUP(Table6[[#This Row],[Suburb]],Table5[Travel Surcharge],Table5[$$]),"")</f>
        <v>7000</v>
      </c>
      <c r="AI3306" s="47"/>
      <c r="AJ3306" s="47"/>
    </row>
    <row r="3307" spans="1:36">
      <c r="A3307" s="374" t="s">
        <v>4926</v>
      </c>
      <c r="B3307" s="374">
        <v>2</v>
      </c>
      <c r="C3307" s="374" t="s">
        <v>287</v>
      </c>
      <c r="D3307" s="375" t="str">
        <f t="shared" si="697"/>
        <v>Parkside Estate2</v>
      </c>
      <c r="E3307" s="375" t="s">
        <v>4927</v>
      </c>
      <c r="F3307" s="375"/>
      <c r="G3307" s="375" t="s">
        <v>4928</v>
      </c>
      <c r="H3307" s="375" t="s">
        <v>4560</v>
      </c>
      <c r="I3307" s="63" t="s">
        <v>4929</v>
      </c>
      <c r="J3307" s="47"/>
      <c r="K3307" s="46" t="s">
        <v>10735</v>
      </c>
      <c r="L3307" s="47"/>
      <c r="M3307" s="47"/>
      <c r="N3307" s="47" t="s">
        <v>4930</v>
      </c>
      <c r="O3307" s="47" t="s">
        <v>4931</v>
      </c>
      <c r="P3307" s="47"/>
      <c r="Q3307" s="47">
        <f t="shared" si="699"/>
        <v>0</v>
      </c>
      <c r="R3307" s="47"/>
      <c r="S3307" s="47"/>
      <c r="T3307" s="47"/>
      <c r="U3307" s="47"/>
      <c r="V3307" s="47"/>
      <c r="W3307" s="47"/>
      <c r="X3307" s="47"/>
      <c r="Y3307" s="47"/>
      <c r="Z3307" s="47">
        <f t="shared" si="696"/>
        <v>4620</v>
      </c>
      <c r="AA3307" s="47"/>
      <c r="AB3307" s="47"/>
      <c r="AC3307" s="47"/>
      <c r="AD3307" s="47"/>
      <c r="AE3307" s="47"/>
      <c r="AF3307" s="47"/>
      <c r="AG3307" s="47"/>
      <c r="AH3307" s="47">
        <f>IFERROR(_xlfn.XLOOKUP(Table6[[#This Row],[Suburb]],Table5[Travel Surcharge],Table5[$$]),"")</f>
        <v>7000</v>
      </c>
      <c r="AI3307" s="47"/>
      <c r="AJ3307" s="47"/>
    </row>
    <row r="3308" spans="1:36">
      <c r="A3308" s="374" t="s">
        <v>4926</v>
      </c>
      <c r="B3308" s="374">
        <v>3</v>
      </c>
      <c r="C3308" s="374" t="s">
        <v>287</v>
      </c>
      <c r="D3308" s="375" t="str">
        <f t="shared" si="697"/>
        <v>Parkside Estate3</v>
      </c>
      <c r="E3308" s="375" t="s">
        <v>4932</v>
      </c>
      <c r="F3308" s="375"/>
      <c r="G3308" s="375" t="s">
        <v>4928</v>
      </c>
      <c r="H3308" s="375" t="s">
        <v>4560</v>
      </c>
      <c r="I3308" s="63" t="s">
        <v>4929</v>
      </c>
      <c r="J3308" s="47"/>
      <c r="K3308" s="46" t="s">
        <v>10735</v>
      </c>
      <c r="L3308" s="47"/>
      <c r="M3308" s="47"/>
      <c r="N3308" s="47" t="s">
        <v>4930</v>
      </c>
      <c r="O3308" s="47" t="s">
        <v>4931</v>
      </c>
      <c r="P3308" s="47"/>
      <c r="Q3308" s="47">
        <f t="shared" si="699"/>
        <v>0</v>
      </c>
      <c r="R3308" s="47"/>
      <c r="S3308" s="47"/>
      <c r="T3308" s="47"/>
      <c r="U3308" s="47"/>
      <c r="V3308" s="47"/>
      <c r="W3308" s="47"/>
      <c r="X3308" s="47"/>
      <c r="Y3308" s="47"/>
      <c r="Z3308" s="47">
        <f t="shared" si="696"/>
        <v>4620</v>
      </c>
      <c r="AA3308" s="47"/>
      <c r="AB3308" s="47"/>
      <c r="AC3308" s="47"/>
      <c r="AD3308" s="47"/>
      <c r="AE3308" s="47"/>
      <c r="AF3308" s="47"/>
      <c r="AG3308" s="47"/>
      <c r="AH3308" s="47">
        <f>IFERROR(_xlfn.XLOOKUP(Table6[[#This Row],[Suburb]],Table5[Travel Surcharge],Table5[$$]),"")</f>
        <v>7000</v>
      </c>
      <c r="AI3308" s="47"/>
      <c r="AJ3308" s="47"/>
    </row>
    <row r="3309" spans="1:36">
      <c r="A3309" s="374" t="s">
        <v>4926</v>
      </c>
      <c r="B3309" s="374">
        <v>4</v>
      </c>
      <c r="C3309" s="374" t="s">
        <v>287</v>
      </c>
      <c r="D3309" s="375" t="str">
        <f t="shared" si="697"/>
        <v>Parkside Estate4</v>
      </c>
      <c r="E3309" s="375" t="s">
        <v>4933</v>
      </c>
      <c r="F3309" s="375"/>
      <c r="G3309" s="375" t="s">
        <v>4928</v>
      </c>
      <c r="H3309" s="375" t="s">
        <v>4560</v>
      </c>
      <c r="I3309" s="63" t="s">
        <v>4929</v>
      </c>
      <c r="J3309" s="47"/>
      <c r="K3309" s="46" t="s">
        <v>10735</v>
      </c>
      <c r="L3309" s="47"/>
      <c r="M3309" s="47"/>
      <c r="N3309" s="47" t="s">
        <v>4930</v>
      </c>
      <c r="O3309" s="47" t="s">
        <v>4931</v>
      </c>
      <c r="P3309" s="47"/>
      <c r="Q3309" s="47">
        <f t="shared" si="699"/>
        <v>0</v>
      </c>
      <c r="R3309" s="47"/>
      <c r="S3309" s="47"/>
      <c r="T3309" s="47"/>
      <c r="U3309" s="47"/>
      <c r="V3309" s="47"/>
      <c r="W3309" s="47"/>
      <c r="X3309" s="47"/>
      <c r="Y3309" s="47"/>
      <c r="Z3309" s="47">
        <f t="shared" si="696"/>
        <v>4620</v>
      </c>
      <c r="AA3309" s="47"/>
      <c r="AB3309" s="47"/>
      <c r="AC3309" s="47"/>
      <c r="AD3309" s="47"/>
      <c r="AE3309" s="47"/>
      <c r="AF3309" s="47"/>
      <c r="AG3309" s="47"/>
      <c r="AH3309" s="47">
        <f>IFERROR(_xlfn.XLOOKUP(Table6[[#This Row],[Suburb]],Table5[Travel Surcharge],Table5[$$]),"")</f>
        <v>7000</v>
      </c>
      <c r="AI3309" s="47"/>
      <c r="AJ3309" s="47"/>
    </row>
    <row r="3310" spans="1:36">
      <c r="A3310" s="374" t="s">
        <v>4939</v>
      </c>
      <c r="B3310" s="374">
        <v>8</v>
      </c>
      <c r="C3310" s="374" t="s">
        <v>502</v>
      </c>
      <c r="D3310" s="375" t="str">
        <f t="shared" si="697"/>
        <v>Parkview 8</v>
      </c>
      <c r="E3310" s="375" t="s">
        <v>4940</v>
      </c>
      <c r="F3310" s="375"/>
      <c r="G3310" s="375"/>
      <c r="H3310" s="375"/>
      <c r="I3310" s="63"/>
      <c r="J3310" s="47">
        <f t="shared" ref="J3310:J3341" si="700">J$7</f>
        <v>3740</v>
      </c>
      <c r="K3310" s="46" t="s">
        <v>10735</v>
      </c>
      <c r="L3310" s="47"/>
      <c r="M3310" s="47"/>
      <c r="N3310" s="47"/>
      <c r="O3310" s="47"/>
      <c r="P3310" s="47"/>
      <c r="Q3310" s="47">
        <f t="shared" si="699"/>
        <v>0</v>
      </c>
      <c r="R3310" s="47"/>
      <c r="S3310" s="47"/>
      <c r="T3310" s="47"/>
      <c r="U3310" s="47"/>
      <c r="V3310" s="47"/>
      <c r="W3310" s="47"/>
      <c r="X3310" s="47"/>
      <c r="Y3310" s="47"/>
      <c r="Z3310" s="47">
        <f t="shared" si="696"/>
        <v>4620</v>
      </c>
      <c r="AA3310" s="47"/>
      <c r="AB3310" s="47"/>
      <c r="AC3310" s="47"/>
      <c r="AD3310" s="47"/>
      <c r="AE3310" s="47"/>
      <c r="AF3310" s="47"/>
      <c r="AG3310" s="47"/>
      <c r="AH3310" s="47" t="str">
        <f>IFERROR(_xlfn.XLOOKUP(Table6[[#This Row],[Suburb]],Table5[Travel Surcharge],Table5[$$]),"")</f>
        <v/>
      </c>
      <c r="AI3310" s="47"/>
      <c r="AJ3310" s="47"/>
    </row>
    <row r="3311" spans="1:36">
      <c r="A3311" s="374" t="s">
        <v>4939</v>
      </c>
      <c r="B3311" s="374">
        <v>9</v>
      </c>
      <c r="C3311" s="374" t="s">
        <v>502</v>
      </c>
      <c r="D3311" s="375" t="str">
        <f t="shared" si="697"/>
        <v>Parkview 9</v>
      </c>
      <c r="E3311" s="375" t="s">
        <v>4941</v>
      </c>
      <c r="F3311" s="375"/>
      <c r="G3311" s="375"/>
      <c r="H3311" s="375"/>
      <c r="I3311" s="63"/>
      <c r="J3311" s="47">
        <f t="shared" si="700"/>
        <v>3740</v>
      </c>
      <c r="K3311" s="46" t="s">
        <v>10735</v>
      </c>
      <c r="L3311" s="47"/>
      <c r="M3311" s="47"/>
      <c r="N3311" s="47"/>
      <c r="O3311" s="47"/>
      <c r="P3311" s="47"/>
      <c r="Q3311" s="47">
        <f t="shared" si="699"/>
        <v>0</v>
      </c>
      <c r="R3311" s="47"/>
      <c r="S3311" s="47"/>
      <c r="T3311" s="47"/>
      <c r="U3311" s="47"/>
      <c r="V3311" s="47"/>
      <c r="W3311" s="47"/>
      <c r="X3311" s="47"/>
      <c r="Y3311" s="47"/>
      <c r="Z3311" s="47">
        <f t="shared" si="696"/>
        <v>4620</v>
      </c>
      <c r="AA3311" s="47"/>
      <c r="AB3311" s="47"/>
      <c r="AC3311" s="47"/>
      <c r="AD3311" s="47"/>
      <c r="AE3311" s="47"/>
      <c r="AF3311" s="47"/>
      <c r="AG3311" s="47"/>
      <c r="AH3311" s="47" t="str">
        <f>IFERROR(_xlfn.XLOOKUP(Table6[[#This Row],[Suburb]],Table5[Travel Surcharge],Table5[$$]),"")</f>
        <v/>
      </c>
      <c r="AI3311" s="47"/>
      <c r="AJ3311" s="47"/>
    </row>
    <row r="3312" spans="1:36">
      <c r="A3312" s="374" t="s">
        <v>4939</v>
      </c>
      <c r="B3312" s="374">
        <v>10</v>
      </c>
      <c r="C3312" s="374" t="s">
        <v>502</v>
      </c>
      <c r="D3312" s="375" t="str">
        <f t="shared" si="697"/>
        <v>Parkview 10</v>
      </c>
      <c r="E3312" s="375" t="s">
        <v>4942</v>
      </c>
      <c r="F3312" s="375"/>
      <c r="G3312" s="375"/>
      <c r="H3312" s="375"/>
      <c r="I3312" s="63"/>
      <c r="J3312" s="47">
        <f t="shared" si="700"/>
        <v>3740</v>
      </c>
      <c r="K3312" s="46" t="s">
        <v>10735</v>
      </c>
      <c r="L3312" s="47"/>
      <c r="M3312" s="47"/>
      <c r="N3312" s="47"/>
      <c r="O3312" s="47"/>
      <c r="P3312" s="47"/>
      <c r="Q3312" s="47">
        <f t="shared" si="699"/>
        <v>0</v>
      </c>
      <c r="R3312" s="47"/>
      <c r="S3312" s="47"/>
      <c r="T3312" s="47"/>
      <c r="U3312" s="47"/>
      <c r="V3312" s="47"/>
      <c r="W3312" s="47"/>
      <c r="X3312" s="47"/>
      <c r="Y3312" s="47"/>
      <c r="Z3312" s="47">
        <f t="shared" si="696"/>
        <v>4620</v>
      </c>
      <c r="AA3312" s="47"/>
      <c r="AB3312" s="47"/>
      <c r="AC3312" s="47"/>
      <c r="AD3312" s="47"/>
      <c r="AE3312" s="47"/>
      <c r="AF3312" s="47"/>
      <c r="AG3312" s="47"/>
      <c r="AH3312" s="47" t="str">
        <f>IFERROR(_xlfn.XLOOKUP(Table6[[#This Row],[Suburb]],Table5[Travel Surcharge],Table5[$$]),"")</f>
        <v/>
      </c>
      <c r="AI3312" s="47"/>
      <c r="AJ3312" s="47"/>
    </row>
    <row r="3313" spans="1:36">
      <c r="A3313" s="374" t="s">
        <v>4939</v>
      </c>
      <c r="B3313" s="374">
        <v>11</v>
      </c>
      <c r="C3313" s="374" t="s">
        <v>502</v>
      </c>
      <c r="D3313" s="375" t="str">
        <f t="shared" si="697"/>
        <v>Parkview 11</v>
      </c>
      <c r="E3313" s="375" t="s">
        <v>9931</v>
      </c>
      <c r="F3313" s="375"/>
      <c r="G3313" s="375"/>
      <c r="H3313" s="375"/>
      <c r="I3313" s="63"/>
      <c r="J3313" s="47">
        <v>3740</v>
      </c>
      <c r="K3313" s="46" t="s">
        <v>10735</v>
      </c>
      <c r="L3313" s="47"/>
      <c r="M3313" s="47"/>
      <c r="N3313" s="47"/>
      <c r="O3313" s="47"/>
      <c r="P3313" s="47"/>
      <c r="Q3313" s="47">
        <v>0</v>
      </c>
      <c r="R3313" s="47"/>
      <c r="S3313" s="47"/>
      <c r="T3313" s="47"/>
      <c r="U3313" s="47"/>
      <c r="V3313" s="47"/>
      <c r="W3313" s="47"/>
      <c r="X3313" s="47"/>
      <c r="Y3313" s="47"/>
      <c r="Z3313" s="47">
        <f t="shared" si="696"/>
        <v>4620</v>
      </c>
      <c r="AA3313" s="47"/>
      <c r="AB3313" s="47"/>
      <c r="AC3313" s="47"/>
      <c r="AD3313" s="47"/>
      <c r="AE3313" s="47"/>
      <c r="AF3313" s="47"/>
      <c r="AG3313" s="47"/>
      <c r="AH3313" s="47" t="str">
        <f>IFERROR(_xlfn.XLOOKUP(Table6[[#This Row],[Suburb]],Table5[Travel Surcharge],Table5[$$]),"")</f>
        <v/>
      </c>
      <c r="AI3313" s="47"/>
      <c r="AJ3313" s="47"/>
    </row>
    <row r="3314" spans="1:36">
      <c r="A3314" s="374" t="s">
        <v>10452</v>
      </c>
      <c r="B3314" s="374">
        <v>1</v>
      </c>
      <c r="C3314" s="374" t="s">
        <v>2371</v>
      </c>
      <c r="D3314" s="375" t="str">
        <f>CONCATENATE(A3314,B3314)</f>
        <v>Parkview - Kilmore1</v>
      </c>
      <c r="E3314" s="375" t="s">
        <v>10456</v>
      </c>
      <c r="F3314" s="375"/>
      <c r="G3314" s="375" t="s">
        <v>10453</v>
      </c>
      <c r="H3314" s="375" t="s">
        <v>10454</v>
      </c>
      <c r="I3314" s="63" t="s">
        <v>10455</v>
      </c>
      <c r="J3314" s="47"/>
      <c r="K3314" s="46" t="s">
        <v>10735</v>
      </c>
      <c r="L3314" s="47" t="s">
        <v>10457</v>
      </c>
      <c r="M3314" s="47">
        <v>1430</v>
      </c>
      <c r="N3314" s="47" t="s">
        <v>10458</v>
      </c>
      <c r="O3314" s="47">
        <f>O$7</f>
        <v>4950</v>
      </c>
      <c r="P3314" s="47" t="s">
        <v>10459</v>
      </c>
      <c r="Q3314" s="47"/>
      <c r="R3314" s="47"/>
      <c r="S3314" s="47" t="s">
        <v>10460</v>
      </c>
      <c r="T3314" s="47"/>
      <c r="U3314" s="47"/>
      <c r="V3314" s="47"/>
      <c r="W3314" s="47"/>
      <c r="X3314" s="47"/>
      <c r="Y3314" s="47"/>
      <c r="Z3314" s="47">
        <f>Z$7</f>
        <v>4620</v>
      </c>
      <c r="AA3314" s="47">
        <v>1400</v>
      </c>
      <c r="AB3314" s="47">
        <v>2800</v>
      </c>
      <c r="AC3314" s="47"/>
      <c r="AD3314" s="47"/>
      <c r="AE3314" s="47"/>
      <c r="AF3314" s="47">
        <v>1485</v>
      </c>
      <c r="AG3314" s="47"/>
      <c r="AH3314" s="47">
        <v>4000</v>
      </c>
      <c r="AI3314" s="47"/>
      <c r="AJ3314" s="47">
        <v>4400</v>
      </c>
    </row>
    <row r="3315" spans="1:36">
      <c r="A3315" s="374" t="s">
        <v>4943</v>
      </c>
      <c r="B3315" s="374">
        <v>1</v>
      </c>
      <c r="C3315" s="374" t="s">
        <v>794</v>
      </c>
      <c r="D3315" s="375" t="str">
        <f t="shared" si="697"/>
        <v>Parkview - Lara1</v>
      </c>
      <c r="E3315" s="375" t="s">
        <v>4948</v>
      </c>
      <c r="F3315" s="375"/>
      <c r="G3315" s="375" t="s">
        <v>4945</v>
      </c>
      <c r="H3315" s="375" t="s">
        <v>4946</v>
      </c>
      <c r="I3315" s="63" t="s">
        <v>4947</v>
      </c>
      <c r="J3315" s="47">
        <f t="shared" si="700"/>
        <v>3740</v>
      </c>
      <c r="K3315" s="46" t="s">
        <v>10735</v>
      </c>
      <c r="L3315" s="47"/>
      <c r="M3315" s="47"/>
      <c r="N3315" s="47"/>
      <c r="O3315" s="47"/>
      <c r="P3315" s="47"/>
      <c r="Q3315" s="47">
        <f t="shared" si="699"/>
        <v>0</v>
      </c>
      <c r="R3315" s="47"/>
      <c r="S3315" s="47"/>
      <c r="T3315" s="47"/>
      <c r="U3315" s="47"/>
      <c r="V3315" s="47"/>
      <c r="W3315" s="47"/>
      <c r="X3315" s="47"/>
      <c r="Y3315" s="47"/>
      <c r="Z3315" s="47">
        <f t="shared" si="696"/>
        <v>4620</v>
      </c>
      <c r="AA3315" s="47"/>
      <c r="AB3315" s="47"/>
      <c r="AC3315" s="47"/>
      <c r="AD3315" s="47"/>
      <c r="AE3315" s="47"/>
      <c r="AF3315" s="47"/>
      <c r="AG3315" s="47"/>
      <c r="AH3315" s="47" t="str">
        <f>IFERROR(_xlfn.XLOOKUP(Table6[[#This Row],[Suburb]],Table5[Travel Surcharge],Table5[$$]),"")</f>
        <v/>
      </c>
      <c r="AI3315" s="47"/>
      <c r="AJ3315" s="47"/>
    </row>
    <row r="3316" spans="1:36">
      <c r="A3316" s="374" t="s">
        <v>4943</v>
      </c>
      <c r="B3316" s="374">
        <v>3</v>
      </c>
      <c r="C3316" s="374" t="s">
        <v>794</v>
      </c>
      <c r="D3316" s="375" t="str">
        <f t="shared" si="697"/>
        <v>Parkview - Lara3</v>
      </c>
      <c r="E3316" s="375" t="s">
        <v>4949</v>
      </c>
      <c r="F3316" s="375"/>
      <c r="G3316" s="375" t="s">
        <v>4945</v>
      </c>
      <c r="H3316" s="375" t="s">
        <v>4946</v>
      </c>
      <c r="I3316" s="63" t="s">
        <v>4947</v>
      </c>
      <c r="J3316" s="47">
        <v>3740</v>
      </c>
      <c r="K3316" s="46" t="s">
        <v>10735</v>
      </c>
      <c r="L3316" s="47"/>
      <c r="M3316" s="47"/>
      <c r="N3316" s="47"/>
      <c r="O3316" s="47"/>
      <c r="P3316" s="47"/>
      <c r="Q3316" s="47">
        <v>0</v>
      </c>
      <c r="R3316" s="47"/>
      <c r="S3316" s="47"/>
      <c r="T3316" s="47"/>
      <c r="U3316" s="47"/>
      <c r="V3316" s="47"/>
      <c r="W3316" s="47"/>
      <c r="X3316" s="47"/>
      <c r="Y3316" s="47"/>
      <c r="Z3316" s="47">
        <v>4620</v>
      </c>
      <c r="AA3316" s="47"/>
      <c r="AB3316" s="47"/>
      <c r="AC3316" s="47"/>
      <c r="AD3316" s="47"/>
      <c r="AE3316" s="47"/>
      <c r="AF3316" s="47"/>
      <c r="AG3316" s="47"/>
      <c r="AH3316" s="47" t="s">
        <v>9976</v>
      </c>
      <c r="AI3316" s="47"/>
      <c r="AJ3316" s="47"/>
    </row>
    <row r="3317" spans="1:36">
      <c r="A3317" s="374" t="s">
        <v>4943</v>
      </c>
      <c r="B3317" s="374">
        <v>4</v>
      </c>
      <c r="C3317" s="374" t="s">
        <v>794</v>
      </c>
      <c r="D3317" s="375" t="str">
        <f t="shared" si="697"/>
        <v>Parkview - Lara4</v>
      </c>
      <c r="E3317" s="375" t="s">
        <v>4944</v>
      </c>
      <c r="F3317" s="375"/>
      <c r="G3317" s="375" t="s">
        <v>4945</v>
      </c>
      <c r="H3317" s="375" t="s">
        <v>4946</v>
      </c>
      <c r="I3317" s="63" t="s">
        <v>4947</v>
      </c>
      <c r="J3317" s="47">
        <f t="shared" si="700"/>
        <v>3740</v>
      </c>
      <c r="K3317" s="46" t="s">
        <v>10735</v>
      </c>
      <c r="L3317" s="47"/>
      <c r="M3317" s="47"/>
      <c r="N3317" s="47"/>
      <c r="O3317" s="47"/>
      <c r="P3317" s="47"/>
      <c r="Q3317" s="47">
        <f t="shared" si="699"/>
        <v>0</v>
      </c>
      <c r="R3317" s="47"/>
      <c r="S3317" s="47"/>
      <c r="T3317" s="47"/>
      <c r="U3317" s="47"/>
      <c r="V3317" s="47"/>
      <c r="W3317" s="47"/>
      <c r="X3317" s="47"/>
      <c r="Y3317" s="47"/>
      <c r="Z3317" s="47">
        <f t="shared" si="696"/>
        <v>4620</v>
      </c>
      <c r="AA3317" s="47"/>
      <c r="AB3317" s="47"/>
      <c r="AC3317" s="47"/>
      <c r="AD3317" s="47"/>
      <c r="AE3317" s="47"/>
      <c r="AF3317" s="47"/>
      <c r="AG3317" s="47"/>
      <c r="AH3317" s="47" t="str">
        <f>IFERROR(_xlfn.XLOOKUP(Table6[[#This Row],[Suburb]],Table5[Travel Surcharge],Table5[$$]),"")</f>
        <v/>
      </c>
      <c r="AI3317" s="47"/>
      <c r="AJ3317" s="47"/>
    </row>
    <row r="3318" spans="1:36">
      <c r="A3318" s="374" t="s">
        <v>4943</v>
      </c>
      <c r="B3318" s="374">
        <v>6</v>
      </c>
      <c r="C3318" s="374" t="s">
        <v>794</v>
      </c>
      <c r="D3318" s="375" t="str">
        <f t="shared" si="697"/>
        <v>Parkview - Lara6</v>
      </c>
      <c r="E3318" s="375" t="s">
        <v>4948</v>
      </c>
      <c r="F3318" s="375"/>
      <c r="G3318" s="375" t="s">
        <v>4945</v>
      </c>
      <c r="H3318" s="375" t="s">
        <v>4946</v>
      </c>
      <c r="I3318" s="63" t="s">
        <v>4947</v>
      </c>
      <c r="J3318" s="47">
        <f t="shared" si="700"/>
        <v>3740</v>
      </c>
      <c r="K3318" s="46" t="s">
        <v>10735</v>
      </c>
      <c r="L3318" s="47"/>
      <c r="M3318" s="47"/>
      <c r="N3318" s="47"/>
      <c r="O3318" s="47"/>
      <c r="P3318" s="47"/>
      <c r="Q3318" s="47">
        <f t="shared" si="699"/>
        <v>0</v>
      </c>
      <c r="R3318" s="47"/>
      <c r="S3318" s="47"/>
      <c r="T3318" s="47"/>
      <c r="U3318" s="47"/>
      <c r="V3318" s="47"/>
      <c r="W3318" s="47"/>
      <c r="X3318" s="47"/>
      <c r="Y3318" s="47"/>
      <c r="Z3318" s="47">
        <f t="shared" si="696"/>
        <v>4620</v>
      </c>
      <c r="AA3318" s="47"/>
      <c r="AB3318" s="47"/>
      <c r="AC3318" s="47"/>
      <c r="AD3318" s="47"/>
      <c r="AE3318" s="47"/>
      <c r="AF3318" s="47"/>
      <c r="AG3318" s="47"/>
      <c r="AH3318" s="47" t="str">
        <f>IFERROR(_xlfn.XLOOKUP(Table6[[#This Row],[Suburb]],Table5[Travel Surcharge],Table5[$$]),"")</f>
        <v/>
      </c>
      <c r="AI3318" s="47"/>
      <c r="AJ3318" s="47"/>
    </row>
    <row r="3319" spans="1:36">
      <c r="A3319" s="374" t="s">
        <v>4943</v>
      </c>
      <c r="B3319" s="374">
        <v>7</v>
      </c>
      <c r="C3319" s="374" t="s">
        <v>794</v>
      </c>
      <c r="D3319" s="375" t="str">
        <f t="shared" si="697"/>
        <v>Parkview - Lara7</v>
      </c>
      <c r="E3319" s="375" t="s">
        <v>4949</v>
      </c>
      <c r="F3319" s="375"/>
      <c r="G3319" s="375" t="s">
        <v>4945</v>
      </c>
      <c r="H3319" s="375" t="s">
        <v>4946</v>
      </c>
      <c r="I3319" s="63" t="s">
        <v>4947</v>
      </c>
      <c r="J3319" s="47">
        <f t="shared" si="700"/>
        <v>3740</v>
      </c>
      <c r="K3319" s="46" t="s">
        <v>10735</v>
      </c>
      <c r="L3319" s="47"/>
      <c r="M3319" s="47"/>
      <c r="N3319" s="47"/>
      <c r="O3319" s="47"/>
      <c r="P3319" s="47"/>
      <c r="Q3319" s="47">
        <f t="shared" si="699"/>
        <v>0</v>
      </c>
      <c r="R3319" s="47"/>
      <c r="S3319" s="47"/>
      <c r="T3319" s="47"/>
      <c r="U3319" s="47"/>
      <c r="V3319" s="47"/>
      <c r="W3319" s="47"/>
      <c r="X3319" s="47"/>
      <c r="Y3319" s="47"/>
      <c r="Z3319" s="47">
        <f t="shared" si="696"/>
        <v>4620</v>
      </c>
      <c r="AA3319" s="47"/>
      <c r="AB3319" s="47"/>
      <c r="AC3319" s="47"/>
      <c r="AD3319" s="47"/>
      <c r="AE3319" s="47"/>
      <c r="AF3319" s="47"/>
      <c r="AG3319" s="47"/>
      <c r="AH3319" s="47" t="str">
        <f>IFERROR(_xlfn.XLOOKUP(Table6[[#This Row],[Suburb]],Table5[Travel Surcharge],Table5[$$]),"")</f>
        <v/>
      </c>
      <c r="AI3319" s="47"/>
      <c r="AJ3319" s="47"/>
    </row>
    <row r="3320" spans="1:36">
      <c r="A3320" s="374" t="s">
        <v>4943</v>
      </c>
      <c r="B3320" s="374">
        <v>8</v>
      </c>
      <c r="C3320" s="374" t="s">
        <v>794</v>
      </c>
      <c r="D3320" s="375" t="str">
        <f t="shared" si="697"/>
        <v>Parkview - Lara8</v>
      </c>
      <c r="E3320" s="375" t="s">
        <v>4949</v>
      </c>
      <c r="F3320" s="375"/>
      <c r="G3320" s="375" t="s">
        <v>4945</v>
      </c>
      <c r="H3320" s="375" t="s">
        <v>4946</v>
      </c>
      <c r="I3320" s="63" t="s">
        <v>4947</v>
      </c>
      <c r="J3320" s="47">
        <f t="shared" si="700"/>
        <v>3740</v>
      </c>
      <c r="K3320" s="46" t="s">
        <v>10735</v>
      </c>
      <c r="L3320" s="47"/>
      <c r="M3320" s="47"/>
      <c r="N3320" s="47"/>
      <c r="O3320" s="47"/>
      <c r="P3320" s="47"/>
      <c r="Q3320" s="47">
        <f t="shared" si="699"/>
        <v>0</v>
      </c>
      <c r="R3320" s="47"/>
      <c r="S3320" s="47"/>
      <c r="T3320" s="47"/>
      <c r="U3320" s="47"/>
      <c r="V3320" s="47"/>
      <c r="W3320" s="47"/>
      <c r="X3320" s="47"/>
      <c r="Y3320" s="47"/>
      <c r="Z3320" s="47">
        <f t="shared" si="696"/>
        <v>4620</v>
      </c>
      <c r="AA3320" s="47"/>
      <c r="AB3320" s="47"/>
      <c r="AC3320" s="47"/>
      <c r="AD3320" s="47"/>
      <c r="AE3320" s="47"/>
      <c r="AF3320" s="47"/>
      <c r="AG3320" s="47"/>
      <c r="AH3320" s="47" t="str">
        <f>IFERROR(_xlfn.XLOOKUP(Table6[[#This Row],[Suburb]],Table5[Travel Surcharge],Table5[$$]),"")</f>
        <v/>
      </c>
      <c r="AI3320" s="47"/>
      <c r="AJ3320" s="47"/>
    </row>
    <row r="3321" spans="1:36">
      <c r="A3321" s="374" t="s">
        <v>4943</v>
      </c>
      <c r="B3321" s="374">
        <v>9</v>
      </c>
      <c r="C3321" s="374" t="s">
        <v>794</v>
      </c>
      <c r="D3321" s="375" t="str">
        <f t="shared" si="697"/>
        <v>Parkview - Lara9</v>
      </c>
      <c r="E3321" s="375" t="s">
        <v>4949</v>
      </c>
      <c r="F3321" s="375"/>
      <c r="G3321" s="375" t="s">
        <v>4945</v>
      </c>
      <c r="H3321" s="375" t="s">
        <v>4946</v>
      </c>
      <c r="I3321" s="63" t="s">
        <v>4947</v>
      </c>
      <c r="J3321" s="47">
        <f t="shared" si="700"/>
        <v>3740</v>
      </c>
      <c r="K3321" s="46" t="s">
        <v>10735</v>
      </c>
      <c r="L3321" s="47"/>
      <c r="M3321" s="47"/>
      <c r="N3321" s="47"/>
      <c r="O3321" s="47"/>
      <c r="P3321" s="47"/>
      <c r="Q3321" s="47">
        <f t="shared" si="699"/>
        <v>0</v>
      </c>
      <c r="R3321" s="47"/>
      <c r="S3321" s="47"/>
      <c r="T3321" s="47"/>
      <c r="U3321" s="47"/>
      <c r="V3321" s="47"/>
      <c r="W3321" s="47"/>
      <c r="X3321" s="47"/>
      <c r="Y3321" s="47"/>
      <c r="Z3321" s="47">
        <f t="shared" si="696"/>
        <v>4620</v>
      </c>
      <c r="AA3321" s="47"/>
      <c r="AB3321" s="47"/>
      <c r="AC3321" s="47"/>
      <c r="AD3321" s="47"/>
      <c r="AE3321" s="47"/>
      <c r="AF3321" s="47"/>
      <c r="AG3321" s="47"/>
      <c r="AH3321" s="47" t="str">
        <f>IFERROR(_xlfn.XLOOKUP(Table6[[#This Row],[Suburb]],Table5[Travel Surcharge],Table5[$$]),"")</f>
        <v/>
      </c>
      <c r="AI3321" s="47"/>
      <c r="AJ3321" s="47"/>
    </row>
    <row r="3322" spans="1:36">
      <c r="A3322" s="374" t="s">
        <v>4943</v>
      </c>
      <c r="B3322" s="374">
        <v>10</v>
      </c>
      <c r="C3322" s="374" t="s">
        <v>794</v>
      </c>
      <c r="D3322" s="375" t="str">
        <f t="shared" si="697"/>
        <v>Parkview - Lara10</v>
      </c>
      <c r="E3322" s="375" t="s">
        <v>4949</v>
      </c>
      <c r="F3322" s="375"/>
      <c r="G3322" s="375" t="s">
        <v>4945</v>
      </c>
      <c r="H3322" s="375" t="s">
        <v>4946</v>
      </c>
      <c r="I3322" s="63" t="s">
        <v>4947</v>
      </c>
      <c r="J3322" s="47">
        <f t="shared" si="700"/>
        <v>3740</v>
      </c>
      <c r="K3322" s="46" t="s">
        <v>10735</v>
      </c>
      <c r="L3322" s="47"/>
      <c r="M3322" s="47"/>
      <c r="N3322" s="47"/>
      <c r="O3322" s="47"/>
      <c r="P3322" s="47"/>
      <c r="Q3322" s="47">
        <f t="shared" si="699"/>
        <v>0</v>
      </c>
      <c r="R3322" s="47"/>
      <c r="S3322" s="47"/>
      <c r="T3322" s="47"/>
      <c r="U3322" s="47"/>
      <c r="V3322" s="47"/>
      <c r="W3322" s="47"/>
      <c r="X3322" s="47"/>
      <c r="Y3322" s="47"/>
      <c r="Z3322" s="47">
        <f t="shared" si="696"/>
        <v>4620</v>
      </c>
      <c r="AA3322" s="47"/>
      <c r="AB3322" s="47"/>
      <c r="AC3322" s="47"/>
      <c r="AD3322" s="47"/>
      <c r="AE3322" s="47"/>
      <c r="AF3322" s="47"/>
      <c r="AG3322" s="47"/>
      <c r="AH3322" s="47" t="str">
        <f>IFERROR(_xlfn.XLOOKUP(Table6[[#This Row],[Suburb]],Table5[Travel Surcharge],Table5[$$]),"")</f>
        <v/>
      </c>
      <c r="AI3322" s="47"/>
      <c r="AJ3322" s="47"/>
    </row>
    <row r="3323" spans="1:36">
      <c r="A3323" s="374" t="s">
        <v>4943</v>
      </c>
      <c r="B3323" s="374">
        <v>11</v>
      </c>
      <c r="C3323" s="374" t="s">
        <v>794</v>
      </c>
      <c r="D3323" s="375" t="str">
        <f t="shared" si="697"/>
        <v>Parkview - Lara11</v>
      </c>
      <c r="E3323" s="375" t="s">
        <v>4949</v>
      </c>
      <c r="F3323" s="375"/>
      <c r="G3323" s="375" t="s">
        <v>4945</v>
      </c>
      <c r="H3323" s="375" t="s">
        <v>4946</v>
      </c>
      <c r="I3323" s="63" t="s">
        <v>4947</v>
      </c>
      <c r="J3323" s="47">
        <f t="shared" si="700"/>
        <v>3740</v>
      </c>
      <c r="K3323" s="46" t="s">
        <v>10735</v>
      </c>
      <c r="L3323" s="47"/>
      <c r="M3323" s="47"/>
      <c r="N3323" s="47"/>
      <c r="O3323" s="47"/>
      <c r="P3323" s="47"/>
      <c r="Q3323" s="47">
        <f t="shared" si="699"/>
        <v>0</v>
      </c>
      <c r="R3323" s="47"/>
      <c r="S3323" s="47"/>
      <c r="T3323" s="47"/>
      <c r="U3323" s="47"/>
      <c r="V3323" s="47"/>
      <c r="W3323" s="47"/>
      <c r="X3323" s="47"/>
      <c r="Y3323" s="47"/>
      <c r="Z3323" s="47">
        <f t="shared" si="696"/>
        <v>4620</v>
      </c>
      <c r="AA3323" s="47"/>
      <c r="AB3323" s="47"/>
      <c r="AC3323" s="47"/>
      <c r="AD3323" s="47"/>
      <c r="AE3323" s="47"/>
      <c r="AF3323" s="47"/>
      <c r="AG3323" s="47"/>
      <c r="AH3323" s="47" t="str">
        <f>IFERROR(_xlfn.XLOOKUP(Table6[[#This Row],[Suburb]],Table5[Travel Surcharge],Table5[$$]),"")</f>
        <v/>
      </c>
      <c r="AI3323" s="47"/>
      <c r="AJ3323" s="47"/>
    </row>
    <row r="3324" spans="1:36">
      <c r="A3324" s="374" t="s">
        <v>4943</v>
      </c>
      <c r="B3324" s="374">
        <v>12</v>
      </c>
      <c r="C3324" s="374" t="s">
        <v>794</v>
      </c>
      <c r="D3324" s="375" t="str">
        <f t="shared" si="697"/>
        <v>Parkview - Lara12</v>
      </c>
      <c r="E3324" s="375" t="s">
        <v>4949</v>
      </c>
      <c r="F3324" s="375"/>
      <c r="G3324" s="375" t="s">
        <v>4945</v>
      </c>
      <c r="H3324" s="375" t="s">
        <v>4946</v>
      </c>
      <c r="I3324" s="63" t="s">
        <v>4947</v>
      </c>
      <c r="J3324" s="47">
        <f t="shared" si="700"/>
        <v>3740</v>
      </c>
      <c r="K3324" s="46" t="s">
        <v>10735</v>
      </c>
      <c r="L3324" s="47"/>
      <c r="M3324" s="47"/>
      <c r="N3324" s="47"/>
      <c r="O3324" s="47"/>
      <c r="P3324" s="47"/>
      <c r="Q3324" s="47">
        <f t="shared" si="699"/>
        <v>0</v>
      </c>
      <c r="R3324" s="47"/>
      <c r="S3324" s="47"/>
      <c r="T3324" s="47"/>
      <c r="U3324" s="47"/>
      <c r="V3324" s="47"/>
      <c r="W3324" s="47"/>
      <c r="X3324" s="47"/>
      <c r="Y3324" s="47"/>
      <c r="Z3324" s="47">
        <f t="shared" si="696"/>
        <v>4620</v>
      </c>
      <c r="AA3324" s="47"/>
      <c r="AB3324" s="47"/>
      <c r="AC3324" s="47"/>
      <c r="AD3324" s="47"/>
      <c r="AE3324" s="47"/>
      <c r="AF3324" s="47"/>
      <c r="AG3324" s="47"/>
      <c r="AH3324" s="47" t="str">
        <f>IFERROR(_xlfn.XLOOKUP(Table6[[#This Row],[Suburb]],Table5[Travel Surcharge],Table5[$$]),"")</f>
        <v/>
      </c>
      <c r="AI3324" s="47"/>
      <c r="AJ3324" s="47"/>
    </row>
    <row r="3325" spans="1:36">
      <c r="A3325" s="374" t="s">
        <v>4943</v>
      </c>
      <c r="B3325" s="374">
        <v>13</v>
      </c>
      <c r="C3325" s="374" t="s">
        <v>794</v>
      </c>
      <c r="D3325" s="375" t="str">
        <f t="shared" si="697"/>
        <v>Parkview - Lara13</v>
      </c>
      <c r="E3325" s="375" t="s">
        <v>4949</v>
      </c>
      <c r="F3325" s="375"/>
      <c r="G3325" s="375" t="s">
        <v>4945</v>
      </c>
      <c r="H3325" s="375" t="s">
        <v>4946</v>
      </c>
      <c r="I3325" s="63" t="s">
        <v>4947</v>
      </c>
      <c r="J3325" s="47">
        <f t="shared" si="700"/>
        <v>3740</v>
      </c>
      <c r="K3325" s="46" t="s">
        <v>10735</v>
      </c>
      <c r="L3325" s="47"/>
      <c r="M3325" s="47"/>
      <c r="N3325" s="47"/>
      <c r="O3325" s="47"/>
      <c r="P3325" s="47"/>
      <c r="Q3325" s="47">
        <f t="shared" si="699"/>
        <v>0</v>
      </c>
      <c r="R3325" s="47"/>
      <c r="S3325" s="47"/>
      <c r="T3325" s="47"/>
      <c r="U3325" s="47"/>
      <c r="V3325" s="47"/>
      <c r="W3325" s="47"/>
      <c r="X3325" s="47"/>
      <c r="Y3325" s="47"/>
      <c r="Z3325" s="47">
        <f t="shared" si="696"/>
        <v>4620</v>
      </c>
      <c r="AA3325" s="47"/>
      <c r="AB3325" s="47"/>
      <c r="AC3325" s="47"/>
      <c r="AD3325" s="47"/>
      <c r="AE3325" s="47"/>
      <c r="AF3325" s="47"/>
      <c r="AG3325" s="47"/>
      <c r="AH3325" s="47" t="str">
        <f>IFERROR(_xlfn.XLOOKUP(Table6[[#This Row],[Suburb]],Table5[Travel Surcharge],Table5[$$]),"")</f>
        <v/>
      </c>
      <c r="AI3325" s="47"/>
      <c r="AJ3325" s="47"/>
    </row>
    <row r="3326" spans="1:36">
      <c r="A3326" s="374" t="s">
        <v>4957</v>
      </c>
      <c r="B3326" s="374">
        <v>1</v>
      </c>
      <c r="C3326" s="374" t="s">
        <v>529</v>
      </c>
      <c r="D3326" s="375" t="str">
        <f t="shared" si="697"/>
        <v>Pavilion Estate1</v>
      </c>
      <c r="E3326" s="375" t="s">
        <v>4958</v>
      </c>
      <c r="F3326" s="375" t="s">
        <v>493</v>
      </c>
      <c r="G3326" s="375" t="s">
        <v>2338</v>
      </c>
      <c r="H3326" s="375" t="s">
        <v>4959</v>
      </c>
      <c r="I3326" s="63" t="s">
        <v>2340</v>
      </c>
      <c r="J3326" s="47">
        <f t="shared" si="700"/>
        <v>3740</v>
      </c>
      <c r="K3326" s="46" t="s">
        <v>10735</v>
      </c>
      <c r="L3326" s="47"/>
      <c r="M3326" s="47">
        <f t="shared" ref="M3326:M3336" si="701">M$7</f>
        <v>1430.0000000000002</v>
      </c>
      <c r="N3326" s="47"/>
      <c r="O3326" s="47"/>
      <c r="P3326" s="47"/>
      <c r="Q3326" s="47"/>
      <c r="R3326" s="47"/>
      <c r="S3326" s="47" t="s">
        <v>4960</v>
      </c>
      <c r="T3326" s="47">
        <f t="shared" ref="T3326:T3336" si="702">T$2</f>
        <v>780</v>
      </c>
      <c r="U3326" s="47"/>
      <c r="V3326" s="47"/>
      <c r="W3326" s="47"/>
      <c r="X3326" s="47">
        <f t="shared" ref="X3326:X3336" si="703">X$7</f>
        <v>3000</v>
      </c>
      <c r="Y3326" s="47"/>
      <c r="Z3326" s="47">
        <f t="shared" si="696"/>
        <v>4620</v>
      </c>
      <c r="AA3326" s="47"/>
      <c r="AB3326" s="47"/>
      <c r="AC3326" s="47">
        <f t="shared" ref="AC3326:AC3336" si="704">AC$7</f>
        <v>5200</v>
      </c>
      <c r="AD3326" s="47"/>
      <c r="AE3326" s="47"/>
      <c r="AF3326" s="47">
        <f t="shared" ref="AF3326:AF3336" si="705">AF$7</f>
        <v>1485</v>
      </c>
      <c r="AG3326" s="47"/>
      <c r="AH3326" s="47" t="str">
        <f>IFERROR(_xlfn.XLOOKUP(Table6[[#This Row],[Suburb]],Table5[Travel Surcharge],Table5[$$]),"")</f>
        <v/>
      </c>
      <c r="AI3326" s="47">
        <f t="shared" ref="AI3326:AI3336" si="706">AI$7</f>
        <v>1650.0000000000002</v>
      </c>
      <c r="AJ3326" s="47"/>
    </row>
    <row r="3327" spans="1:36">
      <c r="A3327" s="374" t="s">
        <v>4957</v>
      </c>
      <c r="B3327" s="374">
        <v>2</v>
      </c>
      <c r="C3327" s="374" t="s">
        <v>529</v>
      </c>
      <c r="D3327" s="375" t="str">
        <f t="shared" si="697"/>
        <v>Pavilion Estate2</v>
      </c>
      <c r="E3327" s="375" t="s">
        <v>4961</v>
      </c>
      <c r="F3327" s="375" t="s">
        <v>493</v>
      </c>
      <c r="G3327" s="375" t="s">
        <v>2338</v>
      </c>
      <c r="H3327" s="375" t="s">
        <v>4959</v>
      </c>
      <c r="I3327" s="63" t="s">
        <v>2340</v>
      </c>
      <c r="J3327" s="47">
        <f t="shared" si="700"/>
        <v>3740</v>
      </c>
      <c r="K3327" s="46" t="s">
        <v>10735</v>
      </c>
      <c r="L3327" s="47"/>
      <c r="M3327" s="47">
        <f t="shared" si="701"/>
        <v>1430.0000000000002</v>
      </c>
      <c r="N3327" s="47"/>
      <c r="O3327" s="47"/>
      <c r="P3327" s="47"/>
      <c r="Q3327" s="47"/>
      <c r="R3327" s="47"/>
      <c r="S3327" s="47" t="s">
        <v>4960</v>
      </c>
      <c r="T3327" s="47">
        <f t="shared" si="702"/>
        <v>780</v>
      </c>
      <c r="U3327" s="47"/>
      <c r="V3327" s="47"/>
      <c r="W3327" s="47"/>
      <c r="X3327" s="47">
        <f t="shared" si="703"/>
        <v>3000</v>
      </c>
      <c r="Y3327" s="47"/>
      <c r="Z3327" s="47">
        <f t="shared" si="696"/>
        <v>4620</v>
      </c>
      <c r="AA3327" s="47"/>
      <c r="AB3327" s="47"/>
      <c r="AC3327" s="47">
        <f t="shared" si="704"/>
        <v>5200</v>
      </c>
      <c r="AD3327" s="47"/>
      <c r="AE3327" s="47"/>
      <c r="AF3327" s="47">
        <f t="shared" si="705"/>
        <v>1485</v>
      </c>
      <c r="AG3327" s="47"/>
      <c r="AH3327" s="47" t="str">
        <f>IFERROR(_xlfn.XLOOKUP(Table6[[#This Row],[Suburb]],Table5[Travel Surcharge],Table5[$$]),"")</f>
        <v/>
      </c>
      <c r="AI3327" s="47">
        <f t="shared" si="706"/>
        <v>1650.0000000000002</v>
      </c>
      <c r="AJ3327" s="47"/>
    </row>
    <row r="3328" spans="1:36">
      <c r="A3328" s="374" t="s">
        <v>4957</v>
      </c>
      <c r="B3328" s="374">
        <v>3</v>
      </c>
      <c r="C3328" s="374" t="s">
        <v>529</v>
      </c>
      <c r="D3328" s="375" t="str">
        <f t="shared" si="697"/>
        <v>Pavilion Estate3</v>
      </c>
      <c r="E3328" s="375" t="s">
        <v>4962</v>
      </c>
      <c r="F3328" s="375" t="s">
        <v>493</v>
      </c>
      <c r="G3328" s="375" t="s">
        <v>2338</v>
      </c>
      <c r="H3328" s="375" t="s">
        <v>4959</v>
      </c>
      <c r="I3328" s="63" t="s">
        <v>2340</v>
      </c>
      <c r="J3328" s="47">
        <f t="shared" si="700"/>
        <v>3740</v>
      </c>
      <c r="K3328" s="46" t="s">
        <v>10735</v>
      </c>
      <c r="L3328" s="47"/>
      <c r="M3328" s="47">
        <f t="shared" si="701"/>
        <v>1430.0000000000002</v>
      </c>
      <c r="N3328" s="47"/>
      <c r="O3328" s="47"/>
      <c r="P3328" s="47"/>
      <c r="Q3328" s="47"/>
      <c r="R3328" s="47"/>
      <c r="S3328" s="47" t="s">
        <v>4960</v>
      </c>
      <c r="T3328" s="47">
        <f t="shared" si="702"/>
        <v>780</v>
      </c>
      <c r="U3328" s="47"/>
      <c r="V3328" s="47"/>
      <c r="W3328" s="47"/>
      <c r="X3328" s="47">
        <f t="shared" si="703"/>
        <v>3000</v>
      </c>
      <c r="Y3328" s="47"/>
      <c r="Z3328" s="47">
        <f t="shared" si="696"/>
        <v>4620</v>
      </c>
      <c r="AA3328" s="47"/>
      <c r="AB3328" s="47"/>
      <c r="AC3328" s="47">
        <f t="shared" si="704"/>
        <v>5200</v>
      </c>
      <c r="AD3328" s="47"/>
      <c r="AE3328" s="47"/>
      <c r="AF3328" s="47">
        <f t="shared" si="705"/>
        <v>1485</v>
      </c>
      <c r="AG3328" s="47"/>
      <c r="AH3328" s="47" t="str">
        <f>IFERROR(_xlfn.XLOOKUP(Table6[[#This Row],[Suburb]],Table5[Travel Surcharge],Table5[$$]),"")</f>
        <v/>
      </c>
      <c r="AI3328" s="47">
        <f t="shared" si="706"/>
        <v>1650.0000000000002</v>
      </c>
      <c r="AJ3328" s="47"/>
    </row>
    <row r="3329" spans="1:36">
      <c r="A3329" s="374" t="s">
        <v>4957</v>
      </c>
      <c r="B3329" s="374">
        <v>4</v>
      </c>
      <c r="C3329" s="374" t="s">
        <v>529</v>
      </c>
      <c r="D3329" s="375" t="str">
        <f t="shared" si="697"/>
        <v>Pavilion Estate4</v>
      </c>
      <c r="E3329" s="375" t="s">
        <v>4963</v>
      </c>
      <c r="F3329" s="375" t="s">
        <v>493</v>
      </c>
      <c r="G3329" s="375" t="s">
        <v>2338</v>
      </c>
      <c r="H3329" s="375" t="s">
        <v>4959</v>
      </c>
      <c r="I3329" s="63" t="s">
        <v>2340</v>
      </c>
      <c r="J3329" s="47">
        <f t="shared" si="700"/>
        <v>3740</v>
      </c>
      <c r="K3329" s="46" t="s">
        <v>10735</v>
      </c>
      <c r="L3329" s="47"/>
      <c r="M3329" s="47">
        <f t="shared" si="701"/>
        <v>1430.0000000000002</v>
      </c>
      <c r="N3329" s="47"/>
      <c r="O3329" s="47"/>
      <c r="P3329" s="47"/>
      <c r="Q3329" s="47"/>
      <c r="R3329" s="47"/>
      <c r="S3329" s="47" t="s">
        <v>4960</v>
      </c>
      <c r="T3329" s="47">
        <f t="shared" si="702"/>
        <v>780</v>
      </c>
      <c r="U3329" s="47"/>
      <c r="V3329" s="47"/>
      <c r="W3329" s="47"/>
      <c r="X3329" s="47">
        <f t="shared" si="703"/>
        <v>3000</v>
      </c>
      <c r="Y3329" s="47"/>
      <c r="Z3329" s="47">
        <f t="shared" si="696"/>
        <v>4620</v>
      </c>
      <c r="AA3329" s="47"/>
      <c r="AB3329" s="47"/>
      <c r="AC3329" s="47">
        <f t="shared" si="704"/>
        <v>5200</v>
      </c>
      <c r="AD3329" s="47"/>
      <c r="AE3329" s="47"/>
      <c r="AF3329" s="47">
        <f t="shared" si="705"/>
        <v>1485</v>
      </c>
      <c r="AG3329" s="47"/>
      <c r="AH3329" s="47" t="str">
        <f>IFERROR(_xlfn.XLOOKUP(Table6[[#This Row],[Suburb]],Table5[Travel Surcharge],Table5[$$]),"")</f>
        <v/>
      </c>
      <c r="AI3329" s="47">
        <f t="shared" si="706"/>
        <v>1650.0000000000002</v>
      </c>
      <c r="AJ3329" s="47"/>
    </row>
    <row r="3330" spans="1:36">
      <c r="A3330" s="374" t="s">
        <v>4957</v>
      </c>
      <c r="B3330" s="374">
        <v>5</v>
      </c>
      <c r="C3330" s="374" t="s">
        <v>529</v>
      </c>
      <c r="D3330" s="375" t="str">
        <f t="shared" si="697"/>
        <v>Pavilion Estate5</v>
      </c>
      <c r="E3330" s="375" t="s">
        <v>4964</v>
      </c>
      <c r="F3330" s="375" t="s">
        <v>493</v>
      </c>
      <c r="G3330" s="375" t="s">
        <v>2338</v>
      </c>
      <c r="H3330" s="375" t="s">
        <v>4959</v>
      </c>
      <c r="I3330" s="63" t="s">
        <v>2340</v>
      </c>
      <c r="J3330" s="47">
        <f t="shared" si="700"/>
        <v>3740</v>
      </c>
      <c r="K3330" s="46" t="s">
        <v>10735</v>
      </c>
      <c r="L3330" s="47"/>
      <c r="M3330" s="47">
        <f t="shared" si="701"/>
        <v>1430.0000000000002</v>
      </c>
      <c r="N3330" s="47"/>
      <c r="O3330" s="47"/>
      <c r="P3330" s="47"/>
      <c r="Q3330" s="47"/>
      <c r="R3330" s="47"/>
      <c r="S3330" s="47" t="s">
        <v>4960</v>
      </c>
      <c r="T3330" s="47">
        <f t="shared" si="702"/>
        <v>780</v>
      </c>
      <c r="U3330" s="47"/>
      <c r="V3330" s="47"/>
      <c r="W3330" s="47"/>
      <c r="X3330" s="47">
        <f t="shared" si="703"/>
        <v>3000</v>
      </c>
      <c r="Y3330" s="47"/>
      <c r="Z3330" s="47">
        <f t="shared" si="696"/>
        <v>4620</v>
      </c>
      <c r="AA3330" s="47"/>
      <c r="AB3330" s="47"/>
      <c r="AC3330" s="47">
        <f t="shared" si="704"/>
        <v>5200</v>
      </c>
      <c r="AD3330" s="47"/>
      <c r="AE3330" s="47"/>
      <c r="AF3330" s="47">
        <f t="shared" si="705"/>
        <v>1485</v>
      </c>
      <c r="AG3330" s="47"/>
      <c r="AH3330" s="47" t="str">
        <f>IFERROR(_xlfn.XLOOKUP(Table6[[#This Row],[Suburb]],Table5[Travel Surcharge],Table5[$$]),"")</f>
        <v/>
      </c>
      <c r="AI3330" s="47">
        <f t="shared" si="706"/>
        <v>1650.0000000000002</v>
      </c>
      <c r="AJ3330" s="47"/>
    </row>
    <row r="3331" spans="1:36">
      <c r="A3331" s="374" t="s">
        <v>4957</v>
      </c>
      <c r="B3331" s="374">
        <v>6</v>
      </c>
      <c r="C3331" s="374" t="s">
        <v>529</v>
      </c>
      <c r="D3331" s="375" t="str">
        <f t="shared" ref="D3331:D3358" si="707">CONCATENATE(A3331,B3331)</f>
        <v>Pavilion Estate6</v>
      </c>
      <c r="E3331" s="375" t="s">
        <v>4965</v>
      </c>
      <c r="F3331" s="375" t="s">
        <v>493</v>
      </c>
      <c r="G3331" s="375" t="s">
        <v>2338</v>
      </c>
      <c r="H3331" s="375" t="s">
        <v>4959</v>
      </c>
      <c r="I3331" s="63" t="s">
        <v>2340</v>
      </c>
      <c r="J3331" s="47">
        <f t="shared" si="700"/>
        <v>3740</v>
      </c>
      <c r="K3331" s="46" t="s">
        <v>10735</v>
      </c>
      <c r="L3331" s="47"/>
      <c r="M3331" s="47">
        <f t="shared" si="701"/>
        <v>1430.0000000000002</v>
      </c>
      <c r="N3331" s="47"/>
      <c r="O3331" s="47"/>
      <c r="P3331" s="47"/>
      <c r="Q3331" s="47"/>
      <c r="R3331" s="47"/>
      <c r="S3331" s="47" t="s">
        <v>4960</v>
      </c>
      <c r="T3331" s="47">
        <f t="shared" si="702"/>
        <v>780</v>
      </c>
      <c r="U3331" s="47"/>
      <c r="V3331" s="47"/>
      <c r="W3331" s="47"/>
      <c r="X3331" s="47">
        <f t="shared" si="703"/>
        <v>3000</v>
      </c>
      <c r="Y3331" s="47"/>
      <c r="Z3331" s="47">
        <f t="shared" ref="Z3331:Z3355" si="708">Z$7</f>
        <v>4620</v>
      </c>
      <c r="AA3331" s="47"/>
      <c r="AB3331" s="47"/>
      <c r="AC3331" s="47">
        <f t="shared" si="704"/>
        <v>5200</v>
      </c>
      <c r="AD3331" s="47"/>
      <c r="AE3331" s="47"/>
      <c r="AF3331" s="47">
        <f t="shared" si="705"/>
        <v>1485</v>
      </c>
      <c r="AG3331" s="47"/>
      <c r="AH3331" s="47" t="str">
        <f>IFERROR(_xlfn.XLOOKUP(Table6[[#This Row],[Suburb]],Table5[Travel Surcharge],Table5[$$]),"")</f>
        <v/>
      </c>
      <c r="AI3331" s="47">
        <f t="shared" si="706"/>
        <v>1650.0000000000002</v>
      </c>
      <c r="AJ3331" s="47"/>
    </row>
    <row r="3332" spans="1:36">
      <c r="A3332" s="374" t="s">
        <v>4957</v>
      </c>
      <c r="B3332" s="374">
        <v>7</v>
      </c>
      <c r="C3332" s="374" t="s">
        <v>529</v>
      </c>
      <c r="D3332" s="375" t="str">
        <f t="shared" si="707"/>
        <v>Pavilion Estate7</v>
      </c>
      <c r="E3332" s="375" t="s">
        <v>4966</v>
      </c>
      <c r="F3332" s="375" t="s">
        <v>493</v>
      </c>
      <c r="G3332" s="375" t="s">
        <v>2338</v>
      </c>
      <c r="H3332" s="375" t="s">
        <v>4959</v>
      </c>
      <c r="I3332" s="63" t="s">
        <v>2340</v>
      </c>
      <c r="J3332" s="47">
        <f t="shared" si="700"/>
        <v>3740</v>
      </c>
      <c r="K3332" s="46" t="s">
        <v>10735</v>
      </c>
      <c r="L3332" s="47"/>
      <c r="M3332" s="47">
        <f t="shared" si="701"/>
        <v>1430.0000000000002</v>
      </c>
      <c r="N3332" s="47"/>
      <c r="O3332" s="47"/>
      <c r="P3332" s="47"/>
      <c r="Q3332" s="47"/>
      <c r="R3332" s="47"/>
      <c r="S3332" s="47" t="s">
        <v>4960</v>
      </c>
      <c r="T3332" s="47">
        <f t="shared" si="702"/>
        <v>780</v>
      </c>
      <c r="U3332" s="47"/>
      <c r="V3332" s="47"/>
      <c r="W3332" s="47"/>
      <c r="X3332" s="47">
        <f t="shared" si="703"/>
        <v>3000</v>
      </c>
      <c r="Y3332" s="47"/>
      <c r="Z3332" s="47">
        <f t="shared" si="708"/>
        <v>4620</v>
      </c>
      <c r="AA3332" s="47"/>
      <c r="AB3332" s="47"/>
      <c r="AC3332" s="47">
        <f t="shared" si="704"/>
        <v>5200</v>
      </c>
      <c r="AD3332" s="47"/>
      <c r="AE3332" s="47"/>
      <c r="AF3332" s="47">
        <f t="shared" si="705"/>
        <v>1485</v>
      </c>
      <c r="AG3332" s="47"/>
      <c r="AH3332" s="47" t="str">
        <f>IFERROR(_xlfn.XLOOKUP(Table6[[#This Row],[Suburb]],Table5[Travel Surcharge],Table5[$$]),"")</f>
        <v/>
      </c>
      <c r="AI3332" s="47">
        <f t="shared" si="706"/>
        <v>1650.0000000000002</v>
      </c>
      <c r="AJ3332" s="47"/>
    </row>
    <row r="3333" spans="1:36">
      <c r="A3333" s="374" t="s">
        <v>4957</v>
      </c>
      <c r="B3333" s="374">
        <v>8</v>
      </c>
      <c r="C3333" s="374" t="s">
        <v>529</v>
      </c>
      <c r="D3333" s="375" t="str">
        <f t="shared" si="707"/>
        <v>Pavilion Estate8</v>
      </c>
      <c r="E3333" s="375" t="s">
        <v>4967</v>
      </c>
      <c r="F3333" s="375" t="s">
        <v>493</v>
      </c>
      <c r="G3333" s="375" t="s">
        <v>2338</v>
      </c>
      <c r="H3333" s="375" t="s">
        <v>4959</v>
      </c>
      <c r="I3333" s="63" t="s">
        <v>2340</v>
      </c>
      <c r="J3333" s="47">
        <f t="shared" si="700"/>
        <v>3740</v>
      </c>
      <c r="K3333" s="46" t="s">
        <v>10735</v>
      </c>
      <c r="L3333" s="47"/>
      <c r="M3333" s="47">
        <f t="shared" si="701"/>
        <v>1430.0000000000002</v>
      </c>
      <c r="N3333" s="47"/>
      <c r="O3333" s="47"/>
      <c r="P3333" s="47"/>
      <c r="Q3333" s="47"/>
      <c r="R3333" s="47"/>
      <c r="S3333" s="47" t="s">
        <v>4960</v>
      </c>
      <c r="T3333" s="47">
        <f t="shared" si="702"/>
        <v>780</v>
      </c>
      <c r="U3333" s="47"/>
      <c r="V3333" s="47"/>
      <c r="W3333" s="47"/>
      <c r="X3333" s="47">
        <f t="shared" si="703"/>
        <v>3000</v>
      </c>
      <c r="Y3333" s="47"/>
      <c r="Z3333" s="47">
        <f t="shared" si="708"/>
        <v>4620</v>
      </c>
      <c r="AA3333" s="47"/>
      <c r="AB3333" s="47"/>
      <c r="AC3333" s="47">
        <f t="shared" si="704"/>
        <v>5200</v>
      </c>
      <c r="AD3333" s="47"/>
      <c r="AE3333" s="47"/>
      <c r="AF3333" s="47">
        <f t="shared" si="705"/>
        <v>1485</v>
      </c>
      <c r="AG3333" s="47"/>
      <c r="AH3333" s="47" t="str">
        <f>IFERROR(_xlfn.XLOOKUP(Table6[[#This Row],[Suburb]],Table5[Travel Surcharge],Table5[$$]),"")</f>
        <v/>
      </c>
      <c r="AI3333" s="47">
        <f t="shared" si="706"/>
        <v>1650.0000000000002</v>
      </c>
      <c r="AJ3333" s="47"/>
    </row>
    <row r="3334" spans="1:36">
      <c r="A3334" s="374" t="s">
        <v>4957</v>
      </c>
      <c r="B3334" s="374">
        <v>9</v>
      </c>
      <c r="C3334" s="374" t="s">
        <v>529</v>
      </c>
      <c r="D3334" s="375" t="str">
        <f t="shared" si="707"/>
        <v>Pavilion Estate9</v>
      </c>
      <c r="E3334" s="375" t="s">
        <v>4969</v>
      </c>
      <c r="F3334" s="375" t="s">
        <v>493</v>
      </c>
      <c r="G3334" s="375" t="s">
        <v>2338</v>
      </c>
      <c r="H3334" s="375" t="s">
        <v>4959</v>
      </c>
      <c r="I3334" s="63" t="s">
        <v>2340</v>
      </c>
      <c r="J3334" s="47">
        <f t="shared" si="700"/>
        <v>3740</v>
      </c>
      <c r="K3334" s="46" t="s">
        <v>10735</v>
      </c>
      <c r="L3334" s="47"/>
      <c r="M3334" s="47">
        <f t="shared" si="701"/>
        <v>1430.0000000000002</v>
      </c>
      <c r="N3334" s="47"/>
      <c r="O3334" s="47"/>
      <c r="P3334" s="47"/>
      <c r="Q3334" s="47"/>
      <c r="R3334" s="47"/>
      <c r="S3334" s="47" t="s">
        <v>4960</v>
      </c>
      <c r="T3334" s="47">
        <f t="shared" si="702"/>
        <v>780</v>
      </c>
      <c r="U3334" s="47"/>
      <c r="V3334" s="47"/>
      <c r="W3334" s="47"/>
      <c r="X3334" s="47">
        <f t="shared" si="703"/>
        <v>3000</v>
      </c>
      <c r="Y3334" s="47"/>
      <c r="Z3334" s="47">
        <f t="shared" si="708"/>
        <v>4620</v>
      </c>
      <c r="AA3334" s="47"/>
      <c r="AB3334" s="47"/>
      <c r="AC3334" s="47">
        <f t="shared" si="704"/>
        <v>5200</v>
      </c>
      <c r="AD3334" s="47"/>
      <c r="AE3334" s="47"/>
      <c r="AF3334" s="47">
        <f t="shared" si="705"/>
        <v>1485</v>
      </c>
      <c r="AG3334" s="47"/>
      <c r="AH3334" s="47" t="str">
        <f>IFERROR(_xlfn.XLOOKUP(Table6[[#This Row],[Suburb]],Table5[Travel Surcharge],Table5[$$]),"")</f>
        <v/>
      </c>
      <c r="AI3334" s="47">
        <f t="shared" si="706"/>
        <v>1650.0000000000002</v>
      </c>
      <c r="AJ3334" s="47"/>
    </row>
    <row r="3335" spans="1:36">
      <c r="A3335" s="374" t="s">
        <v>4957</v>
      </c>
      <c r="B3335" s="374" t="s">
        <v>622</v>
      </c>
      <c r="C3335" s="374" t="s">
        <v>529</v>
      </c>
      <c r="D3335" s="375" t="str">
        <f t="shared" si="707"/>
        <v>Pavilion Estate6A</v>
      </c>
      <c r="E3335" s="375" t="s">
        <v>4970</v>
      </c>
      <c r="F3335" s="375" t="s">
        <v>493</v>
      </c>
      <c r="G3335" s="375" t="s">
        <v>2338</v>
      </c>
      <c r="H3335" s="375" t="s">
        <v>4959</v>
      </c>
      <c r="I3335" s="63" t="s">
        <v>2340</v>
      </c>
      <c r="J3335" s="47">
        <f t="shared" si="700"/>
        <v>3740</v>
      </c>
      <c r="K3335" s="46" t="s">
        <v>10735</v>
      </c>
      <c r="L3335" s="47"/>
      <c r="M3335" s="47">
        <f t="shared" si="701"/>
        <v>1430.0000000000002</v>
      </c>
      <c r="N3335" s="47"/>
      <c r="O3335" s="47"/>
      <c r="P3335" s="47"/>
      <c r="Q3335" s="47"/>
      <c r="R3335" s="47"/>
      <c r="S3335" s="47" t="s">
        <v>4960</v>
      </c>
      <c r="T3335" s="47">
        <f t="shared" si="702"/>
        <v>780</v>
      </c>
      <c r="U3335" s="47"/>
      <c r="V3335" s="47"/>
      <c r="W3335" s="47"/>
      <c r="X3335" s="47">
        <f t="shared" si="703"/>
        <v>3000</v>
      </c>
      <c r="Y3335" s="47"/>
      <c r="Z3335" s="47">
        <f t="shared" si="708"/>
        <v>4620</v>
      </c>
      <c r="AA3335" s="47"/>
      <c r="AB3335" s="47"/>
      <c r="AC3335" s="47">
        <f t="shared" si="704"/>
        <v>5200</v>
      </c>
      <c r="AD3335" s="47"/>
      <c r="AE3335" s="47"/>
      <c r="AF3335" s="47">
        <f t="shared" si="705"/>
        <v>1485</v>
      </c>
      <c r="AG3335" s="47"/>
      <c r="AH3335" s="47" t="str">
        <f>IFERROR(_xlfn.XLOOKUP(Table6[[#This Row],[Suburb]],Table5[Travel Surcharge],Table5[$$]),"")</f>
        <v/>
      </c>
      <c r="AI3335" s="47">
        <f t="shared" si="706"/>
        <v>1650.0000000000002</v>
      </c>
      <c r="AJ3335" s="47"/>
    </row>
    <row r="3336" spans="1:36">
      <c r="A3336" s="374" t="s">
        <v>4957</v>
      </c>
      <c r="B3336" s="374" t="s">
        <v>748</v>
      </c>
      <c r="C3336" s="374" t="s">
        <v>529</v>
      </c>
      <c r="D3336" s="375" t="str">
        <f t="shared" si="707"/>
        <v>Pavilion Estate8A</v>
      </c>
      <c r="E3336" s="375" t="s">
        <v>4968</v>
      </c>
      <c r="F3336" s="375" t="s">
        <v>493</v>
      </c>
      <c r="G3336" s="375" t="s">
        <v>2338</v>
      </c>
      <c r="H3336" s="375" t="s">
        <v>4959</v>
      </c>
      <c r="I3336" s="63" t="s">
        <v>2340</v>
      </c>
      <c r="J3336" s="47">
        <f t="shared" si="700"/>
        <v>3740</v>
      </c>
      <c r="K3336" s="46" t="s">
        <v>10735</v>
      </c>
      <c r="L3336" s="47"/>
      <c r="M3336" s="47">
        <f t="shared" si="701"/>
        <v>1430.0000000000002</v>
      </c>
      <c r="N3336" s="47"/>
      <c r="O3336" s="47"/>
      <c r="P3336" s="47"/>
      <c r="Q3336" s="47"/>
      <c r="R3336" s="47"/>
      <c r="S3336" s="47" t="s">
        <v>4960</v>
      </c>
      <c r="T3336" s="47">
        <f t="shared" si="702"/>
        <v>780</v>
      </c>
      <c r="U3336" s="47"/>
      <c r="V3336" s="47"/>
      <c r="W3336" s="47"/>
      <c r="X3336" s="47">
        <f t="shared" si="703"/>
        <v>3000</v>
      </c>
      <c r="Y3336" s="47"/>
      <c r="Z3336" s="47">
        <f t="shared" si="708"/>
        <v>4620</v>
      </c>
      <c r="AA3336" s="47"/>
      <c r="AB3336" s="47"/>
      <c r="AC3336" s="47">
        <f t="shared" si="704"/>
        <v>5200</v>
      </c>
      <c r="AD3336" s="47"/>
      <c r="AE3336" s="47"/>
      <c r="AF3336" s="47">
        <f t="shared" si="705"/>
        <v>1485</v>
      </c>
      <c r="AG3336" s="47"/>
      <c r="AH3336" s="47" t="str">
        <f>IFERROR(_xlfn.XLOOKUP(Table6[[#This Row],[Suburb]],Table5[Travel Surcharge],Table5[$$]),"")</f>
        <v/>
      </c>
      <c r="AI3336" s="47">
        <f t="shared" si="706"/>
        <v>1650.0000000000002</v>
      </c>
      <c r="AJ3336" s="47"/>
    </row>
    <row r="3337" spans="1:36">
      <c r="A3337" s="374" t="s">
        <v>4971</v>
      </c>
      <c r="B3337" s="374">
        <v>1</v>
      </c>
      <c r="C3337" s="374" t="s">
        <v>2060</v>
      </c>
      <c r="D3337" s="375" t="str">
        <f t="shared" si="707"/>
        <v>Pearland Estate1</v>
      </c>
      <c r="E3337" s="375" t="s">
        <v>4972</v>
      </c>
      <c r="F3337" s="375"/>
      <c r="G3337" s="375" t="s">
        <v>4973</v>
      </c>
      <c r="H3337" s="375" t="s">
        <v>4974</v>
      </c>
      <c r="I3337" s="63" t="s">
        <v>4975</v>
      </c>
      <c r="J3337" s="47">
        <f t="shared" si="700"/>
        <v>3740</v>
      </c>
      <c r="K3337" s="46" t="s">
        <v>7938</v>
      </c>
      <c r="L3337" s="47"/>
      <c r="M3337" s="47"/>
      <c r="N3337" s="47"/>
      <c r="O3337" s="47"/>
      <c r="P3337" s="47"/>
      <c r="Q3337" s="47">
        <f>Q$2</f>
        <v>0</v>
      </c>
      <c r="R3337" s="47"/>
      <c r="S3337" s="47"/>
      <c r="T3337" s="47"/>
      <c r="U3337" s="47"/>
      <c r="V3337" s="47"/>
      <c r="W3337" s="47"/>
      <c r="X3337" s="47"/>
      <c r="Y3337" s="47"/>
      <c r="Z3337" s="47">
        <f t="shared" si="708"/>
        <v>4620</v>
      </c>
      <c r="AA3337" s="47"/>
      <c r="AB3337" s="47"/>
      <c r="AC3337" s="47"/>
      <c r="AD3337" s="47"/>
      <c r="AE3337" s="47"/>
      <c r="AF3337" s="47"/>
      <c r="AG3337" s="47"/>
      <c r="AH3337" s="47" t="str">
        <f>IFERROR(_xlfn.XLOOKUP(Table6[[#This Row],[Suburb]],Table5[Travel Surcharge],Table5[$$]),"")</f>
        <v/>
      </c>
      <c r="AI3337" s="47"/>
      <c r="AJ3337" s="47"/>
    </row>
    <row r="3338" spans="1:36">
      <c r="A3338" s="374" t="s">
        <v>4971</v>
      </c>
      <c r="B3338" s="374">
        <v>3</v>
      </c>
      <c r="C3338" s="374" t="s">
        <v>2060</v>
      </c>
      <c r="D3338" s="375" t="str">
        <f t="shared" si="707"/>
        <v>Pearland Estate3</v>
      </c>
      <c r="E3338" s="375" t="s">
        <v>4976</v>
      </c>
      <c r="F3338" s="375"/>
      <c r="G3338" s="375" t="s">
        <v>4973</v>
      </c>
      <c r="H3338" s="375" t="s">
        <v>4974</v>
      </c>
      <c r="I3338" s="63" t="s">
        <v>4975</v>
      </c>
      <c r="J3338" s="47">
        <f t="shared" si="700"/>
        <v>3740</v>
      </c>
      <c r="K3338" s="46" t="s">
        <v>7938</v>
      </c>
      <c r="L3338" s="47"/>
      <c r="M3338" s="47"/>
      <c r="N3338" s="47"/>
      <c r="O3338" s="47"/>
      <c r="P3338" s="47"/>
      <c r="Q3338" s="47">
        <f>Q$2</f>
        <v>0</v>
      </c>
      <c r="R3338" s="47"/>
      <c r="S3338" s="47"/>
      <c r="T3338" s="47"/>
      <c r="U3338" s="47"/>
      <c r="V3338" s="47"/>
      <c r="W3338" s="47"/>
      <c r="X3338" s="47"/>
      <c r="Y3338" s="47"/>
      <c r="Z3338" s="47">
        <f t="shared" si="708"/>
        <v>4620</v>
      </c>
      <c r="AA3338" s="47"/>
      <c r="AB3338" s="47"/>
      <c r="AC3338" s="47"/>
      <c r="AD3338" s="47"/>
      <c r="AE3338" s="47"/>
      <c r="AF3338" s="47"/>
      <c r="AG3338" s="47"/>
      <c r="AH3338" s="47" t="str">
        <f>IFERROR(_xlfn.XLOOKUP(Table6[[#This Row],[Suburb]],Table5[Travel Surcharge],Table5[$$]),"")</f>
        <v/>
      </c>
      <c r="AI3338" s="47"/>
      <c r="AJ3338" s="47"/>
    </row>
    <row r="3339" spans="1:36">
      <c r="A3339" s="374" t="s">
        <v>4971</v>
      </c>
      <c r="B3339" s="374">
        <v>4</v>
      </c>
      <c r="C3339" s="374" t="s">
        <v>2060</v>
      </c>
      <c r="D3339" s="375" t="str">
        <f t="shared" si="707"/>
        <v>Pearland Estate4</v>
      </c>
      <c r="E3339" s="375" t="s">
        <v>9743</v>
      </c>
      <c r="F3339" s="375"/>
      <c r="G3339" s="375" t="s">
        <v>4973</v>
      </c>
      <c r="H3339" s="375" t="s">
        <v>4974</v>
      </c>
      <c r="I3339" s="63" t="s">
        <v>4975</v>
      </c>
      <c r="J3339" s="47">
        <f t="shared" si="700"/>
        <v>3740</v>
      </c>
      <c r="K3339" s="46" t="s">
        <v>7938</v>
      </c>
      <c r="L3339" s="47"/>
      <c r="M3339" s="47"/>
      <c r="N3339" s="47"/>
      <c r="O3339" s="47"/>
      <c r="P3339" s="47"/>
      <c r="Q3339" s="47">
        <f>Q$2</f>
        <v>0</v>
      </c>
      <c r="R3339" s="47"/>
      <c r="S3339" s="47"/>
      <c r="T3339" s="47"/>
      <c r="U3339" s="47"/>
      <c r="V3339" s="47"/>
      <c r="W3339" s="47"/>
      <c r="X3339" s="47"/>
      <c r="Y3339" s="47"/>
      <c r="Z3339" s="47">
        <f t="shared" si="708"/>
        <v>4620</v>
      </c>
      <c r="AA3339" s="47"/>
      <c r="AB3339" s="47"/>
      <c r="AC3339" s="47"/>
      <c r="AD3339" s="47"/>
      <c r="AE3339" s="47"/>
      <c r="AF3339" s="47"/>
      <c r="AG3339" s="47"/>
      <c r="AH3339" s="47" t="str">
        <f>IFERROR(_xlfn.XLOOKUP(Table6[[#This Row],[Suburb]],Table5[Travel Surcharge],Table5[$$]),"")</f>
        <v/>
      </c>
      <c r="AI3339" s="47"/>
      <c r="AJ3339" s="47"/>
    </row>
    <row r="3340" spans="1:36">
      <c r="A3340" s="374" t="s">
        <v>4977</v>
      </c>
      <c r="B3340" s="374">
        <v>1</v>
      </c>
      <c r="C3340" s="374" t="s">
        <v>4978</v>
      </c>
      <c r="D3340" s="375" t="str">
        <f t="shared" si="707"/>
        <v>Pelican Place Estate1</v>
      </c>
      <c r="E3340" s="375" t="s">
        <v>4979</v>
      </c>
      <c r="F3340" s="375"/>
      <c r="G3340" s="375" t="s">
        <v>4980</v>
      </c>
      <c r="H3340" s="375" t="s">
        <v>4981</v>
      </c>
      <c r="I3340" s="63" t="s">
        <v>4982</v>
      </c>
      <c r="J3340" s="47">
        <f t="shared" si="700"/>
        <v>3740</v>
      </c>
      <c r="K3340" s="46" t="s">
        <v>10735</v>
      </c>
      <c r="L3340" s="47" t="s">
        <v>504</v>
      </c>
      <c r="M3340" s="47">
        <f>M$7</f>
        <v>1430.0000000000002</v>
      </c>
      <c r="N3340" s="47" t="s">
        <v>4983</v>
      </c>
      <c r="O3340" s="47" t="s">
        <v>4984</v>
      </c>
      <c r="P3340" s="47"/>
      <c r="Q3340" s="47">
        <f>Q$2</f>
        <v>0</v>
      </c>
      <c r="R3340" s="47"/>
      <c r="S3340" s="47"/>
      <c r="T3340" s="47" t="s">
        <v>4960</v>
      </c>
      <c r="U3340" s="47">
        <f>U$2</f>
        <v>430</v>
      </c>
      <c r="V3340" s="47"/>
      <c r="W3340" s="47"/>
      <c r="X3340" s="47"/>
      <c r="Y3340" s="47"/>
      <c r="Z3340" s="47">
        <f t="shared" si="708"/>
        <v>4620</v>
      </c>
      <c r="AA3340" s="47"/>
      <c r="AB3340" s="47"/>
      <c r="AC3340" s="47">
        <f>AC$7</f>
        <v>5200</v>
      </c>
      <c r="AD3340" s="47"/>
      <c r="AE3340" s="47"/>
      <c r="AF3340" s="47">
        <f>AF$7</f>
        <v>1485</v>
      </c>
      <c r="AG3340" s="47"/>
      <c r="AH3340" s="47" t="str">
        <f>IFERROR(_xlfn.XLOOKUP(Table6[[#This Row],[Suburb]],Table5[Travel Surcharge],Table5[$$]),"")</f>
        <v/>
      </c>
      <c r="AI3340" s="47"/>
      <c r="AJ3340" s="47"/>
    </row>
    <row r="3341" spans="1:36">
      <c r="A3341" s="374" t="s">
        <v>4977</v>
      </c>
      <c r="B3341" s="374">
        <v>2</v>
      </c>
      <c r="C3341" s="374" t="s">
        <v>4978</v>
      </c>
      <c r="D3341" s="375" t="str">
        <f t="shared" si="707"/>
        <v>Pelican Place Estate2</v>
      </c>
      <c r="E3341" s="375" t="s">
        <v>4985</v>
      </c>
      <c r="F3341" s="375"/>
      <c r="G3341" s="375" t="s">
        <v>4980</v>
      </c>
      <c r="H3341" s="375" t="s">
        <v>4981</v>
      </c>
      <c r="I3341" s="63" t="s">
        <v>4982</v>
      </c>
      <c r="J3341" s="47">
        <f t="shared" si="700"/>
        <v>3740</v>
      </c>
      <c r="K3341" s="46" t="s">
        <v>10735</v>
      </c>
      <c r="L3341" s="47" t="s">
        <v>504</v>
      </c>
      <c r="M3341" s="47">
        <f>M$7</f>
        <v>1430.0000000000002</v>
      </c>
      <c r="N3341" s="47" t="s">
        <v>4983</v>
      </c>
      <c r="O3341" s="47" t="s">
        <v>4984</v>
      </c>
      <c r="P3341" s="47"/>
      <c r="Q3341" s="47">
        <f>Q$2</f>
        <v>0</v>
      </c>
      <c r="R3341" s="47"/>
      <c r="S3341" s="47"/>
      <c r="T3341" s="47" t="s">
        <v>4960</v>
      </c>
      <c r="U3341" s="47">
        <f>U$2</f>
        <v>430</v>
      </c>
      <c r="V3341" s="47"/>
      <c r="W3341" s="47"/>
      <c r="X3341" s="47"/>
      <c r="Y3341" s="47"/>
      <c r="Z3341" s="47">
        <f t="shared" si="708"/>
        <v>4620</v>
      </c>
      <c r="AA3341" s="47"/>
      <c r="AB3341" s="47"/>
      <c r="AC3341" s="47">
        <f>AC$7</f>
        <v>5200</v>
      </c>
      <c r="AD3341" s="47"/>
      <c r="AE3341" s="47"/>
      <c r="AF3341" s="47">
        <f>AF$7</f>
        <v>1485</v>
      </c>
      <c r="AG3341" s="47"/>
      <c r="AH3341" s="47" t="str">
        <f>IFERROR(_xlfn.XLOOKUP(Table6[[#This Row],[Suburb]],Table5[Travel Surcharge],Table5[$$]),"")</f>
        <v/>
      </c>
      <c r="AI3341" s="47"/>
      <c r="AJ3341" s="47"/>
    </row>
    <row r="3342" spans="1:36">
      <c r="A3342" s="374" t="s">
        <v>4986</v>
      </c>
      <c r="B3342" s="374">
        <v>3</v>
      </c>
      <c r="C3342" s="374" t="s">
        <v>4987</v>
      </c>
      <c r="D3342" s="375" t="str">
        <f t="shared" si="707"/>
        <v>Penny Royal Estate3</v>
      </c>
      <c r="E3342" s="375" t="s">
        <v>4988</v>
      </c>
      <c r="F3342" s="375" t="s">
        <v>4989</v>
      </c>
      <c r="G3342" s="375" t="s">
        <v>4990</v>
      </c>
      <c r="H3342" s="375" t="s">
        <v>4828</v>
      </c>
      <c r="I3342" s="63" t="s">
        <v>4991</v>
      </c>
      <c r="J3342" s="47"/>
      <c r="K3342" s="46" t="s">
        <v>10735</v>
      </c>
      <c r="L3342" s="47"/>
      <c r="M3342" s="47"/>
      <c r="N3342" s="47"/>
      <c r="O3342" s="47"/>
      <c r="P3342" s="47"/>
      <c r="Q3342" s="47"/>
      <c r="R3342" s="47"/>
      <c r="S3342" s="47" t="s">
        <v>4938</v>
      </c>
      <c r="T3342" s="47"/>
      <c r="U3342" s="47"/>
      <c r="V3342" s="47"/>
      <c r="W3342" s="47"/>
      <c r="X3342" s="47"/>
      <c r="Y3342" s="47"/>
      <c r="Z3342" s="47">
        <f t="shared" si="708"/>
        <v>4620</v>
      </c>
      <c r="AA3342" s="47">
        <f t="shared" ref="AA3342:AA3355" si="709">AA$7</f>
        <v>1400</v>
      </c>
      <c r="AB3342" s="47"/>
      <c r="AC3342" s="47"/>
      <c r="AD3342" s="47"/>
      <c r="AE3342" s="47"/>
      <c r="AF3342" s="47"/>
      <c r="AG3342" s="47"/>
      <c r="AH3342" s="47" t="str">
        <f>IFERROR(_xlfn.XLOOKUP(Table6[[#This Row],[Suburb]],Table5[Travel Surcharge],Table5[$$]),"")</f>
        <v/>
      </c>
      <c r="AI3342" s="47"/>
      <c r="AJ3342" s="47"/>
    </row>
    <row r="3343" spans="1:36">
      <c r="A3343" s="374" t="s">
        <v>4986</v>
      </c>
      <c r="B3343" s="374">
        <v>15</v>
      </c>
      <c r="C3343" s="374" t="s">
        <v>4987</v>
      </c>
      <c r="D3343" s="375" t="str">
        <f t="shared" si="707"/>
        <v>Penny Royal Estate15</v>
      </c>
      <c r="E3343" s="375" t="s">
        <v>2853</v>
      </c>
      <c r="F3343" s="375" t="s">
        <v>4989</v>
      </c>
      <c r="G3343" s="375" t="s">
        <v>4990</v>
      </c>
      <c r="H3343" s="375" t="s">
        <v>4828</v>
      </c>
      <c r="I3343" s="63" t="s">
        <v>4991</v>
      </c>
      <c r="J3343" s="47"/>
      <c r="K3343" s="46" t="s">
        <v>10735</v>
      </c>
      <c r="L3343" s="47"/>
      <c r="M3343" s="47"/>
      <c r="N3343" s="47"/>
      <c r="O3343" s="47"/>
      <c r="P3343" s="47"/>
      <c r="Q3343" s="47"/>
      <c r="R3343" s="47"/>
      <c r="S3343" s="47" t="s">
        <v>4938</v>
      </c>
      <c r="T3343" s="47"/>
      <c r="U3343" s="47"/>
      <c r="V3343" s="47"/>
      <c r="W3343" s="47"/>
      <c r="X3343" s="47"/>
      <c r="Y3343" s="47"/>
      <c r="Z3343" s="47">
        <f t="shared" si="708"/>
        <v>4620</v>
      </c>
      <c r="AA3343" s="47">
        <f t="shared" si="709"/>
        <v>1400</v>
      </c>
      <c r="AB3343" s="47"/>
      <c r="AC3343" s="47"/>
      <c r="AD3343" s="47"/>
      <c r="AE3343" s="47"/>
      <c r="AF3343" s="47"/>
      <c r="AG3343" s="47"/>
      <c r="AH3343" s="47" t="str">
        <f>IFERROR(_xlfn.XLOOKUP(Table6[[#This Row],[Suburb]],Table5[Travel Surcharge],Table5[$$]),"")</f>
        <v/>
      </c>
      <c r="AI3343" s="47"/>
      <c r="AJ3343" s="47"/>
    </row>
    <row r="3344" spans="1:36">
      <c r="A3344" s="374" t="s">
        <v>4986</v>
      </c>
      <c r="B3344" s="374" t="s">
        <v>528</v>
      </c>
      <c r="C3344" s="374" t="s">
        <v>4987</v>
      </c>
      <c r="D3344" s="375" t="str">
        <f t="shared" si="707"/>
        <v>Penny Royal Estate4A</v>
      </c>
      <c r="E3344" s="375" t="s">
        <v>4992</v>
      </c>
      <c r="F3344" s="375" t="s">
        <v>4989</v>
      </c>
      <c r="G3344" s="375" t="s">
        <v>4990</v>
      </c>
      <c r="H3344" s="375" t="s">
        <v>4828</v>
      </c>
      <c r="I3344" s="63" t="s">
        <v>4991</v>
      </c>
      <c r="J3344" s="47"/>
      <c r="K3344" s="46" t="s">
        <v>10735</v>
      </c>
      <c r="L3344" s="47"/>
      <c r="M3344" s="47"/>
      <c r="N3344" s="47"/>
      <c r="O3344" s="47"/>
      <c r="P3344" s="47"/>
      <c r="Q3344" s="47"/>
      <c r="R3344" s="47"/>
      <c r="S3344" s="47" t="s">
        <v>4938</v>
      </c>
      <c r="T3344" s="47"/>
      <c r="U3344" s="47"/>
      <c r="V3344" s="47"/>
      <c r="W3344" s="47"/>
      <c r="X3344" s="47"/>
      <c r="Y3344" s="47"/>
      <c r="Z3344" s="47">
        <f t="shared" si="708"/>
        <v>4620</v>
      </c>
      <c r="AA3344" s="47">
        <f t="shared" si="709"/>
        <v>1400</v>
      </c>
      <c r="AB3344" s="47"/>
      <c r="AC3344" s="47"/>
      <c r="AD3344" s="47"/>
      <c r="AE3344" s="47"/>
      <c r="AF3344" s="47"/>
      <c r="AG3344" s="47"/>
      <c r="AH3344" s="47" t="str">
        <f>IFERROR(_xlfn.XLOOKUP(Table6[[#This Row],[Suburb]],Table5[Travel Surcharge],Table5[$$]),"")</f>
        <v/>
      </c>
      <c r="AI3344" s="47"/>
      <c r="AJ3344" s="47"/>
    </row>
    <row r="3345" spans="1:36">
      <c r="A3345" s="374" t="s">
        <v>4986</v>
      </c>
      <c r="B3345" s="374" t="s">
        <v>613</v>
      </c>
      <c r="C3345" s="374" t="s">
        <v>4987</v>
      </c>
      <c r="D3345" s="375" t="str">
        <f t="shared" si="707"/>
        <v>Penny Royal Estate4B</v>
      </c>
      <c r="E3345" s="375" t="s">
        <v>4993</v>
      </c>
      <c r="F3345" s="375" t="s">
        <v>4989</v>
      </c>
      <c r="G3345" s="375" t="s">
        <v>4990</v>
      </c>
      <c r="H3345" s="375" t="s">
        <v>4828</v>
      </c>
      <c r="I3345" s="63" t="s">
        <v>4991</v>
      </c>
      <c r="J3345" s="47"/>
      <c r="K3345" s="46" t="s">
        <v>10735</v>
      </c>
      <c r="L3345" s="47"/>
      <c r="M3345" s="47"/>
      <c r="N3345" s="47"/>
      <c r="O3345" s="47"/>
      <c r="P3345" s="47"/>
      <c r="Q3345" s="47"/>
      <c r="R3345" s="47"/>
      <c r="S3345" s="47" t="s">
        <v>4938</v>
      </c>
      <c r="T3345" s="47"/>
      <c r="U3345" s="47"/>
      <c r="V3345" s="47"/>
      <c r="W3345" s="47"/>
      <c r="X3345" s="47"/>
      <c r="Y3345" s="47"/>
      <c r="Z3345" s="47">
        <f t="shared" si="708"/>
        <v>4620</v>
      </c>
      <c r="AA3345" s="47">
        <f t="shared" si="709"/>
        <v>1400</v>
      </c>
      <c r="AB3345" s="47"/>
      <c r="AC3345" s="47"/>
      <c r="AD3345" s="47"/>
      <c r="AE3345" s="47"/>
      <c r="AF3345" s="47"/>
      <c r="AG3345" s="47"/>
      <c r="AH3345" s="47" t="str">
        <f>IFERROR(_xlfn.XLOOKUP(Table6[[#This Row],[Suburb]],Table5[Travel Surcharge],Table5[$$]),"")</f>
        <v/>
      </c>
      <c r="AI3345" s="47"/>
      <c r="AJ3345" s="47"/>
    </row>
    <row r="3346" spans="1:36">
      <c r="A3346" s="374" t="s">
        <v>4986</v>
      </c>
      <c r="B3346" s="374" t="s">
        <v>617</v>
      </c>
      <c r="C3346" s="374" t="s">
        <v>4987</v>
      </c>
      <c r="D3346" s="375" t="str">
        <f t="shared" si="707"/>
        <v>Penny Royal Estate5A</v>
      </c>
      <c r="E3346" s="375" t="s">
        <v>4994</v>
      </c>
      <c r="F3346" s="375" t="s">
        <v>4989</v>
      </c>
      <c r="G3346" s="375" t="s">
        <v>4990</v>
      </c>
      <c r="H3346" s="375" t="s">
        <v>4828</v>
      </c>
      <c r="I3346" s="63" t="s">
        <v>4991</v>
      </c>
      <c r="J3346" s="47"/>
      <c r="K3346" s="46" t="s">
        <v>10735</v>
      </c>
      <c r="L3346" s="47"/>
      <c r="M3346" s="47"/>
      <c r="N3346" s="47"/>
      <c r="O3346" s="47"/>
      <c r="P3346" s="47"/>
      <c r="Q3346" s="47"/>
      <c r="R3346" s="47"/>
      <c r="S3346" s="47" t="s">
        <v>4938</v>
      </c>
      <c r="T3346" s="47"/>
      <c r="U3346" s="47"/>
      <c r="V3346" s="47"/>
      <c r="W3346" s="47"/>
      <c r="X3346" s="47"/>
      <c r="Y3346" s="47"/>
      <c r="Z3346" s="47">
        <f t="shared" si="708"/>
        <v>4620</v>
      </c>
      <c r="AA3346" s="47">
        <f t="shared" si="709"/>
        <v>1400</v>
      </c>
      <c r="AB3346" s="47"/>
      <c r="AC3346" s="47"/>
      <c r="AD3346" s="47"/>
      <c r="AE3346" s="47"/>
      <c r="AF3346" s="47"/>
      <c r="AG3346" s="47"/>
      <c r="AH3346" s="47" t="str">
        <f>IFERROR(_xlfn.XLOOKUP(Table6[[#This Row],[Suburb]],Table5[Travel Surcharge],Table5[$$]),"")</f>
        <v/>
      </c>
      <c r="AI3346" s="47"/>
      <c r="AJ3346" s="47"/>
    </row>
    <row r="3347" spans="1:36">
      <c r="A3347" s="374" t="s">
        <v>4986</v>
      </c>
      <c r="B3347" s="374" t="s">
        <v>1466</v>
      </c>
      <c r="C3347" s="374" t="s">
        <v>4987</v>
      </c>
      <c r="D3347" s="375" t="str">
        <f t="shared" si="707"/>
        <v>Penny Royal Estate5B</v>
      </c>
      <c r="E3347" s="375" t="s">
        <v>4994</v>
      </c>
      <c r="F3347" s="375" t="s">
        <v>4989</v>
      </c>
      <c r="G3347" s="375" t="s">
        <v>4990</v>
      </c>
      <c r="H3347" s="375" t="s">
        <v>4828</v>
      </c>
      <c r="I3347" s="63" t="s">
        <v>4991</v>
      </c>
      <c r="J3347" s="47"/>
      <c r="K3347" s="46" t="s">
        <v>10735</v>
      </c>
      <c r="L3347" s="47"/>
      <c r="M3347" s="47"/>
      <c r="N3347" s="47"/>
      <c r="O3347" s="47"/>
      <c r="P3347" s="47"/>
      <c r="Q3347" s="47"/>
      <c r="R3347" s="47"/>
      <c r="S3347" s="47" t="s">
        <v>4938</v>
      </c>
      <c r="T3347" s="47"/>
      <c r="U3347" s="47"/>
      <c r="V3347" s="47"/>
      <c r="W3347" s="47"/>
      <c r="X3347" s="47"/>
      <c r="Y3347" s="47"/>
      <c r="Z3347" s="47">
        <f t="shared" si="708"/>
        <v>4620</v>
      </c>
      <c r="AA3347" s="47">
        <f t="shared" si="709"/>
        <v>1400</v>
      </c>
      <c r="AB3347" s="47"/>
      <c r="AC3347" s="47"/>
      <c r="AD3347" s="47"/>
      <c r="AE3347" s="47"/>
      <c r="AF3347" s="47"/>
      <c r="AG3347" s="47"/>
      <c r="AH3347" s="47" t="str">
        <f>IFERROR(_xlfn.XLOOKUP(Table6[[#This Row],[Suburb]],Table5[Travel Surcharge],Table5[$$]),"")</f>
        <v/>
      </c>
      <c r="AI3347" s="47"/>
      <c r="AJ3347" s="47"/>
    </row>
    <row r="3348" spans="1:36">
      <c r="A3348" s="374" t="s">
        <v>4995</v>
      </c>
      <c r="B3348" s="374">
        <v>1</v>
      </c>
      <c r="C3348" s="374" t="s">
        <v>1264</v>
      </c>
      <c r="D3348" s="375" t="str">
        <f t="shared" si="707"/>
        <v>Peppercorn Hill1</v>
      </c>
      <c r="E3348" s="375" t="s">
        <v>4996</v>
      </c>
      <c r="F3348" s="375"/>
      <c r="G3348" s="375"/>
      <c r="H3348" s="375"/>
      <c r="I3348" s="63"/>
      <c r="J3348" s="47">
        <f t="shared" ref="J3348:J3355" si="710">J$7</f>
        <v>3740</v>
      </c>
      <c r="K3348" s="46" t="s">
        <v>7938</v>
      </c>
      <c r="L3348" s="47" t="s">
        <v>4997</v>
      </c>
      <c r="M3348" s="47">
        <f t="shared" ref="M3348:M3355" si="711">M$7</f>
        <v>1430.0000000000002</v>
      </c>
      <c r="N3348" s="47" t="s">
        <v>4998</v>
      </c>
      <c r="O3348" s="47" t="s">
        <v>4999</v>
      </c>
      <c r="P3348" s="47"/>
      <c r="Q3348" s="47"/>
      <c r="R3348" s="47"/>
      <c r="S3348" s="47"/>
      <c r="T3348" s="47">
        <f t="shared" ref="T3348:T3355" si="712">T$2</f>
        <v>780</v>
      </c>
      <c r="U3348" s="47"/>
      <c r="V3348" s="47"/>
      <c r="W3348" s="47"/>
      <c r="X3348" s="47"/>
      <c r="Y3348" s="47"/>
      <c r="Z3348" s="47">
        <f t="shared" si="708"/>
        <v>4620</v>
      </c>
      <c r="AA3348" s="47">
        <f t="shared" si="709"/>
        <v>1400</v>
      </c>
      <c r="AB3348" s="47"/>
      <c r="AC3348" s="47"/>
      <c r="AD3348" s="47"/>
      <c r="AE3348" s="47"/>
      <c r="AF3348" s="47">
        <v>1650</v>
      </c>
      <c r="AG3348" s="47"/>
      <c r="AH3348" s="47" t="str">
        <f>IFERROR(_xlfn.XLOOKUP(Table6[[#This Row],[Suburb]],Table5[Travel Surcharge],Table5[$$]),"")</f>
        <v/>
      </c>
      <c r="AI3348" s="47"/>
      <c r="AJ3348" s="47"/>
    </row>
    <row r="3349" spans="1:36">
      <c r="A3349" s="374" t="s">
        <v>4995</v>
      </c>
      <c r="B3349" s="374">
        <v>5</v>
      </c>
      <c r="C3349" s="374" t="s">
        <v>1264</v>
      </c>
      <c r="D3349" s="375" t="str">
        <f t="shared" si="707"/>
        <v>Peppercorn Hill5</v>
      </c>
      <c r="E3349" s="375" t="s">
        <v>5000</v>
      </c>
      <c r="F3349" s="375"/>
      <c r="G3349" s="375"/>
      <c r="H3349" s="375"/>
      <c r="I3349" s="63"/>
      <c r="J3349" s="47">
        <f t="shared" si="710"/>
        <v>3740</v>
      </c>
      <c r="K3349" s="46" t="s">
        <v>7938</v>
      </c>
      <c r="L3349" s="47" t="s">
        <v>4997</v>
      </c>
      <c r="M3349" s="47">
        <f t="shared" si="711"/>
        <v>1430.0000000000002</v>
      </c>
      <c r="N3349" s="47" t="s">
        <v>4998</v>
      </c>
      <c r="O3349" s="47" t="s">
        <v>4999</v>
      </c>
      <c r="P3349" s="47"/>
      <c r="Q3349" s="47"/>
      <c r="R3349" s="47"/>
      <c r="S3349" s="47"/>
      <c r="T3349" s="47">
        <f t="shared" si="712"/>
        <v>780</v>
      </c>
      <c r="U3349" s="47"/>
      <c r="V3349" s="47"/>
      <c r="W3349" s="47"/>
      <c r="X3349" s="47"/>
      <c r="Y3349" s="47"/>
      <c r="Z3349" s="47">
        <f t="shared" si="708"/>
        <v>4620</v>
      </c>
      <c r="AA3349" s="47">
        <f t="shared" si="709"/>
        <v>1400</v>
      </c>
      <c r="AB3349" s="47"/>
      <c r="AC3349" s="47"/>
      <c r="AD3349" s="47"/>
      <c r="AE3349" s="47"/>
      <c r="AF3349" s="47">
        <v>1650</v>
      </c>
      <c r="AG3349" s="47"/>
      <c r="AH3349" s="47" t="str">
        <f>IFERROR(_xlfn.XLOOKUP(Table6[[#This Row],[Suburb]],Table5[Travel Surcharge],Table5[$$]),"")</f>
        <v/>
      </c>
      <c r="AI3349" s="47"/>
      <c r="AJ3349" s="47"/>
    </row>
    <row r="3350" spans="1:36">
      <c r="A3350" s="374" t="s">
        <v>4995</v>
      </c>
      <c r="B3350" s="374">
        <v>6</v>
      </c>
      <c r="C3350" s="374" t="s">
        <v>1264</v>
      </c>
      <c r="D3350" s="375" t="str">
        <f t="shared" si="707"/>
        <v>Peppercorn Hill6</v>
      </c>
      <c r="E3350" s="375" t="s">
        <v>5001</v>
      </c>
      <c r="F3350" s="375"/>
      <c r="G3350" s="375"/>
      <c r="H3350" s="375"/>
      <c r="I3350" s="63"/>
      <c r="J3350" s="47">
        <f t="shared" si="710"/>
        <v>3740</v>
      </c>
      <c r="K3350" s="46" t="s">
        <v>7938</v>
      </c>
      <c r="L3350" s="47" t="s">
        <v>4997</v>
      </c>
      <c r="M3350" s="47">
        <f t="shared" si="711"/>
        <v>1430.0000000000002</v>
      </c>
      <c r="N3350" s="47" t="s">
        <v>4998</v>
      </c>
      <c r="O3350" s="47" t="s">
        <v>4999</v>
      </c>
      <c r="P3350" s="47"/>
      <c r="Q3350" s="47"/>
      <c r="R3350" s="47"/>
      <c r="S3350" s="47"/>
      <c r="T3350" s="47">
        <f t="shared" si="712"/>
        <v>780</v>
      </c>
      <c r="U3350" s="47"/>
      <c r="V3350" s="47"/>
      <c r="W3350" s="47"/>
      <c r="X3350" s="47"/>
      <c r="Y3350" s="47"/>
      <c r="Z3350" s="47">
        <f t="shared" si="708"/>
        <v>4620</v>
      </c>
      <c r="AA3350" s="47">
        <f t="shared" si="709"/>
        <v>1400</v>
      </c>
      <c r="AB3350" s="47"/>
      <c r="AC3350" s="47"/>
      <c r="AD3350" s="47"/>
      <c r="AE3350" s="47"/>
      <c r="AF3350" s="47">
        <v>1650</v>
      </c>
      <c r="AG3350" s="47"/>
      <c r="AH3350" s="47" t="str">
        <f>IFERROR(_xlfn.XLOOKUP(Table6[[#This Row],[Suburb]],Table5[Travel Surcharge],Table5[$$]),"")</f>
        <v/>
      </c>
      <c r="AI3350" s="47"/>
      <c r="AJ3350" s="47"/>
    </row>
    <row r="3351" spans="1:36">
      <c r="A3351" s="374" t="s">
        <v>4995</v>
      </c>
      <c r="B3351" s="374">
        <v>7</v>
      </c>
      <c r="C3351" s="374" t="s">
        <v>1264</v>
      </c>
      <c r="D3351" s="375" t="str">
        <f t="shared" si="707"/>
        <v>Peppercorn Hill7</v>
      </c>
      <c r="E3351" s="375" t="s">
        <v>5002</v>
      </c>
      <c r="F3351" s="375"/>
      <c r="G3351" s="375"/>
      <c r="H3351" s="375"/>
      <c r="I3351" s="63"/>
      <c r="J3351" s="47">
        <f t="shared" si="710"/>
        <v>3740</v>
      </c>
      <c r="K3351" s="46" t="s">
        <v>7938</v>
      </c>
      <c r="L3351" s="47" t="s">
        <v>4997</v>
      </c>
      <c r="M3351" s="47">
        <f t="shared" si="711"/>
        <v>1430.0000000000002</v>
      </c>
      <c r="N3351" s="47" t="s">
        <v>4998</v>
      </c>
      <c r="O3351" s="47" t="s">
        <v>4999</v>
      </c>
      <c r="P3351" s="47"/>
      <c r="Q3351" s="47"/>
      <c r="R3351" s="47"/>
      <c r="S3351" s="47"/>
      <c r="T3351" s="47">
        <f t="shared" si="712"/>
        <v>780</v>
      </c>
      <c r="U3351" s="47"/>
      <c r="V3351" s="47"/>
      <c r="W3351" s="47"/>
      <c r="X3351" s="47"/>
      <c r="Y3351" s="47"/>
      <c r="Z3351" s="47">
        <f t="shared" si="708"/>
        <v>4620</v>
      </c>
      <c r="AA3351" s="47">
        <f t="shared" si="709"/>
        <v>1400</v>
      </c>
      <c r="AB3351" s="47"/>
      <c r="AC3351" s="47"/>
      <c r="AD3351" s="47"/>
      <c r="AE3351" s="47"/>
      <c r="AF3351" s="47">
        <v>1650</v>
      </c>
      <c r="AG3351" s="47"/>
      <c r="AH3351" s="47" t="str">
        <f>IFERROR(_xlfn.XLOOKUP(Table6[[#This Row],[Suburb]],Table5[Travel Surcharge],Table5[$$]),"")</f>
        <v/>
      </c>
      <c r="AI3351" s="47"/>
      <c r="AJ3351" s="47"/>
    </row>
    <row r="3352" spans="1:36">
      <c r="A3352" s="374" t="s">
        <v>4995</v>
      </c>
      <c r="B3352" s="374">
        <v>12</v>
      </c>
      <c r="C3352" s="374" t="s">
        <v>1264</v>
      </c>
      <c r="D3352" s="375" t="str">
        <f t="shared" si="707"/>
        <v>Peppercorn Hill12</v>
      </c>
      <c r="E3352" s="375" t="s">
        <v>5003</v>
      </c>
      <c r="F3352" s="375"/>
      <c r="G3352" s="375"/>
      <c r="H3352" s="375"/>
      <c r="I3352" s="63"/>
      <c r="J3352" s="47">
        <f t="shared" si="710"/>
        <v>3740</v>
      </c>
      <c r="K3352" s="46" t="s">
        <v>7938</v>
      </c>
      <c r="L3352" s="47"/>
      <c r="M3352" s="47">
        <f t="shared" si="711"/>
        <v>1430.0000000000002</v>
      </c>
      <c r="N3352" s="47" t="s">
        <v>4998</v>
      </c>
      <c r="O3352" s="47" t="s">
        <v>4999</v>
      </c>
      <c r="P3352" s="47"/>
      <c r="Q3352" s="47"/>
      <c r="R3352" s="47"/>
      <c r="S3352" s="47"/>
      <c r="T3352" s="47">
        <f t="shared" si="712"/>
        <v>780</v>
      </c>
      <c r="U3352" s="47"/>
      <c r="V3352" s="47"/>
      <c r="W3352" s="47"/>
      <c r="X3352" s="47"/>
      <c r="Y3352" s="47"/>
      <c r="Z3352" s="47">
        <f t="shared" si="708"/>
        <v>4620</v>
      </c>
      <c r="AA3352" s="47">
        <f t="shared" si="709"/>
        <v>1400</v>
      </c>
      <c r="AB3352" s="47"/>
      <c r="AC3352" s="47"/>
      <c r="AD3352" s="47"/>
      <c r="AE3352" s="47"/>
      <c r="AF3352" s="47">
        <v>1650</v>
      </c>
      <c r="AG3352" s="47"/>
      <c r="AH3352" s="47" t="str">
        <f>IFERROR(_xlfn.XLOOKUP(Table6[[#This Row],[Suburb]],Table5[Travel Surcharge],Table5[$$]),"")</f>
        <v/>
      </c>
      <c r="AI3352" s="47"/>
      <c r="AJ3352" s="47"/>
    </row>
    <row r="3353" spans="1:36">
      <c r="A3353" s="374" t="s">
        <v>4995</v>
      </c>
      <c r="B3353" s="374">
        <v>18</v>
      </c>
      <c r="C3353" s="374" t="s">
        <v>1264</v>
      </c>
      <c r="D3353" s="375" t="str">
        <f t="shared" si="707"/>
        <v>Peppercorn Hill18</v>
      </c>
      <c r="E3353" s="375" t="s">
        <v>5004</v>
      </c>
      <c r="F3353" s="375"/>
      <c r="G3353" s="375"/>
      <c r="H3353" s="375"/>
      <c r="I3353" s="63"/>
      <c r="J3353" s="47">
        <f t="shared" si="710"/>
        <v>3740</v>
      </c>
      <c r="K3353" s="46" t="s">
        <v>7938</v>
      </c>
      <c r="L3353" s="47"/>
      <c r="M3353" s="47">
        <f t="shared" si="711"/>
        <v>1430.0000000000002</v>
      </c>
      <c r="N3353" s="47" t="s">
        <v>4998</v>
      </c>
      <c r="O3353" s="47" t="s">
        <v>4999</v>
      </c>
      <c r="P3353" s="47"/>
      <c r="Q3353" s="47"/>
      <c r="R3353" s="47"/>
      <c r="S3353" s="47"/>
      <c r="T3353" s="47">
        <f t="shared" si="712"/>
        <v>780</v>
      </c>
      <c r="U3353" s="47"/>
      <c r="V3353" s="47"/>
      <c r="W3353" s="47"/>
      <c r="X3353" s="47"/>
      <c r="Y3353" s="47"/>
      <c r="Z3353" s="47">
        <f t="shared" si="708"/>
        <v>4620</v>
      </c>
      <c r="AA3353" s="47">
        <f t="shared" si="709"/>
        <v>1400</v>
      </c>
      <c r="AB3353" s="47"/>
      <c r="AC3353" s="47"/>
      <c r="AD3353" s="47"/>
      <c r="AE3353" s="47"/>
      <c r="AF3353" s="47">
        <v>1650</v>
      </c>
      <c r="AG3353" s="47"/>
      <c r="AH3353" s="47" t="str">
        <f>IFERROR(_xlfn.XLOOKUP(Table6[[#This Row],[Suburb]],Table5[Travel Surcharge],Table5[$$]),"")</f>
        <v/>
      </c>
      <c r="AI3353" s="47"/>
      <c r="AJ3353" s="47"/>
    </row>
    <row r="3354" spans="1:36">
      <c r="A3354" s="374" t="s">
        <v>4995</v>
      </c>
      <c r="B3354" s="374">
        <v>20</v>
      </c>
      <c r="C3354" s="374" t="s">
        <v>1264</v>
      </c>
      <c r="D3354" s="375" t="str">
        <f t="shared" si="707"/>
        <v>Peppercorn Hill20</v>
      </c>
      <c r="E3354" s="375" t="s">
        <v>5005</v>
      </c>
      <c r="F3354" s="375"/>
      <c r="G3354" s="375"/>
      <c r="H3354" s="375"/>
      <c r="I3354" s="63"/>
      <c r="J3354" s="47">
        <f t="shared" si="710"/>
        <v>3740</v>
      </c>
      <c r="K3354" s="46" t="s">
        <v>7938</v>
      </c>
      <c r="L3354" s="47"/>
      <c r="M3354" s="47">
        <f t="shared" si="711"/>
        <v>1430.0000000000002</v>
      </c>
      <c r="N3354" s="47" t="s">
        <v>4998</v>
      </c>
      <c r="O3354" s="47" t="s">
        <v>4999</v>
      </c>
      <c r="P3354" s="47"/>
      <c r="Q3354" s="47"/>
      <c r="R3354" s="47"/>
      <c r="S3354" s="47"/>
      <c r="T3354" s="47">
        <f t="shared" si="712"/>
        <v>780</v>
      </c>
      <c r="U3354" s="47"/>
      <c r="V3354" s="47"/>
      <c r="W3354" s="47"/>
      <c r="X3354" s="47"/>
      <c r="Y3354" s="47"/>
      <c r="Z3354" s="47">
        <f t="shared" si="708"/>
        <v>4620</v>
      </c>
      <c r="AA3354" s="47">
        <f t="shared" si="709"/>
        <v>1400</v>
      </c>
      <c r="AB3354" s="47"/>
      <c r="AC3354" s="47"/>
      <c r="AD3354" s="47"/>
      <c r="AE3354" s="47"/>
      <c r="AF3354" s="47">
        <v>1650</v>
      </c>
      <c r="AG3354" s="47"/>
      <c r="AH3354" s="47" t="str">
        <f>IFERROR(_xlfn.XLOOKUP(Table6[[#This Row],[Suburb]],Table5[Travel Surcharge],Table5[$$]),"")</f>
        <v/>
      </c>
      <c r="AI3354" s="47"/>
      <c r="AJ3354" s="47"/>
    </row>
    <row r="3355" spans="1:36">
      <c r="A3355" s="374" t="s">
        <v>4995</v>
      </c>
      <c r="B3355" s="374">
        <v>21</v>
      </c>
      <c r="C3355" s="374" t="s">
        <v>1264</v>
      </c>
      <c r="D3355" s="375" t="str">
        <f t="shared" si="707"/>
        <v>Peppercorn Hill21</v>
      </c>
      <c r="E3355" s="375" t="s">
        <v>9023</v>
      </c>
      <c r="F3355" s="375"/>
      <c r="G3355" s="375"/>
      <c r="H3355" s="375"/>
      <c r="I3355" s="63"/>
      <c r="J3355" s="47">
        <f t="shared" si="710"/>
        <v>3740</v>
      </c>
      <c r="K3355" s="46" t="s">
        <v>7938</v>
      </c>
      <c r="L3355" s="47"/>
      <c r="M3355" s="47">
        <f t="shared" si="711"/>
        <v>1430.0000000000002</v>
      </c>
      <c r="N3355" s="47" t="s">
        <v>4998</v>
      </c>
      <c r="O3355" s="47" t="s">
        <v>4999</v>
      </c>
      <c r="P3355" s="47"/>
      <c r="Q3355" s="47"/>
      <c r="R3355" s="47"/>
      <c r="S3355" s="47"/>
      <c r="T3355" s="47">
        <f t="shared" si="712"/>
        <v>780</v>
      </c>
      <c r="U3355" s="47"/>
      <c r="V3355" s="47"/>
      <c r="W3355" s="47"/>
      <c r="X3355" s="47"/>
      <c r="Y3355" s="47"/>
      <c r="Z3355" s="47">
        <f t="shared" si="708"/>
        <v>4620</v>
      </c>
      <c r="AA3355" s="47">
        <f t="shared" si="709"/>
        <v>1400</v>
      </c>
      <c r="AB3355" s="47"/>
      <c r="AC3355" s="47"/>
      <c r="AD3355" s="47"/>
      <c r="AE3355" s="47"/>
      <c r="AF3355" s="47">
        <v>1650</v>
      </c>
      <c r="AG3355" s="47"/>
      <c r="AH3355" s="47" t="str">
        <f>IFERROR(_xlfn.XLOOKUP(Table6[[#This Row],[Suburb]],Table5[Travel Surcharge],Table5[$$]),"")</f>
        <v/>
      </c>
      <c r="AI3355" s="47"/>
      <c r="AJ3355" s="47"/>
    </row>
    <row r="3356" spans="1:36">
      <c r="A3356" s="374" t="s">
        <v>4995</v>
      </c>
      <c r="B3356" s="374">
        <v>22</v>
      </c>
      <c r="C3356" s="374" t="s">
        <v>1264</v>
      </c>
      <c r="D3356" s="375" t="str">
        <f t="shared" si="707"/>
        <v>Peppercorn Hill22</v>
      </c>
      <c r="E3356" s="375" t="s">
        <v>8957</v>
      </c>
      <c r="F3356" s="375"/>
      <c r="G3356" s="375"/>
      <c r="H3356" s="375"/>
      <c r="I3356" s="63"/>
      <c r="J3356" s="47">
        <v>3740</v>
      </c>
      <c r="K3356" s="46" t="s">
        <v>7938</v>
      </c>
      <c r="L3356" s="47"/>
      <c r="M3356" s="47">
        <v>1430.0000000000002</v>
      </c>
      <c r="N3356" s="47" t="s">
        <v>4998</v>
      </c>
      <c r="O3356" s="47" t="s">
        <v>4999</v>
      </c>
      <c r="P3356" s="47"/>
      <c r="Q3356" s="47"/>
      <c r="R3356" s="47"/>
      <c r="S3356" s="47"/>
      <c r="T3356" s="47">
        <v>1420</v>
      </c>
      <c r="U3356" s="47"/>
      <c r="V3356" s="47"/>
      <c r="W3356" s="47"/>
      <c r="X3356" s="47"/>
      <c r="Y3356" s="47"/>
      <c r="Z3356" s="47">
        <v>4620</v>
      </c>
      <c r="AA3356" s="47">
        <v>1400</v>
      </c>
      <c r="AB3356" s="47"/>
      <c r="AC3356" s="47"/>
      <c r="AD3356" s="47"/>
      <c r="AE3356" s="47"/>
      <c r="AF3356" s="47">
        <v>1650</v>
      </c>
      <c r="AG3356" s="47"/>
      <c r="AH3356" s="47" t="str">
        <f>IFERROR(_xlfn.XLOOKUP(Table6[[#This Row],[Suburb]],Table5[Travel Surcharge],Table5[$$]),"")</f>
        <v/>
      </c>
      <c r="AI3356" s="47"/>
      <c r="AJ3356" s="47"/>
    </row>
    <row r="3357" spans="1:36">
      <c r="A3357" s="374" t="s">
        <v>4995</v>
      </c>
      <c r="B3357" s="374">
        <v>26</v>
      </c>
      <c r="C3357" s="374" t="s">
        <v>1264</v>
      </c>
      <c r="D3357" s="375" t="str">
        <f t="shared" si="707"/>
        <v>Peppercorn Hill26</v>
      </c>
      <c r="E3357" s="375" t="s">
        <v>10419</v>
      </c>
      <c r="F3357" s="375"/>
      <c r="G3357" s="375"/>
      <c r="H3357" s="375"/>
      <c r="I3357" s="63"/>
      <c r="J3357" s="47">
        <v>3740</v>
      </c>
      <c r="K3357" s="46" t="s">
        <v>7938</v>
      </c>
      <c r="L3357" s="47"/>
      <c r="M3357" s="47">
        <v>1430.0000000000002</v>
      </c>
      <c r="N3357" s="47" t="s">
        <v>4998</v>
      </c>
      <c r="O3357" s="47" t="s">
        <v>4999</v>
      </c>
      <c r="P3357" s="47"/>
      <c r="Q3357" s="47"/>
      <c r="R3357" s="47"/>
      <c r="S3357" s="47"/>
      <c r="T3357" s="47">
        <v>1420</v>
      </c>
      <c r="U3357" s="47"/>
      <c r="V3357" s="47"/>
      <c r="W3357" s="47"/>
      <c r="X3357" s="47"/>
      <c r="Y3357" s="47"/>
      <c r="Z3357" s="47">
        <v>4620</v>
      </c>
      <c r="AA3357" s="47">
        <v>1400</v>
      </c>
      <c r="AB3357" s="47"/>
      <c r="AC3357" s="47"/>
      <c r="AD3357" s="47"/>
      <c r="AE3357" s="47"/>
      <c r="AF3357" s="47">
        <v>1650</v>
      </c>
      <c r="AG3357" s="47"/>
      <c r="AH3357" s="47" t="s">
        <v>9976</v>
      </c>
      <c r="AI3357" s="47"/>
      <c r="AJ3357" s="47"/>
    </row>
    <row r="3358" spans="1:36">
      <c r="A3358" s="374" t="s">
        <v>4995</v>
      </c>
      <c r="B3358" s="374">
        <v>27</v>
      </c>
      <c r="C3358" s="374" t="s">
        <v>1264</v>
      </c>
      <c r="D3358" s="375" t="str">
        <f t="shared" si="707"/>
        <v>Peppercorn Hill27</v>
      </c>
      <c r="E3358" s="375" t="s">
        <v>9753</v>
      </c>
      <c r="F3358" s="375"/>
      <c r="G3358" s="375"/>
      <c r="H3358" s="375"/>
      <c r="I3358" s="63"/>
      <c r="J3358" s="47">
        <v>3740</v>
      </c>
      <c r="K3358" s="46" t="s">
        <v>7938</v>
      </c>
      <c r="L3358" s="47"/>
      <c r="M3358" s="47">
        <v>1430.0000000000002</v>
      </c>
      <c r="N3358" s="47" t="s">
        <v>4998</v>
      </c>
      <c r="O3358" s="47" t="s">
        <v>4999</v>
      </c>
      <c r="P3358" s="47"/>
      <c r="Q3358" s="47"/>
      <c r="R3358" s="47"/>
      <c r="S3358" s="47"/>
      <c r="T3358" s="47">
        <v>1420</v>
      </c>
      <c r="U3358" s="47"/>
      <c r="V3358" s="47"/>
      <c r="W3358" s="47"/>
      <c r="X3358" s="47"/>
      <c r="Y3358" s="47"/>
      <c r="Z3358" s="47">
        <v>4620</v>
      </c>
      <c r="AA3358" s="47">
        <v>1400</v>
      </c>
      <c r="AB3358" s="47"/>
      <c r="AC3358" s="47"/>
      <c r="AD3358" s="47"/>
      <c r="AE3358" s="47"/>
      <c r="AF3358" s="47">
        <v>1650</v>
      </c>
      <c r="AG3358" s="47"/>
      <c r="AH3358" s="47" t="str">
        <f>IFERROR(_xlfn.XLOOKUP(Table6[[#This Row],[Suburb]],Table5[Travel Surcharge],Table5[$$]),"")</f>
        <v/>
      </c>
      <c r="AI3358" s="47"/>
      <c r="AJ3358" s="47"/>
    </row>
    <row r="3359" spans="1:36">
      <c r="A3359" s="374" t="s">
        <v>4995</v>
      </c>
      <c r="B3359" s="374">
        <v>28</v>
      </c>
      <c r="C3359" s="374" t="s">
        <v>1264</v>
      </c>
      <c r="D3359" s="375" t="str">
        <f t="shared" ref="D3359:D3398" si="713">CONCATENATE(A3359,B3359)</f>
        <v>Peppercorn Hill28</v>
      </c>
      <c r="E3359" s="375" t="s">
        <v>9858</v>
      </c>
      <c r="F3359" s="375"/>
      <c r="G3359" s="375"/>
      <c r="H3359" s="375"/>
      <c r="I3359" s="63"/>
      <c r="J3359" s="47">
        <v>3740</v>
      </c>
      <c r="K3359" s="46" t="s">
        <v>7938</v>
      </c>
      <c r="L3359" s="47"/>
      <c r="M3359" s="47">
        <v>1430.0000000000002</v>
      </c>
      <c r="N3359" s="47" t="s">
        <v>4998</v>
      </c>
      <c r="O3359" s="47" t="s">
        <v>4999</v>
      </c>
      <c r="P3359" s="47"/>
      <c r="Q3359" s="47"/>
      <c r="R3359" s="47"/>
      <c r="S3359" s="47"/>
      <c r="T3359" s="47">
        <v>1420</v>
      </c>
      <c r="U3359" s="47"/>
      <c r="V3359" s="47"/>
      <c r="W3359" s="47"/>
      <c r="X3359" s="47"/>
      <c r="Y3359" s="47"/>
      <c r="Z3359" s="47">
        <v>4620</v>
      </c>
      <c r="AA3359" s="47">
        <v>1400</v>
      </c>
      <c r="AB3359" s="47"/>
      <c r="AC3359" s="47"/>
      <c r="AD3359" s="47"/>
      <c r="AE3359" s="47"/>
      <c r="AF3359" s="47">
        <v>1650</v>
      </c>
      <c r="AG3359" s="47"/>
      <c r="AH3359" s="47" t="str">
        <f>IFERROR(_xlfn.XLOOKUP(Table6[[#This Row],[Suburb]],Table5[Travel Surcharge],Table5[$$]),"")</f>
        <v/>
      </c>
      <c r="AI3359" s="47"/>
      <c r="AJ3359" s="47"/>
    </row>
    <row r="3360" spans="1:36">
      <c r="A3360" s="374" t="s">
        <v>4995</v>
      </c>
      <c r="B3360" s="374">
        <v>29</v>
      </c>
      <c r="C3360" s="374" t="s">
        <v>1264</v>
      </c>
      <c r="D3360" s="375" t="str">
        <f t="shared" si="713"/>
        <v>Peppercorn Hill29</v>
      </c>
      <c r="E3360" s="375" t="s">
        <v>9858</v>
      </c>
      <c r="F3360" s="375"/>
      <c r="G3360" s="375"/>
      <c r="H3360" s="375"/>
      <c r="I3360" s="63"/>
      <c r="J3360" s="47">
        <v>3740</v>
      </c>
      <c r="K3360" s="46" t="s">
        <v>7938</v>
      </c>
      <c r="L3360" s="47"/>
      <c r="M3360" s="47">
        <v>1430.0000000000002</v>
      </c>
      <c r="N3360" s="47" t="s">
        <v>4998</v>
      </c>
      <c r="O3360" s="47" t="s">
        <v>4999</v>
      </c>
      <c r="P3360" s="47"/>
      <c r="Q3360" s="47"/>
      <c r="R3360" s="47"/>
      <c r="S3360" s="47"/>
      <c r="T3360" s="47">
        <v>1420</v>
      </c>
      <c r="U3360" s="47"/>
      <c r="V3360" s="47"/>
      <c r="W3360" s="47"/>
      <c r="X3360" s="47"/>
      <c r="Y3360" s="47"/>
      <c r="Z3360" s="47">
        <v>4620</v>
      </c>
      <c r="AA3360" s="47">
        <v>1400</v>
      </c>
      <c r="AB3360" s="47"/>
      <c r="AC3360" s="47"/>
      <c r="AD3360" s="47"/>
      <c r="AE3360" s="47"/>
      <c r="AF3360" s="47">
        <v>1650</v>
      </c>
      <c r="AG3360" s="47"/>
      <c r="AH3360" s="47" t="s">
        <v>9976</v>
      </c>
      <c r="AI3360" s="47"/>
      <c r="AJ3360" s="47"/>
    </row>
    <row r="3361" spans="1:36">
      <c r="A3361" s="374" t="s">
        <v>4995</v>
      </c>
      <c r="B3361" s="374">
        <v>30</v>
      </c>
      <c r="C3361" s="374" t="s">
        <v>1264</v>
      </c>
      <c r="D3361" s="375" t="str">
        <f t="shared" si="713"/>
        <v>Peppercorn Hill30</v>
      </c>
      <c r="E3361" s="375" t="s">
        <v>10412</v>
      </c>
      <c r="F3361" s="375"/>
      <c r="G3361" s="375"/>
      <c r="H3361" s="375"/>
      <c r="I3361" s="63"/>
      <c r="J3361" s="47">
        <v>3740</v>
      </c>
      <c r="K3361" s="46" t="s">
        <v>7938</v>
      </c>
      <c r="L3361" s="47"/>
      <c r="M3361" s="47">
        <v>1430.0000000000002</v>
      </c>
      <c r="N3361" s="47" t="s">
        <v>4998</v>
      </c>
      <c r="O3361" s="47" t="s">
        <v>4999</v>
      </c>
      <c r="P3361" s="47"/>
      <c r="Q3361" s="47"/>
      <c r="R3361" s="47"/>
      <c r="S3361" s="47"/>
      <c r="T3361" s="47">
        <v>1420</v>
      </c>
      <c r="U3361" s="47"/>
      <c r="V3361" s="47"/>
      <c r="W3361" s="47"/>
      <c r="X3361" s="47"/>
      <c r="Y3361" s="47"/>
      <c r="Z3361" s="47">
        <v>4620</v>
      </c>
      <c r="AA3361" s="47">
        <v>1400</v>
      </c>
      <c r="AB3361" s="47"/>
      <c r="AC3361" s="47"/>
      <c r="AD3361" s="47"/>
      <c r="AE3361" s="47"/>
      <c r="AF3361" s="47">
        <v>1650</v>
      </c>
      <c r="AG3361" s="47"/>
      <c r="AH3361" s="47" t="s">
        <v>9976</v>
      </c>
      <c r="AI3361" s="47"/>
      <c r="AJ3361" s="47"/>
    </row>
    <row r="3362" spans="1:36">
      <c r="A3362" s="374" t="s">
        <v>4995</v>
      </c>
      <c r="B3362" s="374">
        <v>33</v>
      </c>
      <c r="C3362" s="374" t="s">
        <v>1264</v>
      </c>
      <c r="D3362" s="375" t="str">
        <f t="shared" si="713"/>
        <v>Peppercorn Hill33</v>
      </c>
      <c r="E3362" s="375" t="s">
        <v>10253</v>
      </c>
      <c r="F3362" s="375"/>
      <c r="G3362" s="375"/>
      <c r="H3362" s="375"/>
      <c r="I3362" s="63"/>
      <c r="J3362" s="47">
        <v>3740</v>
      </c>
      <c r="K3362" s="46" t="s">
        <v>7938</v>
      </c>
      <c r="L3362" s="47"/>
      <c r="M3362" s="47">
        <v>1430.0000000000002</v>
      </c>
      <c r="N3362" s="47" t="s">
        <v>4998</v>
      </c>
      <c r="O3362" s="47" t="s">
        <v>4999</v>
      </c>
      <c r="P3362" s="47"/>
      <c r="Q3362" s="47"/>
      <c r="R3362" s="47"/>
      <c r="S3362" s="47"/>
      <c r="T3362" s="47">
        <v>1420</v>
      </c>
      <c r="U3362" s="47"/>
      <c r="V3362" s="47"/>
      <c r="W3362" s="47"/>
      <c r="X3362" s="47"/>
      <c r="Y3362" s="47"/>
      <c r="Z3362" s="47">
        <v>4620</v>
      </c>
      <c r="AA3362" s="47">
        <v>1400</v>
      </c>
      <c r="AB3362" s="47"/>
      <c r="AC3362" s="47"/>
      <c r="AD3362" s="47"/>
      <c r="AE3362" s="47"/>
      <c r="AF3362" s="47">
        <v>1650</v>
      </c>
      <c r="AG3362" s="47"/>
      <c r="AH3362" s="47" t="s">
        <v>9976</v>
      </c>
      <c r="AI3362" s="47"/>
      <c r="AJ3362" s="47"/>
    </row>
    <row r="3363" spans="1:36">
      <c r="A3363" s="374" t="s">
        <v>4995</v>
      </c>
      <c r="B3363" s="374">
        <v>34</v>
      </c>
      <c r="C3363" s="374" t="s">
        <v>1264</v>
      </c>
      <c r="D3363" s="375" t="str">
        <f t="shared" si="713"/>
        <v>Peppercorn Hill34</v>
      </c>
      <c r="E3363" s="375" t="s">
        <v>10887</v>
      </c>
      <c r="F3363" s="375"/>
      <c r="G3363" s="375"/>
      <c r="H3363" s="375"/>
      <c r="I3363" s="63"/>
      <c r="J3363" s="47">
        <v>3740</v>
      </c>
      <c r="K3363" s="46" t="s">
        <v>7938</v>
      </c>
      <c r="L3363" s="47"/>
      <c r="M3363" s="47">
        <v>1430.0000000000002</v>
      </c>
      <c r="N3363" s="47" t="s">
        <v>4998</v>
      </c>
      <c r="O3363" s="47" t="s">
        <v>4999</v>
      </c>
      <c r="P3363" s="47"/>
      <c r="Q3363" s="47"/>
      <c r="R3363" s="47"/>
      <c r="S3363" s="47"/>
      <c r="T3363" s="47">
        <v>1420</v>
      </c>
      <c r="U3363" s="47"/>
      <c r="V3363" s="47"/>
      <c r="W3363" s="47"/>
      <c r="X3363" s="47"/>
      <c r="Y3363" s="47"/>
      <c r="Z3363" s="47">
        <v>4620</v>
      </c>
      <c r="AA3363" s="47">
        <v>1400</v>
      </c>
      <c r="AB3363" s="47"/>
      <c r="AC3363" s="47"/>
      <c r="AD3363" s="47"/>
      <c r="AE3363" s="47"/>
      <c r="AF3363" s="47">
        <v>1650</v>
      </c>
      <c r="AG3363" s="47"/>
      <c r="AH3363" s="47" t="s">
        <v>9976</v>
      </c>
      <c r="AI3363" s="47"/>
      <c r="AJ3363" s="47"/>
    </row>
    <row r="3364" spans="1:36">
      <c r="A3364" s="374" t="s">
        <v>4995</v>
      </c>
      <c r="B3364" s="374">
        <v>302</v>
      </c>
      <c r="C3364" s="374" t="s">
        <v>1264</v>
      </c>
      <c r="D3364" s="375" t="str">
        <f t="shared" si="713"/>
        <v>Peppercorn Hill302</v>
      </c>
      <c r="E3364" s="375" t="s">
        <v>10199</v>
      </c>
      <c r="F3364" s="375"/>
      <c r="G3364" s="375"/>
      <c r="H3364" s="375"/>
      <c r="I3364" s="63"/>
      <c r="J3364" s="47">
        <v>3740</v>
      </c>
      <c r="K3364" s="46" t="s">
        <v>7938</v>
      </c>
      <c r="L3364" s="47"/>
      <c r="M3364" s="47">
        <v>1430.0000000000002</v>
      </c>
      <c r="N3364" s="47" t="s">
        <v>4998</v>
      </c>
      <c r="O3364" s="47" t="s">
        <v>4999</v>
      </c>
      <c r="P3364" s="47"/>
      <c r="Q3364" s="47"/>
      <c r="R3364" s="47"/>
      <c r="S3364" s="47"/>
      <c r="T3364" s="47">
        <v>1420</v>
      </c>
      <c r="U3364" s="47"/>
      <c r="V3364" s="47"/>
      <c r="W3364" s="47"/>
      <c r="X3364" s="47"/>
      <c r="Y3364" s="47"/>
      <c r="Z3364" s="47">
        <v>4620</v>
      </c>
      <c r="AA3364" s="47">
        <v>1400</v>
      </c>
      <c r="AB3364" s="47"/>
      <c r="AC3364" s="47"/>
      <c r="AD3364" s="47"/>
      <c r="AE3364" s="47"/>
      <c r="AF3364" s="47">
        <v>1650</v>
      </c>
      <c r="AG3364" s="47"/>
      <c r="AH3364" s="47" t="s">
        <v>9976</v>
      </c>
      <c r="AI3364" s="47"/>
      <c r="AJ3364" s="47"/>
    </row>
    <row r="3365" spans="1:36">
      <c r="A3365" s="374" t="s">
        <v>4995</v>
      </c>
      <c r="B3365" s="374">
        <v>305</v>
      </c>
      <c r="C3365" s="374" t="s">
        <v>1264</v>
      </c>
      <c r="D3365" s="375" t="str">
        <f t="shared" ref="D3365" si="714">CONCATENATE(A3365,B3365)</f>
        <v>Peppercorn Hill305</v>
      </c>
      <c r="E3365" s="375" t="s">
        <v>10888</v>
      </c>
      <c r="F3365" s="375"/>
      <c r="G3365" s="375"/>
      <c r="H3365" s="375"/>
      <c r="I3365" s="63"/>
      <c r="J3365" s="47">
        <v>3740</v>
      </c>
      <c r="K3365" s="46" t="s">
        <v>7938</v>
      </c>
      <c r="L3365" s="47"/>
      <c r="M3365" s="47">
        <v>1430.0000000000002</v>
      </c>
      <c r="N3365" s="47" t="s">
        <v>4998</v>
      </c>
      <c r="O3365" s="47" t="s">
        <v>4999</v>
      </c>
      <c r="P3365" s="47"/>
      <c r="Q3365" s="47"/>
      <c r="R3365" s="47"/>
      <c r="S3365" s="47"/>
      <c r="T3365" s="47">
        <v>1420</v>
      </c>
      <c r="U3365" s="47"/>
      <c r="V3365" s="47"/>
      <c r="W3365" s="47"/>
      <c r="X3365" s="47"/>
      <c r="Y3365" s="47"/>
      <c r="Z3365" s="47">
        <v>4620</v>
      </c>
      <c r="AA3365" s="47">
        <v>1400</v>
      </c>
      <c r="AB3365" s="47"/>
      <c r="AC3365" s="47"/>
      <c r="AD3365" s="47"/>
      <c r="AE3365" s="47"/>
      <c r="AF3365" s="47">
        <v>1650</v>
      </c>
      <c r="AG3365" s="47"/>
      <c r="AH3365" s="47" t="s">
        <v>9976</v>
      </c>
      <c r="AI3365" s="47"/>
      <c r="AJ3365" s="47"/>
    </row>
    <row r="3366" spans="1:36">
      <c r="A3366" s="374" t="s">
        <v>5006</v>
      </c>
      <c r="B3366" s="374">
        <v>6</v>
      </c>
      <c r="C3366" s="374" t="s">
        <v>928</v>
      </c>
      <c r="D3366" s="375" t="str">
        <f t="shared" si="713"/>
        <v>Peppermint Grove Estate6</v>
      </c>
      <c r="E3366" s="375" t="s">
        <v>5007</v>
      </c>
      <c r="F3366" s="375" t="s">
        <v>1414</v>
      </c>
      <c r="G3366" s="375" t="s">
        <v>5008</v>
      </c>
      <c r="H3366" s="375"/>
      <c r="I3366" s="63"/>
      <c r="J3366" s="47"/>
      <c r="K3366" s="46" t="s">
        <v>10735</v>
      </c>
      <c r="L3366" s="47"/>
      <c r="M3366" s="47"/>
      <c r="N3366" s="47"/>
      <c r="O3366" s="47"/>
      <c r="P3366" s="47"/>
      <c r="Q3366" s="47">
        <f>Q$2</f>
        <v>0</v>
      </c>
      <c r="R3366" s="47"/>
      <c r="S3366" s="47"/>
      <c r="T3366" s="47"/>
      <c r="U3366" s="47"/>
      <c r="V3366" s="47"/>
      <c r="W3366" s="47"/>
      <c r="X3366" s="47"/>
      <c r="Y3366" s="47"/>
      <c r="Z3366" s="47">
        <f t="shared" ref="Z3366:Z3399" si="715">Z$7</f>
        <v>4620</v>
      </c>
      <c r="AA3366" s="47"/>
      <c r="AB3366" s="47"/>
      <c r="AC3366" s="47"/>
      <c r="AD3366" s="47"/>
      <c r="AE3366" s="47"/>
      <c r="AF3366" s="47"/>
      <c r="AG3366" s="47"/>
      <c r="AH3366" s="47" t="str">
        <f>IFERROR(_xlfn.XLOOKUP(Table6[[#This Row],[Suburb]],Table5[Travel Surcharge],Table5[$$]),"")</f>
        <v/>
      </c>
      <c r="AI3366" s="47"/>
      <c r="AJ3366" s="47"/>
    </row>
    <row r="3367" spans="1:36">
      <c r="A3367" s="374" t="s">
        <v>5006</v>
      </c>
      <c r="B3367" s="374">
        <v>8</v>
      </c>
      <c r="C3367" s="374" t="s">
        <v>928</v>
      </c>
      <c r="D3367" s="375" t="str">
        <f t="shared" si="713"/>
        <v>Peppermint Grove Estate8</v>
      </c>
      <c r="E3367" s="375" t="s">
        <v>5009</v>
      </c>
      <c r="F3367" s="375" t="s">
        <v>1414</v>
      </c>
      <c r="G3367" s="375" t="s">
        <v>5008</v>
      </c>
      <c r="H3367" s="375"/>
      <c r="I3367" s="63"/>
      <c r="J3367" s="47"/>
      <c r="K3367" s="46" t="s">
        <v>10735</v>
      </c>
      <c r="L3367" s="47"/>
      <c r="M3367" s="47"/>
      <c r="N3367" s="47"/>
      <c r="O3367" s="47"/>
      <c r="P3367" s="47"/>
      <c r="Q3367" s="47">
        <f>Q$2</f>
        <v>0</v>
      </c>
      <c r="R3367" s="47"/>
      <c r="S3367" s="47"/>
      <c r="T3367" s="47"/>
      <c r="U3367" s="47"/>
      <c r="V3367" s="47"/>
      <c r="W3367" s="47"/>
      <c r="X3367" s="47"/>
      <c r="Y3367" s="47"/>
      <c r="Z3367" s="47">
        <f t="shared" si="715"/>
        <v>4620</v>
      </c>
      <c r="AA3367" s="47"/>
      <c r="AB3367" s="47"/>
      <c r="AC3367" s="47"/>
      <c r="AD3367" s="47"/>
      <c r="AE3367" s="47"/>
      <c r="AF3367" s="47"/>
      <c r="AG3367" s="47"/>
      <c r="AH3367" s="47" t="str">
        <f>IFERROR(_xlfn.XLOOKUP(Table6[[#This Row],[Suburb]],Table5[Travel Surcharge],Table5[$$]),"")</f>
        <v/>
      </c>
      <c r="AI3367" s="47"/>
      <c r="AJ3367" s="47"/>
    </row>
    <row r="3368" spans="1:36">
      <c r="A3368" s="374" t="s">
        <v>5006</v>
      </c>
      <c r="B3368" s="374">
        <v>9</v>
      </c>
      <c r="C3368" s="374" t="s">
        <v>928</v>
      </c>
      <c r="D3368" s="375" t="str">
        <f t="shared" si="713"/>
        <v>Peppermint Grove Estate9</v>
      </c>
      <c r="E3368" s="375" t="s">
        <v>5010</v>
      </c>
      <c r="F3368" s="375" t="s">
        <v>1414</v>
      </c>
      <c r="G3368" s="375" t="s">
        <v>5008</v>
      </c>
      <c r="H3368" s="375"/>
      <c r="I3368" s="63"/>
      <c r="J3368" s="47"/>
      <c r="K3368" s="46" t="s">
        <v>10735</v>
      </c>
      <c r="L3368" s="47"/>
      <c r="M3368" s="47"/>
      <c r="N3368" s="47"/>
      <c r="O3368" s="47"/>
      <c r="P3368" s="47"/>
      <c r="Q3368" s="47">
        <f>Q$2</f>
        <v>0</v>
      </c>
      <c r="R3368" s="47"/>
      <c r="S3368" s="47"/>
      <c r="T3368" s="47"/>
      <c r="U3368" s="47"/>
      <c r="V3368" s="47"/>
      <c r="W3368" s="47"/>
      <c r="X3368" s="47"/>
      <c r="Y3368" s="47"/>
      <c r="Z3368" s="47">
        <f t="shared" si="715"/>
        <v>4620</v>
      </c>
      <c r="AA3368" s="47"/>
      <c r="AB3368" s="47"/>
      <c r="AC3368" s="47"/>
      <c r="AD3368" s="47"/>
      <c r="AE3368" s="47"/>
      <c r="AF3368" s="47"/>
      <c r="AG3368" s="47"/>
      <c r="AH3368" s="47" t="str">
        <f>IFERROR(_xlfn.XLOOKUP(Table6[[#This Row],[Suburb]],Table5[Travel Surcharge],Table5[$$]),"")</f>
        <v/>
      </c>
      <c r="AI3368" s="47"/>
      <c r="AJ3368" s="47"/>
    </row>
    <row r="3369" spans="1:36">
      <c r="A3369" s="374" t="s">
        <v>9933</v>
      </c>
      <c r="B3369" s="374">
        <v>1</v>
      </c>
      <c r="C3369" s="374" t="s">
        <v>428</v>
      </c>
      <c r="D3369" s="375" t="str">
        <f>CONCATENATE(A3369,B3369)</f>
        <v>Perch1</v>
      </c>
      <c r="E3369" s="375" t="s">
        <v>9934</v>
      </c>
      <c r="F3369" s="375"/>
      <c r="G3369" s="375"/>
      <c r="H3369" s="375"/>
      <c r="I3369" s="63"/>
      <c r="J3369" s="47">
        <v>3740</v>
      </c>
      <c r="K3369" s="46" t="s">
        <v>10735</v>
      </c>
      <c r="L3369" s="47">
        <v>1200</v>
      </c>
      <c r="M3369" s="47"/>
      <c r="N3369" s="47"/>
      <c r="O3369" s="47">
        <f>O$7</f>
        <v>4950</v>
      </c>
      <c r="P3369" s="47"/>
      <c r="Q3369" s="47"/>
      <c r="R3369" s="47" t="s">
        <v>9938</v>
      </c>
      <c r="S3369" s="47">
        <f>S$2</f>
        <v>590</v>
      </c>
      <c r="T3369" s="47">
        <v>1420</v>
      </c>
      <c r="U3369" s="47"/>
      <c r="V3369" s="47"/>
      <c r="W3369" s="47"/>
      <c r="X3369" s="47"/>
      <c r="Y3369" s="47"/>
      <c r="Z3369" s="47">
        <f>Z$7</f>
        <v>4620</v>
      </c>
      <c r="AA3369" s="47"/>
      <c r="AB3369" s="47"/>
      <c r="AC3369" s="47"/>
      <c r="AD3369" s="47"/>
      <c r="AE3369" s="47"/>
      <c r="AF3369" s="47"/>
      <c r="AG3369" s="47" t="s">
        <v>9937</v>
      </c>
      <c r="AH3369" s="47" t="str">
        <f>IFERROR(_xlfn.XLOOKUP(Table6[[#This Row],[Suburb]],Table5[Travel Surcharge],Table5[$$]),"")</f>
        <v/>
      </c>
      <c r="AI3369" s="47" t="s">
        <v>9935</v>
      </c>
      <c r="AJ3369" s="47" t="s">
        <v>9936</v>
      </c>
    </row>
    <row r="3370" spans="1:36">
      <c r="A3370" s="374" t="s">
        <v>9933</v>
      </c>
      <c r="B3370" s="374">
        <v>2</v>
      </c>
      <c r="C3370" s="374" t="s">
        <v>428</v>
      </c>
      <c r="D3370" s="375" t="str">
        <f>CONCATENATE(A3370,B3370)</f>
        <v>Perch2</v>
      </c>
      <c r="E3370" s="375" t="s">
        <v>10487</v>
      </c>
      <c r="F3370" s="375"/>
      <c r="G3370" s="375"/>
      <c r="H3370" s="375"/>
      <c r="I3370" s="63"/>
      <c r="J3370" s="47">
        <v>3740</v>
      </c>
      <c r="K3370" s="46" t="s">
        <v>10735</v>
      </c>
      <c r="L3370" s="47">
        <v>1200</v>
      </c>
      <c r="M3370" s="47"/>
      <c r="N3370" s="47"/>
      <c r="O3370" s="47">
        <v>4950</v>
      </c>
      <c r="P3370" s="47"/>
      <c r="Q3370" s="47"/>
      <c r="R3370" s="47" t="s">
        <v>9938</v>
      </c>
      <c r="S3370" s="47">
        <v>590</v>
      </c>
      <c r="T3370" s="47">
        <v>1420</v>
      </c>
      <c r="U3370" s="47"/>
      <c r="V3370" s="47"/>
      <c r="W3370" s="47"/>
      <c r="X3370" s="47"/>
      <c r="Y3370" s="47"/>
      <c r="Z3370" s="47">
        <v>4620</v>
      </c>
      <c r="AA3370" s="47"/>
      <c r="AB3370" s="47"/>
      <c r="AC3370" s="47"/>
      <c r="AD3370" s="47"/>
      <c r="AE3370" s="47"/>
      <c r="AF3370" s="47"/>
      <c r="AG3370" s="47" t="s">
        <v>9937</v>
      </c>
      <c r="AH3370" s="47" t="s">
        <v>9976</v>
      </c>
      <c r="AI3370" s="47" t="s">
        <v>9935</v>
      </c>
      <c r="AJ3370" s="47" t="s">
        <v>9936</v>
      </c>
    </row>
    <row r="3371" spans="1:36">
      <c r="A3371" s="374" t="s">
        <v>5011</v>
      </c>
      <c r="B3371" s="374">
        <v>1</v>
      </c>
      <c r="C3371" s="374" t="s">
        <v>5012</v>
      </c>
      <c r="D3371" s="375" t="str">
        <f t="shared" si="713"/>
        <v>Phalaris Park1</v>
      </c>
      <c r="E3371" s="375" t="s">
        <v>5013</v>
      </c>
      <c r="F3371" s="375" t="s">
        <v>5014</v>
      </c>
      <c r="G3371" s="375" t="s">
        <v>3376</v>
      </c>
      <c r="H3371" s="375" t="s">
        <v>3377</v>
      </c>
      <c r="I3371" s="63" t="s">
        <v>5015</v>
      </c>
      <c r="J3371" s="47"/>
      <c r="K3371" s="46" t="s">
        <v>10735</v>
      </c>
      <c r="L3371" s="47"/>
      <c r="M3371" s="47"/>
      <c r="N3371" s="47"/>
      <c r="O3371" s="47"/>
      <c r="P3371" s="47"/>
      <c r="Q3371" s="47">
        <f>Q$2</f>
        <v>0</v>
      </c>
      <c r="R3371" s="47"/>
      <c r="S3371" s="47"/>
      <c r="T3371" s="47"/>
      <c r="U3371" s="47"/>
      <c r="V3371" s="47"/>
      <c r="W3371" s="47"/>
      <c r="X3371" s="47"/>
      <c r="Y3371" s="47"/>
      <c r="Z3371" s="47">
        <f t="shared" si="715"/>
        <v>4620</v>
      </c>
      <c r="AA3371" s="47"/>
      <c r="AB3371" s="47"/>
      <c r="AC3371" s="47"/>
      <c r="AD3371" s="47"/>
      <c r="AE3371" s="47"/>
      <c r="AF3371" s="47"/>
      <c r="AG3371" s="47"/>
      <c r="AH3371" s="47" t="str">
        <f>IFERROR(_xlfn.XLOOKUP(Table6[[#This Row],[Suburb]],Table5[Travel Surcharge],Table5[$$]),"")</f>
        <v/>
      </c>
      <c r="AI3371" s="47"/>
      <c r="AJ3371" s="47"/>
    </row>
    <row r="3372" spans="1:36">
      <c r="A3372" s="374" t="s">
        <v>5011</v>
      </c>
      <c r="B3372" s="374">
        <v>11</v>
      </c>
      <c r="C3372" s="374" t="s">
        <v>5012</v>
      </c>
      <c r="D3372" s="375" t="str">
        <f t="shared" si="713"/>
        <v>Phalaris Park11</v>
      </c>
      <c r="E3372" s="375" t="s">
        <v>5016</v>
      </c>
      <c r="F3372" s="375" t="s">
        <v>5014</v>
      </c>
      <c r="G3372" s="375" t="s">
        <v>3376</v>
      </c>
      <c r="H3372" s="375" t="s">
        <v>3377</v>
      </c>
      <c r="I3372" s="63" t="s">
        <v>5015</v>
      </c>
      <c r="J3372" s="47"/>
      <c r="K3372" s="46" t="s">
        <v>10735</v>
      </c>
      <c r="L3372" s="47"/>
      <c r="M3372" s="47"/>
      <c r="N3372" s="47"/>
      <c r="O3372" s="47"/>
      <c r="P3372" s="47"/>
      <c r="Q3372" s="47">
        <f>Q$2</f>
        <v>0</v>
      </c>
      <c r="R3372" s="47"/>
      <c r="S3372" s="47"/>
      <c r="T3372" s="47"/>
      <c r="U3372" s="47"/>
      <c r="V3372" s="47"/>
      <c r="W3372" s="47"/>
      <c r="X3372" s="47"/>
      <c r="Y3372" s="47"/>
      <c r="Z3372" s="47">
        <f t="shared" si="715"/>
        <v>4620</v>
      </c>
      <c r="AA3372" s="47"/>
      <c r="AB3372" s="47"/>
      <c r="AC3372" s="47"/>
      <c r="AD3372" s="47"/>
      <c r="AE3372" s="47"/>
      <c r="AF3372" s="47"/>
      <c r="AG3372" s="47"/>
      <c r="AH3372" s="47" t="str">
        <f>IFERROR(_xlfn.XLOOKUP(Table6[[#This Row],[Suburb]],Table5[Travel Surcharge],Table5[$$]),"")</f>
        <v/>
      </c>
      <c r="AI3372" s="47"/>
      <c r="AJ3372" s="47"/>
    </row>
    <row r="3373" spans="1:36">
      <c r="A3373" s="374" t="s">
        <v>5017</v>
      </c>
      <c r="B3373" s="374">
        <v>1</v>
      </c>
      <c r="C3373" s="374" t="s">
        <v>292</v>
      </c>
      <c r="D3373" s="375" t="str">
        <f t="shared" si="713"/>
        <v>Pinnacle Estate1</v>
      </c>
      <c r="E3373" s="375" t="s">
        <v>5018</v>
      </c>
      <c r="F3373" s="375"/>
      <c r="G3373" s="375"/>
      <c r="H3373" s="375"/>
      <c r="I3373" s="63"/>
      <c r="J3373" s="47"/>
      <c r="K3373" s="46" t="s">
        <v>10735</v>
      </c>
      <c r="L3373" s="47"/>
      <c r="M3373" s="47">
        <f t="shared" ref="M3373:M3384" si="716">M$7</f>
        <v>1430.0000000000002</v>
      </c>
      <c r="N3373" s="47" t="s">
        <v>5019</v>
      </c>
      <c r="O3373" s="47">
        <f t="shared" ref="O3373:O3384" si="717">O$7</f>
        <v>4950</v>
      </c>
      <c r="P3373" s="47"/>
      <c r="Q3373" s="47"/>
      <c r="R3373" s="47"/>
      <c r="S3373" s="47" t="s">
        <v>5020</v>
      </c>
      <c r="T3373" s="47"/>
      <c r="U3373" s="47">
        <f t="shared" ref="U3373:U3384" si="718">U$2</f>
        <v>430</v>
      </c>
      <c r="V3373" s="47"/>
      <c r="W3373" s="47"/>
      <c r="X3373" s="47"/>
      <c r="Y3373" s="47"/>
      <c r="Z3373" s="47">
        <f t="shared" si="715"/>
        <v>4620</v>
      </c>
      <c r="AA3373" s="47">
        <f t="shared" ref="AA3373:AA3384" si="719">AA$7</f>
        <v>1400</v>
      </c>
      <c r="AB3373" s="47"/>
      <c r="AC3373" s="47"/>
      <c r="AD3373" s="47"/>
      <c r="AE3373" s="47"/>
      <c r="AF3373" s="47">
        <f t="shared" ref="AF3373:AF3384" si="720">AF$7</f>
        <v>1485</v>
      </c>
      <c r="AG3373" s="47" t="s">
        <v>5021</v>
      </c>
      <c r="AH3373" s="47">
        <f>IFERROR(_xlfn.XLOOKUP(Table6[[#This Row],[Suburb]],Table5[Travel Surcharge],Table5[$$]),"")</f>
        <v>8000</v>
      </c>
      <c r="AI3373" s="47"/>
      <c r="AJ3373" s="47">
        <f t="shared" ref="AJ3373:AJ3384" si="721">AJ$7</f>
        <v>4400</v>
      </c>
    </row>
    <row r="3374" spans="1:36">
      <c r="A3374" s="374" t="s">
        <v>5017</v>
      </c>
      <c r="B3374" s="374">
        <v>2</v>
      </c>
      <c r="C3374" s="374" t="s">
        <v>292</v>
      </c>
      <c r="D3374" s="375" t="str">
        <f t="shared" si="713"/>
        <v>Pinnacle Estate2</v>
      </c>
      <c r="E3374" s="375" t="s">
        <v>5022</v>
      </c>
      <c r="F3374" s="375"/>
      <c r="G3374" s="375"/>
      <c r="H3374" s="375"/>
      <c r="I3374" s="63"/>
      <c r="J3374" s="47"/>
      <c r="K3374" s="46" t="s">
        <v>10735</v>
      </c>
      <c r="L3374" s="47"/>
      <c r="M3374" s="47">
        <f t="shared" si="716"/>
        <v>1430.0000000000002</v>
      </c>
      <c r="N3374" s="47" t="s">
        <v>5019</v>
      </c>
      <c r="O3374" s="47">
        <f t="shared" si="717"/>
        <v>4950</v>
      </c>
      <c r="P3374" s="47"/>
      <c r="Q3374" s="47"/>
      <c r="R3374" s="47"/>
      <c r="S3374" s="47" t="s">
        <v>5020</v>
      </c>
      <c r="T3374" s="47"/>
      <c r="U3374" s="47">
        <f t="shared" si="718"/>
        <v>430</v>
      </c>
      <c r="V3374" s="47"/>
      <c r="W3374" s="47"/>
      <c r="X3374" s="47"/>
      <c r="Y3374" s="47"/>
      <c r="Z3374" s="47">
        <f t="shared" si="715"/>
        <v>4620</v>
      </c>
      <c r="AA3374" s="47">
        <f t="shared" si="719"/>
        <v>1400</v>
      </c>
      <c r="AB3374" s="47"/>
      <c r="AC3374" s="47"/>
      <c r="AD3374" s="47"/>
      <c r="AE3374" s="47"/>
      <c r="AF3374" s="47">
        <f t="shared" si="720"/>
        <v>1485</v>
      </c>
      <c r="AG3374" s="47" t="s">
        <v>5021</v>
      </c>
      <c r="AH3374" s="47">
        <f>IFERROR(_xlfn.XLOOKUP(Table6[[#This Row],[Suburb]],Table5[Travel Surcharge],Table5[$$]),"")</f>
        <v>8000</v>
      </c>
      <c r="AI3374" s="47"/>
      <c r="AJ3374" s="47">
        <f t="shared" si="721"/>
        <v>4400</v>
      </c>
    </row>
    <row r="3375" spans="1:36">
      <c r="A3375" s="374" t="s">
        <v>5017</v>
      </c>
      <c r="B3375" s="374">
        <v>3</v>
      </c>
      <c r="C3375" s="374" t="s">
        <v>292</v>
      </c>
      <c r="D3375" s="375" t="str">
        <f t="shared" si="713"/>
        <v>Pinnacle Estate3</v>
      </c>
      <c r="E3375" s="375" t="s">
        <v>5023</v>
      </c>
      <c r="F3375" s="375"/>
      <c r="G3375" s="375"/>
      <c r="H3375" s="375"/>
      <c r="I3375" s="63"/>
      <c r="J3375" s="47"/>
      <c r="K3375" s="46" t="s">
        <v>10735</v>
      </c>
      <c r="L3375" s="47"/>
      <c r="M3375" s="47">
        <f t="shared" si="716"/>
        <v>1430.0000000000002</v>
      </c>
      <c r="N3375" s="47" t="s">
        <v>5019</v>
      </c>
      <c r="O3375" s="47">
        <f t="shared" si="717"/>
        <v>4950</v>
      </c>
      <c r="P3375" s="47"/>
      <c r="Q3375" s="47"/>
      <c r="R3375" s="47"/>
      <c r="S3375" s="47" t="s">
        <v>5020</v>
      </c>
      <c r="T3375" s="47"/>
      <c r="U3375" s="47">
        <f t="shared" si="718"/>
        <v>430</v>
      </c>
      <c r="V3375" s="47"/>
      <c r="W3375" s="47"/>
      <c r="X3375" s="47"/>
      <c r="Y3375" s="47"/>
      <c r="Z3375" s="47">
        <f t="shared" si="715"/>
        <v>4620</v>
      </c>
      <c r="AA3375" s="47">
        <f t="shared" si="719"/>
        <v>1400</v>
      </c>
      <c r="AB3375" s="47"/>
      <c r="AC3375" s="47"/>
      <c r="AD3375" s="47"/>
      <c r="AE3375" s="47"/>
      <c r="AF3375" s="47">
        <f t="shared" si="720"/>
        <v>1485</v>
      </c>
      <c r="AG3375" s="47" t="s">
        <v>5021</v>
      </c>
      <c r="AH3375" s="47">
        <f>IFERROR(_xlfn.XLOOKUP(Table6[[#This Row],[Suburb]],Table5[Travel Surcharge],Table5[$$]),"")</f>
        <v>8000</v>
      </c>
      <c r="AI3375" s="47"/>
      <c r="AJ3375" s="47">
        <f t="shared" si="721"/>
        <v>4400</v>
      </c>
    </row>
    <row r="3376" spans="1:36">
      <c r="A3376" s="374" t="s">
        <v>5017</v>
      </c>
      <c r="B3376" s="374">
        <v>4</v>
      </c>
      <c r="C3376" s="374" t="s">
        <v>292</v>
      </c>
      <c r="D3376" s="375" t="str">
        <f t="shared" si="713"/>
        <v>Pinnacle Estate4</v>
      </c>
      <c r="E3376" s="375" t="s">
        <v>5024</v>
      </c>
      <c r="F3376" s="375"/>
      <c r="G3376" s="375"/>
      <c r="H3376" s="375"/>
      <c r="I3376" s="63"/>
      <c r="J3376" s="47"/>
      <c r="K3376" s="46" t="s">
        <v>10735</v>
      </c>
      <c r="L3376" s="47"/>
      <c r="M3376" s="47">
        <f t="shared" si="716"/>
        <v>1430.0000000000002</v>
      </c>
      <c r="N3376" s="47" t="s">
        <v>5019</v>
      </c>
      <c r="O3376" s="47">
        <f t="shared" si="717"/>
        <v>4950</v>
      </c>
      <c r="P3376" s="47"/>
      <c r="Q3376" s="47"/>
      <c r="R3376" s="47"/>
      <c r="S3376" s="47" t="s">
        <v>5020</v>
      </c>
      <c r="T3376" s="47"/>
      <c r="U3376" s="47">
        <f t="shared" si="718"/>
        <v>430</v>
      </c>
      <c r="V3376" s="47"/>
      <c r="W3376" s="47"/>
      <c r="X3376" s="47"/>
      <c r="Y3376" s="47"/>
      <c r="Z3376" s="47">
        <f t="shared" si="715"/>
        <v>4620</v>
      </c>
      <c r="AA3376" s="47">
        <f t="shared" si="719"/>
        <v>1400</v>
      </c>
      <c r="AB3376" s="47"/>
      <c r="AC3376" s="47"/>
      <c r="AD3376" s="47"/>
      <c r="AE3376" s="47"/>
      <c r="AF3376" s="47">
        <f t="shared" si="720"/>
        <v>1485</v>
      </c>
      <c r="AG3376" s="47" t="s">
        <v>5021</v>
      </c>
      <c r="AH3376" s="47">
        <f>IFERROR(_xlfn.XLOOKUP(Table6[[#This Row],[Suburb]],Table5[Travel Surcharge],Table5[$$]),"")</f>
        <v>8000</v>
      </c>
      <c r="AI3376" s="47"/>
      <c r="AJ3376" s="47">
        <f t="shared" si="721"/>
        <v>4400</v>
      </c>
    </row>
    <row r="3377" spans="1:36">
      <c r="A3377" s="374" t="s">
        <v>5017</v>
      </c>
      <c r="B3377" s="374">
        <v>5</v>
      </c>
      <c r="C3377" s="374" t="s">
        <v>292</v>
      </c>
      <c r="D3377" s="375" t="str">
        <f t="shared" si="713"/>
        <v>Pinnacle Estate5</v>
      </c>
      <c r="E3377" s="375" t="s">
        <v>5025</v>
      </c>
      <c r="F3377" s="375"/>
      <c r="G3377" s="375"/>
      <c r="H3377" s="375"/>
      <c r="I3377" s="63"/>
      <c r="J3377" s="47"/>
      <c r="K3377" s="46" t="s">
        <v>10735</v>
      </c>
      <c r="L3377" s="47"/>
      <c r="M3377" s="47">
        <f t="shared" si="716"/>
        <v>1430.0000000000002</v>
      </c>
      <c r="N3377" s="47" t="s">
        <v>5019</v>
      </c>
      <c r="O3377" s="47">
        <f t="shared" si="717"/>
        <v>4950</v>
      </c>
      <c r="P3377" s="47"/>
      <c r="Q3377" s="47"/>
      <c r="R3377" s="47"/>
      <c r="S3377" s="47" t="s">
        <v>5020</v>
      </c>
      <c r="T3377" s="47"/>
      <c r="U3377" s="47">
        <f t="shared" si="718"/>
        <v>430</v>
      </c>
      <c r="V3377" s="47"/>
      <c r="W3377" s="47"/>
      <c r="X3377" s="47"/>
      <c r="Y3377" s="47"/>
      <c r="Z3377" s="47">
        <f t="shared" si="715"/>
        <v>4620</v>
      </c>
      <c r="AA3377" s="47">
        <f t="shared" si="719"/>
        <v>1400</v>
      </c>
      <c r="AB3377" s="47"/>
      <c r="AC3377" s="47"/>
      <c r="AD3377" s="47"/>
      <c r="AE3377" s="47"/>
      <c r="AF3377" s="47">
        <f t="shared" si="720"/>
        <v>1485</v>
      </c>
      <c r="AG3377" s="47" t="s">
        <v>5021</v>
      </c>
      <c r="AH3377" s="47">
        <f>IFERROR(_xlfn.XLOOKUP(Table6[[#This Row],[Suburb]],Table5[Travel Surcharge],Table5[$$]),"")</f>
        <v>8000</v>
      </c>
      <c r="AI3377" s="47"/>
      <c r="AJ3377" s="47">
        <f t="shared" si="721"/>
        <v>4400</v>
      </c>
    </row>
    <row r="3378" spans="1:36">
      <c r="A3378" s="374" t="s">
        <v>5017</v>
      </c>
      <c r="B3378" s="374">
        <v>8</v>
      </c>
      <c r="C3378" s="374" t="s">
        <v>292</v>
      </c>
      <c r="D3378" s="375" t="str">
        <f t="shared" si="713"/>
        <v>Pinnacle Estate8</v>
      </c>
      <c r="E3378" s="375" t="s">
        <v>5029</v>
      </c>
      <c r="F3378" s="375"/>
      <c r="G3378" s="375"/>
      <c r="H3378" s="375"/>
      <c r="I3378" s="63"/>
      <c r="J3378" s="47"/>
      <c r="K3378" s="46" t="s">
        <v>10735</v>
      </c>
      <c r="L3378" s="47"/>
      <c r="M3378" s="47">
        <f t="shared" si="716"/>
        <v>1430.0000000000002</v>
      </c>
      <c r="N3378" s="47" t="s">
        <v>5019</v>
      </c>
      <c r="O3378" s="47">
        <f t="shared" si="717"/>
        <v>4950</v>
      </c>
      <c r="P3378" s="47"/>
      <c r="Q3378" s="47"/>
      <c r="R3378" s="47"/>
      <c r="S3378" s="47" t="s">
        <v>5020</v>
      </c>
      <c r="T3378" s="47"/>
      <c r="U3378" s="47">
        <f t="shared" si="718"/>
        <v>430</v>
      </c>
      <c r="V3378" s="47"/>
      <c r="W3378" s="47"/>
      <c r="X3378" s="47"/>
      <c r="Y3378" s="47"/>
      <c r="Z3378" s="47">
        <f t="shared" si="715"/>
        <v>4620</v>
      </c>
      <c r="AA3378" s="47">
        <f t="shared" si="719"/>
        <v>1400</v>
      </c>
      <c r="AB3378" s="47"/>
      <c r="AC3378" s="47"/>
      <c r="AD3378" s="47"/>
      <c r="AE3378" s="47"/>
      <c r="AF3378" s="47">
        <f t="shared" si="720"/>
        <v>1485</v>
      </c>
      <c r="AG3378" s="47" t="s">
        <v>5021</v>
      </c>
      <c r="AH3378" s="47">
        <f>IFERROR(_xlfn.XLOOKUP(Table6[[#This Row],[Suburb]],Table5[Travel Surcharge],Table5[$$]),"")</f>
        <v>8000</v>
      </c>
      <c r="AI3378" s="47"/>
      <c r="AJ3378" s="47">
        <f t="shared" si="721"/>
        <v>4400</v>
      </c>
    </row>
    <row r="3379" spans="1:36">
      <c r="A3379" s="374" t="s">
        <v>5017</v>
      </c>
      <c r="B3379" s="374">
        <v>9</v>
      </c>
      <c r="C3379" s="374" t="s">
        <v>292</v>
      </c>
      <c r="D3379" s="375" t="str">
        <f t="shared" si="713"/>
        <v>Pinnacle Estate9</v>
      </c>
      <c r="E3379" s="375" t="s">
        <v>5030</v>
      </c>
      <c r="F3379" s="375"/>
      <c r="G3379" s="375"/>
      <c r="H3379" s="375"/>
      <c r="I3379" s="63"/>
      <c r="J3379" s="47"/>
      <c r="K3379" s="46" t="s">
        <v>10735</v>
      </c>
      <c r="L3379" s="47"/>
      <c r="M3379" s="47">
        <f t="shared" si="716"/>
        <v>1430.0000000000002</v>
      </c>
      <c r="N3379" s="47" t="s">
        <v>5019</v>
      </c>
      <c r="O3379" s="47">
        <f t="shared" si="717"/>
        <v>4950</v>
      </c>
      <c r="P3379" s="47"/>
      <c r="Q3379" s="47"/>
      <c r="R3379" s="47"/>
      <c r="S3379" s="47" t="s">
        <v>5020</v>
      </c>
      <c r="T3379" s="47"/>
      <c r="U3379" s="47">
        <f t="shared" si="718"/>
        <v>430</v>
      </c>
      <c r="V3379" s="47"/>
      <c r="W3379" s="47"/>
      <c r="X3379" s="47"/>
      <c r="Y3379" s="47"/>
      <c r="Z3379" s="47">
        <f t="shared" si="715"/>
        <v>4620</v>
      </c>
      <c r="AA3379" s="47">
        <f t="shared" si="719"/>
        <v>1400</v>
      </c>
      <c r="AB3379" s="47"/>
      <c r="AC3379" s="47"/>
      <c r="AD3379" s="47"/>
      <c r="AE3379" s="47"/>
      <c r="AF3379" s="47">
        <f t="shared" si="720"/>
        <v>1485</v>
      </c>
      <c r="AG3379" s="47" t="s">
        <v>5021</v>
      </c>
      <c r="AH3379" s="47">
        <f>IFERROR(_xlfn.XLOOKUP(Table6[[#This Row],[Suburb]],Table5[Travel Surcharge],Table5[$$]),"")</f>
        <v>8000</v>
      </c>
      <c r="AI3379" s="47"/>
      <c r="AJ3379" s="47">
        <f t="shared" si="721"/>
        <v>4400</v>
      </c>
    </row>
    <row r="3380" spans="1:36">
      <c r="A3380" s="374" t="s">
        <v>5017</v>
      </c>
      <c r="B3380" s="374">
        <v>11</v>
      </c>
      <c r="C3380" s="374" t="s">
        <v>292</v>
      </c>
      <c r="D3380" s="375" t="str">
        <f t="shared" si="713"/>
        <v>Pinnacle Estate11</v>
      </c>
      <c r="E3380" s="375" t="s">
        <v>5033</v>
      </c>
      <c r="F3380" s="375"/>
      <c r="G3380" s="375"/>
      <c r="H3380" s="375"/>
      <c r="I3380" s="63"/>
      <c r="J3380" s="47"/>
      <c r="K3380" s="46" t="s">
        <v>10735</v>
      </c>
      <c r="L3380" s="47"/>
      <c r="M3380" s="47">
        <f t="shared" si="716"/>
        <v>1430.0000000000002</v>
      </c>
      <c r="N3380" s="47" t="s">
        <v>5019</v>
      </c>
      <c r="O3380" s="47">
        <f t="shared" si="717"/>
        <v>4950</v>
      </c>
      <c r="P3380" s="47"/>
      <c r="Q3380" s="47"/>
      <c r="R3380" s="47"/>
      <c r="S3380" s="47" t="s">
        <v>5020</v>
      </c>
      <c r="T3380" s="47"/>
      <c r="U3380" s="47">
        <f t="shared" si="718"/>
        <v>430</v>
      </c>
      <c r="V3380" s="47"/>
      <c r="W3380" s="47"/>
      <c r="X3380" s="47"/>
      <c r="Y3380" s="47"/>
      <c r="Z3380" s="47">
        <f t="shared" si="715"/>
        <v>4620</v>
      </c>
      <c r="AA3380" s="47">
        <f t="shared" si="719"/>
        <v>1400</v>
      </c>
      <c r="AB3380" s="47"/>
      <c r="AC3380" s="47"/>
      <c r="AD3380" s="47"/>
      <c r="AE3380" s="47"/>
      <c r="AF3380" s="47">
        <f t="shared" si="720"/>
        <v>1485</v>
      </c>
      <c r="AG3380" s="47" t="s">
        <v>5021</v>
      </c>
      <c r="AH3380" s="47">
        <f>IFERROR(_xlfn.XLOOKUP(Table6[[#This Row],[Suburb]],Table5[Travel Surcharge],Table5[$$]),"")</f>
        <v>8000</v>
      </c>
      <c r="AI3380" s="47"/>
      <c r="AJ3380" s="47">
        <f t="shared" si="721"/>
        <v>4400</v>
      </c>
    </row>
    <row r="3381" spans="1:36">
      <c r="A3381" s="374" t="s">
        <v>5017</v>
      </c>
      <c r="B3381" s="374" t="s">
        <v>754</v>
      </c>
      <c r="C3381" s="374" t="s">
        <v>292</v>
      </c>
      <c r="D3381" s="375" t="str">
        <f t="shared" si="713"/>
        <v>Pinnacle Estate10A</v>
      </c>
      <c r="E3381" s="375" t="s">
        <v>5031</v>
      </c>
      <c r="F3381" s="375"/>
      <c r="G3381" s="375"/>
      <c r="H3381" s="375"/>
      <c r="I3381" s="63"/>
      <c r="J3381" s="47"/>
      <c r="K3381" s="46" t="s">
        <v>10735</v>
      </c>
      <c r="L3381" s="47"/>
      <c r="M3381" s="47">
        <f t="shared" si="716"/>
        <v>1430.0000000000002</v>
      </c>
      <c r="N3381" s="47" t="s">
        <v>5019</v>
      </c>
      <c r="O3381" s="47">
        <f t="shared" si="717"/>
        <v>4950</v>
      </c>
      <c r="P3381" s="47" t="s">
        <v>5032</v>
      </c>
      <c r="Q3381" s="47"/>
      <c r="R3381" s="47"/>
      <c r="S3381" s="47" t="s">
        <v>5020</v>
      </c>
      <c r="T3381" s="47"/>
      <c r="U3381" s="47">
        <f t="shared" si="718"/>
        <v>430</v>
      </c>
      <c r="V3381" s="47"/>
      <c r="W3381" s="47"/>
      <c r="X3381" s="47"/>
      <c r="Y3381" s="47"/>
      <c r="Z3381" s="47">
        <f t="shared" si="715"/>
        <v>4620</v>
      </c>
      <c r="AA3381" s="47">
        <f t="shared" si="719"/>
        <v>1400</v>
      </c>
      <c r="AB3381" s="47"/>
      <c r="AC3381" s="47"/>
      <c r="AD3381" s="47"/>
      <c r="AE3381" s="47"/>
      <c r="AF3381" s="47">
        <f t="shared" si="720"/>
        <v>1485</v>
      </c>
      <c r="AG3381" s="47" t="s">
        <v>5021</v>
      </c>
      <c r="AH3381" s="47">
        <f>IFERROR(_xlfn.XLOOKUP(Table6[[#This Row],[Suburb]],Table5[Travel Surcharge],Table5[$$]),"")</f>
        <v>8000</v>
      </c>
      <c r="AI3381" s="47"/>
      <c r="AJ3381" s="47">
        <f t="shared" si="721"/>
        <v>4400</v>
      </c>
    </row>
    <row r="3382" spans="1:36">
      <c r="A3382" s="374" t="s">
        <v>5017</v>
      </c>
      <c r="B3382" s="374" t="s">
        <v>622</v>
      </c>
      <c r="C3382" s="374" t="s">
        <v>292</v>
      </c>
      <c r="D3382" s="375" t="str">
        <f t="shared" si="713"/>
        <v>Pinnacle Estate6A</v>
      </c>
      <c r="E3382" s="375" t="s">
        <v>5026</v>
      </c>
      <c r="F3382" s="375"/>
      <c r="G3382" s="375"/>
      <c r="H3382" s="375"/>
      <c r="I3382" s="63"/>
      <c r="J3382" s="47"/>
      <c r="K3382" s="46" t="s">
        <v>10735</v>
      </c>
      <c r="L3382" s="47"/>
      <c r="M3382" s="47">
        <f t="shared" si="716"/>
        <v>1430.0000000000002</v>
      </c>
      <c r="N3382" s="47" t="s">
        <v>5019</v>
      </c>
      <c r="O3382" s="47">
        <f t="shared" si="717"/>
        <v>4950</v>
      </c>
      <c r="P3382" s="47"/>
      <c r="Q3382" s="47"/>
      <c r="R3382" s="47"/>
      <c r="S3382" s="47" t="s">
        <v>5020</v>
      </c>
      <c r="T3382" s="47"/>
      <c r="U3382" s="47">
        <f t="shared" si="718"/>
        <v>430</v>
      </c>
      <c r="V3382" s="47"/>
      <c r="W3382" s="47"/>
      <c r="X3382" s="47"/>
      <c r="Y3382" s="47"/>
      <c r="Z3382" s="47">
        <f t="shared" si="715"/>
        <v>4620</v>
      </c>
      <c r="AA3382" s="47">
        <f t="shared" si="719"/>
        <v>1400</v>
      </c>
      <c r="AB3382" s="47"/>
      <c r="AC3382" s="47"/>
      <c r="AD3382" s="47"/>
      <c r="AE3382" s="47"/>
      <c r="AF3382" s="47">
        <f t="shared" si="720"/>
        <v>1485</v>
      </c>
      <c r="AG3382" s="47" t="s">
        <v>5021</v>
      </c>
      <c r="AH3382" s="47">
        <f>IFERROR(_xlfn.XLOOKUP(Table6[[#This Row],[Suburb]],Table5[Travel Surcharge],Table5[$$]),"")</f>
        <v>8000</v>
      </c>
      <c r="AI3382" s="47"/>
      <c r="AJ3382" s="47">
        <f t="shared" si="721"/>
        <v>4400</v>
      </c>
    </row>
    <row r="3383" spans="1:36">
      <c r="A3383" s="374" t="s">
        <v>5017</v>
      </c>
      <c r="B3383" s="374" t="s">
        <v>1488</v>
      </c>
      <c r="C3383" s="374" t="s">
        <v>292</v>
      </c>
      <c r="D3383" s="375" t="str">
        <f t="shared" si="713"/>
        <v>Pinnacle Estate7A</v>
      </c>
      <c r="E3383" s="375" t="s">
        <v>5027</v>
      </c>
      <c r="F3383" s="375"/>
      <c r="G3383" s="375"/>
      <c r="H3383" s="375"/>
      <c r="I3383" s="63"/>
      <c r="J3383" s="47"/>
      <c r="K3383" s="46" t="s">
        <v>10735</v>
      </c>
      <c r="L3383" s="47"/>
      <c r="M3383" s="47">
        <f t="shared" si="716"/>
        <v>1430.0000000000002</v>
      </c>
      <c r="N3383" s="47" t="s">
        <v>5019</v>
      </c>
      <c r="O3383" s="47">
        <f t="shared" si="717"/>
        <v>4950</v>
      </c>
      <c r="P3383" s="47"/>
      <c r="Q3383" s="47"/>
      <c r="R3383" s="47"/>
      <c r="S3383" s="47" t="s">
        <v>5020</v>
      </c>
      <c r="T3383" s="47"/>
      <c r="U3383" s="47">
        <f t="shared" si="718"/>
        <v>430</v>
      </c>
      <c r="V3383" s="47"/>
      <c r="W3383" s="47"/>
      <c r="X3383" s="47"/>
      <c r="Y3383" s="47"/>
      <c r="Z3383" s="47">
        <f t="shared" si="715"/>
        <v>4620</v>
      </c>
      <c r="AA3383" s="47">
        <f t="shared" si="719"/>
        <v>1400</v>
      </c>
      <c r="AB3383" s="47"/>
      <c r="AC3383" s="47"/>
      <c r="AD3383" s="47"/>
      <c r="AE3383" s="47"/>
      <c r="AF3383" s="47">
        <f t="shared" si="720"/>
        <v>1485</v>
      </c>
      <c r="AG3383" s="47" t="s">
        <v>5021</v>
      </c>
      <c r="AH3383" s="47">
        <f>IFERROR(_xlfn.XLOOKUP(Table6[[#This Row],[Suburb]],Table5[Travel Surcharge],Table5[$$]),"")</f>
        <v>8000</v>
      </c>
      <c r="AI3383" s="47"/>
      <c r="AJ3383" s="47">
        <f t="shared" si="721"/>
        <v>4400</v>
      </c>
    </row>
    <row r="3384" spans="1:36">
      <c r="A3384" s="374" t="s">
        <v>5017</v>
      </c>
      <c r="B3384" s="374" t="s">
        <v>1630</v>
      </c>
      <c r="C3384" s="374" t="s">
        <v>292</v>
      </c>
      <c r="D3384" s="375" t="str">
        <f t="shared" si="713"/>
        <v>Pinnacle Estate7B</v>
      </c>
      <c r="E3384" s="375" t="s">
        <v>5028</v>
      </c>
      <c r="F3384" s="375"/>
      <c r="G3384" s="375"/>
      <c r="H3384" s="375"/>
      <c r="I3384" s="63"/>
      <c r="J3384" s="47"/>
      <c r="K3384" s="46" t="s">
        <v>10735</v>
      </c>
      <c r="L3384" s="47"/>
      <c r="M3384" s="47">
        <f t="shared" si="716"/>
        <v>1430.0000000000002</v>
      </c>
      <c r="N3384" s="47" t="s">
        <v>5019</v>
      </c>
      <c r="O3384" s="47">
        <f t="shared" si="717"/>
        <v>4950</v>
      </c>
      <c r="P3384" s="47"/>
      <c r="Q3384" s="47"/>
      <c r="R3384" s="47"/>
      <c r="S3384" s="47" t="s">
        <v>5020</v>
      </c>
      <c r="T3384" s="47"/>
      <c r="U3384" s="47">
        <f t="shared" si="718"/>
        <v>430</v>
      </c>
      <c r="V3384" s="47"/>
      <c r="W3384" s="47"/>
      <c r="X3384" s="47"/>
      <c r="Y3384" s="47"/>
      <c r="Z3384" s="47">
        <f t="shared" si="715"/>
        <v>4620</v>
      </c>
      <c r="AA3384" s="47">
        <f t="shared" si="719"/>
        <v>1400</v>
      </c>
      <c r="AB3384" s="47"/>
      <c r="AC3384" s="47"/>
      <c r="AD3384" s="47"/>
      <c r="AE3384" s="47"/>
      <c r="AF3384" s="47">
        <f t="shared" si="720"/>
        <v>1485</v>
      </c>
      <c r="AG3384" s="47" t="s">
        <v>5021</v>
      </c>
      <c r="AH3384" s="47">
        <f>IFERROR(_xlfn.XLOOKUP(Table6[[#This Row],[Suburb]],Table5[Travel Surcharge],Table5[$$]),"")</f>
        <v>8000</v>
      </c>
      <c r="AI3384" s="47"/>
      <c r="AJ3384" s="47">
        <f t="shared" si="721"/>
        <v>4400</v>
      </c>
    </row>
    <row r="3385" spans="1:36">
      <c r="A3385" s="374" t="s">
        <v>5034</v>
      </c>
      <c r="B3385" s="374">
        <v>1</v>
      </c>
      <c r="C3385" s="374" t="s">
        <v>1264</v>
      </c>
      <c r="D3385" s="375" t="str">
        <f t="shared" si="713"/>
        <v>Platform Estate1</v>
      </c>
      <c r="E3385" s="375" t="s">
        <v>5035</v>
      </c>
      <c r="F3385" s="375" t="s">
        <v>493</v>
      </c>
      <c r="G3385" s="375" t="s">
        <v>531</v>
      </c>
      <c r="H3385" s="375" t="s">
        <v>532</v>
      </c>
      <c r="I3385" s="63" t="s">
        <v>533</v>
      </c>
      <c r="J3385" s="47">
        <f t="shared" ref="J3385:J3396" si="722">J$7</f>
        <v>3740</v>
      </c>
      <c r="K3385" s="46" t="s">
        <v>7938</v>
      </c>
      <c r="L3385" s="47" t="s">
        <v>5036</v>
      </c>
      <c r="M3385" s="47" t="s">
        <v>5037</v>
      </c>
      <c r="N3385" s="47" t="s">
        <v>5038</v>
      </c>
      <c r="O3385" s="47"/>
      <c r="P3385" s="47"/>
      <c r="Q3385" s="47"/>
      <c r="R3385" s="47">
        <f t="shared" ref="R3385:R3396" si="723">R$2</f>
        <v>540</v>
      </c>
      <c r="S3385" s="47"/>
      <c r="T3385" s="47"/>
      <c r="U3385" s="47"/>
      <c r="V3385" s="47"/>
      <c r="W3385" s="47"/>
      <c r="X3385" s="47"/>
      <c r="Y3385" s="47"/>
      <c r="Z3385" s="47">
        <f t="shared" si="715"/>
        <v>4620</v>
      </c>
      <c r="AA3385" s="47"/>
      <c r="AB3385" s="47"/>
      <c r="AC3385" s="47"/>
      <c r="AD3385" s="47"/>
      <c r="AE3385" s="47"/>
      <c r="AF3385" s="47"/>
      <c r="AG3385" s="47">
        <f t="shared" ref="AG3385:AG3396" si="724">AG$7</f>
        <v>3300.0000000000005</v>
      </c>
      <c r="AH3385" s="47" t="str">
        <f>IFERROR(_xlfn.XLOOKUP(Table6[[#This Row],[Suburb]],Table5[Travel Surcharge],Table5[$$]),"")</f>
        <v/>
      </c>
      <c r="AI3385" s="47">
        <f t="shared" ref="AI3385:AI3396" si="725">AI$7</f>
        <v>1650.0000000000002</v>
      </c>
      <c r="AJ3385" s="47"/>
    </row>
    <row r="3386" spans="1:36">
      <c r="A3386" s="374" t="s">
        <v>5034</v>
      </c>
      <c r="B3386" s="374">
        <v>2</v>
      </c>
      <c r="C3386" s="374" t="s">
        <v>1264</v>
      </c>
      <c r="D3386" s="375" t="str">
        <f t="shared" si="713"/>
        <v>Platform Estate2</v>
      </c>
      <c r="E3386" s="375" t="s">
        <v>5039</v>
      </c>
      <c r="F3386" s="375" t="s">
        <v>493</v>
      </c>
      <c r="G3386" s="375" t="s">
        <v>531</v>
      </c>
      <c r="H3386" s="375" t="s">
        <v>532</v>
      </c>
      <c r="I3386" s="63" t="s">
        <v>533</v>
      </c>
      <c r="J3386" s="47">
        <f t="shared" si="722"/>
        <v>3740</v>
      </c>
      <c r="K3386" s="46" t="s">
        <v>7938</v>
      </c>
      <c r="L3386" s="47" t="s">
        <v>5036</v>
      </c>
      <c r="M3386" s="47" t="s">
        <v>5037</v>
      </c>
      <c r="N3386" s="47" t="s">
        <v>5038</v>
      </c>
      <c r="O3386" s="47"/>
      <c r="P3386" s="47"/>
      <c r="Q3386" s="47"/>
      <c r="R3386" s="47">
        <f t="shared" si="723"/>
        <v>540</v>
      </c>
      <c r="S3386" s="47"/>
      <c r="T3386" s="47"/>
      <c r="U3386" s="47"/>
      <c r="V3386" s="47"/>
      <c r="W3386" s="47"/>
      <c r="X3386" s="47"/>
      <c r="Y3386" s="47"/>
      <c r="Z3386" s="47">
        <f t="shared" si="715"/>
        <v>4620</v>
      </c>
      <c r="AA3386" s="47"/>
      <c r="AB3386" s="47"/>
      <c r="AC3386" s="47"/>
      <c r="AD3386" s="47"/>
      <c r="AE3386" s="47"/>
      <c r="AF3386" s="47"/>
      <c r="AG3386" s="47">
        <f t="shared" si="724"/>
        <v>3300.0000000000005</v>
      </c>
      <c r="AH3386" s="47" t="str">
        <f>IFERROR(_xlfn.XLOOKUP(Table6[[#This Row],[Suburb]],Table5[Travel Surcharge],Table5[$$]),"")</f>
        <v/>
      </c>
      <c r="AI3386" s="47">
        <f t="shared" si="725"/>
        <v>1650.0000000000002</v>
      </c>
      <c r="AJ3386" s="47"/>
    </row>
    <row r="3387" spans="1:36">
      <c r="A3387" s="374" t="s">
        <v>5034</v>
      </c>
      <c r="B3387" s="374">
        <v>3</v>
      </c>
      <c r="C3387" s="374" t="s">
        <v>1264</v>
      </c>
      <c r="D3387" s="375" t="str">
        <f t="shared" si="713"/>
        <v>Platform Estate3</v>
      </c>
      <c r="E3387" s="375" t="s">
        <v>5040</v>
      </c>
      <c r="F3387" s="375" t="s">
        <v>493</v>
      </c>
      <c r="G3387" s="375" t="s">
        <v>531</v>
      </c>
      <c r="H3387" s="375" t="s">
        <v>532</v>
      </c>
      <c r="I3387" s="63" t="s">
        <v>533</v>
      </c>
      <c r="J3387" s="47">
        <f t="shared" si="722"/>
        <v>3740</v>
      </c>
      <c r="K3387" s="46" t="s">
        <v>7938</v>
      </c>
      <c r="L3387" s="47" t="s">
        <v>5036</v>
      </c>
      <c r="M3387" s="47" t="s">
        <v>5037</v>
      </c>
      <c r="N3387" s="47" t="s">
        <v>5038</v>
      </c>
      <c r="O3387" s="47"/>
      <c r="P3387" s="47"/>
      <c r="Q3387" s="47"/>
      <c r="R3387" s="47">
        <f t="shared" si="723"/>
        <v>540</v>
      </c>
      <c r="S3387" s="47"/>
      <c r="T3387" s="47"/>
      <c r="U3387" s="47"/>
      <c r="V3387" s="47"/>
      <c r="W3387" s="47"/>
      <c r="X3387" s="47"/>
      <c r="Y3387" s="47"/>
      <c r="Z3387" s="47">
        <f t="shared" si="715"/>
        <v>4620</v>
      </c>
      <c r="AA3387" s="47"/>
      <c r="AB3387" s="47"/>
      <c r="AC3387" s="47"/>
      <c r="AD3387" s="47"/>
      <c r="AE3387" s="47"/>
      <c r="AF3387" s="47"/>
      <c r="AG3387" s="47">
        <f t="shared" si="724"/>
        <v>3300.0000000000005</v>
      </c>
      <c r="AH3387" s="47" t="str">
        <f>IFERROR(_xlfn.XLOOKUP(Table6[[#This Row],[Suburb]],Table5[Travel Surcharge],Table5[$$]),"")</f>
        <v/>
      </c>
      <c r="AI3387" s="47">
        <f t="shared" si="725"/>
        <v>1650.0000000000002</v>
      </c>
      <c r="AJ3387" s="47"/>
    </row>
    <row r="3388" spans="1:36">
      <c r="A3388" s="374" t="s">
        <v>5034</v>
      </c>
      <c r="B3388" s="374">
        <v>4</v>
      </c>
      <c r="C3388" s="374" t="s">
        <v>1264</v>
      </c>
      <c r="D3388" s="375" t="str">
        <f t="shared" si="713"/>
        <v>Platform Estate4</v>
      </c>
      <c r="E3388" s="375" t="s">
        <v>5041</v>
      </c>
      <c r="F3388" s="375" t="s">
        <v>493</v>
      </c>
      <c r="G3388" s="375" t="s">
        <v>531</v>
      </c>
      <c r="H3388" s="375" t="s">
        <v>532</v>
      </c>
      <c r="I3388" s="63" t="s">
        <v>533</v>
      </c>
      <c r="J3388" s="47">
        <f t="shared" si="722"/>
        <v>3740</v>
      </c>
      <c r="K3388" s="46" t="s">
        <v>7938</v>
      </c>
      <c r="L3388" s="47" t="s">
        <v>5036</v>
      </c>
      <c r="M3388" s="47" t="s">
        <v>5037</v>
      </c>
      <c r="N3388" s="47" t="s">
        <v>5038</v>
      </c>
      <c r="O3388" s="47"/>
      <c r="P3388" s="47"/>
      <c r="Q3388" s="47"/>
      <c r="R3388" s="47">
        <f t="shared" si="723"/>
        <v>540</v>
      </c>
      <c r="S3388" s="47"/>
      <c r="T3388" s="47"/>
      <c r="U3388" s="47"/>
      <c r="V3388" s="47"/>
      <c r="W3388" s="47"/>
      <c r="X3388" s="47"/>
      <c r="Y3388" s="47"/>
      <c r="Z3388" s="47">
        <f t="shared" si="715"/>
        <v>4620</v>
      </c>
      <c r="AA3388" s="47"/>
      <c r="AB3388" s="47"/>
      <c r="AC3388" s="47"/>
      <c r="AD3388" s="47"/>
      <c r="AE3388" s="47"/>
      <c r="AF3388" s="47"/>
      <c r="AG3388" s="47">
        <f t="shared" si="724"/>
        <v>3300.0000000000005</v>
      </c>
      <c r="AH3388" s="47" t="str">
        <f>IFERROR(_xlfn.XLOOKUP(Table6[[#This Row],[Suburb]],Table5[Travel Surcharge],Table5[$$]),"")</f>
        <v/>
      </c>
      <c r="AI3388" s="47">
        <f t="shared" si="725"/>
        <v>1650.0000000000002</v>
      </c>
      <c r="AJ3388" s="47"/>
    </row>
    <row r="3389" spans="1:36">
      <c r="A3389" s="374" t="s">
        <v>5034</v>
      </c>
      <c r="B3389" s="374">
        <v>5</v>
      </c>
      <c r="C3389" s="374" t="s">
        <v>1264</v>
      </c>
      <c r="D3389" s="375" t="str">
        <f t="shared" si="713"/>
        <v>Platform Estate5</v>
      </c>
      <c r="E3389" s="375" t="s">
        <v>5045</v>
      </c>
      <c r="F3389" s="375" t="s">
        <v>493</v>
      </c>
      <c r="G3389" s="375" t="s">
        <v>531</v>
      </c>
      <c r="H3389" s="375" t="s">
        <v>532</v>
      </c>
      <c r="I3389" s="63" t="s">
        <v>533</v>
      </c>
      <c r="J3389" s="47">
        <f t="shared" si="722"/>
        <v>3740</v>
      </c>
      <c r="K3389" s="46" t="s">
        <v>7938</v>
      </c>
      <c r="L3389" s="47" t="s">
        <v>5036</v>
      </c>
      <c r="M3389" s="47" t="s">
        <v>5037</v>
      </c>
      <c r="N3389" s="47" t="s">
        <v>5038</v>
      </c>
      <c r="O3389" s="47"/>
      <c r="P3389" s="47"/>
      <c r="Q3389" s="47"/>
      <c r="R3389" s="47">
        <f t="shared" si="723"/>
        <v>540</v>
      </c>
      <c r="S3389" s="47"/>
      <c r="T3389" s="47"/>
      <c r="U3389" s="47"/>
      <c r="V3389" s="47"/>
      <c r="W3389" s="47"/>
      <c r="X3389" s="47"/>
      <c r="Y3389" s="47"/>
      <c r="Z3389" s="47">
        <f t="shared" si="715"/>
        <v>4620</v>
      </c>
      <c r="AA3389" s="47"/>
      <c r="AB3389" s="47"/>
      <c r="AC3389" s="47"/>
      <c r="AD3389" s="47"/>
      <c r="AE3389" s="47"/>
      <c r="AF3389" s="47"/>
      <c r="AG3389" s="47">
        <f t="shared" si="724"/>
        <v>3300.0000000000005</v>
      </c>
      <c r="AH3389" s="47" t="str">
        <f>IFERROR(_xlfn.XLOOKUP(Table6[[#This Row],[Suburb]],Table5[Travel Surcharge],Table5[$$]),"")</f>
        <v/>
      </c>
      <c r="AI3389" s="47">
        <f t="shared" si="725"/>
        <v>1650.0000000000002</v>
      </c>
      <c r="AJ3389" s="47"/>
    </row>
    <row r="3390" spans="1:36">
      <c r="A3390" s="374" t="s">
        <v>5034</v>
      </c>
      <c r="B3390" s="374">
        <v>6</v>
      </c>
      <c r="C3390" s="374" t="s">
        <v>1264</v>
      </c>
      <c r="D3390" s="375" t="str">
        <f t="shared" si="713"/>
        <v>Platform Estate6</v>
      </c>
      <c r="E3390" s="375" t="s">
        <v>5047</v>
      </c>
      <c r="F3390" s="375" t="s">
        <v>493</v>
      </c>
      <c r="G3390" s="375" t="s">
        <v>531</v>
      </c>
      <c r="H3390" s="375" t="s">
        <v>532</v>
      </c>
      <c r="I3390" s="63" t="s">
        <v>533</v>
      </c>
      <c r="J3390" s="47">
        <f t="shared" si="722"/>
        <v>3740</v>
      </c>
      <c r="K3390" s="46" t="s">
        <v>7938</v>
      </c>
      <c r="L3390" s="47" t="s">
        <v>5036</v>
      </c>
      <c r="M3390" s="47" t="s">
        <v>5037</v>
      </c>
      <c r="N3390" s="47" t="s">
        <v>5038</v>
      </c>
      <c r="O3390" s="47"/>
      <c r="P3390" s="47"/>
      <c r="Q3390" s="47"/>
      <c r="R3390" s="47">
        <f t="shared" si="723"/>
        <v>540</v>
      </c>
      <c r="S3390" s="47"/>
      <c r="T3390" s="47"/>
      <c r="U3390" s="47"/>
      <c r="V3390" s="47"/>
      <c r="W3390" s="47"/>
      <c r="X3390" s="47"/>
      <c r="Y3390" s="47"/>
      <c r="Z3390" s="47">
        <f t="shared" si="715"/>
        <v>4620</v>
      </c>
      <c r="AA3390" s="47"/>
      <c r="AB3390" s="47"/>
      <c r="AC3390" s="47"/>
      <c r="AD3390" s="47"/>
      <c r="AE3390" s="47"/>
      <c r="AF3390" s="47"/>
      <c r="AG3390" s="47">
        <f t="shared" si="724"/>
        <v>3300.0000000000005</v>
      </c>
      <c r="AH3390" s="47" t="str">
        <f>IFERROR(_xlfn.XLOOKUP(Table6[[#This Row],[Suburb]],Table5[Travel Surcharge],Table5[$$]),"")</f>
        <v/>
      </c>
      <c r="AI3390" s="47">
        <f t="shared" si="725"/>
        <v>1650.0000000000002</v>
      </c>
      <c r="AJ3390" s="47"/>
    </row>
    <row r="3391" spans="1:36">
      <c r="A3391" s="374" t="s">
        <v>5034</v>
      </c>
      <c r="B3391" s="374">
        <v>7</v>
      </c>
      <c r="C3391" s="374" t="s">
        <v>1264</v>
      </c>
      <c r="D3391" s="375" t="str">
        <f t="shared" si="713"/>
        <v>Platform Estate7</v>
      </c>
      <c r="E3391" s="375" t="s">
        <v>5048</v>
      </c>
      <c r="F3391" s="375" t="s">
        <v>493</v>
      </c>
      <c r="G3391" s="375" t="s">
        <v>531</v>
      </c>
      <c r="H3391" s="375" t="s">
        <v>532</v>
      </c>
      <c r="I3391" s="63" t="s">
        <v>533</v>
      </c>
      <c r="J3391" s="47">
        <f t="shared" si="722"/>
        <v>3740</v>
      </c>
      <c r="K3391" s="46" t="s">
        <v>7938</v>
      </c>
      <c r="L3391" s="47" t="s">
        <v>5036</v>
      </c>
      <c r="M3391" s="47" t="s">
        <v>5037</v>
      </c>
      <c r="N3391" s="47" t="s">
        <v>5038</v>
      </c>
      <c r="O3391" s="47"/>
      <c r="P3391" s="47"/>
      <c r="Q3391" s="47"/>
      <c r="R3391" s="47">
        <f t="shared" si="723"/>
        <v>540</v>
      </c>
      <c r="S3391" s="47"/>
      <c r="T3391" s="47"/>
      <c r="U3391" s="47"/>
      <c r="V3391" s="47"/>
      <c r="W3391" s="47"/>
      <c r="X3391" s="47"/>
      <c r="Y3391" s="47"/>
      <c r="Z3391" s="47">
        <f t="shared" si="715"/>
        <v>4620</v>
      </c>
      <c r="AA3391" s="47"/>
      <c r="AB3391" s="47"/>
      <c r="AC3391" s="47"/>
      <c r="AD3391" s="47"/>
      <c r="AE3391" s="47"/>
      <c r="AF3391" s="47"/>
      <c r="AG3391" s="47">
        <f t="shared" si="724"/>
        <v>3300.0000000000005</v>
      </c>
      <c r="AH3391" s="47" t="str">
        <f>IFERROR(_xlfn.XLOOKUP(Table6[[#This Row],[Suburb]],Table5[Travel Surcharge],Table5[$$]),"")</f>
        <v/>
      </c>
      <c r="AI3391" s="47">
        <f t="shared" si="725"/>
        <v>1650.0000000000002</v>
      </c>
      <c r="AJ3391" s="47"/>
    </row>
    <row r="3392" spans="1:36">
      <c r="A3392" s="374" t="s">
        <v>5034</v>
      </c>
      <c r="B3392" s="374">
        <v>9</v>
      </c>
      <c r="C3392" s="374" t="s">
        <v>1264</v>
      </c>
      <c r="D3392" s="375" t="str">
        <f t="shared" si="713"/>
        <v>Platform Estate9</v>
      </c>
      <c r="E3392" s="375" t="s">
        <v>5050</v>
      </c>
      <c r="F3392" s="375" t="s">
        <v>493</v>
      </c>
      <c r="G3392" s="375" t="s">
        <v>531</v>
      </c>
      <c r="H3392" s="375" t="s">
        <v>532</v>
      </c>
      <c r="I3392" s="63" t="s">
        <v>533</v>
      </c>
      <c r="J3392" s="47">
        <f t="shared" si="722"/>
        <v>3740</v>
      </c>
      <c r="K3392" s="46" t="s">
        <v>7938</v>
      </c>
      <c r="L3392" s="47" t="s">
        <v>5036</v>
      </c>
      <c r="M3392" s="47" t="s">
        <v>5037</v>
      </c>
      <c r="N3392" s="47" t="s">
        <v>5038</v>
      </c>
      <c r="O3392" s="47"/>
      <c r="P3392" s="47"/>
      <c r="Q3392" s="47"/>
      <c r="R3392" s="47">
        <f t="shared" si="723"/>
        <v>540</v>
      </c>
      <c r="S3392" s="47"/>
      <c r="T3392" s="47"/>
      <c r="U3392" s="47"/>
      <c r="V3392" s="47"/>
      <c r="W3392" s="47"/>
      <c r="X3392" s="47"/>
      <c r="Y3392" s="47"/>
      <c r="Z3392" s="47">
        <f t="shared" si="715"/>
        <v>4620</v>
      </c>
      <c r="AA3392" s="47"/>
      <c r="AB3392" s="47"/>
      <c r="AC3392" s="47"/>
      <c r="AD3392" s="47"/>
      <c r="AE3392" s="47"/>
      <c r="AF3392" s="47"/>
      <c r="AG3392" s="47">
        <f t="shared" si="724"/>
        <v>3300.0000000000005</v>
      </c>
      <c r="AH3392" s="47" t="str">
        <f>IFERROR(_xlfn.XLOOKUP(Table6[[#This Row],[Suburb]],Table5[Travel Surcharge],Table5[$$]),"")</f>
        <v/>
      </c>
      <c r="AI3392" s="47">
        <f t="shared" si="725"/>
        <v>1650.0000000000002</v>
      </c>
      <c r="AJ3392" s="47"/>
    </row>
    <row r="3393" spans="1:36">
      <c r="A3393" s="374" t="s">
        <v>5034</v>
      </c>
      <c r="B3393" s="374" t="s">
        <v>615</v>
      </c>
      <c r="C3393" s="374" t="s">
        <v>1264</v>
      </c>
      <c r="D3393" s="375" t="str">
        <f t="shared" si="713"/>
        <v>Platform Estate4C</v>
      </c>
      <c r="E3393" s="375" t="s">
        <v>5042</v>
      </c>
      <c r="F3393" s="375" t="s">
        <v>493</v>
      </c>
      <c r="G3393" s="375" t="s">
        <v>531</v>
      </c>
      <c r="H3393" s="375" t="s">
        <v>532</v>
      </c>
      <c r="I3393" s="63" t="s">
        <v>533</v>
      </c>
      <c r="J3393" s="47">
        <f t="shared" si="722"/>
        <v>3740</v>
      </c>
      <c r="K3393" s="46" t="s">
        <v>7938</v>
      </c>
      <c r="L3393" s="47" t="s">
        <v>5036</v>
      </c>
      <c r="M3393" s="47" t="s">
        <v>5037</v>
      </c>
      <c r="N3393" s="47" t="s">
        <v>5038</v>
      </c>
      <c r="O3393" s="47"/>
      <c r="P3393" s="47"/>
      <c r="Q3393" s="47"/>
      <c r="R3393" s="47">
        <f t="shared" si="723"/>
        <v>540</v>
      </c>
      <c r="S3393" s="47"/>
      <c r="T3393" s="47"/>
      <c r="U3393" s="47"/>
      <c r="V3393" s="47"/>
      <c r="W3393" s="47"/>
      <c r="X3393" s="47"/>
      <c r="Y3393" s="47"/>
      <c r="Z3393" s="47">
        <f t="shared" si="715"/>
        <v>4620</v>
      </c>
      <c r="AA3393" s="47"/>
      <c r="AB3393" s="47"/>
      <c r="AC3393" s="47"/>
      <c r="AD3393" s="47"/>
      <c r="AE3393" s="47"/>
      <c r="AF3393" s="47"/>
      <c r="AG3393" s="47">
        <f t="shared" si="724"/>
        <v>3300.0000000000005</v>
      </c>
      <c r="AH3393" s="47" t="str">
        <f>IFERROR(_xlfn.XLOOKUP(Table6[[#This Row],[Suburb]],Table5[Travel Surcharge],Table5[$$]),"")</f>
        <v/>
      </c>
      <c r="AI3393" s="47">
        <f t="shared" si="725"/>
        <v>1650.0000000000002</v>
      </c>
      <c r="AJ3393" s="47"/>
    </row>
    <row r="3394" spans="1:36">
      <c r="A3394" s="374" t="s">
        <v>5034</v>
      </c>
      <c r="B3394" s="374" t="s">
        <v>5043</v>
      </c>
      <c r="C3394" s="374" t="s">
        <v>1264</v>
      </c>
      <c r="D3394" s="375" t="str">
        <f t="shared" si="713"/>
        <v>Platform Estate4D</v>
      </c>
      <c r="E3394" s="375" t="s">
        <v>5044</v>
      </c>
      <c r="F3394" s="375" t="s">
        <v>493</v>
      </c>
      <c r="G3394" s="375" t="s">
        <v>531</v>
      </c>
      <c r="H3394" s="375" t="s">
        <v>532</v>
      </c>
      <c r="I3394" s="63" t="s">
        <v>533</v>
      </c>
      <c r="J3394" s="47">
        <f t="shared" si="722"/>
        <v>3740</v>
      </c>
      <c r="K3394" s="46" t="s">
        <v>7938</v>
      </c>
      <c r="L3394" s="47" t="s">
        <v>5036</v>
      </c>
      <c r="M3394" s="47" t="s">
        <v>5037</v>
      </c>
      <c r="N3394" s="47" t="s">
        <v>5038</v>
      </c>
      <c r="O3394" s="47"/>
      <c r="P3394" s="47"/>
      <c r="Q3394" s="47"/>
      <c r="R3394" s="47">
        <f t="shared" si="723"/>
        <v>540</v>
      </c>
      <c r="S3394" s="47"/>
      <c r="T3394" s="47"/>
      <c r="U3394" s="47"/>
      <c r="V3394" s="47"/>
      <c r="W3394" s="47"/>
      <c r="X3394" s="47"/>
      <c r="Y3394" s="47"/>
      <c r="Z3394" s="47">
        <f t="shared" si="715"/>
        <v>4620</v>
      </c>
      <c r="AA3394" s="47"/>
      <c r="AB3394" s="47"/>
      <c r="AC3394" s="47"/>
      <c r="AD3394" s="47"/>
      <c r="AE3394" s="47"/>
      <c r="AF3394" s="47"/>
      <c r="AG3394" s="47">
        <f t="shared" si="724"/>
        <v>3300.0000000000005</v>
      </c>
      <c r="AH3394" s="47" t="str">
        <f>IFERROR(_xlfn.XLOOKUP(Table6[[#This Row],[Suburb]],Table5[Travel Surcharge],Table5[$$]),"")</f>
        <v/>
      </c>
      <c r="AI3394" s="47">
        <f t="shared" si="725"/>
        <v>1650.0000000000002</v>
      </c>
      <c r="AJ3394" s="47"/>
    </row>
    <row r="3395" spans="1:36">
      <c r="A3395" s="374" t="s">
        <v>5034</v>
      </c>
      <c r="B3395" s="374" t="s">
        <v>617</v>
      </c>
      <c r="C3395" s="374" t="s">
        <v>1264</v>
      </c>
      <c r="D3395" s="375" t="str">
        <f t="shared" si="713"/>
        <v>Platform Estate5A</v>
      </c>
      <c r="E3395" s="375" t="s">
        <v>5046</v>
      </c>
      <c r="F3395" s="375" t="s">
        <v>493</v>
      </c>
      <c r="G3395" s="375" t="s">
        <v>531</v>
      </c>
      <c r="H3395" s="375" t="s">
        <v>532</v>
      </c>
      <c r="I3395" s="63" t="s">
        <v>533</v>
      </c>
      <c r="J3395" s="47">
        <f t="shared" si="722"/>
        <v>3740</v>
      </c>
      <c r="K3395" s="46" t="s">
        <v>7938</v>
      </c>
      <c r="L3395" s="47" t="s">
        <v>5036</v>
      </c>
      <c r="M3395" s="47" t="s">
        <v>5037</v>
      </c>
      <c r="N3395" s="47" t="s">
        <v>5038</v>
      </c>
      <c r="O3395" s="47"/>
      <c r="P3395" s="47"/>
      <c r="Q3395" s="47"/>
      <c r="R3395" s="47">
        <f t="shared" si="723"/>
        <v>540</v>
      </c>
      <c r="S3395" s="47"/>
      <c r="T3395" s="47"/>
      <c r="U3395" s="47"/>
      <c r="V3395" s="47"/>
      <c r="W3395" s="47"/>
      <c r="X3395" s="47"/>
      <c r="Y3395" s="47"/>
      <c r="Z3395" s="47">
        <f t="shared" si="715"/>
        <v>4620</v>
      </c>
      <c r="AA3395" s="47"/>
      <c r="AB3395" s="47"/>
      <c r="AC3395" s="47"/>
      <c r="AD3395" s="47"/>
      <c r="AE3395" s="47"/>
      <c r="AF3395" s="47"/>
      <c r="AG3395" s="47">
        <f t="shared" si="724"/>
        <v>3300.0000000000005</v>
      </c>
      <c r="AH3395" s="47" t="str">
        <f>IFERROR(_xlfn.XLOOKUP(Table6[[#This Row],[Suburb]],Table5[Travel Surcharge],Table5[$$]),"")</f>
        <v/>
      </c>
      <c r="AI3395" s="47">
        <f t="shared" si="725"/>
        <v>1650.0000000000002</v>
      </c>
      <c r="AJ3395" s="47"/>
    </row>
    <row r="3396" spans="1:36">
      <c r="A3396" s="374" t="s">
        <v>5034</v>
      </c>
      <c r="B3396" s="374" t="s">
        <v>1488</v>
      </c>
      <c r="C3396" s="374" t="s">
        <v>1264</v>
      </c>
      <c r="D3396" s="375" t="str">
        <f t="shared" si="713"/>
        <v>Platform Estate7A</v>
      </c>
      <c r="E3396" s="375" t="s">
        <v>5049</v>
      </c>
      <c r="F3396" s="375" t="s">
        <v>493</v>
      </c>
      <c r="G3396" s="375" t="s">
        <v>531</v>
      </c>
      <c r="H3396" s="375" t="s">
        <v>532</v>
      </c>
      <c r="I3396" s="63" t="s">
        <v>533</v>
      </c>
      <c r="J3396" s="47">
        <f t="shared" si="722"/>
        <v>3740</v>
      </c>
      <c r="K3396" s="46" t="s">
        <v>7938</v>
      </c>
      <c r="L3396" s="47" t="s">
        <v>5036</v>
      </c>
      <c r="M3396" s="47" t="s">
        <v>5037</v>
      </c>
      <c r="N3396" s="47" t="s">
        <v>5038</v>
      </c>
      <c r="O3396" s="47"/>
      <c r="P3396" s="47"/>
      <c r="Q3396" s="47"/>
      <c r="R3396" s="47">
        <f t="shared" si="723"/>
        <v>540</v>
      </c>
      <c r="S3396" s="47"/>
      <c r="T3396" s="47"/>
      <c r="U3396" s="47"/>
      <c r="V3396" s="47"/>
      <c r="W3396" s="47"/>
      <c r="X3396" s="47"/>
      <c r="Y3396" s="47"/>
      <c r="Z3396" s="47">
        <f t="shared" si="715"/>
        <v>4620</v>
      </c>
      <c r="AA3396" s="47"/>
      <c r="AB3396" s="47"/>
      <c r="AC3396" s="47"/>
      <c r="AD3396" s="47"/>
      <c r="AE3396" s="47"/>
      <c r="AF3396" s="47"/>
      <c r="AG3396" s="47">
        <f t="shared" si="724"/>
        <v>3300.0000000000005</v>
      </c>
      <c r="AH3396" s="47" t="str">
        <f>IFERROR(_xlfn.XLOOKUP(Table6[[#This Row],[Suburb]],Table5[Travel Surcharge],Table5[$$]),"")</f>
        <v/>
      </c>
      <c r="AI3396" s="47">
        <f t="shared" si="725"/>
        <v>1650.0000000000002</v>
      </c>
      <c r="AJ3396" s="47"/>
    </row>
    <row r="3397" spans="1:36">
      <c r="A3397" s="374" t="s">
        <v>5051</v>
      </c>
      <c r="B3397" s="374">
        <v>1</v>
      </c>
      <c r="C3397" s="374" t="s">
        <v>289</v>
      </c>
      <c r="D3397" s="375" t="str">
        <f t="shared" si="713"/>
        <v>Platinum Rise1</v>
      </c>
      <c r="E3397" s="375" t="s">
        <v>5052</v>
      </c>
      <c r="F3397" s="375"/>
      <c r="G3397" s="375" t="s">
        <v>5053</v>
      </c>
      <c r="H3397" s="375" t="s">
        <v>5054</v>
      </c>
      <c r="I3397" s="63" t="s">
        <v>5055</v>
      </c>
      <c r="J3397" s="47"/>
      <c r="K3397" s="46" t="s">
        <v>10735</v>
      </c>
      <c r="L3397" s="47" t="s">
        <v>5056</v>
      </c>
      <c r="M3397" s="47"/>
      <c r="N3397" s="47" t="s">
        <v>5057</v>
      </c>
      <c r="O3397" s="47"/>
      <c r="P3397" s="47"/>
      <c r="Q3397" s="47"/>
      <c r="R3397" s="47"/>
      <c r="S3397" s="47"/>
      <c r="T3397" s="47"/>
      <c r="U3397" s="47">
        <f t="shared" ref="U3397:U3403" si="726">U$2</f>
        <v>430</v>
      </c>
      <c r="V3397" s="47"/>
      <c r="W3397" s="47"/>
      <c r="X3397" s="47"/>
      <c r="Y3397" s="47"/>
      <c r="Z3397" s="47">
        <f t="shared" si="715"/>
        <v>4620</v>
      </c>
      <c r="AA3397" s="47"/>
      <c r="AB3397" s="47"/>
      <c r="AC3397" s="47"/>
      <c r="AD3397" s="47"/>
      <c r="AE3397" s="47"/>
      <c r="AF3397" s="47"/>
      <c r="AG3397" s="47"/>
      <c r="AH3397" s="47">
        <f>IFERROR(_xlfn.XLOOKUP(Table6[[#This Row],[Suburb]],Table5[Travel Surcharge],Table5[$$]),"")</f>
        <v>7000</v>
      </c>
      <c r="AI3397" s="47"/>
      <c r="AJ3397" s="47"/>
    </row>
    <row r="3398" spans="1:36">
      <c r="A3398" s="374" t="s">
        <v>5051</v>
      </c>
      <c r="B3398" s="374">
        <v>2</v>
      </c>
      <c r="C3398" s="374" t="s">
        <v>289</v>
      </c>
      <c r="D3398" s="375" t="str">
        <f t="shared" si="713"/>
        <v>Platinum Rise2</v>
      </c>
      <c r="E3398" s="375" t="s">
        <v>5058</v>
      </c>
      <c r="F3398" s="375"/>
      <c r="G3398" s="375" t="s">
        <v>5053</v>
      </c>
      <c r="H3398" s="375" t="s">
        <v>5054</v>
      </c>
      <c r="I3398" s="63" t="s">
        <v>5055</v>
      </c>
      <c r="J3398" s="47"/>
      <c r="K3398" s="46" t="s">
        <v>10735</v>
      </c>
      <c r="L3398" s="47" t="s">
        <v>5056</v>
      </c>
      <c r="M3398" s="47"/>
      <c r="N3398" s="47" t="s">
        <v>5057</v>
      </c>
      <c r="O3398" s="47"/>
      <c r="P3398" s="47"/>
      <c r="Q3398" s="47"/>
      <c r="R3398" s="47"/>
      <c r="S3398" s="47"/>
      <c r="T3398" s="47"/>
      <c r="U3398" s="47">
        <f t="shared" si="726"/>
        <v>430</v>
      </c>
      <c r="V3398" s="47"/>
      <c r="W3398" s="47"/>
      <c r="X3398" s="47"/>
      <c r="Y3398" s="47"/>
      <c r="Z3398" s="47">
        <f t="shared" si="715"/>
        <v>4620</v>
      </c>
      <c r="AA3398" s="47"/>
      <c r="AB3398" s="47"/>
      <c r="AC3398" s="47"/>
      <c r="AD3398" s="47"/>
      <c r="AE3398" s="47"/>
      <c r="AF3398" s="47"/>
      <c r="AG3398" s="47"/>
      <c r="AH3398" s="47">
        <f>IFERROR(_xlfn.XLOOKUP(Table6[[#This Row],[Suburb]],Table5[Travel Surcharge],Table5[$$]),"")</f>
        <v>7000</v>
      </c>
      <c r="AI3398" s="47"/>
      <c r="AJ3398" s="47"/>
    </row>
    <row r="3399" spans="1:36">
      <c r="A3399" s="374" t="s">
        <v>5051</v>
      </c>
      <c r="B3399" s="374">
        <v>3</v>
      </c>
      <c r="C3399" s="374" t="s">
        <v>289</v>
      </c>
      <c r="D3399" s="375" t="str">
        <f t="shared" ref="D3399:D3432" si="727">CONCATENATE(A3399,B3399)</f>
        <v>Platinum Rise3</v>
      </c>
      <c r="E3399" s="375" t="s">
        <v>5059</v>
      </c>
      <c r="F3399" s="375"/>
      <c r="G3399" s="375" t="s">
        <v>5053</v>
      </c>
      <c r="H3399" s="375" t="s">
        <v>5054</v>
      </c>
      <c r="I3399" s="63" t="s">
        <v>5055</v>
      </c>
      <c r="J3399" s="47"/>
      <c r="K3399" s="46" t="s">
        <v>10735</v>
      </c>
      <c r="L3399" s="47" t="s">
        <v>5056</v>
      </c>
      <c r="M3399" s="47"/>
      <c r="N3399" s="47" t="s">
        <v>5057</v>
      </c>
      <c r="O3399" s="47"/>
      <c r="P3399" s="47"/>
      <c r="Q3399" s="47"/>
      <c r="R3399" s="47"/>
      <c r="S3399" s="47"/>
      <c r="T3399" s="47"/>
      <c r="U3399" s="47">
        <f t="shared" si="726"/>
        <v>430</v>
      </c>
      <c r="V3399" s="47"/>
      <c r="W3399" s="47"/>
      <c r="X3399" s="47"/>
      <c r="Y3399" s="47"/>
      <c r="Z3399" s="47">
        <f t="shared" si="715"/>
        <v>4620</v>
      </c>
      <c r="AA3399" s="47"/>
      <c r="AB3399" s="47"/>
      <c r="AC3399" s="47"/>
      <c r="AD3399" s="47"/>
      <c r="AE3399" s="47"/>
      <c r="AF3399" s="47"/>
      <c r="AG3399" s="47"/>
      <c r="AH3399" s="47">
        <f>IFERROR(_xlfn.XLOOKUP(Table6[[#This Row],[Suburb]],Table5[Travel Surcharge],Table5[$$]),"")</f>
        <v>7000</v>
      </c>
      <c r="AI3399" s="47"/>
      <c r="AJ3399" s="47"/>
    </row>
    <row r="3400" spans="1:36">
      <c r="A3400" s="374" t="s">
        <v>5051</v>
      </c>
      <c r="B3400" s="374">
        <v>4</v>
      </c>
      <c r="C3400" s="374" t="s">
        <v>289</v>
      </c>
      <c r="D3400" s="375" t="str">
        <f t="shared" si="727"/>
        <v>Platinum Rise4</v>
      </c>
      <c r="E3400" s="375" t="s">
        <v>5060</v>
      </c>
      <c r="F3400" s="375"/>
      <c r="G3400" s="375" t="s">
        <v>5053</v>
      </c>
      <c r="H3400" s="375" t="s">
        <v>5054</v>
      </c>
      <c r="I3400" s="63" t="s">
        <v>5055</v>
      </c>
      <c r="J3400" s="47"/>
      <c r="K3400" s="46" t="s">
        <v>10735</v>
      </c>
      <c r="L3400" s="47" t="s">
        <v>5056</v>
      </c>
      <c r="M3400" s="47"/>
      <c r="N3400" s="47" t="s">
        <v>5057</v>
      </c>
      <c r="O3400" s="47"/>
      <c r="P3400" s="47"/>
      <c r="Q3400" s="47"/>
      <c r="R3400" s="47"/>
      <c r="S3400" s="47"/>
      <c r="T3400" s="47"/>
      <c r="U3400" s="47">
        <f t="shared" si="726"/>
        <v>430</v>
      </c>
      <c r="V3400" s="47"/>
      <c r="W3400" s="47"/>
      <c r="X3400" s="47"/>
      <c r="Y3400" s="47"/>
      <c r="Z3400" s="47">
        <f t="shared" ref="Z3400:Z3433" si="728">Z$7</f>
        <v>4620</v>
      </c>
      <c r="AA3400" s="47"/>
      <c r="AB3400" s="47"/>
      <c r="AC3400" s="47"/>
      <c r="AD3400" s="47"/>
      <c r="AE3400" s="47"/>
      <c r="AF3400" s="47"/>
      <c r="AG3400" s="47"/>
      <c r="AH3400" s="47">
        <f>IFERROR(_xlfn.XLOOKUP(Table6[[#This Row],[Suburb]],Table5[Travel Surcharge],Table5[$$]),"")</f>
        <v>7000</v>
      </c>
      <c r="AI3400" s="47"/>
      <c r="AJ3400" s="47"/>
    </row>
    <row r="3401" spans="1:36">
      <c r="A3401" s="374" t="s">
        <v>5051</v>
      </c>
      <c r="B3401" s="374">
        <v>5</v>
      </c>
      <c r="C3401" s="374" t="s">
        <v>289</v>
      </c>
      <c r="D3401" s="375" t="str">
        <f t="shared" si="727"/>
        <v>Platinum Rise5</v>
      </c>
      <c r="E3401" s="375" t="s">
        <v>5061</v>
      </c>
      <c r="F3401" s="375"/>
      <c r="G3401" s="375" t="s">
        <v>5053</v>
      </c>
      <c r="H3401" s="375" t="s">
        <v>5054</v>
      </c>
      <c r="I3401" s="63" t="s">
        <v>5055</v>
      </c>
      <c r="J3401" s="47"/>
      <c r="K3401" s="46" t="s">
        <v>10735</v>
      </c>
      <c r="L3401" s="47" t="s">
        <v>5056</v>
      </c>
      <c r="M3401" s="47"/>
      <c r="N3401" s="47" t="s">
        <v>5057</v>
      </c>
      <c r="O3401" s="47"/>
      <c r="P3401" s="47"/>
      <c r="Q3401" s="47"/>
      <c r="R3401" s="47"/>
      <c r="S3401" s="47"/>
      <c r="T3401" s="47"/>
      <c r="U3401" s="47">
        <f t="shared" si="726"/>
        <v>430</v>
      </c>
      <c r="V3401" s="47"/>
      <c r="W3401" s="47"/>
      <c r="X3401" s="47"/>
      <c r="Y3401" s="47"/>
      <c r="Z3401" s="47">
        <f t="shared" si="728"/>
        <v>4620</v>
      </c>
      <c r="AA3401" s="47"/>
      <c r="AB3401" s="47"/>
      <c r="AC3401" s="47"/>
      <c r="AD3401" s="47"/>
      <c r="AE3401" s="47"/>
      <c r="AF3401" s="47"/>
      <c r="AG3401" s="47"/>
      <c r="AH3401" s="47">
        <f>IFERROR(_xlfn.XLOOKUP(Table6[[#This Row],[Suburb]],Table5[Travel Surcharge],Table5[$$]),"")</f>
        <v>7000</v>
      </c>
      <c r="AI3401" s="47"/>
      <c r="AJ3401" s="47"/>
    </row>
    <row r="3402" spans="1:36">
      <c r="A3402" s="374" t="s">
        <v>5051</v>
      </c>
      <c r="B3402" s="374">
        <v>5</v>
      </c>
      <c r="C3402" s="374" t="s">
        <v>289</v>
      </c>
      <c r="D3402" s="375" t="str">
        <f t="shared" si="727"/>
        <v>Platinum Rise5</v>
      </c>
      <c r="E3402" s="375" t="s">
        <v>5061</v>
      </c>
      <c r="F3402" s="375"/>
      <c r="G3402" s="375" t="s">
        <v>5053</v>
      </c>
      <c r="H3402" s="375" t="s">
        <v>5054</v>
      </c>
      <c r="I3402" s="63" t="s">
        <v>5055</v>
      </c>
      <c r="J3402" s="47"/>
      <c r="K3402" s="46" t="s">
        <v>10735</v>
      </c>
      <c r="L3402" s="47" t="s">
        <v>5056</v>
      </c>
      <c r="M3402" s="47"/>
      <c r="N3402" s="47" t="s">
        <v>5057</v>
      </c>
      <c r="O3402" s="47"/>
      <c r="P3402" s="47"/>
      <c r="Q3402" s="47"/>
      <c r="R3402" s="47"/>
      <c r="S3402" s="47"/>
      <c r="T3402" s="47"/>
      <c r="U3402" s="47">
        <f t="shared" si="726"/>
        <v>430</v>
      </c>
      <c r="V3402" s="47"/>
      <c r="W3402" s="47"/>
      <c r="X3402" s="47"/>
      <c r="Y3402" s="47"/>
      <c r="Z3402" s="47">
        <f t="shared" si="728"/>
        <v>4620</v>
      </c>
      <c r="AA3402" s="47"/>
      <c r="AB3402" s="47"/>
      <c r="AC3402" s="47"/>
      <c r="AD3402" s="47"/>
      <c r="AE3402" s="47"/>
      <c r="AF3402" s="47"/>
      <c r="AG3402" s="47"/>
      <c r="AH3402" s="47">
        <f>IFERROR(_xlfn.XLOOKUP(Table6[[#This Row],[Suburb]],Table5[Travel Surcharge],Table5[$$]),"")</f>
        <v>7000</v>
      </c>
      <c r="AI3402" s="47"/>
      <c r="AJ3402" s="47"/>
    </row>
    <row r="3403" spans="1:36">
      <c r="A3403" s="157" t="s">
        <v>5051</v>
      </c>
      <c r="B3403" s="157">
        <v>8</v>
      </c>
      <c r="C3403" s="157" t="s">
        <v>289</v>
      </c>
      <c r="D3403" s="375" t="str">
        <f t="shared" si="727"/>
        <v>Platinum Rise8</v>
      </c>
      <c r="E3403" s="375" t="s">
        <v>7981</v>
      </c>
      <c r="F3403" s="375"/>
      <c r="G3403" s="375" t="s">
        <v>5053</v>
      </c>
      <c r="H3403" s="375" t="s">
        <v>5054</v>
      </c>
      <c r="I3403" s="63" t="s">
        <v>5055</v>
      </c>
      <c r="J3403" s="47"/>
      <c r="K3403" s="46" t="s">
        <v>10735</v>
      </c>
      <c r="L3403" s="47" t="s">
        <v>5056</v>
      </c>
      <c r="M3403" s="47"/>
      <c r="N3403" s="47" t="s">
        <v>5057</v>
      </c>
      <c r="O3403" s="47"/>
      <c r="P3403" s="47"/>
      <c r="Q3403" s="47"/>
      <c r="R3403" s="47"/>
      <c r="S3403" s="47"/>
      <c r="T3403" s="47"/>
      <c r="U3403" s="47">
        <f t="shared" si="726"/>
        <v>430</v>
      </c>
      <c r="V3403" s="47"/>
      <c r="W3403" s="47"/>
      <c r="X3403" s="47"/>
      <c r="Y3403" s="47"/>
      <c r="Z3403" s="47">
        <f t="shared" si="728"/>
        <v>4620</v>
      </c>
      <c r="AA3403" s="47"/>
      <c r="AB3403" s="47"/>
      <c r="AC3403" s="47"/>
      <c r="AD3403" s="47"/>
      <c r="AE3403" s="47"/>
      <c r="AF3403" s="47"/>
      <c r="AG3403" s="47"/>
      <c r="AH3403" s="47">
        <f>IFERROR(_xlfn.XLOOKUP(Table6[[#This Row],[Suburb]],Table5[Travel Surcharge],Table5[$$]),"")</f>
        <v>7000</v>
      </c>
      <c r="AI3403" s="47"/>
      <c r="AJ3403" s="47"/>
    </row>
    <row r="3404" spans="1:36">
      <c r="A3404" s="374" t="s">
        <v>5062</v>
      </c>
      <c r="B3404" s="374">
        <v>1</v>
      </c>
      <c r="C3404" s="374" t="s">
        <v>394</v>
      </c>
      <c r="D3404" s="375" t="str">
        <f t="shared" si="727"/>
        <v>Plenty Valley Views1</v>
      </c>
      <c r="E3404" s="375" t="s">
        <v>5063</v>
      </c>
      <c r="F3404" s="375" t="s">
        <v>920</v>
      </c>
      <c r="G3404" s="375" t="s">
        <v>3222</v>
      </c>
      <c r="H3404" s="375" t="s">
        <v>922</v>
      </c>
      <c r="I3404" s="63" t="s">
        <v>923</v>
      </c>
      <c r="J3404" s="47">
        <f t="shared" ref="J3404:J3414" si="729">J$7</f>
        <v>3740</v>
      </c>
      <c r="K3404" s="46" t="s">
        <v>7938</v>
      </c>
      <c r="L3404" s="47"/>
      <c r="M3404" s="47"/>
      <c r="N3404" s="47"/>
      <c r="O3404" s="47"/>
      <c r="P3404" s="47"/>
      <c r="Q3404" s="47">
        <f>Q$2</f>
        <v>0</v>
      </c>
      <c r="R3404" s="47"/>
      <c r="S3404" s="47"/>
      <c r="T3404" s="47"/>
      <c r="U3404" s="47"/>
      <c r="V3404" s="47"/>
      <c r="W3404" s="47"/>
      <c r="X3404" s="47"/>
      <c r="Y3404" s="47"/>
      <c r="Z3404" s="47">
        <f t="shared" si="728"/>
        <v>4620</v>
      </c>
      <c r="AA3404" s="47"/>
      <c r="AB3404" s="47"/>
      <c r="AC3404" s="47"/>
      <c r="AD3404" s="47"/>
      <c r="AE3404" s="47"/>
      <c r="AF3404" s="47"/>
      <c r="AG3404" s="47"/>
      <c r="AH3404" s="47" t="str">
        <f>IFERROR(_xlfn.XLOOKUP(Table6[[#This Row],[Suburb]],Table5[Travel Surcharge],Table5[$$]),"")</f>
        <v/>
      </c>
      <c r="AI3404" s="47"/>
      <c r="AJ3404" s="47"/>
    </row>
    <row r="3405" spans="1:36">
      <c r="A3405" s="374" t="s">
        <v>5062</v>
      </c>
      <c r="B3405" s="374">
        <v>2</v>
      </c>
      <c r="C3405" s="374" t="s">
        <v>394</v>
      </c>
      <c r="D3405" s="375" t="str">
        <f t="shared" si="727"/>
        <v>Plenty Valley Views2</v>
      </c>
      <c r="E3405" s="375" t="s">
        <v>5064</v>
      </c>
      <c r="F3405" s="375" t="s">
        <v>920</v>
      </c>
      <c r="G3405" s="375" t="s">
        <v>3222</v>
      </c>
      <c r="H3405" s="375" t="s">
        <v>922</v>
      </c>
      <c r="I3405" s="63" t="s">
        <v>923</v>
      </c>
      <c r="J3405" s="47">
        <f t="shared" si="729"/>
        <v>3740</v>
      </c>
      <c r="K3405" s="46" t="s">
        <v>7938</v>
      </c>
      <c r="L3405" s="47"/>
      <c r="M3405" s="47"/>
      <c r="N3405" s="47"/>
      <c r="O3405" s="47"/>
      <c r="P3405" s="47"/>
      <c r="Q3405" s="47">
        <f>Q$2</f>
        <v>0</v>
      </c>
      <c r="R3405" s="47"/>
      <c r="S3405" s="47"/>
      <c r="T3405" s="47"/>
      <c r="U3405" s="47"/>
      <c r="V3405" s="47"/>
      <c r="W3405" s="47"/>
      <c r="X3405" s="47"/>
      <c r="Y3405" s="47"/>
      <c r="Z3405" s="47">
        <f t="shared" si="728"/>
        <v>4620</v>
      </c>
      <c r="AA3405" s="47"/>
      <c r="AB3405" s="47"/>
      <c r="AC3405" s="47"/>
      <c r="AD3405" s="47"/>
      <c r="AE3405" s="47"/>
      <c r="AF3405" s="47"/>
      <c r="AG3405" s="47"/>
      <c r="AH3405" s="47" t="str">
        <f>IFERROR(_xlfn.XLOOKUP(Table6[[#This Row],[Suburb]],Table5[Travel Surcharge],Table5[$$]),"")</f>
        <v/>
      </c>
      <c r="AI3405" s="47"/>
      <c r="AJ3405" s="47"/>
    </row>
    <row r="3406" spans="1:36">
      <c r="A3406" s="374" t="s">
        <v>5065</v>
      </c>
      <c r="B3406" s="374">
        <v>1</v>
      </c>
      <c r="C3406" s="374" t="s">
        <v>5066</v>
      </c>
      <c r="D3406" s="375" t="str">
        <f t="shared" si="727"/>
        <v>Ploughmans Arms Estate1</v>
      </c>
      <c r="E3406" s="375" t="s">
        <v>5067</v>
      </c>
      <c r="F3406" s="375" t="s">
        <v>5068</v>
      </c>
      <c r="G3406" s="375" t="s">
        <v>5069</v>
      </c>
      <c r="H3406" s="375" t="s">
        <v>5070</v>
      </c>
      <c r="I3406" s="63" t="s">
        <v>5071</v>
      </c>
      <c r="J3406" s="47">
        <f t="shared" si="729"/>
        <v>3740</v>
      </c>
      <c r="K3406" s="46" t="s">
        <v>10735</v>
      </c>
      <c r="L3406" s="47"/>
      <c r="M3406" s="47"/>
      <c r="N3406" s="47"/>
      <c r="O3406" s="47">
        <f t="shared" ref="O3406:O3411" si="730">O$7</f>
        <v>4950</v>
      </c>
      <c r="P3406" s="47" t="s">
        <v>8788</v>
      </c>
      <c r="Q3406" s="47"/>
      <c r="R3406" s="47"/>
      <c r="S3406" s="47" t="s">
        <v>637</v>
      </c>
      <c r="T3406" s="47"/>
      <c r="U3406" s="47"/>
      <c r="V3406" s="47"/>
      <c r="W3406" s="47"/>
      <c r="X3406" s="47"/>
      <c r="Y3406" s="47"/>
      <c r="Z3406" s="47">
        <f t="shared" si="728"/>
        <v>4620</v>
      </c>
      <c r="AA3406" s="47"/>
      <c r="AB3406" s="47"/>
      <c r="AC3406" s="47"/>
      <c r="AD3406" s="47"/>
      <c r="AE3406" s="47"/>
      <c r="AF3406" s="47"/>
      <c r="AG3406" s="47"/>
      <c r="AH3406" s="47" t="str">
        <f>IFERROR(_xlfn.XLOOKUP(Table6[[#This Row],[Suburb]],Table5[Travel Surcharge],Table5[$$]),"")</f>
        <v/>
      </c>
      <c r="AI3406" s="47"/>
      <c r="AJ3406" s="47">
        <f t="shared" ref="AJ3406:AJ3411" si="731">AJ$7</f>
        <v>4400</v>
      </c>
    </row>
    <row r="3407" spans="1:36">
      <c r="A3407" s="374" t="s">
        <v>5065</v>
      </c>
      <c r="B3407" s="374">
        <v>2</v>
      </c>
      <c r="C3407" s="374" t="s">
        <v>5066</v>
      </c>
      <c r="D3407" s="375" t="str">
        <f t="shared" si="727"/>
        <v>Ploughmans Arms Estate2</v>
      </c>
      <c r="E3407" s="375" t="s">
        <v>5072</v>
      </c>
      <c r="F3407" s="375" t="s">
        <v>5068</v>
      </c>
      <c r="G3407" s="375" t="s">
        <v>5069</v>
      </c>
      <c r="H3407" s="375" t="s">
        <v>5070</v>
      </c>
      <c r="I3407" s="63" t="s">
        <v>5071</v>
      </c>
      <c r="J3407" s="47">
        <f t="shared" si="729"/>
        <v>3740</v>
      </c>
      <c r="K3407" s="46" t="s">
        <v>10735</v>
      </c>
      <c r="L3407" s="47"/>
      <c r="M3407" s="47"/>
      <c r="N3407" s="47"/>
      <c r="O3407" s="47">
        <f t="shared" si="730"/>
        <v>4950</v>
      </c>
      <c r="P3407" s="47" t="s">
        <v>8788</v>
      </c>
      <c r="Q3407" s="47"/>
      <c r="R3407" s="47"/>
      <c r="S3407" s="47" t="s">
        <v>637</v>
      </c>
      <c r="T3407" s="47"/>
      <c r="U3407" s="47"/>
      <c r="V3407" s="47"/>
      <c r="W3407" s="47"/>
      <c r="X3407" s="47"/>
      <c r="Y3407" s="47"/>
      <c r="Z3407" s="47">
        <f t="shared" si="728"/>
        <v>4620</v>
      </c>
      <c r="AA3407" s="47"/>
      <c r="AB3407" s="47"/>
      <c r="AC3407" s="47"/>
      <c r="AD3407" s="47"/>
      <c r="AE3407" s="47"/>
      <c r="AF3407" s="47"/>
      <c r="AG3407" s="47"/>
      <c r="AH3407" s="47" t="str">
        <f>IFERROR(_xlfn.XLOOKUP(Table6[[#This Row],[Suburb]],Table5[Travel Surcharge],Table5[$$]),"")</f>
        <v/>
      </c>
      <c r="AI3407" s="47"/>
      <c r="AJ3407" s="47">
        <f t="shared" si="731"/>
        <v>4400</v>
      </c>
    </row>
    <row r="3408" spans="1:36">
      <c r="A3408" s="374" t="s">
        <v>5065</v>
      </c>
      <c r="B3408" s="374">
        <v>3</v>
      </c>
      <c r="C3408" s="374" t="s">
        <v>5066</v>
      </c>
      <c r="D3408" s="375" t="str">
        <f t="shared" si="727"/>
        <v>Ploughmans Arms Estate3</v>
      </c>
      <c r="E3408" s="375" t="s">
        <v>5073</v>
      </c>
      <c r="F3408" s="375" t="s">
        <v>5068</v>
      </c>
      <c r="G3408" s="375" t="s">
        <v>5069</v>
      </c>
      <c r="H3408" s="375" t="s">
        <v>5070</v>
      </c>
      <c r="I3408" s="63" t="s">
        <v>5071</v>
      </c>
      <c r="J3408" s="47">
        <f t="shared" si="729"/>
        <v>3740</v>
      </c>
      <c r="K3408" s="46" t="s">
        <v>10735</v>
      </c>
      <c r="L3408" s="47"/>
      <c r="M3408" s="47"/>
      <c r="N3408" s="47"/>
      <c r="O3408" s="47">
        <f t="shared" si="730"/>
        <v>4950</v>
      </c>
      <c r="P3408" s="47" t="s">
        <v>8788</v>
      </c>
      <c r="Q3408" s="47"/>
      <c r="R3408" s="47"/>
      <c r="S3408" s="47" t="s">
        <v>637</v>
      </c>
      <c r="T3408" s="47"/>
      <c r="U3408" s="47"/>
      <c r="V3408" s="47"/>
      <c r="W3408" s="47"/>
      <c r="X3408" s="47"/>
      <c r="Y3408" s="47"/>
      <c r="Z3408" s="47">
        <f t="shared" si="728"/>
        <v>4620</v>
      </c>
      <c r="AA3408" s="47"/>
      <c r="AB3408" s="47"/>
      <c r="AC3408" s="47"/>
      <c r="AD3408" s="47"/>
      <c r="AE3408" s="47"/>
      <c r="AF3408" s="47"/>
      <c r="AG3408" s="47"/>
      <c r="AH3408" s="47" t="str">
        <f>IFERROR(_xlfn.XLOOKUP(Table6[[#This Row],[Suburb]],Table5[Travel Surcharge],Table5[$$]),"")</f>
        <v/>
      </c>
      <c r="AI3408" s="47"/>
      <c r="AJ3408" s="47">
        <f t="shared" si="731"/>
        <v>4400</v>
      </c>
    </row>
    <row r="3409" spans="1:36">
      <c r="A3409" s="374" t="s">
        <v>5065</v>
      </c>
      <c r="B3409" s="374">
        <v>5</v>
      </c>
      <c r="C3409" s="374" t="s">
        <v>5066</v>
      </c>
      <c r="D3409" s="375" t="str">
        <f t="shared" si="727"/>
        <v>Ploughmans Arms Estate5</v>
      </c>
      <c r="E3409" s="375" t="s">
        <v>5074</v>
      </c>
      <c r="F3409" s="375" t="s">
        <v>5068</v>
      </c>
      <c r="G3409" s="375" t="s">
        <v>5069</v>
      </c>
      <c r="H3409" s="375" t="s">
        <v>5070</v>
      </c>
      <c r="I3409" s="63" t="s">
        <v>5071</v>
      </c>
      <c r="J3409" s="47">
        <f t="shared" si="729"/>
        <v>3740</v>
      </c>
      <c r="K3409" s="46" t="s">
        <v>10735</v>
      </c>
      <c r="L3409" s="47"/>
      <c r="M3409" s="47"/>
      <c r="N3409" s="47"/>
      <c r="O3409" s="47">
        <f t="shared" si="730"/>
        <v>4950</v>
      </c>
      <c r="P3409" s="47" t="s">
        <v>8788</v>
      </c>
      <c r="Q3409" s="47"/>
      <c r="R3409" s="47"/>
      <c r="S3409" s="47" t="s">
        <v>637</v>
      </c>
      <c r="T3409" s="47"/>
      <c r="U3409" s="47"/>
      <c r="V3409" s="47"/>
      <c r="W3409" s="47"/>
      <c r="X3409" s="47"/>
      <c r="Y3409" s="47"/>
      <c r="Z3409" s="47">
        <f t="shared" si="728"/>
        <v>4620</v>
      </c>
      <c r="AA3409" s="47"/>
      <c r="AB3409" s="47"/>
      <c r="AC3409" s="47"/>
      <c r="AD3409" s="47"/>
      <c r="AE3409" s="47"/>
      <c r="AF3409" s="47"/>
      <c r="AG3409" s="47"/>
      <c r="AH3409" s="47" t="str">
        <f>IFERROR(_xlfn.XLOOKUP(Table6[[#This Row],[Suburb]],Table5[Travel Surcharge],Table5[$$]),"")</f>
        <v/>
      </c>
      <c r="AI3409" s="47"/>
      <c r="AJ3409" s="47">
        <f t="shared" si="731"/>
        <v>4400</v>
      </c>
    </row>
    <row r="3410" spans="1:36">
      <c r="A3410" s="374" t="s">
        <v>5065</v>
      </c>
      <c r="B3410" s="374" t="s">
        <v>528</v>
      </c>
      <c r="C3410" s="374" t="s">
        <v>5066</v>
      </c>
      <c r="D3410" s="375" t="str">
        <f t="shared" si="727"/>
        <v>Ploughmans Arms Estate4A</v>
      </c>
      <c r="E3410" s="375" t="s">
        <v>5075</v>
      </c>
      <c r="F3410" s="375" t="s">
        <v>5068</v>
      </c>
      <c r="G3410" s="375" t="s">
        <v>5069</v>
      </c>
      <c r="H3410" s="375" t="s">
        <v>5070</v>
      </c>
      <c r="I3410" s="63" t="s">
        <v>5071</v>
      </c>
      <c r="J3410" s="47">
        <f t="shared" si="729"/>
        <v>3740</v>
      </c>
      <c r="K3410" s="46" t="s">
        <v>10735</v>
      </c>
      <c r="L3410" s="47"/>
      <c r="M3410" s="47"/>
      <c r="N3410" s="47"/>
      <c r="O3410" s="47">
        <f t="shared" si="730"/>
        <v>4950</v>
      </c>
      <c r="P3410" s="47" t="s">
        <v>8788</v>
      </c>
      <c r="Q3410" s="47"/>
      <c r="R3410" s="47"/>
      <c r="S3410" s="47" t="s">
        <v>637</v>
      </c>
      <c r="T3410" s="47"/>
      <c r="U3410" s="47"/>
      <c r="V3410" s="47"/>
      <c r="W3410" s="47"/>
      <c r="X3410" s="47"/>
      <c r="Y3410" s="47"/>
      <c r="Z3410" s="47">
        <f t="shared" si="728"/>
        <v>4620</v>
      </c>
      <c r="AA3410" s="47"/>
      <c r="AB3410" s="47"/>
      <c r="AC3410" s="47"/>
      <c r="AD3410" s="47"/>
      <c r="AE3410" s="47"/>
      <c r="AF3410" s="47"/>
      <c r="AG3410" s="47"/>
      <c r="AH3410" s="47" t="str">
        <f>IFERROR(_xlfn.XLOOKUP(Table6[[#This Row],[Suburb]],Table5[Travel Surcharge],Table5[$$]),"")</f>
        <v/>
      </c>
      <c r="AI3410" s="47"/>
      <c r="AJ3410" s="47">
        <f t="shared" si="731"/>
        <v>4400</v>
      </c>
    </row>
    <row r="3411" spans="1:36">
      <c r="A3411" s="374" t="s">
        <v>5065</v>
      </c>
      <c r="B3411" s="374" t="s">
        <v>613</v>
      </c>
      <c r="C3411" s="374" t="s">
        <v>5066</v>
      </c>
      <c r="D3411" s="375" t="str">
        <f t="shared" si="727"/>
        <v>Ploughmans Arms Estate4B</v>
      </c>
      <c r="E3411" s="375" t="s">
        <v>5076</v>
      </c>
      <c r="F3411" s="375" t="s">
        <v>5068</v>
      </c>
      <c r="G3411" s="375" t="s">
        <v>5069</v>
      </c>
      <c r="H3411" s="375" t="s">
        <v>5070</v>
      </c>
      <c r="I3411" s="63" t="s">
        <v>5071</v>
      </c>
      <c r="J3411" s="47">
        <f t="shared" si="729"/>
        <v>3740</v>
      </c>
      <c r="K3411" s="46" t="s">
        <v>10735</v>
      </c>
      <c r="L3411" s="47"/>
      <c r="M3411" s="47"/>
      <c r="N3411" s="47"/>
      <c r="O3411" s="47">
        <f t="shared" si="730"/>
        <v>4950</v>
      </c>
      <c r="P3411" s="47" t="s">
        <v>8788</v>
      </c>
      <c r="Q3411" s="47"/>
      <c r="R3411" s="47"/>
      <c r="S3411" s="47" t="s">
        <v>637</v>
      </c>
      <c r="T3411" s="47"/>
      <c r="U3411" s="47"/>
      <c r="V3411" s="47"/>
      <c r="W3411" s="47"/>
      <c r="X3411" s="47"/>
      <c r="Y3411" s="47"/>
      <c r="Z3411" s="47">
        <f t="shared" si="728"/>
        <v>4620</v>
      </c>
      <c r="AA3411" s="47"/>
      <c r="AB3411" s="47"/>
      <c r="AC3411" s="47"/>
      <c r="AD3411" s="47"/>
      <c r="AE3411" s="47"/>
      <c r="AF3411" s="47"/>
      <c r="AG3411" s="47"/>
      <c r="AH3411" s="47" t="str">
        <f>IFERROR(_xlfn.XLOOKUP(Table6[[#This Row],[Suburb]],Table5[Travel Surcharge],Table5[$$]),"")</f>
        <v/>
      </c>
      <c r="AI3411" s="47"/>
      <c r="AJ3411" s="47">
        <f t="shared" si="731"/>
        <v>4400</v>
      </c>
    </row>
    <row r="3412" spans="1:36">
      <c r="A3412" s="374" t="s">
        <v>9715</v>
      </c>
      <c r="B3412" s="374">
        <v>1</v>
      </c>
      <c r="C3412" s="374" t="s">
        <v>802</v>
      </c>
      <c r="D3412" s="375" t="str">
        <f t="shared" si="727"/>
        <v>Primrose Park1</v>
      </c>
      <c r="E3412" s="375" t="s">
        <v>9716</v>
      </c>
      <c r="F3412" s="375"/>
      <c r="G3412" s="375"/>
      <c r="H3412" s="375"/>
      <c r="I3412" s="63"/>
      <c r="J3412" s="47">
        <f t="shared" si="729"/>
        <v>3740</v>
      </c>
      <c r="K3412" s="46" t="s">
        <v>10735</v>
      </c>
      <c r="L3412" s="47"/>
      <c r="M3412" s="47"/>
      <c r="N3412" s="47"/>
      <c r="O3412" s="47"/>
      <c r="P3412" s="47"/>
      <c r="Q3412" s="47">
        <f>Q$2</f>
        <v>0</v>
      </c>
      <c r="R3412" s="47"/>
      <c r="S3412" s="47"/>
      <c r="T3412" s="47"/>
      <c r="U3412" s="47"/>
      <c r="V3412" s="47"/>
      <c r="W3412" s="47"/>
      <c r="X3412" s="47"/>
      <c r="Y3412" s="47"/>
      <c r="Z3412" s="47">
        <f t="shared" si="728"/>
        <v>4620</v>
      </c>
      <c r="AA3412" s="47"/>
      <c r="AB3412" s="47"/>
      <c r="AC3412" s="47"/>
      <c r="AD3412" s="47"/>
      <c r="AE3412" s="47"/>
      <c r="AF3412" s="47"/>
      <c r="AG3412" s="47"/>
      <c r="AH3412" s="47" t="str">
        <f>IFERROR(_xlfn.XLOOKUP(Table6[[#This Row],[Suburb]],Table5[Travel Surcharge],Table5[$$]),"")</f>
        <v/>
      </c>
      <c r="AI3412" s="47"/>
      <c r="AJ3412" s="47"/>
    </row>
    <row r="3413" spans="1:36">
      <c r="A3413" s="374" t="s">
        <v>5077</v>
      </c>
      <c r="B3413" s="374">
        <v>3</v>
      </c>
      <c r="C3413" s="374" t="s">
        <v>802</v>
      </c>
      <c r="D3413" s="375" t="str">
        <f t="shared" si="727"/>
        <v>Prominence Estate3</v>
      </c>
      <c r="E3413" s="375" t="s">
        <v>5078</v>
      </c>
      <c r="F3413" s="375" t="s">
        <v>1155</v>
      </c>
      <c r="G3413" s="375" t="s">
        <v>5079</v>
      </c>
      <c r="H3413" s="375" t="s">
        <v>5080</v>
      </c>
      <c r="I3413" s="63" t="s">
        <v>5081</v>
      </c>
      <c r="J3413" s="47">
        <f t="shared" si="729"/>
        <v>3740</v>
      </c>
      <c r="K3413" s="46" t="s">
        <v>10735</v>
      </c>
      <c r="L3413" s="47"/>
      <c r="M3413" s="47"/>
      <c r="N3413" s="47"/>
      <c r="O3413" s="47" t="s">
        <v>5082</v>
      </c>
      <c r="P3413" s="47"/>
      <c r="Q3413" s="47">
        <f>Q$2</f>
        <v>0</v>
      </c>
      <c r="R3413" s="47"/>
      <c r="S3413" s="47"/>
      <c r="T3413" s="47"/>
      <c r="U3413" s="47"/>
      <c r="V3413" s="47"/>
      <c r="W3413" s="47"/>
      <c r="X3413" s="47"/>
      <c r="Y3413" s="47"/>
      <c r="Z3413" s="47">
        <f t="shared" si="728"/>
        <v>4620</v>
      </c>
      <c r="AA3413" s="47"/>
      <c r="AB3413" s="47"/>
      <c r="AC3413" s="47"/>
      <c r="AD3413" s="47"/>
      <c r="AE3413" s="47"/>
      <c r="AF3413" s="47"/>
      <c r="AG3413" s="47"/>
      <c r="AH3413" s="47" t="str">
        <f>IFERROR(_xlfn.XLOOKUP(Table6[[#This Row],[Suburb]],Table5[Travel Surcharge],Table5[$$]),"")</f>
        <v/>
      </c>
      <c r="AI3413" s="47"/>
      <c r="AJ3413" s="47"/>
    </row>
    <row r="3414" spans="1:36">
      <c r="A3414" s="374" t="s">
        <v>5077</v>
      </c>
      <c r="B3414" s="374">
        <v>4</v>
      </c>
      <c r="C3414" s="374" t="s">
        <v>802</v>
      </c>
      <c r="D3414" s="375" t="str">
        <f t="shared" si="727"/>
        <v>Prominence Estate4</v>
      </c>
      <c r="E3414" s="375" t="s">
        <v>5083</v>
      </c>
      <c r="F3414" s="375" t="s">
        <v>1155</v>
      </c>
      <c r="G3414" s="375" t="s">
        <v>5079</v>
      </c>
      <c r="H3414" s="375" t="s">
        <v>5080</v>
      </c>
      <c r="I3414" s="63" t="s">
        <v>5081</v>
      </c>
      <c r="J3414" s="47">
        <f t="shared" si="729"/>
        <v>3740</v>
      </c>
      <c r="K3414" s="46" t="s">
        <v>10735</v>
      </c>
      <c r="L3414" s="47"/>
      <c r="M3414" s="47"/>
      <c r="N3414" s="47"/>
      <c r="O3414" s="47" t="s">
        <v>5082</v>
      </c>
      <c r="P3414" s="47"/>
      <c r="Q3414" s="47">
        <f>Q$2</f>
        <v>0</v>
      </c>
      <c r="R3414" s="47"/>
      <c r="S3414" s="47"/>
      <c r="T3414" s="47"/>
      <c r="U3414" s="47"/>
      <c r="V3414" s="47"/>
      <c r="W3414" s="47"/>
      <c r="X3414" s="47"/>
      <c r="Y3414" s="47"/>
      <c r="Z3414" s="47">
        <f t="shared" si="728"/>
        <v>4620</v>
      </c>
      <c r="AA3414" s="47"/>
      <c r="AB3414" s="47"/>
      <c r="AC3414" s="47"/>
      <c r="AD3414" s="47"/>
      <c r="AE3414" s="47"/>
      <c r="AF3414" s="47"/>
      <c r="AG3414" s="47"/>
      <c r="AH3414" s="47" t="str">
        <f>IFERROR(_xlfn.XLOOKUP(Table6[[#This Row],[Suburb]],Table5[Travel Surcharge],Table5[$$]),"")</f>
        <v/>
      </c>
      <c r="AI3414" s="47"/>
      <c r="AJ3414" s="47"/>
    </row>
    <row r="3415" spans="1:36">
      <c r="A3415" s="374" t="s">
        <v>5084</v>
      </c>
      <c r="B3415" s="374">
        <v>1</v>
      </c>
      <c r="C3415" s="374" t="s">
        <v>394</v>
      </c>
      <c r="D3415" s="375" t="str">
        <f t="shared" si="727"/>
        <v>Prospect Views Estate1</v>
      </c>
      <c r="E3415" s="375" t="s">
        <v>5083</v>
      </c>
      <c r="F3415" s="375" t="s">
        <v>5085</v>
      </c>
      <c r="G3415" s="375"/>
      <c r="H3415" s="375" t="s">
        <v>5086</v>
      </c>
      <c r="I3415" s="63" t="s">
        <v>5087</v>
      </c>
      <c r="J3415" s="47"/>
      <c r="K3415" s="46" t="s">
        <v>10735</v>
      </c>
      <c r="L3415" s="47"/>
      <c r="M3415" s="47"/>
      <c r="N3415" s="47"/>
      <c r="O3415" s="47"/>
      <c r="P3415" s="47"/>
      <c r="Q3415" s="47">
        <f>Q$2</f>
        <v>0</v>
      </c>
      <c r="R3415" s="47"/>
      <c r="S3415" s="47"/>
      <c r="T3415" s="47"/>
      <c r="U3415" s="47"/>
      <c r="V3415" s="47"/>
      <c r="W3415" s="47"/>
      <c r="X3415" s="47"/>
      <c r="Y3415" s="47"/>
      <c r="Z3415" s="47">
        <f t="shared" si="728"/>
        <v>4620</v>
      </c>
      <c r="AA3415" s="47"/>
      <c r="AB3415" s="47"/>
      <c r="AC3415" s="47"/>
      <c r="AD3415" s="47"/>
      <c r="AE3415" s="47"/>
      <c r="AF3415" s="47"/>
      <c r="AG3415" s="47"/>
      <c r="AH3415" s="47" t="str">
        <f>IFERROR(_xlfn.XLOOKUP(Table6[[#This Row],[Suburb]],Table5[Travel Surcharge],Table5[$$]),"")</f>
        <v/>
      </c>
      <c r="AI3415" s="47"/>
      <c r="AJ3415" s="47"/>
    </row>
    <row r="3416" spans="1:36">
      <c r="A3416" s="374" t="s">
        <v>9578</v>
      </c>
      <c r="B3416" s="374">
        <v>2</v>
      </c>
      <c r="C3416" s="374" t="s">
        <v>305</v>
      </c>
      <c r="D3416" s="375" t="str">
        <f t="shared" si="727"/>
        <v>Prosper2</v>
      </c>
      <c r="E3416" s="375" t="s">
        <v>9579</v>
      </c>
      <c r="F3416" s="375"/>
      <c r="G3416" s="375"/>
      <c r="H3416" s="375"/>
      <c r="I3416" s="63"/>
      <c r="J3416" s="47"/>
      <c r="K3416" s="46" t="s">
        <v>10735</v>
      </c>
      <c r="L3416" s="47"/>
      <c r="M3416" s="47"/>
      <c r="N3416" s="47"/>
      <c r="O3416" s="47"/>
      <c r="P3416" s="47"/>
      <c r="Q3416" s="47"/>
      <c r="R3416" s="47" t="s">
        <v>9580</v>
      </c>
      <c r="S3416" s="47" t="s">
        <v>463</v>
      </c>
      <c r="T3416" s="47"/>
      <c r="U3416" s="47"/>
      <c r="V3416" s="47"/>
      <c r="W3416" s="47"/>
      <c r="X3416" s="47"/>
      <c r="Y3416" s="47"/>
      <c r="Z3416" s="47">
        <f t="shared" si="728"/>
        <v>4620</v>
      </c>
      <c r="AA3416" s="47"/>
      <c r="AB3416" s="47"/>
      <c r="AC3416" s="47"/>
      <c r="AD3416" s="47"/>
      <c r="AE3416" s="47"/>
      <c r="AF3416" s="47"/>
      <c r="AG3416" s="47"/>
      <c r="AH3416" s="47">
        <f>IFERROR(_xlfn.XLOOKUP(Table6[[#This Row],[Suburb]],Table5[Travel Surcharge],Table5[$$]),"")</f>
        <v>8000</v>
      </c>
      <c r="AI3416" s="47"/>
      <c r="AJ3416" s="47"/>
    </row>
    <row r="3417" spans="1:36">
      <c r="A3417" s="374" t="s">
        <v>5088</v>
      </c>
      <c r="B3417" s="374">
        <v>1</v>
      </c>
      <c r="C3417" s="374" t="s">
        <v>295</v>
      </c>
      <c r="D3417" s="375" t="str">
        <f t="shared" si="727"/>
        <v>Providence1</v>
      </c>
      <c r="E3417" s="375" t="s">
        <v>5089</v>
      </c>
      <c r="F3417" s="375"/>
      <c r="G3417" s="375"/>
      <c r="H3417" s="375"/>
      <c r="I3417" s="63"/>
      <c r="J3417" s="47"/>
      <c r="K3417" s="46" t="s">
        <v>10735</v>
      </c>
      <c r="L3417" s="47"/>
      <c r="M3417" s="47">
        <f>M$7</f>
        <v>1430.0000000000002</v>
      </c>
      <c r="N3417" s="47" t="s">
        <v>5090</v>
      </c>
      <c r="O3417" s="47">
        <f>O$7</f>
        <v>4950</v>
      </c>
      <c r="P3417" s="47" t="s">
        <v>5091</v>
      </c>
      <c r="Q3417" s="47" t="s">
        <v>8788</v>
      </c>
      <c r="R3417" s="47"/>
      <c r="S3417" s="47" t="s">
        <v>381</v>
      </c>
      <c r="T3417" s="47"/>
      <c r="U3417" s="47"/>
      <c r="V3417" s="47"/>
      <c r="W3417" s="47"/>
      <c r="X3417" s="47"/>
      <c r="Y3417" s="47"/>
      <c r="Z3417" s="47">
        <f t="shared" si="728"/>
        <v>4620</v>
      </c>
      <c r="AA3417" s="47"/>
      <c r="AB3417" s="47"/>
      <c r="AC3417" s="47"/>
      <c r="AD3417" s="47"/>
      <c r="AE3417" s="47"/>
      <c r="AF3417" s="47"/>
      <c r="AG3417" s="47"/>
      <c r="AH3417" s="47" t="str">
        <f>IFERROR(_xlfn.XLOOKUP(Table6[[#This Row],[Suburb]],Table5[Travel Surcharge],Table5[$$]),"")</f>
        <v/>
      </c>
      <c r="AI3417" s="47"/>
      <c r="AJ3417" s="47">
        <f>AJ$7</f>
        <v>4400</v>
      </c>
    </row>
    <row r="3418" spans="1:36">
      <c r="A3418" s="374" t="s">
        <v>5088</v>
      </c>
      <c r="B3418" s="374">
        <v>2</v>
      </c>
      <c r="C3418" s="374" t="s">
        <v>295</v>
      </c>
      <c r="D3418" s="375" t="str">
        <f t="shared" si="727"/>
        <v>Providence2</v>
      </c>
      <c r="E3418" s="375" t="s">
        <v>5092</v>
      </c>
      <c r="F3418" s="375"/>
      <c r="G3418" s="375"/>
      <c r="H3418" s="375"/>
      <c r="I3418" s="63"/>
      <c r="J3418" s="47"/>
      <c r="K3418" s="46" t="s">
        <v>10735</v>
      </c>
      <c r="L3418" s="47"/>
      <c r="M3418" s="47">
        <f>M$7</f>
        <v>1430.0000000000002</v>
      </c>
      <c r="N3418" s="47" t="s">
        <v>5090</v>
      </c>
      <c r="O3418" s="47">
        <f>O$7</f>
        <v>4950</v>
      </c>
      <c r="P3418" s="47" t="s">
        <v>5091</v>
      </c>
      <c r="Q3418" s="47" t="s">
        <v>8788</v>
      </c>
      <c r="R3418" s="47"/>
      <c r="S3418" s="47" t="s">
        <v>381</v>
      </c>
      <c r="T3418" s="47"/>
      <c r="U3418" s="47"/>
      <c r="V3418" s="47"/>
      <c r="W3418" s="47"/>
      <c r="X3418" s="47"/>
      <c r="Y3418" s="47"/>
      <c r="Z3418" s="47">
        <f t="shared" si="728"/>
        <v>4620</v>
      </c>
      <c r="AA3418" s="47"/>
      <c r="AB3418" s="47"/>
      <c r="AC3418" s="47"/>
      <c r="AD3418" s="47"/>
      <c r="AE3418" s="47"/>
      <c r="AF3418" s="47"/>
      <c r="AG3418" s="47"/>
      <c r="AH3418" s="47" t="str">
        <f>IFERROR(_xlfn.XLOOKUP(Table6[[#This Row],[Suburb]],Table5[Travel Surcharge],Table5[$$]),"")</f>
        <v/>
      </c>
      <c r="AI3418" s="47"/>
      <c r="AJ3418" s="47">
        <f>AJ$7</f>
        <v>4400</v>
      </c>
    </row>
    <row r="3419" spans="1:36">
      <c r="A3419" s="157" t="s">
        <v>5088</v>
      </c>
      <c r="B3419" s="157">
        <v>3</v>
      </c>
      <c r="C3419" s="374" t="s">
        <v>295</v>
      </c>
      <c r="D3419" s="157" t="str">
        <f t="shared" si="727"/>
        <v>Providence3</v>
      </c>
      <c r="E3419" s="157" t="s">
        <v>7413</v>
      </c>
      <c r="F3419" s="157"/>
      <c r="G3419" s="157"/>
      <c r="H3419" s="157"/>
      <c r="I3419" s="158"/>
      <c r="J3419" s="47"/>
      <c r="K3419" s="46" t="s">
        <v>10735</v>
      </c>
      <c r="L3419" s="47"/>
      <c r="M3419" s="47">
        <f>M$7</f>
        <v>1430.0000000000002</v>
      </c>
      <c r="N3419" s="47" t="s">
        <v>5090</v>
      </c>
      <c r="O3419" s="47">
        <f>O$7</f>
        <v>4950</v>
      </c>
      <c r="P3419" s="47" t="s">
        <v>5091</v>
      </c>
      <c r="Q3419" s="47" t="s">
        <v>8788</v>
      </c>
      <c r="R3419" s="47"/>
      <c r="S3419" s="47" t="s">
        <v>381</v>
      </c>
      <c r="T3419" s="47"/>
      <c r="U3419" s="47"/>
      <c r="V3419" s="47"/>
      <c r="W3419" s="47"/>
      <c r="X3419" s="47"/>
      <c r="Y3419" s="47"/>
      <c r="Z3419" s="47">
        <f t="shared" si="728"/>
        <v>4620</v>
      </c>
      <c r="AA3419" s="47"/>
      <c r="AB3419" s="47"/>
      <c r="AC3419" s="47"/>
      <c r="AD3419" s="47"/>
      <c r="AE3419" s="47"/>
      <c r="AF3419" s="47"/>
      <c r="AG3419" s="47"/>
      <c r="AH3419" s="47" t="str">
        <f>IFERROR(_xlfn.XLOOKUP(Table6[[#This Row],[Suburb]],Table5[Travel Surcharge],Table5[$$]),"")</f>
        <v/>
      </c>
      <c r="AI3419" s="47"/>
      <c r="AJ3419" s="47">
        <f>AJ$7</f>
        <v>4400</v>
      </c>
    </row>
    <row r="3420" spans="1:36">
      <c r="A3420" s="157" t="s">
        <v>7934</v>
      </c>
      <c r="B3420" s="157">
        <v>1</v>
      </c>
      <c r="C3420" s="157" t="s">
        <v>802</v>
      </c>
      <c r="D3420" s="157" t="str">
        <f t="shared" si="727"/>
        <v>Providence - Officer1</v>
      </c>
      <c r="E3420" s="157" t="s">
        <v>7926</v>
      </c>
      <c r="F3420" s="157"/>
      <c r="G3420" s="157"/>
      <c r="H3420" s="157"/>
      <c r="I3420" s="158"/>
      <c r="J3420" s="47">
        <f>J$7</f>
        <v>3740</v>
      </c>
      <c r="K3420" s="46" t="s">
        <v>10735</v>
      </c>
      <c r="L3420" s="47"/>
      <c r="M3420" s="47">
        <f>M$7</f>
        <v>1430.0000000000002</v>
      </c>
      <c r="N3420" s="47" t="s">
        <v>7927</v>
      </c>
      <c r="O3420" s="47"/>
      <c r="P3420" s="47"/>
      <c r="Q3420" s="47"/>
      <c r="R3420" s="47"/>
      <c r="S3420" s="47" t="s">
        <v>463</v>
      </c>
      <c r="T3420" s="47"/>
      <c r="U3420" s="47"/>
      <c r="V3420" s="47"/>
      <c r="W3420" s="47"/>
      <c r="X3420" s="47"/>
      <c r="Y3420" s="47"/>
      <c r="Z3420" s="47">
        <f t="shared" si="728"/>
        <v>4620</v>
      </c>
      <c r="AA3420" s="47">
        <f t="shared" ref="AA3420:AA3427" si="732">AA$7</f>
        <v>1400</v>
      </c>
      <c r="AB3420" s="47">
        <f>$AB$7</f>
        <v>2800</v>
      </c>
      <c r="AC3420" s="47"/>
      <c r="AD3420" s="47"/>
      <c r="AE3420" s="47"/>
      <c r="AF3420" s="47">
        <f>$AF$7</f>
        <v>1485</v>
      </c>
      <c r="AG3420" s="47" t="s">
        <v>7928</v>
      </c>
      <c r="AH3420" s="47" t="str">
        <f>IFERROR(_xlfn.XLOOKUP(Table6[[#This Row],[Suburb]],Table5[Travel Surcharge],Table5[$$]),"")</f>
        <v/>
      </c>
      <c r="AI3420" s="47"/>
      <c r="AJ3420" s="47"/>
    </row>
    <row r="3421" spans="1:36">
      <c r="A3421" s="374" t="s">
        <v>7934</v>
      </c>
      <c r="B3421" s="374">
        <v>2</v>
      </c>
      <c r="C3421" s="374" t="s">
        <v>802</v>
      </c>
      <c r="D3421" s="375" t="str">
        <f t="shared" si="727"/>
        <v>Providence - Officer2</v>
      </c>
      <c r="E3421" s="375" t="s">
        <v>9960</v>
      </c>
      <c r="F3421" s="375"/>
      <c r="G3421" s="375"/>
      <c r="H3421" s="375"/>
      <c r="I3421" s="63"/>
      <c r="J3421" s="47">
        <v>3740</v>
      </c>
      <c r="K3421" s="46" t="s">
        <v>10735</v>
      </c>
      <c r="L3421" s="47"/>
      <c r="M3421" s="47">
        <v>1430.0000000000002</v>
      </c>
      <c r="N3421" s="47" t="s">
        <v>7927</v>
      </c>
      <c r="O3421" s="47"/>
      <c r="P3421" s="47"/>
      <c r="Q3421" s="47"/>
      <c r="R3421" s="47"/>
      <c r="S3421" s="47" t="s">
        <v>463</v>
      </c>
      <c r="T3421" s="47"/>
      <c r="U3421" s="47"/>
      <c r="V3421" s="47"/>
      <c r="W3421" s="47"/>
      <c r="X3421" s="47"/>
      <c r="Y3421" s="47"/>
      <c r="Z3421" s="47">
        <v>4620</v>
      </c>
      <c r="AA3421" s="47">
        <v>1400</v>
      </c>
      <c r="AB3421" s="47">
        <v>2800</v>
      </c>
      <c r="AC3421" s="47"/>
      <c r="AD3421" s="47"/>
      <c r="AE3421" s="47"/>
      <c r="AF3421" s="47">
        <v>1485</v>
      </c>
      <c r="AG3421" s="47" t="s">
        <v>7928</v>
      </c>
      <c r="AH3421" s="47" t="str">
        <f>IFERROR(_xlfn.XLOOKUP(Table6[[#This Row],[Suburb]],Table5[Travel Surcharge],Table5[$$]),"")</f>
        <v/>
      </c>
      <c r="AI3421" s="47"/>
      <c r="AJ3421" s="47"/>
    </row>
    <row r="3422" spans="1:36">
      <c r="A3422" s="374" t="s">
        <v>7934</v>
      </c>
      <c r="B3422" s="374">
        <v>3</v>
      </c>
      <c r="C3422" s="374" t="s">
        <v>802</v>
      </c>
      <c r="D3422" s="375" t="str">
        <f t="shared" si="727"/>
        <v>Providence - Officer3</v>
      </c>
      <c r="E3422" s="375" t="s">
        <v>10808</v>
      </c>
      <c r="F3422" s="375"/>
      <c r="G3422" s="375"/>
      <c r="H3422" s="375"/>
      <c r="I3422" s="63"/>
      <c r="J3422" s="47">
        <v>3740</v>
      </c>
      <c r="K3422" s="46" t="s">
        <v>10735</v>
      </c>
      <c r="L3422" s="47"/>
      <c r="M3422" s="47">
        <v>1430.0000000000002</v>
      </c>
      <c r="N3422" s="47" t="s">
        <v>7927</v>
      </c>
      <c r="O3422" s="47"/>
      <c r="P3422" s="47"/>
      <c r="Q3422" s="47"/>
      <c r="R3422" s="47"/>
      <c r="S3422" s="47" t="s">
        <v>463</v>
      </c>
      <c r="T3422" s="47"/>
      <c r="U3422" s="47"/>
      <c r="V3422" s="47"/>
      <c r="W3422" s="47"/>
      <c r="X3422" s="47"/>
      <c r="Y3422" s="47"/>
      <c r="Z3422" s="47">
        <v>4620</v>
      </c>
      <c r="AA3422" s="47">
        <v>1400</v>
      </c>
      <c r="AB3422" s="47">
        <v>2800</v>
      </c>
      <c r="AC3422" s="47"/>
      <c r="AD3422" s="47"/>
      <c r="AE3422" s="47"/>
      <c r="AF3422" s="47">
        <v>1485</v>
      </c>
      <c r="AG3422" s="47" t="s">
        <v>7928</v>
      </c>
      <c r="AH3422" s="47" t="s">
        <v>9976</v>
      </c>
      <c r="AI3422" s="47"/>
      <c r="AJ3422" s="47"/>
    </row>
    <row r="3423" spans="1:36">
      <c r="A3423" s="374" t="s">
        <v>5093</v>
      </c>
      <c r="B3423" s="374">
        <v>1</v>
      </c>
      <c r="C3423" s="374" t="s">
        <v>394</v>
      </c>
      <c r="D3423" s="375" t="str">
        <f t="shared" si="727"/>
        <v>Province  Estate1</v>
      </c>
      <c r="E3423" s="375" t="s">
        <v>5094</v>
      </c>
      <c r="F3423" s="375" t="s">
        <v>5095</v>
      </c>
      <c r="G3423" s="375" t="s">
        <v>5096</v>
      </c>
      <c r="H3423" s="375" t="s">
        <v>5097</v>
      </c>
      <c r="I3423" s="63"/>
      <c r="J3423" s="47"/>
      <c r="K3423" s="46" t="s">
        <v>10735</v>
      </c>
      <c r="L3423" s="47"/>
      <c r="M3423" s="47"/>
      <c r="N3423" s="47"/>
      <c r="O3423" s="47"/>
      <c r="P3423" s="47"/>
      <c r="Q3423" s="47"/>
      <c r="R3423" s="47"/>
      <c r="S3423" s="47" t="s">
        <v>2279</v>
      </c>
      <c r="T3423" s="47"/>
      <c r="U3423" s="47"/>
      <c r="V3423" s="47"/>
      <c r="W3423" s="47"/>
      <c r="X3423" s="47"/>
      <c r="Y3423" s="47"/>
      <c r="Z3423" s="47">
        <f t="shared" si="728"/>
        <v>4620</v>
      </c>
      <c r="AA3423" s="47">
        <f t="shared" si="732"/>
        <v>1400</v>
      </c>
      <c r="AB3423" s="47"/>
      <c r="AC3423" s="47"/>
      <c r="AD3423" s="47"/>
      <c r="AE3423" s="47"/>
      <c r="AF3423" s="47"/>
      <c r="AG3423" s="47"/>
      <c r="AH3423" s="47" t="str">
        <f>IFERROR(_xlfn.XLOOKUP(Table6[[#This Row],[Suburb]],Table5[Travel Surcharge],Table5[$$]),"")</f>
        <v/>
      </c>
      <c r="AI3423" s="47"/>
      <c r="AJ3423" s="47"/>
    </row>
    <row r="3424" spans="1:36">
      <c r="A3424" s="374" t="s">
        <v>5093</v>
      </c>
      <c r="B3424" s="374">
        <v>2</v>
      </c>
      <c r="C3424" s="374" t="s">
        <v>394</v>
      </c>
      <c r="D3424" s="375" t="str">
        <f t="shared" si="727"/>
        <v>Province  Estate2</v>
      </c>
      <c r="E3424" s="375" t="s">
        <v>5098</v>
      </c>
      <c r="F3424" s="375" t="s">
        <v>5095</v>
      </c>
      <c r="G3424" s="375" t="s">
        <v>5096</v>
      </c>
      <c r="H3424" s="375" t="s">
        <v>5097</v>
      </c>
      <c r="I3424" s="63"/>
      <c r="J3424" s="47"/>
      <c r="K3424" s="46" t="s">
        <v>10735</v>
      </c>
      <c r="L3424" s="47"/>
      <c r="M3424" s="47"/>
      <c r="N3424" s="47"/>
      <c r="O3424" s="47"/>
      <c r="P3424" s="47"/>
      <c r="Q3424" s="47"/>
      <c r="R3424" s="47"/>
      <c r="S3424" s="47" t="s">
        <v>2279</v>
      </c>
      <c r="T3424" s="47"/>
      <c r="U3424" s="47"/>
      <c r="V3424" s="47"/>
      <c r="W3424" s="47"/>
      <c r="X3424" s="47"/>
      <c r="Y3424" s="47"/>
      <c r="Z3424" s="47">
        <f t="shared" si="728"/>
        <v>4620</v>
      </c>
      <c r="AA3424" s="47">
        <f t="shared" si="732"/>
        <v>1400</v>
      </c>
      <c r="AB3424" s="47"/>
      <c r="AC3424" s="47"/>
      <c r="AD3424" s="47"/>
      <c r="AE3424" s="47"/>
      <c r="AF3424" s="47"/>
      <c r="AG3424" s="47"/>
      <c r="AH3424" s="47" t="str">
        <f>IFERROR(_xlfn.XLOOKUP(Table6[[#This Row],[Suburb]],Table5[Travel Surcharge],Table5[$$]),"")</f>
        <v/>
      </c>
      <c r="AI3424" s="47"/>
      <c r="AJ3424" s="47"/>
    </row>
    <row r="3425" spans="1:36">
      <c r="A3425" s="374" t="s">
        <v>5093</v>
      </c>
      <c r="B3425" s="374">
        <v>3</v>
      </c>
      <c r="C3425" s="374" t="s">
        <v>394</v>
      </c>
      <c r="D3425" s="375" t="str">
        <f t="shared" si="727"/>
        <v>Province  Estate3</v>
      </c>
      <c r="E3425" s="375" t="s">
        <v>5099</v>
      </c>
      <c r="F3425" s="375" t="s">
        <v>5095</v>
      </c>
      <c r="G3425" s="375" t="s">
        <v>5096</v>
      </c>
      <c r="H3425" s="375" t="s">
        <v>5097</v>
      </c>
      <c r="I3425" s="63"/>
      <c r="J3425" s="47"/>
      <c r="K3425" s="46" t="s">
        <v>10735</v>
      </c>
      <c r="L3425" s="47"/>
      <c r="M3425" s="47"/>
      <c r="N3425" s="47"/>
      <c r="O3425" s="47"/>
      <c r="P3425" s="47"/>
      <c r="Q3425" s="47"/>
      <c r="R3425" s="47"/>
      <c r="S3425" s="47" t="s">
        <v>2279</v>
      </c>
      <c r="T3425" s="47"/>
      <c r="U3425" s="47"/>
      <c r="V3425" s="47"/>
      <c r="W3425" s="47"/>
      <c r="X3425" s="47"/>
      <c r="Y3425" s="47"/>
      <c r="Z3425" s="47">
        <f t="shared" si="728"/>
        <v>4620</v>
      </c>
      <c r="AA3425" s="47">
        <f t="shared" si="732"/>
        <v>1400</v>
      </c>
      <c r="AB3425" s="47"/>
      <c r="AC3425" s="47"/>
      <c r="AD3425" s="47"/>
      <c r="AE3425" s="47"/>
      <c r="AF3425" s="47"/>
      <c r="AG3425" s="47"/>
      <c r="AH3425" s="47" t="str">
        <f>IFERROR(_xlfn.XLOOKUP(Table6[[#This Row],[Suburb]],Table5[Travel Surcharge],Table5[$$]),"")</f>
        <v/>
      </c>
      <c r="AI3425" s="47"/>
      <c r="AJ3425" s="47"/>
    </row>
    <row r="3426" spans="1:36">
      <c r="A3426" s="374" t="s">
        <v>5093</v>
      </c>
      <c r="B3426" s="374">
        <v>4</v>
      </c>
      <c r="C3426" s="374" t="s">
        <v>394</v>
      </c>
      <c r="D3426" s="375" t="str">
        <f t="shared" si="727"/>
        <v>Province  Estate4</v>
      </c>
      <c r="E3426" s="375" t="s">
        <v>5100</v>
      </c>
      <c r="F3426" s="375" t="s">
        <v>5095</v>
      </c>
      <c r="G3426" s="375" t="s">
        <v>5096</v>
      </c>
      <c r="H3426" s="375" t="s">
        <v>5097</v>
      </c>
      <c r="I3426" s="63"/>
      <c r="J3426" s="47"/>
      <c r="K3426" s="46" t="s">
        <v>10735</v>
      </c>
      <c r="L3426" s="47"/>
      <c r="M3426" s="47"/>
      <c r="N3426" s="47"/>
      <c r="O3426" s="47"/>
      <c r="P3426" s="47"/>
      <c r="Q3426" s="47"/>
      <c r="R3426" s="47"/>
      <c r="S3426" s="47" t="s">
        <v>2279</v>
      </c>
      <c r="T3426" s="47"/>
      <c r="U3426" s="47"/>
      <c r="V3426" s="47"/>
      <c r="W3426" s="47"/>
      <c r="X3426" s="47"/>
      <c r="Y3426" s="47"/>
      <c r="Z3426" s="47">
        <f t="shared" si="728"/>
        <v>4620</v>
      </c>
      <c r="AA3426" s="47">
        <f t="shared" si="732"/>
        <v>1400</v>
      </c>
      <c r="AB3426" s="47"/>
      <c r="AC3426" s="47"/>
      <c r="AD3426" s="47"/>
      <c r="AE3426" s="47"/>
      <c r="AF3426" s="47"/>
      <c r="AG3426" s="47"/>
      <c r="AH3426" s="47" t="str">
        <f>IFERROR(_xlfn.XLOOKUP(Table6[[#This Row],[Suburb]],Table5[Travel Surcharge],Table5[$$]),"")</f>
        <v/>
      </c>
      <c r="AI3426" s="47"/>
      <c r="AJ3426" s="47"/>
    </row>
    <row r="3427" spans="1:36">
      <c r="A3427" s="374" t="s">
        <v>5093</v>
      </c>
      <c r="B3427" s="374" t="s">
        <v>5101</v>
      </c>
      <c r="C3427" s="374" t="s">
        <v>394</v>
      </c>
      <c r="D3427" s="375" t="str">
        <f t="shared" si="727"/>
        <v>Province  EstateA</v>
      </c>
      <c r="E3427" s="375" t="s">
        <v>5098</v>
      </c>
      <c r="F3427" s="375" t="s">
        <v>5095</v>
      </c>
      <c r="G3427" s="375" t="s">
        <v>5096</v>
      </c>
      <c r="H3427" s="375" t="s">
        <v>5097</v>
      </c>
      <c r="I3427" s="63"/>
      <c r="J3427" s="47"/>
      <c r="K3427" s="46" t="s">
        <v>10735</v>
      </c>
      <c r="L3427" s="47"/>
      <c r="M3427" s="47"/>
      <c r="N3427" s="47"/>
      <c r="O3427" s="47"/>
      <c r="P3427" s="47"/>
      <c r="Q3427" s="47"/>
      <c r="R3427" s="47"/>
      <c r="S3427" s="47" t="s">
        <v>2279</v>
      </c>
      <c r="T3427" s="47"/>
      <c r="U3427" s="47"/>
      <c r="V3427" s="47"/>
      <c r="W3427" s="47"/>
      <c r="X3427" s="47"/>
      <c r="Y3427" s="47"/>
      <c r="Z3427" s="47">
        <f t="shared" si="728"/>
        <v>4620</v>
      </c>
      <c r="AA3427" s="47">
        <f t="shared" si="732"/>
        <v>1400</v>
      </c>
      <c r="AB3427" s="47"/>
      <c r="AC3427" s="47"/>
      <c r="AD3427" s="47"/>
      <c r="AE3427" s="47"/>
      <c r="AF3427" s="47"/>
      <c r="AG3427" s="47"/>
      <c r="AH3427" s="47" t="str">
        <f>IFERROR(_xlfn.XLOOKUP(Table6[[#This Row],[Suburb]],Table5[Travel Surcharge],Table5[$$]),"")</f>
        <v/>
      </c>
      <c r="AI3427" s="47"/>
      <c r="AJ3427" s="47"/>
    </row>
    <row r="3428" spans="1:36">
      <c r="A3428" s="374" t="s">
        <v>5102</v>
      </c>
      <c r="B3428" s="374">
        <v>16</v>
      </c>
      <c r="C3428" s="374" t="s">
        <v>529</v>
      </c>
      <c r="D3428" s="375" t="str">
        <f t="shared" si="727"/>
        <v>Quarters Estate16</v>
      </c>
      <c r="E3428" s="375" t="s">
        <v>5103</v>
      </c>
      <c r="F3428" s="375" t="s">
        <v>444</v>
      </c>
      <c r="G3428" s="375" t="s">
        <v>5104</v>
      </c>
      <c r="H3428" s="375" t="s">
        <v>5105</v>
      </c>
      <c r="I3428" s="63" t="s">
        <v>5106</v>
      </c>
      <c r="J3428" s="47">
        <f t="shared" ref="J3428:J3446" si="733">J$7</f>
        <v>3740</v>
      </c>
      <c r="K3428" s="46" t="s">
        <v>10735</v>
      </c>
      <c r="L3428" s="47" t="s">
        <v>5107</v>
      </c>
      <c r="M3428" s="47"/>
      <c r="N3428" s="47"/>
      <c r="O3428" s="47" t="s">
        <v>5108</v>
      </c>
      <c r="P3428" s="47"/>
      <c r="Q3428" s="47"/>
      <c r="R3428" s="47"/>
      <c r="S3428" s="47"/>
      <c r="T3428" s="47" t="s">
        <v>5109</v>
      </c>
      <c r="U3428" s="47">
        <f t="shared" ref="U3428:U3446" si="734">U$2</f>
        <v>430</v>
      </c>
      <c r="V3428" s="47"/>
      <c r="W3428" s="47"/>
      <c r="X3428" s="47">
        <f>X$7</f>
        <v>3000</v>
      </c>
      <c r="Y3428" s="47"/>
      <c r="Z3428" s="47">
        <f t="shared" si="728"/>
        <v>4620</v>
      </c>
      <c r="AA3428" s="47"/>
      <c r="AB3428" s="47"/>
      <c r="AC3428" s="47"/>
      <c r="AD3428" s="47"/>
      <c r="AE3428" s="47"/>
      <c r="AF3428" s="47"/>
      <c r="AG3428" s="47"/>
      <c r="AH3428" s="47" t="str">
        <f>IFERROR(_xlfn.XLOOKUP(Table6[[#This Row],[Suburb]],Table5[Travel Surcharge],Table5[$$]),"")</f>
        <v/>
      </c>
      <c r="AI3428" s="47"/>
      <c r="AJ3428" s="47"/>
    </row>
    <row r="3429" spans="1:36">
      <c r="A3429" s="374" t="s">
        <v>5110</v>
      </c>
      <c r="B3429" s="374">
        <v>11</v>
      </c>
      <c r="C3429" s="374" t="s">
        <v>280</v>
      </c>
      <c r="D3429" s="375" t="str">
        <f t="shared" si="727"/>
        <v>Quay Estate11</v>
      </c>
      <c r="E3429" s="375" t="s">
        <v>5111</v>
      </c>
      <c r="F3429" s="375" t="s">
        <v>5112</v>
      </c>
      <c r="G3429" s="375" t="s">
        <v>5113</v>
      </c>
      <c r="H3429" s="375" t="s">
        <v>5114</v>
      </c>
      <c r="I3429" s="63" t="s">
        <v>5115</v>
      </c>
      <c r="J3429" s="47">
        <f t="shared" si="733"/>
        <v>3740</v>
      </c>
      <c r="K3429" s="46" t="s">
        <v>7938</v>
      </c>
      <c r="L3429" s="47" t="s">
        <v>5107</v>
      </c>
      <c r="M3429" s="47" t="s">
        <v>5116</v>
      </c>
      <c r="N3429" s="47" t="s">
        <v>5117</v>
      </c>
      <c r="O3429" s="47" t="s">
        <v>5118</v>
      </c>
      <c r="P3429" s="47" t="s">
        <v>5119</v>
      </c>
      <c r="Q3429" s="47"/>
      <c r="R3429" s="47"/>
      <c r="S3429" s="47"/>
      <c r="T3429" s="47"/>
      <c r="U3429" s="47">
        <f t="shared" si="734"/>
        <v>430</v>
      </c>
      <c r="V3429" s="47" t="s">
        <v>5120</v>
      </c>
      <c r="W3429" s="47"/>
      <c r="X3429" s="47">
        <f>X$7</f>
        <v>3000</v>
      </c>
      <c r="Y3429" s="47"/>
      <c r="Z3429" s="47">
        <f t="shared" si="728"/>
        <v>4620</v>
      </c>
      <c r="AA3429" s="47"/>
      <c r="AB3429" s="47"/>
      <c r="AC3429" s="47"/>
      <c r="AD3429" s="47"/>
      <c r="AE3429" s="47"/>
      <c r="AF3429" s="47">
        <f t="shared" ref="AF3429:AF3437" si="735">AF$7</f>
        <v>1485</v>
      </c>
      <c r="AG3429" s="47"/>
      <c r="AH3429" s="47">
        <f>IFERROR(_xlfn.XLOOKUP(Table6[[#This Row],[Suburb]],Table5[Travel Surcharge],Table5[$$]),"")</f>
        <v>1500</v>
      </c>
      <c r="AI3429" s="47">
        <f t="shared" ref="AI3429:AI3437" si="736">AI$7</f>
        <v>1650.0000000000002</v>
      </c>
      <c r="AJ3429" s="47"/>
    </row>
    <row r="3430" spans="1:36">
      <c r="A3430" s="374" t="s">
        <v>5110</v>
      </c>
      <c r="B3430" s="374">
        <v>13</v>
      </c>
      <c r="C3430" s="374" t="s">
        <v>280</v>
      </c>
      <c r="D3430" s="375" t="str">
        <f t="shared" si="727"/>
        <v>Quay Estate13</v>
      </c>
      <c r="E3430" s="375" t="s">
        <v>5121</v>
      </c>
      <c r="F3430" s="375" t="s">
        <v>5112</v>
      </c>
      <c r="G3430" s="375" t="s">
        <v>5113</v>
      </c>
      <c r="H3430" s="375" t="s">
        <v>5114</v>
      </c>
      <c r="I3430" s="63" t="s">
        <v>5115</v>
      </c>
      <c r="J3430" s="47">
        <f t="shared" si="733"/>
        <v>3740</v>
      </c>
      <c r="K3430" s="46" t="s">
        <v>7938</v>
      </c>
      <c r="L3430" s="47" t="s">
        <v>5107</v>
      </c>
      <c r="M3430" s="47" t="s">
        <v>5116</v>
      </c>
      <c r="N3430" s="47" t="s">
        <v>5117</v>
      </c>
      <c r="O3430" s="47" t="s">
        <v>5118</v>
      </c>
      <c r="P3430" s="47" t="s">
        <v>5119</v>
      </c>
      <c r="Q3430" s="47"/>
      <c r="R3430" s="47"/>
      <c r="S3430" s="47"/>
      <c r="T3430" s="47"/>
      <c r="U3430" s="47">
        <f t="shared" si="734"/>
        <v>430</v>
      </c>
      <c r="V3430" s="47" t="s">
        <v>5120</v>
      </c>
      <c r="W3430" s="47"/>
      <c r="X3430" s="47">
        <f>X$7</f>
        <v>3000</v>
      </c>
      <c r="Y3430" s="47"/>
      <c r="Z3430" s="47">
        <f t="shared" si="728"/>
        <v>4620</v>
      </c>
      <c r="AA3430" s="47"/>
      <c r="AB3430" s="47"/>
      <c r="AC3430" s="47"/>
      <c r="AD3430" s="47"/>
      <c r="AE3430" s="47"/>
      <c r="AF3430" s="47">
        <f t="shared" si="735"/>
        <v>1485</v>
      </c>
      <c r="AG3430" s="47"/>
      <c r="AH3430" s="47">
        <f>IFERROR(_xlfn.XLOOKUP(Table6[[#This Row],[Suburb]],Table5[Travel Surcharge],Table5[$$]),"")</f>
        <v>1500</v>
      </c>
      <c r="AI3430" s="47">
        <f t="shared" si="736"/>
        <v>1650.0000000000002</v>
      </c>
      <c r="AJ3430" s="47"/>
    </row>
    <row r="3431" spans="1:36">
      <c r="A3431" s="374" t="s">
        <v>5110</v>
      </c>
      <c r="B3431" s="374">
        <v>14</v>
      </c>
      <c r="C3431" s="374" t="s">
        <v>280</v>
      </c>
      <c r="D3431" s="375" t="str">
        <f t="shared" si="727"/>
        <v>Quay Estate14</v>
      </c>
      <c r="E3431" s="375" t="s">
        <v>5122</v>
      </c>
      <c r="F3431" s="375" t="s">
        <v>5112</v>
      </c>
      <c r="G3431" s="375" t="s">
        <v>5113</v>
      </c>
      <c r="H3431" s="375" t="s">
        <v>5114</v>
      </c>
      <c r="I3431" s="63" t="s">
        <v>5115</v>
      </c>
      <c r="J3431" s="47">
        <f t="shared" si="733"/>
        <v>3740</v>
      </c>
      <c r="K3431" s="46" t="s">
        <v>7938</v>
      </c>
      <c r="L3431" s="47" t="s">
        <v>5107</v>
      </c>
      <c r="M3431" s="47" t="s">
        <v>5116</v>
      </c>
      <c r="N3431" s="47" t="s">
        <v>5117</v>
      </c>
      <c r="O3431" s="47" t="s">
        <v>5118</v>
      </c>
      <c r="P3431" s="47" t="s">
        <v>5119</v>
      </c>
      <c r="Q3431" s="47"/>
      <c r="R3431" s="47"/>
      <c r="S3431" s="47"/>
      <c r="T3431" s="47"/>
      <c r="U3431" s="47">
        <f t="shared" si="734"/>
        <v>430</v>
      </c>
      <c r="V3431" s="47" t="s">
        <v>5120</v>
      </c>
      <c r="W3431" s="47"/>
      <c r="X3431" s="47">
        <f>X$7</f>
        <v>3000</v>
      </c>
      <c r="Y3431" s="47"/>
      <c r="Z3431" s="47">
        <f t="shared" si="728"/>
        <v>4620</v>
      </c>
      <c r="AA3431" s="47"/>
      <c r="AB3431" s="47"/>
      <c r="AC3431" s="47"/>
      <c r="AD3431" s="47"/>
      <c r="AE3431" s="47"/>
      <c r="AF3431" s="47">
        <f t="shared" si="735"/>
        <v>1485</v>
      </c>
      <c r="AG3431" s="47"/>
      <c r="AH3431" s="47">
        <f>IFERROR(_xlfn.XLOOKUP(Table6[[#This Row],[Suburb]],Table5[Travel Surcharge],Table5[$$]),"")</f>
        <v>1500</v>
      </c>
      <c r="AI3431" s="47">
        <f t="shared" si="736"/>
        <v>1650.0000000000002</v>
      </c>
      <c r="AJ3431" s="47"/>
    </row>
    <row r="3432" spans="1:36">
      <c r="A3432" s="374" t="s">
        <v>5110</v>
      </c>
      <c r="B3432" s="374">
        <v>16</v>
      </c>
      <c r="C3432" s="374" t="s">
        <v>280</v>
      </c>
      <c r="D3432" s="375" t="str">
        <f t="shared" si="727"/>
        <v>Quay Estate16</v>
      </c>
      <c r="E3432" s="375" t="s">
        <v>5123</v>
      </c>
      <c r="F3432" s="375" t="s">
        <v>5112</v>
      </c>
      <c r="G3432" s="375" t="s">
        <v>5113</v>
      </c>
      <c r="H3432" s="375" t="s">
        <v>5114</v>
      </c>
      <c r="I3432" s="63" t="s">
        <v>5115</v>
      </c>
      <c r="J3432" s="47">
        <f t="shared" si="733"/>
        <v>3740</v>
      </c>
      <c r="K3432" s="46" t="s">
        <v>7938</v>
      </c>
      <c r="L3432" s="47" t="s">
        <v>5107</v>
      </c>
      <c r="M3432" s="47" t="s">
        <v>5116</v>
      </c>
      <c r="N3432" s="47" t="s">
        <v>5117</v>
      </c>
      <c r="O3432" s="47" t="s">
        <v>5118</v>
      </c>
      <c r="P3432" s="47" t="s">
        <v>5119</v>
      </c>
      <c r="Q3432" s="47"/>
      <c r="R3432" s="47"/>
      <c r="S3432" s="47"/>
      <c r="T3432" s="47"/>
      <c r="U3432" s="47">
        <f t="shared" si="734"/>
        <v>430</v>
      </c>
      <c r="V3432" s="47" t="s">
        <v>5120</v>
      </c>
      <c r="W3432" s="47"/>
      <c r="X3432" s="47">
        <f>X$7</f>
        <v>3000</v>
      </c>
      <c r="Y3432" s="47"/>
      <c r="Z3432" s="47">
        <f t="shared" si="728"/>
        <v>4620</v>
      </c>
      <c r="AA3432" s="47"/>
      <c r="AB3432" s="47"/>
      <c r="AC3432" s="47"/>
      <c r="AD3432" s="47"/>
      <c r="AE3432" s="47"/>
      <c r="AF3432" s="47">
        <f t="shared" si="735"/>
        <v>1485</v>
      </c>
      <c r="AG3432" s="47"/>
      <c r="AH3432" s="47">
        <f>IFERROR(_xlfn.XLOOKUP(Table6[[#This Row],[Suburb]],Table5[Travel Surcharge],Table5[$$]),"")</f>
        <v>1500</v>
      </c>
      <c r="AI3432" s="47">
        <f t="shared" si="736"/>
        <v>1650.0000000000002</v>
      </c>
      <c r="AJ3432" s="47"/>
    </row>
    <row r="3433" spans="1:36">
      <c r="A3433" s="374" t="s">
        <v>5124</v>
      </c>
      <c r="B3433" s="374">
        <v>1</v>
      </c>
      <c r="C3433" s="374" t="s">
        <v>5125</v>
      </c>
      <c r="D3433" s="375" t="str">
        <f t="shared" ref="D3433:D3446" si="737">CONCATENATE(A3433,B3433)</f>
        <v>Queens Brook1</v>
      </c>
      <c r="E3433" s="375" t="s">
        <v>5126</v>
      </c>
      <c r="F3433" s="375" t="s">
        <v>1428</v>
      </c>
      <c r="G3433" s="375" t="s">
        <v>3211</v>
      </c>
      <c r="H3433" s="375" t="s">
        <v>3212</v>
      </c>
      <c r="I3433" s="63" t="s">
        <v>3213</v>
      </c>
      <c r="J3433" s="47">
        <f t="shared" si="733"/>
        <v>3740</v>
      </c>
      <c r="K3433" s="46" t="s">
        <v>10735</v>
      </c>
      <c r="L3433" s="47">
        <f t="shared" ref="L3433:L3446" si="738">L$7</f>
        <v>1210</v>
      </c>
      <c r="M3433" s="47" t="s">
        <v>5127</v>
      </c>
      <c r="N3433" s="47">
        <f>N$7</f>
        <v>2640</v>
      </c>
      <c r="O3433" s="47"/>
      <c r="P3433" s="47"/>
      <c r="Q3433" s="47"/>
      <c r="R3433" s="47"/>
      <c r="S3433" s="47"/>
      <c r="T3433" s="47"/>
      <c r="U3433" s="47">
        <f t="shared" si="734"/>
        <v>430</v>
      </c>
      <c r="V3433" s="47"/>
      <c r="W3433" s="47"/>
      <c r="X3433" s="47"/>
      <c r="Y3433" s="47"/>
      <c r="Z3433" s="47">
        <f t="shared" si="728"/>
        <v>4620</v>
      </c>
      <c r="AA3433" s="47"/>
      <c r="AB3433" s="47"/>
      <c r="AC3433" s="47"/>
      <c r="AD3433" s="47"/>
      <c r="AE3433" s="47"/>
      <c r="AF3433" s="47">
        <f t="shared" si="735"/>
        <v>1485</v>
      </c>
      <c r="AG3433" s="47"/>
      <c r="AH3433" s="47" t="str">
        <f>IFERROR(_xlfn.XLOOKUP(Table6[[#This Row],[Suburb]],Table5[Travel Surcharge],Table5[$$]),"")</f>
        <v/>
      </c>
      <c r="AI3433" s="47">
        <f t="shared" si="736"/>
        <v>1650.0000000000002</v>
      </c>
      <c r="AJ3433" s="47"/>
    </row>
    <row r="3434" spans="1:36">
      <c r="A3434" s="374" t="s">
        <v>5124</v>
      </c>
      <c r="B3434" s="374">
        <v>2</v>
      </c>
      <c r="C3434" s="374" t="s">
        <v>5125</v>
      </c>
      <c r="D3434" s="375" t="str">
        <f t="shared" si="737"/>
        <v>Queens Brook2</v>
      </c>
      <c r="E3434" s="375" t="s">
        <v>5130</v>
      </c>
      <c r="F3434" s="375" t="s">
        <v>1428</v>
      </c>
      <c r="G3434" s="375" t="s">
        <v>3211</v>
      </c>
      <c r="H3434" s="375" t="s">
        <v>3212</v>
      </c>
      <c r="I3434" s="63" t="s">
        <v>3213</v>
      </c>
      <c r="J3434" s="47">
        <f t="shared" si="733"/>
        <v>3740</v>
      </c>
      <c r="K3434" s="46" t="s">
        <v>10735</v>
      </c>
      <c r="L3434" s="47">
        <f t="shared" si="738"/>
        <v>1210</v>
      </c>
      <c r="M3434" s="47" t="s">
        <v>5127</v>
      </c>
      <c r="N3434" s="47">
        <f>N$7</f>
        <v>2640</v>
      </c>
      <c r="O3434" s="47"/>
      <c r="P3434" s="47"/>
      <c r="Q3434" s="47"/>
      <c r="R3434" s="47"/>
      <c r="S3434" s="47"/>
      <c r="T3434" s="47"/>
      <c r="U3434" s="47">
        <f t="shared" si="734"/>
        <v>430</v>
      </c>
      <c r="V3434" s="47"/>
      <c r="W3434" s="47"/>
      <c r="X3434" s="47"/>
      <c r="Y3434" s="47"/>
      <c r="Z3434" s="47">
        <f t="shared" ref="Z3434:Z3446" si="739">Z$7</f>
        <v>4620</v>
      </c>
      <c r="AA3434" s="47"/>
      <c r="AB3434" s="47"/>
      <c r="AC3434" s="47"/>
      <c r="AD3434" s="47"/>
      <c r="AE3434" s="47"/>
      <c r="AF3434" s="47">
        <f t="shared" si="735"/>
        <v>1485</v>
      </c>
      <c r="AG3434" s="47"/>
      <c r="AH3434" s="47" t="str">
        <f>IFERROR(_xlfn.XLOOKUP(Table6[[#This Row],[Suburb]],Table5[Travel Surcharge],Table5[$$]),"")</f>
        <v/>
      </c>
      <c r="AI3434" s="47">
        <f t="shared" si="736"/>
        <v>1650.0000000000002</v>
      </c>
      <c r="AJ3434" s="47"/>
    </row>
    <row r="3435" spans="1:36">
      <c r="A3435" s="374" t="s">
        <v>5124</v>
      </c>
      <c r="B3435" s="374" t="s">
        <v>501</v>
      </c>
      <c r="C3435" s="374" t="s">
        <v>5125</v>
      </c>
      <c r="D3435" s="375" t="str">
        <f t="shared" si="737"/>
        <v>Queens Brook1A</v>
      </c>
      <c r="E3435" s="375" t="s">
        <v>5129</v>
      </c>
      <c r="F3435" s="375" t="s">
        <v>1428</v>
      </c>
      <c r="G3435" s="375" t="s">
        <v>3211</v>
      </c>
      <c r="H3435" s="375" t="s">
        <v>3212</v>
      </c>
      <c r="I3435" s="63" t="s">
        <v>3213</v>
      </c>
      <c r="J3435" s="47">
        <f t="shared" si="733"/>
        <v>3740</v>
      </c>
      <c r="K3435" s="46" t="s">
        <v>10735</v>
      </c>
      <c r="L3435" s="47">
        <f t="shared" si="738"/>
        <v>1210</v>
      </c>
      <c r="M3435" s="47" t="s">
        <v>5127</v>
      </c>
      <c r="N3435" s="47">
        <f>N$7</f>
        <v>2640</v>
      </c>
      <c r="O3435" s="47"/>
      <c r="P3435" s="47"/>
      <c r="Q3435" s="47"/>
      <c r="R3435" s="47"/>
      <c r="S3435" s="47"/>
      <c r="T3435" s="47"/>
      <c r="U3435" s="47">
        <f t="shared" si="734"/>
        <v>430</v>
      </c>
      <c r="V3435" s="47"/>
      <c r="W3435" s="47"/>
      <c r="X3435" s="47"/>
      <c r="Y3435" s="47"/>
      <c r="Z3435" s="47">
        <f t="shared" si="739"/>
        <v>4620</v>
      </c>
      <c r="AA3435" s="47"/>
      <c r="AB3435" s="47"/>
      <c r="AC3435" s="47"/>
      <c r="AD3435" s="47"/>
      <c r="AE3435" s="47"/>
      <c r="AF3435" s="47">
        <f t="shared" si="735"/>
        <v>1485</v>
      </c>
      <c r="AG3435" s="47"/>
      <c r="AH3435" s="47" t="str">
        <f>IFERROR(_xlfn.XLOOKUP(Table6[[#This Row],[Suburb]],Table5[Travel Surcharge],Table5[$$]),"")</f>
        <v/>
      </c>
      <c r="AI3435" s="47">
        <f t="shared" si="736"/>
        <v>1650.0000000000002</v>
      </c>
      <c r="AJ3435" s="47"/>
    </row>
    <row r="3436" spans="1:36">
      <c r="A3436" s="374" t="s">
        <v>5124</v>
      </c>
      <c r="B3436" s="374" t="s">
        <v>507</v>
      </c>
      <c r="C3436" s="374" t="s">
        <v>5125</v>
      </c>
      <c r="D3436" s="375" t="str">
        <f t="shared" si="737"/>
        <v>Queens Brook1B</v>
      </c>
      <c r="E3436" s="375" t="s">
        <v>5128</v>
      </c>
      <c r="F3436" s="375" t="s">
        <v>1428</v>
      </c>
      <c r="G3436" s="375" t="s">
        <v>3211</v>
      </c>
      <c r="H3436" s="375" t="s">
        <v>3212</v>
      </c>
      <c r="I3436" s="63" t="s">
        <v>3213</v>
      </c>
      <c r="J3436" s="47">
        <f t="shared" si="733"/>
        <v>3740</v>
      </c>
      <c r="K3436" s="46" t="s">
        <v>10735</v>
      </c>
      <c r="L3436" s="47">
        <f t="shared" si="738"/>
        <v>1210</v>
      </c>
      <c r="M3436" s="47" t="s">
        <v>5127</v>
      </c>
      <c r="N3436" s="47">
        <f>N$7</f>
        <v>2640</v>
      </c>
      <c r="O3436" s="47"/>
      <c r="P3436" s="47"/>
      <c r="Q3436" s="47"/>
      <c r="R3436" s="47"/>
      <c r="S3436" s="47"/>
      <c r="T3436" s="47"/>
      <c r="U3436" s="47">
        <f t="shared" si="734"/>
        <v>430</v>
      </c>
      <c r="V3436" s="47"/>
      <c r="W3436" s="47"/>
      <c r="X3436" s="47"/>
      <c r="Y3436" s="47"/>
      <c r="Z3436" s="47">
        <f t="shared" si="739"/>
        <v>4620</v>
      </c>
      <c r="AA3436" s="47"/>
      <c r="AB3436" s="47"/>
      <c r="AC3436" s="47"/>
      <c r="AD3436" s="47"/>
      <c r="AE3436" s="47"/>
      <c r="AF3436" s="47">
        <f t="shared" si="735"/>
        <v>1485</v>
      </c>
      <c r="AG3436" s="47"/>
      <c r="AH3436" s="47" t="str">
        <f>IFERROR(_xlfn.XLOOKUP(Table6[[#This Row],[Suburb]],Table5[Travel Surcharge],Table5[$$]),"")</f>
        <v/>
      </c>
      <c r="AI3436" s="47">
        <f t="shared" si="736"/>
        <v>1650.0000000000002</v>
      </c>
      <c r="AJ3436" s="47"/>
    </row>
    <row r="3437" spans="1:36">
      <c r="A3437" s="157" t="s">
        <v>5124</v>
      </c>
      <c r="B3437" s="157" t="s">
        <v>608</v>
      </c>
      <c r="C3437" s="157" t="s">
        <v>5125</v>
      </c>
      <c r="D3437" s="157" t="str">
        <f t="shared" si="737"/>
        <v>Queens Brook3B</v>
      </c>
      <c r="E3437" s="157" t="s">
        <v>8384</v>
      </c>
      <c r="F3437" s="157" t="s">
        <v>1428</v>
      </c>
      <c r="G3437" s="157" t="s">
        <v>3211</v>
      </c>
      <c r="H3437" s="157" t="s">
        <v>3212</v>
      </c>
      <c r="I3437" s="158" t="s">
        <v>3213</v>
      </c>
      <c r="J3437" s="47">
        <f t="shared" si="733"/>
        <v>3740</v>
      </c>
      <c r="K3437" s="46" t="s">
        <v>10735</v>
      </c>
      <c r="L3437" s="47">
        <f t="shared" si="738"/>
        <v>1210</v>
      </c>
      <c r="M3437" s="47" t="s">
        <v>5127</v>
      </c>
      <c r="N3437" s="47">
        <f>N$7</f>
        <v>2640</v>
      </c>
      <c r="O3437" s="47"/>
      <c r="P3437" s="47"/>
      <c r="Q3437" s="47"/>
      <c r="R3437" s="47"/>
      <c r="S3437" s="47"/>
      <c r="T3437" s="47"/>
      <c r="U3437" s="47">
        <f t="shared" si="734"/>
        <v>430</v>
      </c>
      <c r="V3437" s="47"/>
      <c r="W3437" s="47"/>
      <c r="X3437" s="47"/>
      <c r="Y3437" s="47"/>
      <c r="Z3437" s="47">
        <f t="shared" si="739"/>
        <v>4620</v>
      </c>
      <c r="AA3437" s="47"/>
      <c r="AB3437" s="47"/>
      <c r="AC3437" s="47"/>
      <c r="AD3437" s="47"/>
      <c r="AE3437" s="47"/>
      <c r="AF3437" s="47">
        <f t="shared" si="735"/>
        <v>1485</v>
      </c>
      <c r="AG3437" s="47"/>
      <c r="AH3437" s="47" t="str">
        <f>IFERROR(_xlfn.XLOOKUP(Table6[[#This Row],[Suburb]],Table5[Travel Surcharge],Table5[$$]),"")</f>
        <v/>
      </c>
      <c r="AI3437" s="47">
        <f t="shared" si="736"/>
        <v>1650.0000000000002</v>
      </c>
      <c r="AJ3437" s="47"/>
    </row>
    <row r="3438" spans="1:36">
      <c r="A3438" s="374" t="s">
        <v>10639</v>
      </c>
      <c r="B3438" s="374" t="s">
        <v>3866</v>
      </c>
      <c r="C3438" s="374" t="s">
        <v>675</v>
      </c>
      <c r="D3438" s="375" t="str">
        <f>CONCATENATE(A3438,B3438)</f>
        <v>Radison1a</v>
      </c>
      <c r="E3438" s="375" t="s">
        <v>10640</v>
      </c>
      <c r="F3438" s="375"/>
      <c r="G3438" s="375"/>
      <c r="H3438" s="375"/>
      <c r="I3438" s="63"/>
      <c r="J3438" s="47"/>
      <c r="K3438" s="46" t="s">
        <v>10735</v>
      </c>
      <c r="L3438" s="47" t="s">
        <v>10641</v>
      </c>
      <c r="M3438" s="47" t="s">
        <v>10642</v>
      </c>
      <c r="N3438" s="47"/>
      <c r="O3438" s="47"/>
      <c r="P3438" s="47"/>
      <c r="Q3438" s="47">
        <v>0</v>
      </c>
      <c r="R3438" s="47"/>
      <c r="S3438" s="47"/>
      <c r="T3438" s="47"/>
      <c r="U3438" s="47"/>
      <c r="V3438" s="47"/>
      <c r="W3438" s="47"/>
      <c r="X3438" s="47"/>
      <c r="Y3438" s="47"/>
      <c r="Z3438" s="47">
        <v>4620</v>
      </c>
      <c r="AA3438" s="47"/>
      <c r="AB3438" s="47"/>
      <c r="AC3438" s="47"/>
      <c r="AD3438" s="47"/>
      <c r="AE3438" s="47"/>
      <c r="AF3438" s="47"/>
      <c r="AG3438" s="47"/>
      <c r="AH3438" s="47" t="str">
        <f>IFERROR(_xlfn.XLOOKUP(Table6[[#This Row],[Suburb]],Table5[Travel Surcharge],Table5[$$]),"")</f>
        <v/>
      </c>
      <c r="AI3438" s="47"/>
      <c r="AJ3438" s="47"/>
    </row>
    <row r="3439" spans="1:36">
      <c r="A3439" s="374" t="s">
        <v>5131</v>
      </c>
      <c r="B3439" s="374">
        <v>9</v>
      </c>
      <c r="C3439" s="374" t="s">
        <v>428</v>
      </c>
      <c r="D3439" s="375" t="str">
        <f t="shared" si="737"/>
        <v>Ramlegh Springs Estate9</v>
      </c>
      <c r="E3439" s="375" t="s">
        <v>5132</v>
      </c>
      <c r="F3439" s="375" t="s">
        <v>738</v>
      </c>
      <c r="G3439" s="375" t="s">
        <v>5133</v>
      </c>
      <c r="H3439" s="375" t="s">
        <v>5134</v>
      </c>
      <c r="I3439" s="63" t="s">
        <v>5135</v>
      </c>
      <c r="J3439" s="47">
        <f t="shared" si="733"/>
        <v>3740</v>
      </c>
      <c r="K3439" s="46" t="s">
        <v>10735</v>
      </c>
      <c r="L3439" s="47">
        <f t="shared" si="738"/>
        <v>1210</v>
      </c>
      <c r="M3439" s="47"/>
      <c r="N3439" s="47" t="s">
        <v>5136</v>
      </c>
      <c r="O3439" s="47"/>
      <c r="P3439" s="47"/>
      <c r="Q3439" s="47"/>
      <c r="R3439" s="47"/>
      <c r="S3439" s="47"/>
      <c r="T3439" s="47"/>
      <c r="U3439" s="47">
        <f t="shared" si="734"/>
        <v>430</v>
      </c>
      <c r="V3439" s="47"/>
      <c r="W3439" s="47"/>
      <c r="X3439" s="47"/>
      <c r="Y3439" s="47"/>
      <c r="Z3439" s="47">
        <f t="shared" si="739"/>
        <v>4620</v>
      </c>
      <c r="AA3439" s="47"/>
      <c r="AB3439" s="47"/>
      <c r="AC3439" s="47"/>
      <c r="AD3439" s="47"/>
      <c r="AE3439" s="47"/>
      <c r="AF3439" s="47"/>
      <c r="AG3439" s="47"/>
      <c r="AH3439" s="47" t="str">
        <f>IFERROR(_xlfn.XLOOKUP(Table6[[#This Row],[Suburb]],Table5[Travel Surcharge],Table5[$$]),"")</f>
        <v/>
      </c>
      <c r="AI3439" s="47"/>
      <c r="AJ3439" s="47"/>
    </row>
    <row r="3440" spans="1:36">
      <c r="A3440" s="374" t="s">
        <v>5131</v>
      </c>
      <c r="B3440" s="374">
        <v>10</v>
      </c>
      <c r="C3440" s="374" t="s">
        <v>428</v>
      </c>
      <c r="D3440" s="375" t="str">
        <f t="shared" si="737"/>
        <v>Ramlegh Springs Estate10</v>
      </c>
      <c r="E3440" s="375" t="s">
        <v>5137</v>
      </c>
      <c r="F3440" s="375" t="s">
        <v>738</v>
      </c>
      <c r="G3440" s="375" t="s">
        <v>5133</v>
      </c>
      <c r="H3440" s="375" t="s">
        <v>5134</v>
      </c>
      <c r="I3440" s="63" t="s">
        <v>5135</v>
      </c>
      <c r="J3440" s="47">
        <f t="shared" si="733"/>
        <v>3740</v>
      </c>
      <c r="K3440" s="46" t="s">
        <v>10735</v>
      </c>
      <c r="L3440" s="47">
        <f t="shared" si="738"/>
        <v>1210</v>
      </c>
      <c r="M3440" s="47"/>
      <c r="N3440" s="47" t="s">
        <v>5136</v>
      </c>
      <c r="O3440" s="47"/>
      <c r="P3440" s="47"/>
      <c r="Q3440" s="47"/>
      <c r="R3440" s="47"/>
      <c r="S3440" s="47"/>
      <c r="T3440" s="47"/>
      <c r="U3440" s="47">
        <f t="shared" si="734"/>
        <v>430</v>
      </c>
      <c r="V3440" s="47"/>
      <c r="W3440" s="47"/>
      <c r="X3440" s="47"/>
      <c r="Y3440" s="47"/>
      <c r="Z3440" s="47">
        <f t="shared" si="739"/>
        <v>4620</v>
      </c>
      <c r="AA3440" s="47"/>
      <c r="AB3440" s="47"/>
      <c r="AC3440" s="47"/>
      <c r="AD3440" s="47"/>
      <c r="AE3440" s="47"/>
      <c r="AF3440" s="47"/>
      <c r="AG3440" s="47"/>
      <c r="AH3440" s="47" t="str">
        <f>IFERROR(_xlfn.XLOOKUP(Table6[[#This Row],[Suburb]],Table5[Travel Surcharge],Table5[$$]),"")</f>
        <v/>
      </c>
      <c r="AI3440" s="47"/>
      <c r="AJ3440" s="47"/>
    </row>
    <row r="3441" spans="1:36">
      <c r="A3441" s="374" t="s">
        <v>5131</v>
      </c>
      <c r="B3441" s="374">
        <v>11</v>
      </c>
      <c r="C3441" s="374" t="s">
        <v>428</v>
      </c>
      <c r="D3441" s="375" t="str">
        <f t="shared" si="737"/>
        <v>Ramlegh Springs Estate11</v>
      </c>
      <c r="E3441" s="375" t="s">
        <v>5138</v>
      </c>
      <c r="F3441" s="375" t="s">
        <v>738</v>
      </c>
      <c r="G3441" s="375" t="s">
        <v>5133</v>
      </c>
      <c r="H3441" s="375" t="s">
        <v>5134</v>
      </c>
      <c r="I3441" s="63" t="s">
        <v>5135</v>
      </c>
      <c r="J3441" s="47">
        <f t="shared" si="733"/>
        <v>3740</v>
      </c>
      <c r="K3441" s="46" t="s">
        <v>10735</v>
      </c>
      <c r="L3441" s="47">
        <f t="shared" si="738"/>
        <v>1210</v>
      </c>
      <c r="M3441" s="47"/>
      <c r="N3441" s="47" t="s">
        <v>5136</v>
      </c>
      <c r="O3441" s="47"/>
      <c r="P3441" s="47"/>
      <c r="Q3441" s="47"/>
      <c r="R3441" s="47"/>
      <c r="S3441" s="47"/>
      <c r="T3441" s="47"/>
      <c r="U3441" s="47">
        <f t="shared" si="734"/>
        <v>430</v>
      </c>
      <c r="V3441" s="47"/>
      <c r="W3441" s="47"/>
      <c r="X3441" s="47"/>
      <c r="Y3441" s="47"/>
      <c r="Z3441" s="47">
        <f t="shared" si="739"/>
        <v>4620</v>
      </c>
      <c r="AA3441" s="47"/>
      <c r="AB3441" s="47"/>
      <c r="AC3441" s="47"/>
      <c r="AD3441" s="47"/>
      <c r="AE3441" s="47"/>
      <c r="AF3441" s="47"/>
      <c r="AG3441" s="47"/>
      <c r="AH3441" s="47" t="str">
        <f>IFERROR(_xlfn.XLOOKUP(Table6[[#This Row],[Suburb]],Table5[Travel Surcharge],Table5[$$]),"")</f>
        <v/>
      </c>
      <c r="AI3441" s="47"/>
      <c r="AJ3441" s="47"/>
    </row>
    <row r="3442" spans="1:36">
      <c r="A3442" s="374" t="s">
        <v>5131</v>
      </c>
      <c r="B3442" s="374">
        <v>13</v>
      </c>
      <c r="C3442" s="374" t="s">
        <v>428</v>
      </c>
      <c r="D3442" s="375" t="str">
        <f t="shared" si="737"/>
        <v>Ramlegh Springs Estate13</v>
      </c>
      <c r="E3442" s="375" t="s">
        <v>5139</v>
      </c>
      <c r="F3442" s="375" t="s">
        <v>738</v>
      </c>
      <c r="G3442" s="375" t="s">
        <v>5133</v>
      </c>
      <c r="H3442" s="375" t="s">
        <v>5134</v>
      </c>
      <c r="I3442" s="63" t="s">
        <v>5135</v>
      </c>
      <c r="J3442" s="47">
        <f t="shared" si="733"/>
        <v>3740</v>
      </c>
      <c r="K3442" s="46" t="s">
        <v>10735</v>
      </c>
      <c r="L3442" s="47">
        <f t="shared" si="738"/>
        <v>1210</v>
      </c>
      <c r="M3442" s="47"/>
      <c r="N3442" s="47" t="s">
        <v>5136</v>
      </c>
      <c r="O3442" s="47"/>
      <c r="P3442" s="47"/>
      <c r="Q3442" s="47"/>
      <c r="R3442" s="47"/>
      <c r="S3442" s="47"/>
      <c r="T3442" s="47"/>
      <c r="U3442" s="47">
        <f t="shared" si="734"/>
        <v>430</v>
      </c>
      <c r="V3442" s="47"/>
      <c r="W3442" s="47"/>
      <c r="X3442" s="47"/>
      <c r="Y3442" s="47"/>
      <c r="Z3442" s="47">
        <f t="shared" si="739"/>
        <v>4620</v>
      </c>
      <c r="AA3442" s="47"/>
      <c r="AB3442" s="47"/>
      <c r="AC3442" s="47"/>
      <c r="AD3442" s="47"/>
      <c r="AE3442" s="47"/>
      <c r="AF3442" s="47"/>
      <c r="AG3442" s="47"/>
      <c r="AH3442" s="47" t="str">
        <f>IFERROR(_xlfn.XLOOKUP(Table6[[#This Row],[Suburb]],Table5[Travel Surcharge],Table5[$$]),"")</f>
        <v/>
      </c>
      <c r="AI3442" s="47"/>
      <c r="AJ3442" s="47"/>
    </row>
    <row r="3443" spans="1:36">
      <c r="A3443" s="374" t="s">
        <v>5131</v>
      </c>
      <c r="B3443" s="374">
        <v>15</v>
      </c>
      <c r="C3443" s="374" t="s">
        <v>428</v>
      </c>
      <c r="D3443" s="375" t="str">
        <f t="shared" si="737"/>
        <v>Ramlegh Springs Estate15</v>
      </c>
      <c r="E3443" s="375" t="s">
        <v>5140</v>
      </c>
      <c r="F3443" s="375" t="s">
        <v>1428</v>
      </c>
      <c r="G3443" s="375" t="s">
        <v>2110</v>
      </c>
      <c r="H3443" s="375" t="s">
        <v>2111</v>
      </c>
      <c r="I3443" s="63"/>
      <c r="J3443" s="47">
        <f t="shared" si="733"/>
        <v>3740</v>
      </c>
      <c r="K3443" s="46" t="s">
        <v>10735</v>
      </c>
      <c r="L3443" s="47">
        <f t="shared" si="738"/>
        <v>1210</v>
      </c>
      <c r="M3443" s="47"/>
      <c r="N3443" s="47"/>
      <c r="O3443" s="47"/>
      <c r="P3443" s="47"/>
      <c r="Q3443" s="47"/>
      <c r="R3443" s="47"/>
      <c r="S3443" s="47"/>
      <c r="T3443" s="47"/>
      <c r="U3443" s="47">
        <f t="shared" si="734"/>
        <v>430</v>
      </c>
      <c r="V3443" s="47"/>
      <c r="W3443" s="47"/>
      <c r="X3443" s="47"/>
      <c r="Y3443" s="47"/>
      <c r="Z3443" s="47">
        <f t="shared" si="739"/>
        <v>4620</v>
      </c>
      <c r="AA3443" s="47"/>
      <c r="AB3443" s="47"/>
      <c r="AC3443" s="47"/>
      <c r="AD3443" s="47"/>
      <c r="AE3443" s="47"/>
      <c r="AF3443" s="47"/>
      <c r="AG3443" s="47"/>
      <c r="AH3443" s="47" t="str">
        <f>IFERROR(_xlfn.XLOOKUP(Table6[[#This Row],[Suburb]],Table5[Travel Surcharge],Table5[$$]),"")</f>
        <v/>
      </c>
      <c r="AI3443" s="47"/>
      <c r="AJ3443" s="47"/>
    </row>
    <row r="3444" spans="1:36">
      <c r="A3444" s="374" t="s">
        <v>5131</v>
      </c>
      <c r="B3444" s="374">
        <v>16</v>
      </c>
      <c r="C3444" s="374" t="s">
        <v>428</v>
      </c>
      <c r="D3444" s="375" t="str">
        <f t="shared" si="737"/>
        <v>Ramlegh Springs Estate16</v>
      </c>
      <c r="E3444" s="375" t="s">
        <v>5140</v>
      </c>
      <c r="F3444" s="375" t="s">
        <v>1428</v>
      </c>
      <c r="G3444" s="375" t="s">
        <v>2110</v>
      </c>
      <c r="H3444" s="375" t="s">
        <v>2111</v>
      </c>
      <c r="I3444" s="63"/>
      <c r="J3444" s="47">
        <f t="shared" si="733"/>
        <v>3740</v>
      </c>
      <c r="K3444" s="46" t="s">
        <v>10735</v>
      </c>
      <c r="L3444" s="47">
        <f t="shared" si="738"/>
        <v>1210</v>
      </c>
      <c r="M3444" s="47"/>
      <c r="N3444" s="47"/>
      <c r="O3444" s="47"/>
      <c r="P3444" s="47"/>
      <c r="Q3444" s="47"/>
      <c r="R3444" s="47"/>
      <c r="S3444" s="47"/>
      <c r="T3444" s="47"/>
      <c r="U3444" s="47">
        <f t="shared" si="734"/>
        <v>430</v>
      </c>
      <c r="V3444" s="47"/>
      <c r="W3444" s="47"/>
      <c r="X3444" s="47"/>
      <c r="Y3444" s="47"/>
      <c r="Z3444" s="47">
        <f t="shared" si="739"/>
        <v>4620</v>
      </c>
      <c r="AA3444" s="47"/>
      <c r="AB3444" s="47"/>
      <c r="AC3444" s="47"/>
      <c r="AD3444" s="47"/>
      <c r="AE3444" s="47"/>
      <c r="AF3444" s="47"/>
      <c r="AG3444" s="47"/>
      <c r="AH3444" s="47" t="str">
        <f>IFERROR(_xlfn.XLOOKUP(Table6[[#This Row],[Suburb]],Table5[Travel Surcharge],Table5[$$]),"")</f>
        <v/>
      </c>
      <c r="AI3444" s="47"/>
      <c r="AJ3444" s="47"/>
    </row>
    <row r="3445" spans="1:36">
      <c r="A3445" s="374" t="s">
        <v>5131</v>
      </c>
      <c r="B3445" s="374">
        <v>17</v>
      </c>
      <c r="C3445" s="374" t="s">
        <v>428</v>
      </c>
      <c r="D3445" s="375" t="str">
        <f t="shared" si="737"/>
        <v>Ramlegh Springs Estate17</v>
      </c>
      <c r="E3445" s="375" t="s">
        <v>5141</v>
      </c>
      <c r="F3445" s="375" t="s">
        <v>1428</v>
      </c>
      <c r="G3445" s="375" t="s">
        <v>2110</v>
      </c>
      <c r="H3445" s="375" t="s">
        <v>2111</v>
      </c>
      <c r="I3445" s="63"/>
      <c r="J3445" s="47">
        <f t="shared" si="733"/>
        <v>3740</v>
      </c>
      <c r="K3445" s="46" t="s">
        <v>10735</v>
      </c>
      <c r="L3445" s="47">
        <f t="shared" si="738"/>
        <v>1210</v>
      </c>
      <c r="M3445" s="47"/>
      <c r="N3445" s="47"/>
      <c r="O3445" s="47"/>
      <c r="P3445" s="47"/>
      <c r="Q3445" s="47"/>
      <c r="R3445" s="47"/>
      <c r="S3445" s="47"/>
      <c r="T3445" s="47"/>
      <c r="U3445" s="47">
        <f t="shared" si="734"/>
        <v>430</v>
      </c>
      <c r="V3445" s="47"/>
      <c r="W3445" s="47"/>
      <c r="X3445" s="47"/>
      <c r="Y3445" s="47"/>
      <c r="Z3445" s="47">
        <f t="shared" si="739"/>
        <v>4620</v>
      </c>
      <c r="AA3445" s="47"/>
      <c r="AB3445" s="47"/>
      <c r="AC3445" s="47"/>
      <c r="AD3445" s="47"/>
      <c r="AE3445" s="47"/>
      <c r="AF3445" s="47"/>
      <c r="AG3445" s="47"/>
      <c r="AH3445" s="47" t="str">
        <f>IFERROR(_xlfn.XLOOKUP(Table6[[#This Row],[Suburb]],Table5[Travel Surcharge],Table5[$$]),"")</f>
        <v/>
      </c>
      <c r="AI3445" s="47"/>
      <c r="AJ3445" s="47"/>
    </row>
    <row r="3446" spans="1:36">
      <c r="A3446" s="374" t="s">
        <v>5131</v>
      </c>
      <c r="B3446" s="374">
        <v>18</v>
      </c>
      <c r="C3446" s="374" t="s">
        <v>428</v>
      </c>
      <c r="D3446" s="375" t="str">
        <f t="shared" si="737"/>
        <v>Ramlegh Springs Estate18</v>
      </c>
      <c r="E3446" s="375" t="s">
        <v>5142</v>
      </c>
      <c r="F3446" s="375" t="s">
        <v>1428</v>
      </c>
      <c r="G3446" s="375" t="s">
        <v>2110</v>
      </c>
      <c r="H3446" s="375" t="s">
        <v>2111</v>
      </c>
      <c r="I3446" s="63"/>
      <c r="J3446" s="47">
        <f t="shared" si="733"/>
        <v>3740</v>
      </c>
      <c r="K3446" s="46" t="s">
        <v>10735</v>
      </c>
      <c r="L3446" s="47">
        <f t="shared" si="738"/>
        <v>1210</v>
      </c>
      <c r="M3446" s="47"/>
      <c r="N3446" s="47"/>
      <c r="O3446" s="47"/>
      <c r="P3446" s="47"/>
      <c r="Q3446" s="47"/>
      <c r="R3446" s="47"/>
      <c r="S3446" s="47"/>
      <c r="T3446" s="47"/>
      <c r="U3446" s="47">
        <f t="shared" si="734"/>
        <v>430</v>
      </c>
      <c r="V3446" s="47"/>
      <c r="W3446" s="47"/>
      <c r="X3446" s="47"/>
      <c r="Y3446" s="47"/>
      <c r="Z3446" s="47">
        <f t="shared" si="739"/>
        <v>4620</v>
      </c>
      <c r="AA3446" s="47"/>
      <c r="AB3446" s="47"/>
      <c r="AC3446" s="47"/>
      <c r="AD3446" s="47"/>
      <c r="AE3446" s="47"/>
      <c r="AF3446" s="47"/>
      <c r="AG3446" s="47"/>
      <c r="AH3446" s="47" t="str">
        <f>IFERROR(_xlfn.XLOOKUP(Table6[[#This Row],[Suburb]],Table5[Travel Surcharge],Table5[$$]),"")</f>
        <v/>
      </c>
      <c r="AI3446" s="47"/>
      <c r="AJ3446" s="47"/>
    </row>
    <row r="3447" spans="1:36">
      <c r="A3447" s="374" t="s">
        <v>5143</v>
      </c>
      <c r="B3447" s="374">
        <v>31</v>
      </c>
      <c r="C3447" s="374" t="s">
        <v>455</v>
      </c>
      <c r="D3447" s="375" t="s">
        <v>9614</v>
      </c>
      <c r="E3447" s="375" t="s">
        <v>9615</v>
      </c>
      <c r="F3447" s="375" t="s">
        <v>1428</v>
      </c>
      <c r="G3447" s="375" t="s">
        <v>5145</v>
      </c>
      <c r="H3447" s="375" t="s">
        <v>5146</v>
      </c>
      <c r="I3447" s="63" t="s">
        <v>5147</v>
      </c>
      <c r="J3447" s="47">
        <v>3740</v>
      </c>
      <c r="K3447" s="46" t="s">
        <v>7938</v>
      </c>
      <c r="L3447" s="47"/>
      <c r="M3447" s="47" t="s">
        <v>5148</v>
      </c>
      <c r="N3447" s="47" t="s">
        <v>5149</v>
      </c>
      <c r="O3447" s="47" t="s">
        <v>2610</v>
      </c>
      <c r="P3447" s="47" t="s">
        <v>5150</v>
      </c>
      <c r="Q3447" s="47"/>
      <c r="R3447" s="47"/>
      <c r="S3447" s="47"/>
      <c r="T3447" s="47">
        <v>1420</v>
      </c>
      <c r="U3447" s="47"/>
      <c r="V3447" s="47"/>
      <c r="W3447" s="47"/>
      <c r="X3447" s="47"/>
      <c r="Y3447" s="47"/>
      <c r="Z3447" s="47">
        <v>4620</v>
      </c>
      <c r="AA3447" s="47"/>
      <c r="AB3447" s="47"/>
      <c r="AC3447" s="47" t="s">
        <v>5151</v>
      </c>
      <c r="AD3447" s="47"/>
      <c r="AE3447" s="47"/>
      <c r="AF3447" s="47">
        <v>1650.0000000000002</v>
      </c>
      <c r="AG3447" s="47" t="s">
        <v>464</v>
      </c>
      <c r="AH3447" s="47" t="str">
        <f>IFERROR(_xlfn.XLOOKUP(Table6[[#This Row],[Suburb]],Table5[Travel Surcharge],Table5[$$]),"")</f>
        <v/>
      </c>
      <c r="AI3447" s="47"/>
      <c r="AJ3447" s="47"/>
    </row>
    <row r="3448" spans="1:36">
      <c r="A3448" s="374" t="s">
        <v>5143</v>
      </c>
      <c r="B3448" s="374">
        <v>2</v>
      </c>
      <c r="C3448" s="374" t="s">
        <v>455</v>
      </c>
      <c r="D3448" s="375" t="str">
        <f t="shared" ref="D3448:D3488" si="740">CONCATENATE(A3448,B3448)</f>
        <v>Rathdowne Estate2</v>
      </c>
      <c r="E3448" s="375" t="s">
        <v>5144</v>
      </c>
      <c r="F3448" s="375" t="s">
        <v>1428</v>
      </c>
      <c r="G3448" s="375" t="s">
        <v>5145</v>
      </c>
      <c r="H3448" s="375" t="s">
        <v>5146</v>
      </c>
      <c r="I3448" s="63" t="s">
        <v>5147</v>
      </c>
      <c r="J3448" s="47">
        <f t="shared" ref="J3448:J3467" si="741">J$7</f>
        <v>3740</v>
      </c>
      <c r="K3448" s="46" t="s">
        <v>7938</v>
      </c>
      <c r="L3448" s="47"/>
      <c r="M3448" s="47" t="s">
        <v>5148</v>
      </c>
      <c r="N3448" s="47" t="s">
        <v>5149</v>
      </c>
      <c r="O3448" s="47" t="s">
        <v>2610</v>
      </c>
      <c r="P3448" s="47" t="s">
        <v>5150</v>
      </c>
      <c r="Q3448" s="47"/>
      <c r="R3448" s="47"/>
      <c r="S3448" s="47"/>
      <c r="T3448" s="47">
        <f t="shared" ref="T3448:T3464" si="742">T$2</f>
        <v>780</v>
      </c>
      <c r="U3448" s="47"/>
      <c r="V3448" s="47"/>
      <c r="W3448" s="47"/>
      <c r="X3448" s="47"/>
      <c r="Y3448" s="47"/>
      <c r="Z3448" s="47">
        <f t="shared" ref="Z3448:Z3488" si="743">Z$7</f>
        <v>4620</v>
      </c>
      <c r="AA3448" s="47"/>
      <c r="AB3448" s="47"/>
      <c r="AC3448" s="47" t="s">
        <v>5151</v>
      </c>
      <c r="AD3448" s="47"/>
      <c r="AE3448" s="47"/>
      <c r="AF3448" s="47">
        <f t="shared" ref="AF3448:AF3464" si="744">AF$7</f>
        <v>1485</v>
      </c>
      <c r="AG3448" s="47" t="s">
        <v>464</v>
      </c>
      <c r="AH3448" s="47" t="str">
        <f>IFERROR(_xlfn.XLOOKUP(Table6[[#This Row],[Suburb]],Table5[Travel Surcharge],Table5[$$]),"")</f>
        <v/>
      </c>
      <c r="AI3448" s="47"/>
      <c r="AJ3448" s="47"/>
    </row>
    <row r="3449" spans="1:36">
      <c r="A3449" s="374" t="s">
        <v>5143</v>
      </c>
      <c r="B3449" s="374">
        <v>3</v>
      </c>
      <c r="C3449" s="374" t="s">
        <v>455</v>
      </c>
      <c r="D3449" s="375" t="str">
        <f t="shared" si="740"/>
        <v>Rathdowne Estate3</v>
      </c>
      <c r="E3449" s="375" t="s">
        <v>5152</v>
      </c>
      <c r="F3449" s="375" t="s">
        <v>1428</v>
      </c>
      <c r="G3449" s="375" t="s">
        <v>5145</v>
      </c>
      <c r="H3449" s="375" t="s">
        <v>5146</v>
      </c>
      <c r="I3449" s="63" t="s">
        <v>5147</v>
      </c>
      <c r="J3449" s="47">
        <f t="shared" si="741"/>
        <v>3740</v>
      </c>
      <c r="K3449" s="46" t="s">
        <v>7938</v>
      </c>
      <c r="L3449" s="47"/>
      <c r="M3449" s="47" t="s">
        <v>5148</v>
      </c>
      <c r="N3449" s="47" t="s">
        <v>5149</v>
      </c>
      <c r="O3449" s="47" t="s">
        <v>2610</v>
      </c>
      <c r="P3449" s="47" t="s">
        <v>5150</v>
      </c>
      <c r="Q3449" s="47"/>
      <c r="R3449" s="47"/>
      <c r="S3449" s="47"/>
      <c r="T3449" s="47">
        <f t="shared" si="742"/>
        <v>780</v>
      </c>
      <c r="U3449" s="47"/>
      <c r="V3449" s="47"/>
      <c r="W3449" s="47"/>
      <c r="X3449" s="47"/>
      <c r="Y3449" s="47"/>
      <c r="Z3449" s="47">
        <f t="shared" si="743"/>
        <v>4620</v>
      </c>
      <c r="AA3449" s="47"/>
      <c r="AB3449" s="47"/>
      <c r="AC3449" s="47" t="s">
        <v>5151</v>
      </c>
      <c r="AD3449" s="47"/>
      <c r="AE3449" s="47"/>
      <c r="AF3449" s="47">
        <f t="shared" si="744"/>
        <v>1485</v>
      </c>
      <c r="AG3449" s="47" t="s">
        <v>464</v>
      </c>
      <c r="AH3449" s="47" t="str">
        <f>IFERROR(_xlfn.XLOOKUP(Table6[[#This Row],[Suburb]],Table5[Travel Surcharge],Table5[$$]),"")</f>
        <v/>
      </c>
      <c r="AI3449" s="47"/>
      <c r="AJ3449" s="47"/>
    </row>
    <row r="3450" spans="1:36">
      <c r="A3450" s="374" t="s">
        <v>5143</v>
      </c>
      <c r="B3450" s="374">
        <v>4</v>
      </c>
      <c r="C3450" s="374" t="s">
        <v>455</v>
      </c>
      <c r="D3450" s="375" t="str">
        <f t="shared" si="740"/>
        <v>Rathdowne Estate4</v>
      </c>
      <c r="E3450" s="375" t="s">
        <v>5153</v>
      </c>
      <c r="F3450" s="375" t="s">
        <v>1428</v>
      </c>
      <c r="G3450" s="375" t="s">
        <v>5145</v>
      </c>
      <c r="H3450" s="375" t="s">
        <v>5146</v>
      </c>
      <c r="I3450" s="63" t="s">
        <v>5147</v>
      </c>
      <c r="J3450" s="47">
        <f t="shared" si="741"/>
        <v>3740</v>
      </c>
      <c r="K3450" s="46" t="s">
        <v>7938</v>
      </c>
      <c r="L3450" s="47"/>
      <c r="M3450" s="47" t="s">
        <v>5148</v>
      </c>
      <c r="N3450" s="47" t="s">
        <v>5149</v>
      </c>
      <c r="O3450" s="47" t="s">
        <v>2610</v>
      </c>
      <c r="P3450" s="47" t="s">
        <v>5150</v>
      </c>
      <c r="Q3450" s="47"/>
      <c r="R3450" s="47"/>
      <c r="S3450" s="47"/>
      <c r="T3450" s="47">
        <f t="shared" si="742"/>
        <v>780</v>
      </c>
      <c r="U3450" s="47"/>
      <c r="V3450" s="47"/>
      <c r="W3450" s="47"/>
      <c r="X3450" s="47"/>
      <c r="Y3450" s="47"/>
      <c r="Z3450" s="47">
        <f t="shared" si="743"/>
        <v>4620</v>
      </c>
      <c r="AA3450" s="47"/>
      <c r="AB3450" s="47"/>
      <c r="AC3450" s="47" t="s">
        <v>5151</v>
      </c>
      <c r="AD3450" s="47"/>
      <c r="AE3450" s="47"/>
      <c r="AF3450" s="47">
        <f t="shared" si="744"/>
        <v>1485</v>
      </c>
      <c r="AG3450" s="47" t="s">
        <v>464</v>
      </c>
      <c r="AH3450" s="47" t="str">
        <f>IFERROR(_xlfn.XLOOKUP(Table6[[#This Row],[Suburb]],Table5[Travel Surcharge],Table5[$$]),"")</f>
        <v/>
      </c>
      <c r="AI3450" s="47"/>
      <c r="AJ3450" s="47"/>
    </row>
    <row r="3451" spans="1:36">
      <c r="A3451" s="374" t="s">
        <v>5143</v>
      </c>
      <c r="B3451" s="374">
        <v>5</v>
      </c>
      <c r="C3451" s="374" t="s">
        <v>455</v>
      </c>
      <c r="D3451" s="375" t="str">
        <f t="shared" si="740"/>
        <v>Rathdowne Estate5</v>
      </c>
      <c r="E3451" s="375" t="s">
        <v>5154</v>
      </c>
      <c r="F3451" s="375" t="s">
        <v>1428</v>
      </c>
      <c r="G3451" s="375" t="s">
        <v>5145</v>
      </c>
      <c r="H3451" s="375" t="s">
        <v>5146</v>
      </c>
      <c r="I3451" s="63" t="s">
        <v>5147</v>
      </c>
      <c r="J3451" s="47">
        <f t="shared" si="741"/>
        <v>3740</v>
      </c>
      <c r="K3451" s="46" t="s">
        <v>7938</v>
      </c>
      <c r="L3451" s="47"/>
      <c r="M3451" s="47" t="s">
        <v>5148</v>
      </c>
      <c r="N3451" s="47" t="s">
        <v>5149</v>
      </c>
      <c r="O3451" s="47" t="s">
        <v>2610</v>
      </c>
      <c r="P3451" s="47" t="s">
        <v>5150</v>
      </c>
      <c r="Q3451" s="47"/>
      <c r="R3451" s="47"/>
      <c r="S3451" s="47"/>
      <c r="T3451" s="47">
        <f t="shared" si="742"/>
        <v>780</v>
      </c>
      <c r="U3451" s="47"/>
      <c r="V3451" s="47"/>
      <c r="W3451" s="47"/>
      <c r="X3451" s="47"/>
      <c r="Y3451" s="47"/>
      <c r="Z3451" s="47">
        <f t="shared" si="743"/>
        <v>4620</v>
      </c>
      <c r="AA3451" s="47"/>
      <c r="AB3451" s="47"/>
      <c r="AC3451" s="47" t="s">
        <v>5151</v>
      </c>
      <c r="AD3451" s="47"/>
      <c r="AE3451" s="47"/>
      <c r="AF3451" s="47">
        <f t="shared" si="744"/>
        <v>1485</v>
      </c>
      <c r="AG3451" s="47" t="s">
        <v>464</v>
      </c>
      <c r="AH3451" s="47" t="str">
        <f>IFERROR(_xlfn.XLOOKUP(Table6[[#This Row],[Suburb]],Table5[Travel Surcharge],Table5[$$]),"")</f>
        <v/>
      </c>
      <c r="AI3451" s="47"/>
      <c r="AJ3451" s="47"/>
    </row>
    <row r="3452" spans="1:36">
      <c r="A3452" s="374" t="s">
        <v>5143</v>
      </c>
      <c r="B3452" s="374">
        <v>8</v>
      </c>
      <c r="C3452" s="374" t="s">
        <v>455</v>
      </c>
      <c r="D3452" s="375" t="str">
        <f t="shared" si="740"/>
        <v>Rathdowne Estate8</v>
      </c>
      <c r="E3452" s="375" t="s">
        <v>5155</v>
      </c>
      <c r="F3452" s="375" t="s">
        <v>1428</v>
      </c>
      <c r="G3452" s="375" t="s">
        <v>5145</v>
      </c>
      <c r="H3452" s="375" t="s">
        <v>5146</v>
      </c>
      <c r="I3452" s="63" t="s">
        <v>5147</v>
      </c>
      <c r="J3452" s="47">
        <f t="shared" si="741"/>
        <v>3740</v>
      </c>
      <c r="K3452" s="46" t="s">
        <v>7938</v>
      </c>
      <c r="L3452" s="47"/>
      <c r="M3452" s="47" t="s">
        <v>5148</v>
      </c>
      <c r="N3452" s="47" t="s">
        <v>5149</v>
      </c>
      <c r="O3452" s="47" t="s">
        <v>2610</v>
      </c>
      <c r="P3452" s="47" t="s">
        <v>5150</v>
      </c>
      <c r="Q3452" s="47"/>
      <c r="R3452" s="47"/>
      <c r="S3452" s="47"/>
      <c r="T3452" s="47">
        <f t="shared" si="742"/>
        <v>780</v>
      </c>
      <c r="U3452" s="47"/>
      <c r="V3452" s="47"/>
      <c r="W3452" s="47"/>
      <c r="X3452" s="47"/>
      <c r="Y3452" s="47"/>
      <c r="Z3452" s="47">
        <f t="shared" si="743"/>
        <v>4620</v>
      </c>
      <c r="AA3452" s="47"/>
      <c r="AB3452" s="47"/>
      <c r="AC3452" s="47" t="s">
        <v>5151</v>
      </c>
      <c r="AD3452" s="47"/>
      <c r="AE3452" s="47"/>
      <c r="AF3452" s="47">
        <f t="shared" si="744"/>
        <v>1485</v>
      </c>
      <c r="AG3452" s="47" t="s">
        <v>464</v>
      </c>
      <c r="AH3452" s="47" t="str">
        <f>IFERROR(_xlfn.XLOOKUP(Table6[[#This Row],[Suburb]],Table5[Travel Surcharge],Table5[$$]),"")</f>
        <v/>
      </c>
      <c r="AI3452" s="47"/>
      <c r="AJ3452" s="47"/>
    </row>
    <row r="3453" spans="1:36">
      <c r="A3453" s="374" t="s">
        <v>5143</v>
      </c>
      <c r="B3453" s="374">
        <v>9</v>
      </c>
      <c r="C3453" s="374" t="s">
        <v>455</v>
      </c>
      <c r="D3453" s="375" t="str">
        <f t="shared" si="740"/>
        <v>Rathdowne Estate9</v>
      </c>
      <c r="E3453" s="375" t="s">
        <v>5156</v>
      </c>
      <c r="F3453" s="375" t="s">
        <v>1428</v>
      </c>
      <c r="G3453" s="375" t="s">
        <v>5145</v>
      </c>
      <c r="H3453" s="375" t="s">
        <v>5146</v>
      </c>
      <c r="I3453" s="63" t="s">
        <v>5147</v>
      </c>
      <c r="J3453" s="47">
        <f t="shared" si="741"/>
        <v>3740</v>
      </c>
      <c r="K3453" s="46" t="s">
        <v>7938</v>
      </c>
      <c r="L3453" s="47"/>
      <c r="M3453" s="47" t="s">
        <v>5148</v>
      </c>
      <c r="N3453" s="47" t="s">
        <v>5149</v>
      </c>
      <c r="O3453" s="47" t="s">
        <v>2610</v>
      </c>
      <c r="P3453" s="47" t="s">
        <v>5150</v>
      </c>
      <c r="Q3453" s="47"/>
      <c r="R3453" s="47"/>
      <c r="S3453" s="47"/>
      <c r="T3453" s="47">
        <f t="shared" si="742"/>
        <v>780</v>
      </c>
      <c r="U3453" s="47"/>
      <c r="V3453" s="47"/>
      <c r="W3453" s="47"/>
      <c r="X3453" s="47"/>
      <c r="Y3453" s="47"/>
      <c r="Z3453" s="47">
        <f t="shared" si="743"/>
        <v>4620</v>
      </c>
      <c r="AA3453" s="47"/>
      <c r="AB3453" s="47"/>
      <c r="AC3453" s="47" t="s">
        <v>5151</v>
      </c>
      <c r="AD3453" s="47"/>
      <c r="AE3453" s="47"/>
      <c r="AF3453" s="47">
        <f t="shared" si="744"/>
        <v>1485</v>
      </c>
      <c r="AG3453" s="47" t="s">
        <v>464</v>
      </c>
      <c r="AH3453" s="47" t="str">
        <f>IFERROR(_xlfn.XLOOKUP(Table6[[#This Row],[Suburb]],Table5[Travel Surcharge],Table5[$$]),"")</f>
        <v/>
      </c>
      <c r="AI3453" s="47"/>
      <c r="AJ3453" s="47"/>
    </row>
    <row r="3454" spans="1:36">
      <c r="A3454" s="374" t="s">
        <v>5143</v>
      </c>
      <c r="B3454" s="374">
        <v>10</v>
      </c>
      <c r="C3454" s="374" t="s">
        <v>455</v>
      </c>
      <c r="D3454" s="375" t="str">
        <f t="shared" si="740"/>
        <v>Rathdowne Estate10</v>
      </c>
      <c r="E3454" s="375" t="s">
        <v>10868</v>
      </c>
      <c r="F3454" s="375" t="s">
        <v>1428</v>
      </c>
      <c r="G3454" s="375" t="s">
        <v>5145</v>
      </c>
      <c r="H3454" s="375" t="s">
        <v>5146</v>
      </c>
      <c r="I3454" s="63" t="s">
        <v>5147</v>
      </c>
      <c r="J3454" s="47">
        <v>3740</v>
      </c>
      <c r="K3454" s="46" t="s">
        <v>7938</v>
      </c>
      <c r="L3454" s="47"/>
      <c r="M3454" s="47" t="s">
        <v>5148</v>
      </c>
      <c r="N3454" s="47" t="s">
        <v>5149</v>
      </c>
      <c r="O3454" s="47" t="s">
        <v>2610</v>
      </c>
      <c r="P3454" s="47" t="s">
        <v>5150</v>
      </c>
      <c r="Q3454" s="47"/>
      <c r="R3454" s="47"/>
      <c r="S3454" s="47"/>
      <c r="T3454" s="47">
        <v>780</v>
      </c>
      <c r="U3454" s="47"/>
      <c r="V3454" s="47"/>
      <c r="W3454" s="47"/>
      <c r="X3454" s="47"/>
      <c r="Y3454" s="47"/>
      <c r="Z3454" s="47">
        <v>4620</v>
      </c>
      <c r="AA3454" s="47"/>
      <c r="AB3454" s="47"/>
      <c r="AC3454" s="47" t="s">
        <v>5151</v>
      </c>
      <c r="AD3454" s="47"/>
      <c r="AE3454" s="47"/>
      <c r="AF3454" s="47">
        <v>1485</v>
      </c>
      <c r="AG3454" s="47" t="s">
        <v>464</v>
      </c>
      <c r="AH3454" s="47" t="s">
        <v>9976</v>
      </c>
      <c r="AI3454" s="47"/>
      <c r="AJ3454" s="47"/>
    </row>
    <row r="3455" spans="1:36">
      <c r="A3455" s="374" t="s">
        <v>5143</v>
      </c>
      <c r="B3455" s="374">
        <v>11</v>
      </c>
      <c r="C3455" s="374" t="s">
        <v>455</v>
      </c>
      <c r="D3455" s="375" t="str">
        <f t="shared" si="740"/>
        <v>Rathdowne Estate11</v>
      </c>
      <c r="E3455" s="375" t="s">
        <v>5157</v>
      </c>
      <c r="F3455" s="375" t="s">
        <v>1428</v>
      </c>
      <c r="G3455" s="375" t="s">
        <v>5145</v>
      </c>
      <c r="H3455" s="375" t="s">
        <v>5146</v>
      </c>
      <c r="I3455" s="63" t="s">
        <v>5147</v>
      </c>
      <c r="J3455" s="47">
        <f t="shared" si="741"/>
        <v>3740</v>
      </c>
      <c r="K3455" s="46" t="s">
        <v>7938</v>
      </c>
      <c r="L3455" s="47"/>
      <c r="M3455" s="47" t="s">
        <v>5148</v>
      </c>
      <c r="N3455" s="47" t="s">
        <v>5149</v>
      </c>
      <c r="O3455" s="47" t="s">
        <v>2610</v>
      </c>
      <c r="P3455" s="47" t="s">
        <v>5150</v>
      </c>
      <c r="Q3455" s="47"/>
      <c r="R3455" s="47"/>
      <c r="S3455" s="47"/>
      <c r="T3455" s="47">
        <f t="shared" si="742"/>
        <v>780</v>
      </c>
      <c r="U3455" s="47"/>
      <c r="V3455" s="47"/>
      <c r="W3455" s="47"/>
      <c r="X3455" s="47"/>
      <c r="Y3455" s="47"/>
      <c r="Z3455" s="47">
        <f t="shared" si="743"/>
        <v>4620</v>
      </c>
      <c r="AA3455" s="47"/>
      <c r="AB3455" s="47"/>
      <c r="AC3455" s="47" t="s">
        <v>5151</v>
      </c>
      <c r="AD3455" s="47"/>
      <c r="AE3455" s="47"/>
      <c r="AF3455" s="47">
        <f t="shared" si="744"/>
        <v>1485</v>
      </c>
      <c r="AG3455" s="47" t="s">
        <v>464</v>
      </c>
      <c r="AH3455" s="47" t="str">
        <f>IFERROR(_xlfn.XLOOKUP(Table6[[#This Row],[Suburb]],Table5[Travel Surcharge],Table5[$$]),"")</f>
        <v/>
      </c>
      <c r="AI3455" s="47"/>
      <c r="AJ3455" s="47"/>
    </row>
    <row r="3456" spans="1:36">
      <c r="A3456" s="374" t="s">
        <v>5143</v>
      </c>
      <c r="B3456" s="374">
        <v>12</v>
      </c>
      <c r="C3456" s="374" t="s">
        <v>455</v>
      </c>
      <c r="D3456" s="375" t="str">
        <f t="shared" si="740"/>
        <v>Rathdowne Estate12</v>
      </c>
      <c r="E3456" s="375" t="s">
        <v>5158</v>
      </c>
      <c r="F3456" s="375" t="s">
        <v>1428</v>
      </c>
      <c r="G3456" s="375" t="s">
        <v>5145</v>
      </c>
      <c r="H3456" s="375" t="s">
        <v>5146</v>
      </c>
      <c r="I3456" s="63" t="s">
        <v>5147</v>
      </c>
      <c r="J3456" s="47">
        <f t="shared" si="741"/>
        <v>3740</v>
      </c>
      <c r="K3456" s="46" t="s">
        <v>7938</v>
      </c>
      <c r="L3456" s="47"/>
      <c r="M3456" s="47" t="s">
        <v>5148</v>
      </c>
      <c r="N3456" s="47" t="s">
        <v>5149</v>
      </c>
      <c r="O3456" s="47" t="s">
        <v>2610</v>
      </c>
      <c r="P3456" s="47" t="s">
        <v>5150</v>
      </c>
      <c r="Q3456" s="47"/>
      <c r="R3456" s="47"/>
      <c r="S3456" s="47"/>
      <c r="T3456" s="47">
        <f t="shared" si="742"/>
        <v>780</v>
      </c>
      <c r="U3456" s="47"/>
      <c r="V3456" s="47"/>
      <c r="W3456" s="47"/>
      <c r="X3456" s="47"/>
      <c r="Y3456" s="47"/>
      <c r="Z3456" s="47">
        <f t="shared" si="743"/>
        <v>4620</v>
      </c>
      <c r="AA3456" s="47"/>
      <c r="AB3456" s="47"/>
      <c r="AC3456" s="47" t="s">
        <v>5151</v>
      </c>
      <c r="AD3456" s="47"/>
      <c r="AE3456" s="47"/>
      <c r="AF3456" s="47">
        <f t="shared" si="744"/>
        <v>1485</v>
      </c>
      <c r="AG3456" s="47" t="s">
        <v>464</v>
      </c>
      <c r="AH3456" s="47" t="str">
        <f>IFERROR(_xlfn.XLOOKUP(Table6[[#This Row],[Suburb]],Table5[Travel Surcharge],Table5[$$]),"")</f>
        <v/>
      </c>
      <c r="AI3456" s="47"/>
      <c r="AJ3456" s="47"/>
    </row>
    <row r="3457" spans="1:43">
      <c r="A3457" s="374" t="s">
        <v>5143</v>
      </c>
      <c r="B3457" s="374">
        <v>13</v>
      </c>
      <c r="C3457" s="374" t="s">
        <v>455</v>
      </c>
      <c r="D3457" s="375" t="str">
        <f t="shared" si="740"/>
        <v>Rathdowne Estate13</v>
      </c>
      <c r="E3457" s="375" t="s">
        <v>5159</v>
      </c>
      <c r="F3457" s="375" t="s">
        <v>1428</v>
      </c>
      <c r="G3457" s="375" t="s">
        <v>5145</v>
      </c>
      <c r="H3457" s="375" t="s">
        <v>5146</v>
      </c>
      <c r="I3457" s="63" t="s">
        <v>5147</v>
      </c>
      <c r="J3457" s="47">
        <f t="shared" si="741"/>
        <v>3740</v>
      </c>
      <c r="K3457" s="46" t="s">
        <v>7938</v>
      </c>
      <c r="L3457" s="47"/>
      <c r="M3457" s="47" t="s">
        <v>5148</v>
      </c>
      <c r="N3457" s="47" t="s">
        <v>5149</v>
      </c>
      <c r="O3457" s="47" t="s">
        <v>2610</v>
      </c>
      <c r="P3457" s="47" t="s">
        <v>5150</v>
      </c>
      <c r="Q3457" s="47"/>
      <c r="R3457" s="47"/>
      <c r="S3457" s="47"/>
      <c r="T3457" s="47">
        <f t="shared" si="742"/>
        <v>780</v>
      </c>
      <c r="U3457" s="47"/>
      <c r="V3457" s="47"/>
      <c r="W3457" s="47"/>
      <c r="X3457" s="47"/>
      <c r="Y3457" s="47"/>
      <c r="Z3457" s="47">
        <f t="shared" si="743"/>
        <v>4620</v>
      </c>
      <c r="AA3457" s="47"/>
      <c r="AB3457" s="47"/>
      <c r="AC3457" s="47" t="s">
        <v>5151</v>
      </c>
      <c r="AD3457" s="47"/>
      <c r="AE3457" s="47"/>
      <c r="AF3457" s="47">
        <f t="shared" si="744"/>
        <v>1485</v>
      </c>
      <c r="AG3457" s="47" t="s">
        <v>464</v>
      </c>
      <c r="AH3457" s="47" t="str">
        <f>IFERROR(_xlfn.XLOOKUP(Table6[[#This Row],[Suburb]],Table5[Travel Surcharge],Table5[$$]),"")</f>
        <v/>
      </c>
      <c r="AI3457" s="47"/>
      <c r="AJ3457" s="47"/>
    </row>
    <row r="3458" spans="1:43">
      <c r="A3458" s="374" t="s">
        <v>5143</v>
      </c>
      <c r="B3458" s="374">
        <v>14</v>
      </c>
      <c r="C3458" s="374" t="s">
        <v>455</v>
      </c>
      <c r="D3458" s="375" t="str">
        <f t="shared" si="740"/>
        <v>Rathdowne Estate14</v>
      </c>
      <c r="E3458" s="375" t="s">
        <v>5160</v>
      </c>
      <c r="F3458" s="375" t="s">
        <v>1428</v>
      </c>
      <c r="G3458" s="375" t="s">
        <v>5145</v>
      </c>
      <c r="H3458" s="375" t="s">
        <v>5146</v>
      </c>
      <c r="I3458" s="63" t="s">
        <v>5147</v>
      </c>
      <c r="J3458" s="47">
        <f t="shared" si="741"/>
        <v>3740</v>
      </c>
      <c r="K3458" s="46" t="s">
        <v>7938</v>
      </c>
      <c r="L3458" s="47"/>
      <c r="M3458" s="47" t="s">
        <v>5148</v>
      </c>
      <c r="N3458" s="47" t="s">
        <v>5149</v>
      </c>
      <c r="O3458" s="47" t="s">
        <v>2610</v>
      </c>
      <c r="P3458" s="47" t="s">
        <v>5150</v>
      </c>
      <c r="Q3458" s="47"/>
      <c r="R3458" s="47"/>
      <c r="S3458" s="47"/>
      <c r="T3458" s="47">
        <f t="shared" si="742"/>
        <v>780</v>
      </c>
      <c r="U3458" s="47"/>
      <c r="V3458" s="47"/>
      <c r="W3458" s="47"/>
      <c r="X3458" s="47"/>
      <c r="Y3458" s="47"/>
      <c r="Z3458" s="47">
        <f t="shared" si="743"/>
        <v>4620</v>
      </c>
      <c r="AA3458" s="47"/>
      <c r="AB3458" s="47"/>
      <c r="AC3458" s="47" t="s">
        <v>5151</v>
      </c>
      <c r="AD3458" s="47"/>
      <c r="AE3458" s="47"/>
      <c r="AF3458" s="47">
        <f t="shared" si="744"/>
        <v>1485</v>
      </c>
      <c r="AG3458" s="47" t="s">
        <v>464</v>
      </c>
      <c r="AH3458" s="47" t="str">
        <f>IFERROR(_xlfn.XLOOKUP(Table6[[#This Row],[Suburb]],Table5[Travel Surcharge],Table5[$$]),"")</f>
        <v/>
      </c>
      <c r="AI3458" s="47"/>
      <c r="AJ3458" s="47"/>
    </row>
    <row r="3459" spans="1:43">
      <c r="A3459" s="374" t="s">
        <v>5143</v>
      </c>
      <c r="B3459" s="374">
        <v>15</v>
      </c>
      <c r="C3459" s="374" t="s">
        <v>455</v>
      </c>
      <c r="D3459" s="375" t="str">
        <f t="shared" si="740"/>
        <v>Rathdowne Estate15</v>
      </c>
      <c r="E3459" s="375" t="s">
        <v>5161</v>
      </c>
      <c r="F3459" s="375" t="s">
        <v>1428</v>
      </c>
      <c r="G3459" s="375" t="s">
        <v>5145</v>
      </c>
      <c r="H3459" s="375" t="s">
        <v>5146</v>
      </c>
      <c r="I3459" s="63" t="s">
        <v>5147</v>
      </c>
      <c r="J3459" s="47">
        <f t="shared" si="741"/>
        <v>3740</v>
      </c>
      <c r="K3459" s="46" t="s">
        <v>7938</v>
      </c>
      <c r="L3459" s="47"/>
      <c r="M3459" s="47" t="s">
        <v>5148</v>
      </c>
      <c r="N3459" s="47" t="s">
        <v>5149</v>
      </c>
      <c r="O3459" s="47" t="s">
        <v>2610</v>
      </c>
      <c r="P3459" s="47" t="s">
        <v>5150</v>
      </c>
      <c r="Q3459" s="47"/>
      <c r="R3459" s="47"/>
      <c r="S3459" s="47"/>
      <c r="T3459" s="47">
        <f t="shared" si="742"/>
        <v>780</v>
      </c>
      <c r="U3459" s="47"/>
      <c r="V3459" s="47"/>
      <c r="W3459" s="47"/>
      <c r="X3459" s="47"/>
      <c r="Y3459" s="47"/>
      <c r="Z3459" s="47">
        <f t="shared" si="743"/>
        <v>4620</v>
      </c>
      <c r="AA3459" s="47"/>
      <c r="AB3459" s="47"/>
      <c r="AC3459" s="47" t="s">
        <v>5151</v>
      </c>
      <c r="AD3459" s="47"/>
      <c r="AE3459" s="47"/>
      <c r="AF3459" s="47">
        <f t="shared" si="744"/>
        <v>1485</v>
      </c>
      <c r="AG3459" s="47" t="s">
        <v>464</v>
      </c>
      <c r="AH3459" s="47" t="str">
        <f>IFERROR(_xlfn.XLOOKUP(Table6[[#This Row],[Suburb]],Table5[Travel Surcharge],Table5[$$]),"")</f>
        <v/>
      </c>
      <c r="AI3459" s="47"/>
      <c r="AJ3459" s="47"/>
    </row>
    <row r="3460" spans="1:43">
      <c r="A3460" s="374" t="s">
        <v>5143</v>
      </c>
      <c r="B3460" s="374">
        <v>16</v>
      </c>
      <c r="C3460" s="374" t="s">
        <v>455</v>
      </c>
      <c r="D3460" s="375" t="str">
        <f t="shared" si="740"/>
        <v>Rathdowne Estate16</v>
      </c>
      <c r="E3460" s="375" t="s">
        <v>5162</v>
      </c>
      <c r="F3460" s="375" t="s">
        <v>1428</v>
      </c>
      <c r="G3460" s="375" t="s">
        <v>5145</v>
      </c>
      <c r="H3460" s="375" t="s">
        <v>5146</v>
      </c>
      <c r="I3460" s="63" t="s">
        <v>5147</v>
      </c>
      <c r="J3460" s="47">
        <f t="shared" si="741"/>
        <v>3740</v>
      </c>
      <c r="K3460" s="46" t="s">
        <v>7938</v>
      </c>
      <c r="L3460" s="47"/>
      <c r="M3460" s="47" t="s">
        <v>5148</v>
      </c>
      <c r="N3460" s="47" t="s">
        <v>5149</v>
      </c>
      <c r="O3460" s="47" t="s">
        <v>2610</v>
      </c>
      <c r="P3460" s="47" t="s">
        <v>5150</v>
      </c>
      <c r="Q3460" s="47"/>
      <c r="R3460" s="47"/>
      <c r="S3460" s="47"/>
      <c r="T3460" s="47">
        <f t="shared" si="742"/>
        <v>780</v>
      </c>
      <c r="U3460" s="47"/>
      <c r="V3460" s="47"/>
      <c r="W3460" s="47"/>
      <c r="X3460" s="47"/>
      <c r="Y3460" s="47"/>
      <c r="Z3460" s="47">
        <f t="shared" si="743"/>
        <v>4620</v>
      </c>
      <c r="AA3460" s="47"/>
      <c r="AB3460" s="47"/>
      <c r="AC3460" s="47" t="s">
        <v>5151</v>
      </c>
      <c r="AD3460" s="47"/>
      <c r="AE3460" s="47"/>
      <c r="AF3460" s="47">
        <f t="shared" si="744"/>
        <v>1485</v>
      </c>
      <c r="AG3460" s="47" t="s">
        <v>464</v>
      </c>
      <c r="AH3460" s="47" t="str">
        <f>IFERROR(_xlfn.XLOOKUP(Table6[[#This Row],[Suburb]],Table5[Travel Surcharge],Table5[$$]),"")</f>
        <v/>
      </c>
      <c r="AI3460" s="47"/>
      <c r="AJ3460" s="47"/>
    </row>
    <row r="3461" spans="1:43">
      <c r="A3461" s="374" t="s">
        <v>5143</v>
      </c>
      <c r="B3461" s="374">
        <v>18</v>
      </c>
      <c r="C3461" s="374" t="s">
        <v>455</v>
      </c>
      <c r="D3461" s="375" t="str">
        <f t="shared" si="740"/>
        <v>Rathdowne Estate18</v>
      </c>
      <c r="E3461" s="375" t="s">
        <v>5163</v>
      </c>
      <c r="F3461" s="375" t="s">
        <v>1428</v>
      </c>
      <c r="G3461" s="375" t="s">
        <v>5145</v>
      </c>
      <c r="H3461" s="375" t="s">
        <v>5146</v>
      </c>
      <c r="I3461" s="63" t="s">
        <v>5147</v>
      </c>
      <c r="J3461" s="47">
        <f t="shared" si="741"/>
        <v>3740</v>
      </c>
      <c r="K3461" s="46" t="s">
        <v>7938</v>
      </c>
      <c r="L3461" s="47"/>
      <c r="M3461" s="47" t="s">
        <v>5148</v>
      </c>
      <c r="N3461" s="47" t="s">
        <v>5149</v>
      </c>
      <c r="O3461" s="47" t="s">
        <v>2610</v>
      </c>
      <c r="P3461" s="47" t="s">
        <v>5150</v>
      </c>
      <c r="Q3461" s="47"/>
      <c r="R3461" s="47"/>
      <c r="S3461" s="47"/>
      <c r="T3461" s="47">
        <f t="shared" si="742"/>
        <v>780</v>
      </c>
      <c r="U3461" s="47"/>
      <c r="V3461" s="47"/>
      <c r="W3461" s="47"/>
      <c r="X3461" s="47"/>
      <c r="Y3461" s="47"/>
      <c r="Z3461" s="47">
        <f t="shared" si="743"/>
        <v>4620</v>
      </c>
      <c r="AA3461" s="47"/>
      <c r="AB3461" s="47"/>
      <c r="AC3461" s="47" t="s">
        <v>5151</v>
      </c>
      <c r="AD3461" s="47"/>
      <c r="AE3461" s="47"/>
      <c r="AF3461" s="47">
        <f t="shared" si="744"/>
        <v>1485</v>
      </c>
      <c r="AG3461" s="47" t="s">
        <v>464</v>
      </c>
      <c r="AH3461" s="47" t="str">
        <f>IFERROR(_xlfn.XLOOKUP(Table6[[#This Row],[Suburb]],Table5[Travel Surcharge],Table5[$$]),"")</f>
        <v/>
      </c>
      <c r="AI3461" s="47"/>
      <c r="AJ3461" s="47"/>
    </row>
    <row r="3462" spans="1:43">
      <c r="A3462" s="374" t="s">
        <v>5143</v>
      </c>
      <c r="B3462" s="374">
        <v>19</v>
      </c>
      <c r="C3462" s="374" t="s">
        <v>455</v>
      </c>
      <c r="D3462" s="375" t="str">
        <f t="shared" si="740"/>
        <v>Rathdowne Estate19</v>
      </c>
      <c r="E3462" s="375" t="s">
        <v>5164</v>
      </c>
      <c r="F3462" s="375" t="s">
        <v>1428</v>
      </c>
      <c r="G3462" s="375" t="s">
        <v>5145</v>
      </c>
      <c r="H3462" s="375" t="s">
        <v>5146</v>
      </c>
      <c r="I3462" s="63" t="s">
        <v>5147</v>
      </c>
      <c r="J3462" s="47">
        <f t="shared" si="741"/>
        <v>3740</v>
      </c>
      <c r="K3462" s="46" t="s">
        <v>7938</v>
      </c>
      <c r="L3462" s="47"/>
      <c r="M3462" s="47" t="s">
        <v>5148</v>
      </c>
      <c r="N3462" s="47" t="s">
        <v>5149</v>
      </c>
      <c r="O3462" s="47" t="s">
        <v>2610</v>
      </c>
      <c r="P3462" s="47" t="s">
        <v>5150</v>
      </c>
      <c r="Q3462" s="47"/>
      <c r="R3462" s="47"/>
      <c r="S3462" s="47"/>
      <c r="T3462" s="47">
        <f t="shared" si="742"/>
        <v>780</v>
      </c>
      <c r="U3462" s="47"/>
      <c r="V3462" s="47"/>
      <c r="W3462" s="47"/>
      <c r="X3462" s="47"/>
      <c r="Y3462" s="47"/>
      <c r="Z3462" s="47">
        <f t="shared" si="743"/>
        <v>4620</v>
      </c>
      <c r="AA3462" s="47"/>
      <c r="AB3462" s="47"/>
      <c r="AC3462" s="47" t="s">
        <v>5151</v>
      </c>
      <c r="AD3462" s="47"/>
      <c r="AE3462" s="47"/>
      <c r="AF3462" s="47">
        <f t="shared" si="744"/>
        <v>1485</v>
      </c>
      <c r="AG3462" s="47" t="s">
        <v>464</v>
      </c>
      <c r="AH3462" s="47" t="str">
        <f>IFERROR(_xlfn.XLOOKUP(Table6[[#This Row],[Suburb]],Table5[Travel Surcharge],Table5[$$]),"")</f>
        <v/>
      </c>
      <c r="AI3462" s="47"/>
      <c r="AJ3462" s="47"/>
    </row>
    <row r="3463" spans="1:43">
      <c r="A3463" s="374" t="s">
        <v>5143</v>
      </c>
      <c r="B3463" s="374">
        <v>20</v>
      </c>
      <c r="C3463" s="374" t="s">
        <v>455</v>
      </c>
      <c r="D3463" s="375" t="str">
        <f t="shared" si="740"/>
        <v>Rathdowne Estate20</v>
      </c>
      <c r="E3463" s="375" t="s">
        <v>5165</v>
      </c>
      <c r="F3463" s="375" t="s">
        <v>1428</v>
      </c>
      <c r="G3463" s="375" t="s">
        <v>5145</v>
      </c>
      <c r="H3463" s="375" t="s">
        <v>5146</v>
      </c>
      <c r="I3463" s="63" t="s">
        <v>5147</v>
      </c>
      <c r="J3463" s="47">
        <f t="shared" si="741"/>
        <v>3740</v>
      </c>
      <c r="K3463" s="46" t="s">
        <v>7938</v>
      </c>
      <c r="L3463" s="47"/>
      <c r="M3463" s="47" t="s">
        <v>5148</v>
      </c>
      <c r="N3463" s="47" t="s">
        <v>5149</v>
      </c>
      <c r="O3463" s="47" t="s">
        <v>2610</v>
      </c>
      <c r="P3463" s="47" t="s">
        <v>5150</v>
      </c>
      <c r="Q3463" s="47"/>
      <c r="R3463" s="47"/>
      <c r="S3463" s="47"/>
      <c r="T3463" s="47">
        <f t="shared" si="742"/>
        <v>780</v>
      </c>
      <c r="U3463" s="47"/>
      <c r="V3463" s="47" t="s">
        <v>5166</v>
      </c>
      <c r="W3463" s="47"/>
      <c r="X3463" s="47"/>
      <c r="Y3463" s="47"/>
      <c r="Z3463" s="47">
        <f t="shared" si="743"/>
        <v>4620</v>
      </c>
      <c r="AA3463" s="47"/>
      <c r="AB3463" s="47"/>
      <c r="AC3463" s="47" t="s">
        <v>5151</v>
      </c>
      <c r="AD3463" s="47"/>
      <c r="AE3463" s="47"/>
      <c r="AF3463" s="47">
        <f t="shared" si="744"/>
        <v>1485</v>
      </c>
      <c r="AG3463" s="47" t="s">
        <v>464</v>
      </c>
      <c r="AH3463" s="47" t="str">
        <f>IFERROR(_xlfn.XLOOKUP(Table6[[#This Row],[Suburb]],Table5[Travel Surcharge],Table5[$$]),"")</f>
        <v/>
      </c>
      <c r="AI3463" s="47"/>
      <c r="AJ3463" s="47"/>
    </row>
    <row r="3464" spans="1:43">
      <c r="A3464" s="374" t="s">
        <v>5143</v>
      </c>
      <c r="B3464" s="374">
        <v>21</v>
      </c>
      <c r="C3464" s="374" t="s">
        <v>455</v>
      </c>
      <c r="D3464" s="375" t="str">
        <f t="shared" ref="D3464" si="745">CONCATENATE(A3464,B3464)</f>
        <v>Rathdowne Estate21</v>
      </c>
      <c r="E3464" s="375" t="s">
        <v>10692</v>
      </c>
      <c r="F3464" s="375" t="s">
        <v>1428</v>
      </c>
      <c r="G3464" s="375" t="s">
        <v>5145</v>
      </c>
      <c r="H3464" s="375" t="s">
        <v>5146</v>
      </c>
      <c r="I3464" s="63" t="s">
        <v>5147</v>
      </c>
      <c r="J3464" s="47">
        <f t="shared" si="741"/>
        <v>3740</v>
      </c>
      <c r="K3464" s="46" t="s">
        <v>7938</v>
      </c>
      <c r="L3464" s="47"/>
      <c r="M3464" s="47" t="s">
        <v>5148</v>
      </c>
      <c r="N3464" s="47" t="s">
        <v>5149</v>
      </c>
      <c r="O3464" s="47" t="s">
        <v>2610</v>
      </c>
      <c r="P3464" s="47" t="s">
        <v>5150</v>
      </c>
      <c r="Q3464" s="47"/>
      <c r="R3464" s="47"/>
      <c r="S3464" s="47"/>
      <c r="T3464" s="47">
        <f t="shared" si="742"/>
        <v>780</v>
      </c>
      <c r="U3464" s="47"/>
      <c r="V3464" s="47" t="s">
        <v>5166</v>
      </c>
      <c r="W3464" s="47"/>
      <c r="X3464" s="47"/>
      <c r="Y3464" s="47"/>
      <c r="Z3464" s="47">
        <f t="shared" si="743"/>
        <v>4620</v>
      </c>
      <c r="AA3464" s="47"/>
      <c r="AB3464" s="47"/>
      <c r="AC3464" s="47" t="s">
        <v>5151</v>
      </c>
      <c r="AD3464" s="47"/>
      <c r="AE3464" s="47"/>
      <c r="AF3464" s="47">
        <f t="shared" si="744"/>
        <v>1485</v>
      </c>
      <c r="AG3464" s="47" t="s">
        <v>464</v>
      </c>
      <c r="AH3464" s="47" t="str">
        <f>IFERROR(_xlfn.XLOOKUP(Table6[[#This Row],[Suburb]],Table5[Travel Surcharge],Table5[$$]),"")</f>
        <v/>
      </c>
      <c r="AI3464" s="47"/>
      <c r="AJ3464" s="47"/>
    </row>
    <row r="3465" spans="1:43">
      <c r="A3465" s="374" t="s">
        <v>5167</v>
      </c>
      <c r="B3465" s="374">
        <v>1</v>
      </c>
      <c r="C3465" s="374" t="s">
        <v>688</v>
      </c>
      <c r="D3465" s="375" t="str">
        <f t="shared" si="740"/>
        <v>Redlands Estate1</v>
      </c>
      <c r="E3465" s="375" t="s">
        <v>5168</v>
      </c>
      <c r="F3465" s="375" t="s">
        <v>1428</v>
      </c>
      <c r="G3465" s="375" t="s">
        <v>5169</v>
      </c>
      <c r="H3465" s="375" t="s">
        <v>2111</v>
      </c>
      <c r="I3465" s="63" t="s">
        <v>4167</v>
      </c>
      <c r="J3465" s="47">
        <f t="shared" si="741"/>
        <v>3740</v>
      </c>
      <c r="K3465" s="46" t="s">
        <v>10735</v>
      </c>
      <c r="L3465" s="47"/>
      <c r="M3465" s="47"/>
      <c r="N3465" s="47"/>
      <c r="O3465" s="47"/>
      <c r="P3465" s="47"/>
      <c r="Q3465" s="47">
        <f>Q$2</f>
        <v>0</v>
      </c>
      <c r="R3465" s="47"/>
      <c r="S3465" s="47"/>
      <c r="T3465" s="47"/>
      <c r="U3465" s="47"/>
      <c r="V3465" s="47"/>
      <c r="W3465" s="47"/>
      <c r="X3465" s="47"/>
      <c r="Y3465" s="47"/>
      <c r="Z3465" s="47">
        <f t="shared" si="743"/>
        <v>4620</v>
      </c>
      <c r="AA3465" s="47"/>
      <c r="AB3465" s="47"/>
      <c r="AC3465" s="47"/>
      <c r="AD3465" s="47"/>
      <c r="AE3465" s="47"/>
      <c r="AF3465" s="47"/>
      <c r="AG3465" s="47"/>
      <c r="AH3465" s="47" t="str">
        <f>IFERROR(_xlfn.XLOOKUP(Table6[[#This Row],[Suburb]],Table5[Travel Surcharge],Table5[$$]),"")</f>
        <v/>
      </c>
      <c r="AI3465" s="47"/>
      <c r="AJ3465" s="47"/>
    </row>
    <row r="3466" spans="1:43">
      <c r="A3466" s="374" t="s">
        <v>5167</v>
      </c>
      <c r="B3466" s="374">
        <v>2</v>
      </c>
      <c r="C3466" s="374" t="s">
        <v>688</v>
      </c>
      <c r="D3466" s="375" t="str">
        <f t="shared" si="740"/>
        <v>Redlands Estate2</v>
      </c>
      <c r="E3466" s="375" t="s">
        <v>5170</v>
      </c>
      <c r="F3466" s="375" t="s">
        <v>1428</v>
      </c>
      <c r="G3466" s="375" t="s">
        <v>5169</v>
      </c>
      <c r="H3466" s="375" t="s">
        <v>2111</v>
      </c>
      <c r="I3466" s="63" t="s">
        <v>4167</v>
      </c>
      <c r="J3466" s="47">
        <f t="shared" si="741"/>
        <v>3740</v>
      </c>
      <c r="K3466" s="46" t="s">
        <v>10735</v>
      </c>
      <c r="L3466" s="47"/>
      <c r="M3466" s="47"/>
      <c r="N3466" s="47"/>
      <c r="O3466" s="47"/>
      <c r="P3466" s="47"/>
      <c r="Q3466" s="47">
        <f>Q$2</f>
        <v>0</v>
      </c>
      <c r="R3466" s="47"/>
      <c r="S3466" s="47"/>
      <c r="T3466" s="47"/>
      <c r="U3466" s="47"/>
      <c r="V3466" s="47"/>
      <c r="W3466" s="47"/>
      <c r="X3466" s="47"/>
      <c r="Y3466" s="47"/>
      <c r="Z3466" s="47">
        <f t="shared" si="743"/>
        <v>4620</v>
      </c>
      <c r="AA3466" s="47"/>
      <c r="AB3466" s="47"/>
      <c r="AC3466" s="47"/>
      <c r="AD3466" s="47"/>
      <c r="AE3466" s="47"/>
      <c r="AF3466" s="47"/>
      <c r="AG3466" s="47"/>
      <c r="AH3466" s="47" t="str">
        <f>IFERROR(_xlfn.XLOOKUP(Table6[[#This Row],[Suburb]],Table5[Travel Surcharge],Table5[$$]),"")</f>
        <v/>
      </c>
      <c r="AI3466" s="47"/>
      <c r="AJ3466" s="47"/>
    </row>
    <row r="3467" spans="1:43">
      <c r="A3467" s="374" t="s">
        <v>5167</v>
      </c>
      <c r="B3467" s="374">
        <v>3</v>
      </c>
      <c r="C3467" s="374" t="s">
        <v>688</v>
      </c>
      <c r="D3467" s="375" t="str">
        <f t="shared" si="740"/>
        <v>Redlands Estate3</v>
      </c>
      <c r="E3467" s="375" t="s">
        <v>5171</v>
      </c>
      <c r="F3467" s="375" t="s">
        <v>1428</v>
      </c>
      <c r="G3467" s="375" t="s">
        <v>5169</v>
      </c>
      <c r="H3467" s="375" t="s">
        <v>2111</v>
      </c>
      <c r="I3467" s="63" t="s">
        <v>4167</v>
      </c>
      <c r="J3467" s="47">
        <f t="shared" si="741"/>
        <v>3740</v>
      </c>
      <c r="K3467" s="46" t="s">
        <v>10735</v>
      </c>
      <c r="L3467" s="47"/>
      <c r="M3467" s="47"/>
      <c r="N3467" s="47"/>
      <c r="O3467" s="47"/>
      <c r="P3467" s="47"/>
      <c r="Q3467" s="47">
        <f>Q$2</f>
        <v>0</v>
      </c>
      <c r="R3467" s="47"/>
      <c r="S3467" s="47"/>
      <c r="T3467" s="47"/>
      <c r="U3467" s="47"/>
      <c r="V3467" s="47"/>
      <c r="W3467" s="47"/>
      <c r="X3467" s="47"/>
      <c r="Y3467" s="47"/>
      <c r="Z3467" s="47">
        <f t="shared" si="743"/>
        <v>4620</v>
      </c>
      <c r="AA3467" s="47"/>
      <c r="AB3467" s="47"/>
      <c r="AC3467" s="47"/>
      <c r="AD3467" s="47"/>
      <c r="AE3467" s="47"/>
      <c r="AF3467" s="47"/>
      <c r="AG3467" s="47"/>
      <c r="AH3467" s="47" t="str">
        <f>IFERROR(_xlfn.XLOOKUP(Table6[[#This Row],[Suburb]],Table5[Travel Surcharge],Table5[$$]),"")</f>
        <v/>
      </c>
      <c r="AI3467" s="47"/>
      <c r="AJ3467" s="47"/>
    </row>
    <row r="3468" spans="1:43">
      <c r="A3468" s="374" t="s">
        <v>5194</v>
      </c>
      <c r="B3468" s="374">
        <v>1</v>
      </c>
      <c r="C3468" s="374" t="s">
        <v>1721</v>
      </c>
      <c r="D3468" s="375" t="str">
        <f t="shared" si="740"/>
        <v>Redstone Eastvale Estate1</v>
      </c>
      <c r="E3468" s="375" t="s">
        <v>5173</v>
      </c>
      <c r="F3468" s="375" t="s">
        <v>2605</v>
      </c>
      <c r="G3468" s="375" t="s">
        <v>541</v>
      </c>
      <c r="H3468" s="375" t="s">
        <v>5174</v>
      </c>
      <c r="I3468" s="63" t="s">
        <v>543</v>
      </c>
      <c r="J3468" s="47"/>
      <c r="K3468" s="46" t="s">
        <v>7938</v>
      </c>
      <c r="L3468" s="47"/>
      <c r="M3468" s="47">
        <f t="shared" ref="M3468:M3509" si="746">M$7</f>
        <v>1430.0000000000002</v>
      </c>
      <c r="N3468" s="47" t="s">
        <v>5175</v>
      </c>
      <c r="O3468" s="47" t="s">
        <v>5176</v>
      </c>
      <c r="P3468" s="47" t="s">
        <v>5177</v>
      </c>
      <c r="Q3468" s="47"/>
      <c r="R3468" s="47"/>
      <c r="S3468" s="47"/>
      <c r="T3468" s="47"/>
      <c r="U3468" s="47">
        <f t="shared" ref="U3468:U3478" si="747">U$2</f>
        <v>430</v>
      </c>
      <c r="V3468" s="47"/>
      <c r="W3468" s="47"/>
      <c r="X3468" s="47" t="s">
        <v>10129</v>
      </c>
      <c r="Y3468" s="47"/>
      <c r="Z3468" s="47">
        <f t="shared" si="743"/>
        <v>4620</v>
      </c>
      <c r="AA3468" s="47" t="s">
        <v>5178</v>
      </c>
      <c r="AB3468" s="47" t="s">
        <v>5179</v>
      </c>
      <c r="AC3468" s="47"/>
      <c r="AD3468" s="47" t="s">
        <v>5180</v>
      </c>
      <c r="AE3468" s="47"/>
      <c r="AF3468" s="47">
        <f t="shared" ref="AF3468:AF3500" si="748">AF$7</f>
        <v>1485</v>
      </c>
      <c r="AG3468" s="47"/>
      <c r="AH3468" s="47" t="str">
        <f>IFERROR(_xlfn.XLOOKUP(Table6[[#This Row],[Suburb]],Table5[Travel Surcharge],Table5[$$]),"")</f>
        <v/>
      </c>
      <c r="AI3468" s="47">
        <f t="shared" ref="AI3468:AI3509" si="749">AI$7</f>
        <v>1650.0000000000002</v>
      </c>
      <c r="AJ3468" s="47"/>
    </row>
    <row r="3469" spans="1:43">
      <c r="A3469" s="374" t="s">
        <v>5194</v>
      </c>
      <c r="B3469" s="374">
        <v>2</v>
      </c>
      <c r="C3469" s="374" t="s">
        <v>1721</v>
      </c>
      <c r="D3469" s="375" t="str">
        <f t="shared" si="740"/>
        <v>Redstone Eastvale Estate2</v>
      </c>
      <c r="E3469" s="375" t="s">
        <v>5181</v>
      </c>
      <c r="F3469" s="375" t="s">
        <v>2605</v>
      </c>
      <c r="G3469" s="375" t="s">
        <v>541</v>
      </c>
      <c r="H3469" s="375" t="s">
        <v>5174</v>
      </c>
      <c r="I3469" s="63" t="s">
        <v>543</v>
      </c>
      <c r="J3469" s="47"/>
      <c r="K3469" s="46" t="s">
        <v>7938</v>
      </c>
      <c r="L3469" s="47"/>
      <c r="M3469" s="47">
        <f t="shared" si="746"/>
        <v>1430.0000000000002</v>
      </c>
      <c r="N3469" s="47" t="s">
        <v>5175</v>
      </c>
      <c r="O3469" s="47" t="s">
        <v>5176</v>
      </c>
      <c r="P3469" s="47" t="s">
        <v>5177</v>
      </c>
      <c r="Q3469" s="47"/>
      <c r="R3469" s="47"/>
      <c r="S3469" s="47"/>
      <c r="T3469" s="47"/>
      <c r="U3469" s="47">
        <f t="shared" si="747"/>
        <v>430</v>
      </c>
      <c r="V3469" s="47"/>
      <c r="W3469" s="47"/>
      <c r="X3469" s="47" t="s">
        <v>10129</v>
      </c>
      <c r="Y3469" s="47"/>
      <c r="Z3469" s="47">
        <f t="shared" si="743"/>
        <v>4620</v>
      </c>
      <c r="AA3469" s="47" t="s">
        <v>5178</v>
      </c>
      <c r="AB3469" s="47" t="s">
        <v>5179</v>
      </c>
      <c r="AC3469" s="47"/>
      <c r="AD3469" s="47" t="s">
        <v>5180</v>
      </c>
      <c r="AE3469" s="47"/>
      <c r="AF3469" s="47">
        <f t="shared" si="748"/>
        <v>1485</v>
      </c>
      <c r="AG3469" s="47"/>
      <c r="AH3469" s="47" t="str">
        <f>IFERROR(_xlfn.XLOOKUP(Table6[[#This Row],[Suburb]],Table5[Travel Surcharge],Table5[$$]),"")</f>
        <v/>
      </c>
      <c r="AI3469" s="47">
        <f t="shared" si="749"/>
        <v>1650.0000000000002</v>
      </c>
      <c r="AJ3469" s="47"/>
    </row>
    <row r="3470" spans="1:43">
      <c r="A3470" s="374" t="s">
        <v>5194</v>
      </c>
      <c r="B3470" s="374">
        <v>3</v>
      </c>
      <c r="C3470" s="374" t="s">
        <v>1721</v>
      </c>
      <c r="D3470" s="375" t="str">
        <f t="shared" si="740"/>
        <v>Redstone Eastvale Estate3</v>
      </c>
      <c r="E3470" s="375" t="s">
        <v>5183</v>
      </c>
      <c r="F3470" s="375" t="s">
        <v>2605</v>
      </c>
      <c r="G3470" s="375" t="s">
        <v>541</v>
      </c>
      <c r="H3470" s="375" t="s">
        <v>5174</v>
      </c>
      <c r="I3470" s="63" t="s">
        <v>543</v>
      </c>
      <c r="J3470" s="47"/>
      <c r="K3470" s="46" t="s">
        <v>7938</v>
      </c>
      <c r="L3470" s="47"/>
      <c r="M3470" s="47">
        <f t="shared" si="746"/>
        <v>1430.0000000000002</v>
      </c>
      <c r="N3470" s="47" t="s">
        <v>5175</v>
      </c>
      <c r="O3470" s="47" t="s">
        <v>5176</v>
      </c>
      <c r="P3470" s="47" t="s">
        <v>5177</v>
      </c>
      <c r="Q3470" s="47"/>
      <c r="R3470" s="47"/>
      <c r="S3470" s="47"/>
      <c r="T3470" s="47"/>
      <c r="U3470" s="47">
        <f t="shared" si="747"/>
        <v>430</v>
      </c>
      <c r="V3470" s="47"/>
      <c r="W3470" s="47"/>
      <c r="X3470" s="47" t="s">
        <v>10129</v>
      </c>
      <c r="Y3470" s="47"/>
      <c r="Z3470" s="47">
        <f t="shared" si="743"/>
        <v>4620</v>
      </c>
      <c r="AA3470" s="47" t="s">
        <v>5178</v>
      </c>
      <c r="AB3470" s="47" t="s">
        <v>5179</v>
      </c>
      <c r="AC3470" s="47"/>
      <c r="AD3470" s="47" t="s">
        <v>5180</v>
      </c>
      <c r="AE3470" s="47"/>
      <c r="AF3470" s="47">
        <f t="shared" si="748"/>
        <v>1485</v>
      </c>
      <c r="AG3470" s="47"/>
      <c r="AH3470" s="47" t="str">
        <f>IFERROR(_xlfn.XLOOKUP(Table6[[#This Row],[Suburb]],Table5[Travel Surcharge],Table5[$$]),"")</f>
        <v/>
      </c>
      <c r="AI3470" s="47">
        <f t="shared" si="749"/>
        <v>1650.0000000000002</v>
      </c>
      <c r="AJ3470" s="47"/>
    </row>
    <row r="3471" spans="1:43" s="157" customFormat="1">
      <c r="A3471" s="374" t="s">
        <v>5194</v>
      </c>
      <c r="B3471" s="374">
        <v>4</v>
      </c>
      <c r="C3471" s="374" t="s">
        <v>1721</v>
      </c>
      <c r="D3471" s="375" t="str">
        <f t="shared" si="740"/>
        <v>Redstone Eastvale Estate4</v>
      </c>
      <c r="E3471" s="375" t="s">
        <v>5184</v>
      </c>
      <c r="F3471" s="375" t="s">
        <v>2605</v>
      </c>
      <c r="G3471" s="375" t="s">
        <v>541</v>
      </c>
      <c r="H3471" s="375" t="s">
        <v>5174</v>
      </c>
      <c r="I3471" s="63" t="s">
        <v>543</v>
      </c>
      <c r="J3471" s="47"/>
      <c r="K3471" s="46" t="s">
        <v>7938</v>
      </c>
      <c r="L3471" s="47"/>
      <c r="M3471" s="47">
        <f t="shared" si="746"/>
        <v>1430.0000000000002</v>
      </c>
      <c r="N3471" s="47" t="s">
        <v>5175</v>
      </c>
      <c r="O3471" s="47" t="s">
        <v>5176</v>
      </c>
      <c r="P3471" s="47" t="s">
        <v>5177</v>
      </c>
      <c r="Q3471" s="47"/>
      <c r="R3471" s="47"/>
      <c r="S3471" s="47"/>
      <c r="T3471" s="47"/>
      <c r="U3471" s="47">
        <f t="shared" si="747"/>
        <v>430</v>
      </c>
      <c r="V3471" s="47"/>
      <c r="W3471" s="47"/>
      <c r="X3471" s="47" t="s">
        <v>10129</v>
      </c>
      <c r="Y3471" s="47"/>
      <c r="Z3471" s="47">
        <f t="shared" si="743"/>
        <v>4620</v>
      </c>
      <c r="AA3471" s="47" t="s">
        <v>5178</v>
      </c>
      <c r="AB3471" s="47" t="s">
        <v>5179</v>
      </c>
      <c r="AC3471" s="47"/>
      <c r="AD3471" s="47" t="s">
        <v>5180</v>
      </c>
      <c r="AE3471" s="47"/>
      <c r="AF3471" s="47">
        <f t="shared" si="748"/>
        <v>1485</v>
      </c>
      <c r="AG3471" s="47"/>
      <c r="AH3471" s="47" t="str">
        <f>IFERROR(_xlfn.XLOOKUP(Table6[[#This Row],[Suburb]],Table5[Travel Surcharge],Table5[$$]),"")</f>
        <v/>
      </c>
      <c r="AI3471" s="47">
        <f t="shared" si="749"/>
        <v>1650.0000000000002</v>
      </c>
      <c r="AJ3471" s="47"/>
      <c r="AM3471" s="208"/>
      <c r="AO3471"/>
      <c r="AP3471"/>
      <c r="AQ3471"/>
    </row>
    <row r="3472" spans="1:43">
      <c r="A3472" s="374" t="s">
        <v>5194</v>
      </c>
      <c r="B3472" s="374">
        <v>10</v>
      </c>
      <c r="C3472" s="374" t="s">
        <v>1721</v>
      </c>
      <c r="D3472" s="375" t="str">
        <f t="shared" si="740"/>
        <v>Redstone Eastvale Estate10</v>
      </c>
      <c r="E3472" s="375" t="s">
        <v>5188</v>
      </c>
      <c r="F3472" s="375" t="s">
        <v>2605</v>
      </c>
      <c r="G3472" s="375" t="s">
        <v>541</v>
      </c>
      <c r="H3472" s="375" t="s">
        <v>5174</v>
      </c>
      <c r="I3472" s="63" t="s">
        <v>543</v>
      </c>
      <c r="J3472" s="47"/>
      <c r="K3472" s="46" t="s">
        <v>7938</v>
      </c>
      <c r="L3472" s="47"/>
      <c r="M3472" s="47">
        <f t="shared" si="746"/>
        <v>1430.0000000000002</v>
      </c>
      <c r="N3472" s="47" t="s">
        <v>5175</v>
      </c>
      <c r="O3472" s="47" t="s">
        <v>5176</v>
      </c>
      <c r="P3472" s="47" t="s">
        <v>5177</v>
      </c>
      <c r="Q3472" s="47"/>
      <c r="R3472" s="47"/>
      <c r="S3472" s="47"/>
      <c r="T3472" s="47"/>
      <c r="U3472" s="47">
        <f t="shared" si="747"/>
        <v>430</v>
      </c>
      <c r="V3472" s="47"/>
      <c r="W3472" s="47"/>
      <c r="X3472" s="47" t="s">
        <v>10129</v>
      </c>
      <c r="Y3472" s="47"/>
      <c r="Z3472" s="47">
        <f t="shared" si="743"/>
        <v>4620</v>
      </c>
      <c r="AA3472" s="47" t="s">
        <v>5178</v>
      </c>
      <c r="AB3472" s="47" t="s">
        <v>5179</v>
      </c>
      <c r="AC3472" s="47"/>
      <c r="AD3472" s="47" t="s">
        <v>5180</v>
      </c>
      <c r="AE3472" s="47"/>
      <c r="AF3472" s="47">
        <f t="shared" si="748"/>
        <v>1485</v>
      </c>
      <c r="AG3472" s="47"/>
      <c r="AH3472" s="47" t="str">
        <f>IFERROR(_xlfn.XLOOKUP(Table6[[#This Row],[Suburb]],Table5[Travel Surcharge],Table5[$$]),"")</f>
        <v/>
      </c>
      <c r="AI3472" s="47">
        <f t="shared" si="749"/>
        <v>1650.0000000000002</v>
      </c>
      <c r="AJ3472" s="47"/>
      <c r="AO3472" s="157"/>
      <c r="AP3472" s="157"/>
      <c r="AQ3472" s="157"/>
    </row>
    <row r="3473" spans="1:36">
      <c r="A3473" s="374" t="s">
        <v>5194</v>
      </c>
      <c r="B3473" s="374">
        <v>16</v>
      </c>
      <c r="C3473" s="374" t="s">
        <v>1721</v>
      </c>
      <c r="D3473" s="375" t="str">
        <f t="shared" si="740"/>
        <v>Redstone Eastvale Estate16</v>
      </c>
      <c r="E3473" s="375" t="s">
        <v>9879</v>
      </c>
      <c r="F3473" s="375" t="s">
        <v>2605</v>
      </c>
      <c r="G3473" s="375" t="s">
        <v>541</v>
      </c>
      <c r="H3473" s="375" t="s">
        <v>5174</v>
      </c>
      <c r="I3473" s="63" t="s">
        <v>543</v>
      </c>
      <c r="J3473" s="47"/>
      <c r="K3473" s="46" t="s">
        <v>7938</v>
      </c>
      <c r="L3473" s="47"/>
      <c r="M3473" s="47">
        <v>1430.0000000000002</v>
      </c>
      <c r="N3473" s="47" t="s">
        <v>5175</v>
      </c>
      <c r="O3473" s="47" t="s">
        <v>5176</v>
      </c>
      <c r="P3473" s="47" t="s">
        <v>5177</v>
      </c>
      <c r="Q3473" s="47"/>
      <c r="R3473" s="47"/>
      <c r="S3473" s="47"/>
      <c r="T3473" s="47"/>
      <c r="U3473" s="47">
        <v>540</v>
      </c>
      <c r="V3473" s="47"/>
      <c r="W3473" s="47"/>
      <c r="X3473" s="47" t="s">
        <v>10129</v>
      </c>
      <c r="Y3473" s="47"/>
      <c r="Z3473" s="47">
        <v>4620</v>
      </c>
      <c r="AA3473" s="47" t="s">
        <v>5178</v>
      </c>
      <c r="AB3473" s="47" t="s">
        <v>5179</v>
      </c>
      <c r="AC3473" s="47"/>
      <c r="AD3473" s="47" t="s">
        <v>5180</v>
      </c>
      <c r="AE3473" s="47"/>
      <c r="AF3473" s="47">
        <v>1485</v>
      </c>
      <c r="AG3473" s="47"/>
      <c r="AH3473" s="47" t="str">
        <f>IFERROR(_xlfn.XLOOKUP(Table6[[#This Row],[Suburb]],Table5[Travel Surcharge],Table5[$$]),"")</f>
        <v/>
      </c>
      <c r="AI3473" s="47">
        <v>1650.0000000000002</v>
      </c>
      <c r="AJ3473" s="47"/>
    </row>
    <row r="3474" spans="1:36">
      <c r="A3474" s="374" t="s">
        <v>9836</v>
      </c>
      <c r="B3474" s="276" t="s">
        <v>1466</v>
      </c>
      <c r="C3474" s="374" t="s">
        <v>1721</v>
      </c>
      <c r="D3474" s="375" t="str">
        <f t="shared" si="740"/>
        <v>Redstone Estate5B</v>
      </c>
      <c r="E3474" s="375" t="s">
        <v>5186</v>
      </c>
      <c r="F3474" s="375" t="s">
        <v>2605</v>
      </c>
      <c r="G3474" s="375" t="s">
        <v>541</v>
      </c>
      <c r="H3474" s="375" t="s">
        <v>5174</v>
      </c>
      <c r="I3474" s="63" t="s">
        <v>543</v>
      </c>
      <c r="J3474" s="47"/>
      <c r="K3474" s="46" t="s">
        <v>7938</v>
      </c>
      <c r="L3474" s="47"/>
      <c r="M3474" s="47">
        <v>1430.0000000000002</v>
      </c>
      <c r="N3474" s="47" t="s">
        <v>5175</v>
      </c>
      <c r="O3474" s="47" t="s">
        <v>5176</v>
      </c>
      <c r="P3474" s="47" t="s">
        <v>5177</v>
      </c>
      <c r="Q3474" s="47"/>
      <c r="R3474" s="47"/>
      <c r="S3474" s="47"/>
      <c r="T3474" s="47"/>
      <c r="U3474" s="47">
        <v>540</v>
      </c>
      <c r="V3474" s="47"/>
      <c r="W3474" s="47"/>
      <c r="X3474" s="47" t="s">
        <v>10129</v>
      </c>
      <c r="Y3474" s="47"/>
      <c r="Z3474" s="47">
        <v>4620</v>
      </c>
      <c r="AA3474" s="47" t="s">
        <v>5178</v>
      </c>
      <c r="AB3474" s="47" t="s">
        <v>5179</v>
      </c>
      <c r="AC3474" s="47"/>
      <c r="AD3474" s="47" t="s">
        <v>5180</v>
      </c>
      <c r="AE3474" s="47"/>
      <c r="AF3474" s="47">
        <v>1485</v>
      </c>
      <c r="AG3474" s="47"/>
      <c r="AH3474" s="47" t="s">
        <v>9976</v>
      </c>
      <c r="AI3474" s="47">
        <v>1650.0000000000002</v>
      </c>
      <c r="AJ3474" s="47"/>
    </row>
    <row r="3475" spans="1:36">
      <c r="A3475" s="374" t="s">
        <v>9836</v>
      </c>
      <c r="B3475" s="276" t="s">
        <v>1006</v>
      </c>
      <c r="C3475" s="374" t="s">
        <v>1721</v>
      </c>
      <c r="D3475" s="375" t="str">
        <f t="shared" si="740"/>
        <v>Redstone Estate9A</v>
      </c>
      <c r="E3475" s="375" t="s">
        <v>5190</v>
      </c>
      <c r="F3475" s="375" t="s">
        <v>2605</v>
      </c>
      <c r="G3475" s="375" t="s">
        <v>541</v>
      </c>
      <c r="H3475" s="375" t="s">
        <v>5174</v>
      </c>
      <c r="I3475" s="63" t="s">
        <v>543</v>
      </c>
      <c r="J3475" s="47"/>
      <c r="K3475" s="46" t="s">
        <v>7938</v>
      </c>
      <c r="L3475" s="47"/>
      <c r="M3475" s="47">
        <v>1430.0000000000002</v>
      </c>
      <c r="N3475" s="47" t="s">
        <v>5175</v>
      </c>
      <c r="O3475" s="47" t="s">
        <v>5176</v>
      </c>
      <c r="P3475" s="47" t="s">
        <v>5177</v>
      </c>
      <c r="Q3475" s="47"/>
      <c r="R3475" s="47"/>
      <c r="S3475" s="47"/>
      <c r="T3475" s="47"/>
      <c r="U3475" s="47">
        <v>540</v>
      </c>
      <c r="V3475" s="47"/>
      <c r="W3475" s="47"/>
      <c r="X3475" s="47" t="s">
        <v>10129</v>
      </c>
      <c r="Y3475" s="47"/>
      <c r="Z3475" s="47">
        <v>4620</v>
      </c>
      <c r="AA3475" s="47" t="s">
        <v>5178</v>
      </c>
      <c r="AB3475" s="47" t="s">
        <v>5179</v>
      </c>
      <c r="AC3475" s="47"/>
      <c r="AD3475" s="47" t="s">
        <v>5180</v>
      </c>
      <c r="AE3475" s="47"/>
      <c r="AF3475" s="47">
        <v>1485</v>
      </c>
      <c r="AG3475" s="47"/>
      <c r="AH3475" s="47" t="s">
        <v>9976</v>
      </c>
      <c r="AI3475" s="47">
        <v>1650.0000000000002</v>
      </c>
      <c r="AJ3475" s="47"/>
    </row>
    <row r="3476" spans="1:36">
      <c r="A3476" s="374" t="s">
        <v>9836</v>
      </c>
      <c r="B3476" s="276">
        <v>10</v>
      </c>
      <c r="C3476" s="374" t="s">
        <v>1721</v>
      </c>
      <c r="D3476" s="375" t="str">
        <f t="shared" si="740"/>
        <v>Redstone Estate10</v>
      </c>
      <c r="E3476" s="375" t="s">
        <v>5188</v>
      </c>
      <c r="F3476" s="375" t="s">
        <v>2605</v>
      </c>
      <c r="G3476" s="375" t="s">
        <v>541</v>
      </c>
      <c r="H3476" s="375" t="s">
        <v>5174</v>
      </c>
      <c r="I3476" s="63" t="s">
        <v>543</v>
      </c>
      <c r="J3476" s="47"/>
      <c r="K3476" s="46" t="s">
        <v>7938</v>
      </c>
      <c r="L3476" s="47"/>
      <c r="M3476" s="47">
        <v>1430.0000000000002</v>
      </c>
      <c r="N3476" s="47" t="s">
        <v>5175</v>
      </c>
      <c r="O3476" s="47" t="s">
        <v>5176</v>
      </c>
      <c r="P3476" s="47" t="s">
        <v>5177</v>
      </c>
      <c r="Q3476" s="47"/>
      <c r="R3476" s="47"/>
      <c r="S3476" s="47"/>
      <c r="T3476" s="47"/>
      <c r="U3476" s="47">
        <v>540</v>
      </c>
      <c r="V3476" s="47"/>
      <c r="W3476" s="47"/>
      <c r="X3476" s="47" t="s">
        <v>10129</v>
      </c>
      <c r="Y3476" s="47"/>
      <c r="Z3476" s="47">
        <v>4620</v>
      </c>
      <c r="AA3476" s="47" t="s">
        <v>5178</v>
      </c>
      <c r="AB3476" s="47" t="s">
        <v>5179</v>
      </c>
      <c r="AC3476" s="47"/>
      <c r="AD3476" s="47" t="s">
        <v>5180</v>
      </c>
      <c r="AE3476" s="47"/>
      <c r="AF3476" s="47">
        <v>1485</v>
      </c>
      <c r="AG3476" s="47"/>
      <c r="AH3476" s="47" t="s">
        <v>9976</v>
      </c>
      <c r="AI3476" s="47">
        <v>1650.0000000000002</v>
      </c>
      <c r="AJ3476" s="47"/>
    </row>
    <row r="3477" spans="1:36">
      <c r="A3477" s="374" t="s">
        <v>9836</v>
      </c>
      <c r="B3477" s="276">
        <v>18</v>
      </c>
      <c r="C3477" s="374" t="s">
        <v>1721</v>
      </c>
      <c r="D3477" s="375" t="str">
        <f t="shared" si="740"/>
        <v>Redstone Estate18</v>
      </c>
      <c r="E3477" s="375" t="s">
        <v>10473</v>
      </c>
      <c r="F3477" s="375" t="s">
        <v>2605</v>
      </c>
      <c r="G3477" s="375" t="s">
        <v>541</v>
      </c>
      <c r="H3477" s="375" t="s">
        <v>5174</v>
      </c>
      <c r="I3477" s="63" t="s">
        <v>543</v>
      </c>
      <c r="J3477" s="47"/>
      <c r="K3477" s="46" t="s">
        <v>7938</v>
      </c>
      <c r="L3477" s="47"/>
      <c r="M3477" s="47">
        <v>1430.0000000000002</v>
      </c>
      <c r="N3477" s="47" t="s">
        <v>5175</v>
      </c>
      <c r="O3477" s="47" t="s">
        <v>5176</v>
      </c>
      <c r="P3477" s="47" t="s">
        <v>5177</v>
      </c>
      <c r="Q3477" s="47"/>
      <c r="R3477" s="47"/>
      <c r="S3477" s="47"/>
      <c r="T3477" s="47"/>
      <c r="U3477" s="47">
        <v>540</v>
      </c>
      <c r="V3477" s="47"/>
      <c r="W3477" s="47"/>
      <c r="X3477" s="47" t="s">
        <v>10129</v>
      </c>
      <c r="Y3477" s="47"/>
      <c r="Z3477" s="47">
        <v>4620</v>
      </c>
      <c r="AA3477" s="47" t="s">
        <v>5178</v>
      </c>
      <c r="AB3477" s="47" t="s">
        <v>5179</v>
      </c>
      <c r="AC3477" s="47"/>
      <c r="AD3477" s="47" t="s">
        <v>5180</v>
      </c>
      <c r="AE3477" s="47"/>
      <c r="AF3477" s="47">
        <v>1485</v>
      </c>
      <c r="AG3477" s="47"/>
      <c r="AH3477" s="47" t="s">
        <v>9976</v>
      </c>
      <c r="AI3477" s="47">
        <v>1650.0000000000002</v>
      </c>
      <c r="AJ3477" s="47"/>
    </row>
    <row r="3478" spans="1:36">
      <c r="A3478" s="374" t="s">
        <v>9836</v>
      </c>
      <c r="B3478" s="276" t="s">
        <v>9837</v>
      </c>
      <c r="C3478" s="374" t="s">
        <v>1721</v>
      </c>
      <c r="D3478" s="375" t="str">
        <f t="shared" si="740"/>
        <v>Redstone Estate21A</v>
      </c>
      <c r="E3478" s="375" t="s">
        <v>9838</v>
      </c>
      <c r="F3478" s="375" t="s">
        <v>2605</v>
      </c>
      <c r="G3478" s="375" t="s">
        <v>541</v>
      </c>
      <c r="H3478" s="375" t="s">
        <v>5174</v>
      </c>
      <c r="I3478" s="63" t="s">
        <v>543</v>
      </c>
      <c r="J3478" s="47"/>
      <c r="K3478" s="46" t="s">
        <v>7938</v>
      </c>
      <c r="L3478" s="47"/>
      <c r="M3478" s="47">
        <f t="shared" si="746"/>
        <v>1430.0000000000002</v>
      </c>
      <c r="N3478" s="47" t="s">
        <v>5175</v>
      </c>
      <c r="O3478" s="47" t="s">
        <v>5176</v>
      </c>
      <c r="P3478" s="47" t="s">
        <v>5177</v>
      </c>
      <c r="Q3478" s="47"/>
      <c r="R3478" s="47"/>
      <c r="S3478" s="47"/>
      <c r="T3478" s="47"/>
      <c r="U3478" s="47">
        <f t="shared" si="747"/>
        <v>430</v>
      </c>
      <c r="V3478" s="47"/>
      <c r="W3478" s="47"/>
      <c r="X3478" s="47" t="s">
        <v>10129</v>
      </c>
      <c r="Y3478" s="47"/>
      <c r="Z3478" s="47">
        <f t="shared" si="743"/>
        <v>4620</v>
      </c>
      <c r="AA3478" s="47" t="s">
        <v>5178</v>
      </c>
      <c r="AB3478" s="47" t="s">
        <v>5179</v>
      </c>
      <c r="AC3478" s="47"/>
      <c r="AD3478" s="47" t="s">
        <v>5180</v>
      </c>
      <c r="AE3478" s="47"/>
      <c r="AF3478" s="47">
        <f t="shared" si="748"/>
        <v>1485</v>
      </c>
      <c r="AG3478" s="47"/>
      <c r="AH3478" s="47" t="str">
        <f>IFERROR(_xlfn.XLOOKUP(Table6[[#This Row],[Suburb]],Table5[Travel Surcharge],Table5[$$]),"")</f>
        <v/>
      </c>
      <c r="AI3478" s="47">
        <f t="shared" si="749"/>
        <v>1650.0000000000002</v>
      </c>
      <c r="AJ3478" s="47"/>
    </row>
    <row r="3479" spans="1:36">
      <c r="A3479" s="374" t="s">
        <v>9836</v>
      </c>
      <c r="B3479" s="276" t="s">
        <v>10244</v>
      </c>
      <c r="C3479" s="374" t="s">
        <v>1721</v>
      </c>
      <c r="D3479" s="375" t="str">
        <f t="shared" si="740"/>
        <v>Redstone Estate21B</v>
      </c>
      <c r="E3479" s="375" t="s">
        <v>10245</v>
      </c>
      <c r="F3479" s="375" t="s">
        <v>2605</v>
      </c>
      <c r="G3479" s="375" t="s">
        <v>541</v>
      </c>
      <c r="H3479" s="375" t="s">
        <v>5174</v>
      </c>
      <c r="I3479" s="63" t="s">
        <v>543</v>
      </c>
      <c r="J3479" s="47"/>
      <c r="K3479" s="46" t="s">
        <v>7938</v>
      </c>
      <c r="L3479" s="47"/>
      <c r="M3479" s="47">
        <v>1430.0000000000002</v>
      </c>
      <c r="N3479" s="47" t="s">
        <v>5175</v>
      </c>
      <c r="O3479" s="47" t="s">
        <v>5176</v>
      </c>
      <c r="P3479" s="47" t="s">
        <v>5177</v>
      </c>
      <c r="Q3479" s="47"/>
      <c r="R3479" s="47"/>
      <c r="S3479" s="47"/>
      <c r="T3479" s="47"/>
      <c r="U3479" s="47">
        <v>430</v>
      </c>
      <c r="V3479" s="47"/>
      <c r="W3479" s="47"/>
      <c r="X3479" s="47" t="s">
        <v>10129</v>
      </c>
      <c r="Y3479" s="47"/>
      <c r="Z3479" s="47">
        <v>4620</v>
      </c>
      <c r="AA3479" s="47" t="s">
        <v>5178</v>
      </c>
      <c r="AB3479" s="47" t="s">
        <v>5179</v>
      </c>
      <c r="AC3479" s="47"/>
      <c r="AD3479" s="47" t="s">
        <v>5180</v>
      </c>
      <c r="AE3479" s="47"/>
      <c r="AF3479" s="47">
        <v>1485</v>
      </c>
      <c r="AG3479" s="47"/>
      <c r="AH3479" s="47" t="s">
        <v>9976</v>
      </c>
      <c r="AI3479" s="47">
        <v>1650.0000000000002</v>
      </c>
      <c r="AJ3479" s="47"/>
    </row>
    <row r="3480" spans="1:36">
      <c r="A3480" s="374" t="s">
        <v>5197</v>
      </c>
      <c r="B3480" s="374">
        <v>1</v>
      </c>
      <c r="C3480" s="374" t="s">
        <v>1721</v>
      </c>
      <c r="D3480" s="375" t="str">
        <f t="shared" si="740"/>
        <v>Redstone Macedon Views Estate1</v>
      </c>
      <c r="E3480" s="375" t="s">
        <v>5173</v>
      </c>
      <c r="F3480" s="375" t="s">
        <v>2605</v>
      </c>
      <c r="G3480" s="375" t="s">
        <v>541</v>
      </c>
      <c r="H3480" s="375" t="s">
        <v>5174</v>
      </c>
      <c r="I3480" s="63" t="s">
        <v>543</v>
      </c>
      <c r="J3480" s="47"/>
      <c r="K3480" s="46" t="s">
        <v>7938</v>
      </c>
      <c r="L3480" s="47"/>
      <c r="M3480" s="47">
        <f t="shared" si="746"/>
        <v>1430.0000000000002</v>
      </c>
      <c r="N3480" s="47" t="s">
        <v>5175</v>
      </c>
      <c r="O3480" s="47" t="s">
        <v>5176</v>
      </c>
      <c r="P3480" s="47" t="s">
        <v>5177</v>
      </c>
      <c r="Q3480" s="47"/>
      <c r="R3480" s="47"/>
      <c r="S3480" s="47" t="s">
        <v>5193</v>
      </c>
      <c r="T3480" s="47"/>
      <c r="U3480" s="47"/>
      <c r="V3480" s="47"/>
      <c r="W3480" s="47"/>
      <c r="X3480" s="47" t="s">
        <v>10129</v>
      </c>
      <c r="Y3480" s="47"/>
      <c r="Z3480" s="47">
        <f t="shared" si="743"/>
        <v>4620</v>
      </c>
      <c r="AA3480" s="47" t="s">
        <v>5178</v>
      </c>
      <c r="AB3480" s="47" t="s">
        <v>5179</v>
      </c>
      <c r="AC3480" s="47"/>
      <c r="AD3480" s="47" t="s">
        <v>5180</v>
      </c>
      <c r="AE3480" s="47"/>
      <c r="AF3480" s="47">
        <f t="shared" si="748"/>
        <v>1485</v>
      </c>
      <c r="AG3480" s="47"/>
      <c r="AH3480" s="47" t="str">
        <f>IFERROR(_xlfn.XLOOKUP(Table6[[#This Row],[Suburb]],Table5[Travel Surcharge],Table5[$$]),"")</f>
        <v/>
      </c>
      <c r="AI3480" s="47">
        <f t="shared" si="749"/>
        <v>1650.0000000000002</v>
      </c>
      <c r="AJ3480" s="47"/>
    </row>
    <row r="3481" spans="1:36">
      <c r="A3481" s="374" t="s">
        <v>5197</v>
      </c>
      <c r="B3481" s="374">
        <v>2</v>
      </c>
      <c r="C3481" s="374" t="s">
        <v>1721</v>
      </c>
      <c r="D3481" s="375" t="str">
        <f t="shared" si="740"/>
        <v>Redstone Macedon Views Estate2</v>
      </c>
      <c r="E3481" s="375" t="s">
        <v>5181</v>
      </c>
      <c r="F3481" s="375" t="s">
        <v>2605</v>
      </c>
      <c r="G3481" s="375" t="s">
        <v>541</v>
      </c>
      <c r="H3481" s="375" t="s">
        <v>5174</v>
      </c>
      <c r="I3481" s="63" t="s">
        <v>543</v>
      </c>
      <c r="J3481" s="47"/>
      <c r="K3481" s="46" t="s">
        <v>7938</v>
      </c>
      <c r="L3481" s="47"/>
      <c r="M3481" s="47">
        <f t="shared" si="746"/>
        <v>1430.0000000000002</v>
      </c>
      <c r="N3481" s="47" t="s">
        <v>5175</v>
      </c>
      <c r="O3481" s="47" t="s">
        <v>5176</v>
      </c>
      <c r="P3481" s="47" t="s">
        <v>5177</v>
      </c>
      <c r="Q3481" s="47"/>
      <c r="R3481" s="47"/>
      <c r="S3481" s="47" t="s">
        <v>5193</v>
      </c>
      <c r="T3481" s="47"/>
      <c r="U3481" s="47"/>
      <c r="V3481" s="47"/>
      <c r="W3481" s="47"/>
      <c r="X3481" s="47" t="s">
        <v>10129</v>
      </c>
      <c r="Y3481" s="47"/>
      <c r="Z3481" s="47">
        <f t="shared" si="743"/>
        <v>4620</v>
      </c>
      <c r="AA3481" s="47" t="s">
        <v>5178</v>
      </c>
      <c r="AB3481" s="47" t="s">
        <v>5179</v>
      </c>
      <c r="AC3481" s="47"/>
      <c r="AD3481" s="47" t="s">
        <v>5180</v>
      </c>
      <c r="AE3481" s="47"/>
      <c r="AF3481" s="47">
        <f t="shared" si="748"/>
        <v>1485</v>
      </c>
      <c r="AG3481" s="47"/>
      <c r="AH3481" s="47" t="str">
        <f>IFERROR(_xlfn.XLOOKUP(Table6[[#This Row],[Suburb]],Table5[Travel Surcharge],Table5[$$]),"")</f>
        <v/>
      </c>
      <c r="AI3481" s="47">
        <f t="shared" si="749"/>
        <v>1650.0000000000002</v>
      </c>
      <c r="AJ3481" s="47"/>
    </row>
    <row r="3482" spans="1:36">
      <c r="A3482" s="374" t="s">
        <v>5197</v>
      </c>
      <c r="B3482" s="374">
        <v>3</v>
      </c>
      <c r="C3482" s="374" t="s">
        <v>1721</v>
      </c>
      <c r="D3482" s="375" t="str">
        <f t="shared" si="740"/>
        <v>Redstone Macedon Views Estate3</v>
      </c>
      <c r="E3482" s="375" t="s">
        <v>5183</v>
      </c>
      <c r="F3482" s="375" t="s">
        <v>2605</v>
      </c>
      <c r="G3482" s="375" t="s">
        <v>541</v>
      </c>
      <c r="H3482" s="375" t="s">
        <v>5174</v>
      </c>
      <c r="I3482" s="63" t="s">
        <v>543</v>
      </c>
      <c r="J3482" s="47"/>
      <c r="K3482" s="46" t="s">
        <v>7938</v>
      </c>
      <c r="L3482" s="47"/>
      <c r="M3482" s="47">
        <f t="shared" si="746"/>
        <v>1430.0000000000002</v>
      </c>
      <c r="N3482" s="47" t="s">
        <v>5175</v>
      </c>
      <c r="O3482" s="47" t="s">
        <v>5176</v>
      </c>
      <c r="P3482" s="47" t="s">
        <v>5177</v>
      </c>
      <c r="Q3482" s="47"/>
      <c r="R3482" s="47"/>
      <c r="S3482" s="47" t="s">
        <v>5193</v>
      </c>
      <c r="T3482" s="47"/>
      <c r="U3482" s="47"/>
      <c r="V3482" s="47"/>
      <c r="W3482" s="47"/>
      <c r="X3482" s="47" t="s">
        <v>10129</v>
      </c>
      <c r="Y3482" s="47"/>
      <c r="Z3482" s="47">
        <f t="shared" si="743"/>
        <v>4620</v>
      </c>
      <c r="AA3482" s="47" t="s">
        <v>5178</v>
      </c>
      <c r="AB3482" s="47" t="s">
        <v>5179</v>
      </c>
      <c r="AC3482" s="47"/>
      <c r="AD3482" s="47" t="s">
        <v>5180</v>
      </c>
      <c r="AE3482" s="47"/>
      <c r="AF3482" s="47">
        <f t="shared" si="748"/>
        <v>1485</v>
      </c>
      <c r="AG3482" s="47"/>
      <c r="AH3482" s="47" t="str">
        <f>IFERROR(_xlfn.XLOOKUP(Table6[[#This Row],[Suburb]],Table5[Travel Surcharge],Table5[$$]),"")</f>
        <v/>
      </c>
      <c r="AI3482" s="47">
        <f t="shared" si="749"/>
        <v>1650.0000000000002</v>
      </c>
      <c r="AJ3482" s="47"/>
    </row>
    <row r="3483" spans="1:36">
      <c r="A3483" s="374" t="s">
        <v>5197</v>
      </c>
      <c r="B3483" s="374">
        <v>4</v>
      </c>
      <c r="C3483" s="374" t="s">
        <v>1721</v>
      </c>
      <c r="D3483" s="375" t="str">
        <f t="shared" si="740"/>
        <v>Redstone Macedon Views Estate4</v>
      </c>
      <c r="E3483" s="375" t="s">
        <v>5184</v>
      </c>
      <c r="F3483" s="375" t="s">
        <v>2605</v>
      </c>
      <c r="G3483" s="375" t="s">
        <v>541</v>
      </c>
      <c r="H3483" s="375" t="s">
        <v>5174</v>
      </c>
      <c r="I3483" s="63" t="s">
        <v>543</v>
      </c>
      <c r="J3483" s="47"/>
      <c r="K3483" s="46" t="s">
        <v>7938</v>
      </c>
      <c r="L3483" s="47"/>
      <c r="M3483" s="47">
        <f t="shared" si="746"/>
        <v>1430.0000000000002</v>
      </c>
      <c r="N3483" s="47" t="s">
        <v>5175</v>
      </c>
      <c r="O3483" s="47" t="s">
        <v>5176</v>
      </c>
      <c r="P3483" s="47" t="s">
        <v>5177</v>
      </c>
      <c r="Q3483" s="47"/>
      <c r="R3483" s="47"/>
      <c r="S3483" s="47" t="s">
        <v>5193</v>
      </c>
      <c r="T3483" s="47"/>
      <c r="U3483" s="47"/>
      <c r="V3483" s="47"/>
      <c r="W3483" s="47"/>
      <c r="X3483" s="47" t="s">
        <v>10129</v>
      </c>
      <c r="Y3483" s="47"/>
      <c r="Z3483" s="47">
        <f t="shared" si="743"/>
        <v>4620</v>
      </c>
      <c r="AA3483" s="47" t="s">
        <v>5178</v>
      </c>
      <c r="AB3483" s="47" t="s">
        <v>5179</v>
      </c>
      <c r="AC3483" s="47"/>
      <c r="AD3483" s="47" t="s">
        <v>5180</v>
      </c>
      <c r="AE3483" s="47"/>
      <c r="AF3483" s="47">
        <f t="shared" si="748"/>
        <v>1485</v>
      </c>
      <c r="AG3483" s="47"/>
      <c r="AH3483" s="47" t="str">
        <f>IFERROR(_xlfn.XLOOKUP(Table6[[#This Row],[Suburb]],Table5[Travel Surcharge],Table5[$$]),"")</f>
        <v/>
      </c>
      <c r="AI3483" s="47">
        <f t="shared" si="749"/>
        <v>1650.0000000000002</v>
      </c>
      <c r="AJ3483" s="47"/>
    </row>
    <row r="3484" spans="1:36">
      <c r="A3484" s="374" t="s">
        <v>5197</v>
      </c>
      <c r="B3484" s="374" t="s">
        <v>10244</v>
      </c>
      <c r="C3484" s="374" t="s">
        <v>1721</v>
      </c>
      <c r="D3484" s="375" t="str">
        <f t="shared" si="740"/>
        <v>Redstone Macedon Views Estate21B</v>
      </c>
      <c r="E3484" s="375" t="s">
        <v>10245</v>
      </c>
      <c r="F3484" s="375" t="s">
        <v>2605</v>
      </c>
      <c r="G3484" s="375" t="s">
        <v>541</v>
      </c>
      <c r="H3484" s="375" t="s">
        <v>5174</v>
      </c>
      <c r="I3484" s="63" t="s">
        <v>543</v>
      </c>
      <c r="J3484" s="47"/>
      <c r="K3484" s="46" t="s">
        <v>7938</v>
      </c>
      <c r="L3484" s="47"/>
      <c r="M3484" s="47">
        <v>1430.0000000000002</v>
      </c>
      <c r="N3484" s="47" t="s">
        <v>5175</v>
      </c>
      <c r="O3484" s="47" t="s">
        <v>5176</v>
      </c>
      <c r="P3484" s="47" t="s">
        <v>5177</v>
      </c>
      <c r="Q3484" s="47"/>
      <c r="R3484" s="47"/>
      <c r="S3484" s="47" t="s">
        <v>5193</v>
      </c>
      <c r="T3484" s="47"/>
      <c r="U3484" s="47"/>
      <c r="V3484" s="47"/>
      <c r="W3484" s="47"/>
      <c r="X3484" s="47" t="s">
        <v>10129</v>
      </c>
      <c r="Y3484" s="47"/>
      <c r="Z3484" s="47">
        <v>4620</v>
      </c>
      <c r="AA3484" s="47" t="s">
        <v>5178</v>
      </c>
      <c r="AB3484" s="47" t="s">
        <v>5179</v>
      </c>
      <c r="AC3484" s="47"/>
      <c r="AD3484" s="47" t="s">
        <v>5180</v>
      </c>
      <c r="AE3484" s="47"/>
      <c r="AF3484" s="47">
        <v>1485</v>
      </c>
      <c r="AG3484" s="47"/>
      <c r="AH3484" s="47" t="s">
        <v>9976</v>
      </c>
      <c r="AI3484" s="47">
        <v>1650.0000000000002</v>
      </c>
      <c r="AJ3484" s="47"/>
    </row>
    <row r="3485" spans="1:36">
      <c r="A3485" s="374" t="s">
        <v>5172</v>
      </c>
      <c r="B3485" s="374">
        <v>1</v>
      </c>
      <c r="C3485" s="374" t="s">
        <v>1721</v>
      </c>
      <c r="D3485" s="375" t="str">
        <f t="shared" si="740"/>
        <v>Redstone Northvale Estate1</v>
      </c>
      <c r="E3485" s="375" t="s">
        <v>5173</v>
      </c>
      <c r="F3485" s="375" t="s">
        <v>2605</v>
      </c>
      <c r="G3485" s="375" t="s">
        <v>541</v>
      </c>
      <c r="H3485" s="375" t="s">
        <v>5174</v>
      </c>
      <c r="I3485" s="63" t="s">
        <v>543</v>
      </c>
      <c r="J3485" s="47"/>
      <c r="K3485" s="46" t="s">
        <v>7938</v>
      </c>
      <c r="L3485" s="47"/>
      <c r="M3485" s="47">
        <f t="shared" si="746"/>
        <v>1430.0000000000002</v>
      </c>
      <c r="N3485" s="47" t="s">
        <v>5175</v>
      </c>
      <c r="O3485" s="47" t="s">
        <v>5176</v>
      </c>
      <c r="P3485" s="47" t="s">
        <v>5177</v>
      </c>
      <c r="Q3485" s="47"/>
      <c r="R3485" s="47"/>
      <c r="S3485" s="47"/>
      <c r="T3485" s="47"/>
      <c r="U3485" s="47">
        <f t="shared" ref="U3485:U3501" si="750">U$2</f>
        <v>430</v>
      </c>
      <c r="V3485" s="47"/>
      <c r="W3485" s="47"/>
      <c r="X3485" s="47"/>
      <c r="Y3485" s="47"/>
      <c r="Z3485" s="47">
        <f t="shared" si="743"/>
        <v>4620</v>
      </c>
      <c r="AA3485" s="47"/>
      <c r="AB3485" s="47" t="s">
        <v>5179</v>
      </c>
      <c r="AC3485" s="47"/>
      <c r="AD3485" s="47"/>
      <c r="AE3485" s="47" t="s">
        <v>9835</v>
      </c>
      <c r="AF3485" s="47">
        <f t="shared" si="748"/>
        <v>1485</v>
      </c>
      <c r="AG3485" s="47" t="s">
        <v>517</v>
      </c>
      <c r="AH3485" s="47" t="str">
        <f>IFERROR(_xlfn.XLOOKUP(Table6[[#This Row],[Suburb]],Table5[Travel Surcharge],Table5[$$]),"")</f>
        <v/>
      </c>
      <c r="AI3485" s="47">
        <f t="shared" si="749"/>
        <v>1650.0000000000002</v>
      </c>
      <c r="AJ3485" s="47"/>
    </row>
    <row r="3486" spans="1:36">
      <c r="A3486" s="374" t="s">
        <v>5172</v>
      </c>
      <c r="B3486" s="374">
        <v>2</v>
      </c>
      <c r="C3486" s="374" t="s">
        <v>1721</v>
      </c>
      <c r="D3486" s="375" t="str">
        <f t="shared" si="740"/>
        <v>Redstone Northvale Estate2</v>
      </c>
      <c r="E3486" s="375" t="s">
        <v>5181</v>
      </c>
      <c r="F3486" s="375" t="s">
        <v>2605</v>
      </c>
      <c r="G3486" s="375" t="s">
        <v>541</v>
      </c>
      <c r="H3486" s="375" t="s">
        <v>5174</v>
      </c>
      <c r="I3486" s="63" t="s">
        <v>543</v>
      </c>
      <c r="J3486" s="47"/>
      <c r="K3486" s="46" t="s">
        <v>7938</v>
      </c>
      <c r="L3486" s="47"/>
      <c r="M3486" s="47">
        <f t="shared" si="746"/>
        <v>1430.0000000000002</v>
      </c>
      <c r="N3486" s="47" t="s">
        <v>5175</v>
      </c>
      <c r="O3486" s="47" t="s">
        <v>5176</v>
      </c>
      <c r="P3486" s="47" t="s">
        <v>5177</v>
      </c>
      <c r="Q3486" s="47"/>
      <c r="R3486" s="47"/>
      <c r="S3486" s="47"/>
      <c r="T3486" s="47"/>
      <c r="U3486" s="47">
        <f t="shared" si="750"/>
        <v>430</v>
      </c>
      <c r="V3486" s="47"/>
      <c r="W3486" s="47"/>
      <c r="X3486" s="47"/>
      <c r="Y3486" s="47"/>
      <c r="Z3486" s="47">
        <f t="shared" si="743"/>
        <v>4620</v>
      </c>
      <c r="AA3486" s="47"/>
      <c r="AB3486" s="47" t="s">
        <v>5179</v>
      </c>
      <c r="AC3486" s="47"/>
      <c r="AD3486" s="47"/>
      <c r="AE3486" s="47" t="s">
        <v>9835</v>
      </c>
      <c r="AF3486" s="47">
        <f t="shared" si="748"/>
        <v>1485</v>
      </c>
      <c r="AG3486" s="47" t="s">
        <v>5182</v>
      </c>
      <c r="AH3486" s="47" t="str">
        <f>IFERROR(_xlfn.XLOOKUP(Table6[[#This Row],[Suburb]],Table5[Travel Surcharge],Table5[$$]),"")</f>
        <v/>
      </c>
      <c r="AI3486" s="47">
        <f t="shared" si="749"/>
        <v>1650.0000000000002</v>
      </c>
      <c r="AJ3486" s="47"/>
    </row>
    <row r="3487" spans="1:36">
      <c r="A3487" s="374" t="s">
        <v>5172</v>
      </c>
      <c r="B3487" s="374">
        <v>3</v>
      </c>
      <c r="C3487" s="374" t="s">
        <v>1721</v>
      </c>
      <c r="D3487" s="375" t="str">
        <f t="shared" si="740"/>
        <v>Redstone Northvale Estate3</v>
      </c>
      <c r="E3487" s="375" t="s">
        <v>5183</v>
      </c>
      <c r="F3487" s="375" t="s">
        <v>2605</v>
      </c>
      <c r="G3487" s="375" t="s">
        <v>541</v>
      </c>
      <c r="H3487" s="375" t="s">
        <v>5174</v>
      </c>
      <c r="I3487" s="63" t="s">
        <v>543</v>
      </c>
      <c r="J3487" s="47"/>
      <c r="K3487" s="46" t="s">
        <v>7938</v>
      </c>
      <c r="L3487" s="47"/>
      <c r="M3487" s="47">
        <f t="shared" si="746"/>
        <v>1430.0000000000002</v>
      </c>
      <c r="N3487" s="47" t="s">
        <v>5175</v>
      </c>
      <c r="O3487" s="47" t="s">
        <v>5176</v>
      </c>
      <c r="P3487" s="47" t="s">
        <v>5177</v>
      </c>
      <c r="Q3487" s="47"/>
      <c r="R3487" s="47"/>
      <c r="S3487" s="47"/>
      <c r="T3487" s="47"/>
      <c r="U3487" s="47">
        <f t="shared" si="750"/>
        <v>430</v>
      </c>
      <c r="V3487" s="47"/>
      <c r="W3487" s="47"/>
      <c r="X3487" s="47"/>
      <c r="Y3487" s="47"/>
      <c r="Z3487" s="47">
        <f t="shared" si="743"/>
        <v>4620</v>
      </c>
      <c r="AA3487" s="47"/>
      <c r="AB3487" s="47" t="s">
        <v>5179</v>
      </c>
      <c r="AC3487" s="47"/>
      <c r="AD3487" s="47"/>
      <c r="AE3487" s="47" t="s">
        <v>9835</v>
      </c>
      <c r="AF3487" s="47">
        <f t="shared" si="748"/>
        <v>1485</v>
      </c>
      <c r="AG3487" s="47" t="s">
        <v>5182</v>
      </c>
      <c r="AH3487" s="47" t="str">
        <f>IFERROR(_xlfn.XLOOKUP(Table6[[#This Row],[Suburb]],Table5[Travel Surcharge],Table5[$$]),"")</f>
        <v/>
      </c>
      <c r="AI3487" s="47">
        <f t="shared" si="749"/>
        <v>1650.0000000000002</v>
      </c>
      <c r="AJ3487" s="47"/>
    </row>
    <row r="3488" spans="1:36">
      <c r="A3488" s="374" t="s">
        <v>5172</v>
      </c>
      <c r="B3488" s="374">
        <v>4</v>
      </c>
      <c r="C3488" s="374" t="s">
        <v>1721</v>
      </c>
      <c r="D3488" s="375" t="str">
        <f t="shared" si="740"/>
        <v>Redstone Northvale Estate4</v>
      </c>
      <c r="E3488" s="375" t="s">
        <v>5184</v>
      </c>
      <c r="F3488" s="375" t="s">
        <v>2605</v>
      </c>
      <c r="G3488" s="375" t="s">
        <v>541</v>
      </c>
      <c r="H3488" s="375" t="s">
        <v>5174</v>
      </c>
      <c r="I3488" s="63" t="s">
        <v>543</v>
      </c>
      <c r="J3488" s="47"/>
      <c r="K3488" s="46" t="s">
        <v>7938</v>
      </c>
      <c r="L3488" s="47"/>
      <c r="M3488" s="47">
        <f t="shared" si="746"/>
        <v>1430.0000000000002</v>
      </c>
      <c r="N3488" s="47" t="s">
        <v>5175</v>
      </c>
      <c r="O3488" s="47" t="s">
        <v>5176</v>
      </c>
      <c r="P3488" s="47" t="s">
        <v>5177</v>
      </c>
      <c r="Q3488" s="47"/>
      <c r="R3488" s="47"/>
      <c r="S3488" s="47"/>
      <c r="T3488" s="47"/>
      <c r="U3488" s="47">
        <f t="shared" si="750"/>
        <v>430</v>
      </c>
      <c r="V3488" s="47"/>
      <c r="W3488" s="47"/>
      <c r="X3488" s="47"/>
      <c r="Y3488" s="47"/>
      <c r="Z3488" s="47">
        <f t="shared" si="743"/>
        <v>4620</v>
      </c>
      <c r="AA3488" s="47"/>
      <c r="AB3488" s="47" t="s">
        <v>5179</v>
      </c>
      <c r="AC3488" s="47"/>
      <c r="AD3488" s="47"/>
      <c r="AE3488" s="47" t="s">
        <v>9835</v>
      </c>
      <c r="AF3488" s="47">
        <f t="shared" si="748"/>
        <v>1485</v>
      </c>
      <c r="AG3488" s="47" t="s">
        <v>5182</v>
      </c>
      <c r="AH3488" s="47" t="str">
        <f>IFERROR(_xlfn.XLOOKUP(Table6[[#This Row],[Suburb]],Table5[Travel Surcharge],Table5[$$]),"")</f>
        <v/>
      </c>
      <c r="AI3488" s="47">
        <f t="shared" si="749"/>
        <v>1650.0000000000002</v>
      </c>
      <c r="AJ3488" s="47"/>
    </row>
    <row r="3489" spans="1:36">
      <c r="A3489" s="374" t="s">
        <v>5172</v>
      </c>
      <c r="B3489" s="374">
        <v>6</v>
      </c>
      <c r="C3489" s="374" t="s">
        <v>1721</v>
      </c>
      <c r="D3489" s="375" t="str">
        <f t="shared" ref="D3489:D3521" si="751">CONCATENATE(A3489,B3489)</f>
        <v>Redstone Northvale Estate6</v>
      </c>
      <c r="E3489" s="375" t="s">
        <v>5187</v>
      </c>
      <c r="F3489" s="375" t="s">
        <v>2605</v>
      </c>
      <c r="G3489" s="375" t="s">
        <v>541</v>
      </c>
      <c r="H3489" s="375" t="s">
        <v>5174</v>
      </c>
      <c r="I3489" s="63" t="s">
        <v>543</v>
      </c>
      <c r="J3489" s="47"/>
      <c r="K3489" s="46" t="s">
        <v>7938</v>
      </c>
      <c r="L3489" s="47"/>
      <c r="M3489" s="47">
        <f t="shared" si="746"/>
        <v>1430.0000000000002</v>
      </c>
      <c r="N3489" s="47" t="s">
        <v>5175</v>
      </c>
      <c r="O3489" s="47" t="s">
        <v>5176</v>
      </c>
      <c r="P3489" s="47" t="s">
        <v>5177</v>
      </c>
      <c r="Q3489" s="47"/>
      <c r="R3489" s="47"/>
      <c r="S3489" s="47"/>
      <c r="T3489" s="47"/>
      <c r="U3489" s="47">
        <f t="shared" si="750"/>
        <v>430</v>
      </c>
      <c r="V3489" s="47"/>
      <c r="W3489" s="47"/>
      <c r="X3489" s="47"/>
      <c r="Y3489" s="47"/>
      <c r="Z3489" s="47">
        <f t="shared" ref="Z3489:Z3520" si="752">Z$7</f>
        <v>4620</v>
      </c>
      <c r="AA3489" s="47"/>
      <c r="AB3489" s="47" t="s">
        <v>5179</v>
      </c>
      <c r="AC3489" s="47"/>
      <c r="AD3489" s="47"/>
      <c r="AE3489" s="47" t="s">
        <v>9835</v>
      </c>
      <c r="AF3489" s="47">
        <f t="shared" si="748"/>
        <v>1485</v>
      </c>
      <c r="AG3489" s="47" t="s">
        <v>5182</v>
      </c>
      <c r="AH3489" s="47" t="str">
        <f>IFERROR(_xlfn.XLOOKUP(Table6[[#This Row],[Suburb]],Table5[Travel Surcharge],Table5[$$]),"")</f>
        <v/>
      </c>
      <c r="AI3489" s="47">
        <f t="shared" si="749"/>
        <v>1650.0000000000002</v>
      </c>
      <c r="AJ3489" s="47"/>
    </row>
    <row r="3490" spans="1:36">
      <c r="A3490" s="374" t="s">
        <v>5172</v>
      </c>
      <c r="B3490" s="374">
        <v>7</v>
      </c>
      <c r="C3490" s="374" t="s">
        <v>1721</v>
      </c>
      <c r="D3490" s="375" t="str">
        <f t="shared" si="751"/>
        <v>Redstone Northvale Estate7</v>
      </c>
      <c r="E3490" s="375" t="s">
        <v>5188</v>
      </c>
      <c r="F3490" s="375" t="s">
        <v>2605</v>
      </c>
      <c r="G3490" s="375" t="s">
        <v>541</v>
      </c>
      <c r="H3490" s="375" t="s">
        <v>5174</v>
      </c>
      <c r="I3490" s="63" t="s">
        <v>543</v>
      </c>
      <c r="J3490" s="47"/>
      <c r="K3490" s="46" t="s">
        <v>7938</v>
      </c>
      <c r="L3490" s="47"/>
      <c r="M3490" s="47">
        <f t="shared" si="746"/>
        <v>1430.0000000000002</v>
      </c>
      <c r="N3490" s="47" t="s">
        <v>5175</v>
      </c>
      <c r="O3490" s="47" t="s">
        <v>5176</v>
      </c>
      <c r="P3490" s="47" t="s">
        <v>5177</v>
      </c>
      <c r="Q3490" s="47"/>
      <c r="R3490" s="47"/>
      <c r="S3490" s="47"/>
      <c r="T3490" s="47"/>
      <c r="U3490" s="47">
        <f t="shared" si="750"/>
        <v>430</v>
      </c>
      <c r="V3490" s="47"/>
      <c r="W3490" s="47"/>
      <c r="X3490" s="47"/>
      <c r="Y3490" s="47"/>
      <c r="Z3490" s="47">
        <f t="shared" si="752"/>
        <v>4620</v>
      </c>
      <c r="AA3490" s="47"/>
      <c r="AB3490" s="47" t="s">
        <v>5179</v>
      </c>
      <c r="AC3490" s="47"/>
      <c r="AD3490" s="47"/>
      <c r="AE3490" s="47" t="s">
        <v>9835</v>
      </c>
      <c r="AF3490" s="47">
        <f t="shared" si="748"/>
        <v>1485</v>
      </c>
      <c r="AG3490" s="47" t="s">
        <v>5182</v>
      </c>
      <c r="AH3490" s="47" t="str">
        <f>IFERROR(_xlfn.XLOOKUP(Table6[[#This Row],[Suburb]],Table5[Travel Surcharge],Table5[$$]),"")</f>
        <v/>
      </c>
      <c r="AI3490" s="47">
        <f t="shared" si="749"/>
        <v>1650.0000000000002</v>
      </c>
      <c r="AJ3490" s="47"/>
    </row>
    <row r="3491" spans="1:36">
      <c r="A3491" s="374" t="s">
        <v>5172</v>
      </c>
      <c r="B3491" s="374">
        <v>8</v>
      </c>
      <c r="C3491" s="374" t="s">
        <v>1721</v>
      </c>
      <c r="D3491" s="375" t="str">
        <f t="shared" si="751"/>
        <v>Redstone Northvale Estate8</v>
      </c>
      <c r="E3491" s="375" t="s">
        <v>5189</v>
      </c>
      <c r="F3491" s="375" t="s">
        <v>2605</v>
      </c>
      <c r="G3491" s="375" t="s">
        <v>541</v>
      </c>
      <c r="H3491" s="375" t="s">
        <v>5174</v>
      </c>
      <c r="I3491" s="63" t="s">
        <v>543</v>
      </c>
      <c r="J3491" s="47"/>
      <c r="K3491" s="46" t="s">
        <v>7938</v>
      </c>
      <c r="L3491" s="47"/>
      <c r="M3491" s="47">
        <f t="shared" si="746"/>
        <v>1430.0000000000002</v>
      </c>
      <c r="N3491" s="47" t="s">
        <v>5175</v>
      </c>
      <c r="O3491" s="47" t="s">
        <v>5176</v>
      </c>
      <c r="P3491" s="47" t="s">
        <v>5177</v>
      </c>
      <c r="Q3491" s="47"/>
      <c r="R3491" s="47"/>
      <c r="S3491" s="47"/>
      <c r="T3491" s="47"/>
      <c r="U3491" s="47">
        <f t="shared" si="750"/>
        <v>430</v>
      </c>
      <c r="V3491" s="47"/>
      <c r="W3491" s="47"/>
      <c r="X3491" s="47"/>
      <c r="Y3491" s="47"/>
      <c r="Z3491" s="47">
        <f t="shared" si="752"/>
        <v>4620</v>
      </c>
      <c r="AA3491" s="47"/>
      <c r="AB3491" s="47" t="s">
        <v>5179</v>
      </c>
      <c r="AC3491" s="47"/>
      <c r="AD3491" s="47"/>
      <c r="AE3491" s="47" t="s">
        <v>9835</v>
      </c>
      <c r="AF3491" s="47">
        <f t="shared" si="748"/>
        <v>1485</v>
      </c>
      <c r="AG3491" s="47" t="s">
        <v>5182</v>
      </c>
      <c r="AH3491" s="47" t="str">
        <f>IFERROR(_xlfn.XLOOKUP(Table6[[#This Row],[Suburb]],Table5[Travel Surcharge],Table5[$$]),"")</f>
        <v/>
      </c>
      <c r="AI3491" s="47">
        <f t="shared" si="749"/>
        <v>1650.0000000000002</v>
      </c>
      <c r="AJ3491" s="47"/>
    </row>
    <row r="3492" spans="1:36">
      <c r="A3492" s="157" t="s">
        <v>5172</v>
      </c>
      <c r="B3492" s="157">
        <v>10</v>
      </c>
      <c r="C3492" s="157" t="s">
        <v>7410</v>
      </c>
      <c r="D3492" s="157" t="str">
        <f t="shared" si="751"/>
        <v>Redstone Northvale Estate10</v>
      </c>
      <c r="E3492" s="157" t="s">
        <v>5188</v>
      </c>
      <c r="F3492" s="157" t="s">
        <v>2605</v>
      </c>
      <c r="G3492" s="157" t="s">
        <v>541</v>
      </c>
      <c r="H3492" s="157" t="s">
        <v>5174</v>
      </c>
      <c r="I3492" s="63" t="s">
        <v>543</v>
      </c>
      <c r="J3492" s="47"/>
      <c r="K3492" s="46" t="s">
        <v>7938</v>
      </c>
      <c r="L3492" s="47"/>
      <c r="M3492" s="47">
        <f t="shared" si="746"/>
        <v>1430.0000000000002</v>
      </c>
      <c r="N3492" s="47" t="s">
        <v>5175</v>
      </c>
      <c r="O3492" s="47" t="s">
        <v>5176</v>
      </c>
      <c r="P3492" s="47" t="s">
        <v>5177</v>
      </c>
      <c r="Q3492" s="47"/>
      <c r="R3492" s="47"/>
      <c r="S3492" s="47"/>
      <c r="T3492" s="47"/>
      <c r="U3492" s="47">
        <f t="shared" si="750"/>
        <v>430</v>
      </c>
      <c r="V3492" s="47"/>
      <c r="W3492" s="47"/>
      <c r="X3492" s="47"/>
      <c r="Y3492" s="47"/>
      <c r="Z3492" s="47">
        <f t="shared" si="752"/>
        <v>4620</v>
      </c>
      <c r="AA3492" s="47"/>
      <c r="AB3492" s="47" t="s">
        <v>8636</v>
      </c>
      <c r="AC3492" s="47"/>
      <c r="AD3492" s="47"/>
      <c r="AE3492" s="47" t="s">
        <v>9835</v>
      </c>
      <c r="AF3492" s="47">
        <f t="shared" si="748"/>
        <v>1485</v>
      </c>
      <c r="AG3492" s="47" t="s">
        <v>5182</v>
      </c>
      <c r="AH3492" s="47" t="str">
        <f>IFERROR(_xlfn.XLOOKUP(Table6[[#This Row],[Suburb]],Table5[Travel Surcharge],Table5[$$]),"")</f>
        <v/>
      </c>
      <c r="AI3492" s="47">
        <f t="shared" si="749"/>
        <v>1650.0000000000002</v>
      </c>
      <c r="AJ3492" s="47"/>
    </row>
    <row r="3493" spans="1:36">
      <c r="A3493" s="374" t="s">
        <v>5172</v>
      </c>
      <c r="B3493" s="374">
        <v>11</v>
      </c>
      <c r="C3493" s="374" t="s">
        <v>1721</v>
      </c>
      <c r="D3493" s="375" t="str">
        <f t="shared" si="751"/>
        <v>Redstone Northvale Estate11</v>
      </c>
      <c r="E3493" s="375" t="s">
        <v>5191</v>
      </c>
      <c r="F3493" s="375" t="s">
        <v>2605</v>
      </c>
      <c r="G3493" s="375" t="s">
        <v>541</v>
      </c>
      <c r="H3493" s="375" t="s">
        <v>5174</v>
      </c>
      <c r="I3493" s="63" t="s">
        <v>543</v>
      </c>
      <c r="J3493" s="47"/>
      <c r="K3493" s="46" t="s">
        <v>7938</v>
      </c>
      <c r="L3493" s="47"/>
      <c r="M3493" s="47">
        <f t="shared" si="746"/>
        <v>1430.0000000000002</v>
      </c>
      <c r="N3493" s="47" t="s">
        <v>5175</v>
      </c>
      <c r="O3493" s="47" t="s">
        <v>5176</v>
      </c>
      <c r="P3493" s="47" t="s">
        <v>5177</v>
      </c>
      <c r="Q3493" s="47"/>
      <c r="R3493" s="47"/>
      <c r="S3493" s="47"/>
      <c r="T3493" s="47"/>
      <c r="U3493" s="47">
        <f t="shared" si="750"/>
        <v>430</v>
      </c>
      <c r="V3493" s="47"/>
      <c r="W3493" s="47"/>
      <c r="X3493" s="47"/>
      <c r="Y3493" s="47"/>
      <c r="Z3493" s="47">
        <f t="shared" si="752"/>
        <v>4620</v>
      </c>
      <c r="AA3493" s="47"/>
      <c r="AB3493" s="47" t="s">
        <v>5179</v>
      </c>
      <c r="AC3493" s="47"/>
      <c r="AD3493" s="47"/>
      <c r="AE3493" s="47" t="s">
        <v>9835</v>
      </c>
      <c r="AF3493" s="47">
        <f t="shared" si="748"/>
        <v>1485</v>
      </c>
      <c r="AG3493" s="47" t="s">
        <v>5182</v>
      </c>
      <c r="AH3493" s="47" t="str">
        <f>IFERROR(_xlfn.XLOOKUP(Table6[[#This Row],[Suburb]],Table5[Travel Surcharge],Table5[$$]),"")</f>
        <v/>
      </c>
      <c r="AI3493" s="47">
        <f t="shared" si="749"/>
        <v>1650.0000000000002</v>
      </c>
      <c r="AJ3493" s="47"/>
    </row>
    <row r="3494" spans="1:36">
      <c r="A3494" s="374" t="s">
        <v>5172</v>
      </c>
      <c r="B3494" s="374" t="s">
        <v>617</v>
      </c>
      <c r="C3494" s="374" t="s">
        <v>1721</v>
      </c>
      <c r="D3494" s="375" t="str">
        <f t="shared" si="751"/>
        <v>Redstone Northvale Estate5A</v>
      </c>
      <c r="E3494" s="375" t="s">
        <v>5185</v>
      </c>
      <c r="F3494" s="375" t="s">
        <v>2605</v>
      </c>
      <c r="G3494" s="375" t="s">
        <v>541</v>
      </c>
      <c r="H3494" s="375" t="s">
        <v>5174</v>
      </c>
      <c r="I3494" s="63" t="s">
        <v>543</v>
      </c>
      <c r="J3494" s="47"/>
      <c r="K3494" s="46" t="s">
        <v>7938</v>
      </c>
      <c r="L3494" s="47"/>
      <c r="M3494" s="47">
        <f t="shared" si="746"/>
        <v>1430.0000000000002</v>
      </c>
      <c r="N3494" s="47" t="s">
        <v>5175</v>
      </c>
      <c r="O3494" s="47" t="s">
        <v>5176</v>
      </c>
      <c r="P3494" s="47" t="s">
        <v>5177</v>
      </c>
      <c r="Q3494" s="47"/>
      <c r="R3494" s="47"/>
      <c r="S3494" s="47"/>
      <c r="T3494" s="47"/>
      <c r="U3494" s="47">
        <f t="shared" si="750"/>
        <v>430</v>
      </c>
      <c r="V3494" s="47"/>
      <c r="W3494" s="47"/>
      <c r="X3494" s="47"/>
      <c r="Y3494" s="47"/>
      <c r="Z3494" s="47">
        <f t="shared" si="752"/>
        <v>4620</v>
      </c>
      <c r="AA3494" s="47"/>
      <c r="AB3494" s="47" t="s">
        <v>5179</v>
      </c>
      <c r="AC3494" s="47"/>
      <c r="AD3494" s="47"/>
      <c r="AE3494" s="47" t="s">
        <v>9835</v>
      </c>
      <c r="AF3494" s="47">
        <f t="shared" si="748"/>
        <v>1485</v>
      </c>
      <c r="AG3494" s="47" t="s">
        <v>5182</v>
      </c>
      <c r="AH3494" s="47" t="str">
        <f>IFERROR(_xlfn.XLOOKUP(Table6[[#This Row],[Suburb]],Table5[Travel Surcharge],Table5[$$]),"")</f>
        <v/>
      </c>
      <c r="AI3494" s="47">
        <f t="shared" si="749"/>
        <v>1650.0000000000002</v>
      </c>
      <c r="AJ3494" s="47"/>
    </row>
    <row r="3495" spans="1:36">
      <c r="A3495" s="374" t="s">
        <v>5172</v>
      </c>
      <c r="B3495" s="374" t="s">
        <v>1466</v>
      </c>
      <c r="C3495" s="374" t="s">
        <v>1721</v>
      </c>
      <c r="D3495" s="375" t="str">
        <f t="shared" si="751"/>
        <v>Redstone Northvale Estate5B</v>
      </c>
      <c r="E3495" s="375" t="s">
        <v>5186</v>
      </c>
      <c r="F3495" s="375" t="s">
        <v>2605</v>
      </c>
      <c r="G3495" s="375" t="s">
        <v>541</v>
      </c>
      <c r="H3495" s="375" t="s">
        <v>5174</v>
      </c>
      <c r="I3495" s="63" t="s">
        <v>543</v>
      </c>
      <c r="J3495" s="47"/>
      <c r="K3495" s="46" t="s">
        <v>7938</v>
      </c>
      <c r="L3495" s="47"/>
      <c r="M3495" s="47">
        <f t="shared" si="746"/>
        <v>1430.0000000000002</v>
      </c>
      <c r="N3495" s="47" t="s">
        <v>5175</v>
      </c>
      <c r="O3495" s="47" t="s">
        <v>5176</v>
      </c>
      <c r="P3495" s="47" t="s">
        <v>5177</v>
      </c>
      <c r="Q3495" s="47"/>
      <c r="R3495" s="47"/>
      <c r="S3495" s="47"/>
      <c r="T3495" s="47"/>
      <c r="U3495" s="47">
        <f t="shared" si="750"/>
        <v>430</v>
      </c>
      <c r="V3495" s="47"/>
      <c r="W3495" s="47"/>
      <c r="X3495" s="47"/>
      <c r="Y3495" s="47"/>
      <c r="Z3495" s="47">
        <f t="shared" si="752"/>
        <v>4620</v>
      </c>
      <c r="AA3495" s="47"/>
      <c r="AB3495" s="47" t="s">
        <v>5179</v>
      </c>
      <c r="AC3495" s="47"/>
      <c r="AD3495" s="47"/>
      <c r="AE3495" s="47" t="s">
        <v>9835</v>
      </c>
      <c r="AF3495" s="47">
        <f t="shared" si="748"/>
        <v>1485</v>
      </c>
      <c r="AG3495" s="47" t="s">
        <v>5182</v>
      </c>
      <c r="AH3495" s="47" t="str">
        <f>IFERROR(_xlfn.XLOOKUP(Table6[[#This Row],[Suburb]],Table5[Travel Surcharge],Table5[$$]),"")</f>
        <v/>
      </c>
      <c r="AI3495" s="47">
        <f t="shared" si="749"/>
        <v>1650.0000000000002</v>
      </c>
      <c r="AJ3495" s="47"/>
    </row>
    <row r="3496" spans="1:36">
      <c r="A3496" s="374" t="s">
        <v>5172</v>
      </c>
      <c r="B3496" s="374" t="s">
        <v>1006</v>
      </c>
      <c r="C3496" s="374" t="s">
        <v>1721</v>
      </c>
      <c r="D3496" s="375" t="str">
        <f t="shared" si="751"/>
        <v>Redstone Northvale Estate9A</v>
      </c>
      <c r="E3496" s="375" t="s">
        <v>5190</v>
      </c>
      <c r="F3496" s="375" t="s">
        <v>2605</v>
      </c>
      <c r="G3496" s="375" t="s">
        <v>541</v>
      </c>
      <c r="H3496" s="375" t="s">
        <v>5174</v>
      </c>
      <c r="I3496" s="63" t="s">
        <v>543</v>
      </c>
      <c r="J3496" s="47"/>
      <c r="K3496" s="46" t="s">
        <v>7938</v>
      </c>
      <c r="L3496" s="47"/>
      <c r="M3496" s="47">
        <f t="shared" si="746"/>
        <v>1430.0000000000002</v>
      </c>
      <c r="N3496" s="47" t="s">
        <v>5175</v>
      </c>
      <c r="O3496" s="47" t="s">
        <v>5176</v>
      </c>
      <c r="P3496" s="47" t="s">
        <v>5177</v>
      </c>
      <c r="Q3496" s="47"/>
      <c r="R3496" s="47"/>
      <c r="S3496" s="47"/>
      <c r="T3496" s="47"/>
      <c r="U3496" s="47">
        <f t="shared" si="750"/>
        <v>430</v>
      </c>
      <c r="V3496" s="47"/>
      <c r="W3496" s="47"/>
      <c r="X3496" s="47"/>
      <c r="Y3496" s="47"/>
      <c r="Z3496" s="47">
        <f t="shared" si="752"/>
        <v>4620</v>
      </c>
      <c r="AA3496" s="47"/>
      <c r="AB3496" s="47" t="s">
        <v>5179</v>
      </c>
      <c r="AC3496" s="47"/>
      <c r="AD3496" s="47"/>
      <c r="AE3496" s="47" t="s">
        <v>9835</v>
      </c>
      <c r="AF3496" s="47">
        <f t="shared" si="748"/>
        <v>1485</v>
      </c>
      <c r="AG3496" s="47" t="s">
        <v>5182</v>
      </c>
      <c r="AH3496" s="47" t="str">
        <f>IFERROR(_xlfn.XLOOKUP(Table6[[#This Row],[Suburb]],Table5[Travel Surcharge],Table5[$$]),"")</f>
        <v/>
      </c>
      <c r="AI3496" s="47">
        <f t="shared" si="749"/>
        <v>1650.0000000000002</v>
      </c>
      <c r="AJ3496" s="47"/>
    </row>
    <row r="3497" spans="1:36">
      <c r="A3497" s="374" t="s">
        <v>5196</v>
      </c>
      <c r="B3497" s="374">
        <v>1</v>
      </c>
      <c r="C3497" s="374" t="s">
        <v>1721</v>
      </c>
      <c r="D3497" s="375" t="str">
        <f t="shared" si="751"/>
        <v>Redstone Panorama Estate1</v>
      </c>
      <c r="E3497" s="375" t="s">
        <v>5173</v>
      </c>
      <c r="F3497" s="375" t="s">
        <v>2605</v>
      </c>
      <c r="G3497" s="375" t="s">
        <v>541</v>
      </c>
      <c r="H3497" s="375" t="s">
        <v>5174</v>
      </c>
      <c r="I3497" s="63" t="s">
        <v>543</v>
      </c>
      <c r="J3497" s="47"/>
      <c r="K3497" s="46" t="s">
        <v>7938</v>
      </c>
      <c r="L3497" s="47"/>
      <c r="M3497" s="47">
        <f t="shared" si="746"/>
        <v>1430.0000000000002</v>
      </c>
      <c r="N3497" s="47" t="s">
        <v>5175</v>
      </c>
      <c r="O3497" s="47" t="s">
        <v>5176</v>
      </c>
      <c r="P3497" s="47" t="s">
        <v>5177</v>
      </c>
      <c r="Q3497" s="47"/>
      <c r="R3497" s="47"/>
      <c r="S3497" s="47"/>
      <c r="T3497" s="47"/>
      <c r="U3497" s="47">
        <f t="shared" si="750"/>
        <v>430</v>
      </c>
      <c r="V3497" s="47"/>
      <c r="W3497" s="47"/>
      <c r="X3497" s="47" t="s">
        <v>10129</v>
      </c>
      <c r="Y3497" s="47"/>
      <c r="Z3497" s="47">
        <f t="shared" si="752"/>
        <v>4620</v>
      </c>
      <c r="AA3497" s="47" t="s">
        <v>5178</v>
      </c>
      <c r="AB3497" s="47" t="s">
        <v>5179</v>
      </c>
      <c r="AC3497" s="47">
        <f>AC$7</f>
        <v>5200</v>
      </c>
      <c r="AD3497" s="47" t="s">
        <v>5180</v>
      </c>
      <c r="AE3497" s="47"/>
      <c r="AF3497" s="47">
        <f t="shared" si="748"/>
        <v>1485</v>
      </c>
      <c r="AG3497" s="47"/>
      <c r="AH3497" s="47" t="str">
        <f>IFERROR(_xlfn.XLOOKUP(Table6[[#This Row],[Suburb]],Table5[Travel Surcharge],Table5[$$]),"")</f>
        <v/>
      </c>
      <c r="AI3497" s="47">
        <f t="shared" si="749"/>
        <v>1650.0000000000002</v>
      </c>
      <c r="AJ3497" s="47"/>
    </row>
    <row r="3498" spans="1:36">
      <c r="A3498" s="374" t="s">
        <v>5196</v>
      </c>
      <c r="B3498" s="374">
        <v>2</v>
      </c>
      <c r="C3498" s="374" t="s">
        <v>1721</v>
      </c>
      <c r="D3498" s="375" t="str">
        <f t="shared" si="751"/>
        <v>Redstone Panorama Estate2</v>
      </c>
      <c r="E3498" s="375" t="s">
        <v>5181</v>
      </c>
      <c r="F3498" s="375" t="s">
        <v>2605</v>
      </c>
      <c r="G3498" s="375" t="s">
        <v>541</v>
      </c>
      <c r="H3498" s="375" t="s">
        <v>5174</v>
      </c>
      <c r="I3498" s="63" t="s">
        <v>543</v>
      </c>
      <c r="J3498" s="47"/>
      <c r="K3498" s="46" t="s">
        <v>7938</v>
      </c>
      <c r="L3498" s="47"/>
      <c r="M3498" s="47">
        <f t="shared" si="746"/>
        <v>1430.0000000000002</v>
      </c>
      <c r="N3498" s="47" t="s">
        <v>5175</v>
      </c>
      <c r="O3498" s="47" t="s">
        <v>5176</v>
      </c>
      <c r="P3498" s="47" t="s">
        <v>5177</v>
      </c>
      <c r="Q3498" s="47"/>
      <c r="R3498" s="47"/>
      <c r="S3498" s="47"/>
      <c r="T3498" s="47"/>
      <c r="U3498" s="47">
        <f t="shared" si="750"/>
        <v>430</v>
      </c>
      <c r="V3498" s="47"/>
      <c r="W3498" s="47"/>
      <c r="X3498" s="47" t="s">
        <v>10129</v>
      </c>
      <c r="Y3498" s="47"/>
      <c r="Z3498" s="47">
        <f t="shared" si="752"/>
        <v>4620</v>
      </c>
      <c r="AA3498" s="47" t="s">
        <v>5178</v>
      </c>
      <c r="AB3498" s="47" t="s">
        <v>5179</v>
      </c>
      <c r="AC3498" s="47">
        <f>AC$7</f>
        <v>5200</v>
      </c>
      <c r="AD3498" s="47" t="s">
        <v>5180</v>
      </c>
      <c r="AE3498" s="47"/>
      <c r="AF3498" s="47">
        <f t="shared" si="748"/>
        <v>1485</v>
      </c>
      <c r="AG3498" s="47"/>
      <c r="AH3498" s="47" t="str">
        <f>IFERROR(_xlfn.XLOOKUP(Table6[[#This Row],[Suburb]],Table5[Travel Surcharge],Table5[$$]),"")</f>
        <v/>
      </c>
      <c r="AI3498" s="47">
        <f t="shared" si="749"/>
        <v>1650.0000000000002</v>
      </c>
      <c r="AJ3498" s="47"/>
    </row>
    <row r="3499" spans="1:36">
      <c r="A3499" s="374" t="s">
        <v>5196</v>
      </c>
      <c r="B3499" s="374">
        <v>3</v>
      </c>
      <c r="C3499" s="374" t="s">
        <v>1721</v>
      </c>
      <c r="D3499" s="375" t="str">
        <f t="shared" si="751"/>
        <v>Redstone Panorama Estate3</v>
      </c>
      <c r="E3499" s="375" t="s">
        <v>5183</v>
      </c>
      <c r="F3499" s="375" t="s">
        <v>2605</v>
      </c>
      <c r="G3499" s="375" t="s">
        <v>541</v>
      </c>
      <c r="H3499" s="375" t="s">
        <v>5174</v>
      </c>
      <c r="I3499" s="63" t="s">
        <v>543</v>
      </c>
      <c r="J3499" s="47"/>
      <c r="K3499" s="46" t="s">
        <v>7938</v>
      </c>
      <c r="L3499" s="47"/>
      <c r="M3499" s="47">
        <f t="shared" si="746"/>
        <v>1430.0000000000002</v>
      </c>
      <c r="N3499" s="47" t="s">
        <v>5175</v>
      </c>
      <c r="O3499" s="47" t="s">
        <v>5176</v>
      </c>
      <c r="P3499" s="47" t="s">
        <v>5177</v>
      </c>
      <c r="Q3499" s="47"/>
      <c r="R3499" s="47"/>
      <c r="S3499" s="47"/>
      <c r="T3499" s="47"/>
      <c r="U3499" s="47">
        <f t="shared" si="750"/>
        <v>430</v>
      </c>
      <c r="V3499" s="47"/>
      <c r="W3499" s="47"/>
      <c r="X3499" s="47" t="s">
        <v>10129</v>
      </c>
      <c r="Y3499" s="47"/>
      <c r="Z3499" s="47">
        <f t="shared" si="752"/>
        <v>4620</v>
      </c>
      <c r="AA3499" s="47" t="s">
        <v>5178</v>
      </c>
      <c r="AB3499" s="47" t="s">
        <v>5179</v>
      </c>
      <c r="AC3499" s="47">
        <f>AC$7</f>
        <v>5200</v>
      </c>
      <c r="AD3499" s="47" t="s">
        <v>5180</v>
      </c>
      <c r="AE3499" s="47"/>
      <c r="AF3499" s="47">
        <f t="shared" si="748"/>
        <v>1485</v>
      </c>
      <c r="AG3499" s="47"/>
      <c r="AH3499" s="47" t="str">
        <f>IFERROR(_xlfn.XLOOKUP(Table6[[#This Row],[Suburb]],Table5[Travel Surcharge],Table5[$$]),"")</f>
        <v/>
      </c>
      <c r="AI3499" s="47">
        <f t="shared" si="749"/>
        <v>1650.0000000000002</v>
      </c>
      <c r="AJ3499" s="47"/>
    </row>
    <row r="3500" spans="1:36">
      <c r="A3500" s="374" t="s">
        <v>5196</v>
      </c>
      <c r="B3500" s="374">
        <v>4</v>
      </c>
      <c r="C3500" s="374" t="s">
        <v>1721</v>
      </c>
      <c r="D3500" s="375" t="str">
        <f t="shared" si="751"/>
        <v>Redstone Panorama Estate4</v>
      </c>
      <c r="E3500" s="375" t="s">
        <v>5184</v>
      </c>
      <c r="F3500" s="375" t="s">
        <v>2605</v>
      </c>
      <c r="G3500" s="375" t="s">
        <v>541</v>
      </c>
      <c r="H3500" s="375" t="s">
        <v>5174</v>
      </c>
      <c r="I3500" s="63" t="s">
        <v>543</v>
      </c>
      <c r="J3500" s="47"/>
      <c r="K3500" s="46" t="s">
        <v>7938</v>
      </c>
      <c r="L3500" s="47"/>
      <c r="M3500" s="47">
        <f t="shared" si="746"/>
        <v>1430.0000000000002</v>
      </c>
      <c r="N3500" s="47" t="s">
        <v>5175</v>
      </c>
      <c r="O3500" s="47" t="s">
        <v>5176</v>
      </c>
      <c r="P3500" s="47" t="s">
        <v>5177</v>
      </c>
      <c r="Q3500" s="47"/>
      <c r="R3500" s="47"/>
      <c r="S3500" s="47"/>
      <c r="T3500" s="47"/>
      <c r="U3500" s="47">
        <f t="shared" si="750"/>
        <v>430</v>
      </c>
      <c r="V3500" s="47"/>
      <c r="W3500" s="47"/>
      <c r="X3500" s="47" t="s">
        <v>10129</v>
      </c>
      <c r="Y3500" s="47"/>
      <c r="Z3500" s="47">
        <f t="shared" si="752"/>
        <v>4620</v>
      </c>
      <c r="AA3500" s="47" t="s">
        <v>5178</v>
      </c>
      <c r="AB3500" s="47" t="s">
        <v>5179</v>
      </c>
      <c r="AC3500" s="47">
        <f>AC$7</f>
        <v>5200</v>
      </c>
      <c r="AD3500" s="47" t="s">
        <v>5180</v>
      </c>
      <c r="AE3500" s="47"/>
      <c r="AF3500" s="47">
        <f t="shared" si="748"/>
        <v>1485</v>
      </c>
      <c r="AG3500" s="47"/>
      <c r="AH3500" s="47" t="str">
        <f>IFERROR(_xlfn.XLOOKUP(Table6[[#This Row],[Suburb]],Table5[Travel Surcharge],Table5[$$]),"")</f>
        <v/>
      </c>
      <c r="AI3500" s="47">
        <f t="shared" si="749"/>
        <v>1650.0000000000002</v>
      </c>
      <c r="AJ3500" s="47"/>
    </row>
    <row r="3501" spans="1:36">
      <c r="A3501" s="374" t="s">
        <v>8644</v>
      </c>
      <c r="B3501" s="374">
        <v>6</v>
      </c>
      <c r="C3501" s="374" t="s">
        <v>7410</v>
      </c>
      <c r="D3501" s="375" t="str">
        <f t="shared" si="751"/>
        <v>Redstone The Sanctuary 6</v>
      </c>
      <c r="E3501" s="375" t="s">
        <v>5187</v>
      </c>
      <c r="F3501" s="375"/>
      <c r="G3501" s="375"/>
      <c r="H3501" s="375"/>
      <c r="I3501" s="63"/>
      <c r="J3501" s="47"/>
      <c r="K3501" s="46" t="s">
        <v>7938</v>
      </c>
      <c r="L3501" s="47"/>
      <c r="M3501" s="47">
        <f t="shared" si="746"/>
        <v>1430.0000000000002</v>
      </c>
      <c r="N3501" s="47" t="s">
        <v>8647</v>
      </c>
      <c r="O3501" s="47" t="s">
        <v>5176</v>
      </c>
      <c r="P3501" s="47" t="s">
        <v>5175</v>
      </c>
      <c r="Q3501" s="47"/>
      <c r="R3501" s="47"/>
      <c r="S3501" s="47"/>
      <c r="T3501" s="47"/>
      <c r="U3501" s="47">
        <f t="shared" si="750"/>
        <v>430</v>
      </c>
      <c r="V3501" s="47"/>
      <c r="W3501" s="47" t="s">
        <v>8646</v>
      </c>
      <c r="X3501" s="47" t="s">
        <v>8645</v>
      </c>
      <c r="Y3501" s="47"/>
      <c r="Z3501" s="47">
        <f t="shared" si="752"/>
        <v>4620</v>
      </c>
      <c r="AA3501" s="47" t="s">
        <v>5178</v>
      </c>
      <c r="AB3501" s="47"/>
      <c r="AC3501" s="47"/>
      <c r="AD3501" s="47" t="s">
        <v>8648</v>
      </c>
      <c r="AE3501" s="47"/>
      <c r="AF3501" s="47"/>
      <c r="AG3501" s="47" t="s">
        <v>5182</v>
      </c>
      <c r="AH3501" s="47" t="str">
        <f>IFERROR(_xlfn.XLOOKUP(Table6[[#This Row],[Suburb]],Table5[Travel Surcharge],Table5[$$]),"")</f>
        <v/>
      </c>
      <c r="AI3501" s="47">
        <f t="shared" si="749"/>
        <v>1650.0000000000002</v>
      </c>
      <c r="AJ3501" s="47"/>
    </row>
    <row r="3502" spans="1:36">
      <c r="A3502" s="374" t="s">
        <v>5192</v>
      </c>
      <c r="B3502" s="374">
        <v>1</v>
      </c>
      <c r="C3502" s="374" t="s">
        <v>1721</v>
      </c>
      <c r="D3502" s="375" t="str">
        <f t="shared" si="751"/>
        <v>Redstone Town Centre Estate1</v>
      </c>
      <c r="E3502" s="375" t="s">
        <v>5173</v>
      </c>
      <c r="F3502" s="375" t="s">
        <v>2605</v>
      </c>
      <c r="G3502" s="375" t="s">
        <v>541</v>
      </c>
      <c r="H3502" s="375" t="s">
        <v>5174</v>
      </c>
      <c r="I3502" s="63" t="s">
        <v>543</v>
      </c>
      <c r="J3502" s="47"/>
      <c r="K3502" s="46" t="s">
        <v>7938</v>
      </c>
      <c r="L3502" s="47"/>
      <c r="M3502" s="47">
        <f t="shared" si="746"/>
        <v>1430.0000000000002</v>
      </c>
      <c r="N3502" s="47" t="s">
        <v>5175</v>
      </c>
      <c r="O3502" s="47" t="s">
        <v>5176</v>
      </c>
      <c r="P3502" s="47" t="s">
        <v>5177</v>
      </c>
      <c r="Q3502" s="47"/>
      <c r="R3502" s="47"/>
      <c r="S3502" s="47" t="s">
        <v>5193</v>
      </c>
      <c r="T3502" s="47"/>
      <c r="U3502" s="47"/>
      <c r="V3502" s="47"/>
      <c r="W3502" s="47"/>
      <c r="X3502" s="47" t="s">
        <v>10129</v>
      </c>
      <c r="Y3502" s="47"/>
      <c r="Z3502" s="47">
        <f t="shared" si="752"/>
        <v>4620</v>
      </c>
      <c r="AA3502" s="47" t="s">
        <v>5178</v>
      </c>
      <c r="AB3502" s="47" t="s">
        <v>5179</v>
      </c>
      <c r="AC3502" s="47"/>
      <c r="AD3502" s="47" t="s">
        <v>5180</v>
      </c>
      <c r="AE3502" s="47"/>
      <c r="AF3502" s="47">
        <f t="shared" ref="AF3502:AF3509" si="753">AF$7</f>
        <v>1485</v>
      </c>
      <c r="AG3502" s="47"/>
      <c r="AH3502" s="47" t="str">
        <f>IFERROR(_xlfn.XLOOKUP(Table6[[#This Row],[Suburb]],Table5[Travel Surcharge],Table5[$$]),"")</f>
        <v/>
      </c>
      <c r="AI3502" s="47">
        <f t="shared" si="749"/>
        <v>1650.0000000000002</v>
      </c>
      <c r="AJ3502" s="47"/>
    </row>
    <row r="3503" spans="1:36">
      <c r="A3503" s="374" t="s">
        <v>5192</v>
      </c>
      <c r="B3503" s="374">
        <v>2</v>
      </c>
      <c r="C3503" s="374" t="s">
        <v>1721</v>
      </c>
      <c r="D3503" s="375" t="str">
        <f t="shared" si="751"/>
        <v>Redstone Town Centre Estate2</v>
      </c>
      <c r="E3503" s="375" t="s">
        <v>5181</v>
      </c>
      <c r="F3503" s="375" t="s">
        <v>2605</v>
      </c>
      <c r="G3503" s="375" t="s">
        <v>541</v>
      </c>
      <c r="H3503" s="375" t="s">
        <v>5174</v>
      </c>
      <c r="I3503" s="63" t="s">
        <v>543</v>
      </c>
      <c r="J3503" s="47"/>
      <c r="K3503" s="46" t="s">
        <v>7938</v>
      </c>
      <c r="L3503" s="47"/>
      <c r="M3503" s="47">
        <f t="shared" si="746"/>
        <v>1430.0000000000002</v>
      </c>
      <c r="N3503" s="47" t="s">
        <v>5175</v>
      </c>
      <c r="O3503" s="47" t="s">
        <v>5176</v>
      </c>
      <c r="P3503" s="47" t="s">
        <v>5177</v>
      </c>
      <c r="Q3503" s="47"/>
      <c r="R3503" s="47"/>
      <c r="S3503" s="47" t="s">
        <v>5193</v>
      </c>
      <c r="T3503" s="47"/>
      <c r="U3503" s="47"/>
      <c r="V3503" s="47"/>
      <c r="W3503" s="47"/>
      <c r="X3503" s="47" t="s">
        <v>10129</v>
      </c>
      <c r="Y3503" s="47"/>
      <c r="Z3503" s="47">
        <f t="shared" si="752"/>
        <v>4620</v>
      </c>
      <c r="AA3503" s="47" t="s">
        <v>5178</v>
      </c>
      <c r="AB3503" s="47" t="s">
        <v>5179</v>
      </c>
      <c r="AC3503" s="47"/>
      <c r="AD3503" s="47" t="s">
        <v>5180</v>
      </c>
      <c r="AE3503" s="47"/>
      <c r="AF3503" s="47">
        <f t="shared" si="753"/>
        <v>1485</v>
      </c>
      <c r="AG3503" s="47"/>
      <c r="AH3503" s="47" t="str">
        <f>IFERROR(_xlfn.XLOOKUP(Table6[[#This Row],[Suburb]],Table5[Travel Surcharge],Table5[$$]),"")</f>
        <v/>
      </c>
      <c r="AI3503" s="47">
        <f t="shared" si="749"/>
        <v>1650.0000000000002</v>
      </c>
      <c r="AJ3503" s="47"/>
    </row>
    <row r="3504" spans="1:36">
      <c r="A3504" s="374" t="s">
        <v>5192</v>
      </c>
      <c r="B3504" s="374">
        <v>3</v>
      </c>
      <c r="C3504" s="374" t="s">
        <v>1721</v>
      </c>
      <c r="D3504" s="375" t="str">
        <f t="shared" si="751"/>
        <v>Redstone Town Centre Estate3</v>
      </c>
      <c r="E3504" s="375" t="s">
        <v>5183</v>
      </c>
      <c r="F3504" s="375" t="s">
        <v>2605</v>
      </c>
      <c r="G3504" s="375" t="s">
        <v>541</v>
      </c>
      <c r="H3504" s="375" t="s">
        <v>5174</v>
      </c>
      <c r="I3504" s="63" t="s">
        <v>543</v>
      </c>
      <c r="J3504" s="47"/>
      <c r="K3504" s="46" t="s">
        <v>7938</v>
      </c>
      <c r="L3504" s="47"/>
      <c r="M3504" s="47">
        <f t="shared" si="746"/>
        <v>1430.0000000000002</v>
      </c>
      <c r="N3504" s="47" t="s">
        <v>5175</v>
      </c>
      <c r="O3504" s="47" t="s">
        <v>5176</v>
      </c>
      <c r="P3504" s="47" t="s">
        <v>5177</v>
      </c>
      <c r="Q3504" s="47"/>
      <c r="R3504" s="47"/>
      <c r="S3504" s="47" t="s">
        <v>5193</v>
      </c>
      <c r="T3504" s="47"/>
      <c r="U3504" s="47"/>
      <c r="V3504" s="47"/>
      <c r="W3504" s="47"/>
      <c r="X3504" s="47" t="s">
        <v>10129</v>
      </c>
      <c r="Y3504" s="47"/>
      <c r="Z3504" s="47">
        <f t="shared" si="752"/>
        <v>4620</v>
      </c>
      <c r="AA3504" s="47" t="s">
        <v>5178</v>
      </c>
      <c r="AB3504" s="47" t="s">
        <v>5179</v>
      </c>
      <c r="AC3504" s="47"/>
      <c r="AD3504" s="47" t="s">
        <v>5180</v>
      </c>
      <c r="AE3504" s="47"/>
      <c r="AF3504" s="47">
        <f t="shared" si="753"/>
        <v>1485</v>
      </c>
      <c r="AG3504" s="47"/>
      <c r="AH3504" s="47" t="str">
        <f>IFERROR(_xlfn.XLOOKUP(Table6[[#This Row],[Suburb]],Table5[Travel Surcharge],Table5[$$]),"")</f>
        <v/>
      </c>
      <c r="AI3504" s="47">
        <f t="shared" si="749"/>
        <v>1650.0000000000002</v>
      </c>
      <c r="AJ3504" s="47"/>
    </row>
    <row r="3505" spans="1:36">
      <c r="A3505" s="374" t="s">
        <v>5192</v>
      </c>
      <c r="B3505" s="374">
        <v>4</v>
      </c>
      <c r="C3505" s="374" t="s">
        <v>1721</v>
      </c>
      <c r="D3505" s="375" t="str">
        <f t="shared" si="751"/>
        <v>Redstone Town Centre Estate4</v>
      </c>
      <c r="E3505" s="375" t="s">
        <v>5184</v>
      </c>
      <c r="F3505" s="375" t="s">
        <v>2605</v>
      </c>
      <c r="G3505" s="375" t="s">
        <v>541</v>
      </c>
      <c r="H3505" s="375" t="s">
        <v>5174</v>
      </c>
      <c r="I3505" s="63" t="s">
        <v>543</v>
      </c>
      <c r="J3505" s="47"/>
      <c r="K3505" s="46" t="s">
        <v>7938</v>
      </c>
      <c r="L3505" s="47"/>
      <c r="M3505" s="47">
        <f t="shared" si="746"/>
        <v>1430.0000000000002</v>
      </c>
      <c r="N3505" s="47" t="s">
        <v>5175</v>
      </c>
      <c r="O3505" s="47" t="s">
        <v>5176</v>
      </c>
      <c r="P3505" s="47" t="s">
        <v>5177</v>
      </c>
      <c r="Q3505" s="47"/>
      <c r="R3505" s="47"/>
      <c r="S3505" s="47" t="s">
        <v>5193</v>
      </c>
      <c r="T3505" s="47"/>
      <c r="U3505" s="47"/>
      <c r="V3505" s="47"/>
      <c r="W3505" s="47"/>
      <c r="X3505" s="47" t="s">
        <v>10129</v>
      </c>
      <c r="Y3505" s="47"/>
      <c r="Z3505" s="47">
        <f t="shared" si="752"/>
        <v>4620</v>
      </c>
      <c r="AA3505" s="47" t="s">
        <v>5178</v>
      </c>
      <c r="AB3505" s="47" t="s">
        <v>5179</v>
      </c>
      <c r="AC3505" s="47"/>
      <c r="AD3505" s="47" t="s">
        <v>5180</v>
      </c>
      <c r="AE3505" s="47"/>
      <c r="AF3505" s="47">
        <f t="shared" si="753"/>
        <v>1485</v>
      </c>
      <c r="AG3505" s="47"/>
      <c r="AH3505" s="47" t="str">
        <f>IFERROR(_xlfn.XLOOKUP(Table6[[#This Row],[Suburb]],Table5[Travel Surcharge],Table5[$$]),"")</f>
        <v/>
      </c>
      <c r="AI3505" s="47">
        <f t="shared" si="749"/>
        <v>1650.0000000000002</v>
      </c>
      <c r="AJ3505" s="47"/>
    </row>
    <row r="3506" spans="1:36">
      <c r="A3506" s="374" t="s">
        <v>5195</v>
      </c>
      <c r="B3506" s="374">
        <v>1</v>
      </c>
      <c r="C3506" s="374" t="s">
        <v>1721</v>
      </c>
      <c r="D3506" s="375" t="str">
        <f t="shared" si="751"/>
        <v>Redstone Valleyview Estate1</v>
      </c>
      <c r="E3506" s="375" t="s">
        <v>5173</v>
      </c>
      <c r="F3506" s="375" t="s">
        <v>2605</v>
      </c>
      <c r="G3506" s="375" t="s">
        <v>541</v>
      </c>
      <c r="H3506" s="375" t="s">
        <v>5174</v>
      </c>
      <c r="I3506" s="63" t="s">
        <v>543</v>
      </c>
      <c r="J3506" s="47"/>
      <c r="K3506" s="46" t="s">
        <v>7938</v>
      </c>
      <c r="L3506" s="47"/>
      <c r="M3506" s="47">
        <f t="shared" si="746"/>
        <v>1430.0000000000002</v>
      </c>
      <c r="N3506" s="47" t="s">
        <v>5175</v>
      </c>
      <c r="O3506" s="47" t="s">
        <v>5176</v>
      </c>
      <c r="P3506" s="47" t="s">
        <v>5177</v>
      </c>
      <c r="Q3506" s="47"/>
      <c r="R3506" s="47"/>
      <c r="S3506" s="47"/>
      <c r="T3506" s="47"/>
      <c r="U3506" s="47">
        <f>U$2</f>
        <v>430</v>
      </c>
      <c r="V3506" s="47"/>
      <c r="W3506" s="47"/>
      <c r="X3506" s="47" t="s">
        <v>10129</v>
      </c>
      <c r="Y3506" s="47"/>
      <c r="Z3506" s="47">
        <f t="shared" si="752"/>
        <v>4620</v>
      </c>
      <c r="AA3506" s="47" t="s">
        <v>5178</v>
      </c>
      <c r="AB3506" s="47" t="s">
        <v>5179</v>
      </c>
      <c r="AC3506" s="47">
        <f>AC$7</f>
        <v>5200</v>
      </c>
      <c r="AD3506" s="47" t="s">
        <v>5180</v>
      </c>
      <c r="AE3506" s="47"/>
      <c r="AF3506" s="47">
        <f t="shared" si="753"/>
        <v>1485</v>
      </c>
      <c r="AG3506" s="47"/>
      <c r="AH3506" s="47" t="str">
        <f>IFERROR(_xlfn.XLOOKUP(Table6[[#This Row],[Suburb]],Table5[Travel Surcharge],Table5[$$]),"")</f>
        <v/>
      </c>
      <c r="AI3506" s="47">
        <f t="shared" si="749"/>
        <v>1650.0000000000002</v>
      </c>
      <c r="AJ3506" s="47"/>
    </row>
    <row r="3507" spans="1:36">
      <c r="A3507" s="374" t="s">
        <v>5195</v>
      </c>
      <c r="B3507" s="374">
        <v>2</v>
      </c>
      <c r="C3507" s="374" t="s">
        <v>1721</v>
      </c>
      <c r="D3507" s="375" t="str">
        <f t="shared" si="751"/>
        <v>Redstone Valleyview Estate2</v>
      </c>
      <c r="E3507" s="375" t="s">
        <v>5181</v>
      </c>
      <c r="F3507" s="375" t="s">
        <v>2605</v>
      </c>
      <c r="G3507" s="375" t="s">
        <v>541</v>
      </c>
      <c r="H3507" s="375" t="s">
        <v>5174</v>
      </c>
      <c r="I3507" s="63" t="s">
        <v>543</v>
      </c>
      <c r="J3507" s="47"/>
      <c r="K3507" s="46" t="s">
        <v>7938</v>
      </c>
      <c r="L3507" s="47"/>
      <c r="M3507" s="47">
        <f t="shared" si="746"/>
        <v>1430.0000000000002</v>
      </c>
      <c r="N3507" s="47" t="s">
        <v>5175</v>
      </c>
      <c r="O3507" s="47" t="s">
        <v>5176</v>
      </c>
      <c r="P3507" s="47" t="s">
        <v>5177</v>
      </c>
      <c r="Q3507" s="47"/>
      <c r="R3507" s="47"/>
      <c r="S3507" s="47"/>
      <c r="T3507" s="47"/>
      <c r="U3507" s="47">
        <f>U$2</f>
        <v>430</v>
      </c>
      <c r="V3507" s="47"/>
      <c r="W3507" s="47"/>
      <c r="X3507" s="47" t="s">
        <v>10129</v>
      </c>
      <c r="Y3507" s="47"/>
      <c r="Z3507" s="47">
        <f t="shared" si="752"/>
        <v>4620</v>
      </c>
      <c r="AA3507" s="47" t="s">
        <v>5178</v>
      </c>
      <c r="AB3507" s="47" t="s">
        <v>5179</v>
      </c>
      <c r="AC3507" s="47">
        <f>AC$7</f>
        <v>5200</v>
      </c>
      <c r="AD3507" s="47" t="s">
        <v>5180</v>
      </c>
      <c r="AE3507" s="47"/>
      <c r="AF3507" s="47">
        <f t="shared" si="753"/>
        <v>1485</v>
      </c>
      <c r="AG3507" s="47"/>
      <c r="AH3507" s="47" t="str">
        <f>IFERROR(_xlfn.XLOOKUP(Table6[[#This Row],[Suburb]],Table5[Travel Surcharge],Table5[$$]),"")</f>
        <v/>
      </c>
      <c r="AI3507" s="47">
        <f t="shared" si="749"/>
        <v>1650.0000000000002</v>
      </c>
      <c r="AJ3507" s="47"/>
    </row>
    <row r="3508" spans="1:36">
      <c r="A3508" s="374" t="s">
        <v>5195</v>
      </c>
      <c r="B3508" s="374">
        <v>3</v>
      </c>
      <c r="C3508" s="374" t="s">
        <v>1721</v>
      </c>
      <c r="D3508" s="375" t="str">
        <f t="shared" si="751"/>
        <v>Redstone Valleyview Estate3</v>
      </c>
      <c r="E3508" s="375" t="s">
        <v>5183</v>
      </c>
      <c r="F3508" s="375" t="s">
        <v>2605</v>
      </c>
      <c r="G3508" s="375" t="s">
        <v>541</v>
      </c>
      <c r="H3508" s="375" t="s">
        <v>5174</v>
      </c>
      <c r="I3508" s="63" t="s">
        <v>543</v>
      </c>
      <c r="J3508" s="47"/>
      <c r="K3508" s="46" t="s">
        <v>7938</v>
      </c>
      <c r="L3508" s="47"/>
      <c r="M3508" s="47">
        <f t="shared" si="746"/>
        <v>1430.0000000000002</v>
      </c>
      <c r="N3508" s="47" t="s">
        <v>5175</v>
      </c>
      <c r="O3508" s="47" t="s">
        <v>5176</v>
      </c>
      <c r="P3508" s="47" t="s">
        <v>5177</v>
      </c>
      <c r="Q3508" s="47"/>
      <c r="R3508" s="47"/>
      <c r="S3508" s="47"/>
      <c r="T3508" s="47"/>
      <c r="U3508" s="47">
        <f>U$2</f>
        <v>430</v>
      </c>
      <c r="V3508" s="47"/>
      <c r="W3508" s="47"/>
      <c r="X3508" s="47" t="s">
        <v>10129</v>
      </c>
      <c r="Y3508" s="47"/>
      <c r="Z3508" s="47">
        <f t="shared" si="752"/>
        <v>4620</v>
      </c>
      <c r="AA3508" s="47" t="s">
        <v>5178</v>
      </c>
      <c r="AB3508" s="47" t="s">
        <v>5179</v>
      </c>
      <c r="AC3508" s="47">
        <f>AC$7</f>
        <v>5200</v>
      </c>
      <c r="AD3508" s="47" t="s">
        <v>5180</v>
      </c>
      <c r="AE3508" s="47"/>
      <c r="AF3508" s="47">
        <f t="shared" si="753"/>
        <v>1485</v>
      </c>
      <c r="AG3508" s="47"/>
      <c r="AH3508" s="47" t="str">
        <f>IFERROR(_xlfn.XLOOKUP(Table6[[#This Row],[Suburb]],Table5[Travel Surcharge],Table5[$$]),"")</f>
        <v/>
      </c>
      <c r="AI3508" s="47">
        <f t="shared" si="749"/>
        <v>1650.0000000000002</v>
      </c>
      <c r="AJ3508" s="47"/>
    </row>
    <row r="3509" spans="1:36">
      <c r="A3509" s="374" t="s">
        <v>5195</v>
      </c>
      <c r="B3509" s="374">
        <v>4</v>
      </c>
      <c r="C3509" s="374" t="s">
        <v>1721</v>
      </c>
      <c r="D3509" s="375" t="str">
        <f t="shared" si="751"/>
        <v>Redstone Valleyview Estate4</v>
      </c>
      <c r="E3509" s="375" t="s">
        <v>5184</v>
      </c>
      <c r="F3509" s="375" t="s">
        <v>2605</v>
      </c>
      <c r="G3509" s="375" t="s">
        <v>541</v>
      </c>
      <c r="H3509" s="375" t="s">
        <v>5174</v>
      </c>
      <c r="I3509" s="63" t="s">
        <v>543</v>
      </c>
      <c r="J3509" s="47"/>
      <c r="K3509" s="46" t="s">
        <v>7938</v>
      </c>
      <c r="L3509" s="47"/>
      <c r="M3509" s="47">
        <f t="shared" si="746"/>
        <v>1430.0000000000002</v>
      </c>
      <c r="N3509" s="47" t="s">
        <v>5175</v>
      </c>
      <c r="O3509" s="47" t="s">
        <v>5176</v>
      </c>
      <c r="P3509" s="47" t="s">
        <v>5177</v>
      </c>
      <c r="Q3509" s="47"/>
      <c r="R3509" s="47"/>
      <c r="S3509" s="47"/>
      <c r="T3509" s="47"/>
      <c r="U3509" s="47">
        <f>U$2</f>
        <v>430</v>
      </c>
      <c r="V3509" s="47"/>
      <c r="W3509" s="47"/>
      <c r="X3509" s="47" t="s">
        <v>10129</v>
      </c>
      <c r="Y3509" s="47"/>
      <c r="Z3509" s="47">
        <f t="shared" si="752"/>
        <v>4620</v>
      </c>
      <c r="AA3509" s="47" t="s">
        <v>5178</v>
      </c>
      <c r="AB3509" s="47" t="s">
        <v>5179</v>
      </c>
      <c r="AC3509" s="47">
        <f>AC$7</f>
        <v>5200</v>
      </c>
      <c r="AD3509" s="47" t="s">
        <v>5180</v>
      </c>
      <c r="AE3509" s="47"/>
      <c r="AF3509" s="47">
        <f t="shared" si="753"/>
        <v>1485</v>
      </c>
      <c r="AG3509" s="47"/>
      <c r="AH3509" s="47" t="str">
        <f>IFERROR(_xlfn.XLOOKUP(Table6[[#This Row],[Suburb]],Table5[Travel Surcharge],Table5[$$]),"")</f>
        <v/>
      </c>
      <c r="AI3509" s="47">
        <f t="shared" si="749"/>
        <v>1650.0000000000002</v>
      </c>
      <c r="AJ3509" s="47"/>
    </row>
    <row r="3510" spans="1:36">
      <c r="A3510" s="374" t="s">
        <v>9563</v>
      </c>
      <c r="B3510" s="374">
        <v>1</v>
      </c>
      <c r="C3510" s="374" t="s">
        <v>3457</v>
      </c>
      <c r="D3510" s="375" t="str">
        <f t="shared" si="751"/>
        <v>Reeves Place1</v>
      </c>
      <c r="E3510" s="375" t="s">
        <v>9564</v>
      </c>
      <c r="F3510" s="375"/>
      <c r="G3510" s="375"/>
      <c r="H3510" s="375"/>
      <c r="I3510" s="63"/>
      <c r="J3510" s="47"/>
      <c r="K3510" s="46" t="s">
        <v>10735</v>
      </c>
      <c r="L3510" s="47"/>
      <c r="M3510" s="47"/>
      <c r="N3510" s="47"/>
      <c r="O3510" s="47"/>
      <c r="P3510" s="47"/>
      <c r="Q3510" s="47">
        <f>Q$2</f>
        <v>0</v>
      </c>
      <c r="R3510" s="47"/>
      <c r="S3510" s="47"/>
      <c r="T3510" s="47"/>
      <c r="U3510" s="47"/>
      <c r="V3510" s="47"/>
      <c r="W3510" s="47"/>
      <c r="X3510" s="47"/>
      <c r="Y3510" s="47"/>
      <c r="Z3510" s="47">
        <f t="shared" si="752"/>
        <v>4620</v>
      </c>
      <c r="AA3510" s="47"/>
      <c r="AB3510" s="47"/>
      <c r="AC3510" s="47"/>
      <c r="AD3510" s="47"/>
      <c r="AE3510" s="47"/>
      <c r="AF3510" s="47"/>
      <c r="AG3510" s="47"/>
      <c r="AH3510" s="47">
        <f>IFERROR(_xlfn.XLOOKUP(Table6[[#This Row],[Suburb]],Table5[Travel Surcharge],Table5[$$]),"")</f>
        <v>8000</v>
      </c>
      <c r="AI3510" s="47"/>
      <c r="AJ3510" s="47"/>
    </row>
    <row r="3511" spans="1:36">
      <c r="A3511" s="374" t="s">
        <v>5198</v>
      </c>
      <c r="B3511" s="374">
        <v>1</v>
      </c>
      <c r="C3511" s="374" t="s">
        <v>409</v>
      </c>
      <c r="D3511" s="375" t="str">
        <f t="shared" si="751"/>
        <v>Regency Views Estate1</v>
      </c>
      <c r="E3511" s="375" t="s">
        <v>5199</v>
      </c>
      <c r="F3511" s="375" t="s">
        <v>4015</v>
      </c>
      <c r="G3511" s="375" t="s">
        <v>5200</v>
      </c>
      <c r="H3511" s="375" t="s">
        <v>5201</v>
      </c>
      <c r="I3511" s="63" t="s">
        <v>5202</v>
      </c>
      <c r="J3511" s="47">
        <f>J$7</f>
        <v>3740</v>
      </c>
      <c r="K3511" s="46" t="s">
        <v>10735</v>
      </c>
      <c r="L3511" s="47"/>
      <c r="M3511" s="47"/>
      <c r="N3511" s="47"/>
      <c r="O3511" s="47"/>
      <c r="P3511" s="47"/>
      <c r="Q3511" s="47">
        <f>Q$2</f>
        <v>0</v>
      </c>
      <c r="R3511" s="47"/>
      <c r="S3511" s="47"/>
      <c r="T3511" s="47"/>
      <c r="U3511" s="47"/>
      <c r="V3511" s="47"/>
      <c r="W3511" s="47"/>
      <c r="X3511" s="47"/>
      <c r="Y3511" s="47"/>
      <c r="Z3511" s="47">
        <f t="shared" si="752"/>
        <v>4620</v>
      </c>
      <c r="AA3511" s="47"/>
      <c r="AB3511" s="47"/>
      <c r="AC3511" s="47"/>
      <c r="AD3511" s="47"/>
      <c r="AE3511" s="47"/>
      <c r="AF3511" s="47"/>
      <c r="AG3511" s="47"/>
      <c r="AH3511" s="47" t="str">
        <f>IFERROR(_xlfn.XLOOKUP(Table6[[#This Row],[Suburb]],Table5[Travel Surcharge],Table5[$$]),"")</f>
        <v/>
      </c>
      <c r="AI3511" s="47"/>
      <c r="AJ3511" s="47"/>
    </row>
    <row r="3512" spans="1:36">
      <c r="A3512" s="374" t="s">
        <v>5203</v>
      </c>
      <c r="B3512" s="374">
        <v>1</v>
      </c>
      <c r="C3512" s="374" t="s">
        <v>409</v>
      </c>
      <c r="D3512" s="375" t="str">
        <f t="shared" si="751"/>
        <v>Regent Views Estate1</v>
      </c>
      <c r="E3512" s="375" t="s">
        <v>5204</v>
      </c>
      <c r="F3512" s="375" t="s">
        <v>5205</v>
      </c>
      <c r="G3512" s="375" t="s">
        <v>5206</v>
      </c>
      <c r="H3512" s="375" t="s">
        <v>5207</v>
      </c>
      <c r="I3512" s="63" t="s">
        <v>5208</v>
      </c>
      <c r="J3512" s="47"/>
      <c r="K3512" s="46" t="s">
        <v>10735</v>
      </c>
      <c r="L3512" s="47"/>
      <c r="M3512" s="47">
        <f>M$7</f>
        <v>1430.0000000000002</v>
      </c>
      <c r="N3512" s="47"/>
      <c r="O3512" s="47"/>
      <c r="P3512" s="47"/>
      <c r="Q3512" s="47">
        <f>Q$2</f>
        <v>0</v>
      </c>
      <c r="R3512" s="47"/>
      <c r="S3512" s="47"/>
      <c r="T3512" s="47" t="s">
        <v>641</v>
      </c>
      <c r="U3512" s="47"/>
      <c r="V3512" s="47"/>
      <c r="W3512" s="47"/>
      <c r="X3512" s="47">
        <f>X$7</f>
        <v>3000</v>
      </c>
      <c r="Y3512" s="47"/>
      <c r="Z3512" s="47">
        <f t="shared" si="752"/>
        <v>4620</v>
      </c>
      <c r="AA3512" s="47"/>
      <c r="AB3512" s="47"/>
      <c r="AC3512" s="47"/>
      <c r="AD3512" s="47"/>
      <c r="AE3512" s="47"/>
      <c r="AF3512" s="47">
        <f>AF$7</f>
        <v>1485</v>
      </c>
      <c r="AG3512" s="47"/>
      <c r="AH3512" s="47" t="str">
        <f>IFERROR(_xlfn.XLOOKUP(Table6[[#This Row],[Suburb]],Table5[Travel Surcharge],Table5[$$]),"")</f>
        <v/>
      </c>
      <c r="AI3512" s="47"/>
      <c r="AJ3512" s="47"/>
    </row>
    <row r="3513" spans="1:36">
      <c r="A3513" s="374" t="s">
        <v>5203</v>
      </c>
      <c r="B3513" s="374">
        <v>2</v>
      </c>
      <c r="C3513" s="374" t="s">
        <v>409</v>
      </c>
      <c r="D3513" s="375" t="str">
        <f t="shared" si="751"/>
        <v>Regent Views Estate2</v>
      </c>
      <c r="E3513" s="375" t="s">
        <v>5209</v>
      </c>
      <c r="F3513" s="375" t="s">
        <v>5205</v>
      </c>
      <c r="G3513" s="375" t="s">
        <v>5206</v>
      </c>
      <c r="H3513" s="375" t="s">
        <v>5207</v>
      </c>
      <c r="I3513" s="63" t="s">
        <v>5208</v>
      </c>
      <c r="J3513" s="47"/>
      <c r="K3513" s="46" t="s">
        <v>10735</v>
      </c>
      <c r="L3513" s="47"/>
      <c r="M3513" s="47">
        <f>M$7</f>
        <v>1430.0000000000002</v>
      </c>
      <c r="N3513" s="47"/>
      <c r="O3513" s="47"/>
      <c r="P3513" s="47"/>
      <c r="Q3513" s="47">
        <f>Q$2</f>
        <v>0</v>
      </c>
      <c r="R3513" s="47"/>
      <c r="S3513" s="47"/>
      <c r="T3513" s="47" t="s">
        <v>641</v>
      </c>
      <c r="U3513" s="47"/>
      <c r="V3513" s="47"/>
      <c r="W3513" s="47"/>
      <c r="X3513" s="47">
        <f>X$7</f>
        <v>3000</v>
      </c>
      <c r="Y3513" s="47"/>
      <c r="Z3513" s="47">
        <f t="shared" si="752"/>
        <v>4620</v>
      </c>
      <c r="AA3513" s="47"/>
      <c r="AB3513" s="47"/>
      <c r="AC3513" s="47"/>
      <c r="AD3513" s="47"/>
      <c r="AE3513" s="47"/>
      <c r="AF3513" s="47">
        <f>AF$7</f>
        <v>1485</v>
      </c>
      <c r="AG3513" s="47"/>
      <c r="AH3513" s="47" t="str">
        <f>IFERROR(_xlfn.XLOOKUP(Table6[[#This Row],[Suburb]],Table5[Travel Surcharge],Table5[$$]),"")</f>
        <v/>
      </c>
      <c r="AI3513" s="47"/>
      <c r="AJ3513" s="47"/>
    </row>
    <row r="3514" spans="1:36">
      <c r="A3514" s="374" t="s">
        <v>5210</v>
      </c>
      <c r="B3514" s="374">
        <v>20</v>
      </c>
      <c r="C3514" s="374" t="s">
        <v>409</v>
      </c>
      <c r="D3514" s="375" t="str">
        <f t="shared" si="751"/>
        <v>Renaissance Rise20</v>
      </c>
      <c r="E3514" s="375" t="s">
        <v>5211</v>
      </c>
      <c r="F3514" s="375"/>
      <c r="G3514" s="375"/>
      <c r="H3514" s="375"/>
      <c r="I3514" s="63"/>
      <c r="J3514" s="47">
        <f t="shared" ref="J3514:J3532" si="754">J$7</f>
        <v>3740</v>
      </c>
      <c r="K3514" s="46" t="s">
        <v>7938</v>
      </c>
      <c r="L3514" s="47"/>
      <c r="M3514" s="47"/>
      <c r="N3514" s="47" t="s">
        <v>5212</v>
      </c>
      <c r="O3514" s="47"/>
      <c r="P3514" s="47"/>
      <c r="Q3514" s="47"/>
      <c r="R3514" s="47"/>
      <c r="S3514" s="47"/>
      <c r="T3514" s="47">
        <f>T$2</f>
        <v>780</v>
      </c>
      <c r="U3514" s="47"/>
      <c r="V3514" s="47"/>
      <c r="W3514" s="47"/>
      <c r="X3514" s="47"/>
      <c r="Y3514" s="47"/>
      <c r="Z3514" s="47">
        <f t="shared" si="752"/>
        <v>4620</v>
      </c>
      <c r="AA3514" s="47"/>
      <c r="AB3514" s="47"/>
      <c r="AC3514" s="47"/>
      <c r="AD3514" s="47"/>
      <c r="AE3514" s="47"/>
      <c r="AF3514" s="47"/>
      <c r="AG3514" s="47"/>
      <c r="AH3514" s="47" t="str">
        <f>IFERROR(_xlfn.XLOOKUP(Table6[[#This Row],[Suburb]],Table5[Travel Surcharge],Table5[$$]),"")</f>
        <v/>
      </c>
      <c r="AI3514" s="47"/>
      <c r="AJ3514" s="47"/>
    </row>
    <row r="3515" spans="1:36">
      <c r="A3515" s="374" t="s">
        <v>5210</v>
      </c>
      <c r="B3515" s="374">
        <v>22</v>
      </c>
      <c r="C3515" s="374" t="s">
        <v>409</v>
      </c>
      <c r="D3515" s="375" t="str">
        <f t="shared" si="751"/>
        <v>Renaissance Rise22</v>
      </c>
      <c r="E3515" s="375" t="s">
        <v>5213</v>
      </c>
      <c r="F3515" s="375"/>
      <c r="G3515" s="375"/>
      <c r="H3515" s="375"/>
      <c r="I3515" s="63"/>
      <c r="J3515" s="47">
        <f t="shared" si="754"/>
        <v>3740</v>
      </c>
      <c r="K3515" s="46" t="s">
        <v>7938</v>
      </c>
      <c r="L3515" s="47"/>
      <c r="M3515" s="47"/>
      <c r="N3515" s="47" t="s">
        <v>5212</v>
      </c>
      <c r="O3515" s="47"/>
      <c r="P3515" s="47"/>
      <c r="Q3515" s="47"/>
      <c r="R3515" s="47"/>
      <c r="S3515" s="47"/>
      <c r="T3515" s="47">
        <f>T$2</f>
        <v>780</v>
      </c>
      <c r="U3515" s="47"/>
      <c r="V3515" s="47"/>
      <c r="W3515" s="47"/>
      <c r="X3515" s="47"/>
      <c r="Y3515" s="47"/>
      <c r="Z3515" s="47">
        <f t="shared" si="752"/>
        <v>4620</v>
      </c>
      <c r="AA3515" s="47"/>
      <c r="AB3515" s="47"/>
      <c r="AC3515" s="47"/>
      <c r="AD3515" s="47"/>
      <c r="AE3515" s="47"/>
      <c r="AF3515" s="47"/>
      <c r="AG3515" s="47"/>
      <c r="AH3515" s="47" t="str">
        <f>IFERROR(_xlfn.XLOOKUP(Table6[[#This Row],[Suburb]],Table5[Travel Surcharge],Table5[$$]),"")</f>
        <v/>
      </c>
      <c r="AI3515" s="47"/>
      <c r="AJ3515" s="47"/>
    </row>
    <row r="3516" spans="1:36">
      <c r="A3516" s="374" t="s">
        <v>5210</v>
      </c>
      <c r="B3516" s="374">
        <v>23</v>
      </c>
      <c r="C3516" s="374" t="s">
        <v>409</v>
      </c>
      <c r="D3516" s="375" t="str">
        <f t="shared" si="751"/>
        <v>Renaissance Rise23</v>
      </c>
      <c r="E3516" s="375" t="s">
        <v>5214</v>
      </c>
      <c r="F3516" s="375"/>
      <c r="G3516" s="375"/>
      <c r="H3516" s="375"/>
      <c r="I3516" s="63"/>
      <c r="J3516" s="47">
        <f t="shared" si="754"/>
        <v>3740</v>
      </c>
      <c r="K3516" s="46" t="s">
        <v>7938</v>
      </c>
      <c r="L3516" s="47"/>
      <c r="M3516" s="47"/>
      <c r="N3516" s="47" t="s">
        <v>5212</v>
      </c>
      <c r="O3516" s="47"/>
      <c r="P3516" s="47"/>
      <c r="Q3516" s="47"/>
      <c r="R3516" s="47"/>
      <c r="S3516" s="47"/>
      <c r="T3516" s="47">
        <f>T$2</f>
        <v>780</v>
      </c>
      <c r="U3516" s="47"/>
      <c r="V3516" s="47"/>
      <c r="W3516" s="47"/>
      <c r="X3516" s="47"/>
      <c r="Y3516" s="47"/>
      <c r="Z3516" s="47">
        <f t="shared" si="752"/>
        <v>4620</v>
      </c>
      <c r="AA3516" s="47"/>
      <c r="AB3516" s="47"/>
      <c r="AC3516" s="47"/>
      <c r="AD3516" s="47"/>
      <c r="AE3516" s="47"/>
      <c r="AF3516" s="47"/>
      <c r="AG3516" s="47"/>
      <c r="AH3516" s="47" t="str">
        <f>IFERROR(_xlfn.XLOOKUP(Table6[[#This Row],[Suburb]],Table5[Travel Surcharge],Table5[$$]),"")</f>
        <v/>
      </c>
      <c r="AI3516" s="47"/>
      <c r="AJ3516" s="47"/>
    </row>
    <row r="3517" spans="1:36">
      <c r="A3517" s="374" t="s">
        <v>5215</v>
      </c>
      <c r="B3517" s="374">
        <v>2</v>
      </c>
      <c r="C3517" s="374" t="s">
        <v>5216</v>
      </c>
      <c r="D3517" s="375" t="str">
        <f t="shared" si="751"/>
        <v>Ridgelea2</v>
      </c>
      <c r="E3517" s="375" t="s">
        <v>5217</v>
      </c>
      <c r="F3517" s="375"/>
      <c r="G3517" s="375" t="s">
        <v>5218</v>
      </c>
      <c r="H3517" s="375"/>
      <c r="I3517" s="63" t="s">
        <v>5219</v>
      </c>
      <c r="J3517" s="47">
        <f t="shared" si="754"/>
        <v>3740</v>
      </c>
      <c r="K3517" s="46" t="s">
        <v>10735</v>
      </c>
      <c r="L3517" s="47" t="s">
        <v>5220</v>
      </c>
      <c r="M3517" s="47">
        <f>M$7</f>
        <v>1430.0000000000002</v>
      </c>
      <c r="N3517" s="47" t="s">
        <v>5221</v>
      </c>
      <c r="O3517" s="47" t="s">
        <v>5222</v>
      </c>
      <c r="P3517" s="47" t="s">
        <v>3841</v>
      </c>
      <c r="Q3517" s="47"/>
      <c r="R3517" s="47"/>
      <c r="S3517" s="47" t="s">
        <v>463</v>
      </c>
      <c r="T3517" s="47"/>
      <c r="U3517" s="47"/>
      <c r="V3517" s="47"/>
      <c r="W3517" s="47"/>
      <c r="X3517" s="47"/>
      <c r="Y3517" s="47"/>
      <c r="Z3517" s="47">
        <f t="shared" si="752"/>
        <v>4620</v>
      </c>
      <c r="AA3517" s="47">
        <f>AA$7</f>
        <v>1400</v>
      </c>
      <c r="AB3517" s="47">
        <f t="shared" ref="AB3517:AB3522" si="755">AB$7</f>
        <v>2800</v>
      </c>
      <c r="AC3517" s="47"/>
      <c r="AD3517" s="47"/>
      <c r="AE3517" s="47"/>
      <c r="AF3517" s="47">
        <f>AF$7</f>
        <v>1485</v>
      </c>
      <c r="AG3517" s="47"/>
      <c r="AH3517" s="47" t="str">
        <f>IFERROR(_xlfn.XLOOKUP(Table6[[#This Row],[Suburb]],Table5[Travel Surcharge],Table5[$$]),"")</f>
        <v/>
      </c>
      <c r="AI3517" s="47">
        <f>AI$7</f>
        <v>1650.0000000000002</v>
      </c>
      <c r="AJ3517" s="47"/>
    </row>
    <row r="3518" spans="1:36">
      <c r="A3518" s="157" t="s">
        <v>5215</v>
      </c>
      <c r="B3518" s="157">
        <v>4</v>
      </c>
      <c r="C3518" s="157" t="s">
        <v>5216</v>
      </c>
      <c r="D3518" s="157" t="str">
        <f t="shared" si="751"/>
        <v>Ridgelea4</v>
      </c>
      <c r="E3518" s="157" t="s">
        <v>7744</v>
      </c>
      <c r="F3518" s="157"/>
      <c r="G3518" s="157" t="s">
        <v>5218</v>
      </c>
      <c r="H3518" s="157"/>
      <c r="I3518" s="158" t="s">
        <v>5219</v>
      </c>
      <c r="J3518" s="47">
        <f t="shared" si="754"/>
        <v>3740</v>
      </c>
      <c r="K3518" s="46" t="s">
        <v>10735</v>
      </c>
      <c r="L3518" s="47" t="s">
        <v>5220</v>
      </c>
      <c r="M3518" s="47">
        <f>M$7</f>
        <v>1430.0000000000002</v>
      </c>
      <c r="N3518" s="47" t="s">
        <v>5221</v>
      </c>
      <c r="O3518" s="47" t="s">
        <v>5222</v>
      </c>
      <c r="P3518" s="47" t="s">
        <v>3841</v>
      </c>
      <c r="Q3518" s="47"/>
      <c r="R3518" s="47"/>
      <c r="S3518" s="47" t="s">
        <v>463</v>
      </c>
      <c r="T3518" s="47"/>
      <c r="U3518" s="47"/>
      <c r="V3518" s="47"/>
      <c r="W3518" s="47"/>
      <c r="X3518" s="47"/>
      <c r="Y3518" s="47"/>
      <c r="Z3518" s="47">
        <f t="shared" si="752"/>
        <v>4620</v>
      </c>
      <c r="AA3518" s="47">
        <f>AA$7</f>
        <v>1400</v>
      </c>
      <c r="AB3518" s="47">
        <f t="shared" si="755"/>
        <v>2800</v>
      </c>
      <c r="AC3518" s="47"/>
      <c r="AD3518" s="47"/>
      <c r="AE3518" s="47"/>
      <c r="AF3518" s="47">
        <f>AF$7</f>
        <v>1485</v>
      </c>
      <c r="AG3518" s="47"/>
      <c r="AH3518" s="47" t="str">
        <f>IFERROR(_xlfn.XLOOKUP(Table6[[#This Row],[Suburb]],Table5[Travel Surcharge],Table5[$$]),"")</f>
        <v/>
      </c>
      <c r="AI3518" s="47">
        <f>AI$7</f>
        <v>1650.0000000000002</v>
      </c>
      <c r="AJ3518" s="47"/>
    </row>
    <row r="3519" spans="1:36">
      <c r="A3519" s="157" t="s">
        <v>5215</v>
      </c>
      <c r="B3519" s="157">
        <v>5</v>
      </c>
      <c r="C3519" s="157" t="s">
        <v>8292</v>
      </c>
      <c r="D3519" s="157" t="str">
        <f t="shared" si="751"/>
        <v>Ridgelea5</v>
      </c>
      <c r="E3519" s="157" t="s">
        <v>8459</v>
      </c>
      <c r="F3519" s="157"/>
      <c r="G3519" s="157" t="s">
        <v>5218</v>
      </c>
      <c r="H3519" s="157"/>
      <c r="I3519" s="158" t="s">
        <v>5219</v>
      </c>
      <c r="J3519" s="47">
        <f t="shared" si="754"/>
        <v>3740</v>
      </c>
      <c r="K3519" s="46" t="s">
        <v>10735</v>
      </c>
      <c r="L3519" s="47" t="s">
        <v>8293</v>
      </c>
      <c r="M3519" s="47">
        <f>M$7</f>
        <v>1430.0000000000002</v>
      </c>
      <c r="N3519" s="47" t="s">
        <v>5221</v>
      </c>
      <c r="O3519" s="47" t="s">
        <v>5222</v>
      </c>
      <c r="P3519" s="47" t="s">
        <v>8294</v>
      </c>
      <c r="Q3519" s="47"/>
      <c r="R3519" s="47"/>
      <c r="S3519" s="47" t="s">
        <v>463</v>
      </c>
      <c r="T3519" s="47"/>
      <c r="U3519" s="47"/>
      <c r="V3519" s="47"/>
      <c r="W3519" s="47"/>
      <c r="X3519" s="47"/>
      <c r="Y3519" s="47"/>
      <c r="Z3519" s="47">
        <f t="shared" si="752"/>
        <v>4620</v>
      </c>
      <c r="AA3519" s="47">
        <f>AA$7</f>
        <v>1400</v>
      </c>
      <c r="AB3519" s="47">
        <f t="shared" si="755"/>
        <v>2800</v>
      </c>
      <c r="AC3519" s="47"/>
      <c r="AD3519" s="47"/>
      <c r="AE3519" s="47"/>
      <c r="AF3519" s="47">
        <f>AF$7</f>
        <v>1485</v>
      </c>
      <c r="AG3519" s="47"/>
      <c r="AH3519" s="47" t="str">
        <f>IFERROR(_xlfn.XLOOKUP(Table6[[#This Row],[Suburb]],Table5[Travel Surcharge],Table5[$$]),"")</f>
        <v/>
      </c>
      <c r="AI3519" s="47">
        <f>AI$7</f>
        <v>1650.0000000000002</v>
      </c>
      <c r="AJ3519" s="47"/>
    </row>
    <row r="3520" spans="1:36">
      <c r="A3520" s="157" t="s">
        <v>5215</v>
      </c>
      <c r="B3520" s="157">
        <v>6</v>
      </c>
      <c r="C3520" s="157" t="s">
        <v>8292</v>
      </c>
      <c r="D3520" s="157" t="str">
        <f t="shared" si="751"/>
        <v>Ridgelea6</v>
      </c>
      <c r="E3520" s="157" t="s">
        <v>8295</v>
      </c>
      <c r="F3520" s="157"/>
      <c r="G3520" s="157" t="s">
        <v>5218</v>
      </c>
      <c r="H3520" s="157"/>
      <c r="I3520" s="158" t="s">
        <v>5219</v>
      </c>
      <c r="J3520" s="47">
        <f t="shared" si="754"/>
        <v>3740</v>
      </c>
      <c r="K3520" s="46" t="s">
        <v>10735</v>
      </c>
      <c r="L3520" s="47" t="s">
        <v>8293</v>
      </c>
      <c r="M3520" s="47">
        <f>M$7</f>
        <v>1430.0000000000002</v>
      </c>
      <c r="N3520" s="47" t="s">
        <v>5221</v>
      </c>
      <c r="O3520" s="47" t="s">
        <v>5222</v>
      </c>
      <c r="P3520" s="47" t="s">
        <v>8294</v>
      </c>
      <c r="Q3520" s="47"/>
      <c r="R3520" s="47"/>
      <c r="S3520" s="47" t="s">
        <v>463</v>
      </c>
      <c r="T3520" s="47"/>
      <c r="U3520" s="47"/>
      <c r="V3520" s="47"/>
      <c r="W3520" s="47"/>
      <c r="X3520" s="47"/>
      <c r="Y3520" s="47"/>
      <c r="Z3520" s="47">
        <f t="shared" si="752"/>
        <v>4620</v>
      </c>
      <c r="AA3520" s="47">
        <f>AA$7</f>
        <v>1400</v>
      </c>
      <c r="AB3520" s="47">
        <f t="shared" si="755"/>
        <v>2800</v>
      </c>
      <c r="AC3520" s="47"/>
      <c r="AD3520" s="47"/>
      <c r="AE3520" s="47"/>
      <c r="AF3520" s="47">
        <f>AF$7</f>
        <v>1485</v>
      </c>
      <c r="AG3520" s="47"/>
      <c r="AH3520" s="47" t="str">
        <f>IFERROR(_xlfn.XLOOKUP(Table6[[#This Row],[Suburb]],Table5[Travel Surcharge],Table5[$$]),"")</f>
        <v/>
      </c>
      <c r="AI3520" s="47">
        <f>AI$7</f>
        <v>1650.0000000000002</v>
      </c>
      <c r="AJ3520" s="47"/>
    </row>
    <row r="3521" spans="1:36">
      <c r="A3521" s="374" t="s">
        <v>5215</v>
      </c>
      <c r="B3521" s="374">
        <v>7</v>
      </c>
      <c r="C3521" s="374" t="s">
        <v>8292</v>
      </c>
      <c r="D3521" s="375" t="str">
        <f t="shared" si="751"/>
        <v>Ridgelea7</v>
      </c>
      <c r="E3521" s="375" t="s">
        <v>10000</v>
      </c>
      <c r="F3521" s="375"/>
      <c r="G3521" s="375" t="s">
        <v>5218</v>
      </c>
      <c r="H3521" s="375"/>
      <c r="I3521" s="63" t="s">
        <v>5219</v>
      </c>
      <c r="J3521" s="47">
        <v>3740</v>
      </c>
      <c r="K3521" s="46" t="s">
        <v>10735</v>
      </c>
      <c r="L3521" s="47" t="s">
        <v>8293</v>
      </c>
      <c r="M3521" s="47">
        <v>1430.0000000000002</v>
      </c>
      <c r="N3521" s="47" t="s">
        <v>5221</v>
      </c>
      <c r="O3521" s="47" t="s">
        <v>5222</v>
      </c>
      <c r="P3521" s="47" t="s">
        <v>8294</v>
      </c>
      <c r="Q3521" s="47"/>
      <c r="R3521" s="47"/>
      <c r="S3521" s="47" t="s">
        <v>463</v>
      </c>
      <c r="T3521" s="47"/>
      <c r="U3521" s="47"/>
      <c r="V3521" s="47"/>
      <c r="W3521" s="47"/>
      <c r="X3521" s="47"/>
      <c r="Y3521" s="47"/>
      <c r="Z3521" s="47">
        <v>4620</v>
      </c>
      <c r="AA3521" s="47">
        <v>1400</v>
      </c>
      <c r="AB3521" s="47">
        <v>2800</v>
      </c>
      <c r="AC3521" s="47"/>
      <c r="AD3521" s="47"/>
      <c r="AE3521" s="47"/>
      <c r="AF3521" s="47">
        <v>1485</v>
      </c>
      <c r="AG3521" s="47"/>
      <c r="AH3521" s="47" t="s">
        <v>9976</v>
      </c>
      <c r="AI3521" s="47">
        <v>1650.0000000000002</v>
      </c>
      <c r="AJ3521" s="47"/>
    </row>
    <row r="3522" spans="1:36">
      <c r="A3522" s="374" t="s">
        <v>5215</v>
      </c>
      <c r="B3522" s="374">
        <v>10</v>
      </c>
      <c r="C3522" s="157" t="s">
        <v>8292</v>
      </c>
      <c r="D3522" s="157" t="str">
        <f t="shared" ref="D3522:D3523" si="756">CONCATENATE(A3522,B3522)</f>
        <v>Ridgelea10</v>
      </c>
      <c r="E3522" s="375" t="s">
        <v>10000</v>
      </c>
      <c r="F3522" s="375"/>
      <c r="G3522" s="375" t="s">
        <v>5218</v>
      </c>
      <c r="H3522" s="375"/>
      <c r="I3522" s="63" t="s">
        <v>5219</v>
      </c>
      <c r="J3522" s="47">
        <v>3740</v>
      </c>
      <c r="K3522" s="46" t="s">
        <v>10735</v>
      </c>
      <c r="L3522" s="47" t="s">
        <v>8293</v>
      </c>
      <c r="M3522" s="47">
        <v>1430.0000000000002</v>
      </c>
      <c r="N3522" s="47" t="s">
        <v>5221</v>
      </c>
      <c r="O3522" s="47" t="s">
        <v>5222</v>
      </c>
      <c r="P3522" s="47" t="s">
        <v>8294</v>
      </c>
      <c r="Q3522" s="47"/>
      <c r="R3522" s="47"/>
      <c r="S3522" s="47" t="s">
        <v>463</v>
      </c>
      <c r="T3522" s="47"/>
      <c r="U3522" s="47"/>
      <c r="V3522" s="47"/>
      <c r="W3522" s="47"/>
      <c r="X3522" s="47"/>
      <c r="Y3522" s="47"/>
      <c r="Z3522" s="47">
        <v>4620</v>
      </c>
      <c r="AA3522" s="47">
        <v>1400</v>
      </c>
      <c r="AB3522" s="47">
        <f t="shared" si="755"/>
        <v>2800</v>
      </c>
      <c r="AC3522" s="47"/>
      <c r="AD3522" s="47"/>
      <c r="AE3522" s="47"/>
      <c r="AF3522" s="47">
        <v>1485</v>
      </c>
      <c r="AG3522" s="47"/>
      <c r="AH3522" s="47" t="s">
        <v>9976</v>
      </c>
      <c r="AI3522" s="47">
        <v>1650.0000000000002</v>
      </c>
      <c r="AJ3522" s="47"/>
    </row>
    <row r="3523" spans="1:36">
      <c r="A3523" s="374" t="s">
        <v>5215</v>
      </c>
      <c r="B3523" s="374">
        <v>12</v>
      </c>
      <c r="C3523" s="374" t="s">
        <v>8292</v>
      </c>
      <c r="D3523" s="375" t="str">
        <f t="shared" si="756"/>
        <v>Ridgelea12</v>
      </c>
      <c r="E3523" s="375" t="s">
        <v>10477</v>
      </c>
      <c r="F3523" s="375"/>
      <c r="G3523" s="375" t="s">
        <v>5218</v>
      </c>
      <c r="H3523" s="375"/>
      <c r="I3523" s="63" t="s">
        <v>5219</v>
      </c>
      <c r="J3523" s="47">
        <v>3740</v>
      </c>
      <c r="K3523" s="46" t="s">
        <v>10735</v>
      </c>
      <c r="L3523" s="47" t="s">
        <v>8293</v>
      </c>
      <c r="M3523" s="47">
        <v>1430.0000000000002</v>
      </c>
      <c r="N3523" s="47" t="s">
        <v>5221</v>
      </c>
      <c r="O3523" s="47" t="s">
        <v>5222</v>
      </c>
      <c r="P3523" s="47" t="s">
        <v>8294</v>
      </c>
      <c r="Q3523" s="47"/>
      <c r="R3523" s="47"/>
      <c r="S3523" s="47" t="s">
        <v>463</v>
      </c>
      <c r="T3523" s="47"/>
      <c r="U3523" s="47"/>
      <c r="V3523" s="47"/>
      <c r="W3523" s="47"/>
      <c r="X3523" s="47"/>
      <c r="Y3523" s="47"/>
      <c r="Z3523" s="47">
        <v>4620</v>
      </c>
      <c r="AA3523" s="47">
        <v>1400</v>
      </c>
      <c r="AB3523" s="47">
        <f>AB$7</f>
        <v>2800</v>
      </c>
      <c r="AC3523" s="47"/>
      <c r="AD3523" s="47"/>
      <c r="AE3523" s="47"/>
      <c r="AF3523" s="47">
        <v>1485</v>
      </c>
      <c r="AG3523" s="47"/>
      <c r="AH3523" s="47" t="s">
        <v>9976</v>
      </c>
      <c r="AI3523" s="47">
        <v>1650.0000000000002</v>
      </c>
      <c r="AJ3523" s="47"/>
    </row>
    <row r="3524" spans="1:36">
      <c r="A3524" s="374" t="s">
        <v>5223</v>
      </c>
      <c r="B3524" s="374">
        <v>1</v>
      </c>
      <c r="C3524" s="374" t="s">
        <v>409</v>
      </c>
      <c r="D3524" s="375" t="str">
        <f t="shared" ref="D3524:D3555" si="757">CONCATENATE(A3524,B3524)</f>
        <v>Rivendell Heights  Estate1</v>
      </c>
      <c r="E3524" s="375" t="s">
        <v>4283</v>
      </c>
      <c r="F3524" s="375" t="s">
        <v>5224</v>
      </c>
      <c r="G3524" s="375" t="s">
        <v>5225</v>
      </c>
      <c r="H3524" s="375" t="s">
        <v>2024</v>
      </c>
      <c r="I3524" s="63" t="s">
        <v>2025</v>
      </c>
      <c r="J3524" s="47">
        <f t="shared" si="754"/>
        <v>3740</v>
      </c>
      <c r="K3524" s="46" t="s">
        <v>10735</v>
      </c>
      <c r="L3524" s="47"/>
      <c r="M3524" s="47"/>
      <c r="N3524" s="47"/>
      <c r="O3524" s="47"/>
      <c r="P3524" s="47"/>
      <c r="Q3524" s="47">
        <f t="shared" ref="Q3524:Q3532" si="758">Q$2</f>
        <v>0</v>
      </c>
      <c r="R3524" s="47"/>
      <c r="S3524" s="47"/>
      <c r="T3524" s="47"/>
      <c r="U3524" s="47"/>
      <c r="V3524" s="47"/>
      <c r="W3524" s="47"/>
      <c r="X3524" s="47"/>
      <c r="Y3524" s="47"/>
      <c r="Z3524" s="47">
        <f t="shared" ref="Z3524:Z3555" si="759">Z$7</f>
        <v>4620</v>
      </c>
      <c r="AA3524" s="47"/>
      <c r="AB3524" s="47"/>
      <c r="AC3524" s="47"/>
      <c r="AD3524" s="47"/>
      <c r="AE3524" s="47"/>
      <c r="AF3524" s="47"/>
      <c r="AG3524" s="47"/>
      <c r="AH3524" s="47" t="str">
        <f>IFERROR(_xlfn.XLOOKUP(Table6[[#This Row],[Suburb]],Table5[Travel Surcharge],Table5[$$]),"")</f>
        <v/>
      </c>
      <c r="AI3524" s="47"/>
      <c r="AJ3524" s="47"/>
    </row>
    <row r="3525" spans="1:36">
      <c r="A3525" s="374" t="s">
        <v>5223</v>
      </c>
      <c r="B3525" s="374">
        <v>2</v>
      </c>
      <c r="C3525" s="374" t="s">
        <v>409</v>
      </c>
      <c r="D3525" s="375" t="str">
        <f t="shared" si="757"/>
        <v>Rivendell Heights  Estate2</v>
      </c>
      <c r="E3525" s="375" t="s">
        <v>5226</v>
      </c>
      <c r="F3525" s="375" t="s">
        <v>5224</v>
      </c>
      <c r="G3525" s="375" t="s">
        <v>5225</v>
      </c>
      <c r="H3525" s="375" t="s">
        <v>2024</v>
      </c>
      <c r="I3525" s="63" t="s">
        <v>2025</v>
      </c>
      <c r="J3525" s="47">
        <f t="shared" si="754"/>
        <v>3740</v>
      </c>
      <c r="K3525" s="46" t="s">
        <v>10735</v>
      </c>
      <c r="L3525" s="47"/>
      <c r="M3525" s="47"/>
      <c r="N3525" s="47"/>
      <c r="O3525" s="47"/>
      <c r="P3525" s="47"/>
      <c r="Q3525" s="47">
        <f t="shared" si="758"/>
        <v>0</v>
      </c>
      <c r="R3525" s="47"/>
      <c r="S3525" s="47"/>
      <c r="T3525" s="47"/>
      <c r="U3525" s="47"/>
      <c r="V3525" s="47"/>
      <c r="W3525" s="47"/>
      <c r="X3525" s="47"/>
      <c r="Y3525" s="47"/>
      <c r="Z3525" s="47">
        <f t="shared" si="759"/>
        <v>4620</v>
      </c>
      <c r="AA3525" s="47"/>
      <c r="AB3525" s="47"/>
      <c r="AC3525" s="47"/>
      <c r="AD3525" s="47"/>
      <c r="AE3525" s="47"/>
      <c r="AF3525" s="47"/>
      <c r="AG3525" s="47"/>
      <c r="AH3525" s="47" t="str">
        <f>IFERROR(_xlfn.XLOOKUP(Table6[[#This Row],[Suburb]],Table5[Travel Surcharge],Table5[$$]),"")</f>
        <v/>
      </c>
      <c r="AI3525" s="47"/>
      <c r="AJ3525" s="47"/>
    </row>
    <row r="3526" spans="1:36">
      <c r="A3526" s="374" t="s">
        <v>5223</v>
      </c>
      <c r="B3526" s="374">
        <v>3</v>
      </c>
      <c r="C3526" s="374" t="s">
        <v>409</v>
      </c>
      <c r="D3526" s="375" t="str">
        <f t="shared" si="757"/>
        <v>Rivendell Heights  Estate3</v>
      </c>
      <c r="E3526" s="375" t="s">
        <v>5227</v>
      </c>
      <c r="F3526" s="375" t="s">
        <v>5224</v>
      </c>
      <c r="G3526" s="375" t="s">
        <v>5225</v>
      </c>
      <c r="H3526" s="375" t="s">
        <v>2024</v>
      </c>
      <c r="I3526" s="63" t="s">
        <v>2025</v>
      </c>
      <c r="J3526" s="47">
        <f t="shared" si="754"/>
        <v>3740</v>
      </c>
      <c r="K3526" s="46" t="s">
        <v>10735</v>
      </c>
      <c r="L3526" s="47"/>
      <c r="M3526" s="47"/>
      <c r="N3526" s="47"/>
      <c r="O3526" s="47"/>
      <c r="P3526" s="47"/>
      <c r="Q3526" s="47">
        <f t="shared" si="758"/>
        <v>0</v>
      </c>
      <c r="R3526" s="47"/>
      <c r="S3526" s="47"/>
      <c r="T3526" s="47"/>
      <c r="U3526" s="47"/>
      <c r="V3526" s="47"/>
      <c r="W3526" s="47"/>
      <c r="X3526" s="47"/>
      <c r="Y3526" s="47"/>
      <c r="Z3526" s="47">
        <f t="shared" si="759"/>
        <v>4620</v>
      </c>
      <c r="AA3526" s="47"/>
      <c r="AB3526" s="47"/>
      <c r="AC3526" s="47"/>
      <c r="AD3526" s="47"/>
      <c r="AE3526" s="47"/>
      <c r="AF3526" s="47"/>
      <c r="AG3526" s="47"/>
      <c r="AH3526" s="47" t="str">
        <f>IFERROR(_xlfn.XLOOKUP(Table6[[#This Row],[Suburb]],Table5[Travel Surcharge],Table5[$$]),"")</f>
        <v/>
      </c>
      <c r="AI3526" s="47"/>
      <c r="AJ3526" s="47"/>
    </row>
    <row r="3527" spans="1:36">
      <c r="A3527" s="374" t="s">
        <v>5223</v>
      </c>
      <c r="B3527" s="374">
        <v>4</v>
      </c>
      <c r="C3527" s="374" t="s">
        <v>409</v>
      </c>
      <c r="D3527" s="375" t="str">
        <f t="shared" si="757"/>
        <v>Rivendell Heights  Estate4</v>
      </c>
      <c r="E3527" s="375" t="s">
        <v>5228</v>
      </c>
      <c r="F3527" s="375" t="s">
        <v>5224</v>
      </c>
      <c r="G3527" s="375" t="s">
        <v>5225</v>
      </c>
      <c r="H3527" s="375" t="s">
        <v>2024</v>
      </c>
      <c r="I3527" s="63" t="s">
        <v>2025</v>
      </c>
      <c r="J3527" s="47">
        <f t="shared" si="754"/>
        <v>3740</v>
      </c>
      <c r="K3527" s="46" t="s">
        <v>10735</v>
      </c>
      <c r="L3527" s="47"/>
      <c r="M3527" s="47"/>
      <c r="N3527" s="47"/>
      <c r="O3527" s="47"/>
      <c r="P3527" s="47"/>
      <c r="Q3527" s="47">
        <f t="shared" si="758"/>
        <v>0</v>
      </c>
      <c r="R3527" s="47"/>
      <c r="S3527" s="47"/>
      <c r="T3527" s="47"/>
      <c r="U3527" s="47"/>
      <c r="V3527" s="47"/>
      <c r="W3527" s="47"/>
      <c r="X3527" s="47"/>
      <c r="Y3527" s="47"/>
      <c r="Z3527" s="47">
        <f t="shared" si="759"/>
        <v>4620</v>
      </c>
      <c r="AA3527" s="47"/>
      <c r="AB3527" s="47"/>
      <c r="AC3527" s="47"/>
      <c r="AD3527" s="47"/>
      <c r="AE3527" s="47"/>
      <c r="AF3527" s="47"/>
      <c r="AG3527" s="47"/>
      <c r="AH3527" s="47" t="str">
        <f>IFERROR(_xlfn.XLOOKUP(Table6[[#This Row],[Suburb]],Table5[Travel Surcharge],Table5[$$]),"")</f>
        <v/>
      </c>
      <c r="AI3527" s="47"/>
      <c r="AJ3527" s="47"/>
    </row>
    <row r="3528" spans="1:36">
      <c r="A3528" s="374" t="s">
        <v>5223</v>
      </c>
      <c r="B3528" s="374">
        <v>5</v>
      </c>
      <c r="C3528" s="374" t="s">
        <v>409</v>
      </c>
      <c r="D3528" s="375" t="str">
        <f t="shared" si="757"/>
        <v>Rivendell Heights  Estate5</v>
      </c>
      <c r="E3528" s="375" t="s">
        <v>5229</v>
      </c>
      <c r="F3528" s="375" t="s">
        <v>5224</v>
      </c>
      <c r="G3528" s="375" t="s">
        <v>5225</v>
      </c>
      <c r="H3528" s="375" t="s">
        <v>2024</v>
      </c>
      <c r="I3528" s="63" t="s">
        <v>2025</v>
      </c>
      <c r="J3528" s="47">
        <f t="shared" si="754"/>
        <v>3740</v>
      </c>
      <c r="K3528" s="46" t="s">
        <v>10735</v>
      </c>
      <c r="L3528" s="47"/>
      <c r="M3528" s="47"/>
      <c r="N3528" s="47"/>
      <c r="O3528" s="47"/>
      <c r="P3528" s="47"/>
      <c r="Q3528" s="47">
        <f t="shared" si="758"/>
        <v>0</v>
      </c>
      <c r="R3528" s="47"/>
      <c r="S3528" s="47"/>
      <c r="T3528" s="47"/>
      <c r="U3528" s="47"/>
      <c r="V3528" s="47"/>
      <c r="W3528" s="47"/>
      <c r="X3528" s="47"/>
      <c r="Y3528" s="47"/>
      <c r="Z3528" s="47">
        <f t="shared" si="759"/>
        <v>4620</v>
      </c>
      <c r="AA3528" s="47"/>
      <c r="AB3528" s="47"/>
      <c r="AC3528" s="47"/>
      <c r="AD3528" s="47"/>
      <c r="AE3528" s="47"/>
      <c r="AF3528" s="47"/>
      <c r="AG3528" s="47"/>
      <c r="AH3528" s="47" t="str">
        <f>IFERROR(_xlfn.XLOOKUP(Table6[[#This Row],[Suburb]],Table5[Travel Surcharge],Table5[$$]),"")</f>
        <v/>
      </c>
      <c r="AI3528" s="47"/>
      <c r="AJ3528" s="47"/>
    </row>
    <row r="3529" spans="1:36">
      <c r="A3529" s="374" t="s">
        <v>5223</v>
      </c>
      <c r="B3529" s="374">
        <v>6</v>
      </c>
      <c r="C3529" s="374" t="s">
        <v>409</v>
      </c>
      <c r="D3529" s="375" t="str">
        <f t="shared" si="757"/>
        <v>Rivendell Heights  Estate6</v>
      </c>
      <c r="E3529" s="375" t="s">
        <v>4283</v>
      </c>
      <c r="F3529" s="375" t="s">
        <v>5224</v>
      </c>
      <c r="G3529" s="375" t="s">
        <v>5225</v>
      </c>
      <c r="H3529" s="375" t="s">
        <v>2024</v>
      </c>
      <c r="I3529" s="63" t="s">
        <v>2025</v>
      </c>
      <c r="J3529" s="47">
        <f t="shared" si="754"/>
        <v>3740</v>
      </c>
      <c r="K3529" s="46" t="s">
        <v>10735</v>
      </c>
      <c r="L3529" s="47"/>
      <c r="M3529" s="47"/>
      <c r="N3529" s="47"/>
      <c r="O3529" s="47"/>
      <c r="P3529" s="47"/>
      <c r="Q3529" s="47">
        <f t="shared" si="758"/>
        <v>0</v>
      </c>
      <c r="R3529" s="47"/>
      <c r="S3529" s="47"/>
      <c r="T3529" s="47"/>
      <c r="U3529" s="47"/>
      <c r="V3529" s="47"/>
      <c r="W3529" s="47"/>
      <c r="X3529" s="47"/>
      <c r="Y3529" s="47"/>
      <c r="Z3529" s="47">
        <f t="shared" si="759"/>
        <v>4620</v>
      </c>
      <c r="AA3529" s="47"/>
      <c r="AB3529" s="47"/>
      <c r="AC3529" s="47"/>
      <c r="AD3529" s="47"/>
      <c r="AE3529" s="47"/>
      <c r="AF3529" s="47"/>
      <c r="AG3529" s="47"/>
      <c r="AH3529" s="47" t="str">
        <f>IFERROR(_xlfn.XLOOKUP(Table6[[#This Row],[Suburb]],Table5[Travel Surcharge],Table5[$$]),"")</f>
        <v/>
      </c>
      <c r="AI3529" s="47"/>
      <c r="AJ3529" s="47"/>
    </row>
    <row r="3530" spans="1:36">
      <c r="A3530" s="374" t="s">
        <v>5348</v>
      </c>
      <c r="B3530" s="374">
        <v>2</v>
      </c>
      <c r="C3530" s="374" t="s">
        <v>2060</v>
      </c>
      <c r="D3530" s="375" t="str">
        <f t="shared" si="757"/>
        <v>River Garden Estate2</v>
      </c>
      <c r="E3530" s="375" t="s">
        <v>5349</v>
      </c>
      <c r="F3530" s="375"/>
      <c r="G3530" s="375" t="s">
        <v>5350</v>
      </c>
      <c r="H3530" s="375" t="s">
        <v>5351</v>
      </c>
      <c r="I3530" s="63" t="s">
        <v>5352</v>
      </c>
      <c r="J3530" s="47">
        <f t="shared" si="754"/>
        <v>3740</v>
      </c>
      <c r="K3530" s="46" t="s">
        <v>10735</v>
      </c>
      <c r="L3530" s="47"/>
      <c r="M3530" s="47"/>
      <c r="N3530" s="47"/>
      <c r="O3530" s="47"/>
      <c r="P3530" s="47"/>
      <c r="Q3530" s="47">
        <f t="shared" si="758"/>
        <v>0</v>
      </c>
      <c r="R3530" s="47"/>
      <c r="S3530" s="47"/>
      <c r="T3530" s="47"/>
      <c r="U3530" s="47"/>
      <c r="V3530" s="47"/>
      <c r="W3530" s="47"/>
      <c r="X3530" s="47"/>
      <c r="Y3530" s="47"/>
      <c r="Z3530" s="47">
        <f t="shared" si="759"/>
        <v>4620</v>
      </c>
      <c r="AA3530" s="47"/>
      <c r="AB3530" s="47"/>
      <c r="AC3530" s="47"/>
      <c r="AD3530" s="47"/>
      <c r="AE3530" s="47"/>
      <c r="AF3530" s="47"/>
      <c r="AG3530" s="47"/>
      <c r="AH3530" s="47" t="str">
        <f>IFERROR(_xlfn.XLOOKUP(Table6[[#This Row],[Suburb]],Table5[Travel Surcharge],Table5[$$]),"")</f>
        <v/>
      </c>
      <c r="AI3530" s="47"/>
      <c r="AJ3530" s="47"/>
    </row>
    <row r="3531" spans="1:36">
      <c r="A3531" s="374" t="s">
        <v>5348</v>
      </c>
      <c r="B3531" s="374">
        <v>3</v>
      </c>
      <c r="C3531" s="374" t="s">
        <v>2060</v>
      </c>
      <c r="D3531" s="375" t="str">
        <f t="shared" si="757"/>
        <v>River Garden Estate3</v>
      </c>
      <c r="E3531" s="375" t="s">
        <v>5353</v>
      </c>
      <c r="F3531" s="375"/>
      <c r="G3531" s="375" t="s">
        <v>5350</v>
      </c>
      <c r="H3531" s="375" t="s">
        <v>5351</v>
      </c>
      <c r="I3531" s="63" t="s">
        <v>5352</v>
      </c>
      <c r="J3531" s="47">
        <f t="shared" si="754"/>
        <v>3740</v>
      </c>
      <c r="K3531" s="46" t="s">
        <v>10735</v>
      </c>
      <c r="L3531" s="47"/>
      <c r="M3531" s="47"/>
      <c r="N3531" s="47"/>
      <c r="O3531" s="47"/>
      <c r="P3531" s="47"/>
      <c r="Q3531" s="47">
        <f t="shared" si="758"/>
        <v>0</v>
      </c>
      <c r="R3531" s="47"/>
      <c r="S3531" s="47"/>
      <c r="T3531" s="47"/>
      <c r="U3531" s="47"/>
      <c r="V3531" s="47"/>
      <c r="W3531" s="47"/>
      <c r="X3531" s="47"/>
      <c r="Y3531" s="47"/>
      <c r="Z3531" s="47">
        <f t="shared" si="759"/>
        <v>4620</v>
      </c>
      <c r="AA3531" s="47"/>
      <c r="AB3531" s="47"/>
      <c r="AC3531" s="47"/>
      <c r="AD3531" s="47"/>
      <c r="AE3531" s="47"/>
      <c r="AF3531" s="47"/>
      <c r="AG3531" s="47"/>
      <c r="AH3531" s="47" t="str">
        <f>IFERROR(_xlfn.XLOOKUP(Table6[[#This Row],[Suburb]],Table5[Travel Surcharge],Table5[$$]),"")</f>
        <v/>
      </c>
      <c r="AI3531" s="47"/>
      <c r="AJ3531" s="47"/>
    </row>
    <row r="3532" spans="1:36">
      <c r="A3532" s="374" t="s">
        <v>5348</v>
      </c>
      <c r="B3532" s="374">
        <v>4</v>
      </c>
      <c r="C3532" s="374" t="s">
        <v>2060</v>
      </c>
      <c r="D3532" s="375" t="str">
        <f t="shared" si="757"/>
        <v>River Garden Estate4</v>
      </c>
      <c r="E3532" s="375" t="s">
        <v>5354</v>
      </c>
      <c r="F3532" s="375"/>
      <c r="G3532" s="375" t="s">
        <v>5350</v>
      </c>
      <c r="H3532" s="375" t="s">
        <v>5351</v>
      </c>
      <c r="I3532" s="63" t="s">
        <v>5352</v>
      </c>
      <c r="J3532" s="47">
        <f t="shared" si="754"/>
        <v>3740</v>
      </c>
      <c r="K3532" s="46" t="s">
        <v>10735</v>
      </c>
      <c r="L3532" s="47"/>
      <c r="M3532" s="47"/>
      <c r="N3532" s="47"/>
      <c r="O3532" s="47"/>
      <c r="P3532" s="47"/>
      <c r="Q3532" s="47">
        <f t="shared" si="758"/>
        <v>0</v>
      </c>
      <c r="R3532" s="47"/>
      <c r="S3532" s="47"/>
      <c r="T3532" s="47"/>
      <c r="U3532" s="47"/>
      <c r="V3532" s="47"/>
      <c r="W3532" s="47"/>
      <c r="X3532" s="47"/>
      <c r="Y3532" s="47"/>
      <c r="Z3532" s="47">
        <f t="shared" si="759"/>
        <v>4620</v>
      </c>
      <c r="AA3532" s="47"/>
      <c r="AB3532" s="47"/>
      <c r="AC3532" s="47"/>
      <c r="AD3532" s="47"/>
      <c r="AE3532" s="47"/>
      <c r="AF3532" s="47"/>
      <c r="AG3532" s="47"/>
      <c r="AH3532" s="47" t="str">
        <f>IFERROR(_xlfn.XLOOKUP(Table6[[#This Row],[Suburb]],Table5[Travel Surcharge],Table5[$$]),"")</f>
        <v/>
      </c>
      <c r="AI3532" s="47"/>
      <c r="AJ3532" s="47"/>
    </row>
    <row r="3533" spans="1:36">
      <c r="A3533" s="374" t="s">
        <v>5282</v>
      </c>
      <c r="B3533" s="374" t="s">
        <v>2697</v>
      </c>
      <c r="C3533" s="374" t="s">
        <v>5283</v>
      </c>
      <c r="D3533" s="375" t="str">
        <f t="shared" si="757"/>
        <v>River Valley6D</v>
      </c>
      <c r="E3533" s="375" t="s">
        <v>5284</v>
      </c>
      <c r="F3533" s="375" t="s">
        <v>5285</v>
      </c>
      <c r="G3533" s="375" t="s">
        <v>5286</v>
      </c>
      <c r="H3533" s="375" t="s">
        <v>5287</v>
      </c>
      <c r="I3533" s="63" t="s">
        <v>5288</v>
      </c>
      <c r="J3533" s="47" t="s">
        <v>3018</v>
      </c>
      <c r="K3533" s="46" t="s">
        <v>10735</v>
      </c>
      <c r="L3533" s="47"/>
      <c r="M3533" s="47"/>
      <c r="N3533" s="47"/>
      <c r="O3533" s="47"/>
      <c r="P3533" s="47"/>
      <c r="Q3533" s="47"/>
      <c r="R3533" s="47"/>
      <c r="S3533" s="47" t="s">
        <v>967</v>
      </c>
      <c r="T3533" s="47"/>
      <c r="U3533" s="47"/>
      <c r="V3533" s="47"/>
      <c r="W3533" s="47"/>
      <c r="X3533" s="47"/>
      <c r="Y3533" s="47"/>
      <c r="Z3533" s="47">
        <f t="shared" si="759"/>
        <v>4620</v>
      </c>
      <c r="AA3533" s="47"/>
      <c r="AB3533" s="47"/>
      <c r="AC3533" s="47"/>
      <c r="AD3533" s="47"/>
      <c r="AE3533" s="47"/>
      <c r="AF3533" s="47">
        <f>AF$7</f>
        <v>1485</v>
      </c>
      <c r="AG3533" s="47"/>
      <c r="AH3533" s="47" t="str">
        <f>IFERROR(_xlfn.XLOOKUP(Table6[[#This Row],[Suburb]],Table5[Travel Surcharge],Table5[$$]),"")</f>
        <v/>
      </c>
      <c r="AI3533" s="47"/>
      <c r="AJ3533" s="47"/>
    </row>
    <row r="3534" spans="1:36">
      <c r="A3534" s="374" t="s">
        <v>5282</v>
      </c>
      <c r="B3534" s="374" t="s">
        <v>1488</v>
      </c>
      <c r="C3534" s="374" t="s">
        <v>5283</v>
      </c>
      <c r="D3534" s="375" t="str">
        <f t="shared" si="757"/>
        <v>River Valley7A</v>
      </c>
      <c r="E3534" s="375" t="s">
        <v>5289</v>
      </c>
      <c r="F3534" s="375" t="s">
        <v>5285</v>
      </c>
      <c r="G3534" s="375" t="s">
        <v>5286</v>
      </c>
      <c r="H3534" s="375" t="s">
        <v>5287</v>
      </c>
      <c r="I3534" s="63" t="s">
        <v>5288</v>
      </c>
      <c r="J3534" s="47" t="s">
        <v>3018</v>
      </c>
      <c r="K3534" s="46" t="s">
        <v>10735</v>
      </c>
      <c r="L3534" s="47"/>
      <c r="M3534" s="47"/>
      <c r="N3534" s="47"/>
      <c r="O3534" s="47"/>
      <c r="P3534" s="47"/>
      <c r="Q3534" s="47"/>
      <c r="R3534" s="47"/>
      <c r="S3534" s="47" t="s">
        <v>967</v>
      </c>
      <c r="T3534" s="47"/>
      <c r="U3534" s="47"/>
      <c r="V3534" s="47"/>
      <c r="W3534" s="47"/>
      <c r="X3534" s="47"/>
      <c r="Y3534" s="47"/>
      <c r="Z3534" s="47">
        <f t="shared" si="759"/>
        <v>4620</v>
      </c>
      <c r="AA3534" s="47"/>
      <c r="AB3534" s="47"/>
      <c r="AC3534" s="47"/>
      <c r="AD3534" s="47"/>
      <c r="AE3534" s="47"/>
      <c r="AF3534" s="47">
        <f>AF$7</f>
        <v>1485</v>
      </c>
      <c r="AG3534" s="47"/>
      <c r="AH3534" s="47" t="str">
        <f>IFERROR(_xlfn.XLOOKUP(Table6[[#This Row],[Suburb]],Table5[Travel Surcharge],Table5[$$]),"")</f>
        <v/>
      </c>
      <c r="AI3534" s="47"/>
      <c r="AJ3534" s="47"/>
    </row>
    <row r="3535" spans="1:36">
      <c r="A3535" s="374" t="s">
        <v>5282</v>
      </c>
      <c r="B3535" s="374" t="s">
        <v>1630</v>
      </c>
      <c r="C3535" s="374" t="s">
        <v>5283</v>
      </c>
      <c r="D3535" s="375" t="str">
        <f t="shared" si="757"/>
        <v>River Valley7B</v>
      </c>
      <c r="E3535" s="375" t="s">
        <v>5290</v>
      </c>
      <c r="F3535" s="375" t="s">
        <v>5285</v>
      </c>
      <c r="G3535" s="375" t="s">
        <v>5286</v>
      </c>
      <c r="H3535" s="375" t="s">
        <v>5287</v>
      </c>
      <c r="I3535" s="63" t="s">
        <v>5288</v>
      </c>
      <c r="J3535" s="47" t="s">
        <v>3018</v>
      </c>
      <c r="K3535" s="46" t="s">
        <v>10735</v>
      </c>
      <c r="L3535" s="47"/>
      <c r="M3535" s="47"/>
      <c r="N3535" s="47"/>
      <c r="O3535" s="47"/>
      <c r="P3535" s="47"/>
      <c r="Q3535" s="47"/>
      <c r="R3535" s="47"/>
      <c r="S3535" s="47" t="s">
        <v>967</v>
      </c>
      <c r="T3535" s="47"/>
      <c r="U3535" s="47"/>
      <c r="V3535" s="47"/>
      <c r="W3535" s="47"/>
      <c r="X3535" s="47"/>
      <c r="Y3535" s="47"/>
      <c r="Z3535" s="47">
        <f t="shared" si="759"/>
        <v>4620</v>
      </c>
      <c r="AA3535" s="47"/>
      <c r="AB3535" s="47"/>
      <c r="AC3535" s="47"/>
      <c r="AD3535" s="47"/>
      <c r="AE3535" s="47"/>
      <c r="AF3535" s="47">
        <f>AF$7</f>
        <v>1485</v>
      </c>
      <c r="AG3535" s="47"/>
      <c r="AH3535" s="47" t="str">
        <f>IFERROR(_xlfn.XLOOKUP(Table6[[#This Row],[Suburb]],Table5[Travel Surcharge],Table5[$$]),"")</f>
        <v/>
      </c>
      <c r="AI3535" s="47"/>
      <c r="AJ3535" s="47"/>
    </row>
    <row r="3536" spans="1:36">
      <c r="A3536" s="374" t="s">
        <v>5282</v>
      </c>
      <c r="B3536" s="374" t="s">
        <v>1632</v>
      </c>
      <c r="C3536" s="374" t="s">
        <v>5283</v>
      </c>
      <c r="D3536" s="375" t="str">
        <f t="shared" si="757"/>
        <v>River Valley7C</v>
      </c>
      <c r="E3536" s="375" t="s">
        <v>5291</v>
      </c>
      <c r="F3536" s="375" t="s">
        <v>5285</v>
      </c>
      <c r="G3536" s="375" t="s">
        <v>5286</v>
      </c>
      <c r="H3536" s="375" t="s">
        <v>5287</v>
      </c>
      <c r="I3536" s="63" t="s">
        <v>5288</v>
      </c>
      <c r="J3536" s="47" t="s">
        <v>3018</v>
      </c>
      <c r="K3536" s="46" t="s">
        <v>10735</v>
      </c>
      <c r="L3536" s="47"/>
      <c r="M3536" s="47"/>
      <c r="N3536" s="47"/>
      <c r="O3536" s="47"/>
      <c r="P3536" s="47"/>
      <c r="Q3536" s="47"/>
      <c r="R3536" s="47"/>
      <c r="S3536" s="47" t="s">
        <v>967</v>
      </c>
      <c r="T3536" s="47"/>
      <c r="U3536" s="47"/>
      <c r="V3536" s="47"/>
      <c r="W3536" s="47"/>
      <c r="X3536" s="47"/>
      <c r="Y3536" s="47"/>
      <c r="Z3536" s="47">
        <f t="shared" si="759"/>
        <v>4620</v>
      </c>
      <c r="AA3536" s="47"/>
      <c r="AB3536" s="47"/>
      <c r="AC3536" s="47"/>
      <c r="AD3536" s="47"/>
      <c r="AE3536" s="47"/>
      <c r="AF3536" s="47">
        <f>AF$7</f>
        <v>1485</v>
      </c>
      <c r="AG3536" s="47"/>
      <c r="AH3536" s="47" t="str">
        <f>IFERROR(_xlfn.XLOOKUP(Table6[[#This Row],[Suburb]],Table5[Travel Surcharge],Table5[$$]),"")</f>
        <v/>
      </c>
      <c r="AI3536" s="47"/>
      <c r="AJ3536" s="47"/>
    </row>
    <row r="3537" spans="1:36">
      <c r="A3537" s="157" t="s">
        <v>8440</v>
      </c>
      <c r="B3537" s="157">
        <v>1</v>
      </c>
      <c r="C3537" s="157" t="s">
        <v>2656</v>
      </c>
      <c r="D3537" s="157" t="str">
        <f t="shared" si="757"/>
        <v>Riverbank Gardens Estate1</v>
      </c>
      <c r="E3537" s="157"/>
      <c r="F3537" s="157" t="s">
        <v>8442</v>
      </c>
      <c r="G3537" s="157" t="s">
        <v>8443</v>
      </c>
      <c r="H3537" s="157" t="s">
        <v>8444</v>
      </c>
      <c r="I3537" s="158"/>
      <c r="J3537" s="47">
        <f t="shared" ref="J3537:J3561" si="760">J$7</f>
        <v>3740</v>
      </c>
      <c r="K3537" s="46" t="s">
        <v>10735</v>
      </c>
      <c r="L3537" s="47" t="s">
        <v>8441</v>
      </c>
      <c r="M3537" s="47"/>
      <c r="N3537" s="47"/>
      <c r="O3537" s="47">
        <f>O$7</f>
        <v>4950</v>
      </c>
      <c r="P3537" s="47"/>
      <c r="Q3537" s="47"/>
      <c r="R3537" s="47"/>
      <c r="S3537" s="47">
        <f>S$2</f>
        <v>590</v>
      </c>
      <c r="T3537" s="47"/>
      <c r="U3537" s="47"/>
      <c r="V3537" s="47"/>
      <c r="W3537" s="47"/>
      <c r="X3537" s="47"/>
      <c r="Y3537" s="47"/>
      <c r="Z3537" s="47">
        <f t="shared" si="759"/>
        <v>4620</v>
      </c>
      <c r="AA3537" s="47"/>
      <c r="AB3537" s="47"/>
      <c r="AC3537" s="47"/>
      <c r="AD3537" s="47"/>
      <c r="AE3537" s="47"/>
      <c r="AF3537" s="47"/>
      <c r="AG3537" s="47"/>
      <c r="AH3537" s="47" t="str">
        <f>IFERROR(_xlfn.XLOOKUP(Table6[[#This Row],[Suburb]],Table5[Travel Surcharge],Table5[$$]),"")</f>
        <v/>
      </c>
      <c r="AI3537" s="47"/>
      <c r="AJ3537" s="47"/>
    </row>
    <row r="3538" spans="1:36">
      <c r="A3538" s="374" t="s">
        <v>5230</v>
      </c>
      <c r="B3538" s="374">
        <v>1</v>
      </c>
      <c r="C3538" s="374" t="s">
        <v>502</v>
      </c>
      <c r="D3538" s="375" t="str">
        <f t="shared" si="757"/>
        <v>Riverdale Village Estate1</v>
      </c>
      <c r="E3538" s="375" t="s">
        <v>5231</v>
      </c>
      <c r="F3538" s="375" t="s">
        <v>4202</v>
      </c>
      <c r="G3538" s="375" t="s">
        <v>5232</v>
      </c>
      <c r="H3538" s="375" t="s">
        <v>5233</v>
      </c>
      <c r="I3538" s="63" t="s">
        <v>5234</v>
      </c>
      <c r="J3538" s="47">
        <f t="shared" si="760"/>
        <v>3740</v>
      </c>
      <c r="K3538" s="46" t="s">
        <v>10735</v>
      </c>
      <c r="L3538" s="47">
        <f t="shared" ref="L3538:L3561" si="761">L$7</f>
        <v>1210</v>
      </c>
      <c r="M3538" s="47"/>
      <c r="N3538" s="47"/>
      <c r="O3538" s="47"/>
      <c r="P3538" s="47"/>
      <c r="Q3538" s="47"/>
      <c r="R3538" s="47"/>
      <c r="S3538" s="47"/>
      <c r="T3538" s="47"/>
      <c r="U3538" s="47">
        <f t="shared" ref="U3538:U3561" si="762">U$2</f>
        <v>430</v>
      </c>
      <c r="V3538" s="47"/>
      <c r="W3538" s="47"/>
      <c r="X3538" s="47"/>
      <c r="Y3538" s="47"/>
      <c r="Z3538" s="47">
        <f t="shared" si="759"/>
        <v>4620</v>
      </c>
      <c r="AA3538" s="47"/>
      <c r="AB3538" s="47"/>
      <c r="AC3538" s="47"/>
      <c r="AD3538" s="47"/>
      <c r="AE3538" s="47"/>
      <c r="AF3538" s="47"/>
      <c r="AG3538" s="47"/>
      <c r="AH3538" s="47" t="str">
        <f>IFERROR(_xlfn.XLOOKUP(Table6[[#This Row],[Suburb]],Table5[Travel Surcharge],Table5[$$]),"")</f>
        <v/>
      </c>
      <c r="AI3538" s="47"/>
      <c r="AJ3538" s="47"/>
    </row>
    <row r="3539" spans="1:36">
      <c r="A3539" s="374" t="s">
        <v>5230</v>
      </c>
      <c r="B3539" s="374">
        <v>4</v>
      </c>
      <c r="C3539" s="374" t="s">
        <v>502</v>
      </c>
      <c r="D3539" s="375" t="str">
        <f t="shared" si="757"/>
        <v>Riverdale Village Estate4</v>
      </c>
      <c r="E3539" s="375" t="s">
        <v>5235</v>
      </c>
      <c r="F3539" s="375" t="s">
        <v>4202</v>
      </c>
      <c r="G3539" s="375" t="s">
        <v>5232</v>
      </c>
      <c r="H3539" s="375" t="s">
        <v>5233</v>
      </c>
      <c r="I3539" s="63" t="s">
        <v>5234</v>
      </c>
      <c r="J3539" s="47">
        <f t="shared" si="760"/>
        <v>3740</v>
      </c>
      <c r="K3539" s="46" t="s">
        <v>10735</v>
      </c>
      <c r="L3539" s="47">
        <f t="shared" si="761"/>
        <v>1210</v>
      </c>
      <c r="M3539" s="47"/>
      <c r="N3539" s="47"/>
      <c r="O3539" s="47"/>
      <c r="P3539" s="47"/>
      <c r="Q3539" s="47"/>
      <c r="R3539" s="47"/>
      <c r="S3539" s="47"/>
      <c r="T3539" s="47"/>
      <c r="U3539" s="47">
        <f t="shared" si="762"/>
        <v>430</v>
      </c>
      <c r="V3539" s="47"/>
      <c r="W3539" s="47"/>
      <c r="X3539" s="47"/>
      <c r="Y3539" s="47"/>
      <c r="Z3539" s="47">
        <f t="shared" si="759"/>
        <v>4620</v>
      </c>
      <c r="AA3539" s="47"/>
      <c r="AB3539" s="47"/>
      <c r="AC3539" s="47"/>
      <c r="AD3539" s="47"/>
      <c r="AE3539" s="47"/>
      <c r="AF3539" s="47"/>
      <c r="AG3539" s="47"/>
      <c r="AH3539" s="47" t="str">
        <f>IFERROR(_xlfn.XLOOKUP(Table6[[#This Row],[Suburb]],Table5[Travel Surcharge],Table5[$$]),"")</f>
        <v/>
      </c>
      <c r="AI3539" s="47"/>
      <c r="AJ3539" s="47"/>
    </row>
    <row r="3540" spans="1:36">
      <c r="A3540" s="374" t="s">
        <v>5230</v>
      </c>
      <c r="B3540" s="374">
        <v>5</v>
      </c>
      <c r="C3540" s="374" t="s">
        <v>502</v>
      </c>
      <c r="D3540" s="375" t="str">
        <f t="shared" si="757"/>
        <v>Riverdale Village Estate5</v>
      </c>
      <c r="E3540" s="375" t="s">
        <v>5236</v>
      </c>
      <c r="F3540" s="375" t="s">
        <v>4202</v>
      </c>
      <c r="G3540" s="375" t="s">
        <v>5232</v>
      </c>
      <c r="H3540" s="375" t="s">
        <v>5233</v>
      </c>
      <c r="I3540" s="63" t="s">
        <v>5234</v>
      </c>
      <c r="J3540" s="47">
        <f t="shared" si="760"/>
        <v>3740</v>
      </c>
      <c r="K3540" s="46" t="s">
        <v>10735</v>
      </c>
      <c r="L3540" s="47">
        <f t="shared" si="761"/>
        <v>1210</v>
      </c>
      <c r="M3540" s="47"/>
      <c r="N3540" s="47"/>
      <c r="O3540" s="47"/>
      <c r="P3540" s="47"/>
      <c r="Q3540" s="47"/>
      <c r="R3540" s="47"/>
      <c r="S3540" s="47"/>
      <c r="T3540" s="47"/>
      <c r="U3540" s="47">
        <f t="shared" si="762"/>
        <v>430</v>
      </c>
      <c r="V3540" s="47"/>
      <c r="W3540" s="47"/>
      <c r="X3540" s="47"/>
      <c r="Y3540" s="47"/>
      <c r="Z3540" s="47">
        <f t="shared" si="759"/>
        <v>4620</v>
      </c>
      <c r="AA3540" s="47"/>
      <c r="AB3540" s="47"/>
      <c r="AC3540" s="47"/>
      <c r="AD3540" s="47"/>
      <c r="AE3540" s="47"/>
      <c r="AF3540" s="47"/>
      <c r="AG3540" s="47"/>
      <c r="AH3540" s="47" t="str">
        <f>IFERROR(_xlfn.XLOOKUP(Table6[[#This Row],[Suburb]],Table5[Travel Surcharge],Table5[$$]),"")</f>
        <v/>
      </c>
      <c r="AI3540" s="47"/>
      <c r="AJ3540" s="47"/>
    </row>
    <row r="3541" spans="1:36">
      <c r="A3541" s="374" t="s">
        <v>5230</v>
      </c>
      <c r="B3541" s="374">
        <v>6</v>
      </c>
      <c r="C3541" s="374" t="s">
        <v>502</v>
      </c>
      <c r="D3541" s="375" t="str">
        <f t="shared" si="757"/>
        <v>Riverdale Village Estate6</v>
      </c>
      <c r="E3541" s="375" t="s">
        <v>5237</v>
      </c>
      <c r="F3541" s="375" t="s">
        <v>4202</v>
      </c>
      <c r="G3541" s="375" t="s">
        <v>5232</v>
      </c>
      <c r="H3541" s="375" t="s">
        <v>5233</v>
      </c>
      <c r="I3541" s="63" t="s">
        <v>5234</v>
      </c>
      <c r="J3541" s="47">
        <f t="shared" si="760"/>
        <v>3740</v>
      </c>
      <c r="K3541" s="46" t="s">
        <v>10735</v>
      </c>
      <c r="L3541" s="47">
        <f t="shared" si="761"/>
        <v>1210</v>
      </c>
      <c r="M3541" s="47"/>
      <c r="N3541" s="47"/>
      <c r="O3541" s="47"/>
      <c r="P3541" s="47"/>
      <c r="Q3541" s="47"/>
      <c r="R3541" s="47"/>
      <c r="S3541" s="47"/>
      <c r="T3541" s="47"/>
      <c r="U3541" s="47">
        <f t="shared" si="762"/>
        <v>430</v>
      </c>
      <c r="V3541" s="47"/>
      <c r="W3541" s="47"/>
      <c r="X3541" s="47"/>
      <c r="Y3541" s="47"/>
      <c r="Z3541" s="47">
        <f t="shared" si="759"/>
        <v>4620</v>
      </c>
      <c r="AA3541" s="47"/>
      <c r="AB3541" s="47"/>
      <c r="AC3541" s="47"/>
      <c r="AD3541" s="47"/>
      <c r="AE3541" s="47"/>
      <c r="AF3541" s="47"/>
      <c r="AG3541" s="47"/>
      <c r="AH3541" s="47" t="str">
        <f>IFERROR(_xlfn.XLOOKUP(Table6[[#This Row],[Suburb]],Table5[Travel Surcharge],Table5[$$]),"")</f>
        <v/>
      </c>
      <c r="AI3541" s="47"/>
      <c r="AJ3541" s="47"/>
    </row>
    <row r="3542" spans="1:36">
      <c r="A3542" s="374" t="s">
        <v>5230</v>
      </c>
      <c r="B3542" s="374">
        <v>7</v>
      </c>
      <c r="C3542" s="374" t="s">
        <v>502</v>
      </c>
      <c r="D3542" s="375" t="str">
        <f t="shared" si="757"/>
        <v>Riverdale Village Estate7</v>
      </c>
      <c r="E3542" s="375" t="s">
        <v>5238</v>
      </c>
      <c r="F3542" s="375" t="s">
        <v>4202</v>
      </c>
      <c r="G3542" s="375" t="s">
        <v>5232</v>
      </c>
      <c r="H3542" s="375" t="s">
        <v>5233</v>
      </c>
      <c r="I3542" s="63" t="s">
        <v>5234</v>
      </c>
      <c r="J3542" s="47">
        <f t="shared" si="760"/>
        <v>3740</v>
      </c>
      <c r="K3542" s="46" t="s">
        <v>10735</v>
      </c>
      <c r="L3542" s="47">
        <f t="shared" si="761"/>
        <v>1210</v>
      </c>
      <c r="M3542" s="47"/>
      <c r="N3542" s="47"/>
      <c r="O3542" s="47"/>
      <c r="P3542" s="47"/>
      <c r="Q3542" s="47"/>
      <c r="R3542" s="47"/>
      <c r="S3542" s="47"/>
      <c r="T3542" s="47"/>
      <c r="U3542" s="47">
        <f t="shared" si="762"/>
        <v>430</v>
      </c>
      <c r="V3542" s="47"/>
      <c r="W3542" s="47"/>
      <c r="X3542" s="47"/>
      <c r="Y3542" s="47"/>
      <c r="Z3542" s="47">
        <f t="shared" si="759"/>
        <v>4620</v>
      </c>
      <c r="AA3542" s="47"/>
      <c r="AB3542" s="47"/>
      <c r="AC3542" s="47"/>
      <c r="AD3542" s="47"/>
      <c r="AE3542" s="47"/>
      <c r="AF3542" s="47"/>
      <c r="AG3542" s="47"/>
      <c r="AH3542" s="47" t="str">
        <f>IFERROR(_xlfn.XLOOKUP(Table6[[#This Row],[Suburb]],Table5[Travel Surcharge],Table5[$$]),"")</f>
        <v/>
      </c>
      <c r="AI3542" s="47"/>
      <c r="AJ3542" s="47"/>
    </row>
    <row r="3543" spans="1:36">
      <c r="A3543" s="374" t="s">
        <v>5230</v>
      </c>
      <c r="B3543" s="374">
        <v>8</v>
      </c>
      <c r="C3543" s="374" t="s">
        <v>502</v>
      </c>
      <c r="D3543" s="375" t="str">
        <f t="shared" si="757"/>
        <v>Riverdale Village Estate8</v>
      </c>
      <c r="E3543" s="375" t="s">
        <v>5239</v>
      </c>
      <c r="F3543" s="375" t="s">
        <v>4202</v>
      </c>
      <c r="G3543" s="375" t="s">
        <v>5232</v>
      </c>
      <c r="H3543" s="375" t="s">
        <v>5233</v>
      </c>
      <c r="I3543" s="63" t="s">
        <v>5234</v>
      </c>
      <c r="J3543" s="47">
        <f t="shared" si="760"/>
        <v>3740</v>
      </c>
      <c r="K3543" s="46" t="s">
        <v>10735</v>
      </c>
      <c r="L3543" s="47">
        <f t="shared" si="761"/>
        <v>1210</v>
      </c>
      <c r="M3543" s="47"/>
      <c r="N3543" s="47"/>
      <c r="O3543" s="47"/>
      <c r="P3543" s="47"/>
      <c r="Q3543" s="47"/>
      <c r="R3543" s="47"/>
      <c r="S3543" s="47"/>
      <c r="T3543" s="47"/>
      <c r="U3543" s="47">
        <f t="shared" si="762"/>
        <v>430</v>
      </c>
      <c r="V3543" s="47"/>
      <c r="W3543" s="47"/>
      <c r="X3543" s="47"/>
      <c r="Y3543" s="47"/>
      <c r="Z3543" s="47">
        <f t="shared" si="759"/>
        <v>4620</v>
      </c>
      <c r="AA3543" s="47"/>
      <c r="AB3543" s="47"/>
      <c r="AC3543" s="47"/>
      <c r="AD3543" s="47"/>
      <c r="AE3543" s="47"/>
      <c r="AF3543" s="47"/>
      <c r="AG3543" s="47"/>
      <c r="AH3543" s="47" t="str">
        <f>IFERROR(_xlfn.XLOOKUP(Table6[[#This Row],[Suburb]],Table5[Travel Surcharge],Table5[$$]),"")</f>
        <v/>
      </c>
      <c r="AI3543" s="47"/>
      <c r="AJ3543" s="47"/>
    </row>
    <row r="3544" spans="1:36">
      <c r="A3544" s="374" t="s">
        <v>5230</v>
      </c>
      <c r="B3544" s="374">
        <v>9</v>
      </c>
      <c r="C3544" s="374" t="s">
        <v>502</v>
      </c>
      <c r="D3544" s="375" t="str">
        <f t="shared" si="757"/>
        <v>Riverdale Village Estate9</v>
      </c>
      <c r="E3544" s="375" t="s">
        <v>5240</v>
      </c>
      <c r="F3544" s="375" t="s">
        <v>4202</v>
      </c>
      <c r="G3544" s="375" t="s">
        <v>5232</v>
      </c>
      <c r="H3544" s="375" t="s">
        <v>5233</v>
      </c>
      <c r="I3544" s="63" t="s">
        <v>5234</v>
      </c>
      <c r="J3544" s="47">
        <f t="shared" si="760"/>
        <v>3740</v>
      </c>
      <c r="K3544" s="46" t="s">
        <v>10735</v>
      </c>
      <c r="L3544" s="47">
        <f t="shared" si="761"/>
        <v>1210</v>
      </c>
      <c r="M3544" s="47"/>
      <c r="N3544" s="47"/>
      <c r="O3544" s="47"/>
      <c r="P3544" s="47"/>
      <c r="Q3544" s="47"/>
      <c r="R3544" s="47"/>
      <c r="S3544" s="47"/>
      <c r="T3544" s="47"/>
      <c r="U3544" s="47">
        <f t="shared" si="762"/>
        <v>430</v>
      </c>
      <c r="V3544" s="47"/>
      <c r="W3544" s="47"/>
      <c r="X3544" s="47"/>
      <c r="Y3544" s="47"/>
      <c r="Z3544" s="47">
        <f t="shared" si="759"/>
        <v>4620</v>
      </c>
      <c r="AA3544" s="47"/>
      <c r="AB3544" s="47"/>
      <c r="AC3544" s="47"/>
      <c r="AD3544" s="47"/>
      <c r="AE3544" s="47"/>
      <c r="AF3544" s="47"/>
      <c r="AG3544" s="47"/>
      <c r="AH3544" s="47" t="str">
        <f>IFERROR(_xlfn.XLOOKUP(Table6[[#This Row],[Suburb]],Table5[Travel Surcharge],Table5[$$]),"")</f>
        <v/>
      </c>
      <c r="AI3544" s="47"/>
      <c r="AJ3544" s="47"/>
    </row>
    <row r="3545" spans="1:36">
      <c r="A3545" s="374" t="s">
        <v>5230</v>
      </c>
      <c r="B3545" s="374">
        <v>11</v>
      </c>
      <c r="C3545" s="374" t="s">
        <v>502</v>
      </c>
      <c r="D3545" s="375" t="str">
        <f t="shared" si="757"/>
        <v>Riverdale Village Estate11</v>
      </c>
      <c r="E3545" s="375" t="s">
        <v>5241</v>
      </c>
      <c r="F3545" s="375" t="s">
        <v>4202</v>
      </c>
      <c r="G3545" s="375" t="s">
        <v>5232</v>
      </c>
      <c r="H3545" s="375" t="s">
        <v>5233</v>
      </c>
      <c r="I3545" s="63" t="s">
        <v>5234</v>
      </c>
      <c r="J3545" s="47">
        <f t="shared" si="760"/>
        <v>3740</v>
      </c>
      <c r="K3545" s="46" t="s">
        <v>10735</v>
      </c>
      <c r="L3545" s="47">
        <f t="shared" si="761"/>
        <v>1210</v>
      </c>
      <c r="M3545" s="47"/>
      <c r="N3545" s="47"/>
      <c r="O3545" s="47"/>
      <c r="P3545" s="47"/>
      <c r="Q3545" s="47"/>
      <c r="R3545" s="47"/>
      <c r="S3545" s="47"/>
      <c r="T3545" s="47"/>
      <c r="U3545" s="47">
        <f t="shared" si="762"/>
        <v>430</v>
      </c>
      <c r="V3545" s="47"/>
      <c r="W3545" s="47"/>
      <c r="X3545" s="47"/>
      <c r="Y3545" s="47"/>
      <c r="Z3545" s="47">
        <f t="shared" si="759"/>
        <v>4620</v>
      </c>
      <c r="AA3545" s="47"/>
      <c r="AB3545" s="47"/>
      <c r="AC3545" s="47"/>
      <c r="AD3545" s="47"/>
      <c r="AE3545" s="47"/>
      <c r="AF3545" s="47"/>
      <c r="AG3545" s="47"/>
      <c r="AH3545" s="47" t="str">
        <f>IFERROR(_xlfn.XLOOKUP(Table6[[#This Row],[Suburb]],Table5[Travel Surcharge],Table5[$$]),"")</f>
        <v/>
      </c>
      <c r="AI3545" s="47"/>
      <c r="AJ3545" s="47"/>
    </row>
    <row r="3546" spans="1:36">
      <c r="A3546" s="374" t="s">
        <v>5230</v>
      </c>
      <c r="B3546" s="374">
        <v>12</v>
      </c>
      <c r="C3546" s="374" t="s">
        <v>502</v>
      </c>
      <c r="D3546" s="375" t="str">
        <f t="shared" si="757"/>
        <v>Riverdale Village Estate12</v>
      </c>
      <c r="E3546" s="375" t="s">
        <v>5242</v>
      </c>
      <c r="F3546" s="375" t="s">
        <v>4202</v>
      </c>
      <c r="G3546" s="375" t="s">
        <v>5232</v>
      </c>
      <c r="H3546" s="375" t="s">
        <v>5233</v>
      </c>
      <c r="I3546" s="63" t="s">
        <v>5234</v>
      </c>
      <c r="J3546" s="47">
        <f t="shared" si="760"/>
        <v>3740</v>
      </c>
      <c r="K3546" s="46" t="s">
        <v>10735</v>
      </c>
      <c r="L3546" s="47">
        <f t="shared" si="761"/>
        <v>1210</v>
      </c>
      <c r="M3546" s="47"/>
      <c r="N3546" s="47"/>
      <c r="O3546" s="47"/>
      <c r="P3546" s="47"/>
      <c r="Q3546" s="47"/>
      <c r="R3546" s="47"/>
      <c r="S3546" s="47"/>
      <c r="T3546" s="47"/>
      <c r="U3546" s="47">
        <f t="shared" si="762"/>
        <v>430</v>
      </c>
      <c r="V3546" s="47"/>
      <c r="W3546" s="47"/>
      <c r="X3546" s="47"/>
      <c r="Y3546" s="47"/>
      <c r="Z3546" s="47">
        <f t="shared" si="759"/>
        <v>4620</v>
      </c>
      <c r="AA3546" s="47"/>
      <c r="AB3546" s="47"/>
      <c r="AC3546" s="47"/>
      <c r="AD3546" s="47"/>
      <c r="AE3546" s="47"/>
      <c r="AF3546" s="47"/>
      <c r="AG3546" s="47"/>
      <c r="AH3546" s="47" t="str">
        <f>IFERROR(_xlfn.XLOOKUP(Table6[[#This Row],[Suburb]],Table5[Travel Surcharge],Table5[$$]),"")</f>
        <v/>
      </c>
      <c r="AI3546" s="47"/>
      <c r="AJ3546" s="47"/>
    </row>
    <row r="3547" spans="1:36">
      <c r="A3547" s="374" t="s">
        <v>5230</v>
      </c>
      <c r="B3547" s="374">
        <v>13</v>
      </c>
      <c r="C3547" s="374" t="s">
        <v>502</v>
      </c>
      <c r="D3547" s="375" t="str">
        <f t="shared" si="757"/>
        <v>Riverdale Village Estate13</v>
      </c>
      <c r="E3547" s="375" t="s">
        <v>5243</v>
      </c>
      <c r="F3547" s="375" t="s">
        <v>4202</v>
      </c>
      <c r="G3547" s="375" t="s">
        <v>5232</v>
      </c>
      <c r="H3547" s="375" t="s">
        <v>5233</v>
      </c>
      <c r="I3547" s="63" t="s">
        <v>5234</v>
      </c>
      <c r="J3547" s="47">
        <f t="shared" si="760"/>
        <v>3740</v>
      </c>
      <c r="K3547" s="46" t="s">
        <v>10735</v>
      </c>
      <c r="L3547" s="47">
        <f t="shared" si="761"/>
        <v>1210</v>
      </c>
      <c r="M3547" s="47"/>
      <c r="N3547" s="47"/>
      <c r="O3547" s="47"/>
      <c r="P3547" s="47"/>
      <c r="Q3547" s="47"/>
      <c r="R3547" s="47"/>
      <c r="S3547" s="47"/>
      <c r="T3547" s="47"/>
      <c r="U3547" s="47">
        <f t="shared" si="762"/>
        <v>430</v>
      </c>
      <c r="V3547" s="47"/>
      <c r="W3547" s="47"/>
      <c r="X3547" s="47"/>
      <c r="Y3547" s="47"/>
      <c r="Z3547" s="47">
        <f t="shared" si="759"/>
        <v>4620</v>
      </c>
      <c r="AA3547" s="47"/>
      <c r="AB3547" s="47"/>
      <c r="AC3547" s="47"/>
      <c r="AD3547" s="47"/>
      <c r="AE3547" s="47"/>
      <c r="AF3547" s="47"/>
      <c r="AG3547" s="47"/>
      <c r="AH3547" s="47" t="str">
        <f>IFERROR(_xlfn.XLOOKUP(Table6[[#This Row],[Suburb]],Table5[Travel Surcharge],Table5[$$]),"")</f>
        <v/>
      </c>
      <c r="AI3547" s="47"/>
      <c r="AJ3547" s="47"/>
    </row>
    <row r="3548" spans="1:36">
      <c r="A3548" s="374" t="s">
        <v>5230</v>
      </c>
      <c r="B3548" s="374">
        <v>14</v>
      </c>
      <c r="C3548" s="374" t="s">
        <v>502</v>
      </c>
      <c r="D3548" s="375" t="str">
        <f t="shared" si="757"/>
        <v>Riverdale Village Estate14</v>
      </c>
      <c r="E3548" s="375" t="s">
        <v>5244</v>
      </c>
      <c r="F3548" s="375" t="s">
        <v>4202</v>
      </c>
      <c r="G3548" s="375" t="s">
        <v>5232</v>
      </c>
      <c r="H3548" s="375" t="s">
        <v>5233</v>
      </c>
      <c r="I3548" s="63" t="s">
        <v>5234</v>
      </c>
      <c r="J3548" s="47">
        <f t="shared" si="760"/>
        <v>3740</v>
      </c>
      <c r="K3548" s="46" t="s">
        <v>10735</v>
      </c>
      <c r="L3548" s="47">
        <f t="shared" si="761"/>
        <v>1210</v>
      </c>
      <c r="M3548" s="47"/>
      <c r="N3548" s="47"/>
      <c r="O3548" s="47"/>
      <c r="P3548" s="47"/>
      <c r="Q3548" s="47"/>
      <c r="R3548" s="47"/>
      <c r="S3548" s="47"/>
      <c r="T3548" s="47"/>
      <c r="U3548" s="47">
        <f t="shared" si="762"/>
        <v>430</v>
      </c>
      <c r="V3548" s="47"/>
      <c r="W3548" s="47"/>
      <c r="X3548" s="47"/>
      <c r="Y3548" s="47"/>
      <c r="Z3548" s="47">
        <f t="shared" si="759"/>
        <v>4620</v>
      </c>
      <c r="AA3548" s="47"/>
      <c r="AB3548" s="47"/>
      <c r="AC3548" s="47"/>
      <c r="AD3548" s="47"/>
      <c r="AE3548" s="47"/>
      <c r="AF3548" s="47"/>
      <c r="AG3548" s="47"/>
      <c r="AH3548" s="47" t="str">
        <f>IFERROR(_xlfn.XLOOKUP(Table6[[#This Row],[Suburb]],Table5[Travel Surcharge],Table5[$$]),"")</f>
        <v/>
      </c>
      <c r="AI3548" s="47"/>
      <c r="AJ3548" s="47"/>
    </row>
    <row r="3549" spans="1:36">
      <c r="A3549" s="374" t="s">
        <v>5230</v>
      </c>
      <c r="B3549" s="374">
        <v>15</v>
      </c>
      <c r="C3549" s="374" t="s">
        <v>502</v>
      </c>
      <c r="D3549" s="375" t="str">
        <f t="shared" si="757"/>
        <v>Riverdale Village Estate15</v>
      </c>
      <c r="E3549" s="375" t="s">
        <v>5245</v>
      </c>
      <c r="F3549" s="375" t="s">
        <v>4202</v>
      </c>
      <c r="G3549" s="375" t="s">
        <v>5232</v>
      </c>
      <c r="H3549" s="375" t="s">
        <v>5233</v>
      </c>
      <c r="I3549" s="63" t="s">
        <v>5234</v>
      </c>
      <c r="J3549" s="47">
        <f t="shared" si="760"/>
        <v>3740</v>
      </c>
      <c r="K3549" s="46" t="s">
        <v>10735</v>
      </c>
      <c r="L3549" s="47">
        <f t="shared" si="761"/>
        <v>1210</v>
      </c>
      <c r="M3549" s="47"/>
      <c r="N3549" s="47"/>
      <c r="O3549" s="47"/>
      <c r="P3549" s="47"/>
      <c r="Q3549" s="47"/>
      <c r="R3549" s="47"/>
      <c r="S3549" s="47"/>
      <c r="T3549" s="47"/>
      <c r="U3549" s="47">
        <f t="shared" si="762"/>
        <v>430</v>
      </c>
      <c r="V3549" s="47"/>
      <c r="W3549" s="47"/>
      <c r="X3549" s="47"/>
      <c r="Y3549" s="47"/>
      <c r="Z3549" s="47">
        <f t="shared" si="759"/>
        <v>4620</v>
      </c>
      <c r="AA3549" s="47"/>
      <c r="AB3549" s="47"/>
      <c r="AC3549" s="47"/>
      <c r="AD3549" s="47"/>
      <c r="AE3549" s="47"/>
      <c r="AF3549" s="47"/>
      <c r="AG3549" s="47"/>
      <c r="AH3549" s="47" t="str">
        <f>IFERROR(_xlfn.XLOOKUP(Table6[[#This Row],[Suburb]],Table5[Travel Surcharge],Table5[$$]),"")</f>
        <v/>
      </c>
      <c r="AI3549" s="47"/>
      <c r="AJ3549" s="47"/>
    </row>
    <row r="3550" spans="1:36">
      <c r="A3550" s="374" t="s">
        <v>5230</v>
      </c>
      <c r="B3550" s="374">
        <v>16</v>
      </c>
      <c r="C3550" s="374" t="s">
        <v>502</v>
      </c>
      <c r="D3550" s="375" t="str">
        <f t="shared" si="757"/>
        <v>Riverdale Village Estate16</v>
      </c>
      <c r="E3550" s="375" t="s">
        <v>5246</v>
      </c>
      <c r="F3550" s="375" t="s">
        <v>4202</v>
      </c>
      <c r="G3550" s="375" t="s">
        <v>5232</v>
      </c>
      <c r="H3550" s="375" t="s">
        <v>5233</v>
      </c>
      <c r="I3550" s="63" t="s">
        <v>5234</v>
      </c>
      <c r="J3550" s="47">
        <f t="shared" si="760"/>
        <v>3740</v>
      </c>
      <c r="K3550" s="46" t="s">
        <v>10735</v>
      </c>
      <c r="L3550" s="47">
        <f t="shared" si="761"/>
        <v>1210</v>
      </c>
      <c r="M3550" s="47"/>
      <c r="N3550" s="47"/>
      <c r="O3550" s="47"/>
      <c r="P3550" s="47"/>
      <c r="Q3550" s="47"/>
      <c r="R3550" s="47"/>
      <c r="S3550" s="47"/>
      <c r="T3550" s="47"/>
      <c r="U3550" s="47">
        <f t="shared" si="762"/>
        <v>430</v>
      </c>
      <c r="V3550" s="47"/>
      <c r="W3550" s="47"/>
      <c r="X3550" s="47"/>
      <c r="Y3550" s="47"/>
      <c r="Z3550" s="47">
        <f t="shared" si="759"/>
        <v>4620</v>
      </c>
      <c r="AA3550" s="47"/>
      <c r="AB3550" s="47"/>
      <c r="AC3550" s="47"/>
      <c r="AD3550" s="47"/>
      <c r="AE3550" s="47"/>
      <c r="AF3550" s="47"/>
      <c r="AG3550" s="47"/>
      <c r="AH3550" s="47" t="str">
        <f>IFERROR(_xlfn.XLOOKUP(Table6[[#This Row],[Suburb]],Table5[Travel Surcharge],Table5[$$]),"")</f>
        <v/>
      </c>
      <c r="AI3550" s="47"/>
      <c r="AJ3550" s="47"/>
    </row>
    <row r="3551" spans="1:36">
      <c r="A3551" s="374" t="s">
        <v>5230</v>
      </c>
      <c r="B3551" s="374">
        <v>17</v>
      </c>
      <c r="C3551" s="374" t="s">
        <v>502</v>
      </c>
      <c r="D3551" s="375" t="str">
        <f t="shared" si="757"/>
        <v>Riverdale Village Estate17</v>
      </c>
      <c r="E3551" s="375" t="s">
        <v>5247</v>
      </c>
      <c r="F3551" s="375" t="s">
        <v>4202</v>
      </c>
      <c r="G3551" s="375" t="s">
        <v>5232</v>
      </c>
      <c r="H3551" s="375" t="s">
        <v>5233</v>
      </c>
      <c r="I3551" s="63" t="s">
        <v>5234</v>
      </c>
      <c r="J3551" s="47">
        <f t="shared" si="760"/>
        <v>3740</v>
      </c>
      <c r="K3551" s="46" t="s">
        <v>10735</v>
      </c>
      <c r="L3551" s="47">
        <f t="shared" si="761"/>
        <v>1210</v>
      </c>
      <c r="M3551" s="47"/>
      <c r="N3551" s="47"/>
      <c r="O3551" s="47"/>
      <c r="P3551" s="47"/>
      <c r="Q3551" s="47"/>
      <c r="R3551" s="47"/>
      <c r="S3551" s="47"/>
      <c r="T3551" s="47"/>
      <c r="U3551" s="47">
        <f t="shared" si="762"/>
        <v>430</v>
      </c>
      <c r="V3551" s="47"/>
      <c r="W3551" s="47"/>
      <c r="X3551" s="47"/>
      <c r="Y3551" s="47"/>
      <c r="Z3551" s="47">
        <f t="shared" si="759"/>
        <v>4620</v>
      </c>
      <c r="AA3551" s="47"/>
      <c r="AB3551" s="47"/>
      <c r="AC3551" s="47"/>
      <c r="AD3551" s="47"/>
      <c r="AE3551" s="47"/>
      <c r="AF3551" s="47"/>
      <c r="AG3551" s="47"/>
      <c r="AH3551" s="47" t="str">
        <f>IFERROR(_xlfn.XLOOKUP(Table6[[#This Row],[Suburb]],Table5[Travel Surcharge],Table5[$$]),"")</f>
        <v/>
      </c>
      <c r="AI3551" s="47"/>
      <c r="AJ3551" s="47"/>
    </row>
    <row r="3552" spans="1:36">
      <c r="A3552" s="374" t="s">
        <v>5230</v>
      </c>
      <c r="B3552" s="374">
        <v>18</v>
      </c>
      <c r="C3552" s="374" t="s">
        <v>502</v>
      </c>
      <c r="D3552" s="375" t="str">
        <f t="shared" si="757"/>
        <v>Riverdale Village Estate18</v>
      </c>
      <c r="E3552" s="375" t="s">
        <v>5248</v>
      </c>
      <c r="F3552" s="375" t="s">
        <v>4202</v>
      </c>
      <c r="G3552" s="375" t="s">
        <v>5232</v>
      </c>
      <c r="H3552" s="375" t="s">
        <v>5233</v>
      </c>
      <c r="I3552" s="63" t="s">
        <v>5234</v>
      </c>
      <c r="J3552" s="47">
        <f t="shared" si="760"/>
        <v>3740</v>
      </c>
      <c r="K3552" s="46" t="s">
        <v>10735</v>
      </c>
      <c r="L3552" s="47">
        <f t="shared" si="761"/>
        <v>1210</v>
      </c>
      <c r="M3552" s="47"/>
      <c r="N3552" s="47"/>
      <c r="O3552" s="47"/>
      <c r="P3552" s="47"/>
      <c r="Q3552" s="47"/>
      <c r="R3552" s="47"/>
      <c r="S3552" s="47"/>
      <c r="T3552" s="47"/>
      <c r="U3552" s="47">
        <f t="shared" si="762"/>
        <v>430</v>
      </c>
      <c r="V3552" s="47"/>
      <c r="W3552" s="47"/>
      <c r="X3552" s="47"/>
      <c r="Y3552" s="47"/>
      <c r="Z3552" s="47">
        <f t="shared" si="759"/>
        <v>4620</v>
      </c>
      <c r="AA3552" s="47"/>
      <c r="AB3552" s="47"/>
      <c r="AC3552" s="47"/>
      <c r="AD3552" s="47"/>
      <c r="AE3552" s="47"/>
      <c r="AF3552" s="47"/>
      <c r="AG3552" s="47"/>
      <c r="AH3552" s="47" t="str">
        <f>IFERROR(_xlfn.XLOOKUP(Table6[[#This Row],[Suburb]],Table5[Travel Surcharge],Table5[$$]),"")</f>
        <v/>
      </c>
      <c r="AI3552" s="47"/>
      <c r="AJ3552" s="47"/>
    </row>
    <row r="3553" spans="1:36">
      <c r="A3553" s="374" t="s">
        <v>5230</v>
      </c>
      <c r="B3553" s="374">
        <v>19</v>
      </c>
      <c r="C3553" s="374" t="s">
        <v>502</v>
      </c>
      <c r="D3553" s="375" t="str">
        <f t="shared" si="757"/>
        <v>Riverdale Village Estate19</v>
      </c>
      <c r="E3553" s="375" t="s">
        <v>5249</v>
      </c>
      <c r="F3553" s="375" t="s">
        <v>4202</v>
      </c>
      <c r="G3553" s="375" t="s">
        <v>5232</v>
      </c>
      <c r="H3553" s="375" t="s">
        <v>5233</v>
      </c>
      <c r="I3553" s="63" t="s">
        <v>5234</v>
      </c>
      <c r="J3553" s="47">
        <f t="shared" si="760"/>
        <v>3740</v>
      </c>
      <c r="K3553" s="46" t="s">
        <v>10735</v>
      </c>
      <c r="L3553" s="47">
        <f t="shared" si="761"/>
        <v>1210</v>
      </c>
      <c r="M3553" s="47"/>
      <c r="N3553" s="47"/>
      <c r="O3553" s="47"/>
      <c r="P3553" s="47"/>
      <c r="Q3553" s="47"/>
      <c r="R3553" s="47"/>
      <c r="S3553" s="47"/>
      <c r="T3553" s="47"/>
      <c r="U3553" s="47">
        <f t="shared" si="762"/>
        <v>430</v>
      </c>
      <c r="V3553" s="47"/>
      <c r="W3553" s="47"/>
      <c r="X3553" s="47"/>
      <c r="Y3553" s="47"/>
      <c r="Z3553" s="47">
        <f t="shared" si="759"/>
        <v>4620</v>
      </c>
      <c r="AA3553" s="47"/>
      <c r="AB3553" s="47"/>
      <c r="AC3553" s="47"/>
      <c r="AD3553" s="47"/>
      <c r="AE3553" s="47"/>
      <c r="AF3553" s="47"/>
      <c r="AG3553" s="47"/>
      <c r="AH3553" s="47" t="str">
        <f>IFERROR(_xlfn.XLOOKUP(Table6[[#This Row],[Suburb]],Table5[Travel Surcharge],Table5[$$]),"")</f>
        <v/>
      </c>
      <c r="AI3553" s="47"/>
      <c r="AJ3553" s="47"/>
    </row>
    <row r="3554" spans="1:36">
      <c r="A3554" s="374" t="s">
        <v>5230</v>
      </c>
      <c r="B3554" s="374">
        <v>21</v>
      </c>
      <c r="C3554" s="374" t="s">
        <v>502</v>
      </c>
      <c r="D3554" s="375" t="str">
        <f t="shared" si="757"/>
        <v>Riverdale Village Estate21</v>
      </c>
      <c r="E3554" s="375" t="s">
        <v>5254</v>
      </c>
      <c r="F3554" s="375" t="s">
        <v>4202</v>
      </c>
      <c r="G3554" s="375" t="s">
        <v>5232</v>
      </c>
      <c r="H3554" s="375" t="s">
        <v>5233</v>
      </c>
      <c r="I3554" s="63" t="s">
        <v>5234</v>
      </c>
      <c r="J3554" s="47">
        <f t="shared" si="760"/>
        <v>3740</v>
      </c>
      <c r="K3554" s="46" t="s">
        <v>10735</v>
      </c>
      <c r="L3554" s="47">
        <f t="shared" si="761"/>
        <v>1210</v>
      </c>
      <c r="M3554" s="47"/>
      <c r="N3554" s="47"/>
      <c r="O3554" s="47"/>
      <c r="P3554" s="47"/>
      <c r="Q3554" s="47"/>
      <c r="R3554" s="47"/>
      <c r="S3554" s="47"/>
      <c r="T3554" s="47"/>
      <c r="U3554" s="47">
        <f t="shared" si="762"/>
        <v>430</v>
      </c>
      <c r="V3554" s="47"/>
      <c r="W3554" s="47"/>
      <c r="X3554" s="47"/>
      <c r="Y3554" s="47"/>
      <c r="Z3554" s="47">
        <f t="shared" si="759"/>
        <v>4620</v>
      </c>
      <c r="AA3554" s="47"/>
      <c r="AB3554" s="47"/>
      <c r="AC3554" s="47"/>
      <c r="AD3554" s="47"/>
      <c r="AE3554" s="47"/>
      <c r="AF3554" s="47"/>
      <c r="AG3554" s="47"/>
      <c r="AH3554" s="47" t="str">
        <f>IFERROR(_xlfn.XLOOKUP(Table6[[#This Row],[Suburb]],Table5[Travel Surcharge],Table5[$$]),"")</f>
        <v/>
      </c>
      <c r="AI3554" s="47"/>
      <c r="AJ3554" s="47"/>
    </row>
    <row r="3555" spans="1:36">
      <c r="A3555" s="374" t="s">
        <v>5230</v>
      </c>
      <c r="B3555" s="374">
        <v>22</v>
      </c>
      <c r="C3555" s="374" t="s">
        <v>502</v>
      </c>
      <c r="D3555" s="375" t="str">
        <f t="shared" si="757"/>
        <v>Riverdale Village Estate22</v>
      </c>
      <c r="E3555" s="375" t="s">
        <v>5255</v>
      </c>
      <c r="F3555" s="375" t="s">
        <v>4202</v>
      </c>
      <c r="G3555" s="375" t="s">
        <v>5232</v>
      </c>
      <c r="H3555" s="375" t="s">
        <v>5233</v>
      </c>
      <c r="I3555" s="63" t="s">
        <v>5234</v>
      </c>
      <c r="J3555" s="47">
        <f t="shared" si="760"/>
        <v>3740</v>
      </c>
      <c r="K3555" s="46" t="s">
        <v>10735</v>
      </c>
      <c r="L3555" s="47">
        <f t="shared" si="761"/>
        <v>1210</v>
      </c>
      <c r="M3555" s="47"/>
      <c r="N3555" s="47"/>
      <c r="O3555" s="47"/>
      <c r="P3555" s="47"/>
      <c r="Q3555" s="47"/>
      <c r="R3555" s="47"/>
      <c r="S3555" s="47"/>
      <c r="T3555" s="47"/>
      <c r="U3555" s="47">
        <f t="shared" si="762"/>
        <v>430</v>
      </c>
      <c r="V3555" s="47"/>
      <c r="W3555" s="47"/>
      <c r="X3555" s="47"/>
      <c r="Y3555" s="47"/>
      <c r="Z3555" s="47">
        <f t="shared" si="759"/>
        <v>4620</v>
      </c>
      <c r="AA3555" s="47"/>
      <c r="AB3555" s="47"/>
      <c r="AC3555" s="47"/>
      <c r="AD3555" s="47"/>
      <c r="AE3555" s="47"/>
      <c r="AF3555" s="47"/>
      <c r="AG3555" s="47"/>
      <c r="AH3555" s="47" t="str">
        <f>IFERROR(_xlfn.XLOOKUP(Table6[[#This Row],[Suburb]],Table5[Travel Surcharge],Table5[$$]),"")</f>
        <v/>
      </c>
      <c r="AI3555" s="47"/>
      <c r="AJ3555" s="47"/>
    </row>
    <row r="3556" spans="1:36">
      <c r="A3556" s="374" t="s">
        <v>5230</v>
      </c>
      <c r="B3556" s="374">
        <v>23</v>
      </c>
      <c r="C3556" s="374" t="s">
        <v>502</v>
      </c>
      <c r="D3556" s="375" t="str">
        <f t="shared" ref="D3556:D3561" si="763">CONCATENATE(A3556,B3556)</f>
        <v>Riverdale Village Estate23</v>
      </c>
      <c r="E3556" s="375" t="s">
        <v>5256</v>
      </c>
      <c r="F3556" s="375" t="s">
        <v>4202</v>
      </c>
      <c r="G3556" s="375" t="s">
        <v>5232</v>
      </c>
      <c r="H3556" s="375" t="s">
        <v>5233</v>
      </c>
      <c r="I3556" s="63" t="s">
        <v>5234</v>
      </c>
      <c r="J3556" s="47">
        <f t="shared" si="760"/>
        <v>3740</v>
      </c>
      <c r="K3556" s="46" t="s">
        <v>10735</v>
      </c>
      <c r="L3556" s="47">
        <f t="shared" si="761"/>
        <v>1210</v>
      </c>
      <c r="M3556" s="47"/>
      <c r="N3556" s="47"/>
      <c r="O3556" s="47"/>
      <c r="P3556" s="47"/>
      <c r="Q3556" s="47"/>
      <c r="R3556" s="47"/>
      <c r="S3556" s="47"/>
      <c r="T3556" s="47"/>
      <c r="U3556" s="47">
        <f t="shared" si="762"/>
        <v>430</v>
      </c>
      <c r="V3556" s="47"/>
      <c r="W3556" s="47"/>
      <c r="X3556" s="47"/>
      <c r="Y3556" s="47"/>
      <c r="Z3556" s="47">
        <f t="shared" ref="Z3556:Z3561" si="764">Z$7</f>
        <v>4620</v>
      </c>
      <c r="AA3556" s="47"/>
      <c r="AB3556" s="47"/>
      <c r="AC3556" s="47"/>
      <c r="AD3556" s="47"/>
      <c r="AE3556" s="47"/>
      <c r="AF3556" s="47"/>
      <c r="AG3556" s="47"/>
      <c r="AH3556" s="47" t="str">
        <f>IFERROR(_xlfn.XLOOKUP(Table6[[#This Row],[Suburb]],Table5[Travel Surcharge],Table5[$$]),"")</f>
        <v/>
      </c>
      <c r="AI3556" s="47"/>
      <c r="AJ3556" s="47"/>
    </row>
    <row r="3557" spans="1:36">
      <c r="A3557" s="374" t="s">
        <v>5230</v>
      </c>
      <c r="B3557" s="374" t="s">
        <v>5251</v>
      </c>
      <c r="C3557" s="374" t="s">
        <v>502</v>
      </c>
      <c r="D3557" s="375" t="str">
        <f t="shared" si="763"/>
        <v>Riverdale Village Estate14B</v>
      </c>
      <c r="E3557" s="375" t="s">
        <v>5244</v>
      </c>
      <c r="F3557" s="375" t="s">
        <v>4202</v>
      </c>
      <c r="G3557" s="375" t="s">
        <v>5232</v>
      </c>
      <c r="H3557" s="375" t="s">
        <v>5233</v>
      </c>
      <c r="I3557" s="63" t="s">
        <v>5234</v>
      </c>
      <c r="J3557" s="47">
        <f t="shared" si="760"/>
        <v>3740</v>
      </c>
      <c r="K3557" s="46" t="s">
        <v>10735</v>
      </c>
      <c r="L3557" s="47">
        <f t="shared" si="761"/>
        <v>1210</v>
      </c>
      <c r="M3557" s="47"/>
      <c r="N3557" s="47"/>
      <c r="O3557" s="47"/>
      <c r="P3557" s="47"/>
      <c r="Q3557" s="47"/>
      <c r="R3557" s="47"/>
      <c r="S3557" s="47"/>
      <c r="T3557" s="47"/>
      <c r="U3557" s="47">
        <f t="shared" si="762"/>
        <v>430</v>
      </c>
      <c r="V3557" s="47"/>
      <c r="W3557" s="47"/>
      <c r="X3557" s="47"/>
      <c r="Y3557" s="47"/>
      <c r="Z3557" s="47">
        <f t="shared" si="764"/>
        <v>4620</v>
      </c>
      <c r="AA3557" s="47"/>
      <c r="AB3557" s="47"/>
      <c r="AC3557" s="47"/>
      <c r="AD3557" s="47"/>
      <c r="AE3557" s="47"/>
      <c r="AF3557" s="47"/>
      <c r="AG3557" s="47"/>
      <c r="AH3557" s="47" t="str">
        <f>IFERROR(_xlfn.XLOOKUP(Table6[[#This Row],[Suburb]],Table5[Travel Surcharge],Table5[$$]),"")</f>
        <v/>
      </c>
      <c r="AI3557" s="47"/>
      <c r="AJ3557" s="47"/>
    </row>
    <row r="3558" spans="1:36">
      <c r="A3558" s="374" t="s">
        <v>5230</v>
      </c>
      <c r="B3558" s="374" t="s">
        <v>2265</v>
      </c>
      <c r="C3558" s="374" t="s">
        <v>502</v>
      </c>
      <c r="D3558" s="375" t="str">
        <f t="shared" si="763"/>
        <v>Riverdale Village Estate19B</v>
      </c>
      <c r="E3558" s="375" t="s">
        <v>5250</v>
      </c>
      <c r="F3558" s="375" t="s">
        <v>4202</v>
      </c>
      <c r="G3558" s="375" t="s">
        <v>5232</v>
      </c>
      <c r="H3558" s="375" t="s">
        <v>5233</v>
      </c>
      <c r="I3558" s="63" t="s">
        <v>5234</v>
      </c>
      <c r="J3558" s="47">
        <f t="shared" si="760"/>
        <v>3740</v>
      </c>
      <c r="K3558" s="46" t="s">
        <v>10735</v>
      </c>
      <c r="L3558" s="47">
        <f t="shared" si="761"/>
        <v>1210</v>
      </c>
      <c r="M3558" s="47"/>
      <c r="N3558" s="47"/>
      <c r="O3558" s="47"/>
      <c r="P3558" s="47"/>
      <c r="Q3558" s="47"/>
      <c r="R3558" s="47"/>
      <c r="S3558" s="47"/>
      <c r="T3558" s="47"/>
      <c r="U3558" s="47">
        <f t="shared" si="762"/>
        <v>430</v>
      </c>
      <c r="V3558" s="47"/>
      <c r="W3558" s="47"/>
      <c r="X3558" s="47"/>
      <c r="Y3558" s="47"/>
      <c r="Z3558" s="47">
        <f t="shared" si="764"/>
        <v>4620</v>
      </c>
      <c r="AA3558" s="47"/>
      <c r="AB3558" s="47"/>
      <c r="AC3558" s="47"/>
      <c r="AD3558" s="47"/>
      <c r="AE3558" s="47"/>
      <c r="AF3558" s="47"/>
      <c r="AG3558" s="47"/>
      <c r="AH3558" s="47" t="str">
        <f>IFERROR(_xlfn.XLOOKUP(Table6[[#This Row],[Suburb]],Table5[Travel Surcharge],Table5[$$]),"")</f>
        <v/>
      </c>
      <c r="AI3558" s="47"/>
      <c r="AJ3558" s="47"/>
    </row>
    <row r="3559" spans="1:36">
      <c r="A3559" s="374" t="s">
        <v>5230</v>
      </c>
      <c r="B3559" s="374" t="s">
        <v>5252</v>
      </c>
      <c r="C3559" s="374" t="s">
        <v>502</v>
      </c>
      <c r="D3559" s="375" t="str">
        <f t="shared" si="763"/>
        <v>Riverdale Village Estate20A</v>
      </c>
      <c r="E3559" s="375" t="s">
        <v>5253</v>
      </c>
      <c r="F3559" s="375" t="s">
        <v>4202</v>
      </c>
      <c r="G3559" s="375" t="s">
        <v>5232</v>
      </c>
      <c r="H3559" s="375" t="s">
        <v>5233</v>
      </c>
      <c r="I3559" s="63" t="s">
        <v>5234</v>
      </c>
      <c r="J3559" s="47">
        <f t="shared" si="760"/>
        <v>3740</v>
      </c>
      <c r="K3559" s="46" t="s">
        <v>10735</v>
      </c>
      <c r="L3559" s="47">
        <f t="shared" si="761"/>
        <v>1210</v>
      </c>
      <c r="M3559" s="47"/>
      <c r="N3559" s="47"/>
      <c r="O3559" s="47"/>
      <c r="P3559" s="47"/>
      <c r="Q3559" s="47"/>
      <c r="R3559" s="47"/>
      <c r="S3559" s="47"/>
      <c r="T3559" s="47"/>
      <c r="U3559" s="47">
        <f t="shared" si="762"/>
        <v>430</v>
      </c>
      <c r="V3559" s="47"/>
      <c r="W3559" s="47"/>
      <c r="X3559" s="47"/>
      <c r="Y3559" s="47"/>
      <c r="Z3559" s="47">
        <f t="shared" si="764"/>
        <v>4620</v>
      </c>
      <c r="AA3559" s="47"/>
      <c r="AB3559" s="47"/>
      <c r="AC3559" s="47"/>
      <c r="AD3559" s="47"/>
      <c r="AE3559" s="47"/>
      <c r="AF3559" s="47"/>
      <c r="AG3559" s="47"/>
      <c r="AH3559" s="47" t="str">
        <f>IFERROR(_xlfn.XLOOKUP(Table6[[#This Row],[Suburb]],Table5[Travel Surcharge],Table5[$$]),"")</f>
        <v/>
      </c>
      <c r="AI3559" s="47"/>
      <c r="AJ3559" s="47"/>
    </row>
    <row r="3560" spans="1:36">
      <c r="A3560" s="374" t="s">
        <v>5230</v>
      </c>
      <c r="B3560" s="374" t="s">
        <v>606</v>
      </c>
      <c r="C3560" s="374" t="s">
        <v>502</v>
      </c>
      <c r="D3560" s="375" t="str">
        <f t="shared" si="763"/>
        <v>Riverdale Village Estate3A</v>
      </c>
      <c r="E3560" s="375" t="s">
        <v>5257</v>
      </c>
      <c r="F3560" s="375" t="s">
        <v>4202</v>
      </c>
      <c r="G3560" s="375" t="s">
        <v>5232</v>
      </c>
      <c r="H3560" s="375" t="s">
        <v>5233</v>
      </c>
      <c r="I3560" s="63" t="s">
        <v>5234</v>
      </c>
      <c r="J3560" s="47">
        <f t="shared" si="760"/>
        <v>3740</v>
      </c>
      <c r="K3560" s="46" t="s">
        <v>10735</v>
      </c>
      <c r="L3560" s="47">
        <f t="shared" si="761"/>
        <v>1210</v>
      </c>
      <c r="M3560" s="47"/>
      <c r="N3560" s="47"/>
      <c r="O3560" s="47"/>
      <c r="P3560" s="47"/>
      <c r="Q3560" s="47"/>
      <c r="R3560" s="47"/>
      <c r="S3560" s="47"/>
      <c r="T3560" s="47"/>
      <c r="U3560" s="47">
        <f t="shared" si="762"/>
        <v>430</v>
      </c>
      <c r="V3560" s="47"/>
      <c r="W3560" s="47"/>
      <c r="X3560" s="47"/>
      <c r="Y3560" s="47"/>
      <c r="Z3560" s="47">
        <f t="shared" si="764"/>
        <v>4620</v>
      </c>
      <c r="AA3560" s="47"/>
      <c r="AB3560" s="47"/>
      <c r="AC3560" s="47"/>
      <c r="AD3560" s="47"/>
      <c r="AE3560" s="47"/>
      <c r="AF3560" s="47"/>
      <c r="AG3560" s="47"/>
      <c r="AH3560" s="47" t="str">
        <f>IFERROR(_xlfn.XLOOKUP(Table6[[#This Row],[Suburb]],Table5[Travel Surcharge],Table5[$$]),"")</f>
        <v/>
      </c>
      <c r="AI3560" s="47"/>
      <c r="AJ3560" s="47"/>
    </row>
    <row r="3561" spans="1:36">
      <c r="A3561" s="374" t="s">
        <v>5230</v>
      </c>
      <c r="B3561" s="374" t="s">
        <v>608</v>
      </c>
      <c r="C3561" s="374" t="s">
        <v>502</v>
      </c>
      <c r="D3561" s="375" t="str">
        <f t="shared" si="763"/>
        <v>Riverdale Village Estate3B</v>
      </c>
      <c r="E3561" s="375" t="s">
        <v>5257</v>
      </c>
      <c r="F3561" s="375" t="s">
        <v>4202</v>
      </c>
      <c r="G3561" s="375" t="s">
        <v>5232</v>
      </c>
      <c r="H3561" s="375" t="s">
        <v>5233</v>
      </c>
      <c r="I3561" s="63" t="s">
        <v>5234</v>
      </c>
      <c r="J3561" s="47">
        <f t="shared" si="760"/>
        <v>3740</v>
      </c>
      <c r="K3561" s="46" t="s">
        <v>10735</v>
      </c>
      <c r="L3561" s="47">
        <f t="shared" si="761"/>
        <v>1210</v>
      </c>
      <c r="M3561" s="47"/>
      <c r="N3561" s="47"/>
      <c r="O3561" s="47"/>
      <c r="P3561" s="47"/>
      <c r="Q3561" s="47"/>
      <c r="R3561" s="47"/>
      <c r="S3561" s="47"/>
      <c r="T3561" s="47"/>
      <c r="U3561" s="47">
        <f t="shared" si="762"/>
        <v>430</v>
      </c>
      <c r="V3561" s="47"/>
      <c r="W3561" s="47"/>
      <c r="X3561" s="47"/>
      <c r="Y3561" s="47"/>
      <c r="Z3561" s="47">
        <f t="shared" si="764"/>
        <v>4620</v>
      </c>
      <c r="AA3561" s="47"/>
      <c r="AB3561" s="47"/>
      <c r="AC3561" s="47"/>
      <c r="AD3561" s="47"/>
      <c r="AE3561" s="47"/>
      <c r="AF3561" s="47"/>
      <c r="AG3561" s="47"/>
      <c r="AH3561" s="47" t="str">
        <f>IFERROR(_xlfn.XLOOKUP(Table6[[#This Row],[Suburb]],Table5[Travel Surcharge],Table5[$$]),"")</f>
        <v/>
      </c>
      <c r="AI3561" s="47"/>
      <c r="AJ3561" s="47"/>
    </row>
    <row r="3562" spans="1:36">
      <c r="A3562" s="374" t="s">
        <v>5258</v>
      </c>
      <c r="B3562" s="374">
        <v>26</v>
      </c>
      <c r="C3562" s="374" t="s">
        <v>1042</v>
      </c>
      <c r="D3562" s="375" t="s">
        <v>9750</v>
      </c>
      <c r="E3562" s="375" t="s">
        <v>9751</v>
      </c>
      <c r="F3562" s="375"/>
      <c r="G3562" s="375" t="s">
        <v>445</v>
      </c>
      <c r="H3562" s="375" t="s">
        <v>5260</v>
      </c>
      <c r="I3562" s="63" t="s">
        <v>5261</v>
      </c>
      <c r="J3562" s="47">
        <v>3740</v>
      </c>
      <c r="K3562" s="46" t="s">
        <v>7938</v>
      </c>
      <c r="L3562" s="47">
        <v>1210</v>
      </c>
      <c r="M3562" s="47" t="s">
        <v>5127</v>
      </c>
      <c r="N3562" s="47"/>
      <c r="O3562" s="47" t="s">
        <v>5262</v>
      </c>
      <c r="P3562" s="47" t="s">
        <v>5263</v>
      </c>
      <c r="Q3562" s="47"/>
      <c r="R3562" s="47"/>
      <c r="S3562" s="47"/>
      <c r="T3562" s="47"/>
      <c r="U3562" s="47">
        <v>540</v>
      </c>
      <c r="V3562" s="47" t="s">
        <v>8190</v>
      </c>
      <c r="W3562" s="47"/>
      <c r="X3562" s="47"/>
      <c r="Y3562" s="47"/>
      <c r="Z3562" s="47">
        <v>4620</v>
      </c>
      <c r="AA3562" s="47">
        <v>1400</v>
      </c>
      <c r="AB3562" s="47"/>
      <c r="AC3562" s="47"/>
      <c r="AD3562" s="47"/>
      <c r="AE3562" s="47"/>
      <c r="AF3562" s="47">
        <v>1485</v>
      </c>
      <c r="AG3562" s="47"/>
      <c r="AH3562" s="47" t="str">
        <f>IFERROR(_xlfn.XLOOKUP(Table6[[#This Row],[Suburb]],Table5[Travel Surcharge],Table5[$$]),"")</f>
        <v/>
      </c>
      <c r="AI3562" s="47" t="s">
        <v>7779</v>
      </c>
      <c r="AJ3562" s="47"/>
    </row>
    <row r="3563" spans="1:36">
      <c r="A3563" s="374" t="s">
        <v>5258</v>
      </c>
      <c r="B3563" s="374">
        <v>1</v>
      </c>
      <c r="C3563" s="374" t="s">
        <v>1042</v>
      </c>
      <c r="D3563" s="375" t="str">
        <f t="shared" ref="D3563:D3597" si="765">CONCATENATE(A3563,B3563)</f>
        <v>Riverfield1</v>
      </c>
      <c r="E3563" s="375" t="s">
        <v>5259</v>
      </c>
      <c r="F3563" s="375"/>
      <c r="G3563" s="375" t="s">
        <v>445</v>
      </c>
      <c r="H3563" s="375" t="s">
        <v>5260</v>
      </c>
      <c r="I3563" s="63" t="s">
        <v>5261</v>
      </c>
      <c r="J3563" s="47">
        <f t="shared" ref="J3563:J3586" si="766">J$7</f>
        <v>3740</v>
      </c>
      <c r="K3563" s="46" t="s">
        <v>7938</v>
      </c>
      <c r="L3563" s="47">
        <f t="shared" ref="L3563:L3578" si="767">L$7</f>
        <v>1210</v>
      </c>
      <c r="M3563" s="47" t="s">
        <v>5127</v>
      </c>
      <c r="N3563" s="47"/>
      <c r="O3563" s="47" t="s">
        <v>5262</v>
      </c>
      <c r="P3563" s="47" t="s">
        <v>5263</v>
      </c>
      <c r="Q3563" s="47"/>
      <c r="R3563" s="47"/>
      <c r="S3563" s="47"/>
      <c r="T3563" s="47"/>
      <c r="U3563" s="47">
        <f t="shared" ref="U3563:U3586" si="768">U$2</f>
        <v>430</v>
      </c>
      <c r="V3563" s="47" t="s">
        <v>8190</v>
      </c>
      <c r="W3563" s="47"/>
      <c r="X3563" s="47"/>
      <c r="Y3563" s="47"/>
      <c r="Z3563" s="47">
        <f t="shared" ref="Z3563:AA3578" si="769">Z$7</f>
        <v>4620</v>
      </c>
      <c r="AA3563" s="47">
        <f t="shared" si="769"/>
        <v>1400</v>
      </c>
      <c r="AB3563" s="47"/>
      <c r="AC3563" s="47"/>
      <c r="AD3563" s="47"/>
      <c r="AE3563" s="47"/>
      <c r="AF3563" s="47">
        <f t="shared" ref="AF3563:AF3586" si="770">AF$7</f>
        <v>1485</v>
      </c>
      <c r="AG3563" s="47"/>
      <c r="AH3563" s="47" t="str">
        <f>IFERROR(_xlfn.XLOOKUP(Table6[[#This Row],[Suburb]],Table5[Travel Surcharge],Table5[$$]),"")</f>
        <v/>
      </c>
      <c r="AI3563" s="47" t="s">
        <v>7779</v>
      </c>
      <c r="AJ3563" s="47"/>
    </row>
    <row r="3564" spans="1:36">
      <c r="A3564" s="374" t="s">
        <v>5258</v>
      </c>
      <c r="B3564" s="374">
        <v>2</v>
      </c>
      <c r="C3564" s="374" t="s">
        <v>1042</v>
      </c>
      <c r="D3564" s="375" t="str">
        <f t="shared" si="765"/>
        <v>Riverfield2</v>
      </c>
      <c r="E3564" s="375" t="s">
        <v>5264</v>
      </c>
      <c r="F3564" s="375"/>
      <c r="G3564" s="375" t="s">
        <v>445</v>
      </c>
      <c r="H3564" s="375" t="s">
        <v>5260</v>
      </c>
      <c r="I3564" s="63" t="s">
        <v>5261</v>
      </c>
      <c r="J3564" s="47">
        <f t="shared" si="766"/>
        <v>3740</v>
      </c>
      <c r="K3564" s="46" t="s">
        <v>7938</v>
      </c>
      <c r="L3564" s="47">
        <f t="shared" si="767"/>
        <v>1210</v>
      </c>
      <c r="M3564" s="47" t="s">
        <v>5127</v>
      </c>
      <c r="N3564" s="47"/>
      <c r="O3564" s="47" t="s">
        <v>5262</v>
      </c>
      <c r="P3564" s="47" t="s">
        <v>5263</v>
      </c>
      <c r="Q3564" s="47"/>
      <c r="R3564" s="47"/>
      <c r="S3564" s="47"/>
      <c r="T3564" s="47"/>
      <c r="U3564" s="47">
        <f t="shared" si="768"/>
        <v>430</v>
      </c>
      <c r="V3564" s="47" t="s">
        <v>8190</v>
      </c>
      <c r="W3564" s="47"/>
      <c r="X3564" s="47"/>
      <c r="Y3564" s="47"/>
      <c r="Z3564" s="47">
        <f t="shared" si="769"/>
        <v>4620</v>
      </c>
      <c r="AA3564" s="47">
        <f t="shared" si="769"/>
        <v>1400</v>
      </c>
      <c r="AB3564" s="47"/>
      <c r="AC3564" s="47"/>
      <c r="AD3564" s="47"/>
      <c r="AE3564" s="47"/>
      <c r="AF3564" s="47">
        <f t="shared" si="770"/>
        <v>1485</v>
      </c>
      <c r="AG3564" s="47"/>
      <c r="AH3564" s="47" t="str">
        <f>IFERROR(_xlfn.XLOOKUP(Table6[[#This Row],[Suburb]],Table5[Travel Surcharge],Table5[$$]),"")</f>
        <v/>
      </c>
      <c r="AI3564" s="47" t="s">
        <v>8306</v>
      </c>
      <c r="AJ3564" s="47"/>
    </row>
    <row r="3565" spans="1:36">
      <c r="A3565" s="374" t="s">
        <v>5258</v>
      </c>
      <c r="B3565" s="374">
        <v>4</v>
      </c>
      <c r="C3565" s="374" t="s">
        <v>1042</v>
      </c>
      <c r="D3565" s="375" t="str">
        <f t="shared" si="765"/>
        <v>Riverfield4</v>
      </c>
      <c r="E3565" s="375" t="s">
        <v>5265</v>
      </c>
      <c r="F3565" s="375"/>
      <c r="G3565" s="375" t="s">
        <v>445</v>
      </c>
      <c r="H3565" s="375" t="s">
        <v>5260</v>
      </c>
      <c r="I3565" s="63" t="s">
        <v>5261</v>
      </c>
      <c r="J3565" s="47">
        <f t="shared" si="766"/>
        <v>3740</v>
      </c>
      <c r="K3565" s="46" t="s">
        <v>7938</v>
      </c>
      <c r="L3565" s="47">
        <f t="shared" si="767"/>
        <v>1210</v>
      </c>
      <c r="M3565" s="47" t="s">
        <v>5127</v>
      </c>
      <c r="N3565" s="47"/>
      <c r="O3565" s="47" t="s">
        <v>5262</v>
      </c>
      <c r="P3565" s="47" t="s">
        <v>5263</v>
      </c>
      <c r="Q3565" s="47"/>
      <c r="R3565" s="47"/>
      <c r="S3565" s="47"/>
      <c r="T3565" s="47"/>
      <c r="U3565" s="47">
        <f t="shared" si="768"/>
        <v>430</v>
      </c>
      <c r="V3565" s="47" t="s">
        <v>8190</v>
      </c>
      <c r="W3565" s="47"/>
      <c r="X3565" s="47"/>
      <c r="Y3565" s="47"/>
      <c r="Z3565" s="47">
        <f t="shared" si="769"/>
        <v>4620</v>
      </c>
      <c r="AA3565" s="47">
        <f t="shared" si="769"/>
        <v>1400</v>
      </c>
      <c r="AB3565" s="47"/>
      <c r="AC3565" s="47"/>
      <c r="AD3565" s="47"/>
      <c r="AE3565" s="47"/>
      <c r="AF3565" s="47">
        <f t="shared" si="770"/>
        <v>1485</v>
      </c>
      <c r="AG3565" s="47"/>
      <c r="AH3565" s="47" t="str">
        <f>IFERROR(_xlfn.XLOOKUP(Table6[[#This Row],[Suburb]],Table5[Travel Surcharge],Table5[$$]),"")</f>
        <v/>
      </c>
      <c r="AI3565" s="47" t="s">
        <v>8307</v>
      </c>
      <c r="AJ3565" s="47"/>
    </row>
    <row r="3566" spans="1:36">
      <c r="A3566" s="374" t="s">
        <v>5258</v>
      </c>
      <c r="B3566" s="374">
        <v>6</v>
      </c>
      <c r="C3566" s="374" t="s">
        <v>1042</v>
      </c>
      <c r="D3566" s="375" t="str">
        <f t="shared" si="765"/>
        <v>Riverfield6</v>
      </c>
      <c r="E3566" s="375" t="s">
        <v>5266</v>
      </c>
      <c r="F3566" s="375"/>
      <c r="G3566" s="375" t="s">
        <v>445</v>
      </c>
      <c r="H3566" s="375" t="s">
        <v>5260</v>
      </c>
      <c r="I3566" s="63" t="s">
        <v>5261</v>
      </c>
      <c r="J3566" s="47">
        <f t="shared" si="766"/>
        <v>3740</v>
      </c>
      <c r="K3566" s="46" t="s">
        <v>7938</v>
      </c>
      <c r="L3566" s="47">
        <f t="shared" si="767"/>
        <v>1210</v>
      </c>
      <c r="M3566" s="47" t="s">
        <v>5127</v>
      </c>
      <c r="N3566" s="47"/>
      <c r="O3566" s="47" t="s">
        <v>5262</v>
      </c>
      <c r="P3566" s="47" t="s">
        <v>5263</v>
      </c>
      <c r="Q3566" s="47"/>
      <c r="R3566" s="47"/>
      <c r="S3566" s="47"/>
      <c r="T3566" s="47"/>
      <c r="U3566" s="47">
        <f t="shared" si="768"/>
        <v>430</v>
      </c>
      <c r="V3566" s="47" t="s">
        <v>8190</v>
      </c>
      <c r="W3566" s="47"/>
      <c r="X3566" s="47"/>
      <c r="Y3566" s="47"/>
      <c r="Z3566" s="47">
        <f t="shared" si="769"/>
        <v>4620</v>
      </c>
      <c r="AA3566" s="47">
        <f t="shared" si="769"/>
        <v>1400</v>
      </c>
      <c r="AB3566" s="47"/>
      <c r="AC3566" s="47"/>
      <c r="AD3566" s="47"/>
      <c r="AE3566" s="47"/>
      <c r="AF3566" s="47">
        <f t="shared" si="770"/>
        <v>1485</v>
      </c>
      <c r="AG3566" s="47"/>
      <c r="AH3566" s="47" t="str">
        <f>IFERROR(_xlfn.XLOOKUP(Table6[[#This Row],[Suburb]],Table5[Travel Surcharge],Table5[$$]),"")</f>
        <v/>
      </c>
      <c r="AI3566" s="47" t="s">
        <v>8308</v>
      </c>
      <c r="AJ3566" s="47"/>
    </row>
    <row r="3567" spans="1:36">
      <c r="A3567" s="157" t="s">
        <v>5258</v>
      </c>
      <c r="B3567" s="157">
        <v>7</v>
      </c>
      <c r="C3567" s="157" t="s">
        <v>1042</v>
      </c>
      <c r="D3567" s="157" t="str">
        <f t="shared" si="765"/>
        <v>Riverfield7</v>
      </c>
      <c r="E3567" s="157" t="s">
        <v>7452</v>
      </c>
      <c r="F3567" s="157"/>
      <c r="G3567" s="157" t="s">
        <v>445</v>
      </c>
      <c r="H3567" s="157" t="s">
        <v>5260</v>
      </c>
      <c r="I3567" s="158" t="s">
        <v>5261</v>
      </c>
      <c r="J3567" s="47">
        <f t="shared" si="766"/>
        <v>3740</v>
      </c>
      <c r="K3567" s="46" t="s">
        <v>7938</v>
      </c>
      <c r="L3567" s="47">
        <f t="shared" si="767"/>
        <v>1210</v>
      </c>
      <c r="M3567" s="47" t="s">
        <v>5127</v>
      </c>
      <c r="N3567" s="47"/>
      <c r="O3567" s="47" t="s">
        <v>5262</v>
      </c>
      <c r="P3567" s="47" t="s">
        <v>5263</v>
      </c>
      <c r="Q3567" s="47"/>
      <c r="R3567" s="47"/>
      <c r="S3567" s="47"/>
      <c r="T3567" s="47"/>
      <c r="U3567" s="47">
        <f t="shared" si="768"/>
        <v>430</v>
      </c>
      <c r="V3567" s="47" t="s">
        <v>8190</v>
      </c>
      <c r="W3567" s="47"/>
      <c r="X3567" s="47"/>
      <c r="Y3567" s="47"/>
      <c r="Z3567" s="47">
        <f t="shared" si="769"/>
        <v>4620</v>
      </c>
      <c r="AA3567" s="47">
        <f t="shared" si="769"/>
        <v>1400</v>
      </c>
      <c r="AB3567" s="47"/>
      <c r="AC3567" s="47"/>
      <c r="AD3567" s="47"/>
      <c r="AE3567" s="47"/>
      <c r="AF3567" s="47">
        <f t="shared" si="770"/>
        <v>1485</v>
      </c>
      <c r="AG3567" s="47"/>
      <c r="AH3567" s="47" t="str">
        <f>IFERROR(_xlfn.XLOOKUP(Table6[[#This Row],[Suburb]],Table5[Travel Surcharge],Table5[$$]),"")</f>
        <v/>
      </c>
      <c r="AI3567" s="47" t="s">
        <v>8309</v>
      </c>
      <c r="AJ3567" s="47"/>
    </row>
    <row r="3568" spans="1:36">
      <c r="A3568" s="374" t="s">
        <v>5258</v>
      </c>
      <c r="B3568" s="374">
        <v>8</v>
      </c>
      <c r="C3568" s="374" t="s">
        <v>1042</v>
      </c>
      <c r="D3568" s="375" t="str">
        <f t="shared" si="765"/>
        <v>Riverfield8</v>
      </c>
      <c r="E3568" s="375" t="s">
        <v>5267</v>
      </c>
      <c r="F3568" s="375"/>
      <c r="G3568" s="375" t="s">
        <v>445</v>
      </c>
      <c r="H3568" s="375" t="s">
        <v>5260</v>
      </c>
      <c r="I3568" s="63" t="s">
        <v>5261</v>
      </c>
      <c r="J3568" s="47">
        <f t="shared" si="766"/>
        <v>3740</v>
      </c>
      <c r="K3568" s="46" t="s">
        <v>7938</v>
      </c>
      <c r="L3568" s="47">
        <f t="shared" si="767"/>
        <v>1210</v>
      </c>
      <c r="M3568" s="47" t="s">
        <v>5127</v>
      </c>
      <c r="N3568" s="47"/>
      <c r="O3568" s="47" t="s">
        <v>5262</v>
      </c>
      <c r="P3568" s="47" t="s">
        <v>5263</v>
      </c>
      <c r="Q3568" s="47"/>
      <c r="R3568" s="47"/>
      <c r="S3568" s="47"/>
      <c r="T3568" s="47"/>
      <c r="U3568" s="47">
        <f t="shared" si="768"/>
        <v>430</v>
      </c>
      <c r="V3568" s="47" t="s">
        <v>8190</v>
      </c>
      <c r="W3568" s="47"/>
      <c r="X3568" s="47"/>
      <c r="Y3568" s="47"/>
      <c r="Z3568" s="47">
        <f t="shared" si="769"/>
        <v>4620</v>
      </c>
      <c r="AA3568" s="47">
        <f t="shared" si="769"/>
        <v>1400</v>
      </c>
      <c r="AB3568" s="47"/>
      <c r="AC3568" s="47"/>
      <c r="AD3568" s="47"/>
      <c r="AE3568" s="47"/>
      <c r="AF3568" s="47">
        <f t="shared" si="770"/>
        <v>1485</v>
      </c>
      <c r="AG3568" s="47"/>
      <c r="AH3568" s="47" t="str">
        <f>IFERROR(_xlfn.XLOOKUP(Table6[[#This Row],[Suburb]],Table5[Travel Surcharge],Table5[$$]),"")</f>
        <v/>
      </c>
      <c r="AI3568" s="47" t="s">
        <v>8310</v>
      </c>
      <c r="AJ3568" s="47"/>
    </row>
    <row r="3569" spans="1:36">
      <c r="A3569" s="374" t="s">
        <v>5258</v>
      </c>
      <c r="B3569" s="374">
        <v>9</v>
      </c>
      <c r="C3569" s="374" t="s">
        <v>1042</v>
      </c>
      <c r="D3569" s="375" t="str">
        <f t="shared" si="765"/>
        <v>Riverfield9</v>
      </c>
      <c r="E3569" s="375" t="s">
        <v>5268</v>
      </c>
      <c r="F3569" s="375"/>
      <c r="G3569" s="375" t="s">
        <v>445</v>
      </c>
      <c r="H3569" s="375" t="s">
        <v>5260</v>
      </c>
      <c r="I3569" s="63" t="s">
        <v>5261</v>
      </c>
      <c r="J3569" s="47">
        <f t="shared" si="766"/>
        <v>3740</v>
      </c>
      <c r="K3569" s="46" t="s">
        <v>7938</v>
      </c>
      <c r="L3569" s="47">
        <f t="shared" si="767"/>
        <v>1210</v>
      </c>
      <c r="M3569" s="47" t="s">
        <v>5127</v>
      </c>
      <c r="N3569" s="47"/>
      <c r="O3569" s="47" t="s">
        <v>5262</v>
      </c>
      <c r="P3569" s="47" t="s">
        <v>5263</v>
      </c>
      <c r="Q3569" s="47"/>
      <c r="R3569" s="47"/>
      <c r="S3569" s="47"/>
      <c r="T3569" s="47"/>
      <c r="U3569" s="47">
        <f t="shared" si="768"/>
        <v>430</v>
      </c>
      <c r="V3569" s="47" t="s">
        <v>8190</v>
      </c>
      <c r="W3569" s="47"/>
      <c r="X3569" s="47"/>
      <c r="Y3569" s="47"/>
      <c r="Z3569" s="47">
        <f t="shared" si="769"/>
        <v>4620</v>
      </c>
      <c r="AA3569" s="47">
        <f t="shared" si="769"/>
        <v>1400</v>
      </c>
      <c r="AB3569" s="47"/>
      <c r="AC3569" s="47"/>
      <c r="AD3569" s="47"/>
      <c r="AE3569" s="47"/>
      <c r="AF3569" s="47">
        <f t="shared" si="770"/>
        <v>1485</v>
      </c>
      <c r="AG3569" s="47"/>
      <c r="AH3569" s="47" t="str">
        <f>IFERROR(_xlfn.XLOOKUP(Table6[[#This Row],[Suburb]],Table5[Travel Surcharge],Table5[$$]),"")</f>
        <v/>
      </c>
      <c r="AI3569" s="47" t="s">
        <v>8311</v>
      </c>
      <c r="AJ3569" s="47"/>
    </row>
    <row r="3570" spans="1:36">
      <c r="A3570" s="374" t="s">
        <v>5258</v>
      </c>
      <c r="B3570" s="374">
        <v>10</v>
      </c>
      <c r="C3570" s="374" t="s">
        <v>1042</v>
      </c>
      <c r="D3570" s="375" t="str">
        <f t="shared" si="765"/>
        <v>Riverfield10</v>
      </c>
      <c r="E3570" s="375" t="s">
        <v>5269</v>
      </c>
      <c r="F3570" s="375"/>
      <c r="G3570" s="375" t="s">
        <v>445</v>
      </c>
      <c r="H3570" s="375" t="s">
        <v>5260</v>
      </c>
      <c r="I3570" s="63" t="s">
        <v>5261</v>
      </c>
      <c r="J3570" s="47">
        <f t="shared" si="766"/>
        <v>3740</v>
      </c>
      <c r="K3570" s="46" t="s">
        <v>7938</v>
      </c>
      <c r="L3570" s="47">
        <f t="shared" si="767"/>
        <v>1210</v>
      </c>
      <c r="M3570" s="47" t="s">
        <v>5127</v>
      </c>
      <c r="N3570" s="47"/>
      <c r="O3570" s="47" t="s">
        <v>5262</v>
      </c>
      <c r="P3570" s="47" t="s">
        <v>5263</v>
      </c>
      <c r="Q3570" s="47"/>
      <c r="R3570" s="47"/>
      <c r="S3570" s="47"/>
      <c r="T3570" s="47"/>
      <c r="U3570" s="47">
        <f t="shared" si="768"/>
        <v>430</v>
      </c>
      <c r="V3570" s="47" t="s">
        <v>8190</v>
      </c>
      <c r="W3570" s="47"/>
      <c r="X3570" s="47"/>
      <c r="Y3570" s="47"/>
      <c r="Z3570" s="47">
        <f t="shared" si="769"/>
        <v>4620</v>
      </c>
      <c r="AA3570" s="47">
        <f t="shared" si="769"/>
        <v>1400</v>
      </c>
      <c r="AB3570" s="47"/>
      <c r="AC3570" s="47"/>
      <c r="AD3570" s="47"/>
      <c r="AE3570" s="47"/>
      <c r="AF3570" s="47">
        <f t="shared" si="770"/>
        <v>1485</v>
      </c>
      <c r="AG3570" s="47"/>
      <c r="AH3570" s="47" t="str">
        <f>IFERROR(_xlfn.XLOOKUP(Table6[[#This Row],[Suburb]],Table5[Travel Surcharge],Table5[$$]),"")</f>
        <v/>
      </c>
      <c r="AI3570" s="47" t="s">
        <v>8312</v>
      </c>
      <c r="AJ3570" s="47"/>
    </row>
    <row r="3571" spans="1:36">
      <c r="A3571" s="374" t="s">
        <v>5258</v>
      </c>
      <c r="B3571" s="374">
        <v>11</v>
      </c>
      <c r="C3571" s="374" t="s">
        <v>1042</v>
      </c>
      <c r="D3571" s="375" t="str">
        <f t="shared" si="765"/>
        <v>Riverfield11</v>
      </c>
      <c r="E3571" s="375" t="s">
        <v>5270</v>
      </c>
      <c r="F3571" s="375"/>
      <c r="G3571" s="375" t="s">
        <v>445</v>
      </c>
      <c r="H3571" s="375" t="s">
        <v>5260</v>
      </c>
      <c r="I3571" s="63" t="s">
        <v>5261</v>
      </c>
      <c r="J3571" s="47">
        <f t="shared" si="766"/>
        <v>3740</v>
      </c>
      <c r="K3571" s="46" t="s">
        <v>7938</v>
      </c>
      <c r="L3571" s="47">
        <f t="shared" si="767"/>
        <v>1210</v>
      </c>
      <c r="M3571" s="47" t="s">
        <v>5127</v>
      </c>
      <c r="N3571" s="47"/>
      <c r="O3571" s="47" t="s">
        <v>5262</v>
      </c>
      <c r="P3571" s="47" t="s">
        <v>5263</v>
      </c>
      <c r="Q3571" s="47"/>
      <c r="R3571" s="47"/>
      <c r="S3571" s="47"/>
      <c r="T3571" s="47"/>
      <c r="U3571" s="47">
        <f t="shared" si="768"/>
        <v>430</v>
      </c>
      <c r="V3571" s="47" t="s">
        <v>8190</v>
      </c>
      <c r="W3571" s="47"/>
      <c r="X3571" s="47"/>
      <c r="Y3571" s="47"/>
      <c r="Z3571" s="47">
        <f t="shared" si="769"/>
        <v>4620</v>
      </c>
      <c r="AA3571" s="47">
        <f t="shared" si="769"/>
        <v>1400</v>
      </c>
      <c r="AB3571" s="47"/>
      <c r="AC3571" s="47"/>
      <c r="AD3571" s="47"/>
      <c r="AE3571" s="47"/>
      <c r="AF3571" s="47">
        <f t="shared" si="770"/>
        <v>1485</v>
      </c>
      <c r="AG3571" s="47"/>
      <c r="AH3571" s="47" t="str">
        <f>IFERROR(_xlfn.XLOOKUP(Table6[[#This Row],[Suburb]],Table5[Travel Surcharge],Table5[$$]),"")</f>
        <v/>
      </c>
      <c r="AI3571" s="47" t="s">
        <v>8313</v>
      </c>
      <c r="AJ3571" s="47"/>
    </row>
    <row r="3572" spans="1:36">
      <c r="A3572" s="157" t="s">
        <v>5258</v>
      </c>
      <c r="B3572" s="157">
        <v>12</v>
      </c>
      <c r="C3572" s="157" t="s">
        <v>7429</v>
      </c>
      <c r="D3572" s="157" t="str">
        <f t="shared" si="765"/>
        <v>Riverfield12</v>
      </c>
      <c r="E3572" s="157" t="s">
        <v>7465</v>
      </c>
      <c r="F3572" s="157"/>
      <c r="G3572" s="157" t="s">
        <v>445</v>
      </c>
      <c r="H3572" s="157" t="s">
        <v>7773</v>
      </c>
      <c r="I3572" s="158" t="s">
        <v>5261</v>
      </c>
      <c r="J3572" s="47">
        <f t="shared" si="766"/>
        <v>3740</v>
      </c>
      <c r="K3572" s="46" t="s">
        <v>7938</v>
      </c>
      <c r="L3572" s="47">
        <f t="shared" si="767"/>
        <v>1210</v>
      </c>
      <c r="M3572" s="47" t="s">
        <v>5127</v>
      </c>
      <c r="N3572" s="47"/>
      <c r="O3572" s="47" t="s">
        <v>5262</v>
      </c>
      <c r="P3572" s="47" t="s">
        <v>5263</v>
      </c>
      <c r="Q3572" s="47"/>
      <c r="R3572" s="47"/>
      <c r="S3572" s="47"/>
      <c r="T3572" s="47"/>
      <c r="U3572" s="47">
        <f t="shared" si="768"/>
        <v>430</v>
      </c>
      <c r="V3572" s="47" t="s">
        <v>8190</v>
      </c>
      <c r="W3572" s="47"/>
      <c r="X3572" s="47"/>
      <c r="Y3572" s="47"/>
      <c r="Z3572" s="47">
        <f t="shared" si="769"/>
        <v>4620</v>
      </c>
      <c r="AA3572" s="47">
        <f t="shared" si="769"/>
        <v>1400</v>
      </c>
      <c r="AB3572" s="47"/>
      <c r="AC3572" s="47"/>
      <c r="AD3572" s="47"/>
      <c r="AE3572" s="47"/>
      <c r="AF3572" s="47">
        <f t="shared" si="770"/>
        <v>1485</v>
      </c>
      <c r="AG3572" s="47"/>
      <c r="AH3572" s="47" t="str">
        <f>IFERROR(_xlfn.XLOOKUP(Table6[[#This Row],[Suburb]],Table5[Travel Surcharge],Table5[$$]),"")</f>
        <v/>
      </c>
      <c r="AI3572" s="47" t="s">
        <v>8314</v>
      </c>
      <c r="AJ3572" s="47"/>
    </row>
    <row r="3573" spans="1:36">
      <c r="A3573" s="157" t="s">
        <v>5258</v>
      </c>
      <c r="B3573" s="157">
        <v>21</v>
      </c>
      <c r="C3573" s="157" t="s">
        <v>7429</v>
      </c>
      <c r="D3573" s="157" t="str">
        <f t="shared" si="765"/>
        <v>Riverfield21</v>
      </c>
      <c r="E3573" s="157" t="s">
        <v>7772</v>
      </c>
      <c r="F3573" s="157"/>
      <c r="G3573" s="157" t="s">
        <v>445</v>
      </c>
      <c r="H3573" s="157" t="s">
        <v>7773</v>
      </c>
      <c r="I3573" s="158" t="s">
        <v>5261</v>
      </c>
      <c r="J3573" s="47">
        <f t="shared" si="766"/>
        <v>3740</v>
      </c>
      <c r="K3573" s="46" t="s">
        <v>7938</v>
      </c>
      <c r="L3573" s="47">
        <f t="shared" si="767"/>
        <v>1210</v>
      </c>
      <c r="M3573" s="47" t="s">
        <v>5127</v>
      </c>
      <c r="N3573" s="47"/>
      <c r="O3573" s="47" t="s">
        <v>5262</v>
      </c>
      <c r="P3573" s="47" t="s">
        <v>5263</v>
      </c>
      <c r="Q3573" s="47"/>
      <c r="R3573" s="47"/>
      <c r="S3573" s="47" t="s">
        <v>7774</v>
      </c>
      <c r="T3573" s="47"/>
      <c r="U3573" s="47">
        <f t="shared" si="768"/>
        <v>430</v>
      </c>
      <c r="V3573" s="47" t="s">
        <v>8190</v>
      </c>
      <c r="W3573" s="47"/>
      <c r="X3573" s="47"/>
      <c r="Y3573" s="47"/>
      <c r="Z3573" s="47">
        <f t="shared" si="769"/>
        <v>4620</v>
      </c>
      <c r="AA3573" s="47">
        <f t="shared" si="769"/>
        <v>1400</v>
      </c>
      <c r="AB3573" s="47"/>
      <c r="AC3573" s="47"/>
      <c r="AD3573" s="47"/>
      <c r="AE3573" s="47"/>
      <c r="AF3573" s="47">
        <f t="shared" si="770"/>
        <v>1485</v>
      </c>
      <c r="AG3573" s="47"/>
      <c r="AH3573" s="47" t="str">
        <f>IFERROR(_xlfn.XLOOKUP(Table6[[#This Row],[Suburb]],Table5[Travel Surcharge],Table5[$$]),"")</f>
        <v/>
      </c>
      <c r="AI3573" s="47" t="s">
        <v>8315</v>
      </c>
      <c r="AJ3573" s="47"/>
    </row>
    <row r="3574" spans="1:36">
      <c r="A3574" s="157" t="s">
        <v>5258</v>
      </c>
      <c r="B3574" s="157">
        <v>22</v>
      </c>
      <c r="C3574" s="157" t="s">
        <v>7429</v>
      </c>
      <c r="D3574" s="157" t="str">
        <f t="shared" si="765"/>
        <v>Riverfield22</v>
      </c>
      <c r="E3574" s="157" t="s">
        <v>8696</v>
      </c>
      <c r="F3574" s="157"/>
      <c r="G3574" s="157" t="s">
        <v>445</v>
      </c>
      <c r="H3574" s="157" t="s">
        <v>7773</v>
      </c>
      <c r="I3574" s="158" t="s">
        <v>5261</v>
      </c>
      <c r="J3574" s="47">
        <f t="shared" si="766"/>
        <v>3740</v>
      </c>
      <c r="K3574" s="46" t="s">
        <v>7938</v>
      </c>
      <c r="L3574" s="47">
        <f t="shared" si="767"/>
        <v>1210</v>
      </c>
      <c r="M3574" s="47" t="s">
        <v>5127</v>
      </c>
      <c r="N3574" s="47"/>
      <c r="O3574" s="47" t="s">
        <v>5262</v>
      </c>
      <c r="P3574" s="47" t="s">
        <v>5263</v>
      </c>
      <c r="Q3574" s="47"/>
      <c r="R3574" s="47"/>
      <c r="S3574" s="47" t="s">
        <v>7774</v>
      </c>
      <c r="T3574" s="47"/>
      <c r="U3574" s="47">
        <f t="shared" si="768"/>
        <v>430</v>
      </c>
      <c r="V3574" s="47" t="s">
        <v>8190</v>
      </c>
      <c r="W3574" s="47"/>
      <c r="X3574" s="47"/>
      <c r="Y3574" s="47"/>
      <c r="Z3574" s="47">
        <f t="shared" si="769"/>
        <v>4620</v>
      </c>
      <c r="AA3574" s="47">
        <f t="shared" si="769"/>
        <v>1400</v>
      </c>
      <c r="AB3574" s="47"/>
      <c r="AC3574" s="47"/>
      <c r="AD3574" s="47"/>
      <c r="AE3574" s="47"/>
      <c r="AF3574" s="47">
        <f t="shared" si="770"/>
        <v>1485</v>
      </c>
      <c r="AG3574" s="47"/>
      <c r="AH3574" s="47" t="str">
        <f>IFERROR(_xlfn.XLOOKUP(Table6[[#This Row],[Suburb]],Table5[Travel Surcharge],Table5[$$]),"")</f>
        <v/>
      </c>
      <c r="AI3574" s="47" t="s">
        <v>8315</v>
      </c>
      <c r="AJ3574" s="47"/>
    </row>
    <row r="3575" spans="1:36">
      <c r="A3575" s="157" t="s">
        <v>5258</v>
      </c>
      <c r="B3575" s="157">
        <v>23</v>
      </c>
      <c r="C3575" s="157" t="s">
        <v>7429</v>
      </c>
      <c r="D3575" s="157" t="str">
        <f t="shared" si="765"/>
        <v>Riverfield23</v>
      </c>
      <c r="E3575" s="157" t="s">
        <v>7777</v>
      </c>
      <c r="F3575" s="157"/>
      <c r="G3575" s="157" t="s">
        <v>445</v>
      </c>
      <c r="H3575" s="157" t="s">
        <v>7773</v>
      </c>
      <c r="I3575" s="158" t="s">
        <v>5261</v>
      </c>
      <c r="J3575" s="47">
        <f t="shared" si="766"/>
        <v>3740</v>
      </c>
      <c r="K3575" s="46" t="s">
        <v>7938</v>
      </c>
      <c r="L3575" s="47">
        <f t="shared" si="767"/>
        <v>1210</v>
      </c>
      <c r="M3575" s="47" t="s">
        <v>5127</v>
      </c>
      <c r="N3575" s="47"/>
      <c r="O3575" s="47" t="s">
        <v>5262</v>
      </c>
      <c r="P3575" s="47" t="s">
        <v>5263</v>
      </c>
      <c r="Q3575" s="47"/>
      <c r="R3575" s="47"/>
      <c r="S3575" s="47" t="s">
        <v>7895</v>
      </c>
      <c r="T3575" s="47"/>
      <c r="U3575" s="47">
        <f t="shared" si="768"/>
        <v>430</v>
      </c>
      <c r="V3575" s="47" t="s">
        <v>8190</v>
      </c>
      <c r="W3575" s="47"/>
      <c r="X3575" s="47"/>
      <c r="Y3575" s="47"/>
      <c r="Z3575" s="47">
        <f t="shared" si="769"/>
        <v>4620</v>
      </c>
      <c r="AA3575" s="47">
        <f t="shared" si="769"/>
        <v>1400</v>
      </c>
      <c r="AB3575" s="47"/>
      <c r="AC3575" s="47"/>
      <c r="AD3575" s="47" t="s">
        <v>1</v>
      </c>
      <c r="AE3575" s="47"/>
      <c r="AF3575" s="47">
        <f t="shared" si="770"/>
        <v>1485</v>
      </c>
      <c r="AG3575" s="47"/>
      <c r="AH3575" s="47" t="str">
        <f>IFERROR(_xlfn.XLOOKUP(Table6[[#This Row],[Suburb]],Table5[Travel Surcharge],Table5[$$]),"")</f>
        <v/>
      </c>
      <c r="AI3575" s="47" t="s">
        <v>7779</v>
      </c>
      <c r="AJ3575" s="47"/>
    </row>
    <row r="3576" spans="1:36">
      <c r="A3576" s="157" t="s">
        <v>5258</v>
      </c>
      <c r="B3576" s="157">
        <v>24</v>
      </c>
      <c r="C3576" s="157" t="s">
        <v>7499</v>
      </c>
      <c r="D3576" s="157" t="str">
        <f t="shared" si="765"/>
        <v>Riverfield24</v>
      </c>
      <c r="E3576" s="157" t="s">
        <v>8316</v>
      </c>
      <c r="F3576" s="157"/>
      <c r="G3576" s="157" t="s">
        <v>445</v>
      </c>
      <c r="H3576" s="157" t="s">
        <v>8304</v>
      </c>
      <c r="I3576" s="158" t="s">
        <v>5261</v>
      </c>
      <c r="J3576" s="47">
        <f t="shared" si="766"/>
        <v>3740</v>
      </c>
      <c r="K3576" s="46" t="s">
        <v>7938</v>
      </c>
      <c r="L3576" s="47">
        <f t="shared" si="767"/>
        <v>1210</v>
      </c>
      <c r="M3576" s="47" t="s">
        <v>8305</v>
      </c>
      <c r="N3576" s="47"/>
      <c r="O3576" s="47" t="s">
        <v>5262</v>
      </c>
      <c r="P3576" s="47" t="s">
        <v>5263</v>
      </c>
      <c r="Q3576" s="47"/>
      <c r="R3576" s="47"/>
      <c r="S3576" s="47" t="s">
        <v>7895</v>
      </c>
      <c r="T3576" s="47"/>
      <c r="U3576" s="47">
        <f t="shared" si="768"/>
        <v>430</v>
      </c>
      <c r="V3576" s="47" t="s">
        <v>8190</v>
      </c>
      <c r="W3576" s="47"/>
      <c r="X3576" s="47"/>
      <c r="Y3576" s="47"/>
      <c r="Z3576" s="47">
        <f t="shared" si="769"/>
        <v>4620</v>
      </c>
      <c r="AA3576" s="47">
        <f t="shared" si="769"/>
        <v>1400</v>
      </c>
      <c r="AB3576" s="47"/>
      <c r="AC3576" s="47"/>
      <c r="AD3576" s="47" t="s">
        <v>1</v>
      </c>
      <c r="AE3576" s="47"/>
      <c r="AF3576" s="47">
        <f t="shared" si="770"/>
        <v>1485</v>
      </c>
      <c r="AG3576" s="47"/>
      <c r="AH3576" s="47" t="str">
        <f>IFERROR(_xlfn.XLOOKUP(Table6[[#This Row],[Suburb]],Table5[Travel Surcharge],Table5[$$]),"")</f>
        <v/>
      </c>
      <c r="AI3576" s="47" t="s">
        <v>8306</v>
      </c>
      <c r="AJ3576" s="47"/>
    </row>
    <row r="3577" spans="1:36">
      <c r="A3577" s="374" t="s">
        <v>5258</v>
      </c>
      <c r="B3577" s="374">
        <v>29</v>
      </c>
      <c r="C3577" s="374" t="s">
        <v>7499</v>
      </c>
      <c r="D3577" s="375" t="str">
        <f t="shared" si="765"/>
        <v>Riverfield29</v>
      </c>
      <c r="E3577" s="375" t="s">
        <v>10411</v>
      </c>
      <c r="F3577" s="375"/>
      <c r="G3577" s="375" t="s">
        <v>445</v>
      </c>
      <c r="H3577" s="375" t="s">
        <v>8304</v>
      </c>
      <c r="I3577" s="63" t="s">
        <v>5261</v>
      </c>
      <c r="J3577" s="47">
        <v>3740</v>
      </c>
      <c r="K3577" s="46" t="s">
        <v>7938</v>
      </c>
      <c r="L3577" s="47">
        <v>1210</v>
      </c>
      <c r="M3577" s="47" t="s">
        <v>8305</v>
      </c>
      <c r="N3577" s="47"/>
      <c r="O3577" s="47" t="s">
        <v>5262</v>
      </c>
      <c r="P3577" s="47" t="s">
        <v>5263</v>
      </c>
      <c r="Q3577" s="47"/>
      <c r="R3577" s="47"/>
      <c r="S3577" s="47" t="s">
        <v>7895</v>
      </c>
      <c r="T3577" s="47"/>
      <c r="U3577" s="47">
        <v>540</v>
      </c>
      <c r="V3577" s="47" t="s">
        <v>8190</v>
      </c>
      <c r="W3577" s="47"/>
      <c r="X3577" s="47"/>
      <c r="Y3577" s="47"/>
      <c r="Z3577" s="47">
        <v>4620</v>
      </c>
      <c r="AA3577" s="47">
        <v>1400</v>
      </c>
      <c r="AB3577" s="47"/>
      <c r="AC3577" s="47"/>
      <c r="AD3577" s="47" t="s">
        <v>1</v>
      </c>
      <c r="AE3577" s="47"/>
      <c r="AF3577" s="47">
        <v>1485</v>
      </c>
      <c r="AG3577" s="47"/>
      <c r="AH3577" s="47" t="s">
        <v>9976</v>
      </c>
      <c r="AI3577" s="47" t="s">
        <v>8306</v>
      </c>
      <c r="AJ3577" s="47"/>
    </row>
    <row r="3578" spans="1:36">
      <c r="A3578" s="157" t="s">
        <v>5258</v>
      </c>
      <c r="B3578" s="157">
        <v>30</v>
      </c>
      <c r="C3578" s="157" t="s">
        <v>7499</v>
      </c>
      <c r="D3578" s="157" t="str">
        <f t="shared" si="765"/>
        <v>Riverfield30</v>
      </c>
      <c r="E3578" s="157" t="s">
        <v>9385</v>
      </c>
      <c r="F3578" s="157"/>
      <c r="G3578" s="157" t="s">
        <v>445</v>
      </c>
      <c r="H3578" s="157" t="s">
        <v>8304</v>
      </c>
      <c r="I3578" s="158" t="s">
        <v>5261</v>
      </c>
      <c r="J3578" s="47">
        <f t="shared" si="766"/>
        <v>3740</v>
      </c>
      <c r="K3578" s="46" t="s">
        <v>7938</v>
      </c>
      <c r="L3578" s="47">
        <f t="shared" si="767"/>
        <v>1210</v>
      </c>
      <c r="M3578" s="47" t="s">
        <v>8305</v>
      </c>
      <c r="N3578" s="47"/>
      <c r="O3578" s="47" t="s">
        <v>5262</v>
      </c>
      <c r="P3578" s="47" t="s">
        <v>5263</v>
      </c>
      <c r="Q3578" s="47"/>
      <c r="R3578" s="47"/>
      <c r="S3578" s="47" t="s">
        <v>7895</v>
      </c>
      <c r="T3578" s="47"/>
      <c r="U3578" s="47">
        <f t="shared" si="768"/>
        <v>430</v>
      </c>
      <c r="V3578" s="47" t="s">
        <v>8190</v>
      </c>
      <c r="W3578" s="47"/>
      <c r="X3578" s="47"/>
      <c r="Y3578" s="47"/>
      <c r="Z3578" s="47">
        <f t="shared" si="769"/>
        <v>4620</v>
      </c>
      <c r="AA3578" s="47">
        <f t="shared" si="769"/>
        <v>1400</v>
      </c>
      <c r="AB3578" s="47"/>
      <c r="AC3578" s="47"/>
      <c r="AD3578" s="47" t="s">
        <v>1</v>
      </c>
      <c r="AE3578" s="47"/>
      <c r="AF3578" s="47">
        <f t="shared" si="770"/>
        <v>1485</v>
      </c>
      <c r="AG3578" s="47"/>
      <c r="AH3578" s="47" t="str">
        <f>IFERROR(_xlfn.XLOOKUP(Table6[[#This Row],[Suburb]],Table5[Travel Surcharge],Table5[$$]),"")</f>
        <v/>
      </c>
      <c r="AI3578" s="47" t="s">
        <v>8306</v>
      </c>
      <c r="AJ3578" s="47"/>
    </row>
    <row r="3579" spans="1:36">
      <c r="A3579" s="374" t="s">
        <v>5258</v>
      </c>
      <c r="B3579" s="374">
        <v>31</v>
      </c>
      <c r="C3579" s="374" t="s">
        <v>7499</v>
      </c>
      <c r="D3579" s="375" t="str">
        <f t="shared" si="765"/>
        <v>Riverfield31</v>
      </c>
      <c r="E3579" s="375" t="s">
        <v>10154</v>
      </c>
      <c r="F3579" s="375"/>
      <c r="G3579" s="375" t="s">
        <v>445</v>
      </c>
      <c r="H3579" s="375" t="s">
        <v>8304</v>
      </c>
      <c r="I3579" s="63" t="s">
        <v>5261</v>
      </c>
      <c r="J3579" s="47">
        <v>3740</v>
      </c>
      <c r="K3579" s="46" t="s">
        <v>7938</v>
      </c>
      <c r="L3579" s="47">
        <v>1210</v>
      </c>
      <c r="M3579" s="47" t="s">
        <v>8305</v>
      </c>
      <c r="N3579" s="47"/>
      <c r="O3579" s="47" t="s">
        <v>5262</v>
      </c>
      <c r="P3579" s="47" t="s">
        <v>5263</v>
      </c>
      <c r="Q3579" s="47"/>
      <c r="R3579" s="47"/>
      <c r="S3579" s="47" t="s">
        <v>7895</v>
      </c>
      <c r="T3579" s="47"/>
      <c r="U3579" s="47">
        <v>540</v>
      </c>
      <c r="V3579" s="47" t="s">
        <v>8190</v>
      </c>
      <c r="W3579" s="47"/>
      <c r="X3579" s="47"/>
      <c r="Y3579" s="47"/>
      <c r="Z3579" s="47">
        <v>4620</v>
      </c>
      <c r="AA3579" s="47">
        <v>1400</v>
      </c>
      <c r="AB3579" s="47"/>
      <c r="AC3579" s="47"/>
      <c r="AD3579" s="47" t="s">
        <v>1</v>
      </c>
      <c r="AE3579" s="47"/>
      <c r="AF3579" s="47">
        <v>1485</v>
      </c>
      <c r="AG3579" s="47"/>
      <c r="AH3579" s="47" t="s">
        <v>9976</v>
      </c>
      <c r="AI3579" s="47" t="s">
        <v>8306</v>
      </c>
      <c r="AJ3579" s="47"/>
    </row>
    <row r="3580" spans="1:36">
      <c r="A3580" s="374" t="s">
        <v>5271</v>
      </c>
      <c r="B3580" s="374">
        <v>1</v>
      </c>
      <c r="C3580" s="374" t="s">
        <v>455</v>
      </c>
      <c r="D3580" s="375" t="str">
        <f t="shared" si="765"/>
        <v>Riverhills Estate1</v>
      </c>
      <c r="E3580" s="375" t="s">
        <v>5272</v>
      </c>
      <c r="F3580" s="375" t="s">
        <v>5273</v>
      </c>
      <c r="G3580" s="375" t="s">
        <v>3642</v>
      </c>
      <c r="H3580" s="375" t="s">
        <v>5274</v>
      </c>
      <c r="I3580" s="63" t="s">
        <v>5275</v>
      </c>
      <c r="J3580" s="47">
        <f t="shared" si="766"/>
        <v>3740</v>
      </c>
      <c r="K3580" s="46" t="s">
        <v>7938</v>
      </c>
      <c r="L3580" s="47" t="s">
        <v>5276</v>
      </c>
      <c r="M3580" s="47"/>
      <c r="N3580" s="47"/>
      <c r="O3580" s="47">
        <f>O$7</f>
        <v>4950</v>
      </c>
      <c r="P3580" s="47"/>
      <c r="Q3580" s="47"/>
      <c r="R3580" s="47"/>
      <c r="S3580" s="47"/>
      <c r="T3580" s="47"/>
      <c r="U3580" s="47">
        <f t="shared" si="768"/>
        <v>430</v>
      </c>
      <c r="V3580" s="47" t="s">
        <v>5277</v>
      </c>
      <c r="W3580" s="47"/>
      <c r="X3580" s="47"/>
      <c r="Y3580" s="47"/>
      <c r="Z3580" s="47">
        <f t="shared" ref="Z3580:Z3615" si="771">Z$7</f>
        <v>4620</v>
      </c>
      <c r="AA3580" s="47"/>
      <c r="AB3580" s="47"/>
      <c r="AC3580" s="47"/>
      <c r="AD3580" s="47"/>
      <c r="AE3580" s="47"/>
      <c r="AF3580" s="47">
        <f t="shared" si="770"/>
        <v>1485</v>
      </c>
      <c r="AG3580" s="47" t="s">
        <v>464</v>
      </c>
      <c r="AH3580" s="47" t="str">
        <f>IFERROR(_xlfn.XLOOKUP(Table6[[#This Row],[Suburb]],Table5[Travel Surcharge],Table5[$$]),"")</f>
        <v/>
      </c>
      <c r="AI3580" s="47">
        <f t="shared" ref="AI3580:AI3586" si="772">AI$7</f>
        <v>1650.0000000000002</v>
      </c>
      <c r="AJ3580" s="47"/>
    </row>
    <row r="3581" spans="1:36">
      <c r="A3581" s="374" t="s">
        <v>5271</v>
      </c>
      <c r="B3581" s="374">
        <v>2</v>
      </c>
      <c r="C3581" s="374" t="s">
        <v>455</v>
      </c>
      <c r="D3581" s="375" t="str">
        <f t="shared" si="765"/>
        <v>Riverhills Estate2</v>
      </c>
      <c r="E3581" s="375" t="s">
        <v>5278</v>
      </c>
      <c r="F3581" s="375" t="s">
        <v>5273</v>
      </c>
      <c r="G3581" s="375" t="s">
        <v>3642</v>
      </c>
      <c r="H3581" s="375" t="s">
        <v>5274</v>
      </c>
      <c r="I3581" s="63" t="s">
        <v>5275</v>
      </c>
      <c r="J3581" s="47">
        <f t="shared" si="766"/>
        <v>3740</v>
      </c>
      <c r="K3581" s="46" t="s">
        <v>7938</v>
      </c>
      <c r="L3581" s="47" t="s">
        <v>5276</v>
      </c>
      <c r="M3581" s="47"/>
      <c r="N3581" s="47"/>
      <c r="O3581" s="47">
        <f>O$7</f>
        <v>4950</v>
      </c>
      <c r="P3581" s="47"/>
      <c r="Q3581" s="47"/>
      <c r="R3581" s="47"/>
      <c r="S3581" s="47"/>
      <c r="T3581" s="47"/>
      <c r="U3581" s="47">
        <f t="shared" si="768"/>
        <v>430</v>
      </c>
      <c r="V3581" s="47" t="s">
        <v>5277</v>
      </c>
      <c r="W3581" s="47"/>
      <c r="X3581" s="47"/>
      <c r="Y3581" s="47"/>
      <c r="Z3581" s="47">
        <f t="shared" si="771"/>
        <v>4620</v>
      </c>
      <c r="AA3581" s="47"/>
      <c r="AB3581" s="47"/>
      <c r="AC3581" s="47"/>
      <c r="AD3581" s="47"/>
      <c r="AE3581" s="47"/>
      <c r="AF3581" s="47">
        <f t="shared" si="770"/>
        <v>1485</v>
      </c>
      <c r="AG3581" s="47" t="s">
        <v>464</v>
      </c>
      <c r="AH3581" s="47" t="str">
        <f>IFERROR(_xlfn.XLOOKUP(Table6[[#This Row],[Suburb]],Table5[Travel Surcharge],Table5[$$]),"")</f>
        <v/>
      </c>
      <c r="AI3581" s="47">
        <f t="shared" si="772"/>
        <v>1650.0000000000002</v>
      </c>
      <c r="AJ3581" s="47"/>
    </row>
    <row r="3582" spans="1:36">
      <c r="A3582" s="374" t="s">
        <v>5271</v>
      </c>
      <c r="B3582" s="374">
        <v>3</v>
      </c>
      <c r="C3582" s="374" t="s">
        <v>455</v>
      </c>
      <c r="D3582" s="375" t="str">
        <f t="shared" si="765"/>
        <v>Riverhills Estate3</v>
      </c>
      <c r="E3582" s="375" t="s">
        <v>5279</v>
      </c>
      <c r="F3582" s="375" t="s">
        <v>5273</v>
      </c>
      <c r="G3582" s="375" t="s">
        <v>3642</v>
      </c>
      <c r="H3582" s="375" t="s">
        <v>5274</v>
      </c>
      <c r="I3582" s="63" t="s">
        <v>5275</v>
      </c>
      <c r="J3582" s="47">
        <f t="shared" si="766"/>
        <v>3740</v>
      </c>
      <c r="K3582" s="46" t="s">
        <v>7938</v>
      </c>
      <c r="L3582" s="47" t="s">
        <v>5276</v>
      </c>
      <c r="M3582" s="47"/>
      <c r="N3582" s="47"/>
      <c r="O3582" s="47">
        <f>O$7</f>
        <v>4950</v>
      </c>
      <c r="P3582" s="47"/>
      <c r="Q3582" s="47"/>
      <c r="R3582" s="47"/>
      <c r="S3582" s="47"/>
      <c r="T3582" s="47"/>
      <c r="U3582" s="47">
        <f t="shared" si="768"/>
        <v>430</v>
      </c>
      <c r="V3582" s="47" t="s">
        <v>5277</v>
      </c>
      <c r="W3582" s="47"/>
      <c r="X3582" s="47"/>
      <c r="Y3582" s="47"/>
      <c r="Z3582" s="47">
        <f t="shared" si="771"/>
        <v>4620</v>
      </c>
      <c r="AA3582" s="47"/>
      <c r="AB3582" s="47"/>
      <c r="AC3582" s="47"/>
      <c r="AD3582" s="47"/>
      <c r="AE3582" s="47"/>
      <c r="AF3582" s="47">
        <f t="shared" si="770"/>
        <v>1485</v>
      </c>
      <c r="AG3582" s="47" t="s">
        <v>464</v>
      </c>
      <c r="AH3582" s="47" t="str">
        <f>IFERROR(_xlfn.XLOOKUP(Table6[[#This Row],[Suburb]],Table5[Travel Surcharge],Table5[$$]),"")</f>
        <v/>
      </c>
      <c r="AI3582" s="47">
        <f t="shared" si="772"/>
        <v>1650.0000000000002</v>
      </c>
      <c r="AJ3582" s="47"/>
    </row>
    <row r="3583" spans="1:36">
      <c r="A3583" s="374" t="s">
        <v>5271</v>
      </c>
      <c r="B3583" s="374">
        <v>3</v>
      </c>
      <c r="C3583" s="374" t="s">
        <v>455</v>
      </c>
      <c r="D3583" s="375" t="str">
        <f t="shared" si="765"/>
        <v>Riverhills Estate3</v>
      </c>
      <c r="E3583" s="375" t="s">
        <v>5279</v>
      </c>
      <c r="F3583" s="375" t="s">
        <v>5273</v>
      </c>
      <c r="G3583" s="375" t="s">
        <v>3642</v>
      </c>
      <c r="H3583" s="375" t="s">
        <v>5274</v>
      </c>
      <c r="I3583" s="63" t="s">
        <v>5275</v>
      </c>
      <c r="J3583" s="47">
        <f t="shared" si="766"/>
        <v>3740</v>
      </c>
      <c r="K3583" s="46" t="s">
        <v>7938</v>
      </c>
      <c r="L3583" s="47" t="s">
        <v>7395</v>
      </c>
      <c r="M3583" s="47"/>
      <c r="N3583" s="47"/>
      <c r="O3583" s="47"/>
      <c r="P3583" s="47"/>
      <c r="Q3583" s="47"/>
      <c r="R3583" s="47"/>
      <c r="S3583" s="47"/>
      <c r="T3583" s="47"/>
      <c r="U3583" s="47">
        <f t="shared" si="768"/>
        <v>430</v>
      </c>
      <c r="V3583" s="47" t="s">
        <v>5277</v>
      </c>
      <c r="W3583" s="47"/>
      <c r="X3583" s="47"/>
      <c r="Y3583" s="47"/>
      <c r="Z3583" s="47">
        <f t="shared" si="771"/>
        <v>4620</v>
      </c>
      <c r="AA3583" s="47"/>
      <c r="AB3583" s="47"/>
      <c r="AC3583" s="47"/>
      <c r="AD3583" s="47"/>
      <c r="AE3583" s="47"/>
      <c r="AF3583" s="47">
        <f t="shared" si="770"/>
        <v>1485</v>
      </c>
      <c r="AG3583" s="47" t="s">
        <v>464</v>
      </c>
      <c r="AH3583" s="47" t="str">
        <f>IFERROR(_xlfn.XLOOKUP(Table6[[#This Row],[Suburb]],Table5[Travel Surcharge],Table5[$$]),"")</f>
        <v/>
      </c>
      <c r="AI3583" s="47">
        <f t="shared" si="772"/>
        <v>1650.0000000000002</v>
      </c>
      <c r="AJ3583" s="47"/>
    </row>
    <row r="3584" spans="1:36">
      <c r="A3584" s="374" t="s">
        <v>5271</v>
      </c>
      <c r="B3584" s="374">
        <v>5</v>
      </c>
      <c r="C3584" s="374" t="s">
        <v>455</v>
      </c>
      <c r="D3584" s="375" t="str">
        <f t="shared" si="765"/>
        <v>Riverhills Estate5</v>
      </c>
      <c r="E3584" s="375" t="s">
        <v>5280</v>
      </c>
      <c r="F3584" s="375" t="s">
        <v>5273</v>
      </c>
      <c r="G3584" s="375" t="s">
        <v>3642</v>
      </c>
      <c r="H3584" s="375" t="s">
        <v>5274</v>
      </c>
      <c r="I3584" s="63" t="s">
        <v>5275</v>
      </c>
      <c r="J3584" s="47">
        <f t="shared" si="766"/>
        <v>3740</v>
      </c>
      <c r="K3584" s="46" t="s">
        <v>7938</v>
      </c>
      <c r="L3584" s="47" t="s">
        <v>5276</v>
      </c>
      <c r="M3584" s="47"/>
      <c r="N3584" s="47"/>
      <c r="O3584" s="47">
        <f>O$7</f>
        <v>4950</v>
      </c>
      <c r="P3584" s="47"/>
      <c r="Q3584" s="47"/>
      <c r="R3584" s="47"/>
      <c r="S3584" s="47"/>
      <c r="T3584" s="47"/>
      <c r="U3584" s="47">
        <f t="shared" si="768"/>
        <v>430</v>
      </c>
      <c r="V3584" s="47" t="s">
        <v>5277</v>
      </c>
      <c r="W3584" s="47"/>
      <c r="X3584" s="47"/>
      <c r="Y3584" s="47"/>
      <c r="Z3584" s="47">
        <f t="shared" si="771"/>
        <v>4620</v>
      </c>
      <c r="AA3584" s="47"/>
      <c r="AB3584" s="47"/>
      <c r="AC3584" s="47"/>
      <c r="AD3584" s="47"/>
      <c r="AE3584" s="47"/>
      <c r="AF3584" s="47">
        <f t="shared" si="770"/>
        <v>1485</v>
      </c>
      <c r="AG3584" s="47" t="s">
        <v>464</v>
      </c>
      <c r="AH3584" s="47" t="str">
        <f>IFERROR(_xlfn.XLOOKUP(Table6[[#This Row],[Suburb]],Table5[Travel Surcharge],Table5[$$]),"")</f>
        <v/>
      </c>
      <c r="AI3584" s="47">
        <f t="shared" si="772"/>
        <v>1650.0000000000002</v>
      </c>
      <c r="AJ3584" s="47"/>
    </row>
    <row r="3585" spans="1:36">
      <c r="A3585" s="374" t="s">
        <v>5271</v>
      </c>
      <c r="B3585" s="374">
        <v>6</v>
      </c>
      <c r="C3585" s="374" t="s">
        <v>455</v>
      </c>
      <c r="D3585" s="375" t="str">
        <f t="shared" si="765"/>
        <v>Riverhills Estate6</v>
      </c>
      <c r="E3585" s="375" t="s">
        <v>5281</v>
      </c>
      <c r="F3585" s="375" t="s">
        <v>5273</v>
      </c>
      <c r="G3585" s="375" t="s">
        <v>3642</v>
      </c>
      <c r="H3585" s="375" t="s">
        <v>5274</v>
      </c>
      <c r="I3585" s="63" t="s">
        <v>5275</v>
      </c>
      <c r="J3585" s="47">
        <f t="shared" si="766"/>
        <v>3740</v>
      </c>
      <c r="K3585" s="46" t="s">
        <v>7938</v>
      </c>
      <c r="L3585" s="47" t="s">
        <v>5276</v>
      </c>
      <c r="M3585" s="47"/>
      <c r="N3585" s="47"/>
      <c r="O3585" s="47">
        <f>O$7</f>
        <v>4950</v>
      </c>
      <c r="P3585" s="47"/>
      <c r="Q3585" s="47"/>
      <c r="R3585" s="47"/>
      <c r="S3585" s="47"/>
      <c r="T3585" s="47"/>
      <c r="U3585" s="47">
        <f t="shared" si="768"/>
        <v>430</v>
      </c>
      <c r="V3585" s="47" t="s">
        <v>5277</v>
      </c>
      <c r="W3585" s="47"/>
      <c r="X3585" s="47"/>
      <c r="Y3585" s="47"/>
      <c r="Z3585" s="47">
        <f t="shared" si="771"/>
        <v>4620</v>
      </c>
      <c r="AA3585" s="47"/>
      <c r="AB3585" s="47"/>
      <c r="AC3585" s="47"/>
      <c r="AD3585" s="47"/>
      <c r="AE3585" s="47"/>
      <c r="AF3585" s="47">
        <f t="shared" si="770"/>
        <v>1485</v>
      </c>
      <c r="AG3585" s="47" t="s">
        <v>464</v>
      </c>
      <c r="AH3585" s="47" t="str">
        <f>IFERROR(_xlfn.XLOOKUP(Table6[[#This Row],[Suburb]],Table5[Travel Surcharge],Table5[$$]),"")</f>
        <v/>
      </c>
      <c r="AI3585" s="47">
        <f t="shared" si="772"/>
        <v>1650.0000000000002</v>
      </c>
      <c r="AJ3585" s="47"/>
    </row>
    <row r="3586" spans="1:36">
      <c r="A3586" s="157" t="s">
        <v>5271</v>
      </c>
      <c r="B3586" s="157">
        <v>7</v>
      </c>
      <c r="C3586" s="157" t="s">
        <v>455</v>
      </c>
      <c r="D3586" s="157" t="str">
        <f t="shared" si="765"/>
        <v>Riverhills Estate7</v>
      </c>
      <c r="E3586" s="157" t="s">
        <v>7487</v>
      </c>
      <c r="F3586" s="157" t="s">
        <v>5273</v>
      </c>
      <c r="G3586" s="157" t="s">
        <v>3642</v>
      </c>
      <c r="H3586" s="157" t="s">
        <v>5274</v>
      </c>
      <c r="I3586" s="158" t="s">
        <v>5275</v>
      </c>
      <c r="J3586" s="47">
        <f t="shared" si="766"/>
        <v>3740</v>
      </c>
      <c r="K3586" s="46" t="s">
        <v>7938</v>
      </c>
      <c r="L3586" s="47" t="s">
        <v>5276</v>
      </c>
      <c r="M3586" s="47"/>
      <c r="N3586" s="47"/>
      <c r="O3586" s="47">
        <f>O$7</f>
        <v>4950</v>
      </c>
      <c r="P3586" s="47"/>
      <c r="Q3586" s="47"/>
      <c r="R3586" s="47"/>
      <c r="S3586" s="47"/>
      <c r="T3586" s="47"/>
      <c r="U3586" s="47">
        <f t="shared" si="768"/>
        <v>430</v>
      </c>
      <c r="V3586" s="47" t="s">
        <v>5277</v>
      </c>
      <c r="W3586" s="47"/>
      <c r="X3586" s="47"/>
      <c r="Y3586" s="47"/>
      <c r="Z3586" s="47">
        <f t="shared" si="771"/>
        <v>4620</v>
      </c>
      <c r="AA3586" s="47"/>
      <c r="AB3586" s="47"/>
      <c r="AC3586" s="47"/>
      <c r="AD3586" s="47"/>
      <c r="AE3586" s="47"/>
      <c r="AF3586" s="47">
        <f t="shared" si="770"/>
        <v>1485</v>
      </c>
      <c r="AG3586" s="47" t="s">
        <v>464</v>
      </c>
      <c r="AH3586" s="47" t="str">
        <f>IFERROR(_xlfn.XLOOKUP(Table6[[#This Row],[Suburb]],Table5[Travel Surcharge],Table5[$$]),"")</f>
        <v/>
      </c>
      <c r="AI3586" s="47">
        <f t="shared" si="772"/>
        <v>1650.0000000000002</v>
      </c>
      <c r="AJ3586" s="47"/>
    </row>
    <row r="3587" spans="1:36">
      <c r="A3587" s="374" t="s">
        <v>5292</v>
      </c>
      <c r="B3587" s="374">
        <v>4</v>
      </c>
      <c r="C3587" s="374" t="s">
        <v>2656</v>
      </c>
      <c r="D3587" s="375" t="str">
        <f t="shared" si="765"/>
        <v>Riverina Rise Estate4</v>
      </c>
      <c r="E3587" s="375" t="s">
        <v>5293</v>
      </c>
      <c r="F3587" s="375" t="s">
        <v>5294</v>
      </c>
      <c r="G3587" s="375" t="s">
        <v>2536</v>
      </c>
      <c r="H3587" s="375" t="s">
        <v>2537</v>
      </c>
      <c r="I3587" s="63" t="s">
        <v>5295</v>
      </c>
      <c r="J3587" s="47"/>
      <c r="K3587" s="46" t="s">
        <v>10735</v>
      </c>
      <c r="L3587" s="47"/>
      <c r="M3587" s="47"/>
      <c r="N3587" s="47"/>
      <c r="O3587" s="47"/>
      <c r="P3587" s="47"/>
      <c r="Q3587" s="47">
        <f t="shared" ref="Q3587:Q3617" si="773">Q$2</f>
        <v>0</v>
      </c>
      <c r="R3587" s="47"/>
      <c r="S3587" s="47"/>
      <c r="T3587" s="47"/>
      <c r="U3587" s="47"/>
      <c r="V3587" s="47"/>
      <c r="W3587" s="47"/>
      <c r="X3587" s="47"/>
      <c r="Y3587" s="47"/>
      <c r="Z3587" s="47">
        <f t="shared" si="771"/>
        <v>4620</v>
      </c>
      <c r="AA3587" s="47"/>
      <c r="AB3587" s="47"/>
      <c r="AC3587" s="47"/>
      <c r="AD3587" s="47"/>
      <c r="AE3587" s="47"/>
      <c r="AF3587" s="47"/>
      <c r="AG3587" s="47"/>
      <c r="AH3587" s="47" t="str">
        <f>IFERROR(_xlfn.XLOOKUP(Table6[[#This Row],[Suburb]],Table5[Travel Surcharge],Table5[$$]),"")</f>
        <v/>
      </c>
      <c r="AI3587" s="47"/>
      <c r="AJ3587" s="47"/>
    </row>
    <row r="3588" spans="1:36">
      <c r="A3588" s="374" t="s">
        <v>5292</v>
      </c>
      <c r="B3588" s="374">
        <v>5</v>
      </c>
      <c r="C3588" s="374" t="s">
        <v>2656</v>
      </c>
      <c r="D3588" s="375" t="str">
        <f t="shared" si="765"/>
        <v>Riverina Rise Estate5</v>
      </c>
      <c r="E3588" s="375" t="s">
        <v>5293</v>
      </c>
      <c r="F3588" s="375" t="s">
        <v>5294</v>
      </c>
      <c r="G3588" s="375" t="s">
        <v>2536</v>
      </c>
      <c r="H3588" s="375" t="s">
        <v>2537</v>
      </c>
      <c r="I3588" s="63" t="s">
        <v>5295</v>
      </c>
      <c r="J3588" s="47"/>
      <c r="K3588" s="46" t="s">
        <v>10735</v>
      </c>
      <c r="L3588" s="47"/>
      <c r="M3588" s="47"/>
      <c r="N3588" s="47"/>
      <c r="O3588" s="47"/>
      <c r="P3588" s="47"/>
      <c r="Q3588" s="47">
        <f t="shared" si="773"/>
        <v>0</v>
      </c>
      <c r="R3588" s="47"/>
      <c r="S3588" s="47"/>
      <c r="T3588" s="47"/>
      <c r="U3588" s="47"/>
      <c r="V3588" s="47"/>
      <c r="W3588" s="47"/>
      <c r="X3588" s="47"/>
      <c r="Y3588" s="47"/>
      <c r="Z3588" s="47">
        <f t="shared" si="771"/>
        <v>4620</v>
      </c>
      <c r="AA3588" s="47"/>
      <c r="AB3588" s="47"/>
      <c r="AC3588" s="47"/>
      <c r="AD3588" s="47"/>
      <c r="AE3588" s="47"/>
      <c r="AF3588" s="47"/>
      <c r="AG3588" s="47"/>
      <c r="AH3588" s="47" t="str">
        <f>IFERROR(_xlfn.XLOOKUP(Table6[[#This Row],[Suburb]],Table5[Travel Surcharge],Table5[$$]),"")</f>
        <v/>
      </c>
      <c r="AI3588" s="47"/>
      <c r="AJ3588" s="47"/>
    </row>
    <row r="3589" spans="1:36">
      <c r="A3589" s="374" t="s">
        <v>5296</v>
      </c>
      <c r="B3589" s="374">
        <v>14</v>
      </c>
      <c r="C3589" s="374" t="s">
        <v>394</v>
      </c>
      <c r="D3589" s="375" t="str">
        <f t="shared" si="765"/>
        <v>Riverstone Estate14</v>
      </c>
      <c r="E3589" s="375" t="s">
        <v>5297</v>
      </c>
      <c r="F3589" s="375" t="s">
        <v>5298</v>
      </c>
      <c r="G3589" s="375" t="s">
        <v>5299</v>
      </c>
      <c r="H3589" s="375" t="s">
        <v>5300</v>
      </c>
      <c r="I3589" s="63" t="s">
        <v>5301</v>
      </c>
      <c r="J3589" s="47">
        <f>J$7</f>
        <v>3740</v>
      </c>
      <c r="K3589" s="46" t="s">
        <v>10735</v>
      </c>
      <c r="L3589" s="47"/>
      <c r="M3589" s="47"/>
      <c r="N3589" s="47"/>
      <c r="O3589" s="47"/>
      <c r="P3589" s="47"/>
      <c r="Q3589" s="47">
        <f t="shared" si="773"/>
        <v>0</v>
      </c>
      <c r="R3589" s="47"/>
      <c r="S3589" s="47"/>
      <c r="T3589" s="47" t="s">
        <v>641</v>
      </c>
      <c r="U3589" s="47"/>
      <c r="V3589" s="47"/>
      <c r="W3589" s="47"/>
      <c r="X3589" s="47"/>
      <c r="Y3589" s="47"/>
      <c r="Z3589" s="47">
        <f t="shared" si="771"/>
        <v>4620</v>
      </c>
      <c r="AA3589" s="47">
        <f>AA$7</f>
        <v>1400</v>
      </c>
      <c r="AB3589" s="47"/>
      <c r="AC3589" s="47"/>
      <c r="AD3589" s="47"/>
      <c r="AE3589" s="47"/>
      <c r="AF3589" s="47"/>
      <c r="AG3589" s="47"/>
      <c r="AH3589" s="47" t="str">
        <f>IFERROR(_xlfn.XLOOKUP(Table6[[#This Row],[Suburb]],Table5[Travel Surcharge],Table5[$$]),"")</f>
        <v/>
      </c>
      <c r="AI3589" s="47"/>
      <c r="AJ3589" s="47"/>
    </row>
    <row r="3590" spans="1:36">
      <c r="A3590" s="374" t="s">
        <v>5302</v>
      </c>
      <c r="B3590" s="374">
        <v>10</v>
      </c>
      <c r="C3590" s="374" t="s">
        <v>1261</v>
      </c>
      <c r="D3590" s="375" t="str">
        <f t="shared" si="765"/>
        <v>Riverviews Estate10</v>
      </c>
      <c r="E3590" s="375" t="s">
        <v>5303</v>
      </c>
      <c r="F3590" s="375"/>
      <c r="G3590" s="375"/>
      <c r="H3590" s="375"/>
      <c r="I3590" s="63"/>
      <c r="J3590" s="47"/>
      <c r="K3590" s="46" t="s">
        <v>10735</v>
      </c>
      <c r="L3590" s="47" t="s">
        <v>5304</v>
      </c>
      <c r="M3590" s="47" t="s">
        <v>5305</v>
      </c>
      <c r="N3590" s="47"/>
      <c r="O3590" s="47"/>
      <c r="P3590" s="47"/>
      <c r="Q3590" s="47">
        <f t="shared" si="773"/>
        <v>0</v>
      </c>
      <c r="R3590" s="47" t="s">
        <v>1039</v>
      </c>
      <c r="S3590" s="47"/>
      <c r="T3590" s="47"/>
      <c r="U3590" s="47" t="s">
        <v>5306</v>
      </c>
      <c r="V3590" s="47"/>
      <c r="W3590" s="47"/>
      <c r="X3590" s="47"/>
      <c r="Y3590" s="47"/>
      <c r="Z3590" s="47">
        <f t="shared" si="771"/>
        <v>4620</v>
      </c>
      <c r="AA3590" s="47"/>
      <c r="AB3590" s="47"/>
      <c r="AC3590" s="47"/>
      <c r="AD3590" s="47"/>
      <c r="AE3590" s="47"/>
      <c r="AF3590" s="47">
        <f t="shared" ref="AF3590:AF3615" si="774">AF$7</f>
        <v>1485</v>
      </c>
      <c r="AG3590" s="47"/>
      <c r="AH3590" s="47" t="str">
        <f>IFERROR(_xlfn.XLOOKUP(Table6[[#This Row],[Suburb]],Table5[Travel Surcharge],Table5[$$]),"")</f>
        <v/>
      </c>
      <c r="AI3590" s="47"/>
      <c r="AJ3590" s="47"/>
    </row>
    <row r="3591" spans="1:36">
      <c r="A3591" s="374" t="s">
        <v>10275</v>
      </c>
      <c r="B3591" s="374">
        <v>1</v>
      </c>
      <c r="C3591" s="374" t="s">
        <v>10258</v>
      </c>
      <c r="D3591" s="375" t="str">
        <f>CONCATENATE(A3591,B3591)</f>
        <v>Riverview Winchelsea1</v>
      </c>
      <c r="E3591" s="375" t="s">
        <v>10277</v>
      </c>
      <c r="F3591" s="375" t="s">
        <v>10265</v>
      </c>
      <c r="G3591" s="375"/>
      <c r="H3591" s="375" t="s">
        <v>10272</v>
      </c>
      <c r="I3591" s="63"/>
      <c r="J3591" s="47"/>
      <c r="K3591" s="46" t="s">
        <v>10735</v>
      </c>
      <c r="L3591" s="47"/>
      <c r="M3591" s="47"/>
      <c r="N3591" s="47"/>
      <c r="O3591" s="47"/>
      <c r="P3591" s="47"/>
      <c r="Q3591" s="47"/>
      <c r="R3591" s="47"/>
      <c r="S3591" s="47" t="s">
        <v>10276</v>
      </c>
      <c r="T3591" s="47"/>
      <c r="U3591" s="47"/>
      <c r="V3591" s="47"/>
      <c r="W3591" s="47"/>
      <c r="X3591" s="47"/>
      <c r="Y3591" s="47"/>
      <c r="Z3591" s="47"/>
      <c r="AA3591" s="47"/>
      <c r="AB3591" s="47"/>
      <c r="AC3591" s="47"/>
      <c r="AD3591" s="47"/>
      <c r="AE3591" s="47"/>
      <c r="AF3591" s="47"/>
      <c r="AG3591" s="47"/>
      <c r="AH3591" s="47">
        <v>7000</v>
      </c>
      <c r="AI3591" s="47"/>
      <c r="AJ3591" s="47"/>
    </row>
    <row r="3592" spans="1:36">
      <c r="A3592" s="374" t="s">
        <v>5307</v>
      </c>
      <c r="B3592" s="374">
        <v>1</v>
      </c>
      <c r="C3592" s="374" t="s">
        <v>688</v>
      </c>
      <c r="D3592" s="375" t="str">
        <f t="shared" si="765"/>
        <v>Riverwalk Estate1</v>
      </c>
      <c r="E3592" s="375" t="s">
        <v>5308</v>
      </c>
      <c r="F3592" s="375" t="s">
        <v>5309</v>
      </c>
      <c r="G3592" s="375" t="s">
        <v>5310</v>
      </c>
      <c r="H3592" s="375" t="s">
        <v>5311</v>
      </c>
      <c r="I3592" s="63" t="s">
        <v>5312</v>
      </c>
      <c r="J3592" s="47">
        <f t="shared" ref="J3592:J3615" si="775">J$7</f>
        <v>3740</v>
      </c>
      <c r="K3592" s="46" t="s">
        <v>5313</v>
      </c>
      <c r="L3592" s="47">
        <f t="shared" ref="L3592:L3610" si="776">L$7</f>
        <v>1210</v>
      </c>
      <c r="M3592" s="47"/>
      <c r="N3592" s="47"/>
      <c r="O3592" s="47"/>
      <c r="P3592" s="47"/>
      <c r="Q3592" s="47">
        <f t="shared" si="773"/>
        <v>0</v>
      </c>
      <c r="R3592" s="47"/>
      <c r="S3592" s="47" t="s">
        <v>4679</v>
      </c>
      <c r="T3592" s="47" t="s">
        <v>536</v>
      </c>
      <c r="U3592" s="47"/>
      <c r="V3592" s="47"/>
      <c r="W3592" s="47"/>
      <c r="X3592" s="47">
        <f>X$7</f>
        <v>3000</v>
      </c>
      <c r="Y3592" s="47"/>
      <c r="Z3592" s="47">
        <f t="shared" si="771"/>
        <v>4620</v>
      </c>
      <c r="AA3592" s="47">
        <f t="shared" ref="AA3592:AA3615" si="777">AA$7</f>
        <v>1400</v>
      </c>
      <c r="AB3592" s="47"/>
      <c r="AC3592" s="47"/>
      <c r="AD3592" s="47"/>
      <c r="AE3592" s="47">
        <f>AE$7</f>
        <v>5000</v>
      </c>
      <c r="AF3592" s="47">
        <f t="shared" si="774"/>
        <v>1485</v>
      </c>
      <c r="AG3592" s="47"/>
      <c r="AH3592" s="47" t="str">
        <f>IFERROR(_xlfn.XLOOKUP(Table6[[#This Row],[Suburb]],Table5[Travel Surcharge],Table5[$$]),"")</f>
        <v/>
      </c>
      <c r="AI3592" s="47"/>
      <c r="AJ3592" s="47"/>
    </row>
    <row r="3593" spans="1:36">
      <c r="A3593" s="374" t="s">
        <v>5307</v>
      </c>
      <c r="B3593" s="374">
        <v>5</v>
      </c>
      <c r="C3593" s="374" t="s">
        <v>688</v>
      </c>
      <c r="D3593" s="375" t="str">
        <f t="shared" si="765"/>
        <v>Riverwalk Estate5</v>
      </c>
      <c r="E3593" s="375" t="s">
        <v>5314</v>
      </c>
      <c r="F3593" s="375" t="s">
        <v>5309</v>
      </c>
      <c r="G3593" s="375" t="s">
        <v>5310</v>
      </c>
      <c r="H3593" s="375" t="s">
        <v>5311</v>
      </c>
      <c r="I3593" s="63" t="s">
        <v>5312</v>
      </c>
      <c r="J3593" s="47">
        <f t="shared" si="775"/>
        <v>3740</v>
      </c>
      <c r="K3593" s="46" t="s">
        <v>10735</v>
      </c>
      <c r="L3593" s="47">
        <f t="shared" si="776"/>
        <v>1210</v>
      </c>
      <c r="M3593" s="47"/>
      <c r="N3593" s="47"/>
      <c r="O3593" s="47"/>
      <c r="P3593" s="47"/>
      <c r="Q3593" s="47">
        <f t="shared" si="773"/>
        <v>0</v>
      </c>
      <c r="R3593" s="47"/>
      <c r="S3593" s="47" t="s">
        <v>4679</v>
      </c>
      <c r="T3593" s="47" t="s">
        <v>536</v>
      </c>
      <c r="U3593" s="47"/>
      <c r="V3593" s="47"/>
      <c r="W3593" s="47"/>
      <c r="X3593" s="47">
        <f>X$7</f>
        <v>3000</v>
      </c>
      <c r="Y3593" s="47"/>
      <c r="Z3593" s="47">
        <f t="shared" si="771"/>
        <v>4620</v>
      </c>
      <c r="AA3593" s="47">
        <f t="shared" si="777"/>
        <v>1400</v>
      </c>
      <c r="AB3593" s="47"/>
      <c r="AC3593" s="47"/>
      <c r="AD3593" s="47"/>
      <c r="AE3593" s="47">
        <f>AE$7</f>
        <v>5000</v>
      </c>
      <c r="AF3593" s="47">
        <f t="shared" si="774"/>
        <v>1485</v>
      </c>
      <c r="AG3593" s="47"/>
      <c r="AH3593" s="47" t="str">
        <f>IFERROR(_xlfn.XLOOKUP(Table6[[#This Row],[Suburb]],Table5[Travel Surcharge],Table5[$$]),"")</f>
        <v/>
      </c>
      <c r="AI3593" s="47"/>
      <c r="AJ3593" s="47"/>
    </row>
    <row r="3594" spans="1:36">
      <c r="A3594" s="374" t="s">
        <v>5307</v>
      </c>
      <c r="B3594" s="374">
        <v>9</v>
      </c>
      <c r="C3594" s="374" t="s">
        <v>688</v>
      </c>
      <c r="D3594" s="375" t="str">
        <f t="shared" si="765"/>
        <v>Riverwalk Estate9</v>
      </c>
      <c r="E3594" s="375" t="s">
        <v>5315</v>
      </c>
      <c r="F3594" s="375" t="s">
        <v>5309</v>
      </c>
      <c r="G3594" s="375" t="s">
        <v>5310</v>
      </c>
      <c r="H3594" s="375" t="s">
        <v>5311</v>
      </c>
      <c r="I3594" s="63" t="s">
        <v>5312</v>
      </c>
      <c r="J3594" s="47">
        <f t="shared" si="775"/>
        <v>3740</v>
      </c>
      <c r="K3594" s="46" t="s">
        <v>10735</v>
      </c>
      <c r="L3594" s="47">
        <f t="shared" si="776"/>
        <v>1210</v>
      </c>
      <c r="M3594" s="47"/>
      <c r="N3594" s="47"/>
      <c r="O3594" s="47"/>
      <c r="P3594" s="47"/>
      <c r="Q3594" s="47">
        <f t="shared" si="773"/>
        <v>0</v>
      </c>
      <c r="R3594" s="47"/>
      <c r="S3594" s="47" t="s">
        <v>4679</v>
      </c>
      <c r="T3594" s="47" t="s">
        <v>536</v>
      </c>
      <c r="U3594" s="47"/>
      <c r="V3594" s="47"/>
      <c r="W3594" s="47"/>
      <c r="X3594" s="47">
        <f>X$7</f>
        <v>3000</v>
      </c>
      <c r="Y3594" s="47"/>
      <c r="Z3594" s="47">
        <f t="shared" si="771"/>
        <v>4620</v>
      </c>
      <c r="AA3594" s="47">
        <f t="shared" si="777"/>
        <v>1400</v>
      </c>
      <c r="AB3594" s="47"/>
      <c r="AC3594" s="47"/>
      <c r="AD3594" s="47"/>
      <c r="AE3594" s="47">
        <f>AE$7</f>
        <v>5000</v>
      </c>
      <c r="AF3594" s="47">
        <f t="shared" si="774"/>
        <v>1485</v>
      </c>
      <c r="AG3594" s="47"/>
      <c r="AH3594" s="47" t="str">
        <f>IFERROR(_xlfn.XLOOKUP(Table6[[#This Row],[Suburb]],Table5[Travel Surcharge],Table5[$$]),"")</f>
        <v/>
      </c>
      <c r="AI3594" s="47"/>
      <c r="AJ3594" s="47"/>
    </row>
    <row r="3595" spans="1:36">
      <c r="A3595" s="374" t="s">
        <v>5307</v>
      </c>
      <c r="B3595" s="374">
        <v>10</v>
      </c>
      <c r="C3595" s="374" t="s">
        <v>688</v>
      </c>
      <c r="D3595" s="375" t="str">
        <f t="shared" si="765"/>
        <v>Riverwalk Estate10</v>
      </c>
      <c r="E3595" s="375" t="s">
        <v>5316</v>
      </c>
      <c r="F3595" s="375" t="s">
        <v>5309</v>
      </c>
      <c r="G3595" s="375" t="s">
        <v>5310</v>
      </c>
      <c r="H3595" s="375" t="s">
        <v>5311</v>
      </c>
      <c r="I3595" s="63" t="s">
        <v>5312</v>
      </c>
      <c r="J3595" s="47">
        <f t="shared" si="775"/>
        <v>3740</v>
      </c>
      <c r="K3595" s="46" t="s">
        <v>10735</v>
      </c>
      <c r="L3595" s="47">
        <f t="shared" si="776"/>
        <v>1210</v>
      </c>
      <c r="M3595" s="47"/>
      <c r="N3595" s="47"/>
      <c r="O3595" s="47"/>
      <c r="P3595" s="47"/>
      <c r="Q3595" s="47">
        <f t="shared" si="773"/>
        <v>0</v>
      </c>
      <c r="R3595" s="47"/>
      <c r="S3595" s="47" t="s">
        <v>4679</v>
      </c>
      <c r="T3595" s="47" t="s">
        <v>536</v>
      </c>
      <c r="U3595" s="47"/>
      <c r="V3595" s="47"/>
      <c r="W3595" s="47"/>
      <c r="X3595" s="47"/>
      <c r="Y3595" s="47"/>
      <c r="Z3595" s="47">
        <f t="shared" si="771"/>
        <v>4620</v>
      </c>
      <c r="AA3595" s="47">
        <f t="shared" si="777"/>
        <v>1400</v>
      </c>
      <c r="AB3595" s="47"/>
      <c r="AC3595" s="47"/>
      <c r="AD3595" s="47"/>
      <c r="AE3595" s="47"/>
      <c r="AF3595" s="47">
        <f t="shared" si="774"/>
        <v>1485</v>
      </c>
      <c r="AG3595" s="47"/>
      <c r="AH3595" s="47" t="str">
        <f>IFERROR(_xlfn.XLOOKUP(Table6[[#This Row],[Suburb]],Table5[Travel Surcharge],Table5[$$]),"")</f>
        <v/>
      </c>
      <c r="AI3595" s="47"/>
      <c r="AJ3595" s="47"/>
    </row>
    <row r="3596" spans="1:36">
      <c r="A3596" s="374" t="s">
        <v>5307</v>
      </c>
      <c r="B3596" s="374">
        <v>11</v>
      </c>
      <c r="C3596" s="374" t="s">
        <v>688</v>
      </c>
      <c r="D3596" s="375" t="str">
        <f t="shared" si="765"/>
        <v>Riverwalk Estate11</v>
      </c>
      <c r="E3596" s="375" t="s">
        <v>5241</v>
      </c>
      <c r="F3596" s="375" t="s">
        <v>5309</v>
      </c>
      <c r="G3596" s="375" t="s">
        <v>5310</v>
      </c>
      <c r="H3596" s="375" t="s">
        <v>5311</v>
      </c>
      <c r="I3596" s="63" t="s">
        <v>5312</v>
      </c>
      <c r="J3596" s="47">
        <f t="shared" si="775"/>
        <v>3740</v>
      </c>
      <c r="K3596" s="46" t="s">
        <v>10735</v>
      </c>
      <c r="L3596" s="47">
        <f t="shared" si="776"/>
        <v>1210</v>
      </c>
      <c r="M3596" s="47"/>
      <c r="N3596" s="47"/>
      <c r="O3596" s="47"/>
      <c r="P3596" s="47"/>
      <c r="Q3596" s="47">
        <f t="shared" si="773"/>
        <v>0</v>
      </c>
      <c r="R3596" s="47"/>
      <c r="S3596" s="47" t="s">
        <v>4679</v>
      </c>
      <c r="T3596" s="47" t="s">
        <v>536</v>
      </c>
      <c r="U3596" s="47"/>
      <c r="V3596" s="47"/>
      <c r="W3596" s="47"/>
      <c r="X3596" s="47"/>
      <c r="Y3596" s="47"/>
      <c r="Z3596" s="47">
        <f t="shared" si="771"/>
        <v>4620</v>
      </c>
      <c r="AA3596" s="47">
        <f t="shared" si="777"/>
        <v>1400</v>
      </c>
      <c r="AB3596" s="47"/>
      <c r="AC3596" s="47"/>
      <c r="AD3596" s="47"/>
      <c r="AE3596" s="47"/>
      <c r="AF3596" s="47">
        <f t="shared" si="774"/>
        <v>1485</v>
      </c>
      <c r="AG3596" s="47"/>
      <c r="AH3596" s="47" t="str">
        <f>IFERROR(_xlfn.XLOOKUP(Table6[[#This Row],[Suburb]],Table5[Travel Surcharge],Table5[$$]),"")</f>
        <v/>
      </c>
      <c r="AI3596" s="47"/>
      <c r="AJ3596" s="47"/>
    </row>
    <row r="3597" spans="1:36">
      <c r="A3597" s="374" t="s">
        <v>5307</v>
      </c>
      <c r="B3597" s="374">
        <v>12</v>
      </c>
      <c r="C3597" s="374" t="s">
        <v>688</v>
      </c>
      <c r="D3597" s="375" t="str">
        <f t="shared" si="765"/>
        <v>Riverwalk Estate12</v>
      </c>
      <c r="E3597" s="375" t="s">
        <v>5317</v>
      </c>
      <c r="F3597" s="375" t="s">
        <v>5309</v>
      </c>
      <c r="G3597" s="375" t="s">
        <v>5310</v>
      </c>
      <c r="H3597" s="375" t="s">
        <v>5311</v>
      </c>
      <c r="I3597" s="63" t="s">
        <v>5312</v>
      </c>
      <c r="J3597" s="47">
        <f t="shared" si="775"/>
        <v>3740</v>
      </c>
      <c r="K3597" s="46" t="s">
        <v>10735</v>
      </c>
      <c r="L3597" s="47">
        <f t="shared" si="776"/>
        <v>1210</v>
      </c>
      <c r="M3597" s="47"/>
      <c r="N3597" s="47"/>
      <c r="O3597" s="47"/>
      <c r="P3597" s="47"/>
      <c r="Q3597" s="47">
        <f t="shared" si="773"/>
        <v>0</v>
      </c>
      <c r="R3597" s="47"/>
      <c r="S3597" s="47" t="s">
        <v>4679</v>
      </c>
      <c r="T3597" s="47" t="s">
        <v>536</v>
      </c>
      <c r="U3597" s="47"/>
      <c r="V3597" s="47"/>
      <c r="W3597" s="47"/>
      <c r="X3597" s="47"/>
      <c r="Y3597" s="47"/>
      <c r="Z3597" s="47">
        <f t="shared" si="771"/>
        <v>4620</v>
      </c>
      <c r="AA3597" s="47">
        <f t="shared" si="777"/>
        <v>1400</v>
      </c>
      <c r="AB3597" s="47"/>
      <c r="AC3597" s="47"/>
      <c r="AD3597" s="47"/>
      <c r="AE3597" s="47"/>
      <c r="AF3597" s="47">
        <f t="shared" si="774"/>
        <v>1485</v>
      </c>
      <c r="AG3597" s="47"/>
      <c r="AH3597" s="47" t="str">
        <f>IFERROR(_xlfn.XLOOKUP(Table6[[#This Row],[Suburb]],Table5[Travel Surcharge],Table5[$$]),"")</f>
        <v/>
      </c>
      <c r="AI3597" s="47"/>
      <c r="AJ3597" s="47"/>
    </row>
    <row r="3598" spans="1:36">
      <c r="A3598" s="374" t="s">
        <v>5307</v>
      </c>
      <c r="B3598" s="374">
        <v>13</v>
      </c>
      <c r="C3598" s="374" t="s">
        <v>688</v>
      </c>
      <c r="D3598" s="375" t="str">
        <f t="shared" ref="D3598:D3630" si="778">CONCATENATE(A3598,B3598)</f>
        <v>Riverwalk Estate13</v>
      </c>
      <c r="E3598" s="375" t="s">
        <v>5318</v>
      </c>
      <c r="F3598" s="375" t="s">
        <v>5309</v>
      </c>
      <c r="G3598" s="375" t="s">
        <v>5310</v>
      </c>
      <c r="H3598" s="375" t="s">
        <v>5311</v>
      </c>
      <c r="I3598" s="63" t="s">
        <v>5312</v>
      </c>
      <c r="J3598" s="47">
        <f t="shared" si="775"/>
        <v>3740</v>
      </c>
      <c r="K3598" s="46" t="s">
        <v>10735</v>
      </c>
      <c r="L3598" s="47">
        <f t="shared" si="776"/>
        <v>1210</v>
      </c>
      <c r="M3598" s="47"/>
      <c r="N3598" s="47"/>
      <c r="O3598" s="47"/>
      <c r="P3598" s="47"/>
      <c r="Q3598" s="47">
        <f t="shared" si="773"/>
        <v>0</v>
      </c>
      <c r="R3598" s="47"/>
      <c r="S3598" s="47" t="s">
        <v>4679</v>
      </c>
      <c r="T3598" s="47" t="s">
        <v>536</v>
      </c>
      <c r="U3598" s="47"/>
      <c r="V3598" s="47"/>
      <c r="W3598" s="47"/>
      <c r="X3598" s="47"/>
      <c r="Y3598" s="47"/>
      <c r="Z3598" s="47">
        <f t="shared" si="771"/>
        <v>4620</v>
      </c>
      <c r="AA3598" s="47">
        <f t="shared" si="777"/>
        <v>1400</v>
      </c>
      <c r="AB3598" s="47"/>
      <c r="AC3598" s="47"/>
      <c r="AD3598" s="47"/>
      <c r="AE3598" s="47"/>
      <c r="AF3598" s="47">
        <f t="shared" si="774"/>
        <v>1485</v>
      </c>
      <c r="AG3598" s="47"/>
      <c r="AH3598" s="47" t="str">
        <f>IFERROR(_xlfn.XLOOKUP(Table6[[#This Row],[Suburb]],Table5[Travel Surcharge],Table5[$$]),"")</f>
        <v/>
      </c>
      <c r="AI3598" s="47"/>
      <c r="AJ3598" s="47"/>
    </row>
    <row r="3599" spans="1:36">
      <c r="A3599" s="374" t="s">
        <v>5307</v>
      </c>
      <c r="B3599" s="374">
        <v>14</v>
      </c>
      <c r="C3599" s="374" t="s">
        <v>688</v>
      </c>
      <c r="D3599" s="375" t="str">
        <f t="shared" si="778"/>
        <v>Riverwalk Estate14</v>
      </c>
      <c r="E3599" s="375" t="s">
        <v>5319</v>
      </c>
      <c r="F3599" s="375" t="s">
        <v>5309</v>
      </c>
      <c r="G3599" s="375" t="s">
        <v>5310</v>
      </c>
      <c r="H3599" s="375" t="s">
        <v>5311</v>
      </c>
      <c r="I3599" s="63" t="s">
        <v>5312</v>
      </c>
      <c r="J3599" s="47">
        <f t="shared" si="775"/>
        <v>3740</v>
      </c>
      <c r="K3599" s="46" t="s">
        <v>10735</v>
      </c>
      <c r="L3599" s="47">
        <f t="shared" si="776"/>
        <v>1210</v>
      </c>
      <c r="M3599" s="47"/>
      <c r="N3599" s="47"/>
      <c r="O3599" s="47"/>
      <c r="P3599" s="47"/>
      <c r="Q3599" s="47">
        <f t="shared" si="773"/>
        <v>0</v>
      </c>
      <c r="R3599" s="47"/>
      <c r="S3599" s="47" t="s">
        <v>4679</v>
      </c>
      <c r="T3599" s="47" t="s">
        <v>536</v>
      </c>
      <c r="U3599" s="47"/>
      <c r="V3599" s="47"/>
      <c r="W3599" s="47"/>
      <c r="X3599" s="47"/>
      <c r="Y3599" s="47"/>
      <c r="Z3599" s="47">
        <f t="shared" si="771"/>
        <v>4620</v>
      </c>
      <c r="AA3599" s="47">
        <f t="shared" si="777"/>
        <v>1400</v>
      </c>
      <c r="AB3599" s="47"/>
      <c r="AC3599" s="47"/>
      <c r="AD3599" s="47"/>
      <c r="AE3599" s="47"/>
      <c r="AF3599" s="47">
        <f t="shared" si="774"/>
        <v>1485</v>
      </c>
      <c r="AG3599" s="47"/>
      <c r="AH3599" s="47" t="str">
        <f>IFERROR(_xlfn.XLOOKUP(Table6[[#This Row],[Suburb]],Table5[Travel Surcharge],Table5[$$]),"")</f>
        <v/>
      </c>
      <c r="AI3599" s="47"/>
      <c r="AJ3599" s="47"/>
    </row>
    <row r="3600" spans="1:36">
      <c r="A3600" s="374" t="s">
        <v>5307</v>
      </c>
      <c r="B3600" s="374">
        <v>15</v>
      </c>
      <c r="C3600" s="374" t="s">
        <v>688</v>
      </c>
      <c r="D3600" s="375" t="str">
        <f t="shared" si="778"/>
        <v>Riverwalk Estate15</v>
      </c>
      <c r="E3600" s="375" t="s">
        <v>5320</v>
      </c>
      <c r="F3600" s="375" t="s">
        <v>5309</v>
      </c>
      <c r="G3600" s="375" t="s">
        <v>5310</v>
      </c>
      <c r="H3600" s="375" t="s">
        <v>5311</v>
      </c>
      <c r="I3600" s="63" t="s">
        <v>5312</v>
      </c>
      <c r="J3600" s="47">
        <f t="shared" si="775"/>
        <v>3740</v>
      </c>
      <c r="K3600" s="46" t="s">
        <v>10735</v>
      </c>
      <c r="L3600" s="47">
        <f t="shared" si="776"/>
        <v>1210</v>
      </c>
      <c r="M3600" s="47"/>
      <c r="N3600" s="47"/>
      <c r="O3600" s="47"/>
      <c r="P3600" s="47"/>
      <c r="Q3600" s="47">
        <f t="shared" si="773"/>
        <v>0</v>
      </c>
      <c r="R3600" s="47"/>
      <c r="S3600" s="47" t="s">
        <v>4679</v>
      </c>
      <c r="T3600" s="47" t="s">
        <v>536</v>
      </c>
      <c r="U3600" s="47"/>
      <c r="V3600" s="47"/>
      <c r="W3600" s="47"/>
      <c r="X3600" s="47"/>
      <c r="Y3600" s="47"/>
      <c r="Z3600" s="47">
        <f t="shared" si="771"/>
        <v>4620</v>
      </c>
      <c r="AA3600" s="47">
        <f t="shared" si="777"/>
        <v>1400</v>
      </c>
      <c r="AB3600" s="47"/>
      <c r="AC3600" s="47"/>
      <c r="AD3600" s="47"/>
      <c r="AE3600" s="47"/>
      <c r="AF3600" s="47">
        <f t="shared" si="774"/>
        <v>1485</v>
      </c>
      <c r="AG3600" s="47"/>
      <c r="AH3600" s="47" t="str">
        <f>IFERROR(_xlfn.XLOOKUP(Table6[[#This Row],[Suburb]],Table5[Travel Surcharge],Table5[$$]),"")</f>
        <v/>
      </c>
      <c r="AI3600" s="47"/>
      <c r="AJ3600" s="47"/>
    </row>
    <row r="3601" spans="1:36">
      <c r="A3601" s="374" t="s">
        <v>5307</v>
      </c>
      <c r="B3601" s="374">
        <v>16</v>
      </c>
      <c r="C3601" s="374" t="s">
        <v>688</v>
      </c>
      <c r="D3601" s="375" t="str">
        <f t="shared" si="778"/>
        <v>Riverwalk Estate16</v>
      </c>
      <c r="E3601" s="375" t="s">
        <v>5321</v>
      </c>
      <c r="F3601" s="375" t="s">
        <v>5309</v>
      </c>
      <c r="G3601" s="375" t="s">
        <v>5310</v>
      </c>
      <c r="H3601" s="375" t="s">
        <v>5311</v>
      </c>
      <c r="I3601" s="63" t="s">
        <v>5312</v>
      </c>
      <c r="J3601" s="47">
        <f t="shared" si="775"/>
        <v>3740</v>
      </c>
      <c r="K3601" s="46" t="s">
        <v>10735</v>
      </c>
      <c r="L3601" s="47">
        <f t="shared" si="776"/>
        <v>1210</v>
      </c>
      <c r="M3601" s="47"/>
      <c r="N3601" s="47"/>
      <c r="O3601" s="47"/>
      <c r="P3601" s="47"/>
      <c r="Q3601" s="47">
        <f t="shared" si="773"/>
        <v>0</v>
      </c>
      <c r="R3601" s="47"/>
      <c r="S3601" s="47" t="s">
        <v>4679</v>
      </c>
      <c r="T3601" s="47" t="s">
        <v>536</v>
      </c>
      <c r="U3601" s="47"/>
      <c r="V3601" s="47"/>
      <c r="W3601" s="47"/>
      <c r="X3601" s="47"/>
      <c r="Y3601" s="47"/>
      <c r="Z3601" s="47">
        <f t="shared" si="771"/>
        <v>4620</v>
      </c>
      <c r="AA3601" s="47">
        <f t="shared" si="777"/>
        <v>1400</v>
      </c>
      <c r="AB3601" s="47"/>
      <c r="AC3601" s="47"/>
      <c r="AD3601" s="47"/>
      <c r="AE3601" s="47"/>
      <c r="AF3601" s="47">
        <f t="shared" si="774"/>
        <v>1485</v>
      </c>
      <c r="AG3601" s="47"/>
      <c r="AH3601" s="47" t="str">
        <f>IFERROR(_xlfn.XLOOKUP(Table6[[#This Row],[Suburb]],Table5[Travel Surcharge],Table5[$$]),"")</f>
        <v/>
      </c>
      <c r="AI3601" s="47"/>
      <c r="AJ3601" s="47"/>
    </row>
    <row r="3602" spans="1:36">
      <c r="A3602" s="374" t="s">
        <v>5307</v>
      </c>
      <c r="B3602" s="374">
        <v>17</v>
      </c>
      <c r="C3602" s="374" t="s">
        <v>688</v>
      </c>
      <c r="D3602" s="375" t="str">
        <f t="shared" si="778"/>
        <v>Riverwalk Estate17</v>
      </c>
      <c r="E3602" s="375" t="s">
        <v>5322</v>
      </c>
      <c r="F3602" s="375" t="s">
        <v>5309</v>
      </c>
      <c r="G3602" s="375" t="s">
        <v>5310</v>
      </c>
      <c r="H3602" s="375" t="s">
        <v>5311</v>
      </c>
      <c r="I3602" s="63" t="s">
        <v>5312</v>
      </c>
      <c r="J3602" s="47">
        <f t="shared" si="775"/>
        <v>3740</v>
      </c>
      <c r="K3602" s="46" t="s">
        <v>10735</v>
      </c>
      <c r="L3602" s="47">
        <f t="shared" si="776"/>
        <v>1210</v>
      </c>
      <c r="M3602" s="47"/>
      <c r="N3602" s="47"/>
      <c r="O3602" s="47"/>
      <c r="P3602" s="47"/>
      <c r="Q3602" s="47">
        <f t="shared" si="773"/>
        <v>0</v>
      </c>
      <c r="R3602" s="47"/>
      <c r="S3602" s="47" t="s">
        <v>4679</v>
      </c>
      <c r="T3602" s="47" t="s">
        <v>536</v>
      </c>
      <c r="U3602" s="47"/>
      <c r="V3602" s="47"/>
      <c r="W3602" s="47"/>
      <c r="X3602" s="47"/>
      <c r="Y3602" s="47"/>
      <c r="Z3602" s="47">
        <f t="shared" si="771"/>
        <v>4620</v>
      </c>
      <c r="AA3602" s="47">
        <f t="shared" si="777"/>
        <v>1400</v>
      </c>
      <c r="AB3602" s="47"/>
      <c r="AC3602" s="47"/>
      <c r="AD3602" s="47"/>
      <c r="AE3602" s="47"/>
      <c r="AF3602" s="47">
        <f t="shared" si="774"/>
        <v>1485</v>
      </c>
      <c r="AG3602" s="47"/>
      <c r="AH3602" s="47" t="str">
        <f>IFERROR(_xlfn.XLOOKUP(Table6[[#This Row],[Suburb]],Table5[Travel Surcharge],Table5[$$]),"")</f>
        <v/>
      </c>
      <c r="AI3602" s="47"/>
      <c r="AJ3602" s="47"/>
    </row>
    <row r="3603" spans="1:36">
      <c r="A3603" s="374" t="s">
        <v>5307</v>
      </c>
      <c r="B3603" s="374">
        <v>18</v>
      </c>
      <c r="C3603" s="374" t="s">
        <v>688</v>
      </c>
      <c r="D3603" s="375" t="str">
        <f t="shared" si="778"/>
        <v>Riverwalk Estate18</v>
      </c>
      <c r="E3603" s="375" t="s">
        <v>5323</v>
      </c>
      <c r="F3603" s="375" t="s">
        <v>5309</v>
      </c>
      <c r="G3603" s="375" t="s">
        <v>5310</v>
      </c>
      <c r="H3603" s="375" t="s">
        <v>5311</v>
      </c>
      <c r="I3603" s="63" t="s">
        <v>5312</v>
      </c>
      <c r="J3603" s="47">
        <f t="shared" si="775"/>
        <v>3740</v>
      </c>
      <c r="K3603" s="46" t="s">
        <v>10735</v>
      </c>
      <c r="L3603" s="47">
        <f t="shared" si="776"/>
        <v>1210</v>
      </c>
      <c r="M3603" s="47"/>
      <c r="N3603" s="47"/>
      <c r="O3603" s="47"/>
      <c r="P3603" s="47"/>
      <c r="Q3603" s="47">
        <f t="shared" si="773"/>
        <v>0</v>
      </c>
      <c r="R3603" s="47"/>
      <c r="S3603" s="47" t="s">
        <v>4679</v>
      </c>
      <c r="T3603" s="47" t="s">
        <v>536</v>
      </c>
      <c r="U3603" s="47"/>
      <c r="V3603" s="47"/>
      <c r="W3603" s="47"/>
      <c r="X3603" s="47"/>
      <c r="Y3603" s="47"/>
      <c r="Z3603" s="47">
        <f t="shared" si="771"/>
        <v>4620</v>
      </c>
      <c r="AA3603" s="47">
        <f t="shared" si="777"/>
        <v>1400</v>
      </c>
      <c r="AB3603" s="47"/>
      <c r="AC3603" s="47"/>
      <c r="AD3603" s="47"/>
      <c r="AE3603" s="47"/>
      <c r="AF3603" s="47">
        <f t="shared" si="774"/>
        <v>1485</v>
      </c>
      <c r="AG3603" s="47"/>
      <c r="AH3603" s="47" t="str">
        <f>IFERROR(_xlfn.XLOOKUP(Table6[[#This Row],[Suburb]],Table5[Travel Surcharge],Table5[$$]),"")</f>
        <v/>
      </c>
      <c r="AI3603" s="47"/>
      <c r="AJ3603" s="47"/>
    </row>
    <row r="3604" spans="1:36">
      <c r="A3604" s="374" t="s">
        <v>5307</v>
      </c>
      <c r="B3604" s="374">
        <v>20</v>
      </c>
      <c r="C3604" s="374" t="s">
        <v>688</v>
      </c>
      <c r="D3604" s="375" t="str">
        <f t="shared" si="778"/>
        <v>Riverwalk Estate20</v>
      </c>
      <c r="E3604" s="375" t="s">
        <v>5324</v>
      </c>
      <c r="F3604" s="375" t="s">
        <v>5309</v>
      </c>
      <c r="G3604" s="375" t="s">
        <v>5310</v>
      </c>
      <c r="H3604" s="375" t="s">
        <v>5311</v>
      </c>
      <c r="I3604" s="63" t="s">
        <v>5312</v>
      </c>
      <c r="J3604" s="47">
        <f t="shared" si="775"/>
        <v>3740</v>
      </c>
      <c r="K3604" s="46" t="s">
        <v>10735</v>
      </c>
      <c r="L3604" s="47">
        <f t="shared" si="776"/>
        <v>1210</v>
      </c>
      <c r="M3604" s="47"/>
      <c r="N3604" s="47"/>
      <c r="O3604" s="47"/>
      <c r="P3604" s="47"/>
      <c r="Q3604" s="47">
        <f t="shared" si="773"/>
        <v>0</v>
      </c>
      <c r="R3604" s="47"/>
      <c r="S3604" s="47" t="s">
        <v>4679</v>
      </c>
      <c r="T3604" s="47" t="s">
        <v>536</v>
      </c>
      <c r="U3604" s="47"/>
      <c r="V3604" s="47"/>
      <c r="W3604" s="47"/>
      <c r="X3604" s="47"/>
      <c r="Y3604" s="47"/>
      <c r="Z3604" s="47">
        <f t="shared" si="771"/>
        <v>4620</v>
      </c>
      <c r="AA3604" s="47">
        <f t="shared" si="777"/>
        <v>1400</v>
      </c>
      <c r="AB3604" s="47"/>
      <c r="AC3604" s="47"/>
      <c r="AD3604" s="47"/>
      <c r="AE3604" s="47"/>
      <c r="AF3604" s="47">
        <f t="shared" si="774"/>
        <v>1485</v>
      </c>
      <c r="AG3604" s="47"/>
      <c r="AH3604" s="47" t="str">
        <f>IFERROR(_xlfn.XLOOKUP(Table6[[#This Row],[Suburb]],Table5[Travel Surcharge],Table5[$$]),"")</f>
        <v/>
      </c>
      <c r="AI3604" s="47"/>
      <c r="AJ3604" s="47"/>
    </row>
    <row r="3605" spans="1:36">
      <c r="A3605" s="374" t="s">
        <v>5307</v>
      </c>
      <c r="B3605" s="374">
        <v>21</v>
      </c>
      <c r="C3605" s="374" t="s">
        <v>688</v>
      </c>
      <c r="D3605" s="375" t="str">
        <f t="shared" si="778"/>
        <v>Riverwalk Estate21</v>
      </c>
      <c r="E3605" s="375" t="s">
        <v>5325</v>
      </c>
      <c r="F3605" s="375" t="s">
        <v>5309</v>
      </c>
      <c r="G3605" s="375" t="s">
        <v>5310</v>
      </c>
      <c r="H3605" s="375" t="s">
        <v>5311</v>
      </c>
      <c r="I3605" s="63" t="s">
        <v>5312</v>
      </c>
      <c r="J3605" s="47">
        <f t="shared" si="775"/>
        <v>3740</v>
      </c>
      <c r="K3605" s="46" t="s">
        <v>10735</v>
      </c>
      <c r="L3605" s="47">
        <f t="shared" si="776"/>
        <v>1210</v>
      </c>
      <c r="M3605" s="47"/>
      <c r="N3605" s="47"/>
      <c r="O3605" s="47"/>
      <c r="P3605" s="47"/>
      <c r="Q3605" s="47">
        <f t="shared" si="773"/>
        <v>0</v>
      </c>
      <c r="R3605" s="47"/>
      <c r="S3605" s="47" t="s">
        <v>4679</v>
      </c>
      <c r="T3605" s="47" t="s">
        <v>536</v>
      </c>
      <c r="U3605" s="47"/>
      <c r="V3605" s="47"/>
      <c r="W3605" s="47"/>
      <c r="X3605" s="47"/>
      <c r="Y3605" s="47"/>
      <c r="Z3605" s="47">
        <f t="shared" si="771"/>
        <v>4620</v>
      </c>
      <c r="AA3605" s="47">
        <f t="shared" si="777"/>
        <v>1400</v>
      </c>
      <c r="AB3605" s="47"/>
      <c r="AC3605" s="47"/>
      <c r="AD3605" s="47"/>
      <c r="AE3605" s="47"/>
      <c r="AF3605" s="47">
        <f t="shared" si="774"/>
        <v>1485</v>
      </c>
      <c r="AG3605" s="47"/>
      <c r="AH3605" s="47" t="str">
        <f>IFERROR(_xlfn.XLOOKUP(Table6[[#This Row],[Suburb]],Table5[Travel Surcharge],Table5[$$]),"")</f>
        <v/>
      </c>
      <c r="AI3605" s="47"/>
      <c r="AJ3605" s="47"/>
    </row>
    <row r="3606" spans="1:36">
      <c r="A3606" s="374" t="s">
        <v>5307</v>
      </c>
      <c r="B3606" s="374">
        <v>22</v>
      </c>
      <c r="C3606" s="374" t="s">
        <v>688</v>
      </c>
      <c r="D3606" s="375" t="str">
        <f t="shared" si="778"/>
        <v>Riverwalk Estate22</v>
      </c>
      <c r="E3606" s="375" t="s">
        <v>5326</v>
      </c>
      <c r="F3606" s="375" t="s">
        <v>5309</v>
      </c>
      <c r="G3606" s="375" t="s">
        <v>5310</v>
      </c>
      <c r="H3606" s="375" t="s">
        <v>5311</v>
      </c>
      <c r="I3606" s="63" t="s">
        <v>5312</v>
      </c>
      <c r="J3606" s="47">
        <f t="shared" si="775"/>
        <v>3740</v>
      </c>
      <c r="K3606" s="46" t="s">
        <v>10735</v>
      </c>
      <c r="L3606" s="47">
        <f t="shared" si="776"/>
        <v>1210</v>
      </c>
      <c r="M3606" s="47"/>
      <c r="N3606" s="47"/>
      <c r="O3606" s="47"/>
      <c r="P3606" s="47"/>
      <c r="Q3606" s="47">
        <f t="shared" si="773"/>
        <v>0</v>
      </c>
      <c r="R3606" s="47"/>
      <c r="S3606" s="47" t="s">
        <v>4679</v>
      </c>
      <c r="T3606" s="47" t="s">
        <v>536</v>
      </c>
      <c r="U3606" s="47"/>
      <c r="V3606" s="47"/>
      <c r="W3606" s="47"/>
      <c r="X3606" s="47"/>
      <c r="Y3606" s="47"/>
      <c r="Z3606" s="47">
        <f t="shared" si="771"/>
        <v>4620</v>
      </c>
      <c r="AA3606" s="47">
        <f t="shared" si="777"/>
        <v>1400</v>
      </c>
      <c r="AB3606" s="47"/>
      <c r="AC3606" s="47"/>
      <c r="AD3606" s="47"/>
      <c r="AE3606" s="47"/>
      <c r="AF3606" s="47">
        <f t="shared" si="774"/>
        <v>1485</v>
      </c>
      <c r="AG3606" s="47"/>
      <c r="AH3606" s="47" t="str">
        <f>IFERROR(_xlfn.XLOOKUP(Table6[[#This Row],[Suburb]],Table5[Travel Surcharge],Table5[$$]),"")</f>
        <v/>
      </c>
      <c r="AI3606" s="47"/>
      <c r="AJ3606" s="47"/>
    </row>
    <row r="3607" spans="1:36">
      <c r="A3607" s="374" t="s">
        <v>5307</v>
      </c>
      <c r="B3607" s="374">
        <v>24</v>
      </c>
      <c r="C3607" s="374" t="s">
        <v>688</v>
      </c>
      <c r="D3607" s="375" t="str">
        <f t="shared" si="778"/>
        <v>Riverwalk Estate24</v>
      </c>
      <c r="E3607" s="375" t="s">
        <v>5332</v>
      </c>
      <c r="F3607" s="375" t="s">
        <v>5309</v>
      </c>
      <c r="G3607" s="375" t="s">
        <v>5310</v>
      </c>
      <c r="H3607" s="375" t="s">
        <v>5311</v>
      </c>
      <c r="I3607" s="63" t="s">
        <v>5312</v>
      </c>
      <c r="J3607" s="47">
        <f t="shared" si="775"/>
        <v>3740</v>
      </c>
      <c r="K3607" s="46" t="s">
        <v>10735</v>
      </c>
      <c r="L3607" s="47">
        <f t="shared" si="776"/>
        <v>1210</v>
      </c>
      <c r="M3607" s="47"/>
      <c r="N3607" s="47"/>
      <c r="O3607" s="47"/>
      <c r="P3607" s="47"/>
      <c r="Q3607" s="47">
        <f t="shared" si="773"/>
        <v>0</v>
      </c>
      <c r="R3607" s="47"/>
      <c r="S3607" s="47" t="s">
        <v>4679</v>
      </c>
      <c r="T3607" s="47" t="s">
        <v>536</v>
      </c>
      <c r="U3607" s="47"/>
      <c r="V3607" s="47"/>
      <c r="W3607" s="47"/>
      <c r="X3607" s="47"/>
      <c r="Y3607" s="47"/>
      <c r="Z3607" s="47">
        <f t="shared" si="771"/>
        <v>4620</v>
      </c>
      <c r="AA3607" s="47">
        <f t="shared" si="777"/>
        <v>1400</v>
      </c>
      <c r="AB3607" s="47"/>
      <c r="AC3607" s="47"/>
      <c r="AD3607" s="47"/>
      <c r="AE3607" s="47"/>
      <c r="AF3607" s="47">
        <f t="shared" si="774"/>
        <v>1485</v>
      </c>
      <c r="AG3607" s="47"/>
      <c r="AH3607" s="47" t="str">
        <f>IFERROR(_xlfn.XLOOKUP(Table6[[#This Row],[Suburb]],Table5[Travel Surcharge],Table5[$$]),"")</f>
        <v/>
      </c>
      <c r="AI3607" s="47"/>
      <c r="AJ3607" s="47"/>
    </row>
    <row r="3608" spans="1:36">
      <c r="A3608" s="374" t="s">
        <v>5307</v>
      </c>
      <c r="B3608" s="374">
        <v>26</v>
      </c>
      <c r="C3608" s="374" t="s">
        <v>688</v>
      </c>
      <c r="D3608" s="375" t="str">
        <f t="shared" si="778"/>
        <v>Riverwalk Estate26</v>
      </c>
      <c r="E3608" s="375" t="s">
        <v>5333</v>
      </c>
      <c r="F3608" s="375" t="s">
        <v>5309</v>
      </c>
      <c r="G3608" s="375" t="s">
        <v>5310</v>
      </c>
      <c r="H3608" s="375" t="s">
        <v>5311</v>
      </c>
      <c r="I3608" s="63" t="s">
        <v>5312</v>
      </c>
      <c r="J3608" s="47">
        <f t="shared" si="775"/>
        <v>3740</v>
      </c>
      <c r="K3608" s="46" t="s">
        <v>10735</v>
      </c>
      <c r="L3608" s="47">
        <f t="shared" si="776"/>
        <v>1210</v>
      </c>
      <c r="M3608" s="47"/>
      <c r="N3608" s="47"/>
      <c r="O3608" s="47"/>
      <c r="P3608" s="47"/>
      <c r="Q3608" s="47">
        <f t="shared" si="773"/>
        <v>0</v>
      </c>
      <c r="R3608" s="47"/>
      <c r="S3608" s="47" t="s">
        <v>4679</v>
      </c>
      <c r="T3608" s="47" t="s">
        <v>536</v>
      </c>
      <c r="U3608" s="47"/>
      <c r="V3608" s="47"/>
      <c r="W3608" s="47"/>
      <c r="X3608" s="47"/>
      <c r="Y3608" s="47"/>
      <c r="Z3608" s="47">
        <f t="shared" si="771"/>
        <v>4620</v>
      </c>
      <c r="AA3608" s="47">
        <f t="shared" si="777"/>
        <v>1400</v>
      </c>
      <c r="AB3608" s="47"/>
      <c r="AC3608" s="47"/>
      <c r="AD3608" s="47"/>
      <c r="AE3608" s="47"/>
      <c r="AF3608" s="47">
        <f t="shared" si="774"/>
        <v>1485</v>
      </c>
      <c r="AG3608" s="47"/>
      <c r="AH3608" s="47" t="str">
        <f>IFERROR(_xlfn.XLOOKUP(Table6[[#This Row],[Suburb]],Table5[Travel Surcharge],Table5[$$]),"")</f>
        <v/>
      </c>
      <c r="AI3608" s="47"/>
      <c r="AJ3608" s="47"/>
    </row>
    <row r="3609" spans="1:36">
      <c r="A3609" s="374" t="s">
        <v>5307</v>
      </c>
      <c r="B3609" s="374">
        <v>28</v>
      </c>
      <c r="C3609" s="374" t="s">
        <v>688</v>
      </c>
      <c r="D3609" s="375" t="str">
        <f t="shared" si="778"/>
        <v>Riverwalk Estate28</v>
      </c>
      <c r="E3609" s="375" t="s">
        <v>5335</v>
      </c>
      <c r="F3609" s="375" t="s">
        <v>5309</v>
      </c>
      <c r="G3609" s="375" t="s">
        <v>5310</v>
      </c>
      <c r="H3609" s="375" t="s">
        <v>5311</v>
      </c>
      <c r="I3609" s="63" t="s">
        <v>5312</v>
      </c>
      <c r="J3609" s="47">
        <f t="shared" si="775"/>
        <v>3740</v>
      </c>
      <c r="K3609" s="46" t="s">
        <v>10735</v>
      </c>
      <c r="L3609" s="47">
        <f t="shared" si="776"/>
        <v>1210</v>
      </c>
      <c r="M3609" s="47"/>
      <c r="N3609" s="47"/>
      <c r="O3609" s="47"/>
      <c r="P3609" s="47"/>
      <c r="Q3609" s="47">
        <f t="shared" si="773"/>
        <v>0</v>
      </c>
      <c r="R3609" s="47"/>
      <c r="S3609" s="47" t="s">
        <v>4679</v>
      </c>
      <c r="T3609" s="47" t="s">
        <v>536</v>
      </c>
      <c r="U3609" s="47"/>
      <c r="V3609" s="47"/>
      <c r="W3609" s="47"/>
      <c r="X3609" s="47"/>
      <c r="Y3609" s="47"/>
      <c r="Z3609" s="47">
        <f t="shared" si="771"/>
        <v>4620</v>
      </c>
      <c r="AA3609" s="47">
        <f t="shared" si="777"/>
        <v>1400</v>
      </c>
      <c r="AB3609" s="47"/>
      <c r="AC3609" s="47"/>
      <c r="AD3609" s="47"/>
      <c r="AE3609" s="47"/>
      <c r="AF3609" s="47">
        <f t="shared" si="774"/>
        <v>1485</v>
      </c>
      <c r="AG3609" s="47"/>
      <c r="AH3609" s="47" t="str">
        <f>IFERROR(_xlfn.XLOOKUP(Table6[[#This Row],[Suburb]],Table5[Travel Surcharge],Table5[$$]),"")</f>
        <v/>
      </c>
      <c r="AI3609" s="47"/>
      <c r="AJ3609" s="47"/>
    </row>
    <row r="3610" spans="1:36">
      <c r="A3610" s="374" t="s">
        <v>5307</v>
      </c>
      <c r="B3610" s="374">
        <v>29</v>
      </c>
      <c r="C3610" s="374" t="s">
        <v>688</v>
      </c>
      <c r="D3610" s="375" t="str">
        <f t="shared" si="778"/>
        <v>Riverwalk Estate29</v>
      </c>
      <c r="E3610" s="375" t="s">
        <v>5336</v>
      </c>
      <c r="F3610" s="375" t="s">
        <v>5309</v>
      </c>
      <c r="G3610" s="375" t="s">
        <v>5310</v>
      </c>
      <c r="H3610" s="375" t="s">
        <v>5311</v>
      </c>
      <c r="I3610" s="63" t="s">
        <v>5312</v>
      </c>
      <c r="J3610" s="47">
        <f t="shared" si="775"/>
        <v>3740</v>
      </c>
      <c r="K3610" s="46" t="s">
        <v>10735</v>
      </c>
      <c r="L3610" s="47">
        <f t="shared" si="776"/>
        <v>1210</v>
      </c>
      <c r="M3610" s="47"/>
      <c r="N3610" s="47"/>
      <c r="O3610" s="47"/>
      <c r="P3610" s="47"/>
      <c r="Q3610" s="47">
        <f t="shared" si="773"/>
        <v>0</v>
      </c>
      <c r="R3610" s="47"/>
      <c r="S3610" s="47" t="s">
        <v>4679</v>
      </c>
      <c r="T3610" s="47" t="s">
        <v>536</v>
      </c>
      <c r="U3610" s="47"/>
      <c r="V3610" s="47"/>
      <c r="W3610" s="47"/>
      <c r="X3610" s="47"/>
      <c r="Y3610" s="47"/>
      <c r="Z3610" s="47">
        <f t="shared" si="771"/>
        <v>4620</v>
      </c>
      <c r="AA3610" s="47">
        <f t="shared" si="777"/>
        <v>1400</v>
      </c>
      <c r="AB3610" s="47"/>
      <c r="AC3610" s="47"/>
      <c r="AD3610" s="47"/>
      <c r="AE3610" s="47"/>
      <c r="AF3610" s="47">
        <f t="shared" si="774"/>
        <v>1485</v>
      </c>
      <c r="AG3610" s="47"/>
      <c r="AH3610" s="47" t="str">
        <f>IFERROR(_xlfn.XLOOKUP(Table6[[#This Row],[Suburb]],Table5[Travel Surcharge],Table5[$$]),"")</f>
        <v/>
      </c>
      <c r="AI3610" s="47"/>
      <c r="AJ3610" s="47"/>
    </row>
    <row r="3611" spans="1:36">
      <c r="A3611" s="374" t="s">
        <v>5307</v>
      </c>
      <c r="B3611" s="374">
        <v>30</v>
      </c>
      <c r="C3611" s="374" t="s">
        <v>688</v>
      </c>
      <c r="D3611" s="375" t="str">
        <f t="shared" si="778"/>
        <v>Riverwalk Estate30</v>
      </c>
      <c r="E3611" s="375" t="s">
        <v>5337</v>
      </c>
      <c r="F3611" s="375" t="s">
        <v>5309</v>
      </c>
      <c r="G3611" s="375" t="s">
        <v>5310</v>
      </c>
      <c r="H3611" s="375" t="s">
        <v>5311</v>
      </c>
      <c r="I3611" s="63" t="s">
        <v>5312</v>
      </c>
      <c r="J3611" s="47">
        <f t="shared" si="775"/>
        <v>3740</v>
      </c>
      <c r="K3611" s="46" t="s">
        <v>10735</v>
      </c>
      <c r="L3611" s="47" t="s">
        <v>504</v>
      </c>
      <c r="M3611" s="47">
        <f t="shared" ref="M3611:M3620" si="779">M$7</f>
        <v>1430.0000000000002</v>
      </c>
      <c r="N3611" s="47"/>
      <c r="O3611" s="47"/>
      <c r="P3611" s="47"/>
      <c r="Q3611" s="47">
        <f t="shared" si="773"/>
        <v>0</v>
      </c>
      <c r="R3611" s="47"/>
      <c r="S3611" s="47" t="s">
        <v>4679</v>
      </c>
      <c r="T3611" s="47" t="s">
        <v>536</v>
      </c>
      <c r="U3611" s="47"/>
      <c r="V3611" s="47"/>
      <c r="W3611" s="47"/>
      <c r="X3611" s="47"/>
      <c r="Y3611" s="47"/>
      <c r="Z3611" s="47">
        <f t="shared" si="771"/>
        <v>4620</v>
      </c>
      <c r="AA3611" s="47">
        <f t="shared" si="777"/>
        <v>1400</v>
      </c>
      <c r="AB3611" s="47"/>
      <c r="AC3611" s="47"/>
      <c r="AD3611" s="47"/>
      <c r="AE3611" s="47"/>
      <c r="AF3611" s="47">
        <f t="shared" si="774"/>
        <v>1485</v>
      </c>
      <c r="AG3611" s="47"/>
      <c r="AH3611" s="47" t="str">
        <f>IFERROR(_xlfn.XLOOKUP(Table6[[#This Row],[Suburb]],Table5[Travel Surcharge],Table5[$$]),"")</f>
        <v/>
      </c>
      <c r="AI3611" s="47"/>
      <c r="AJ3611" s="47"/>
    </row>
    <row r="3612" spans="1:36">
      <c r="A3612" s="374" t="s">
        <v>5307</v>
      </c>
      <c r="B3612" s="374">
        <v>31</v>
      </c>
      <c r="C3612" s="374" t="s">
        <v>688</v>
      </c>
      <c r="D3612" s="375" t="str">
        <f t="shared" si="778"/>
        <v>Riverwalk Estate31</v>
      </c>
      <c r="E3612" s="375" t="s">
        <v>5338</v>
      </c>
      <c r="F3612" s="375" t="s">
        <v>5309</v>
      </c>
      <c r="G3612" s="375" t="s">
        <v>5310</v>
      </c>
      <c r="H3612" s="375" t="s">
        <v>5311</v>
      </c>
      <c r="I3612" s="63" t="s">
        <v>5312</v>
      </c>
      <c r="J3612" s="47">
        <f t="shared" si="775"/>
        <v>3740</v>
      </c>
      <c r="K3612" s="46" t="s">
        <v>10735</v>
      </c>
      <c r="L3612" s="47" t="s">
        <v>504</v>
      </c>
      <c r="M3612" s="47">
        <f t="shared" si="779"/>
        <v>1430.0000000000002</v>
      </c>
      <c r="N3612" s="47"/>
      <c r="O3612" s="47" t="s">
        <v>5339</v>
      </c>
      <c r="P3612" s="47"/>
      <c r="Q3612" s="47">
        <f t="shared" si="773"/>
        <v>0</v>
      </c>
      <c r="R3612" s="47"/>
      <c r="S3612" s="47" t="s">
        <v>4679</v>
      </c>
      <c r="T3612" s="47" t="s">
        <v>536</v>
      </c>
      <c r="U3612" s="47"/>
      <c r="V3612" s="47" t="str">
        <f>V$7</f>
        <v>$6/m2</v>
      </c>
      <c r="W3612" s="47"/>
      <c r="X3612" s="47"/>
      <c r="Y3612" s="47"/>
      <c r="Z3612" s="47">
        <f t="shared" si="771"/>
        <v>4620</v>
      </c>
      <c r="AA3612" s="47">
        <f t="shared" si="777"/>
        <v>1400</v>
      </c>
      <c r="AB3612" s="47"/>
      <c r="AC3612" s="47"/>
      <c r="AD3612" s="47"/>
      <c r="AE3612" s="47">
        <f>AE$7</f>
        <v>5000</v>
      </c>
      <c r="AF3612" s="47">
        <f t="shared" si="774"/>
        <v>1485</v>
      </c>
      <c r="AG3612" s="47"/>
      <c r="AH3612" s="47" t="str">
        <f>IFERROR(_xlfn.XLOOKUP(Table6[[#This Row],[Suburb]],Table5[Travel Surcharge],Table5[$$]),"")</f>
        <v/>
      </c>
      <c r="AI3612" s="47"/>
      <c r="AJ3612" s="47"/>
    </row>
    <row r="3613" spans="1:36">
      <c r="A3613" s="374" t="s">
        <v>5307</v>
      </c>
      <c r="B3613" s="374">
        <v>32</v>
      </c>
      <c r="C3613" s="374" t="s">
        <v>688</v>
      </c>
      <c r="D3613" s="375" t="str">
        <f t="shared" si="778"/>
        <v>Riverwalk Estate32</v>
      </c>
      <c r="E3613" s="375" t="s">
        <v>5340</v>
      </c>
      <c r="F3613" s="375" t="s">
        <v>5309</v>
      </c>
      <c r="G3613" s="375" t="s">
        <v>5310</v>
      </c>
      <c r="H3613" s="375" t="s">
        <v>5311</v>
      </c>
      <c r="I3613" s="63" t="s">
        <v>5312</v>
      </c>
      <c r="J3613" s="47">
        <f t="shared" si="775"/>
        <v>3740</v>
      </c>
      <c r="K3613" s="46" t="s">
        <v>10735</v>
      </c>
      <c r="L3613" s="47" t="s">
        <v>504</v>
      </c>
      <c r="M3613" s="47">
        <f t="shared" si="779"/>
        <v>1430.0000000000002</v>
      </c>
      <c r="N3613" s="47"/>
      <c r="O3613" s="47" t="s">
        <v>5339</v>
      </c>
      <c r="P3613" s="47"/>
      <c r="Q3613" s="47">
        <f t="shared" si="773"/>
        <v>0</v>
      </c>
      <c r="R3613" s="47"/>
      <c r="S3613" s="47" t="s">
        <v>4679</v>
      </c>
      <c r="T3613" s="47" t="s">
        <v>536</v>
      </c>
      <c r="U3613" s="47"/>
      <c r="V3613" s="47" t="str">
        <f>V$7</f>
        <v>$6/m2</v>
      </c>
      <c r="W3613" s="47"/>
      <c r="X3613" s="47"/>
      <c r="Y3613" s="47"/>
      <c r="Z3613" s="47">
        <f t="shared" si="771"/>
        <v>4620</v>
      </c>
      <c r="AA3613" s="47">
        <f t="shared" si="777"/>
        <v>1400</v>
      </c>
      <c r="AB3613" s="47"/>
      <c r="AC3613" s="47"/>
      <c r="AD3613" s="47"/>
      <c r="AE3613" s="47">
        <f>AE$7</f>
        <v>5000</v>
      </c>
      <c r="AF3613" s="47">
        <f t="shared" si="774"/>
        <v>1485</v>
      </c>
      <c r="AG3613" s="47"/>
      <c r="AH3613" s="47" t="str">
        <f>IFERROR(_xlfn.XLOOKUP(Table6[[#This Row],[Suburb]],Table5[Travel Surcharge],Table5[$$]),"")</f>
        <v/>
      </c>
      <c r="AI3613" s="47"/>
      <c r="AJ3613" s="47"/>
    </row>
    <row r="3614" spans="1:36">
      <c r="A3614" s="374" t="s">
        <v>5307</v>
      </c>
      <c r="B3614" s="374">
        <v>33</v>
      </c>
      <c r="C3614" s="374" t="s">
        <v>8185</v>
      </c>
      <c r="D3614" s="157" t="str">
        <f t="shared" si="778"/>
        <v>Riverwalk Estate33</v>
      </c>
      <c r="E3614" s="157" t="s">
        <v>8189</v>
      </c>
      <c r="F3614" s="157" t="s">
        <v>5309</v>
      </c>
      <c r="G3614" s="157" t="s">
        <v>5310</v>
      </c>
      <c r="H3614" s="157" t="s">
        <v>8186</v>
      </c>
      <c r="I3614" s="158" t="s">
        <v>5312</v>
      </c>
      <c r="J3614" s="47">
        <f t="shared" si="775"/>
        <v>3740</v>
      </c>
      <c r="K3614" s="46" t="s">
        <v>10735</v>
      </c>
      <c r="L3614" s="47" t="s">
        <v>504</v>
      </c>
      <c r="M3614" s="47">
        <f t="shared" si="779"/>
        <v>1430.0000000000002</v>
      </c>
      <c r="N3614" s="47"/>
      <c r="O3614" s="47" t="s">
        <v>5339</v>
      </c>
      <c r="P3614" s="47"/>
      <c r="Q3614" s="47">
        <f t="shared" si="773"/>
        <v>0</v>
      </c>
      <c r="R3614" s="47"/>
      <c r="S3614" s="47" t="s">
        <v>8187</v>
      </c>
      <c r="T3614" s="47" t="s">
        <v>8188</v>
      </c>
      <c r="U3614" s="47"/>
      <c r="V3614" s="47" t="str">
        <f>V$7</f>
        <v>$6/m2</v>
      </c>
      <c r="W3614" s="47"/>
      <c r="X3614" s="47"/>
      <c r="Y3614" s="47"/>
      <c r="Z3614" s="47">
        <f t="shared" si="771"/>
        <v>4620</v>
      </c>
      <c r="AA3614" s="47">
        <f t="shared" si="777"/>
        <v>1400</v>
      </c>
      <c r="AB3614" s="47"/>
      <c r="AC3614" s="47"/>
      <c r="AD3614" s="47"/>
      <c r="AE3614" s="47">
        <f>AE$7</f>
        <v>5000</v>
      </c>
      <c r="AF3614" s="47">
        <f t="shared" si="774"/>
        <v>1485</v>
      </c>
      <c r="AG3614" s="47"/>
      <c r="AH3614" s="47" t="str">
        <f>IFERROR(_xlfn.XLOOKUP(Table6[[#This Row],[Suburb]],Table5[Travel Surcharge],Table5[$$]),"")</f>
        <v/>
      </c>
      <c r="AI3614" s="47"/>
      <c r="AJ3614" s="47"/>
    </row>
    <row r="3615" spans="1:36">
      <c r="A3615" s="374" t="s">
        <v>5307</v>
      </c>
      <c r="B3615" s="374">
        <v>34</v>
      </c>
      <c r="C3615" s="374" t="s">
        <v>688</v>
      </c>
      <c r="D3615" s="375" t="str">
        <f t="shared" si="778"/>
        <v>Riverwalk Estate34</v>
      </c>
      <c r="E3615" s="375" t="s">
        <v>5341</v>
      </c>
      <c r="F3615" s="375" t="s">
        <v>5309</v>
      </c>
      <c r="G3615" s="375" t="s">
        <v>5310</v>
      </c>
      <c r="H3615" s="375" t="s">
        <v>5311</v>
      </c>
      <c r="I3615" s="63" t="s">
        <v>5312</v>
      </c>
      <c r="J3615" s="47">
        <f t="shared" si="775"/>
        <v>3740</v>
      </c>
      <c r="K3615" s="46" t="s">
        <v>10735</v>
      </c>
      <c r="L3615" s="47" t="s">
        <v>504</v>
      </c>
      <c r="M3615" s="47">
        <f t="shared" si="779"/>
        <v>1430.0000000000002</v>
      </c>
      <c r="N3615" s="47"/>
      <c r="O3615" s="47" t="s">
        <v>5339</v>
      </c>
      <c r="P3615" s="47"/>
      <c r="Q3615" s="47">
        <f t="shared" si="773"/>
        <v>0</v>
      </c>
      <c r="R3615" s="47"/>
      <c r="S3615" s="47" t="s">
        <v>4679</v>
      </c>
      <c r="T3615" s="47" t="s">
        <v>536</v>
      </c>
      <c r="U3615" s="47"/>
      <c r="V3615" s="47" t="str">
        <f>V$7</f>
        <v>$6/m2</v>
      </c>
      <c r="W3615" s="47"/>
      <c r="X3615" s="47"/>
      <c r="Y3615" s="47"/>
      <c r="Z3615" s="47">
        <f t="shared" si="771"/>
        <v>4620</v>
      </c>
      <c r="AA3615" s="47">
        <f t="shared" si="777"/>
        <v>1400</v>
      </c>
      <c r="AB3615" s="47"/>
      <c r="AC3615" s="47"/>
      <c r="AD3615" s="47"/>
      <c r="AE3615" s="47">
        <f>AE$7</f>
        <v>5000</v>
      </c>
      <c r="AF3615" s="47">
        <f t="shared" si="774"/>
        <v>1485</v>
      </c>
      <c r="AG3615" s="47"/>
      <c r="AH3615" s="47" t="str">
        <f>IFERROR(_xlfn.XLOOKUP(Table6[[#This Row],[Suburb]],Table5[Travel Surcharge],Table5[$$]),"")</f>
        <v/>
      </c>
      <c r="AI3615" s="47"/>
      <c r="AJ3615" s="47"/>
    </row>
    <row r="3616" spans="1:36">
      <c r="A3616" s="374" t="s">
        <v>5307</v>
      </c>
      <c r="B3616" s="374">
        <v>36</v>
      </c>
      <c r="C3616" s="374" t="s">
        <v>688</v>
      </c>
      <c r="D3616" s="375" t="str">
        <f t="shared" si="778"/>
        <v>Riverwalk Estate36</v>
      </c>
      <c r="E3616" s="375" t="s">
        <v>5343</v>
      </c>
      <c r="F3616" s="375" t="s">
        <v>5309</v>
      </c>
      <c r="G3616" s="375" t="s">
        <v>5310</v>
      </c>
      <c r="H3616" s="375" t="s">
        <v>5311</v>
      </c>
      <c r="I3616" s="63" t="s">
        <v>5312</v>
      </c>
      <c r="J3616" s="47">
        <v>3740</v>
      </c>
      <c r="K3616" s="46" t="s">
        <v>10735</v>
      </c>
      <c r="L3616" s="47" t="s">
        <v>504</v>
      </c>
      <c r="M3616" s="47">
        <f t="shared" si="779"/>
        <v>1430.0000000000002</v>
      </c>
      <c r="N3616" s="47"/>
      <c r="O3616" s="47" t="s">
        <v>5339</v>
      </c>
      <c r="P3616" s="47"/>
      <c r="Q3616" s="47">
        <f t="shared" si="773"/>
        <v>0</v>
      </c>
      <c r="R3616" s="47"/>
      <c r="S3616" s="47" t="s">
        <v>4679</v>
      </c>
      <c r="T3616" s="47" t="s">
        <v>536</v>
      </c>
      <c r="U3616" s="47"/>
      <c r="V3616" s="47">
        <v>6</v>
      </c>
      <c r="W3616" s="47"/>
      <c r="X3616" s="47"/>
      <c r="Y3616" s="47"/>
      <c r="Z3616" s="47">
        <v>4620</v>
      </c>
      <c r="AA3616" s="47">
        <v>1400</v>
      </c>
      <c r="AB3616" s="47"/>
      <c r="AC3616" s="47"/>
      <c r="AD3616" s="47"/>
      <c r="AE3616" s="47">
        <v>8000</v>
      </c>
      <c r="AF3616" s="47">
        <v>1650.0000000000002</v>
      </c>
      <c r="AG3616" s="47"/>
      <c r="AH3616" s="47" t="str">
        <f>IFERROR(_xlfn.XLOOKUP(Table6[[#This Row],[Suburb]],Table5[Travel Surcharge],Table5[$$]),"")</f>
        <v/>
      </c>
      <c r="AI3616" s="47"/>
      <c r="AJ3616" s="47"/>
    </row>
    <row r="3617" spans="1:36">
      <c r="A3617" s="374" t="s">
        <v>5307</v>
      </c>
      <c r="B3617" s="374">
        <v>39</v>
      </c>
      <c r="C3617" s="374" t="s">
        <v>8185</v>
      </c>
      <c r="D3617" s="157" t="str">
        <f t="shared" si="778"/>
        <v>Riverwalk Estate39</v>
      </c>
      <c r="E3617" s="157" t="s">
        <v>8452</v>
      </c>
      <c r="F3617" s="157" t="s">
        <v>5309</v>
      </c>
      <c r="G3617" s="157" t="s">
        <v>5310</v>
      </c>
      <c r="H3617" s="157" t="s">
        <v>8451</v>
      </c>
      <c r="I3617" s="158" t="s">
        <v>5312</v>
      </c>
      <c r="J3617" s="47">
        <v>3741</v>
      </c>
      <c r="K3617" s="46" t="s">
        <v>10735</v>
      </c>
      <c r="L3617" s="47" t="s">
        <v>504</v>
      </c>
      <c r="M3617" s="47">
        <f t="shared" si="779"/>
        <v>1430.0000000000002</v>
      </c>
      <c r="N3617" s="47"/>
      <c r="O3617" s="47" t="s">
        <v>5339</v>
      </c>
      <c r="P3617" s="47"/>
      <c r="Q3617" s="47">
        <f t="shared" si="773"/>
        <v>0</v>
      </c>
      <c r="R3617" s="47"/>
      <c r="S3617" s="47" t="s">
        <v>8187</v>
      </c>
      <c r="T3617" s="47" t="s">
        <v>8188</v>
      </c>
      <c r="U3617" s="47"/>
      <c r="V3617" s="47">
        <v>6</v>
      </c>
      <c r="W3617" s="47"/>
      <c r="X3617" s="47"/>
      <c r="Y3617" s="47"/>
      <c r="Z3617" s="47">
        <v>4620</v>
      </c>
      <c r="AA3617" s="47">
        <v>1400</v>
      </c>
      <c r="AB3617" s="47"/>
      <c r="AC3617" s="47"/>
      <c r="AD3617" s="47"/>
      <c r="AE3617" s="47">
        <v>8000</v>
      </c>
      <c r="AF3617" s="47">
        <v>1650.0000000000002</v>
      </c>
      <c r="AG3617" s="47"/>
      <c r="AH3617" s="47" t="str">
        <f>IFERROR(_xlfn.XLOOKUP(Table6[[#This Row],[Suburb]],Table5[Travel Surcharge],Table5[$$]),"")</f>
        <v/>
      </c>
      <c r="AI3617" s="47"/>
      <c r="AJ3617" s="47"/>
    </row>
    <row r="3618" spans="1:36">
      <c r="A3618" s="374" t="s">
        <v>5307</v>
      </c>
      <c r="B3618" s="374">
        <v>41</v>
      </c>
      <c r="C3618" s="374" t="s">
        <v>688</v>
      </c>
      <c r="D3618" s="157" t="str">
        <f t="shared" si="778"/>
        <v>Riverwalk Estate41</v>
      </c>
      <c r="E3618" s="157" t="s">
        <v>8181</v>
      </c>
      <c r="F3618" s="157" t="s">
        <v>5309</v>
      </c>
      <c r="G3618" s="157" t="s">
        <v>5310</v>
      </c>
      <c r="H3618" s="157" t="s">
        <v>5311</v>
      </c>
      <c r="I3618" s="158" t="s">
        <v>5312</v>
      </c>
      <c r="J3618" s="47">
        <v>3740</v>
      </c>
      <c r="K3618" s="46" t="s">
        <v>10735</v>
      </c>
      <c r="L3618" s="47" t="s">
        <v>504</v>
      </c>
      <c r="M3618" s="47">
        <f t="shared" si="779"/>
        <v>1430.0000000000002</v>
      </c>
      <c r="N3618" s="47"/>
      <c r="O3618" s="47" t="s">
        <v>5339</v>
      </c>
      <c r="P3618" s="47"/>
      <c r="Q3618" s="47">
        <v>0</v>
      </c>
      <c r="R3618" s="47"/>
      <c r="S3618" s="47" t="s">
        <v>4679</v>
      </c>
      <c r="T3618" s="47" t="s">
        <v>536</v>
      </c>
      <c r="U3618" s="47"/>
      <c r="V3618" s="47">
        <v>6</v>
      </c>
      <c r="W3618" s="47"/>
      <c r="X3618" s="47"/>
      <c r="Y3618" s="47"/>
      <c r="Z3618" s="47">
        <v>4620</v>
      </c>
      <c r="AA3618" s="47">
        <v>1400</v>
      </c>
      <c r="AB3618" s="47"/>
      <c r="AC3618" s="47"/>
      <c r="AD3618" s="47"/>
      <c r="AE3618" s="47">
        <v>8000</v>
      </c>
      <c r="AF3618" s="47">
        <v>1650.0000000000002</v>
      </c>
      <c r="AG3618" s="47"/>
      <c r="AH3618" s="47" t="str">
        <f>IFERROR(_xlfn.XLOOKUP(Table6[[#This Row],[Suburb]],Table5[Travel Surcharge],Table5[$$]),"")</f>
        <v/>
      </c>
      <c r="AI3618" s="47"/>
      <c r="AJ3618" s="47"/>
    </row>
    <row r="3619" spans="1:36">
      <c r="A3619" s="374" t="s">
        <v>5307</v>
      </c>
      <c r="B3619" s="374">
        <v>42</v>
      </c>
      <c r="C3619" s="374" t="s">
        <v>688</v>
      </c>
      <c r="D3619" s="157" t="str">
        <f t="shared" si="778"/>
        <v>Riverwalk Estate42</v>
      </c>
      <c r="E3619" s="157" t="s">
        <v>8947</v>
      </c>
      <c r="F3619" s="157" t="s">
        <v>5309</v>
      </c>
      <c r="G3619" s="157" t="s">
        <v>5310</v>
      </c>
      <c r="H3619" s="157" t="s">
        <v>5311</v>
      </c>
      <c r="I3619" s="158" t="s">
        <v>5312</v>
      </c>
      <c r="J3619" s="47">
        <v>3740</v>
      </c>
      <c r="K3619" s="46" t="s">
        <v>10735</v>
      </c>
      <c r="L3619" s="47" t="s">
        <v>504</v>
      </c>
      <c r="M3619" s="47">
        <f t="shared" si="779"/>
        <v>1430.0000000000002</v>
      </c>
      <c r="N3619" s="47"/>
      <c r="O3619" s="47" t="s">
        <v>5339</v>
      </c>
      <c r="P3619" s="47"/>
      <c r="Q3619" s="47">
        <v>0</v>
      </c>
      <c r="R3619" s="47"/>
      <c r="S3619" s="47" t="s">
        <v>4679</v>
      </c>
      <c r="T3619" s="47" t="s">
        <v>536</v>
      </c>
      <c r="U3619" s="47"/>
      <c r="V3619" s="47">
        <v>6</v>
      </c>
      <c r="W3619" s="47"/>
      <c r="X3619" s="47"/>
      <c r="Y3619" s="47"/>
      <c r="Z3619" s="47">
        <v>4620</v>
      </c>
      <c r="AA3619" s="47">
        <v>1400</v>
      </c>
      <c r="AB3619" s="47"/>
      <c r="AC3619" s="47"/>
      <c r="AD3619" s="47"/>
      <c r="AE3619" s="47">
        <v>8000</v>
      </c>
      <c r="AF3619" s="47">
        <v>1650.0000000000002</v>
      </c>
      <c r="AG3619" s="47"/>
      <c r="AH3619" s="47" t="str">
        <f>IFERROR(_xlfn.XLOOKUP(Table6[[#This Row],[Suburb]],Table5[Travel Surcharge],Table5[$$]),"")</f>
        <v/>
      </c>
      <c r="AI3619" s="47"/>
      <c r="AJ3619" s="47"/>
    </row>
    <row r="3620" spans="1:36">
      <c r="A3620" s="374" t="s">
        <v>5307</v>
      </c>
      <c r="B3620" s="374">
        <v>43</v>
      </c>
      <c r="C3620" s="374" t="s">
        <v>688</v>
      </c>
      <c r="D3620" s="157" t="str">
        <f t="shared" si="778"/>
        <v>Riverwalk Estate43</v>
      </c>
      <c r="E3620" s="157" t="s">
        <v>9681</v>
      </c>
      <c r="F3620" s="157" t="s">
        <v>5309</v>
      </c>
      <c r="G3620" s="157" t="s">
        <v>5310</v>
      </c>
      <c r="H3620" s="157" t="s">
        <v>5311</v>
      </c>
      <c r="I3620" s="158" t="s">
        <v>5312</v>
      </c>
      <c r="J3620" s="47">
        <v>3740</v>
      </c>
      <c r="K3620" s="46" t="s">
        <v>10735</v>
      </c>
      <c r="L3620" s="47" t="s">
        <v>504</v>
      </c>
      <c r="M3620" s="47">
        <f t="shared" si="779"/>
        <v>1430.0000000000002</v>
      </c>
      <c r="N3620" s="47"/>
      <c r="O3620" s="47" t="s">
        <v>5339</v>
      </c>
      <c r="P3620" s="47"/>
      <c r="Q3620" s="47">
        <v>0</v>
      </c>
      <c r="R3620" s="47"/>
      <c r="S3620" s="47" t="s">
        <v>4679</v>
      </c>
      <c r="T3620" s="47" t="s">
        <v>536</v>
      </c>
      <c r="U3620" s="47"/>
      <c r="V3620" s="47">
        <v>6</v>
      </c>
      <c r="W3620" s="47"/>
      <c r="X3620" s="47"/>
      <c r="Y3620" s="47"/>
      <c r="Z3620" s="47">
        <v>4620</v>
      </c>
      <c r="AA3620" s="47">
        <v>1400</v>
      </c>
      <c r="AB3620" s="47"/>
      <c r="AC3620" s="47"/>
      <c r="AD3620" s="47"/>
      <c r="AE3620" s="47">
        <v>8000</v>
      </c>
      <c r="AF3620" s="47">
        <v>1650.0000000000002</v>
      </c>
      <c r="AG3620" s="47"/>
      <c r="AH3620" s="47" t="str">
        <f>IFERROR(_xlfn.XLOOKUP(Table6[[#This Row],[Suburb]],Table5[Travel Surcharge],Table5[$$]),"")</f>
        <v/>
      </c>
      <c r="AI3620" s="47"/>
      <c r="AJ3620" s="47"/>
    </row>
    <row r="3621" spans="1:36">
      <c r="A3621" s="374" t="s">
        <v>5307</v>
      </c>
      <c r="B3621" s="374" t="s">
        <v>507</v>
      </c>
      <c r="C3621" s="374" t="s">
        <v>688</v>
      </c>
      <c r="D3621" s="375" t="str">
        <f t="shared" si="778"/>
        <v>Riverwalk Estate1B</v>
      </c>
      <c r="E3621" s="375" t="s">
        <v>5344</v>
      </c>
      <c r="F3621" s="375" t="s">
        <v>5309</v>
      </c>
      <c r="G3621" s="375" t="s">
        <v>5310</v>
      </c>
      <c r="H3621" s="375" t="s">
        <v>5311</v>
      </c>
      <c r="I3621" s="63" t="s">
        <v>5312</v>
      </c>
      <c r="J3621" s="47">
        <f t="shared" ref="J3621:J3638" si="780">J$7</f>
        <v>3740</v>
      </c>
      <c r="K3621" s="46" t="s">
        <v>5313</v>
      </c>
      <c r="L3621" s="47">
        <f t="shared" ref="L3621:L3629" si="781">L$7</f>
        <v>1210</v>
      </c>
      <c r="M3621" s="47"/>
      <c r="N3621" s="47"/>
      <c r="O3621" s="47"/>
      <c r="P3621" s="47"/>
      <c r="Q3621" s="47">
        <f t="shared" ref="Q3621:Q3629" si="782">Q$2</f>
        <v>0</v>
      </c>
      <c r="R3621" s="47"/>
      <c r="S3621" s="47" t="s">
        <v>4679</v>
      </c>
      <c r="T3621" s="47" t="s">
        <v>536</v>
      </c>
      <c r="U3621" s="47"/>
      <c r="V3621" s="47"/>
      <c r="W3621" s="47"/>
      <c r="X3621" s="47">
        <f>X$7</f>
        <v>3000</v>
      </c>
      <c r="Y3621" s="47"/>
      <c r="Z3621" s="47">
        <f t="shared" ref="Z3621:AA3638" si="783">Z$7</f>
        <v>4620</v>
      </c>
      <c r="AA3621" s="47">
        <f t="shared" si="783"/>
        <v>1400</v>
      </c>
      <c r="AB3621" s="47"/>
      <c r="AC3621" s="47"/>
      <c r="AD3621" s="47"/>
      <c r="AE3621" s="47">
        <f>AE$7</f>
        <v>5000</v>
      </c>
      <c r="AF3621" s="47">
        <f>AF$7</f>
        <v>1485</v>
      </c>
      <c r="AG3621" s="47"/>
      <c r="AH3621" s="47" t="str">
        <f>IFERROR(_xlfn.XLOOKUP(Table6[[#This Row],[Suburb]],Table5[Travel Surcharge],Table5[$$]),"")</f>
        <v/>
      </c>
      <c r="AI3621" s="47"/>
      <c r="AJ3621" s="47"/>
    </row>
    <row r="3622" spans="1:36">
      <c r="A3622" s="374" t="s">
        <v>5307</v>
      </c>
      <c r="B3622" s="374" t="s">
        <v>5327</v>
      </c>
      <c r="C3622" s="374" t="s">
        <v>688</v>
      </c>
      <c r="D3622" s="375" t="str">
        <f t="shared" si="778"/>
        <v>Riverwalk Estate22B</v>
      </c>
      <c r="E3622" s="375" t="s">
        <v>5328</v>
      </c>
      <c r="F3622" s="375" t="s">
        <v>5309</v>
      </c>
      <c r="G3622" s="375" t="s">
        <v>5310</v>
      </c>
      <c r="H3622" s="375" t="s">
        <v>5311</v>
      </c>
      <c r="I3622" s="63" t="s">
        <v>5312</v>
      </c>
      <c r="J3622" s="47">
        <f t="shared" si="780"/>
        <v>3740</v>
      </c>
      <c r="K3622" s="46" t="s">
        <v>10735</v>
      </c>
      <c r="L3622" s="47">
        <f t="shared" si="781"/>
        <v>1210</v>
      </c>
      <c r="M3622" s="47"/>
      <c r="N3622" s="47"/>
      <c r="O3622" s="47"/>
      <c r="P3622" s="47"/>
      <c r="Q3622" s="47">
        <f t="shared" si="782"/>
        <v>0</v>
      </c>
      <c r="R3622" s="47"/>
      <c r="S3622" s="47" t="s">
        <v>4679</v>
      </c>
      <c r="T3622" s="47" t="s">
        <v>536</v>
      </c>
      <c r="U3622" s="47"/>
      <c r="V3622" s="47"/>
      <c r="W3622" s="47"/>
      <c r="X3622" s="47"/>
      <c r="Y3622" s="47"/>
      <c r="Z3622" s="47">
        <f t="shared" si="783"/>
        <v>4620</v>
      </c>
      <c r="AA3622" s="47">
        <f t="shared" si="783"/>
        <v>1400</v>
      </c>
      <c r="AB3622" s="47"/>
      <c r="AC3622" s="47"/>
      <c r="AD3622" s="47"/>
      <c r="AE3622" s="47"/>
      <c r="AF3622" s="47">
        <f t="shared" ref="AF3622:AF3645" si="784">AF$7</f>
        <v>1485</v>
      </c>
      <c r="AG3622" s="47"/>
      <c r="AH3622" s="47" t="str">
        <f>IFERROR(_xlfn.XLOOKUP(Table6[[#This Row],[Suburb]],Table5[Travel Surcharge],Table5[$$]),"")</f>
        <v/>
      </c>
      <c r="AI3622" s="47"/>
      <c r="AJ3622" s="47"/>
    </row>
    <row r="3623" spans="1:36">
      <c r="A3623" s="374" t="s">
        <v>5307</v>
      </c>
      <c r="B3623" s="374" t="s">
        <v>4084</v>
      </c>
      <c r="C3623" s="374" t="s">
        <v>688</v>
      </c>
      <c r="D3623" s="375" t="str">
        <f t="shared" si="778"/>
        <v>Riverwalk Estate23A</v>
      </c>
      <c r="E3623" s="375" t="s">
        <v>5329</v>
      </c>
      <c r="F3623" s="375" t="s">
        <v>5309</v>
      </c>
      <c r="G3623" s="375" t="s">
        <v>5310</v>
      </c>
      <c r="H3623" s="375" t="s">
        <v>5311</v>
      </c>
      <c r="I3623" s="63" t="s">
        <v>5312</v>
      </c>
      <c r="J3623" s="47">
        <f t="shared" si="780"/>
        <v>3740</v>
      </c>
      <c r="K3623" s="46" t="s">
        <v>10735</v>
      </c>
      <c r="L3623" s="47">
        <f t="shared" si="781"/>
        <v>1210</v>
      </c>
      <c r="M3623" s="47"/>
      <c r="N3623" s="47"/>
      <c r="O3623" s="47"/>
      <c r="P3623" s="47"/>
      <c r="Q3623" s="47">
        <f t="shared" si="782"/>
        <v>0</v>
      </c>
      <c r="R3623" s="47"/>
      <c r="S3623" s="47" t="s">
        <v>4679</v>
      </c>
      <c r="T3623" s="47" t="s">
        <v>536</v>
      </c>
      <c r="U3623" s="47"/>
      <c r="V3623" s="47"/>
      <c r="W3623" s="47"/>
      <c r="X3623" s="47"/>
      <c r="Y3623" s="47"/>
      <c r="Z3623" s="47">
        <f t="shared" si="783"/>
        <v>4620</v>
      </c>
      <c r="AA3623" s="47">
        <f t="shared" si="783"/>
        <v>1400</v>
      </c>
      <c r="AB3623" s="47"/>
      <c r="AC3623" s="47"/>
      <c r="AD3623" s="47"/>
      <c r="AE3623" s="47"/>
      <c r="AF3623" s="47">
        <f t="shared" si="784"/>
        <v>1485</v>
      </c>
      <c r="AG3623" s="47"/>
      <c r="AH3623" s="47" t="str">
        <f>IFERROR(_xlfn.XLOOKUP(Table6[[#This Row],[Suburb]],Table5[Travel Surcharge],Table5[$$]),"")</f>
        <v/>
      </c>
      <c r="AI3623" s="47"/>
      <c r="AJ3623" s="47"/>
    </row>
    <row r="3624" spans="1:36">
      <c r="A3624" s="374" t="s">
        <v>5307</v>
      </c>
      <c r="B3624" s="374" t="s">
        <v>5330</v>
      </c>
      <c r="C3624" s="374" t="s">
        <v>688</v>
      </c>
      <c r="D3624" s="375" t="str">
        <f t="shared" si="778"/>
        <v>Riverwalk Estate23B</v>
      </c>
      <c r="E3624" s="375" t="s">
        <v>5331</v>
      </c>
      <c r="F3624" s="375" t="s">
        <v>5309</v>
      </c>
      <c r="G3624" s="375" t="s">
        <v>5310</v>
      </c>
      <c r="H3624" s="375" t="s">
        <v>5311</v>
      </c>
      <c r="I3624" s="63" t="s">
        <v>5312</v>
      </c>
      <c r="J3624" s="47">
        <f t="shared" si="780"/>
        <v>3740</v>
      </c>
      <c r="K3624" s="46" t="s">
        <v>10735</v>
      </c>
      <c r="L3624" s="47">
        <f t="shared" si="781"/>
        <v>1210</v>
      </c>
      <c r="M3624" s="47"/>
      <c r="N3624" s="47"/>
      <c r="O3624" s="47"/>
      <c r="P3624" s="47"/>
      <c r="Q3624" s="47">
        <f t="shared" si="782"/>
        <v>0</v>
      </c>
      <c r="R3624" s="47"/>
      <c r="S3624" s="47" t="s">
        <v>4679</v>
      </c>
      <c r="T3624" s="47" t="s">
        <v>536</v>
      </c>
      <c r="U3624" s="47"/>
      <c r="V3624" s="47"/>
      <c r="W3624" s="47"/>
      <c r="X3624" s="47"/>
      <c r="Y3624" s="47"/>
      <c r="Z3624" s="47">
        <f t="shared" si="783"/>
        <v>4620</v>
      </c>
      <c r="AA3624" s="47">
        <f t="shared" si="783"/>
        <v>1400</v>
      </c>
      <c r="AB3624" s="47"/>
      <c r="AC3624" s="47"/>
      <c r="AD3624" s="47"/>
      <c r="AE3624" s="47"/>
      <c r="AF3624" s="47">
        <f t="shared" si="784"/>
        <v>1485</v>
      </c>
      <c r="AG3624" s="47"/>
      <c r="AH3624" s="47" t="str">
        <f>IFERROR(_xlfn.XLOOKUP(Table6[[#This Row],[Suburb]],Table5[Travel Surcharge],Table5[$$]),"")</f>
        <v/>
      </c>
      <c r="AI3624" s="47"/>
      <c r="AJ3624" s="47"/>
    </row>
    <row r="3625" spans="1:36">
      <c r="A3625" s="374" t="s">
        <v>5307</v>
      </c>
      <c r="B3625" s="374" t="s">
        <v>5345</v>
      </c>
      <c r="C3625" s="374" t="s">
        <v>688</v>
      </c>
      <c r="D3625" s="375" t="str">
        <f t="shared" si="778"/>
        <v>Riverwalk Estate25A</v>
      </c>
      <c r="E3625" s="375" t="s">
        <v>5346</v>
      </c>
      <c r="F3625" s="375" t="s">
        <v>5309</v>
      </c>
      <c r="G3625" s="375" t="s">
        <v>5310</v>
      </c>
      <c r="H3625" s="375" t="s">
        <v>5311</v>
      </c>
      <c r="I3625" s="63" t="s">
        <v>5312</v>
      </c>
      <c r="J3625" s="47">
        <f t="shared" si="780"/>
        <v>3740</v>
      </c>
      <c r="K3625" s="46" t="s">
        <v>10735</v>
      </c>
      <c r="L3625" s="47">
        <f t="shared" si="781"/>
        <v>1210</v>
      </c>
      <c r="M3625" s="47"/>
      <c r="N3625" s="47"/>
      <c r="O3625" s="47"/>
      <c r="P3625" s="47"/>
      <c r="Q3625" s="47">
        <f t="shared" si="782"/>
        <v>0</v>
      </c>
      <c r="R3625" s="47"/>
      <c r="S3625" s="47" t="s">
        <v>4679</v>
      </c>
      <c r="T3625" s="47" t="s">
        <v>536</v>
      </c>
      <c r="U3625" s="47"/>
      <c r="V3625" s="47"/>
      <c r="W3625" s="47"/>
      <c r="X3625" s="47"/>
      <c r="Y3625" s="47"/>
      <c r="Z3625" s="47">
        <f t="shared" si="783"/>
        <v>4620</v>
      </c>
      <c r="AA3625" s="47">
        <f t="shared" si="783"/>
        <v>1400</v>
      </c>
      <c r="AB3625" s="47"/>
      <c r="AC3625" s="47"/>
      <c r="AD3625" s="47"/>
      <c r="AE3625" s="47"/>
      <c r="AF3625" s="47">
        <f t="shared" si="784"/>
        <v>1485</v>
      </c>
      <c r="AG3625" s="47"/>
      <c r="AH3625" s="47" t="str">
        <f>IFERROR(_xlfn.XLOOKUP(Table6[[#This Row],[Suburb]],Table5[Travel Surcharge],Table5[$$]),"")</f>
        <v/>
      </c>
      <c r="AI3625" s="47"/>
      <c r="AJ3625" s="47"/>
    </row>
    <row r="3626" spans="1:36">
      <c r="A3626" s="374" t="s">
        <v>5307</v>
      </c>
      <c r="B3626" s="374" t="s">
        <v>5347</v>
      </c>
      <c r="C3626" s="374" t="s">
        <v>688</v>
      </c>
      <c r="D3626" s="375" t="str">
        <f t="shared" si="778"/>
        <v>Riverwalk Estate25D</v>
      </c>
      <c r="E3626" s="375" t="s">
        <v>5346</v>
      </c>
      <c r="F3626" s="375" t="s">
        <v>5309</v>
      </c>
      <c r="G3626" s="375" t="s">
        <v>5310</v>
      </c>
      <c r="H3626" s="375" t="s">
        <v>5311</v>
      </c>
      <c r="I3626" s="63" t="s">
        <v>5312</v>
      </c>
      <c r="J3626" s="47">
        <f t="shared" si="780"/>
        <v>3740</v>
      </c>
      <c r="K3626" s="46" t="s">
        <v>10735</v>
      </c>
      <c r="L3626" s="47">
        <f t="shared" si="781"/>
        <v>1210</v>
      </c>
      <c r="M3626" s="47"/>
      <c r="N3626" s="47"/>
      <c r="O3626" s="47"/>
      <c r="P3626" s="47"/>
      <c r="Q3626" s="47">
        <f t="shared" si="782"/>
        <v>0</v>
      </c>
      <c r="R3626" s="47"/>
      <c r="S3626" s="47" t="s">
        <v>4679</v>
      </c>
      <c r="T3626" s="47" t="s">
        <v>536</v>
      </c>
      <c r="U3626" s="47"/>
      <c r="V3626" s="47"/>
      <c r="W3626" s="47"/>
      <c r="X3626" s="47"/>
      <c r="Y3626" s="47"/>
      <c r="Z3626" s="47">
        <f t="shared" si="783"/>
        <v>4620</v>
      </c>
      <c r="AA3626" s="47">
        <f t="shared" si="783"/>
        <v>1400</v>
      </c>
      <c r="AB3626" s="47"/>
      <c r="AC3626" s="47"/>
      <c r="AD3626" s="47"/>
      <c r="AE3626" s="47"/>
      <c r="AF3626" s="47">
        <f t="shared" si="784"/>
        <v>1485</v>
      </c>
      <c r="AG3626" s="47"/>
      <c r="AH3626" s="47" t="str">
        <f>IFERROR(_xlfn.XLOOKUP(Table6[[#This Row],[Suburb]],Table5[Travel Surcharge],Table5[$$]),"")</f>
        <v/>
      </c>
      <c r="AI3626" s="47"/>
      <c r="AJ3626" s="47"/>
    </row>
    <row r="3627" spans="1:36">
      <c r="A3627" s="374" t="s">
        <v>5307</v>
      </c>
      <c r="B3627" s="374" t="s">
        <v>887</v>
      </c>
      <c r="C3627" s="374" t="s">
        <v>688</v>
      </c>
      <c r="D3627" s="375" t="str">
        <f t="shared" si="778"/>
        <v>Riverwalk Estate27A</v>
      </c>
      <c r="E3627" s="375" t="s">
        <v>5334</v>
      </c>
      <c r="F3627" s="375" t="s">
        <v>5309</v>
      </c>
      <c r="G3627" s="375" t="s">
        <v>5310</v>
      </c>
      <c r="H3627" s="375" t="s">
        <v>5311</v>
      </c>
      <c r="I3627" s="63" t="s">
        <v>5312</v>
      </c>
      <c r="J3627" s="47">
        <f t="shared" si="780"/>
        <v>3740</v>
      </c>
      <c r="K3627" s="46" t="s">
        <v>10735</v>
      </c>
      <c r="L3627" s="47">
        <f t="shared" si="781"/>
        <v>1210</v>
      </c>
      <c r="M3627" s="47"/>
      <c r="N3627" s="47"/>
      <c r="O3627" s="47"/>
      <c r="P3627" s="47"/>
      <c r="Q3627" s="47">
        <f t="shared" si="782"/>
        <v>0</v>
      </c>
      <c r="R3627" s="47"/>
      <c r="S3627" s="47" t="s">
        <v>4679</v>
      </c>
      <c r="T3627" s="47" t="s">
        <v>536</v>
      </c>
      <c r="U3627" s="47"/>
      <c r="V3627" s="47"/>
      <c r="W3627" s="47"/>
      <c r="X3627" s="47"/>
      <c r="Y3627" s="47"/>
      <c r="Z3627" s="47">
        <f t="shared" si="783"/>
        <v>4620</v>
      </c>
      <c r="AA3627" s="47">
        <f t="shared" si="783"/>
        <v>1400</v>
      </c>
      <c r="AB3627" s="47"/>
      <c r="AC3627" s="47"/>
      <c r="AD3627" s="47"/>
      <c r="AE3627" s="47"/>
      <c r="AF3627" s="47">
        <f t="shared" si="784"/>
        <v>1485</v>
      </c>
      <c r="AG3627" s="47"/>
      <c r="AH3627" s="47" t="str">
        <f>IFERROR(_xlfn.XLOOKUP(Table6[[#This Row],[Suburb]],Table5[Travel Surcharge],Table5[$$]),"")</f>
        <v/>
      </c>
      <c r="AI3627" s="47"/>
      <c r="AJ3627" s="47"/>
    </row>
    <row r="3628" spans="1:36">
      <c r="A3628" s="374" t="s">
        <v>5307</v>
      </c>
      <c r="B3628" s="374" t="s">
        <v>1068</v>
      </c>
      <c r="C3628" s="374" t="s">
        <v>688</v>
      </c>
      <c r="D3628" s="375" t="str">
        <f t="shared" si="778"/>
        <v>Riverwalk Estate35B</v>
      </c>
      <c r="E3628" s="375" t="s">
        <v>5342</v>
      </c>
      <c r="F3628" s="375" t="s">
        <v>5309</v>
      </c>
      <c r="G3628" s="375" t="s">
        <v>5310</v>
      </c>
      <c r="H3628" s="375" t="s">
        <v>5311</v>
      </c>
      <c r="I3628" s="63" t="s">
        <v>5312</v>
      </c>
      <c r="J3628" s="47">
        <f t="shared" si="780"/>
        <v>3740</v>
      </c>
      <c r="K3628" s="46" t="s">
        <v>10735</v>
      </c>
      <c r="L3628" s="47">
        <f t="shared" si="781"/>
        <v>1210</v>
      </c>
      <c r="M3628" s="47" t="s">
        <v>504</v>
      </c>
      <c r="N3628" s="47"/>
      <c r="O3628" s="47" t="s">
        <v>5339</v>
      </c>
      <c r="P3628" s="47"/>
      <c r="Q3628" s="47">
        <f t="shared" si="782"/>
        <v>0</v>
      </c>
      <c r="R3628" s="47"/>
      <c r="S3628" s="47" t="s">
        <v>4679</v>
      </c>
      <c r="T3628" s="47" t="s">
        <v>536</v>
      </c>
      <c r="U3628" s="47"/>
      <c r="V3628" s="47" t="str">
        <f>V$7</f>
        <v>$6/m2</v>
      </c>
      <c r="W3628" s="47"/>
      <c r="X3628" s="47"/>
      <c r="Y3628" s="47"/>
      <c r="Z3628" s="47">
        <f t="shared" si="783"/>
        <v>4620</v>
      </c>
      <c r="AA3628" s="47">
        <f t="shared" si="783"/>
        <v>1400</v>
      </c>
      <c r="AB3628" s="47"/>
      <c r="AC3628" s="47"/>
      <c r="AD3628" s="47"/>
      <c r="AE3628" s="47">
        <f>AE$7</f>
        <v>5000</v>
      </c>
      <c r="AF3628" s="47">
        <f t="shared" si="784"/>
        <v>1485</v>
      </c>
      <c r="AG3628" s="47"/>
      <c r="AH3628" s="47" t="str">
        <f>IFERROR(_xlfn.XLOOKUP(Table6[[#This Row],[Suburb]],Table5[Travel Surcharge],Table5[$$]),"")</f>
        <v/>
      </c>
      <c r="AI3628" s="47"/>
      <c r="AJ3628" s="47"/>
    </row>
    <row r="3629" spans="1:36">
      <c r="A3629" s="374" t="s">
        <v>5307</v>
      </c>
      <c r="B3629" s="374" t="s">
        <v>1212</v>
      </c>
      <c r="C3629" s="374" t="s">
        <v>688</v>
      </c>
      <c r="D3629" s="375" t="str">
        <f t="shared" ref="D3629" si="785">CONCATENATE(A3629,B3629)</f>
        <v>Riverwalk Estate45A</v>
      </c>
      <c r="E3629" s="375" t="s">
        <v>10394</v>
      </c>
      <c r="F3629" s="375" t="s">
        <v>5309</v>
      </c>
      <c r="G3629" s="375" t="s">
        <v>5310</v>
      </c>
      <c r="H3629" s="375" t="s">
        <v>5311</v>
      </c>
      <c r="I3629" s="63" t="s">
        <v>5312</v>
      </c>
      <c r="J3629" s="47">
        <f t="shared" si="780"/>
        <v>3740</v>
      </c>
      <c r="K3629" s="46" t="s">
        <v>10735</v>
      </c>
      <c r="L3629" s="47">
        <f t="shared" si="781"/>
        <v>1210</v>
      </c>
      <c r="M3629" s="47" t="s">
        <v>504</v>
      </c>
      <c r="N3629" s="47"/>
      <c r="O3629" s="47" t="s">
        <v>5339</v>
      </c>
      <c r="P3629" s="47"/>
      <c r="Q3629" s="47">
        <f t="shared" si="782"/>
        <v>0</v>
      </c>
      <c r="R3629" s="47"/>
      <c r="S3629" s="47" t="s">
        <v>4679</v>
      </c>
      <c r="T3629" s="47" t="s">
        <v>536</v>
      </c>
      <c r="U3629" s="47"/>
      <c r="V3629" s="47" t="str">
        <f>V$7</f>
        <v>$6/m2</v>
      </c>
      <c r="W3629" s="47"/>
      <c r="X3629" s="47"/>
      <c r="Y3629" s="47"/>
      <c r="Z3629" s="47">
        <f t="shared" si="783"/>
        <v>4620</v>
      </c>
      <c r="AA3629" s="47">
        <f t="shared" si="783"/>
        <v>1400</v>
      </c>
      <c r="AB3629" s="47"/>
      <c r="AC3629" s="47"/>
      <c r="AD3629" s="47"/>
      <c r="AE3629" s="47">
        <f>AE$7</f>
        <v>5000</v>
      </c>
      <c r="AF3629" s="47">
        <f t="shared" si="784"/>
        <v>1485</v>
      </c>
      <c r="AG3629" s="47"/>
      <c r="AH3629" s="47" t="str">
        <f>IFERROR(_xlfn.XLOOKUP(Table6[[#This Row],[Suburb]],Table5[Travel Surcharge],Table5[$$]),"")</f>
        <v/>
      </c>
      <c r="AI3629" s="47"/>
      <c r="AJ3629" s="47"/>
    </row>
    <row r="3630" spans="1:36">
      <c r="A3630" s="374" t="s">
        <v>5355</v>
      </c>
      <c r="B3630" s="374">
        <v>1</v>
      </c>
      <c r="C3630" s="374" t="s">
        <v>294</v>
      </c>
      <c r="D3630" s="375" t="str">
        <f t="shared" si="778"/>
        <v>Rivulet Estate1</v>
      </c>
      <c r="E3630" s="375" t="s">
        <v>5356</v>
      </c>
      <c r="F3630" s="375"/>
      <c r="G3630" s="375" t="s">
        <v>5357</v>
      </c>
      <c r="H3630" s="375" t="s">
        <v>5358</v>
      </c>
      <c r="I3630" s="63" t="s">
        <v>5359</v>
      </c>
      <c r="J3630" s="47">
        <f t="shared" si="780"/>
        <v>3740</v>
      </c>
      <c r="K3630" s="46" t="s">
        <v>10735</v>
      </c>
      <c r="L3630" s="47" t="s">
        <v>5360</v>
      </c>
      <c r="M3630" s="47">
        <f t="shared" ref="M3630:M3641" si="786">M$7</f>
        <v>1430.0000000000002</v>
      </c>
      <c r="N3630" s="47" t="s">
        <v>5361</v>
      </c>
      <c r="O3630" s="47" t="s">
        <v>8064</v>
      </c>
      <c r="P3630" s="47" t="s">
        <v>5362</v>
      </c>
      <c r="Q3630" s="47" t="s">
        <v>8788</v>
      </c>
      <c r="R3630" s="47"/>
      <c r="S3630" s="47"/>
      <c r="T3630" s="47"/>
      <c r="U3630" s="47">
        <f t="shared" ref="U3630:U3638" si="787">U$2</f>
        <v>430</v>
      </c>
      <c r="V3630" s="47"/>
      <c r="W3630" s="47"/>
      <c r="X3630" s="47">
        <f t="shared" ref="X3630:X3638" si="788">$X$7</f>
        <v>3000</v>
      </c>
      <c r="Y3630" s="47"/>
      <c r="Z3630" s="47">
        <f t="shared" si="783"/>
        <v>4620</v>
      </c>
      <c r="AA3630" s="47">
        <f t="shared" si="783"/>
        <v>1400</v>
      </c>
      <c r="AB3630" s="47"/>
      <c r="AC3630" s="47">
        <f t="shared" ref="AC3630:AC3638" si="789">AC$7</f>
        <v>5200</v>
      </c>
      <c r="AD3630" s="47"/>
      <c r="AE3630" s="47"/>
      <c r="AF3630" s="47">
        <f t="shared" si="784"/>
        <v>1485</v>
      </c>
      <c r="AG3630" s="47"/>
      <c r="AH3630" s="47">
        <f>IFERROR(_xlfn.XLOOKUP(Table6[[#This Row],[Suburb]],Table5[Travel Surcharge],Table5[$$]),"")</f>
        <v>8000</v>
      </c>
      <c r="AI3630" s="47"/>
      <c r="AJ3630" s="47">
        <f t="shared" ref="AJ3630:AJ3638" si="790">AJ$7</f>
        <v>4400</v>
      </c>
    </row>
    <row r="3631" spans="1:36">
      <c r="A3631" s="374" t="s">
        <v>5355</v>
      </c>
      <c r="B3631" s="374">
        <v>2</v>
      </c>
      <c r="C3631" s="374" t="s">
        <v>294</v>
      </c>
      <c r="D3631" s="375" t="str">
        <f t="shared" ref="D3631:D3650" si="791">CONCATENATE(A3631,B3631)</f>
        <v>Rivulet Estate2</v>
      </c>
      <c r="E3631" s="375" t="s">
        <v>5363</v>
      </c>
      <c r="F3631" s="375"/>
      <c r="G3631" s="375" t="s">
        <v>5357</v>
      </c>
      <c r="H3631" s="375" t="s">
        <v>5358</v>
      </c>
      <c r="I3631" s="63" t="s">
        <v>5359</v>
      </c>
      <c r="J3631" s="47">
        <f t="shared" si="780"/>
        <v>3740</v>
      </c>
      <c r="K3631" s="46" t="s">
        <v>10735</v>
      </c>
      <c r="L3631" s="47" t="s">
        <v>5360</v>
      </c>
      <c r="M3631" s="47">
        <f t="shared" si="786"/>
        <v>1430.0000000000002</v>
      </c>
      <c r="N3631" s="47" t="s">
        <v>5361</v>
      </c>
      <c r="O3631" s="47" t="s">
        <v>8064</v>
      </c>
      <c r="P3631" s="47" t="s">
        <v>5362</v>
      </c>
      <c r="Q3631" s="47" t="s">
        <v>8788</v>
      </c>
      <c r="R3631" s="47"/>
      <c r="S3631" s="47"/>
      <c r="T3631" s="47"/>
      <c r="U3631" s="47">
        <f t="shared" si="787"/>
        <v>430</v>
      </c>
      <c r="V3631" s="47"/>
      <c r="W3631" s="47"/>
      <c r="X3631" s="47">
        <f t="shared" si="788"/>
        <v>3000</v>
      </c>
      <c r="Y3631" s="47"/>
      <c r="Z3631" s="47">
        <f t="shared" si="783"/>
        <v>4620</v>
      </c>
      <c r="AA3631" s="47">
        <f t="shared" si="783"/>
        <v>1400</v>
      </c>
      <c r="AB3631" s="47"/>
      <c r="AC3631" s="47">
        <f t="shared" si="789"/>
        <v>5200</v>
      </c>
      <c r="AD3631" s="47"/>
      <c r="AE3631" s="47"/>
      <c r="AF3631" s="47">
        <f t="shared" si="784"/>
        <v>1485</v>
      </c>
      <c r="AG3631" s="47"/>
      <c r="AH3631" s="47">
        <f>IFERROR(_xlfn.XLOOKUP(Table6[[#This Row],[Suburb]],Table5[Travel Surcharge],Table5[$$]),"")</f>
        <v>8000</v>
      </c>
      <c r="AI3631" s="47"/>
      <c r="AJ3631" s="47">
        <f t="shared" si="790"/>
        <v>4400</v>
      </c>
    </row>
    <row r="3632" spans="1:36">
      <c r="A3632" s="374" t="s">
        <v>5355</v>
      </c>
      <c r="B3632" s="374">
        <v>3</v>
      </c>
      <c r="C3632" s="374" t="s">
        <v>294</v>
      </c>
      <c r="D3632" s="375" t="str">
        <f t="shared" si="791"/>
        <v>Rivulet Estate3</v>
      </c>
      <c r="E3632" s="375" t="s">
        <v>5364</v>
      </c>
      <c r="F3632" s="375"/>
      <c r="G3632" s="375" t="s">
        <v>5357</v>
      </c>
      <c r="H3632" s="375" t="s">
        <v>5358</v>
      </c>
      <c r="I3632" s="63" t="s">
        <v>5359</v>
      </c>
      <c r="J3632" s="47">
        <f t="shared" si="780"/>
        <v>3740</v>
      </c>
      <c r="K3632" s="46" t="s">
        <v>10735</v>
      </c>
      <c r="L3632" s="47" t="s">
        <v>5360</v>
      </c>
      <c r="M3632" s="47">
        <f t="shared" si="786"/>
        <v>1430.0000000000002</v>
      </c>
      <c r="N3632" s="47" t="s">
        <v>5361</v>
      </c>
      <c r="O3632" s="47" t="s">
        <v>8064</v>
      </c>
      <c r="P3632" s="47" t="s">
        <v>5362</v>
      </c>
      <c r="Q3632" s="47" t="s">
        <v>8788</v>
      </c>
      <c r="R3632" s="47"/>
      <c r="S3632" s="47"/>
      <c r="T3632" s="47"/>
      <c r="U3632" s="47">
        <f t="shared" si="787"/>
        <v>430</v>
      </c>
      <c r="V3632" s="47"/>
      <c r="W3632" s="47"/>
      <c r="X3632" s="47">
        <f t="shared" si="788"/>
        <v>3000</v>
      </c>
      <c r="Y3632" s="47"/>
      <c r="Z3632" s="47">
        <f t="shared" si="783"/>
        <v>4620</v>
      </c>
      <c r="AA3632" s="47">
        <f t="shared" si="783"/>
        <v>1400</v>
      </c>
      <c r="AB3632" s="47"/>
      <c r="AC3632" s="47">
        <f t="shared" si="789"/>
        <v>5200</v>
      </c>
      <c r="AD3632" s="47"/>
      <c r="AE3632" s="47"/>
      <c r="AF3632" s="47">
        <f t="shared" si="784"/>
        <v>1485</v>
      </c>
      <c r="AG3632" s="47"/>
      <c r="AH3632" s="47">
        <f>IFERROR(_xlfn.XLOOKUP(Table6[[#This Row],[Suburb]],Table5[Travel Surcharge],Table5[$$]),"")</f>
        <v>8000</v>
      </c>
      <c r="AI3632" s="47"/>
      <c r="AJ3632" s="47">
        <f t="shared" si="790"/>
        <v>4400</v>
      </c>
    </row>
    <row r="3633" spans="1:36">
      <c r="A3633" s="374" t="s">
        <v>5355</v>
      </c>
      <c r="B3633" s="374">
        <v>4</v>
      </c>
      <c r="C3633" s="374" t="s">
        <v>294</v>
      </c>
      <c r="D3633" s="375" t="str">
        <f t="shared" si="791"/>
        <v>Rivulet Estate4</v>
      </c>
      <c r="E3633" s="375" t="s">
        <v>5364</v>
      </c>
      <c r="F3633" s="375"/>
      <c r="G3633" s="375" t="s">
        <v>5357</v>
      </c>
      <c r="H3633" s="375" t="s">
        <v>5358</v>
      </c>
      <c r="I3633" s="63" t="s">
        <v>5359</v>
      </c>
      <c r="J3633" s="47">
        <f t="shared" si="780"/>
        <v>3740</v>
      </c>
      <c r="K3633" s="46" t="s">
        <v>10735</v>
      </c>
      <c r="L3633" s="47" t="s">
        <v>5360</v>
      </c>
      <c r="M3633" s="47">
        <f t="shared" si="786"/>
        <v>1430.0000000000002</v>
      </c>
      <c r="N3633" s="47" t="s">
        <v>5361</v>
      </c>
      <c r="O3633" s="47" t="s">
        <v>8064</v>
      </c>
      <c r="P3633" s="47" t="s">
        <v>5362</v>
      </c>
      <c r="Q3633" s="47" t="s">
        <v>8788</v>
      </c>
      <c r="R3633" s="47"/>
      <c r="S3633" s="47"/>
      <c r="T3633" s="47"/>
      <c r="U3633" s="47">
        <f t="shared" si="787"/>
        <v>430</v>
      </c>
      <c r="V3633" s="47"/>
      <c r="W3633" s="47"/>
      <c r="X3633" s="47">
        <f t="shared" si="788"/>
        <v>3000</v>
      </c>
      <c r="Y3633" s="47"/>
      <c r="Z3633" s="47">
        <f t="shared" si="783"/>
        <v>4620</v>
      </c>
      <c r="AA3633" s="47">
        <f t="shared" si="783"/>
        <v>1400</v>
      </c>
      <c r="AB3633" s="47"/>
      <c r="AC3633" s="47">
        <f t="shared" si="789"/>
        <v>5200</v>
      </c>
      <c r="AD3633" s="47"/>
      <c r="AE3633" s="47"/>
      <c r="AF3633" s="47">
        <f t="shared" si="784"/>
        <v>1485</v>
      </c>
      <c r="AG3633" s="47"/>
      <c r="AH3633" s="47">
        <f>IFERROR(_xlfn.XLOOKUP(Table6[[#This Row],[Suburb]],Table5[Travel Surcharge],Table5[$$]),"")</f>
        <v>8000</v>
      </c>
      <c r="AI3633" s="47"/>
      <c r="AJ3633" s="47">
        <f t="shared" si="790"/>
        <v>4400</v>
      </c>
    </row>
    <row r="3634" spans="1:36">
      <c r="A3634" s="374" t="s">
        <v>5355</v>
      </c>
      <c r="B3634" s="374">
        <v>5</v>
      </c>
      <c r="C3634" s="374" t="s">
        <v>294</v>
      </c>
      <c r="D3634" s="375" t="str">
        <f t="shared" si="791"/>
        <v>Rivulet Estate5</v>
      </c>
      <c r="E3634" s="375" t="s">
        <v>5365</v>
      </c>
      <c r="F3634" s="375"/>
      <c r="G3634" s="375" t="s">
        <v>5357</v>
      </c>
      <c r="H3634" s="375" t="s">
        <v>5358</v>
      </c>
      <c r="I3634" s="63" t="s">
        <v>5359</v>
      </c>
      <c r="J3634" s="47">
        <f t="shared" si="780"/>
        <v>3740</v>
      </c>
      <c r="K3634" s="46" t="s">
        <v>10735</v>
      </c>
      <c r="L3634" s="47" t="s">
        <v>5360</v>
      </c>
      <c r="M3634" s="47">
        <f t="shared" si="786"/>
        <v>1430.0000000000002</v>
      </c>
      <c r="N3634" s="47" t="s">
        <v>5361</v>
      </c>
      <c r="O3634" s="47" t="s">
        <v>8064</v>
      </c>
      <c r="P3634" s="47" t="s">
        <v>5362</v>
      </c>
      <c r="Q3634" s="47" t="s">
        <v>8788</v>
      </c>
      <c r="R3634" s="47"/>
      <c r="S3634" s="47"/>
      <c r="T3634" s="47"/>
      <c r="U3634" s="47">
        <f t="shared" si="787"/>
        <v>430</v>
      </c>
      <c r="V3634" s="47"/>
      <c r="W3634" s="47"/>
      <c r="X3634" s="47">
        <f t="shared" si="788"/>
        <v>3000</v>
      </c>
      <c r="Y3634" s="47"/>
      <c r="Z3634" s="47">
        <f t="shared" si="783"/>
        <v>4620</v>
      </c>
      <c r="AA3634" s="47">
        <f t="shared" si="783"/>
        <v>1400</v>
      </c>
      <c r="AB3634" s="47"/>
      <c r="AC3634" s="47">
        <f t="shared" si="789"/>
        <v>5200</v>
      </c>
      <c r="AD3634" s="47"/>
      <c r="AE3634" s="47"/>
      <c r="AF3634" s="47">
        <f t="shared" si="784"/>
        <v>1485</v>
      </c>
      <c r="AG3634" s="47"/>
      <c r="AH3634" s="47">
        <f>IFERROR(_xlfn.XLOOKUP(Table6[[#This Row],[Suburb]],Table5[Travel Surcharge],Table5[$$]),"")</f>
        <v>8000</v>
      </c>
      <c r="AI3634" s="47"/>
      <c r="AJ3634" s="47">
        <f t="shared" si="790"/>
        <v>4400</v>
      </c>
    </row>
    <row r="3635" spans="1:36">
      <c r="A3635" s="374" t="s">
        <v>5355</v>
      </c>
      <c r="B3635" s="374">
        <v>6</v>
      </c>
      <c r="C3635" s="374" t="s">
        <v>294</v>
      </c>
      <c r="D3635" s="375" t="str">
        <f t="shared" si="791"/>
        <v>Rivulet Estate6</v>
      </c>
      <c r="E3635" s="375" t="s">
        <v>5365</v>
      </c>
      <c r="F3635" s="375"/>
      <c r="G3635" s="375" t="s">
        <v>5357</v>
      </c>
      <c r="H3635" s="375" t="s">
        <v>5358</v>
      </c>
      <c r="I3635" s="63" t="s">
        <v>5359</v>
      </c>
      <c r="J3635" s="47">
        <f t="shared" si="780"/>
        <v>3740</v>
      </c>
      <c r="K3635" s="46" t="s">
        <v>10735</v>
      </c>
      <c r="L3635" s="47" t="s">
        <v>5360</v>
      </c>
      <c r="M3635" s="47">
        <f t="shared" si="786"/>
        <v>1430.0000000000002</v>
      </c>
      <c r="N3635" s="47" t="s">
        <v>5361</v>
      </c>
      <c r="O3635" s="47" t="s">
        <v>8064</v>
      </c>
      <c r="P3635" s="47" t="s">
        <v>5362</v>
      </c>
      <c r="Q3635" s="47" t="s">
        <v>8788</v>
      </c>
      <c r="R3635" s="47"/>
      <c r="S3635" s="47"/>
      <c r="T3635" s="47"/>
      <c r="U3635" s="47">
        <f t="shared" si="787"/>
        <v>430</v>
      </c>
      <c r="V3635" s="47"/>
      <c r="W3635" s="47"/>
      <c r="X3635" s="47">
        <f t="shared" si="788"/>
        <v>3000</v>
      </c>
      <c r="Y3635" s="47"/>
      <c r="Z3635" s="47">
        <f t="shared" si="783"/>
        <v>4620</v>
      </c>
      <c r="AA3635" s="47">
        <f t="shared" si="783"/>
        <v>1400</v>
      </c>
      <c r="AB3635" s="47"/>
      <c r="AC3635" s="47">
        <f t="shared" si="789"/>
        <v>5200</v>
      </c>
      <c r="AD3635" s="47"/>
      <c r="AE3635" s="47"/>
      <c r="AF3635" s="47">
        <f t="shared" si="784"/>
        <v>1485</v>
      </c>
      <c r="AG3635" s="47"/>
      <c r="AH3635" s="47">
        <f>IFERROR(_xlfn.XLOOKUP(Table6[[#This Row],[Suburb]],Table5[Travel Surcharge],Table5[$$]),"")</f>
        <v>8000</v>
      </c>
      <c r="AI3635" s="47"/>
      <c r="AJ3635" s="47">
        <f t="shared" si="790"/>
        <v>4400</v>
      </c>
    </row>
    <row r="3636" spans="1:36">
      <c r="A3636" s="374" t="s">
        <v>5355</v>
      </c>
      <c r="B3636" s="374">
        <v>7</v>
      </c>
      <c r="C3636" s="374" t="s">
        <v>294</v>
      </c>
      <c r="D3636" s="375" t="str">
        <f t="shared" si="791"/>
        <v>Rivulet Estate7</v>
      </c>
      <c r="E3636" s="375" t="s">
        <v>5366</v>
      </c>
      <c r="F3636" s="375"/>
      <c r="G3636" s="375" t="s">
        <v>5357</v>
      </c>
      <c r="H3636" s="375" t="s">
        <v>5358</v>
      </c>
      <c r="I3636" s="63" t="s">
        <v>5359</v>
      </c>
      <c r="J3636" s="47">
        <f t="shared" si="780"/>
        <v>3740</v>
      </c>
      <c r="K3636" s="46" t="s">
        <v>10735</v>
      </c>
      <c r="L3636" s="47" t="s">
        <v>5360</v>
      </c>
      <c r="M3636" s="47">
        <f t="shared" si="786"/>
        <v>1430.0000000000002</v>
      </c>
      <c r="N3636" s="47" t="s">
        <v>5361</v>
      </c>
      <c r="O3636" s="47" t="s">
        <v>8064</v>
      </c>
      <c r="P3636" s="47" t="s">
        <v>5362</v>
      </c>
      <c r="Q3636" s="47" t="s">
        <v>8788</v>
      </c>
      <c r="R3636" s="47"/>
      <c r="S3636" s="47"/>
      <c r="T3636" s="47"/>
      <c r="U3636" s="47">
        <f t="shared" si="787"/>
        <v>430</v>
      </c>
      <c r="V3636" s="47"/>
      <c r="W3636" s="47"/>
      <c r="X3636" s="47">
        <f t="shared" si="788"/>
        <v>3000</v>
      </c>
      <c r="Y3636" s="47"/>
      <c r="Z3636" s="47">
        <f t="shared" si="783"/>
        <v>4620</v>
      </c>
      <c r="AA3636" s="47">
        <f t="shared" si="783"/>
        <v>1400</v>
      </c>
      <c r="AB3636" s="47"/>
      <c r="AC3636" s="47">
        <f t="shared" si="789"/>
        <v>5200</v>
      </c>
      <c r="AD3636" s="47"/>
      <c r="AE3636" s="47"/>
      <c r="AF3636" s="47">
        <f t="shared" si="784"/>
        <v>1485</v>
      </c>
      <c r="AG3636" s="47"/>
      <c r="AH3636" s="47">
        <f>IFERROR(_xlfn.XLOOKUP(Table6[[#This Row],[Suburb]],Table5[Travel Surcharge],Table5[$$]),"")</f>
        <v>8000</v>
      </c>
      <c r="AI3636" s="47"/>
      <c r="AJ3636" s="47">
        <f t="shared" si="790"/>
        <v>4400</v>
      </c>
    </row>
    <row r="3637" spans="1:36">
      <c r="A3637" s="374" t="s">
        <v>5355</v>
      </c>
      <c r="B3637" s="374">
        <v>8</v>
      </c>
      <c r="C3637" s="374" t="s">
        <v>294</v>
      </c>
      <c r="D3637" s="375" t="str">
        <f t="shared" si="791"/>
        <v>Rivulet Estate8</v>
      </c>
      <c r="E3637" s="375" t="s">
        <v>5367</v>
      </c>
      <c r="F3637" s="375"/>
      <c r="G3637" s="375" t="s">
        <v>5357</v>
      </c>
      <c r="H3637" s="375" t="s">
        <v>5358</v>
      </c>
      <c r="I3637" s="63" t="s">
        <v>5359</v>
      </c>
      <c r="J3637" s="47">
        <f t="shared" si="780"/>
        <v>3740</v>
      </c>
      <c r="K3637" s="46" t="s">
        <v>10735</v>
      </c>
      <c r="L3637" s="47" t="s">
        <v>5360</v>
      </c>
      <c r="M3637" s="47">
        <f t="shared" si="786"/>
        <v>1430.0000000000002</v>
      </c>
      <c r="N3637" s="47" t="s">
        <v>5361</v>
      </c>
      <c r="O3637" s="47" t="s">
        <v>8064</v>
      </c>
      <c r="P3637" s="47" t="s">
        <v>5362</v>
      </c>
      <c r="Q3637" s="47" t="s">
        <v>8788</v>
      </c>
      <c r="R3637" s="47"/>
      <c r="S3637" s="47"/>
      <c r="T3637" s="47"/>
      <c r="U3637" s="47">
        <f t="shared" si="787"/>
        <v>430</v>
      </c>
      <c r="V3637" s="47"/>
      <c r="W3637" s="47"/>
      <c r="X3637" s="47">
        <f t="shared" si="788"/>
        <v>3000</v>
      </c>
      <c r="Y3637" s="47"/>
      <c r="Z3637" s="47">
        <f t="shared" si="783"/>
        <v>4620</v>
      </c>
      <c r="AA3637" s="47">
        <f t="shared" si="783"/>
        <v>1400</v>
      </c>
      <c r="AB3637" s="47"/>
      <c r="AC3637" s="47">
        <f t="shared" si="789"/>
        <v>5200</v>
      </c>
      <c r="AD3637" s="47"/>
      <c r="AE3637" s="47"/>
      <c r="AF3637" s="47">
        <f t="shared" si="784"/>
        <v>1485</v>
      </c>
      <c r="AG3637" s="47"/>
      <c r="AH3637" s="47">
        <f>IFERROR(_xlfn.XLOOKUP(Table6[[#This Row],[Suburb]],Table5[Travel Surcharge],Table5[$$]),"")</f>
        <v>8000</v>
      </c>
      <c r="AI3637" s="47"/>
      <c r="AJ3637" s="47">
        <f t="shared" si="790"/>
        <v>4400</v>
      </c>
    </row>
    <row r="3638" spans="1:36">
      <c r="A3638" s="374" t="s">
        <v>5355</v>
      </c>
      <c r="B3638" s="374">
        <v>9</v>
      </c>
      <c r="C3638" s="374" t="s">
        <v>294</v>
      </c>
      <c r="D3638" s="375" t="str">
        <f t="shared" si="791"/>
        <v>Rivulet Estate9</v>
      </c>
      <c r="E3638" s="375" t="s">
        <v>5367</v>
      </c>
      <c r="F3638" s="375"/>
      <c r="G3638" s="375" t="s">
        <v>5357</v>
      </c>
      <c r="H3638" s="375" t="s">
        <v>5358</v>
      </c>
      <c r="I3638" s="63" t="s">
        <v>5359</v>
      </c>
      <c r="J3638" s="47">
        <f t="shared" si="780"/>
        <v>3740</v>
      </c>
      <c r="K3638" s="46" t="s">
        <v>10735</v>
      </c>
      <c r="L3638" s="47" t="s">
        <v>5360</v>
      </c>
      <c r="M3638" s="47">
        <f t="shared" si="786"/>
        <v>1430.0000000000002</v>
      </c>
      <c r="N3638" s="47" t="s">
        <v>5361</v>
      </c>
      <c r="O3638" s="47" t="s">
        <v>8064</v>
      </c>
      <c r="P3638" s="47" t="s">
        <v>5362</v>
      </c>
      <c r="Q3638" s="47" t="s">
        <v>8788</v>
      </c>
      <c r="R3638" s="47"/>
      <c r="S3638" s="47"/>
      <c r="T3638" s="47"/>
      <c r="U3638" s="47">
        <f t="shared" si="787"/>
        <v>430</v>
      </c>
      <c r="V3638" s="47"/>
      <c r="W3638" s="47"/>
      <c r="X3638" s="47">
        <f t="shared" si="788"/>
        <v>3000</v>
      </c>
      <c r="Y3638" s="47"/>
      <c r="Z3638" s="47">
        <f t="shared" si="783"/>
        <v>4620</v>
      </c>
      <c r="AA3638" s="47">
        <f t="shared" si="783"/>
        <v>1400</v>
      </c>
      <c r="AB3638" s="47"/>
      <c r="AC3638" s="47">
        <f t="shared" si="789"/>
        <v>5200</v>
      </c>
      <c r="AD3638" s="47"/>
      <c r="AE3638" s="47"/>
      <c r="AF3638" s="47">
        <f t="shared" si="784"/>
        <v>1485</v>
      </c>
      <c r="AG3638" s="47"/>
      <c r="AH3638" s="47">
        <f>IFERROR(_xlfn.XLOOKUP(Table6[[#This Row],[Suburb]],Table5[Travel Surcharge],Table5[$$]),"")</f>
        <v>8000</v>
      </c>
      <c r="AI3638" s="47"/>
      <c r="AJ3638" s="47">
        <f t="shared" si="790"/>
        <v>4400</v>
      </c>
    </row>
    <row r="3639" spans="1:36">
      <c r="A3639" s="157" t="s">
        <v>5368</v>
      </c>
      <c r="B3639" s="157" t="s">
        <v>501</v>
      </c>
      <c r="C3639" s="157" t="s">
        <v>728</v>
      </c>
      <c r="D3639" s="157" t="str">
        <f t="shared" si="791"/>
        <v>Robinsons Rise Estate1A</v>
      </c>
      <c r="E3639" s="157" t="s">
        <v>5369</v>
      </c>
      <c r="F3639" s="157"/>
      <c r="G3639" s="157"/>
      <c r="H3639" s="157"/>
      <c r="I3639" s="158"/>
      <c r="J3639" s="47"/>
      <c r="K3639" s="46" t="s">
        <v>10735</v>
      </c>
      <c r="L3639" s="47"/>
      <c r="M3639" s="47">
        <f t="shared" si="786"/>
        <v>1430.0000000000002</v>
      </c>
      <c r="N3639" s="47" t="s">
        <v>5370</v>
      </c>
      <c r="O3639" s="47"/>
      <c r="P3639" s="47"/>
      <c r="Q3639" s="47"/>
      <c r="R3639" s="47"/>
      <c r="S3639" s="47" t="s">
        <v>5371</v>
      </c>
      <c r="T3639" s="47" t="s">
        <v>5372</v>
      </c>
      <c r="U3639" s="47"/>
      <c r="V3639" s="47"/>
      <c r="W3639" s="47" t="s">
        <v>5373</v>
      </c>
      <c r="X3639" s="47" t="s">
        <v>5374</v>
      </c>
      <c r="Y3639" s="47" t="s">
        <v>5375</v>
      </c>
      <c r="Z3639" s="47">
        <f t="shared" ref="Z3639:Z3650" si="792">Z$7</f>
        <v>4620</v>
      </c>
      <c r="AA3639" s="47"/>
      <c r="AB3639" s="47"/>
      <c r="AC3639" s="47"/>
      <c r="AD3639" s="47"/>
      <c r="AE3639" s="47"/>
      <c r="AF3639" s="47">
        <f t="shared" si="784"/>
        <v>1485</v>
      </c>
      <c r="AG3639" s="47"/>
      <c r="AH3639" s="47" t="str">
        <f>IFERROR(_xlfn.XLOOKUP(Table6[[#This Row],[Suburb]],Table5[Travel Surcharge],Table5[$$]),"")</f>
        <v/>
      </c>
      <c r="AI3639" s="47"/>
      <c r="AJ3639" s="47"/>
    </row>
    <row r="3640" spans="1:36">
      <c r="A3640" s="374" t="s">
        <v>5368</v>
      </c>
      <c r="B3640" s="374" t="s">
        <v>507</v>
      </c>
      <c r="C3640" s="374" t="s">
        <v>728</v>
      </c>
      <c r="D3640" s="375" t="str">
        <f t="shared" si="791"/>
        <v>Robinsons Rise Estate1B</v>
      </c>
      <c r="E3640" s="375" t="s">
        <v>8063</v>
      </c>
      <c r="F3640" s="375"/>
      <c r="G3640" s="375"/>
      <c r="H3640" s="375"/>
      <c r="I3640" s="63"/>
      <c r="J3640" s="47"/>
      <c r="K3640" s="46" t="s">
        <v>10735</v>
      </c>
      <c r="L3640" s="47"/>
      <c r="M3640" s="47">
        <f t="shared" si="786"/>
        <v>1430.0000000000002</v>
      </c>
      <c r="N3640" s="47" t="s">
        <v>5370</v>
      </c>
      <c r="O3640" s="47"/>
      <c r="P3640" s="47"/>
      <c r="Q3640" s="47"/>
      <c r="R3640" s="47"/>
      <c r="S3640" s="47" t="s">
        <v>5371</v>
      </c>
      <c r="T3640" s="47" t="s">
        <v>5372</v>
      </c>
      <c r="U3640" s="47"/>
      <c r="V3640" s="47"/>
      <c r="W3640" s="47" t="s">
        <v>5373</v>
      </c>
      <c r="X3640" s="47" t="s">
        <v>5374</v>
      </c>
      <c r="Y3640" s="47" t="s">
        <v>5375</v>
      </c>
      <c r="Z3640" s="47">
        <f t="shared" si="792"/>
        <v>4620</v>
      </c>
      <c r="AA3640" s="47"/>
      <c r="AB3640" s="47"/>
      <c r="AC3640" s="47"/>
      <c r="AD3640" s="47"/>
      <c r="AE3640" s="47"/>
      <c r="AF3640" s="47">
        <f t="shared" si="784"/>
        <v>1485</v>
      </c>
      <c r="AG3640" s="47"/>
      <c r="AH3640" s="47" t="str">
        <f>IFERROR(_xlfn.XLOOKUP(Table6[[#This Row],[Suburb]],Table5[Travel Surcharge],Table5[$$]),"")</f>
        <v/>
      </c>
      <c r="AI3640" s="47"/>
      <c r="AJ3640" s="47"/>
    </row>
    <row r="3641" spans="1:36">
      <c r="A3641" s="374" t="s">
        <v>5368</v>
      </c>
      <c r="B3641" s="374">
        <v>2</v>
      </c>
      <c r="C3641" s="374" t="s">
        <v>728</v>
      </c>
      <c r="D3641" s="375" t="str">
        <f t="shared" ref="D3641" si="793">CONCATENATE(A3641,B3641)</f>
        <v>Robinsons Rise Estate2</v>
      </c>
      <c r="E3641" s="375" t="s">
        <v>10359</v>
      </c>
      <c r="F3641" s="375"/>
      <c r="G3641" s="375"/>
      <c r="H3641" s="375"/>
      <c r="I3641" s="63"/>
      <c r="J3641" s="47"/>
      <c r="K3641" s="46" t="s">
        <v>10735</v>
      </c>
      <c r="L3641" s="47"/>
      <c r="M3641" s="47">
        <f t="shared" si="786"/>
        <v>1430.0000000000002</v>
      </c>
      <c r="N3641" s="47" t="s">
        <v>5370</v>
      </c>
      <c r="O3641" s="47"/>
      <c r="P3641" s="47"/>
      <c r="Q3641" s="47"/>
      <c r="R3641" s="47"/>
      <c r="S3641" s="47" t="s">
        <v>5371</v>
      </c>
      <c r="T3641" s="47" t="s">
        <v>5372</v>
      </c>
      <c r="U3641" s="47"/>
      <c r="V3641" s="47"/>
      <c r="W3641" s="47" t="s">
        <v>5373</v>
      </c>
      <c r="X3641" s="47" t="s">
        <v>5374</v>
      </c>
      <c r="Y3641" s="47" t="s">
        <v>5375</v>
      </c>
      <c r="Z3641" s="47">
        <f t="shared" si="792"/>
        <v>4620</v>
      </c>
      <c r="AA3641" s="47"/>
      <c r="AB3641" s="47"/>
      <c r="AC3641" s="47"/>
      <c r="AD3641" s="47"/>
      <c r="AE3641" s="47"/>
      <c r="AF3641" s="47">
        <f t="shared" si="784"/>
        <v>1485</v>
      </c>
      <c r="AG3641" s="47"/>
      <c r="AH3641" s="47" t="str">
        <f>IFERROR(_xlfn.XLOOKUP(Table6[[#This Row],[Suburb]],Table5[Travel Surcharge],Table5[$$]),"")</f>
        <v/>
      </c>
      <c r="AI3641" s="47"/>
      <c r="AJ3641" s="47"/>
    </row>
    <row r="3642" spans="1:36">
      <c r="A3642" s="374" t="s">
        <v>10700</v>
      </c>
      <c r="B3642" s="374">
        <v>1</v>
      </c>
      <c r="C3642" s="374" t="s">
        <v>10701</v>
      </c>
      <c r="D3642" s="375" t="str">
        <f>CONCATENATE(A3642,B3642)</f>
        <v>Rockcliffe1</v>
      </c>
      <c r="E3642" s="375" t="s">
        <v>10702</v>
      </c>
      <c r="F3642" s="375" t="s">
        <v>10703</v>
      </c>
      <c r="G3642" s="375" t="s">
        <v>10714</v>
      </c>
      <c r="H3642" s="375" t="s">
        <v>10715</v>
      </c>
      <c r="I3642" s="63"/>
      <c r="J3642" s="47" t="s">
        <v>10712</v>
      </c>
      <c r="K3642" s="46" t="s">
        <v>10735</v>
      </c>
      <c r="L3642" s="47">
        <v>1210</v>
      </c>
      <c r="M3642" s="47" t="s">
        <v>10704</v>
      </c>
      <c r="N3642" s="47" t="s">
        <v>10707</v>
      </c>
      <c r="O3642" s="47" t="s">
        <v>10705</v>
      </c>
      <c r="P3642" s="47" t="s">
        <v>10706</v>
      </c>
      <c r="Q3642" s="47"/>
      <c r="R3642" s="47"/>
      <c r="S3642" s="47" t="s">
        <v>637</v>
      </c>
      <c r="T3642" s="47"/>
      <c r="U3642" s="47"/>
      <c r="V3642" s="47"/>
      <c r="W3642" s="47"/>
      <c r="X3642" s="47"/>
      <c r="Y3642" s="47"/>
      <c r="Z3642" s="47">
        <f>Z$7</f>
        <v>4620</v>
      </c>
      <c r="AA3642" s="47" t="s">
        <v>10711</v>
      </c>
      <c r="AB3642" s="47" t="s">
        <v>10710</v>
      </c>
      <c r="AC3642" s="47"/>
      <c r="AD3642" s="47" t="s">
        <v>10709</v>
      </c>
      <c r="AE3642" s="47" t="s">
        <v>10708</v>
      </c>
      <c r="AF3642" s="47">
        <v>1485</v>
      </c>
      <c r="AG3642" s="47"/>
      <c r="AH3642" s="47"/>
      <c r="AI3642" s="47"/>
      <c r="AJ3642" s="47"/>
    </row>
    <row r="3643" spans="1:36">
      <c r="A3643" s="374" t="s">
        <v>5376</v>
      </c>
      <c r="B3643" s="374">
        <v>1</v>
      </c>
      <c r="C3643" s="374" t="s">
        <v>468</v>
      </c>
      <c r="D3643" s="375" t="str">
        <f t="shared" si="791"/>
        <v>Rockdale Estate 1</v>
      </c>
      <c r="E3643" s="375" t="s">
        <v>5377</v>
      </c>
      <c r="F3643" s="375"/>
      <c r="G3643" s="375"/>
      <c r="H3643" s="375"/>
      <c r="I3643" s="63"/>
      <c r="J3643" s="47">
        <f>J$7</f>
        <v>3740</v>
      </c>
      <c r="K3643" s="46" t="s">
        <v>10735</v>
      </c>
      <c r="L3643" s="47"/>
      <c r="M3643" s="47"/>
      <c r="N3643" s="47" t="s">
        <v>5378</v>
      </c>
      <c r="O3643" s="47" t="s">
        <v>5379</v>
      </c>
      <c r="P3643" s="47"/>
      <c r="Q3643" s="47">
        <f>Q$2</f>
        <v>0</v>
      </c>
      <c r="R3643" s="47"/>
      <c r="S3643" s="47"/>
      <c r="T3643" s="47"/>
      <c r="U3643" s="47"/>
      <c r="V3643" s="47"/>
      <c r="W3643" s="47"/>
      <c r="X3643" s="47"/>
      <c r="Y3643" s="47"/>
      <c r="Z3643" s="47">
        <f t="shared" si="792"/>
        <v>4620</v>
      </c>
      <c r="AA3643" s="47"/>
      <c r="AB3643" s="47"/>
      <c r="AC3643" s="47"/>
      <c r="AD3643" s="47"/>
      <c r="AE3643" s="47"/>
      <c r="AF3643" s="47">
        <f t="shared" si="784"/>
        <v>1485</v>
      </c>
      <c r="AG3643" s="47"/>
      <c r="AH3643" s="47" t="str">
        <f>IFERROR(_xlfn.XLOOKUP(Table6[[#This Row],[Suburb]],Table5[Travel Surcharge],Table5[$$]),"")</f>
        <v/>
      </c>
      <c r="AI3643" s="47">
        <f>AI$7</f>
        <v>1650.0000000000002</v>
      </c>
      <c r="AJ3643" s="47"/>
    </row>
    <row r="3644" spans="1:36">
      <c r="A3644" s="374" t="s">
        <v>5376</v>
      </c>
      <c r="B3644" s="374">
        <v>2</v>
      </c>
      <c r="C3644" s="374" t="s">
        <v>468</v>
      </c>
      <c r="D3644" s="375" t="str">
        <f t="shared" si="791"/>
        <v>Rockdale Estate 2</v>
      </c>
      <c r="E3644" s="375" t="s">
        <v>5380</v>
      </c>
      <c r="F3644" s="375"/>
      <c r="G3644" s="375"/>
      <c r="H3644" s="375"/>
      <c r="I3644" s="63"/>
      <c r="J3644" s="47">
        <f>J$7</f>
        <v>3740</v>
      </c>
      <c r="K3644" s="46" t="s">
        <v>10735</v>
      </c>
      <c r="L3644" s="47"/>
      <c r="M3644" s="47"/>
      <c r="N3644" s="47" t="s">
        <v>5378</v>
      </c>
      <c r="O3644" s="47" t="s">
        <v>5379</v>
      </c>
      <c r="P3644" s="47"/>
      <c r="Q3644" s="47">
        <f>Q$2</f>
        <v>0</v>
      </c>
      <c r="R3644" s="47"/>
      <c r="S3644" s="47"/>
      <c r="T3644" s="47"/>
      <c r="U3644" s="47"/>
      <c r="V3644" s="47"/>
      <c r="W3644" s="47"/>
      <c r="X3644" s="47"/>
      <c r="Y3644" s="47"/>
      <c r="Z3644" s="47">
        <f t="shared" si="792"/>
        <v>4620</v>
      </c>
      <c r="AA3644" s="47"/>
      <c r="AB3644" s="47"/>
      <c r="AC3644" s="47"/>
      <c r="AD3644" s="47"/>
      <c r="AE3644" s="47"/>
      <c r="AF3644" s="47">
        <f t="shared" si="784"/>
        <v>1485</v>
      </c>
      <c r="AG3644" s="47"/>
      <c r="AH3644" s="47" t="str">
        <f>IFERROR(_xlfn.XLOOKUP(Table6[[#This Row],[Suburb]],Table5[Travel Surcharge],Table5[$$]),"")</f>
        <v/>
      </c>
      <c r="AI3644" s="47">
        <f>AI$7</f>
        <v>1650.0000000000002</v>
      </c>
      <c r="AJ3644" s="47"/>
    </row>
    <row r="3645" spans="1:36">
      <c r="A3645" s="374" t="s">
        <v>5376</v>
      </c>
      <c r="B3645" s="374">
        <v>3</v>
      </c>
      <c r="C3645" s="374" t="s">
        <v>468</v>
      </c>
      <c r="D3645" s="375" t="str">
        <f t="shared" si="791"/>
        <v>Rockdale Estate 3</v>
      </c>
      <c r="E3645" s="375" t="s">
        <v>5381</v>
      </c>
      <c r="F3645" s="375"/>
      <c r="G3645" s="375"/>
      <c r="H3645" s="375"/>
      <c r="I3645" s="63"/>
      <c r="J3645" s="47">
        <f>J$7</f>
        <v>3740</v>
      </c>
      <c r="K3645" s="46" t="s">
        <v>10735</v>
      </c>
      <c r="L3645" s="47"/>
      <c r="M3645" s="47"/>
      <c r="N3645" s="47" t="s">
        <v>5378</v>
      </c>
      <c r="O3645" s="47" t="s">
        <v>5379</v>
      </c>
      <c r="P3645" s="47"/>
      <c r="Q3645" s="47">
        <f>Q$2</f>
        <v>0</v>
      </c>
      <c r="R3645" s="47"/>
      <c r="S3645" s="47"/>
      <c r="T3645" s="47"/>
      <c r="U3645" s="47"/>
      <c r="V3645" s="47"/>
      <c r="W3645" s="47"/>
      <c r="X3645" s="47"/>
      <c r="Y3645" s="47"/>
      <c r="Z3645" s="47">
        <f t="shared" si="792"/>
        <v>4620</v>
      </c>
      <c r="AA3645" s="47"/>
      <c r="AB3645" s="47"/>
      <c r="AC3645" s="47"/>
      <c r="AD3645" s="47"/>
      <c r="AE3645" s="47"/>
      <c r="AF3645" s="47">
        <f t="shared" si="784"/>
        <v>1485</v>
      </c>
      <c r="AG3645" s="47"/>
      <c r="AH3645" s="47" t="str">
        <f>IFERROR(_xlfn.XLOOKUP(Table6[[#This Row],[Suburb]],Table5[Travel Surcharge],Table5[$$]),"")</f>
        <v/>
      </c>
      <c r="AI3645" s="47">
        <f>AI$7</f>
        <v>1650.0000000000002</v>
      </c>
      <c r="AJ3645" s="47"/>
    </row>
    <row r="3646" spans="1:36">
      <c r="A3646" s="374" t="s">
        <v>9646</v>
      </c>
      <c r="B3646" s="374">
        <v>1</v>
      </c>
      <c r="C3646" s="374" t="s">
        <v>8436</v>
      </c>
      <c r="D3646" s="375" t="str">
        <f t="shared" si="791"/>
        <v>Rosalia1</v>
      </c>
      <c r="E3646" s="375" t="s">
        <v>9647</v>
      </c>
      <c r="F3646" s="375"/>
      <c r="G3646" s="375"/>
      <c r="H3646" s="375"/>
      <c r="I3646" s="63"/>
      <c r="J3646" s="47"/>
      <c r="K3646" s="46" t="s">
        <v>10735</v>
      </c>
      <c r="L3646" s="47" t="s">
        <v>9648</v>
      </c>
      <c r="M3646" s="47" t="s">
        <v>9649</v>
      </c>
      <c r="N3646" s="47"/>
      <c r="O3646" s="47" t="s">
        <v>9650</v>
      </c>
      <c r="P3646" s="47"/>
      <c r="Q3646" s="47"/>
      <c r="R3646" s="47"/>
      <c r="S3646" s="47"/>
      <c r="T3646" s="47"/>
      <c r="U3646" s="47" t="s">
        <v>9652</v>
      </c>
      <c r="V3646" s="47" t="s">
        <v>9651</v>
      </c>
      <c r="W3646" s="47"/>
      <c r="X3646" s="47"/>
      <c r="Y3646" s="47"/>
      <c r="Z3646" s="47">
        <f t="shared" si="792"/>
        <v>4620</v>
      </c>
      <c r="AA3646" s="47"/>
      <c r="AB3646" s="47"/>
      <c r="AC3646" s="47"/>
      <c r="AD3646" s="47"/>
      <c r="AE3646" s="47"/>
      <c r="AF3646" s="47"/>
      <c r="AG3646" s="47"/>
      <c r="AH3646" s="47" t="str">
        <f>IFERROR(_xlfn.XLOOKUP(Table6[[#This Row],[Suburb]],Table5[Travel Surcharge],Table5[$$]),"")</f>
        <v/>
      </c>
      <c r="AI3646" s="47"/>
      <c r="AJ3646" s="47"/>
    </row>
    <row r="3647" spans="1:36">
      <c r="A3647" s="374" t="s">
        <v>5382</v>
      </c>
      <c r="B3647" s="374">
        <v>1</v>
      </c>
      <c r="C3647" s="374" t="s">
        <v>468</v>
      </c>
      <c r="D3647" s="375" t="str">
        <f t="shared" si="791"/>
        <v>Rosehill1</v>
      </c>
      <c r="E3647" s="375" t="s">
        <v>5383</v>
      </c>
      <c r="F3647" s="375"/>
      <c r="G3647" s="375" t="s">
        <v>5384</v>
      </c>
      <c r="H3647" s="375" t="s">
        <v>5385</v>
      </c>
      <c r="I3647" s="63" t="s">
        <v>5386</v>
      </c>
      <c r="J3647" s="47">
        <f>J$7</f>
        <v>3740</v>
      </c>
      <c r="K3647" s="46" t="s">
        <v>10735</v>
      </c>
      <c r="L3647" s="47"/>
      <c r="M3647" s="47">
        <f>M$7</f>
        <v>1430.0000000000002</v>
      </c>
      <c r="N3647" s="47" t="s">
        <v>5387</v>
      </c>
      <c r="O3647" s="47"/>
      <c r="P3647" s="47"/>
      <c r="Q3647" s="47">
        <f>Q$2</f>
        <v>0</v>
      </c>
      <c r="R3647" s="47"/>
      <c r="S3647" s="47"/>
      <c r="T3647" s="47"/>
      <c r="U3647" s="47"/>
      <c r="V3647" s="47" t="s">
        <v>5388</v>
      </c>
      <c r="W3647" s="47"/>
      <c r="X3647" s="47"/>
      <c r="Y3647" s="47"/>
      <c r="Z3647" s="47">
        <f t="shared" si="792"/>
        <v>4620</v>
      </c>
      <c r="AA3647" s="47">
        <f>AA$7</f>
        <v>1400</v>
      </c>
      <c r="AB3647" s="47"/>
      <c r="AC3647" s="47"/>
      <c r="AD3647" s="47"/>
      <c r="AE3647" s="47"/>
      <c r="AF3647" s="47">
        <f>AF$7</f>
        <v>1485</v>
      </c>
      <c r="AG3647" s="47"/>
      <c r="AH3647" s="47" t="str">
        <f>IFERROR(_xlfn.XLOOKUP(Table6[[#This Row],[Suburb]],Table5[Travel Surcharge],Table5[$$]),"")</f>
        <v/>
      </c>
      <c r="AI3647" s="47"/>
      <c r="AJ3647" s="47"/>
    </row>
    <row r="3648" spans="1:36">
      <c r="A3648" s="374" t="s">
        <v>5382</v>
      </c>
      <c r="B3648" s="374">
        <v>4</v>
      </c>
      <c r="C3648" s="374" t="s">
        <v>468</v>
      </c>
      <c r="D3648" s="375" t="str">
        <f t="shared" si="791"/>
        <v>Rosehill4</v>
      </c>
      <c r="E3648" s="375" t="s">
        <v>9192</v>
      </c>
      <c r="F3648" s="375"/>
      <c r="G3648" s="375" t="s">
        <v>5384</v>
      </c>
      <c r="H3648" s="375" t="s">
        <v>5385</v>
      </c>
      <c r="I3648" s="63" t="s">
        <v>5386</v>
      </c>
      <c r="J3648" s="47">
        <f>J$7</f>
        <v>3740</v>
      </c>
      <c r="K3648" s="46" t="s">
        <v>10735</v>
      </c>
      <c r="L3648" s="47"/>
      <c r="M3648" s="47">
        <f>M$7</f>
        <v>1430.0000000000002</v>
      </c>
      <c r="N3648" s="47" t="s">
        <v>5387</v>
      </c>
      <c r="O3648" s="47"/>
      <c r="P3648" s="47"/>
      <c r="Q3648" s="47">
        <f>Q$2</f>
        <v>0</v>
      </c>
      <c r="R3648" s="47"/>
      <c r="S3648" s="47"/>
      <c r="T3648" s="47"/>
      <c r="U3648" s="47"/>
      <c r="V3648" s="47" t="s">
        <v>5388</v>
      </c>
      <c r="W3648" s="47"/>
      <c r="X3648" s="47"/>
      <c r="Y3648" s="47"/>
      <c r="Z3648" s="47">
        <f t="shared" si="792"/>
        <v>4620</v>
      </c>
      <c r="AA3648" s="47">
        <f>AA$7</f>
        <v>1400</v>
      </c>
      <c r="AB3648" s="47"/>
      <c r="AC3648" s="47"/>
      <c r="AD3648" s="47"/>
      <c r="AE3648" s="47"/>
      <c r="AF3648" s="47">
        <f>AF$7</f>
        <v>1485</v>
      </c>
      <c r="AG3648" s="47"/>
      <c r="AH3648" s="47" t="str">
        <f>IFERROR(_xlfn.XLOOKUP(Table6[[#This Row],[Suburb]],Table5[Travel Surcharge],Table5[$$]),"")</f>
        <v/>
      </c>
      <c r="AI3648" s="47"/>
      <c r="AJ3648" s="47"/>
    </row>
    <row r="3649" spans="1:36">
      <c r="A3649" s="374" t="s">
        <v>5382</v>
      </c>
      <c r="B3649" s="374">
        <v>2</v>
      </c>
      <c r="C3649" s="374" t="s">
        <v>468</v>
      </c>
      <c r="D3649" s="375" t="str">
        <f t="shared" si="791"/>
        <v>Rosehill2</v>
      </c>
      <c r="E3649" s="375" t="s">
        <v>5389</v>
      </c>
      <c r="F3649" s="375"/>
      <c r="G3649" s="375" t="s">
        <v>5384</v>
      </c>
      <c r="H3649" s="375" t="s">
        <v>5385</v>
      </c>
      <c r="I3649" s="63" t="s">
        <v>5386</v>
      </c>
      <c r="J3649" s="47">
        <f>J$7</f>
        <v>3740</v>
      </c>
      <c r="K3649" s="46" t="s">
        <v>10735</v>
      </c>
      <c r="L3649" s="47"/>
      <c r="M3649" s="47">
        <f>M$7</f>
        <v>1430.0000000000002</v>
      </c>
      <c r="N3649" s="47" t="s">
        <v>5387</v>
      </c>
      <c r="O3649" s="47"/>
      <c r="P3649" s="47"/>
      <c r="Q3649" s="47">
        <f>Q$2</f>
        <v>0</v>
      </c>
      <c r="R3649" s="47"/>
      <c r="S3649" s="47"/>
      <c r="T3649" s="47"/>
      <c r="U3649" s="47"/>
      <c r="V3649" s="47" t="s">
        <v>5388</v>
      </c>
      <c r="W3649" s="47"/>
      <c r="X3649" s="47"/>
      <c r="Y3649" s="47"/>
      <c r="Z3649" s="47">
        <f t="shared" si="792"/>
        <v>4620</v>
      </c>
      <c r="AA3649" s="47">
        <f>AA$7</f>
        <v>1400</v>
      </c>
      <c r="AB3649" s="47"/>
      <c r="AC3649" s="47"/>
      <c r="AD3649" s="47"/>
      <c r="AE3649" s="47"/>
      <c r="AF3649" s="47">
        <f>AF$7</f>
        <v>1485</v>
      </c>
      <c r="AG3649" s="47"/>
      <c r="AH3649" s="47" t="str">
        <f>IFERROR(_xlfn.XLOOKUP(Table6[[#This Row],[Suburb]],Table5[Travel Surcharge],Table5[$$]),"")</f>
        <v/>
      </c>
      <c r="AI3649" s="47"/>
      <c r="AJ3649" s="47"/>
    </row>
    <row r="3650" spans="1:36">
      <c r="A3650" s="157" t="s">
        <v>5382</v>
      </c>
      <c r="B3650" s="157">
        <v>7</v>
      </c>
      <c r="C3650" s="157" t="s">
        <v>468</v>
      </c>
      <c r="D3650" s="157" t="str">
        <f t="shared" si="791"/>
        <v>Rosehill7</v>
      </c>
      <c r="E3650" s="157" t="s">
        <v>8289</v>
      </c>
      <c r="F3650" s="157"/>
      <c r="G3650" s="157" t="s">
        <v>5384</v>
      </c>
      <c r="H3650" s="157" t="s">
        <v>5385</v>
      </c>
      <c r="I3650" s="158" t="s">
        <v>5386</v>
      </c>
      <c r="J3650" s="47">
        <f>J$7</f>
        <v>3740</v>
      </c>
      <c r="K3650" s="46" t="s">
        <v>10735</v>
      </c>
      <c r="L3650" s="47"/>
      <c r="M3650" s="47">
        <f>M$7</f>
        <v>1430.0000000000002</v>
      </c>
      <c r="N3650" s="47" t="s">
        <v>5387</v>
      </c>
      <c r="O3650" s="47"/>
      <c r="P3650" s="47"/>
      <c r="Q3650" s="47">
        <f>Q$2</f>
        <v>0</v>
      </c>
      <c r="R3650" s="47"/>
      <c r="S3650" s="47"/>
      <c r="T3650" s="47"/>
      <c r="U3650" s="47"/>
      <c r="V3650" s="47" t="s">
        <v>5388</v>
      </c>
      <c r="W3650" s="47"/>
      <c r="X3650" s="47"/>
      <c r="Y3650" s="47"/>
      <c r="Z3650" s="47">
        <f t="shared" si="792"/>
        <v>4620</v>
      </c>
      <c r="AA3650" s="47">
        <f>AA$7</f>
        <v>1400</v>
      </c>
      <c r="AB3650" s="47"/>
      <c r="AC3650" s="47"/>
      <c r="AD3650" s="47"/>
      <c r="AE3650" s="47"/>
      <c r="AF3650" s="47">
        <f>AF$7</f>
        <v>1485</v>
      </c>
      <c r="AG3650" s="47"/>
      <c r="AH3650" s="47" t="str">
        <f>IFERROR(_xlfn.XLOOKUP(Table6[[#This Row],[Suburb]],Table5[Travel Surcharge],Table5[$$]),"")</f>
        <v/>
      </c>
      <c r="AI3650" s="47"/>
      <c r="AJ3650" s="47"/>
    </row>
    <row r="3651" spans="1:36">
      <c r="A3651" s="374" t="s">
        <v>5390</v>
      </c>
      <c r="B3651" s="374" t="s">
        <v>9756</v>
      </c>
      <c r="C3651" s="374" t="s">
        <v>1721</v>
      </c>
      <c r="D3651" s="375" t="s">
        <v>9757</v>
      </c>
      <c r="E3651" s="375" t="s">
        <v>9758</v>
      </c>
      <c r="F3651" s="375" t="s">
        <v>2664</v>
      </c>
      <c r="G3651" s="375"/>
      <c r="H3651" s="375" t="s">
        <v>5392</v>
      </c>
      <c r="I3651" s="63" t="s">
        <v>5393</v>
      </c>
      <c r="J3651" s="47" t="s">
        <v>10410</v>
      </c>
      <c r="K3651" s="46" t="s">
        <v>10735</v>
      </c>
      <c r="L3651" s="47">
        <v>1210</v>
      </c>
      <c r="M3651" s="47" t="s">
        <v>5394</v>
      </c>
      <c r="N3651" s="47"/>
      <c r="O3651" s="47"/>
      <c r="P3651" s="47"/>
      <c r="Q3651" s="47"/>
      <c r="R3651" s="47"/>
      <c r="S3651" s="47"/>
      <c r="T3651" s="47">
        <v>1420</v>
      </c>
      <c r="U3651" s="47"/>
      <c r="V3651" s="47"/>
      <c r="W3651" s="47"/>
      <c r="X3651" s="47"/>
      <c r="Y3651" s="47"/>
      <c r="Z3651" s="47">
        <v>4620</v>
      </c>
      <c r="AA3651" s="47"/>
      <c r="AB3651" s="47"/>
      <c r="AC3651" s="47"/>
      <c r="AD3651" s="47"/>
      <c r="AE3651" s="47"/>
      <c r="AF3651" s="47"/>
      <c r="AG3651" s="47"/>
      <c r="AH3651" s="47" t="str">
        <f>IFERROR(_xlfn.XLOOKUP(Table6[[#This Row],[Suburb]],Table5[Travel Surcharge],Table5[$$]),"")</f>
        <v/>
      </c>
      <c r="AI3651" s="47">
        <v>1650.0000000000002</v>
      </c>
      <c r="AJ3651" s="47"/>
    </row>
    <row r="3652" spans="1:36">
      <c r="A3652" s="374" t="s">
        <v>5390</v>
      </c>
      <c r="B3652" s="374">
        <v>1</v>
      </c>
      <c r="C3652" s="374" t="s">
        <v>1721</v>
      </c>
      <c r="D3652" s="375" t="str">
        <f t="shared" ref="D3652:D3666" si="794">CONCATENATE(A3652,B3652)</f>
        <v>Rosenthal Estate1</v>
      </c>
      <c r="E3652" s="375" t="s">
        <v>5391</v>
      </c>
      <c r="F3652" s="375" t="s">
        <v>2664</v>
      </c>
      <c r="G3652" s="375"/>
      <c r="H3652" s="375" t="s">
        <v>5392</v>
      </c>
      <c r="I3652" s="63" t="s">
        <v>5393</v>
      </c>
      <c r="J3652" s="47" t="s">
        <v>10410</v>
      </c>
      <c r="K3652" s="46" t="s">
        <v>10735</v>
      </c>
      <c r="L3652" s="47">
        <f t="shared" ref="L3652:L3666" si="795">L$7</f>
        <v>1210</v>
      </c>
      <c r="M3652" s="47" t="s">
        <v>5394</v>
      </c>
      <c r="N3652" s="47"/>
      <c r="O3652" s="47"/>
      <c r="P3652" s="47"/>
      <c r="Q3652" s="47"/>
      <c r="R3652" s="47"/>
      <c r="S3652" s="47"/>
      <c r="T3652" s="47">
        <f t="shared" ref="T3652:T3666" si="796">T$2</f>
        <v>780</v>
      </c>
      <c r="U3652" s="47"/>
      <c r="V3652" s="47"/>
      <c r="W3652" s="47"/>
      <c r="X3652" s="47"/>
      <c r="Y3652" s="47"/>
      <c r="Z3652" s="47">
        <f t="shared" ref="Z3652:Z3666" si="797">Z$7</f>
        <v>4620</v>
      </c>
      <c r="AA3652" s="47"/>
      <c r="AB3652" s="47"/>
      <c r="AC3652" s="47"/>
      <c r="AD3652" s="47"/>
      <c r="AE3652" s="47"/>
      <c r="AF3652" s="47"/>
      <c r="AG3652" s="47"/>
      <c r="AH3652" s="47" t="str">
        <f>IFERROR(_xlfn.XLOOKUP(Table6[[#This Row],[Suburb]],Table5[Travel Surcharge],Table5[$$]),"")</f>
        <v/>
      </c>
      <c r="AI3652" s="47">
        <f t="shared" ref="AI3652:AI3666" si="798">AI$7</f>
        <v>1650.0000000000002</v>
      </c>
      <c r="AJ3652" s="47"/>
    </row>
    <row r="3653" spans="1:36">
      <c r="A3653" s="374" t="s">
        <v>5390</v>
      </c>
      <c r="B3653" s="374">
        <v>11</v>
      </c>
      <c r="C3653" s="374" t="s">
        <v>1721</v>
      </c>
      <c r="D3653" s="375" t="str">
        <f t="shared" si="794"/>
        <v>Rosenthal Estate11</v>
      </c>
      <c r="E3653" s="375" t="s">
        <v>5395</v>
      </c>
      <c r="F3653" s="375" t="s">
        <v>2664</v>
      </c>
      <c r="G3653" s="375"/>
      <c r="H3653" s="375" t="s">
        <v>5392</v>
      </c>
      <c r="I3653" s="63" t="s">
        <v>5393</v>
      </c>
      <c r="J3653" s="47" t="s">
        <v>10410</v>
      </c>
      <c r="K3653" s="46" t="s">
        <v>10735</v>
      </c>
      <c r="L3653" s="47">
        <f t="shared" si="795"/>
        <v>1210</v>
      </c>
      <c r="M3653" s="47" t="s">
        <v>5394</v>
      </c>
      <c r="N3653" s="47"/>
      <c r="O3653" s="47"/>
      <c r="P3653" s="47"/>
      <c r="Q3653" s="47"/>
      <c r="R3653" s="47"/>
      <c r="S3653" s="47"/>
      <c r="T3653" s="47">
        <f t="shared" si="796"/>
        <v>780</v>
      </c>
      <c r="U3653" s="47"/>
      <c r="V3653" s="47"/>
      <c r="W3653" s="47"/>
      <c r="X3653" s="47"/>
      <c r="Y3653" s="47"/>
      <c r="Z3653" s="47">
        <f t="shared" si="797"/>
        <v>4620</v>
      </c>
      <c r="AA3653" s="47"/>
      <c r="AB3653" s="47"/>
      <c r="AC3653" s="47"/>
      <c r="AD3653" s="47"/>
      <c r="AE3653" s="47"/>
      <c r="AF3653" s="47"/>
      <c r="AG3653" s="47"/>
      <c r="AH3653" s="47" t="str">
        <f>IFERROR(_xlfn.XLOOKUP(Table6[[#This Row],[Suburb]],Table5[Travel Surcharge],Table5[$$]),"")</f>
        <v/>
      </c>
      <c r="AI3653" s="47">
        <f t="shared" si="798"/>
        <v>1650.0000000000002</v>
      </c>
      <c r="AJ3653" s="47"/>
    </row>
    <row r="3654" spans="1:36">
      <c r="A3654" s="374" t="s">
        <v>5390</v>
      </c>
      <c r="B3654" s="374">
        <v>13</v>
      </c>
      <c r="C3654" s="374" t="s">
        <v>1721</v>
      </c>
      <c r="D3654" s="375" t="str">
        <f t="shared" si="794"/>
        <v>Rosenthal Estate13</v>
      </c>
      <c r="E3654" s="375" t="s">
        <v>5396</v>
      </c>
      <c r="F3654" s="375" t="s">
        <v>2664</v>
      </c>
      <c r="G3654" s="375"/>
      <c r="H3654" s="375" t="s">
        <v>5392</v>
      </c>
      <c r="I3654" s="63" t="s">
        <v>5393</v>
      </c>
      <c r="J3654" s="47" t="s">
        <v>10410</v>
      </c>
      <c r="K3654" s="46" t="s">
        <v>10735</v>
      </c>
      <c r="L3654" s="47">
        <f t="shared" si="795"/>
        <v>1210</v>
      </c>
      <c r="M3654" s="47" t="s">
        <v>5394</v>
      </c>
      <c r="N3654" s="47"/>
      <c r="O3654" s="47"/>
      <c r="P3654" s="47"/>
      <c r="Q3654" s="47"/>
      <c r="R3654" s="47"/>
      <c r="S3654" s="47"/>
      <c r="T3654" s="47">
        <f t="shared" si="796"/>
        <v>780</v>
      </c>
      <c r="U3654" s="47"/>
      <c r="V3654" s="47"/>
      <c r="W3654" s="47"/>
      <c r="X3654" s="47"/>
      <c r="Y3654" s="47"/>
      <c r="Z3654" s="47">
        <f t="shared" si="797"/>
        <v>4620</v>
      </c>
      <c r="AA3654" s="47"/>
      <c r="AB3654" s="47"/>
      <c r="AC3654" s="47"/>
      <c r="AD3654" s="47"/>
      <c r="AE3654" s="47"/>
      <c r="AF3654" s="47"/>
      <c r="AG3654" s="47"/>
      <c r="AH3654" s="47" t="str">
        <f>IFERROR(_xlfn.XLOOKUP(Table6[[#This Row],[Suburb]],Table5[Travel Surcharge],Table5[$$]),"")</f>
        <v/>
      </c>
      <c r="AI3654" s="47">
        <f t="shared" si="798"/>
        <v>1650.0000000000002</v>
      </c>
      <c r="AJ3654" s="47"/>
    </row>
    <row r="3655" spans="1:36">
      <c r="A3655" s="374" t="s">
        <v>5390</v>
      </c>
      <c r="B3655" s="374">
        <v>14</v>
      </c>
      <c r="C3655" s="374" t="s">
        <v>1721</v>
      </c>
      <c r="D3655" s="375" t="str">
        <f t="shared" si="794"/>
        <v>Rosenthal Estate14</v>
      </c>
      <c r="E3655" s="375" t="s">
        <v>5397</v>
      </c>
      <c r="F3655" s="375" t="s">
        <v>2664</v>
      </c>
      <c r="G3655" s="375"/>
      <c r="H3655" s="375" t="s">
        <v>5392</v>
      </c>
      <c r="I3655" s="63" t="s">
        <v>5393</v>
      </c>
      <c r="J3655" s="47" t="s">
        <v>10410</v>
      </c>
      <c r="K3655" s="46" t="s">
        <v>10735</v>
      </c>
      <c r="L3655" s="47">
        <f t="shared" si="795"/>
        <v>1210</v>
      </c>
      <c r="M3655" s="47" t="s">
        <v>5394</v>
      </c>
      <c r="N3655" s="47"/>
      <c r="O3655" s="47"/>
      <c r="P3655" s="47"/>
      <c r="Q3655" s="47"/>
      <c r="R3655" s="47"/>
      <c r="S3655" s="47"/>
      <c r="T3655" s="47">
        <f t="shared" si="796"/>
        <v>780</v>
      </c>
      <c r="U3655" s="47"/>
      <c r="V3655" s="47"/>
      <c r="W3655" s="47"/>
      <c r="X3655" s="47"/>
      <c r="Y3655" s="47"/>
      <c r="Z3655" s="47">
        <f t="shared" si="797"/>
        <v>4620</v>
      </c>
      <c r="AA3655" s="47"/>
      <c r="AB3655" s="47"/>
      <c r="AC3655" s="47"/>
      <c r="AD3655" s="47"/>
      <c r="AE3655" s="47"/>
      <c r="AF3655" s="47"/>
      <c r="AG3655" s="47"/>
      <c r="AH3655" s="47" t="str">
        <f>IFERROR(_xlfn.XLOOKUP(Table6[[#This Row],[Suburb]],Table5[Travel Surcharge],Table5[$$]),"")</f>
        <v/>
      </c>
      <c r="AI3655" s="47">
        <f t="shared" si="798"/>
        <v>1650.0000000000002</v>
      </c>
      <c r="AJ3655" s="47"/>
    </row>
    <row r="3656" spans="1:36">
      <c r="A3656" s="374" t="s">
        <v>5390</v>
      </c>
      <c r="B3656" s="374">
        <v>15</v>
      </c>
      <c r="C3656" s="374" t="s">
        <v>1721</v>
      </c>
      <c r="D3656" s="375" t="str">
        <f t="shared" si="794"/>
        <v>Rosenthal Estate15</v>
      </c>
      <c r="E3656" s="375" t="s">
        <v>5398</v>
      </c>
      <c r="F3656" s="375" t="s">
        <v>2664</v>
      </c>
      <c r="G3656" s="375"/>
      <c r="H3656" s="375" t="s">
        <v>5392</v>
      </c>
      <c r="I3656" s="63" t="s">
        <v>5393</v>
      </c>
      <c r="J3656" s="47" t="s">
        <v>10410</v>
      </c>
      <c r="K3656" s="46" t="s">
        <v>10735</v>
      </c>
      <c r="L3656" s="47">
        <f t="shared" si="795"/>
        <v>1210</v>
      </c>
      <c r="M3656" s="47" t="s">
        <v>5394</v>
      </c>
      <c r="N3656" s="47"/>
      <c r="O3656" s="47"/>
      <c r="P3656" s="47"/>
      <c r="Q3656" s="47"/>
      <c r="R3656" s="47"/>
      <c r="S3656" s="47"/>
      <c r="T3656" s="47">
        <f t="shared" si="796"/>
        <v>780</v>
      </c>
      <c r="U3656" s="47"/>
      <c r="V3656" s="47"/>
      <c r="W3656" s="47"/>
      <c r="X3656" s="47"/>
      <c r="Y3656" s="47"/>
      <c r="Z3656" s="47">
        <f t="shared" si="797"/>
        <v>4620</v>
      </c>
      <c r="AA3656" s="47"/>
      <c r="AB3656" s="47"/>
      <c r="AC3656" s="47"/>
      <c r="AD3656" s="47"/>
      <c r="AE3656" s="47"/>
      <c r="AF3656" s="47"/>
      <c r="AG3656" s="47"/>
      <c r="AH3656" s="47" t="str">
        <f>IFERROR(_xlfn.XLOOKUP(Table6[[#This Row],[Suburb]],Table5[Travel Surcharge],Table5[$$]),"")</f>
        <v/>
      </c>
      <c r="AI3656" s="47">
        <f t="shared" si="798"/>
        <v>1650.0000000000002</v>
      </c>
      <c r="AJ3656" s="47"/>
    </row>
    <row r="3657" spans="1:36">
      <c r="A3657" s="374" t="s">
        <v>5390</v>
      </c>
      <c r="B3657" s="374">
        <v>16</v>
      </c>
      <c r="C3657" s="374" t="s">
        <v>1721</v>
      </c>
      <c r="D3657" s="375" t="str">
        <f t="shared" si="794"/>
        <v>Rosenthal Estate16</v>
      </c>
      <c r="E3657" s="375" t="s">
        <v>5399</v>
      </c>
      <c r="F3657" s="375" t="s">
        <v>2664</v>
      </c>
      <c r="G3657" s="375"/>
      <c r="H3657" s="375" t="s">
        <v>5392</v>
      </c>
      <c r="I3657" s="63" t="s">
        <v>5393</v>
      </c>
      <c r="J3657" s="47" t="s">
        <v>10410</v>
      </c>
      <c r="K3657" s="46" t="s">
        <v>10735</v>
      </c>
      <c r="L3657" s="47">
        <f t="shared" si="795"/>
        <v>1210</v>
      </c>
      <c r="M3657" s="47" t="s">
        <v>5394</v>
      </c>
      <c r="N3657" s="47"/>
      <c r="O3657" s="47"/>
      <c r="P3657" s="47"/>
      <c r="Q3657" s="47"/>
      <c r="R3657" s="47"/>
      <c r="S3657" s="47"/>
      <c r="T3657" s="47">
        <f t="shared" si="796"/>
        <v>780</v>
      </c>
      <c r="U3657" s="47"/>
      <c r="V3657" s="47"/>
      <c r="W3657" s="47"/>
      <c r="X3657" s="47"/>
      <c r="Y3657" s="47"/>
      <c r="Z3657" s="47">
        <f t="shared" si="797"/>
        <v>4620</v>
      </c>
      <c r="AA3657" s="47"/>
      <c r="AB3657" s="47"/>
      <c r="AC3657" s="47"/>
      <c r="AD3657" s="47"/>
      <c r="AE3657" s="47"/>
      <c r="AF3657" s="47"/>
      <c r="AG3657" s="47"/>
      <c r="AH3657" s="47" t="str">
        <f>IFERROR(_xlfn.XLOOKUP(Table6[[#This Row],[Suburb]],Table5[Travel Surcharge],Table5[$$]),"")</f>
        <v/>
      </c>
      <c r="AI3657" s="47">
        <f t="shared" si="798"/>
        <v>1650.0000000000002</v>
      </c>
      <c r="AJ3657" s="47"/>
    </row>
    <row r="3658" spans="1:36">
      <c r="A3658" s="374" t="s">
        <v>5390</v>
      </c>
      <c r="B3658" s="374">
        <v>17</v>
      </c>
      <c r="C3658" s="374" t="s">
        <v>1721</v>
      </c>
      <c r="D3658" s="375" t="str">
        <f t="shared" si="794"/>
        <v>Rosenthal Estate17</v>
      </c>
      <c r="E3658" s="375" t="s">
        <v>5400</v>
      </c>
      <c r="F3658" s="375" t="s">
        <v>2664</v>
      </c>
      <c r="G3658" s="375"/>
      <c r="H3658" s="375" t="s">
        <v>5392</v>
      </c>
      <c r="I3658" s="63" t="s">
        <v>5393</v>
      </c>
      <c r="J3658" s="47" t="s">
        <v>10410</v>
      </c>
      <c r="K3658" s="46" t="s">
        <v>10735</v>
      </c>
      <c r="L3658" s="47">
        <f t="shared" si="795"/>
        <v>1210</v>
      </c>
      <c r="M3658" s="47" t="s">
        <v>5394</v>
      </c>
      <c r="N3658" s="47"/>
      <c r="O3658" s="47"/>
      <c r="P3658" s="47"/>
      <c r="Q3658" s="47"/>
      <c r="R3658" s="47"/>
      <c r="S3658" s="47"/>
      <c r="T3658" s="47">
        <f t="shared" si="796"/>
        <v>780</v>
      </c>
      <c r="U3658" s="47"/>
      <c r="V3658" s="47"/>
      <c r="W3658" s="47"/>
      <c r="X3658" s="47"/>
      <c r="Y3658" s="47"/>
      <c r="Z3658" s="47">
        <f t="shared" si="797"/>
        <v>4620</v>
      </c>
      <c r="AA3658" s="47"/>
      <c r="AB3658" s="47"/>
      <c r="AC3658" s="47"/>
      <c r="AD3658" s="47"/>
      <c r="AE3658" s="47"/>
      <c r="AF3658" s="47"/>
      <c r="AG3658" s="47"/>
      <c r="AH3658" s="47" t="str">
        <f>IFERROR(_xlfn.XLOOKUP(Table6[[#This Row],[Suburb]],Table5[Travel Surcharge],Table5[$$]),"")</f>
        <v/>
      </c>
      <c r="AI3658" s="47">
        <f t="shared" si="798"/>
        <v>1650.0000000000002</v>
      </c>
      <c r="AJ3658" s="47"/>
    </row>
    <row r="3659" spans="1:36">
      <c r="A3659" s="374" t="s">
        <v>5390</v>
      </c>
      <c r="B3659" s="374">
        <v>26</v>
      </c>
      <c r="C3659" s="374" t="s">
        <v>1721</v>
      </c>
      <c r="D3659" s="375" t="str">
        <f t="shared" si="794"/>
        <v>Rosenthal Estate26</v>
      </c>
      <c r="E3659" s="375" t="s">
        <v>5401</v>
      </c>
      <c r="F3659" s="375" t="s">
        <v>2664</v>
      </c>
      <c r="G3659" s="375"/>
      <c r="H3659" s="375" t="s">
        <v>5392</v>
      </c>
      <c r="I3659" s="63" t="s">
        <v>5393</v>
      </c>
      <c r="J3659" s="47" t="s">
        <v>10410</v>
      </c>
      <c r="K3659" s="46" t="s">
        <v>10735</v>
      </c>
      <c r="L3659" s="47">
        <f t="shared" si="795"/>
        <v>1210</v>
      </c>
      <c r="M3659" s="47" t="s">
        <v>5394</v>
      </c>
      <c r="N3659" s="47"/>
      <c r="O3659" s="47"/>
      <c r="P3659" s="47"/>
      <c r="Q3659" s="47"/>
      <c r="R3659" s="47"/>
      <c r="S3659" s="47"/>
      <c r="T3659" s="47">
        <f t="shared" si="796"/>
        <v>780</v>
      </c>
      <c r="U3659" s="47"/>
      <c r="V3659" s="47"/>
      <c r="W3659" s="47"/>
      <c r="X3659" s="47"/>
      <c r="Y3659" s="47"/>
      <c r="Z3659" s="47">
        <f t="shared" si="797"/>
        <v>4620</v>
      </c>
      <c r="AA3659" s="47"/>
      <c r="AB3659" s="47"/>
      <c r="AC3659" s="47"/>
      <c r="AD3659" s="47"/>
      <c r="AE3659" s="47"/>
      <c r="AF3659" s="47"/>
      <c r="AG3659" s="47"/>
      <c r="AH3659" s="47" t="str">
        <f>IFERROR(_xlfn.XLOOKUP(Table6[[#This Row],[Suburb]],Table5[Travel Surcharge],Table5[$$]),"")</f>
        <v/>
      </c>
      <c r="AI3659" s="47">
        <f t="shared" si="798"/>
        <v>1650.0000000000002</v>
      </c>
      <c r="AJ3659" s="47"/>
    </row>
    <row r="3660" spans="1:36">
      <c r="A3660" s="157" t="s">
        <v>5390</v>
      </c>
      <c r="B3660" s="157">
        <v>32</v>
      </c>
      <c r="C3660" s="157" t="s">
        <v>1721</v>
      </c>
      <c r="D3660" s="157" t="str">
        <f t="shared" si="794"/>
        <v>Rosenthal Estate32</v>
      </c>
      <c r="E3660" s="157" t="s">
        <v>8721</v>
      </c>
      <c r="F3660" s="157" t="s">
        <v>2664</v>
      </c>
      <c r="G3660" s="157"/>
      <c r="H3660" s="157" t="s">
        <v>5392</v>
      </c>
      <c r="I3660" s="158" t="s">
        <v>5393</v>
      </c>
      <c r="J3660" s="47" t="s">
        <v>10410</v>
      </c>
      <c r="K3660" s="46" t="s">
        <v>10735</v>
      </c>
      <c r="L3660" s="47">
        <f t="shared" si="795"/>
        <v>1210</v>
      </c>
      <c r="M3660" s="47" t="s">
        <v>5394</v>
      </c>
      <c r="N3660" s="47"/>
      <c r="O3660" s="47"/>
      <c r="P3660" s="47"/>
      <c r="Q3660" s="47"/>
      <c r="R3660" s="47"/>
      <c r="S3660" s="47"/>
      <c r="T3660" s="47">
        <f t="shared" si="796"/>
        <v>780</v>
      </c>
      <c r="U3660" s="47"/>
      <c r="V3660" s="47"/>
      <c r="W3660" s="47"/>
      <c r="X3660" s="47"/>
      <c r="Y3660" s="47"/>
      <c r="Z3660" s="47">
        <f t="shared" si="797"/>
        <v>4620</v>
      </c>
      <c r="AA3660" s="47"/>
      <c r="AB3660" s="47"/>
      <c r="AC3660" s="47"/>
      <c r="AD3660" s="47"/>
      <c r="AE3660" s="47"/>
      <c r="AF3660" s="47"/>
      <c r="AG3660" s="47"/>
      <c r="AH3660" s="47" t="str">
        <f>IFERROR(_xlfn.XLOOKUP(Table6[[#This Row],[Suburb]],Table5[Travel Surcharge],Table5[$$]),"")</f>
        <v/>
      </c>
      <c r="AI3660" s="47">
        <f t="shared" si="798"/>
        <v>1650.0000000000002</v>
      </c>
      <c r="AJ3660" s="47"/>
    </row>
    <row r="3661" spans="1:36">
      <c r="A3661" s="157" t="s">
        <v>5390</v>
      </c>
      <c r="B3661" s="157">
        <v>34</v>
      </c>
      <c r="C3661" s="157" t="s">
        <v>1721</v>
      </c>
      <c r="D3661" s="157" t="str">
        <f t="shared" si="794"/>
        <v>Rosenthal Estate34</v>
      </c>
      <c r="E3661" s="157" t="s">
        <v>5405</v>
      </c>
      <c r="F3661" s="157" t="s">
        <v>2664</v>
      </c>
      <c r="G3661" s="157"/>
      <c r="H3661" s="157" t="s">
        <v>5392</v>
      </c>
      <c r="I3661" s="158" t="s">
        <v>5393</v>
      </c>
      <c r="J3661" s="47" t="s">
        <v>10410</v>
      </c>
      <c r="K3661" s="46" t="s">
        <v>10735</v>
      </c>
      <c r="L3661" s="47">
        <f t="shared" si="795"/>
        <v>1210</v>
      </c>
      <c r="M3661" s="47" t="s">
        <v>5394</v>
      </c>
      <c r="N3661" s="47"/>
      <c r="O3661" s="47"/>
      <c r="P3661" s="47"/>
      <c r="Q3661" s="47"/>
      <c r="R3661" s="47"/>
      <c r="S3661" s="47"/>
      <c r="T3661" s="47">
        <f t="shared" si="796"/>
        <v>780</v>
      </c>
      <c r="U3661" s="47"/>
      <c r="V3661" s="47"/>
      <c r="W3661" s="47"/>
      <c r="X3661" s="47"/>
      <c r="Y3661" s="47"/>
      <c r="Z3661" s="47">
        <f t="shared" si="797"/>
        <v>4620</v>
      </c>
      <c r="AA3661" s="47"/>
      <c r="AB3661" s="47"/>
      <c r="AC3661" s="47"/>
      <c r="AD3661" s="47"/>
      <c r="AE3661" s="47"/>
      <c r="AF3661" s="47"/>
      <c r="AG3661" s="47"/>
      <c r="AH3661" s="47" t="str">
        <f>IFERROR(_xlfn.XLOOKUP(Table6[[#This Row],[Suburb]],Table5[Travel Surcharge],Table5[$$]),"")</f>
        <v/>
      </c>
      <c r="AI3661" s="47">
        <f t="shared" si="798"/>
        <v>1650.0000000000002</v>
      </c>
      <c r="AJ3661" s="47"/>
    </row>
    <row r="3662" spans="1:36">
      <c r="A3662" s="374" t="s">
        <v>5390</v>
      </c>
      <c r="B3662" s="374" t="s">
        <v>5408</v>
      </c>
      <c r="C3662" s="374" t="s">
        <v>1721</v>
      </c>
      <c r="D3662" s="375" t="str">
        <f t="shared" si="794"/>
        <v>Rosenthal Estate9W</v>
      </c>
      <c r="E3662" s="375" t="s">
        <v>5409</v>
      </c>
      <c r="F3662" s="375" t="s">
        <v>2664</v>
      </c>
      <c r="G3662" s="375"/>
      <c r="H3662" s="375" t="s">
        <v>5392</v>
      </c>
      <c r="I3662" s="63" t="s">
        <v>5393</v>
      </c>
      <c r="J3662" s="47" t="s">
        <v>10410</v>
      </c>
      <c r="K3662" s="46" t="s">
        <v>10735</v>
      </c>
      <c r="L3662" s="47">
        <f t="shared" si="795"/>
        <v>1210</v>
      </c>
      <c r="M3662" s="47" t="s">
        <v>5394</v>
      </c>
      <c r="N3662" s="47"/>
      <c r="O3662" s="47"/>
      <c r="P3662" s="47"/>
      <c r="Q3662" s="47"/>
      <c r="R3662" s="47"/>
      <c r="S3662" s="47"/>
      <c r="T3662" s="47">
        <f t="shared" si="796"/>
        <v>780</v>
      </c>
      <c r="U3662" s="47"/>
      <c r="V3662" s="47"/>
      <c r="W3662" s="47"/>
      <c r="X3662" s="47"/>
      <c r="Y3662" s="47"/>
      <c r="Z3662" s="47">
        <f t="shared" si="797"/>
        <v>4620</v>
      </c>
      <c r="AA3662" s="47"/>
      <c r="AB3662" s="47"/>
      <c r="AC3662" s="47"/>
      <c r="AD3662" s="47"/>
      <c r="AE3662" s="47"/>
      <c r="AF3662" s="47"/>
      <c r="AG3662" s="47"/>
      <c r="AH3662" s="47" t="str">
        <f>IFERROR(_xlfn.XLOOKUP(Table6[[#This Row],[Suburb]],Table5[Travel Surcharge],Table5[$$]),"")</f>
        <v/>
      </c>
      <c r="AI3662" s="47">
        <f t="shared" si="798"/>
        <v>1650.0000000000002</v>
      </c>
      <c r="AJ3662" s="47"/>
    </row>
    <row r="3663" spans="1:36">
      <c r="A3663" s="374" t="s">
        <v>5390</v>
      </c>
      <c r="B3663" s="374" t="s">
        <v>3934</v>
      </c>
      <c r="C3663" s="374" t="s">
        <v>1721</v>
      </c>
      <c r="D3663" s="375" t="str">
        <f t="shared" si="794"/>
        <v>Rosenthal EstateE1</v>
      </c>
      <c r="E3663" s="375" t="s">
        <v>5402</v>
      </c>
      <c r="F3663" s="375" t="s">
        <v>2664</v>
      </c>
      <c r="G3663" s="375"/>
      <c r="H3663" s="375" t="s">
        <v>5392</v>
      </c>
      <c r="I3663" s="63" t="s">
        <v>5393</v>
      </c>
      <c r="J3663" s="47" t="s">
        <v>10410</v>
      </c>
      <c r="K3663" s="46" t="s">
        <v>10735</v>
      </c>
      <c r="L3663" s="47">
        <f t="shared" si="795"/>
        <v>1210</v>
      </c>
      <c r="M3663" s="47" t="s">
        <v>5394</v>
      </c>
      <c r="N3663" s="47"/>
      <c r="O3663" s="47"/>
      <c r="P3663" s="47"/>
      <c r="Q3663" s="47"/>
      <c r="R3663" s="47"/>
      <c r="S3663" s="47"/>
      <c r="T3663" s="47">
        <f t="shared" si="796"/>
        <v>780</v>
      </c>
      <c r="U3663" s="47"/>
      <c r="V3663" s="47"/>
      <c r="W3663" s="47"/>
      <c r="X3663" s="47"/>
      <c r="Y3663" s="47"/>
      <c r="Z3663" s="47">
        <f t="shared" si="797"/>
        <v>4620</v>
      </c>
      <c r="AA3663" s="47"/>
      <c r="AB3663" s="47"/>
      <c r="AC3663" s="47"/>
      <c r="AD3663" s="47"/>
      <c r="AE3663" s="47"/>
      <c r="AF3663" s="47"/>
      <c r="AG3663" s="47"/>
      <c r="AH3663" s="47" t="str">
        <f>IFERROR(_xlfn.XLOOKUP(Table6[[#This Row],[Suburb]],Table5[Travel Surcharge],Table5[$$]),"")</f>
        <v/>
      </c>
      <c r="AI3663" s="47">
        <f t="shared" si="798"/>
        <v>1650.0000000000002</v>
      </c>
      <c r="AJ3663" s="47"/>
    </row>
    <row r="3664" spans="1:36">
      <c r="A3664" s="374" t="s">
        <v>5390</v>
      </c>
      <c r="B3664" s="374" t="s">
        <v>3912</v>
      </c>
      <c r="C3664" s="374" t="s">
        <v>1721</v>
      </c>
      <c r="D3664" s="375" t="str">
        <f t="shared" si="794"/>
        <v>Rosenthal EstateE3</v>
      </c>
      <c r="E3664" s="375" t="s">
        <v>5403</v>
      </c>
      <c r="F3664" s="375" t="s">
        <v>2664</v>
      </c>
      <c r="G3664" s="375"/>
      <c r="H3664" s="375" t="s">
        <v>5392</v>
      </c>
      <c r="I3664" s="63" t="s">
        <v>5393</v>
      </c>
      <c r="J3664" s="47" t="s">
        <v>10410</v>
      </c>
      <c r="K3664" s="46" t="s">
        <v>10735</v>
      </c>
      <c r="L3664" s="47">
        <f t="shared" si="795"/>
        <v>1210</v>
      </c>
      <c r="M3664" s="47" t="s">
        <v>5394</v>
      </c>
      <c r="N3664" s="47"/>
      <c r="O3664" s="47"/>
      <c r="P3664" s="47"/>
      <c r="Q3664" s="47"/>
      <c r="R3664" s="47"/>
      <c r="S3664" s="47"/>
      <c r="T3664" s="47">
        <f t="shared" si="796"/>
        <v>780</v>
      </c>
      <c r="U3664" s="47"/>
      <c r="V3664" s="47"/>
      <c r="W3664" s="47"/>
      <c r="X3664" s="47"/>
      <c r="Y3664" s="47"/>
      <c r="Z3664" s="47">
        <f t="shared" si="797"/>
        <v>4620</v>
      </c>
      <c r="AA3664" s="47"/>
      <c r="AB3664" s="47"/>
      <c r="AC3664" s="47"/>
      <c r="AD3664" s="47"/>
      <c r="AE3664" s="47"/>
      <c r="AF3664" s="47"/>
      <c r="AG3664" s="47"/>
      <c r="AH3664" s="47" t="str">
        <f>IFERROR(_xlfn.XLOOKUP(Table6[[#This Row],[Suburb]],Table5[Travel Surcharge],Table5[$$]),"")</f>
        <v/>
      </c>
      <c r="AI3664" s="47">
        <f t="shared" si="798"/>
        <v>1650.0000000000002</v>
      </c>
      <c r="AJ3664" s="47"/>
    </row>
    <row r="3665" spans="1:36">
      <c r="A3665" s="374" t="s">
        <v>5390</v>
      </c>
      <c r="B3665" s="374" t="s">
        <v>5404</v>
      </c>
      <c r="C3665" s="374" t="s">
        <v>1721</v>
      </c>
      <c r="D3665" s="375" t="str">
        <f t="shared" si="794"/>
        <v>Rosenthal EstateE4</v>
      </c>
      <c r="E3665" s="375" t="s">
        <v>5405</v>
      </c>
      <c r="F3665" s="375" t="s">
        <v>2664</v>
      </c>
      <c r="G3665" s="375"/>
      <c r="H3665" s="375" t="s">
        <v>5392</v>
      </c>
      <c r="I3665" s="63" t="s">
        <v>5393</v>
      </c>
      <c r="J3665" s="47" t="s">
        <v>10410</v>
      </c>
      <c r="K3665" s="46" t="s">
        <v>10735</v>
      </c>
      <c r="L3665" s="47">
        <f t="shared" si="795"/>
        <v>1210</v>
      </c>
      <c r="M3665" s="47" t="s">
        <v>5394</v>
      </c>
      <c r="N3665" s="47"/>
      <c r="O3665" s="47"/>
      <c r="P3665" s="47"/>
      <c r="Q3665" s="47"/>
      <c r="R3665" s="47"/>
      <c r="S3665" s="47"/>
      <c r="T3665" s="47">
        <f t="shared" si="796"/>
        <v>780</v>
      </c>
      <c r="U3665" s="47"/>
      <c r="V3665" s="47"/>
      <c r="W3665" s="47"/>
      <c r="X3665" s="47"/>
      <c r="Y3665" s="47"/>
      <c r="Z3665" s="47">
        <f t="shared" si="797"/>
        <v>4620</v>
      </c>
      <c r="AA3665" s="47"/>
      <c r="AB3665" s="47"/>
      <c r="AC3665" s="47"/>
      <c r="AD3665" s="47"/>
      <c r="AE3665" s="47"/>
      <c r="AF3665" s="47"/>
      <c r="AG3665" s="47"/>
      <c r="AH3665" s="47" t="str">
        <f>IFERROR(_xlfn.XLOOKUP(Table6[[#This Row],[Suburb]],Table5[Travel Surcharge],Table5[$$]),"")</f>
        <v/>
      </c>
      <c r="AI3665" s="47">
        <f t="shared" si="798"/>
        <v>1650.0000000000002</v>
      </c>
      <c r="AJ3665" s="47"/>
    </row>
    <row r="3666" spans="1:36">
      <c r="A3666" s="374" t="s">
        <v>5390</v>
      </c>
      <c r="B3666" s="374" t="s">
        <v>5406</v>
      </c>
      <c r="C3666" s="374" t="s">
        <v>1721</v>
      </c>
      <c r="D3666" s="375" t="str">
        <f t="shared" si="794"/>
        <v>Rosenthal EstateE5</v>
      </c>
      <c r="E3666" s="375" t="s">
        <v>5407</v>
      </c>
      <c r="F3666" s="375" t="s">
        <v>2664</v>
      </c>
      <c r="G3666" s="375"/>
      <c r="H3666" s="375" t="s">
        <v>5392</v>
      </c>
      <c r="I3666" s="63" t="s">
        <v>5393</v>
      </c>
      <c r="J3666" s="47" t="s">
        <v>10410</v>
      </c>
      <c r="K3666" s="46" t="s">
        <v>10735</v>
      </c>
      <c r="L3666" s="47">
        <f t="shared" si="795"/>
        <v>1210</v>
      </c>
      <c r="M3666" s="47" t="s">
        <v>5394</v>
      </c>
      <c r="N3666" s="47"/>
      <c r="O3666" s="47"/>
      <c r="P3666" s="47"/>
      <c r="Q3666" s="47"/>
      <c r="R3666" s="47"/>
      <c r="S3666" s="47"/>
      <c r="T3666" s="47">
        <f t="shared" si="796"/>
        <v>780</v>
      </c>
      <c r="U3666" s="47"/>
      <c r="V3666" s="47"/>
      <c r="W3666" s="47"/>
      <c r="X3666" s="47"/>
      <c r="Y3666" s="47"/>
      <c r="Z3666" s="47">
        <f t="shared" si="797"/>
        <v>4620</v>
      </c>
      <c r="AA3666" s="47"/>
      <c r="AB3666" s="47"/>
      <c r="AC3666" s="47"/>
      <c r="AD3666" s="47"/>
      <c r="AE3666" s="47"/>
      <c r="AF3666" s="47"/>
      <c r="AG3666" s="47"/>
      <c r="AH3666" s="47" t="str">
        <f>IFERROR(_xlfn.XLOOKUP(Table6[[#This Row],[Suburb]],Table5[Travel Surcharge],Table5[$$]),"")</f>
        <v/>
      </c>
      <c r="AI3666" s="47">
        <f t="shared" si="798"/>
        <v>1650.0000000000002</v>
      </c>
      <c r="AJ3666" s="47"/>
    </row>
    <row r="3667" spans="1:36">
      <c r="A3667" s="374" t="s">
        <v>5390</v>
      </c>
      <c r="B3667" s="374" t="s">
        <v>9438</v>
      </c>
      <c r="C3667" s="374" t="s">
        <v>1721</v>
      </c>
      <c r="D3667" s="375" t="s">
        <v>9439</v>
      </c>
      <c r="E3667" s="375" t="s">
        <v>9440</v>
      </c>
      <c r="F3667" s="375" t="s">
        <v>2664</v>
      </c>
      <c r="G3667" s="375"/>
      <c r="H3667" s="375" t="s">
        <v>5392</v>
      </c>
      <c r="I3667" s="63" t="s">
        <v>5393</v>
      </c>
      <c r="J3667" s="47" t="s">
        <v>10410</v>
      </c>
      <c r="K3667" s="46" t="s">
        <v>10735</v>
      </c>
      <c r="L3667" s="47">
        <v>1210</v>
      </c>
      <c r="M3667" s="47" t="s">
        <v>5394</v>
      </c>
      <c r="N3667" s="47"/>
      <c r="O3667" s="47"/>
      <c r="P3667" s="47"/>
      <c r="Q3667" s="47"/>
      <c r="R3667" s="47"/>
      <c r="S3667" s="47"/>
      <c r="T3667" s="47">
        <v>1420</v>
      </c>
      <c r="U3667" s="47"/>
      <c r="V3667" s="47"/>
      <c r="W3667" s="47"/>
      <c r="X3667" s="47"/>
      <c r="Y3667" s="47"/>
      <c r="Z3667" s="47">
        <v>4620</v>
      </c>
      <c r="AA3667" s="47"/>
      <c r="AB3667" s="47"/>
      <c r="AC3667" s="47"/>
      <c r="AD3667" s="47"/>
      <c r="AE3667" s="47"/>
      <c r="AF3667" s="47"/>
      <c r="AG3667" s="47"/>
      <c r="AH3667" s="47" t="str">
        <f>IFERROR(_xlfn.XLOOKUP(Table6[[#This Row],[Suburb]],Table5[Travel Surcharge],Table5[$$]),"")</f>
        <v/>
      </c>
      <c r="AI3667" s="47">
        <v>1650.0000000000002</v>
      </c>
      <c r="AJ3667" s="47"/>
    </row>
    <row r="3668" spans="1:36">
      <c r="A3668" s="157" t="s">
        <v>5390</v>
      </c>
      <c r="B3668" s="157" t="s">
        <v>6832</v>
      </c>
      <c r="C3668" s="157" t="s">
        <v>7410</v>
      </c>
      <c r="D3668" s="157" t="str">
        <f t="shared" ref="D3668:D3700" si="799">CONCATENATE(A3668,B3668)</f>
        <v>Rosenthal EstateE6</v>
      </c>
      <c r="E3668" s="157" t="s">
        <v>7412</v>
      </c>
      <c r="F3668" s="157" t="s">
        <v>2664</v>
      </c>
      <c r="G3668" s="157"/>
      <c r="H3668" s="157" t="s">
        <v>7411</v>
      </c>
      <c r="I3668" s="158" t="s">
        <v>5393</v>
      </c>
      <c r="J3668" s="47" t="s">
        <v>10410</v>
      </c>
      <c r="K3668" s="46" t="s">
        <v>10735</v>
      </c>
      <c r="L3668" s="47">
        <f>L$7</f>
        <v>1210</v>
      </c>
      <c r="M3668" s="47" t="s">
        <v>5394</v>
      </c>
      <c r="N3668" s="47"/>
      <c r="O3668" s="47"/>
      <c r="P3668" s="47"/>
      <c r="Q3668" s="47"/>
      <c r="R3668" s="47"/>
      <c r="S3668" s="47"/>
      <c r="T3668" s="47">
        <f t="shared" ref="T3668:T3676" si="800">T$2</f>
        <v>780</v>
      </c>
      <c r="U3668" s="47"/>
      <c r="V3668" s="47"/>
      <c r="W3668" s="47"/>
      <c r="X3668" s="47"/>
      <c r="Y3668" s="47"/>
      <c r="Z3668" s="47">
        <f t="shared" ref="Z3668:Z3700" si="801">Z$7</f>
        <v>4620</v>
      </c>
      <c r="AA3668" s="47"/>
      <c r="AB3668" s="47"/>
      <c r="AC3668" s="47"/>
      <c r="AD3668" s="47"/>
      <c r="AE3668" s="47"/>
      <c r="AF3668" s="47"/>
      <c r="AG3668" s="47"/>
      <c r="AH3668" s="47" t="str">
        <f>IFERROR(_xlfn.XLOOKUP(Table6[[#This Row],[Suburb]],Table5[Travel Surcharge],Table5[$$]),"")</f>
        <v/>
      </c>
      <c r="AI3668" s="47">
        <f t="shared" ref="AI3668:AI3676" si="802">AI$7</f>
        <v>1650.0000000000002</v>
      </c>
      <c r="AJ3668" s="47"/>
    </row>
    <row r="3669" spans="1:36">
      <c r="A3669" s="374" t="s">
        <v>5390</v>
      </c>
      <c r="B3669" s="374" t="s">
        <v>7369</v>
      </c>
      <c r="C3669" s="374" t="s">
        <v>1721</v>
      </c>
      <c r="D3669" s="375" t="str">
        <f t="shared" si="799"/>
        <v>Rosenthal EstateE7</v>
      </c>
      <c r="E3669" s="375" t="s">
        <v>7390</v>
      </c>
      <c r="F3669" s="375" t="s">
        <v>2664</v>
      </c>
      <c r="G3669" s="375"/>
      <c r="H3669" s="375" t="s">
        <v>5392</v>
      </c>
      <c r="I3669" s="63" t="s">
        <v>5393</v>
      </c>
      <c r="J3669" s="47" t="s">
        <v>10410</v>
      </c>
      <c r="K3669" s="46" t="s">
        <v>10735</v>
      </c>
      <c r="L3669" s="47" t="s">
        <v>5911</v>
      </c>
      <c r="M3669" s="47" t="s">
        <v>5394</v>
      </c>
      <c r="N3669" s="47"/>
      <c r="O3669" s="47"/>
      <c r="P3669" s="47"/>
      <c r="Q3669" s="47"/>
      <c r="R3669" s="47"/>
      <c r="S3669" s="47"/>
      <c r="T3669" s="47">
        <f t="shared" si="800"/>
        <v>780</v>
      </c>
      <c r="U3669" s="47"/>
      <c r="V3669" s="47"/>
      <c r="W3669" s="47"/>
      <c r="X3669" s="47"/>
      <c r="Y3669" s="47"/>
      <c r="Z3669" s="47">
        <f t="shared" si="801"/>
        <v>4620</v>
      </c>
      <c r="AA3669" s="47"/>
      <c r="AB3669" s="47"/>
      <c r="AC3669" s="47"/>
      <c r="AD3669" s="47"/>
      <c r="AE3669" s="47"/>
      <c r="AF3669" s="47"/>
      <c r="AG3669" s="47"/>
      <c r="AH3669" s="47" t="str">
        <f>IFERROR(_xlfn.XLOOKUP(Table6[[#This Row],[Suburb]],Table5[Travel Surcharge],Table5[$$]),"")</f>
        <v/>
      </c>
      <c r="AI3669" s="47">
        <f t="shared" si="802"/>
        <v>1650.0000000000002</v>
      </c>
      <c r="AJ3669" s="47"/>
    </row>
    <row r="3670" spans="1:36">
      <c r="A3670" s="374" t="s">
        <v>5390</v>
      </c>
      <c r="B3670" s="374" t="s">
        <v>9702</v>
      </c>
      <c r="C3670" s="374" t="s">
        <v>1721</v>
      </c>
      <c r="D3670" s="375" t="str">
        <f t="shared" si="799"/>
        <v>Rosenthal EstateE8</v>
      </c>
      <c r="E3670" s="375" t="s">
        <v>9703</v>
      </c>
      <c r="F3670" s="375" t="s">
        <v>2664</v>
      </c>
      <c r="G3670" s="375"/>
      <c r="H3670" s="375" t="s">
        <v>5392</v>
      </c>
      <c r="I3670" s="63" t="s">
        <v>5393</v>
      </c>
      <c r="J3670" s="47" t="s">
        <v>10410</v>
      </c>
      <c r="K3670" s="46" t="s">
        <v>10735</v>
      </c>
      <c r="L3670" s="47" t="s">
        <v>5911</v>
      </c>
      <c r="M3670" s="47" t="s">
        <v>5394</v>
      </c>
      <c r="N3670" s="47"/>
      <c r="O3670" s="47"/>
      <c r="P3670" s="47"/>
      <c r="Q3670" s="47"/>
      <c r="R3670" s="47"/>
      <c r="S3670" s="47"/>
      <c r="T3670" s="47">
        <f t="shared" si="800"/>
        <v>780</v>
      </c>
      <c r="U3670" s="47"/>
      <c r="V3670" s="47"/>
      <c r="W3670" s="47"/>
      <c r="X3670" s="47"/>
      <c r="Y3670" s="47"/>
      <c r="Z3670" s="47">
        <f t="shared" si="801"/>
        <v>4620</v>
      </c>
      <c r="AA3670" s="47"/>
      <c r="AB3670" s="47"/>
      <c r="AC3670" s="47"/>
      <c r="AD3670" s="47"/>
      <c r="AE3670" s="47"/>
      <c r="AF3670" s="47"/>
      <c r="AG3670" s="47"/>
      <c r="AH3670" s="47" t="str">
        <f>IFERROR(_xlfn.XLOOKUP(Table6[[#This Row],[Suburb]],Table5[Travel Surcharge],Table5[$$]),"")</f>
        <v/>
      </c>
      <c r="AI3670" s="47">
        <f t="shared" si="802"/>
        <v>1650.0000000000002</v>
      </c>
      <c r="AJ3670" s="47"/>
    </row>
    <row r="3671" spans="1:36">
      <c r="A3671" s="374" t="s">
        <v>5390</v>
      </c>
      <c r="B3671" s="374" t="s">
        <v>10417</v>
      </c>
      <c r="C3671" s="374" t="s">
        <v>1721</v>
      </c>
      <c r="D3671" s="375" t="str">
        <f t="shared" ref="D3671:D3672" si="803">CONCATENATE(A3671,B3671)</f>
        <v>Rosenthal EstateSE1</v>
      </c>
      <c r="E3671" s="375" t="s">
        <v>10418</v>
      </c>
      <c r="F3671" s="375" t="s">
        <v>2664</v>
      </c>
      <c r="G3671" s="375"/>
      <c r="H3671" s="375" t="s">
        <v>5392</v>
      </c>
      <c r="I3671" s="63" t="s">
        <v>5393</v>
      </c>
      <c r="J3671" s="47" t="s">
        <v>10410</v>
      </c>
      <c r="K3671" s="46" t="s">
        <v>10735</v>
      </c>
      <c r="L3671" s="47" t="s">
        <v>5911</v>
      </c>
      <c r="M3671" s="47" t="s">
        <v>5394</v>
      </c>
      <c r="N3671" s="47"/>
      <c r="O3671" s="47"/>
      <c r="P3671" s="47"/>
      <c r="Q3671" s="47"/>
      <c r="R3671" s="47"/>
      <c r="S3671" s="47"/>
      <c r="T3671" s="47">
        <f t="shared" si="800"/>
        <v>780</v>
      </c>
      <c r="U3671" s="47"/>
      <c r="V3671" s="47"/>
      <c r="W3671" s="47"/>
      <c r="X3671" s="47"/>
      <c r="Y3671" s="47"/>
      <c r="Z3671" s="47">
        <f t="shared" si="801"/>
        <v>4620</v>
      </c>
      <c r="AA3671" s="47"/>
      <c r="AB3671" s="47"/>
      <c r="AC3671" s="47"/>
      <c r="AD3671" s="47"/>
      <c r="AE3671" s="47"/>
      <c r="AF3671" s="47"/>
      <c r="AG3671" s="47"/>
      <c r="AH3671" s="47" t="str">
        <f>IFERROR(_xlfn.XLOOKUP(Table6[[#This Row],[Suburb]],Table5[Travel Surcharge],Table5[$$]),"")</f>
        <v/>
      </c>
      <c r="AI3671" s="47">
        <f t="shared" si="802"/>
        <v>1650.0000000000002</v>
      </c>
      <c r="AJ3671" s="47"/>
    </row>
    <row r="3672" spans="1:36">
      <c r="A3672" s="374" t="s">
        <v>5390</v>
      </c>
      <c r="B3672" s="374" t="s">
        <v>10905</v>
      </c>
      <c r="C3672" s="374" t="s">
        <v>1721</v>
      </c>
      <c r="D3672" s="375" t="str">
        <f t="shared" si="803"/>
        <v>Rosenthal EstateSE2</v>
      </c>
      <c r="E3672" s="375" t="s">
        <v>10906</v>
      </c>
      <c r="F3672" s="375" t="s">
        <v>2664</v>
      </c>
      <c r="G3672" s="375"/>
      <c r="H3672" s="375" t="s">
        <v>5392</v>
      </c>
      <c r="I3672" s="63" t="s">
        <v>5393</v>
      </c>
      <c r="J3672" s="47" t="s">
        <v>10410</v>
      </c>
      <c r="K3672" s="46" t="s">
        <v>10735</v>
      </c>
      <c r="L3672" s="47" t="s">
        <v>5911</v>
      </c>
      <c r="M3672" s="47" t="s">
        <v>5394</v>
      </c>
      <c r="N3672" s="47"/>
      <c r="O3672" s="47"/>
      <c r="P3672" s="47"/>
      <c r="Q3672" s="47"/>
      <c r="R3672" s="47"/>
      <c r="S3672" s="47"/>
      <c r="T3672" s="47">
        <v>780</v>
      </c>
      <c r="U3672" s="47"/>
      <c r="V3672" s="47"/>
      <c r="W3672" s="47"/>
      <c r="X3672" s="47"/>
      <c r="Y3672" s="47"/>
      <c r="Z3672" s="47">
        <v>4620</v>
      </c>
      <c r="AA3672" s="47"/>
      <c r="AB3672" s="47"/>
      <c r="AC3672" s="47"/>
      <c r="AD3672" s="47"/>
      <c r="AE3672" s="47"/>
      <c r="AF3672" s="47"/>
      <c r="AG3672" s="47"/>
      <c r="AH3672" s="47" t="s">
        <v>9976</v>
      </c>
      <c r="AI3672" s="47">
        <v>1650.0000000000002</v>
      </c>
      <c r="AJ3672" s="47"/>
    </row>
    <row r="3673" spans="1:36">
      <c r="A3673" s="374" t="s">
        <v>5390</v>
      </c>
      <c r="B3673" s="374" t="s">
        <v>5412</v>
      </c>
      <c r="C3673" s="374" t="s">
        <v>1721</v>
      </c>
      <c r="D3673" s="375" t="str">
        <f t="shared" si="799"/>
        <v>Rosenthal EstateW10</v>
      </c>
      <c r="E3673" s="375" t="s">
        <v>5413</v>
      </c>
      <c r="F3673" s="375" t="s">
        <v>2664</v>
      </c>
      <c r="G3673" s="375"/>
      <c r="H3673" s="375" t="s">
        <v>5392</v>
      </c>
      <c r="I3673" s="63" t="s">
        <v>5393</v>
      </c>
      <c r="J3673" s="47" t="s">
        <v>10410</v>
      </c>
      <c r="K3673" s="46" t="s">
        <v>10735</v>
      </c>
      <c r="L3673" s="47">
        <f>L$7</f>
        <v>1210</v>
      </c>
      <c r="M3673" s="47" t="s">
        <v>5394</v>
      </c>
      <c r="N3673" s="47"/>
      <c r="O3673" s="47"/>
      <c r="P3673" s="47"/>
      <c r="Q3673" s="47"/>
      <c r="R3673" s="47"/>
      <c r="S3673" s="47"/>
      <c r="T3673" s="47">
        <f t="shared" si="800"/>
        <v>780</v>
      </c>
      <c r="U3673" s="47"/>
      <c r="V3673" s="47"/>
      <c r="W3673" s="47"/>
      <c r="X3673" s="47"/>
      <c r="Y3673" s="47"/>
      <c r="Z3673" s="47">
        <f t="shared" si="801"/>
        <v>4620</v>
      </c>
      <c r="AA3673" s="47"/>
      <c r="AB3673" s="47"/>
      <c r="AC3673" s="47"/>
      <c r="AD3673" s="47"/>
      <c r="AE3673" s="47"/>
      <c r="AF3673" s="47"/>
      <c r="AG3673" s="47"/>
      <c r="AH3673" s="47" t="str">
        <f>IFERROR(_xlfn.XLOOKUP(Table6[[#This Row],[Suburb]],Table5[Travel Surcharge],Table5[$$]),"")</f>
        <v/>
      </c>
      <c r="AI3673" s="47">
        <f t="shared" si="802"/>
        <v>1650.0000000000002</v>
      </c>
      <c r="AJ3673" s="47"/>
    </row>
    <row r="3674" spans="1:36">
      <c r="A3674" s="374" t="s">
        <v>5390</v>
      </c>
      <c r="B3674" s="374" t="s">
        <v>5414</v>
      </c>
      <c r="C3674" s="374" t="s">
        <v>1721</v>
      </c>
      <c r="D3674" s="375" t="str">
        <f t="shared" si="799"/>
        <v>Rosenthal EstateW11</v>
      </c>
      <c r="E3674" s="375" t="s">
        <v>5415</v>
      </c>
      <c r="F3674" s="375" t="s">
        <v>2664</v>
      </c>
      <c r="G3674" s="375"/>
      <c r="H3674" s="375" t="s">
        <v>5392</v>
      </c>
      <c r="I3674" s="63" t="s">
        <v>5393</v>
      </c>
      <c r="J3674" s="47" t="s">
        <v>10410</v>
      </c>
      <c r="K3674" s="46" t="s">
        <v>10735</v>
      </c>
      <c r="L3674" s="47">
        <f>L$7</f>
        <v>1210</v>
      </c>
      <c r="M3674" s="47" t="s">
        <v>5394</v>
      </c>
      <c r="N3674" s="47"/>
      <c r="O3674" s="47"/>
      <c r="P3674" s="47"/>
      <c r="Q3674" s="47"/>
      <c r="R3674" s="47"/>
      <c r="S3674" s="47"/>
      <c r="T3674" s="47">
        <f t="shared" si="800"/>
        <v>780</v>
      </c>
      <c r="U3674" s="47"/>
      <c r="V3674" s="47"/>
      <c r="W3674" s="47"/>
      <c r="X3674" s="47"/>
      <c r="Y3674" s="47"/>
      <c r="Z3674" s="47">
        <f t="shared" si="801"/>
        <v>4620</v>
      </c>
      <c r="AA3674" s="47"/>
      <c r="AB3674" s="47"/>
      <c r="AC3674" s="47"/>
      <c r="AD3674" s="47"/>
      <c r="AE3674" s="47"/>
      <c r="AF3674" s="47"/>
      <c r="AG3674" s="47"/>
      <c r="AH3674" s="47" t="str">
        <f>IFERROR(_xlfn.XLOOKUP(Table6[[#This Row],[Suburb]],Table5[Travel Surcharge],Table5[$$]),"")</f>
        <v/>
      </c>
      <c r="AI3674" s="47">
        <f t="shared" si="802"/>
        <v>1650.0000000000002</v>
      </c>
      <c r="AJ3674" s="47"/>
    </row>
    <row r="3675" spans="1:36">
      <c r="A3675" s="374" t="s">
        <v>5390</v>
      </c>
      <c r="B3675" s="374" t="s">
        <v>5416</v>
      </c>
      <c r="C3675" s="374" t="s">
        <v>1721</v>
      </c>
      <c r="D3675" s="375" t="str">
        <f t="shared" si="799"/>
        <v>Rosenthal EstateW12</v>
      </c>
      <c r="E3675" s="375" t="s">
        <v>5417</v>
      </c>
      <c r="F3675" s="375" t="s">
        <v>2664</v>
      </c>
      <c r="G3675" s="375"/>
      <c r="H3675" s="375" t="s">
        <v>5392</v>
      </c>
      <c r="I3675" s="63" t="s">
        <v>5393</v>
      </c>
      <c r="J3675" s="47" t="s">
        <v>10410</v>
      </c>
      <c r="K3675" s="46" t="s">
        <v>10735</v>
      </c>
      <c r="L3675" s="47">
        <f>L$7</f>
        <v>1210</v>
      </c>
      <c r="M3675" s="47" t="s">
        <v>5394</v>
      </c>
      <c r="N3675" s="47"/>
      <c r="O3675" s="47"/>
      <c r="P3675" s="47"/>
      <c r="Q3675" s="47"/>
      <c r="R3675" s="47"/>
      <c r="S3675" s="47"/>
      <c r="T3675" s="47">
        <f t="shared" si="800"/>
        <v>780</v>
      </c>
      <c r="U3675" s="47"/>
      <c r="V3675" s="47"/>
      <c r="W3675" s="47"/>
      <c r="X3675" s="47"/>
      <c r="Y3675" s="47"/>
      <c r="Z3675" s="47">
        <f t="shared" si="801"/>
        <v>4620</v>
      </c>
      <c r="AA3675" s="47"/>
      <c r="AB3675" s="47"/>
      <c r="AC3675" s="47"/>
      <c r="AD3675" s="47"/>
      <c r="AE3675" s="47"/>
      <c r="AF3675" s="47"/>
      <c r="AG3675" s="47"/>
      <c r="AH3675" s="47" t="str">
        <f>IFERROR(_xlfn.XLOOKUP(Table6[[#This Row],[Suburb]],Table5[Travel Surcharge],Table5[$$]),"")</f>
        <v/>
      </c>
      <c r="AI3675" s="47">
        <f t="shared" si="802"/>
        <v>1650.0000000000002</v>
      </c>
      <c r="AJ3675" s="47"/>
    </row>
    <row r="3676" spans="1:36">
      <c r="A3676" s="374" t="s">
        <v>5390</v>
      </c>
      <c r="B3676" s="374" t="s">
        <v>5410</v>
      </c>
      <c r="C3676" s="374" t="s">
        <v>1721</v>
      </c>
      <c r="D3676" s="375" t="str">
        <f t="shared" si="799"/>
        <v>Rosenthal EstateW3</v>
      </c>
      <c r="E3676" s="375" t="s">
        <v>5411</v>
      </c>
      <c r="F3676" s="375" t="s">
        <v>2664</v>
      </c>
      <c r="G3676" s="375"/>
      <c r="H3676" s="375" t="s">
        <v>5392</v>
      </c>
      <c r="I3676" s="63" t="s">
        <v>5393</v>
      </c>
      <c r="J3676" s="47" t="s">
        <v>10410</v>
      </c>
      <c r="K3676" s="46" t="s">
        <v>10735</v>
      </c>
      <c r="L3676" s="47">
        <f>L$7</f>
        <v>1210</v>
      </c>
      <c r="M3676" s="47" t="s">
        <v>5394</v>
      </c>
      <c r="N3676" s="47"/>
      <c r="O3676" s="47"/>
      <c r="P3676" s="47"/>
      <c r="Q3676" s="47"/>
      <c r="R3676" s="47"/>
      <c r="S3676" s="47"/>
      <c r="T3676" s="47">
        <f t="shared" si="800"/>
        <v>780</v>
      </c>
      <c r="U3676" s="47"/>
      <c r="V3676" s="47"/>
      <c r="W3676" s="47"/>
      <c r="X3676" s="47"/>
      <c r="Y3676" s="47"/>
      <c r="Z3676" s="47">
        <f t="shared" si="801"/>
        <v>4620</v>
      </c>
      <c r="AA3676" s="47"/>
      <c r="AB3676" s="47"/>
      <c r="AC3676" s="47"/>
      <c r="AD3676" s="47"/>
      <c r="AE3676" s="47"/>
      <c r="AF3676" s="47"/>
      <c r="AG3676" s="47"/>
      <c r="AH3676" s="47" t="str">
        <f>IFERROR(_xlfn.XLOOKUP(Table6[[#This Row],[Suburb]],Table5[Travel Surcharge],Table5[$$]),"")</f>
        <v/>
      </c>
      <c r="AI3676" s="47">
        <f t="shared" si="802"/>
        <v>1650.0000000000002</v>
      </c>
      <c r="AJ3676" s="47"/>
    </row>
    <row r="3677" spans="1:36">
      <c r="A3677" s="374" t="s">
        <v>5418</v>
      </c>
      <c r="B3677" s="374">
        <v>3</v>
      </c>
      <c r="C3677" s="374" t="s">
        <v>1381</v>
      </c>
      <c r="D3677" s="375" t="str">
        <f t="shared" si="799"/>
        <v>Roses Estate3</v>
      </c>
      <c r="E3677" s="375" t="s">
        <v>5419</v>
      </c>
      <c r="F3677" s="375" t="s">
        <v>2836</v>
      </c>
      <c r="G3677" s="375" t="s">
        <v>3772</v>
      </c>
      <c r="H3677" s="375" t="s">
        <v>5420</v>
      </c>
      <c r="I3677" s="63" t="s">
        <v>3773</v>
      </c>
      <c r="J3677" s="47">
        <f>J$7</f>
        <v>3740</v>
      </c>
      <c r="K3677" s="46" t="s">
        <v>10735</v>
      </c>
      <c r="L3677" s="47"/>
      <c r="M3677" s="47">
        <f t="shared" ref="M3677:M3686" si="804">M$7</f>
        <v>1430.0000000000002</v>
      </c>
      <c r="N3677" s="47" t="s">
        <v>5421</v>
      </c>
      <c r="O3677" s="47" t="s">
        <v>5422</v>
      </c>
      <c r="P3677" s="47" t="s">
        <v>5423</v>
      </c>
      <c r="Q3677" s="47" t="s">
        <v>5424</v>
      </c>
      <c r="R3677" s="47">
        <f>R$2</f>
        <v>540</v>
      </c>
      <c r="S3677" s="47"/>
      <c r="T3677" s="47"/>
      <c r="U3677" s="47"/>
      <c r="V3677" s="47"/>
      <c r="W3677" s="47"/>
      <c r="X3677" s="47"/>
      <c r="Y3677" s="47"/>
      <c r="Z3677" s="47">
        <f t="shared" si="801"/>
        <v>4620</v>
      </c>
      <c r="AA3677" s="47"/>
      <c r="AB3677" s="47"/>
      <c r="AC3677" s="47"/>
      <c r="AD3677" s="47"/>
      <c r="AE3677" s="47"/>
      <c r="AF3677" s="47"/>
      <c r="AG3677" s="47"/>
      <c r="AH3677" s="47" t="str">
        <f>IFERROR(_xlfn.XLOOKUP(Table6[[#This Row],[Suburb]],Table5[Travel Surcharge],Table5[$$]),"")</f>
        <v/>
      </c>
      <c r="AI3677" s="47"/>
      <c r="AJ3677" s="47"/>
    </row>
    <row r="3678" spans="1:36">
      <c r="A3678" s="374" t="s">
        <v>5418</v>
      </c>
      <c r="B3678" s="374">
        <v>4</v>
      </c>
      <c r="C3678" s="374" t="s">
        <v>1381</v>
      </c>
      <c r="D3678" s="375" t="str">
        <f t="shared" si="799"/>
        <v>Roses Estate4</v>
      </c>
      <c r="E3678" s="375" t="s">
        <v>5425</v>
      </c>
      <c r="F3678" s="375" t="s">
        <v>2836</v>
      </c>
      <c r="G3678" s="375" t="s">
        <v>3772</v>
      </c>
      <c r="H3678" s="375" t="s">
        <v>5420</v>
      </c>
      <c r="I3678" s="63" t="s">
        <v>3773</v>
      </c>
      <c r="J3678" s="47">
        <f>J$7</f>
        <v>3740</v>
      </c>
      <c r="K3678" s="46" t="s">
        <v>10735</v>
      </c>
      <c r="L3678" s="47"/>
      <c r="M3678" s="47">
        <f t="shared" si="804"/>
        <v>1430.0000000000002</v>
      </c>
      <c r="N3678" s="47" t="s">
        <v>5421</v>
      </c>
      <c r="O3678" s="47" t="s">
        <v>5422</v>
      </c>
      <c r="P3678" s="47" t="s">
        <v>5423</v>
      </c>
      <c r="Q3678" s="47" t="s">
        <v>5424</v>
      </c>
      <c r="R3678" s="47">
        <f>R$2</f>
        <v>540</v>
      </c>
      <c r="S3678" s="47"/>
      <c r="T3678" s="47"/>
      <c r="U3678" s="47"/>
      <c r="V3678" s="47"/>
      <c r="W3678" s="47"/>
      <c r="X3678" s="47"/>
      <c r="Y3678" s="47"/>
      <c r="Z3678" s="47">
        <f t="shared" si="801"/>
        <v>4620</v>
      </c>
      <c r="AA3678" s="47"/>
      <c r="AB3678" s="47"/>
      <c r="AC3678" s="47"/>
      <c r="AD3678" s="47"/>
      <c r="AE3678" s="47"/>
      <c r="AF3678" s="47"/>
      <c r="AG3678" s="47"/>
      <c r="AH3678" s="47" t="str">
        <f>IFERROR(_xlfn.XLOOKUP(Table6[[#This Row],[Suburb]],Table5[Travel Surcharge],Table5[$$]),"")</f>
        <v/>
      </c>
      <c r="AI3678" s="47"/>
      <c r="AJ3678" s="47"/>
    </row>
    <row r="3679" spans="1:36">
      <c r="A3679" s="374" t="s">
        <v>5418</v>
      </c>
      <c r="B3679" s="374">
        <v>5</v>
      </c>
      <c r="C3679" s="374" t="s">
        <v>1381</v>
      </c>
      <c r="D3679" s="375" t="str">
        <f t="shared" si="799"/>
        <v>Roses Estate5</v>
      </c>
      <c r="E3679" s="375" t="s">
        <v>5426</v>
      </c>
      <c r="F3679" s="375" t="s">
        <v>2836</v>
      </c>
      <c r="G3679" s="375" t="s">
        <v>3772</v>
      </c>
      <c r="H3679" s="375" t="s">
        <v>5420</v>
      </c>
      <c r="I3679" s="63" t="s">
        <v>3773</v>
      </c>
      <c r="J3679" s="47">
        <f>J$7</f>
        <v>3740</v>
      </c>
      <c r="K3679" s="46" t="s">
        <v>10735</v>
      </c>
      <c r="L3679" s="47"/>
      <c r="M3679" s="47">
        <f t="shared" si="804"/>
        <v>1430.0000000000002</v>
      </c>
      <c r="N3679" s="47" t="s">
        <v>5421</v>
      </c>
      <c r="O3679" s="47" t="s">
        <v>5422</v>
      </c>
      <c r="P3679" s="47" t="s">
        <v>5423</v>
      </c>
      <c r="Q3679" s="47" t="s">
        <v>5424</v>
      </c>
      <c r="R3679" s="47">
        <f>R$2</f>
        <v>540</v>
      </c>
      <c r="S3679" s="47"/>
      <c r="T3679" s="47"/>
      <c r="U3679" s="47"/>
      <c r="V3679" s="47"/>
      <c r="W3679" s="47"/>
      <c r="X3679" s="47"/>
      <c r="Y3679" s="47"/>
      <c r="Z3679" s="47">
        <f t="shared" si="801"/>
        <v>4620</v>
      </c>
      <c r="AA3679" s="47"/>
      <c r="AB3679" s="47"/>
      <c r="AC3679" s="47"/>
      <c r="AD3679" s="47"/>
      <c r="AE3679" s="47"/>
      <c r="AF3679" s="47"/>
      <c r="AG3679" s="47"/>
      <c r="AH3679" s="47" t="str">
        <f>IFERROR(_xlfn.XLOOKUP(Table6[[#This Row],[Suburb]],Table5[Travel Surcharge],Table5[$$]),"")</f>
        <v/>
      </c>
      <c r="AI3679" s="47"/>
      <c r="AJ3679" s="47"/>
    </row>
    <row r="3680" spans="1:36">
      <c r="A3680" s="374" t="s">
        <v>5418</v>
      </c>
      <c r="B3680" s="374">
        <v>6</v>
      </c>
      <c r="C3680" s="374" t="s">
        <v>1381</v>
      </c>
      <c r="D3680" s="375" t="str">
        <f t="shared" si="799"/>
        <v>Roses Estate6</v>
      </c>
      <c r="E3680" s="375" t="s">
        <v>5427</v>
      </c>
      <c r="F3680" s="375" t="s">
        <v>2836</v>
      </c>
      <c r="G3680" s="375" t="s">
        <v>3772</v>
      </c>
      <c r="H3680" s="375" t="s">
        <v>5420</v>
      </c>
      <c r="I3680" s="63" t="s">
        <v>3773</v>
      </c>
      <c r="J3680" s="47">
        <f>J$7</f>
        <v>3740</v>
      </c>
      <c r="K3680" s="46" t="s">
        <v>10735</v>
      </c>
      <c r="L3680" s="47"/>
      <c r="M3680" s="47">
        <f t="shared" si="804"/>
        <v>1430.0000000000002</v>
      </c>
      <c r="N3680" s="47" t="s">
        <v>5421</v>
      </c>
      <c r="O3680" s="47" t="s">
        <v>5422</v>
      </c>
      <c r="P3680" s="47" t="s">
        <v>5423</v>
      </c>
      <c r="Q3680" s="47" t="s">
        <v>5424</v>
      </c>
      <c r="R3680" s="47">
        <f>R$2</f>
        <v>540</v>
      </c>
      <c r="S3680" s="47"/>
      <c r="T3680" s="47"/>
      <c r="U3680" s="47"/>
      <c r="V3680" s="47"/>
      <c r="W3680" s="47"/>
      <c r="X3680" s="47"/>
      <c r="Y3680" s="47"/>
      <c r="Z3680" s="47">
        <f t="shared" si="801"/>
        <v>4620</v>
      </c>
      <c r="AA3680" s="47"/>
      <c r="AB3680" s="47"/>
      <c r="AC3680" s="47"/>
      <c r="AD3680" s="47"/>
      <c r="AE3680" s="47"/>
      <c r="AF3680" s="47"/>
      <c r="AG3680" s="47"/>
      <c r="AH3680" s="47" t="str">
        <f>IFERROR(_xlfn.XLOOKUP(Table6[[#This Row],[Suburb]],Table5[Travel Surcharge],Table5[$$]),"")</f>
        <v/>
      </c>
      <c r="AI3680" s="47"/>
      <c r="AJ3680" s="47"/>
    </row>
    <row r="3681" spans="1:36">
      <c r="A3681" s="374" t="s">
        <v>5428</v>
      </c>
      <c r="B3681" s="374">
        <v>2</v>
      </c>
      <c r="C3681" s="374" t="s">
        <v>862</v>
      </c>
      <c r="D3681" s="375" t="str">
        <f t="shared" si="799"/>
        <v>Rosewood Estate2</v>
      </c>
      <c r="E3681" s="375" t="s">
        <v>5436</v>
      </c>
      <c r="F3681" s="375" t="s">
        <v>2664</v>
      </c>
      <c r="G3681" s="375" t="s">
        <v>5430</v>
      </c>
      <c r="H3681" s="375" t="s">
        <v>5431</v>
      </c>
      <c r="I3681" s="63" t="s">
        <v>5432</v>
      </c>
      <c r="J3681" s="47"/>
      <c r="K3681" s="46" t="s">
        <v>10735</v>
      </c>
      <c r="L3681" s="47" t="s">
        <v>5433</v>
      </c>
      <c r="M3681" s="47">
        <f t="shared" si="804"/>
        <v>1430.0000000000002</v>
      </c>
      <c r="N3681" s="47"/>
      <c r="O3681" s="47">
        <f t="shared" ref="O3681:O3686" si="805">O$7</f>
        <v>4950</v>
      </c>
      <c r="P3681" s="47"/>
      <c r="Q3681" s="47"/>
      <c r="R3681" s="47"/>
      <c r="S3681" s="47"/>
      <c r="T3681" s="47"/>
      <c r="U3681" s="47">
        <f t="shared" ref="U3681:U3699" si="806">U$2</f>
        <v>430</v>
      </c>
      <c r="V3681" s="47" t="s">
        <v>5434</v>
      </c>
      <c r="W3681" s="47" t="s">
        <v>5435</v>
      </c>
      <c r="X3681" s="47"/>
      <c r="Y3681" s="47"/>
      <c r="Z3681" s="47">
        <f t="shared" si="801"/>
        <v>4620</v>
      </c>
      <c r="AA3681" s="47"/>
      <c r="AB3681" s="47"/>
      <c r="AC3681" s="47"/>
      <c r="AD3681" s="47"/>
      <c r="AE3681" s="47"/>
      <c r="AF3681" s="47">
        <f t="shared" ref="AF3681:AF3699" si="807">AF$7</f>
        <v>1485</v>
      </c>
      <c r="AG3681" s="47"/>
      <c r="AH3681" s="47" t="str">
        <f>IFERROR(_xlfn.XLOOKUP(Table6[[#This Row],[Suburb]],Table5[Travel Surcharge],Table5[$$]),"")</f>
        <v/>
      </c>
      <c r="AI3681" s="47"/>
      <c r="AJ3681" s="47"/>
    </row>
    <row r="3682" spans="1:36">
      <c r="A3682" s="374" t="s">
        <v>5428</v>
      </c>
      <c r="B3682" s="374">
        <v>3</v>
      </c>
      <c r="C3682" s="374" t="s">
        <v>862</v>
      </c>
      <c r="D3682" s="375" t="str">
        <f t="shared" si="799"/>
        <v>Rosewood Estate3</v>
      </c>
      <c r="E3682" s="375" t="s">
        <v>5437</v>
      </c>
      <c r="F3682" s="375" t="s">
        <v>2664</v>
      </c>
      <c r="G3682" s="375" t="s">
        <v>5430</v>
      </c>
      <c r="H3682" s="375" t="s">
        <v>5431</v>
      </c>
      <c r="I3682" s="63" t="s">
        <v>5432</v>
      </c>
      <c r="J3682" s="47"/>
      <c r="K3682" s="46" t="s">
        <v>10735</v>
      </c>
      <c r="L3682" s="47" t="s">
        <v>5433</v>
      </c>
      <c r="M3682" s="47">
        <f t="shared" si="804"/>
        <v>1430.0000000000002</v>
      </c>
      <c r="N3682" s="47"/>
      <c r="O3682" s="47">
        <f t="shared" si="805"/>
        <v>4950</v>
      </c>
      <c r="P3682" s="47"/>
      <c r="Q3682" s="47"/>
      <c r="R3682" s="47"/>
      <c r="S3682" s="47"/>
      <c r="T3682" s="47"/>
      <c r="U3682" s="47">
        <f t="shared" si="806"/>
        <v>430</v>
      </c>
      <c r="V3682" s="47" t="s">
        <v>5434</v>
      </c>
      <c r="W3682" s="47" t="s">
        <v>5435</v>
      </c>
      <c r="X3682" s="47"/>
      <c r="Y3682" s="47"/>
      <c r="Z3682" s="47">
        <f t="shared" si="801"/>
        <v>4620</v>
      </c>
      <c r="AA3682" s="47"/>
      <c r="AB3682" s="47"/>
      <c r="AC3682" s="47"/>
      <c r="AD3682" s="47"/>
      <c r="AE3682" s="47"/>
      <c r="AF3682" s="47">
        <f t="shared" si="807"/>
        <v>1485</v>
      </c>
      <c r="AG3682" s="47"/>
      <c r="AH3682" s="47" t="str">
        <f>IFERROR(_xlfn.XLOOKUP(Table6[[#This Row],[Suburb]],Table5[Travel Surcharge],Table5[$$]),"")</f>
        <v/>
      </c>
      <c r="AI3682" s="47"/>
      <c r="AJ3682" s="47"/>
    </row>
    <row r="3683" spans="1:36">
      <c r="A3683" s="374" t="s">
        <v>5428</v>
      </c>
      <c r="B3683" s="374">
        <v>4</v>
      </c>
      <c r="C3683" s="374" t="s">
        <v>862</v>
      </c>
      <c r="D3683" s="375" t="str">
        <f t="shared" si="799"/>
        <v>Rosewood Estate4</v>
      </c>
      <c r="E3683" s="375" t="s">
        <v>5438</v>
      </c>
      <c r="F3683" s="375" t="s">
        <v>2664</v>
      </c>
      <c r="G3683" s="375" t="s">
        <v>5430</v>
      </c>
      <c r="H3683" s="375" t="s">
        <v>5431</v>
      </c>
      <c r="I3683" s="63" t="s">
        <v>5432</v>
      </c>
      <c r="J3683" s="47"/>
      <c r="K3683" s="46" t="s">
        <v>10735</v>
      </c>
      <c r="L3683" s="47" t="s">
        <v>5433</v>
      </c>
      <c r="M3683" s="47">
        <f t="shared" si="804"/>
        <v>1430.0000000000002</v>
      </c>
      <c r="N3683" s="47"/>
      <c r="O3683" s="47">
        <f t="shared" si="805"/>
        <v>4950</v>
      </c>
      <c r="P3683" s="47"/>
      <c r="Q3683" s="47"/>
      <c r="R3683" s="47"/>
      <c r="S3683" s="47"/>
      <c r="T3683" s="47"/>
      <c r="U3683" s="47">
        <f t="shared" si="806"/>
        <v>430</v>
      </c>
      <c r="V3683" s="47" t="s">
        <v>5434</v>
      </c>
      <c r="W3683" s="47" t="s">
        <v>5435</v>
      </c>
      <c r="X3683" s="47"/>
      <c r="Y3683" s="47"/>
      <c r="Z3683" s="47">
        <f t="shared" si="801"/>
        <v>4620</v>
      </c>
      <c r="AA3683" s="47"/>
      <c r="AB3683" s="47"/>
      <c r="AC3683" s="47"/>
      <c r="AD3683" s="47"/>
      <c r="AE3683" s="47"/>
      <c r="AF3683" s="47">
        <f t="shared" si="807"/>
        <v>1485</v>
      </c>
      <c r="AG3683" s="47"/>
      <c r="AH3683" s="47" t="str">
        <f>IFERROR(_xlfn.XLOOKUP(Table6[[#This Row],[Suburb]],Table5[Travel Surcharge],Table5[$$]),"")</f>
        <v/>
      </c>
      <c r="AI3683" s="47"/>
      <c r="AJ3683" s="47"/>
    </row>
    <row r="3684" spans="1:36">
      <c r="A3684" s="374" t="s">
        <v>5428</v>
      </c>
      <c r="B3684" s="374">
        <v>5</v>
      </c>
      <c r="C3684" s="374" t="s">
        <v>862</v>
      </c>
      <c r="D3684" s="375" t="str">
        <f t="shared" si="799"/>
        <v>Rosewood Estate5</v>
      </c>
      <c r="E3684" s="375" t="s">
        <v>5439</v>
      </c>
      <c r="F3684" s="375" t="s">
        <v>2664</v>
      </c>
      <c r="G3684" s="375" t="s">
        <v>5430</v>
      </c>
      <c r="H3684" s="375" t="s">
        <v>5431</v>
      </c>
      <c r="I3684" s="63" t="s">
        <v>5432</v>
      </c>
      <c r="J3684" s="47"/>
      <c r="K3684" s="46" t="s">
        <v>10735</v>
      </c>
      <c r="L3684" s="47" t="s">
        <v>5433</v>
      </c>
      <c r="M3684" s="47">
        <f t="shared" si="804"/>
        <v>1430.0000000000002</v>
      </c>
      <c r="N3684" s="47"/>
      <c r="O3684" s="47">
        <f t="shared" si="805"/>
        <v>4950</v>
      </c>
      <c r="P3684" s="47"/>
      <c r="Q3684" s="47"/>
      <c r="R3684" s="47"/>
      <c r="S3684" s="47"/>
      <c r="T3684" s="47"/>
      <c r="U3684" s="47">
        <f t="shared" si="806"/>
        <v>430</v>
      </c>
      <c r="V3684" s="47" t="s">
        <v>5434</v>
      </c>
      <c r="W3684" s="47" t="s">
        <v>5435</v>
      </c>
      <c r="X3684" s="47"/>
      <c r="Y3684" s="47"/>
      <c r="Z3684" s="47">
        <f t="shared" si="801"/>
        <v>4620</v>
      </c>
      <c r="AA3684" s="47"/>
      <c r="AB3684" s="47"/>
      <c r="AC3684" s="47"/>
      <c r="AD3684" s="47"/>
      <c r="AE3684" s="47"/>
      <c r="AF3684" s="47">
        <f t="shared" si="807"/>
        <v>1485</v>
      </c>
      <c r="AG3684" s="47"/>
      <c r="AH3684" s="47" t="str">
        <f>IFERROR(_xlfn.XLOOKUP(Table6[[#This Row],[Suburb]],Table5[Travel Surcharge],Table5[$$]),"")</f>
        <v/>
      </c>
      <c r="AI3684" s="47"/>
      <c r="AJ3684" s="47"/>
    </row>
    <row r="3685" spans="1:36">
      <c r="A3685" s="374" t="s">
        <v>5428</v>
      </c>
      <c r="B3685" s="374">
        <v>6</v>
      </c>
      <c r="C3685" s="374" t="s">
        <v>862</v>
      </c>
      <c r="D3685" s="375" t="str">
        <f t="shared" si="799"/>
        <v>Rosewood Estate6</v>
      </c>
      <c r="E3685" s="375" t="s">
        <v>5440</v>
      </c>
      <c r="F3685" s="375" t="s">
        <v>2664</v>
      </c>
      <c r="G3685" s="375" t="s">
        <v>5430</v>
      </c>
      <c r="H3685" s="375" t="s">
        <v>5431</v>
      </c>
      <c r="I3685" s="63" t="s">
        <v>5432</v>
      </c>
      <c r="J3685" s="47"/>
      <c r="K3685" s="46" t="s">
        <v>10735</v>
      </c>
      <c r="L3685" s="47" t="s">
        <v>5433</v>
      </c>
      <c r="M3685" s="47">
        <f t="shared" si="804"/>
        <v>1430.0000000000002</v>
      </c>
      <c r="N3685" s="47"/>
      <c r="O3685" s="47">
        <f t="shared" si="805"/>
        <v>4950</v>
      </c>
      <c r="P3685" s="47"/>
      <c r="Q3685" s="47"/>
      <c r="R3685" s="47"/>
      <c r="S3685" s="47"/>
      <c r="T3685" s="47"/>
      <c r="U3685" s="47">
        <f t="shared" si="806"/>
        <v>430</v>
      </c>
      <c r="V3685" s="47" t="s">
        <v>5434</v>
      </c>
      <c r="W3685" s="47" t="s">
        <v>5435</v>
      </c>
      <c r="X3685" s="47"/>
      <c r="Y3685" s="47"/>
      <c r="Z3685" s="47">
        <f t="shared" si="801"/>
        <v>4620</v>
      </c>
      <c r="AA3685" s="47"/>
      <c r="AB3685" s="47"/>
      <c r="AC3685" s="47"/>
      <c r="AD3685" s="47"/>
      <c r="AE3685" s="47"/>
      <c r="AF3685" s="47">
        <f t="shared" si="807"/>
        <v>1485</v>
      </c>
      <c r="AG3685" s="47"/>
      <c r="AH3685" s="47" t="str">
        <f>IFERROR(_xlfn.XLOOKUP(Table6[[#This Row],[Suburb]],Table5[Travel Surcharge],Table5[$$]),"")</f>
        <v/>
      </c>
      <c r="AI3685" s="47"/>
      <c r="AJ3685" s="47"/>
    </row>
    <row r="3686" spans="1:36">
      <c r="A3686" s="374" t="s">
        <v>5428</v>
      </c>
      <c r="B3686" s="374" t="s">
        <v>501</v>
      </c>
      <c r="C3686" s="374" t="s">
        <v>862</v>
      </c>
      <c r="D3686" s="375" t="str">
        <f t="shared" si="799"/>
        <v>Rosewood Estate1A</v>
      </c>
      <c r="E3686" s="375" t="s">
        <v>5429</v>
      </c>
      <c r="F3686" s="375" t="s">
        <v>2664</v>
      </c>
      <c r="G3686" s="375" t="s">
        <v>5430</v>
      </c>
      <c r="H3686" s="375" t="s">
        <v>5431</v>
      </c>
      <c r="I3686" s="63" t="s">
        <v>5432</v>
      </c>
      <c r="J3686" s="47"/>
      <c r="K3686" s="46" t="s">
        <v>10735</v>
      </c>
      <c r="L3686" s="47" t="s">
        <v>5433</v>
      </c>
      <c r="M3686" s="47">
        <f t="shared" si="804"/>
        <v>1430.0000000000002</v>
      </c>
      <c r="N3686" s="47"/>
      <c r="O3686" s="47">
        <f t="shared" si="805"/>
        <v>4950</v>
      </c>
      <c r="P3686" s="47"/>
      <c r="Q3686" s="47"/>
      <c r="R3686" s="47"/>
      <c r="S3686" s="47"/>
      <c r="T3686" s="47"/>
      <c r="U3686" s="47">
        <f t="shared" si="806"/>
        <v>430</v>
      </c>
      <c r="V3686" s="47" t="s">
        <v>5434</v>
      </c>
      <c r="W3686" s="47" t="s">
        <v>5435</v>
      </c>
      <c r="X3686" s="47"/>
      <c r="Y3686" s="47"/>
      <c r="Z3686" s="47">
        <f t="shared" si="801"/>
        <v>4620</v>
      </c>
      <c r="AA3686" s="47"/>
      <c r="AB3686" s="47"/>
      <c r="AC3686" s="47"/>
      <c r="AD3686" s="47"/>
      <c r="AE3686" s="47"/>
      <c r="AF3686" s="47">
        <f t="shared" si="807"/>
        <v>1485</v>
      </c>
      <c r="AG3686" s="47"/>
      <c r="AH3686" s="47" t="str">
        <f>IFERROR(_xlfn.XLOOKUP(Table6[[#This Row],[Suburb]],Table5[Travel Surcharge],Table5[$$]),"")</f>
        <v/>
      </c>
      <c r="AI3686" s="47"/>
      <c r="AJ3686" s="47"/>
    </row>
    <row r="3687" spans="1:36">
      <c r="A3687" s="374" t="s">
        <v>5441</v>
      </c>
      <c r="B3687" s="374">
        <v>1</v>
      </c>
      <c r="C3687" s="374" t="s">
        <v>502</v>
      </c>
      <c r="D3687" s="375" t="str">
        <f t="shared" si="799"/>
        <v>Rothwell Estate1</v>
      </c>
      <c r="E3687" s="375" t="s">
        <v>5442</v>
      </c>
      <c r="F3687" s="375" t="s">
        <v>2664</v>
      </c>
      <c r="G3687" s="375" t="s">
        <v>3202</v>
      </c>
      <c r="H3687" s="375" t="s">
        <v>5443</v>
      </c>
      <c r="I3687" s="63" t="s">
        <v>5444</v>
      </c>
      <c r="J3687" s="47">
        <f t="shared" ref="J3687:J3700" si="808">J$7</f>
        <v>3740</v>
      </c>
      <c r="K3687" s="46" t="s">
        <v>10735</v>
      </c>
      <c r="L3687" s="47"/>
      <c r="M3687" s="47"/>
      <c r="N3687" s="47"/>
      <c r="O3687" s="47"/>
      <c r="P3687" s="47">
        <v>1</v>
      </c>
      <c r="Q3687" s="47"/>
      <c r="R3687" s="47"/>
      <c r="S3687" s="47"/>
      <c r="T3687" s="47"/>
      <c r="U3687" s="47">
        <f t="shared" si="806"/>
        <v>430</v>
      </c>
      <c r="V3687" s="47"/>
      <c r="W3687" s="47"/>
      <c r="X3687" s="47"/>
      <c r="Y3687" s="47"/>
      <c r="Z3687" s="47">
        <f t="shared" si="801"/>
        <v>4620</v>
      </c>
      <c r="AA3687" s="47"/>
      <c r="AB3687" s="47"/>
      <c r="AC3687" s="47"/>
      <c r="AD3687" s="47"/>
      <c r="AE3687" s="47"/>
      <c r="AF3687" s="47">
        <f t="shared" si="807"/>
        <v>1485</v>
      </c>
      <c r="AG3687" s="47"/>
      <c r="AH3687" s="47" t="str">
        <f>IFERROR(_xlfn.XLOOKUP(Table6[[#This Row],[Suburb]],Table5[Travel Surcharge],Table5[$$]),"")</f>
        <v/>
      </c>
      <c r="AI3687" s="47"/>
      <c r="AJ3687" s="47"/>
    </row>
    <row r="3688" spans="1:36">
      <c r="A3688" s="374" t="s">
        <v>5441</v>
      </c>
      <c r="B3688" s="374">
        <v>4</v>
      </c>
      <c r="C3688" s="374" t="s">
        <v>502</v>
      </c>
      <c r="D3688" s="375" t="str">
        <f t="shared" si="799"/>
        <v>Rothwell Estate4</v>
      </c>
      <c r="E3688" s="375" t="s">
        <v>5445</v>
      </c>
      <c r="F3688" s="375" t="s">
        <v>2664</v>
      </c>
      <c r="G3688" s="375" t="s">
        <v>3202</v>
      </c>
      <c r="H3688" s="375" t="s">
        <v>5443</v>
      </c>
      <c r="I3688" s="63" t="s">
        <v>5444</v>
      </c>
      <c r="J3688" s="47">
        <f t="shared" si="808"/>
        <v>3740</v>
      </c>
      <c r="K3688" s="46" t="s">
        <v>10735</v>
      </c>
      <c r="L3688" s="47"/>
      <c r="M3688" s="47"/>
      <c r="N3688" s="47"/>
      <c r="O3688" s="47"/>
      <c r="P3688" s="47"/>
      <c r="Q3688" s="47"/>
      <c r="R3688" s="47"/>
      <c r="S3688" s="47"/>
      <c r="T3688" s="47"/>
      <c r="U3688" s="47">
        <f t="shared" si="806"/>
        <v>430</v>
      </c>
      <c r="V3688" s="47"/>
      <c r="W3688" s="47"/>
      <c r="X3688" s="47"/>
      <c r="Y3688" s="47"/>
      <c r="Z3688" s="47">
        <f t="shared" si="801"/>
        <v>4620</v>
      </c>
      <c r="AA3688" s="47"/>
      <c r="AB3688" s="47"/>
      <c r="AC3688" s="47"/>
      <c r="AD3688" s="47"/>
      <c r="AE3688" s="47"/>
      <c r="AF3688" s="47">
        <f t="shared" si="807"/>
        <v>1485</v>
      </c>
      <c r="AG3688" s="47"/>
      <c r="AH3688" s="47" t="str">
        <f>IFERROR(_xlfn.XLOOKUP(Table6[[#This Row],[Suburb]],Table5[Travel Surcharge],Table5[$$]),"")</f>
        <v/>
      </c>
      <c r="AI3688" s="47"/>
      <c r="AJ3688" s="47"/>
    </row>
    <row r="3689" spans="1:36">
      <c r="A3689" s="374" t="s">
        <v>5441</v>
      </c>
      <c r="B3689" s="374">
        <v>5</v>
      </c>
      <c r="C3689" s="374" t="s">
        <v>502</v>
      </c>
      <c r="D3689" s="375" t="str">
        <f t="shared" si="799"/>
        <v>Rothwell Estate5</v>
      </c>
      <c r="E3689" s="375" t="s">
        <v>5446</v>
      </c>
      <c r="F3689" s="375" t="s">
        <v>2664</v>
      </c>
      <c r="G3689" s="375" t="s">
        <v>3202</v>
      </c>
      <c r="H3689" s="375" t="s">
        <v>5443</v>
      </c>
      <c r="I3689" s="63" t="s">
        <v>5444</v>
      </c>
      <c r="J3689" s="47">
        <f t="shared" si="808"/>
        <v>3740</v>
      </c>
      <c r="K3689" s="46" t="s">
        <v>10735</v>
      </c>
      <c r="L3689" s="47"/>
      <c r="M3689" s="47"/>
      <c r="N3689" s="47"/>
      <c r="O3689" s="47"/>
      <c r="P3689" s="47"/>
      <c r="Q3689" s="47"/>
      <c r="R3689" s="47"/>
      <c r="S3689" s="47"/>
      <c r="T3689" s="47"/>
      <c r="U3689" s="47">
        <f t="shared" si="806"/>
        <v>430</v>
      </c>
      <c r="V3689" s="47"/>
      <c r="W3689" s="47"/>
      <c r="X3689" s="47"/>
      <c r="Y3689" s="47"/>
      <c r="Z3689" s="47">
        <f t="shared" si="801"/>
        <v>4620</v>
      </c>
      <c r="AA3689" s="47"/>
      <c r="AB3689" s="47"/>
      <c r="AC3689" s="47"/>
      <c r="AD3689" s="47"/>
      <c r="AE3689" s="47"/>
      <c r="AF3689" s="47">
        <f t="shared" si="807"/>
        <v>1485</v>
      </c>
      <c r="AG3689" s="47"/>
      <c r="AH3689" s="47" t="str">
        <f>IFERROR(_xlfn.XLOOKUP(Table6[[#This Row],[Suburb]],Table5[Travel Surcharge],Table5[$$]),"")</f>
        <v/>
      </c>
      <c r="AI3689" s="47"/>
      <c r="AJ3689" s="47"/>
    </row>
    <row r="3690" spans="1:36">
      <c r="A3690" s="374" t="s">
        <v>5441</v>
      </c>
      <c r="B3690" s="374">
        <v>6</v>
      </c>
      <c r="C3690" s="374" t="s">
        <v>502</v>
      </c>
      <c r="D3690" s="375" t="str">
        <f t="shared" si="799"/>
        <v>Rothwell Estate6</v>
      </c>
      <c r="E3690" s="375" t="s">
        <v>5447</v>
      </c>
      <c r="F3690" s="375" t="s">
        <v>2664</v>
      </c>
      <c r="G3690" s="375" t="s">
        <v>3202</v>
      </c>
      <c r="H3690" s="375" t="s">
        <v>5443</v>
      </c>
      <c r="I3690" s="63" t="s">
        <v>5444</v>
      </c>
      <c r="J3690" s="47">
        <f t="shared" si="808"/>
        <v>3740</v>
      </c>
      <c r="K3690" s="46" t="s">
        <v>10735</v>
      </c>
      <c r="L3690" s="47"/>
      <c r="M3690" s="47"/>
      <c r="N3690" s="47"/>
      <c r="O3690" s="47"/>
      <c r="P3690" s="47"/>
      <c r="Q3690" s="47"/>
      <c r="R3690" s="47"/>
      <c r="S3690" s="47"/>
      <c r="T3690" s="47"/>
      <c r="U3690" s="47">
        <f t="shared" si="806"/>
        <v>430</v>
      </c>
      <c r="V3690" s="47"/>
      <c r="W3690" s="47"/>
      <c r="X3690" s="47"/>
      <c r="Y3690" s="47"/>
      <c r="Z3690" s="47">
        <f t="shared" si="801"/>
        <v>4620</v>
      </c>
      <c r="AA3690" s="47"/>
      <c r="AB3690" s="47"/>
      <c r="AC3690" s="47"/>
      <c r="AD3690" s="47"/>
      <c r="AE3690" s="47"/>
      <c r="AF3690" s="47">
        <f t="shared" si="807"/>
        <v>1485</v>
      </c>
      <c r="AG3690" s="47"/>
      <c r="AH3690" s="47" t="str">
        <f>IFERROR(_xlfn.XLOOKUP(Table6[[#This Row],[Suburb]],Table5[Travel Surcharge],Table5[$$]),"")</f>
        <v/>
      </c>
      <c r="AI3690" s="47"/>
      <c r="AJ3690" s="47"/>
    </row>
    <row r="3691" spans="1:36">
      <c r="A3691" s="374" t="s">
        <v>5441</v>
      </c>
      <c r="B3691" s="374">
        <v>9</v>
      </c>
      <c r="C3691" s="374" t="s">
        <v>502</v>
      </c>
      <c r="D3691" s="375" t="str">
        <f t="shared" si="799"/>
        <v>Rothwell Estate9</v>
      </c>
      <c r="E3691" s="375" t="s">
        <v>5448</v>
      </c>
      <c r="F3691" s="375" t="s">
        <v>2664</v>
      </c>
      <c r="G3691" s="375" t="s">
        <v>3202</v>
      </c>
      <c r="H3691" s="375" t="s">
        <v>5443</v>
      </c>
      <c r="I3691" s="63" t="s">
        <v>5444</v>
      </c>
      <c r="J3691" s="47">
        <f t="shared" si="808"/>
        <v>3740</v>
      </c>
      <c r="K3691" s="46" t="s">
        <v>10735</v>
      </c>
      <c r="L3691" s="47"/>
      <c r="M3691" s="47"/>
      <c r="N3691" s="47"/>
      <c r="O3691" s="47"/>
      <c r="P3691" s="47"/>
      <c r="Q3691" s="47"/>
      <c r="R3691" s="47"/>
      <c r="S3691" s="47"/>
      <c r="T3691" s="47"/>
      <c r="U3691" s="47">
        <f t="shared" si="806"/>
        <v>430</v>
      </c>
      <c r="V3691" s="47"/>
      <c r="W3691" s="47"/>
      <c r="X3691" s="47"/>
      <c r="Y3691" s="47"/>
      <c r="Z3691" s="47">
        <f t="shared" si="801"/>
        <v>4620</v>
      </c>
      <c r="AA3691" s="47"/>
      <c r="AB3691" s="47"/>
      <c r="AC3691" s="47"/>
      <c r="AD3691" s="47"/>
      <c r="AE3691" s="47"/>
      <c r="AF3691" s="47">
        <f t="shared" si="807"/>
        <v>1485</v>
      </c>
      <c r="AG3691" s="47"/>
      <c r="AH3691" s="47" t="str">
        <f>IFERROR(_xlfn.XLOOKUP(Table6[[#This Row],[Suburb]],Table5[Travel Surcharge],Table5[$$]),"")</f>
        <v/>
      </c>
      <c r="AI3691" s="47"/>
      <c r="AJ3691" s="47"/>
    </row>
    <row r="3692" spans="1:36">
      <c r="A3692" s="374" t="s">
        <v>5441</v>
      </c>
      <c r="B3692" s="374">
        <v>14</v>
      </c>
      <c r="C3692" s="374" t="s">
        <v>502</v>
      </c>
      <c r="D3692" s="375" t="str">
        <f t="shared" si="799"/>
        <v>Rothwell Estate14</v>
      </c>
      <c r="E3692" s="375" t="s">
        <v>2172</v>
      </c>
      <c r="F3692" s="375" t="s">
        <v>2664</v>
      </c>
      <c r="G3692" s="375" t="s">
        <v>3202</v>
      </c>
      <c r="H3692" s="375" t="s">
        <v>5443</v>
      </c>
      <c r="I3692" s="63" t="s">
        <v>5444</v>
      </c>
      <c r="J3692" s="47">
        <f t="shared" si="808"/>
        <v>3740</v>
      </c>
      <c r="K3692" s="46" t="s">
        <v>10735</v>
      </c>
      <c r="L3692" s="47"/>
      <c r="M3692" s="47"/>
      <c r="N3692" s="47"/>
      <c r="O3692" s="47"/>
      <c r="P3692" s="47"/>
      <c r="Q3692" s="47"/>
      <c r="R3692" s="47"/>
      <c r="S3692" s="47"/>
      <c r="T3692" s="47"/>
      <c r="U3692" s="47">
        <f t="shared" si="806"/>
        <v>430</v>
      </c>
      <c r="V3692" s="47"/>
      <c r="W3692" s="47"/>
      <c r="X3692" s="47"/>
      <c r="Y3692" s="47"/>
      <c r="Z3692" s="47">
        <f t="shared" si="801"/>
        <v>4620</v>
      </c>
      <c r="AA3692" s="47"/>
      <c r="AB3692" s="47"/>
      <c r="AC3692" s="47"/>
      <c r="AD3692" s="47"/>
      <c r="AE3692" s="47"/>
      <c r="AF3692" s="47">
        <f t="shared" si="807"/>
        <v>1485</v>
      </c>
      <c r="AG3692" s="47"/>
      <c r="AH3692" s="47" t="str">
        <f>IFERROR(_xlfn.XLOOKUP(Table6[[#This Row],[Suburb]],Table5[Travel Surcharge],Table5[$$]),"")</f>
        <v/>
      </c>
      <c r="AI3692" s="47"/>
      <c r="AJ3692" s="47"/>
    </row>
    <row r="3693" spans="1:36">
      <c r="A3693" s="374" t="s">
        <v>5441</v>
      </c>
      <c r="B3693" s="374">
        <v>15</v>
      </c>
      <c r="C3693" s="374" t="s">
        <v>502</v>
      </c>
      <c r="D3693" s="375" t="str">
        <f t="shared" si="799"/>
        <v>Rothwell Estate15</v>
      </c>
      <c r="E3693" s="375" t="s">
        <v>2173</v>
      </c>
      <c r="F3693" s="375" t="s">
        <v>2664</v>
      </c>
      <c r="G3693" s="375" t="s">
        <v>3202</v>
      </c>
      <c r="H3693" s="375" t="s">
        <v>5443</v>
      </c>
      <c r="I3693" s="63" t="s">
        <v>5444</v>
      </c>
      <c r="J3693" s="47">
        <f t="shared" si="808"/>
        <v>3740</v>
      </c>
      <c r="K3693" s="46" t="s">
        <v>10735</v>
      </c>
      <c r="L3693" s="47"/>
      <c r="M3693" s="47"/>
      <c r="N3693" s="47"/>
      <c r="O3693" s="47"/>
      <c r="P3693" s="47"/>
      <c r="Q3693" s="47"/>
      <c r="R3693" s="47"/>
      <c r="S3693" s="47"/>
      <c r="T3693" s="47"/>
      <c r="U3693" s="47">
        <f t="shared" si="806"/>
        <v>430</v>
      </c>
      <c r="V3693" s="47"/>
      <c r="W3693" s="47"/>
      <c r="X3693" s="47"/>
      <c r="Y3693" s="47"/>
      <c r="Z3693" s="47">
        <f t="shared" si="801"/>
        <v>4620</v>
      </c>
      <c r="AA3693" s="47"/>
      <c r="AB3693" s="47"/>
      <c r="AC3693" s="47"/>
      <c r="AD3693" s="47"/>
      <c r="AE3693" s="47"/>
      <c r="AF3693" s="47">
        <f t="shared" si="807"/>
        <v>1485</v>
      </c>
      <c r="AG3693" s="47"/>
      <c r="AH3693" s="47" t="str">
        <f>IFERROR(_xlfn.XLOOKUP(Table6[[#This Row],[Suburb]],Table5[Travel Surcharge],Table5[$$]),"")</f>
        <v/>
      </c>
      <c r="AI3693" s="47"/>
      <c r="AJ3693" s="47"/>
    </row>
    <row r="3694" spans="1:36">
      <c r="A3694" s="374" t="s">
        <v>5441</v>
      </c>
      <c r="B3694" s="374">
        <v>16</v>
      </c>
      <c r="C3694" s="374" t="s">
        <v>502</v>
      </c>
      <c r="D3694" s="375" t="str">
        <f t="shared" si="799"/>
        <v>Rothwell Estate16</v>
      </c>
      <c r="E3694" s="375" t="s">
        <v>2174</v>
      </c>
      <c r="F3694" s="375" t="s">
        <v>2664</v>
      </c>
      <c r="G3694" s="375" t="s">
        <v>3202</v>
      </c>
      <c r="H3694" s="375" t="s">
        <v>5443</v>
      </c>
      <c r="I3694" s="63" t="s">
        <v>5444</v>
      </c>
      <c r="J3694" s="47">
        <f t="shared" si="808"/>
        <v>3740</v>
      </c>
      <c r="K3694" s="46" t="s">
        <v>10735</v>
      </c>
      <c r="L3694" s="47"/>
      <c r="M3694" s="47"/>
      <c r="N3694" s="47"/>
      <c r="O3694" s="47"/>
      <c r="P3694" s="47"/>
      <c r="Q3694" s="47"/>
      <c r="R3694" s="47"/>
      <c r="S3694" s="47"/>
      <c r="T3694" s="47"/>
      <c r="U3694" s="47">
        <f t="shared" si="806"/>
        <v>430</v>
      </c>
      <c r="V3694" s="47"/>
      <c r="W3694" s="47"/>
      <c r="X3694" s="47"/>
      <c r="Y3694" s="47"/>
      <c r="Z3694" s="47">
        <f t="shared" si="801"/>
        <v>4620</v>
      </c>
      <c r="AA3694" s="47"/>
      <c r="AB3694" s="47"/>
      <c r="AC3694" s="47"/>
      <c r="AD3694" s="47"/>
      <c r="AE3694" s="47"/>
      <c r="AF3694" s="47">
        <f t="shared" si="807"/>
        <v>1485</v>
      </c>
      <c r="AG3694" s="47"/>
      <c r="AH3694" s="47" t="str">
        <f>IFERROR(_xlfn.XLOOKUP(Table6[[#This Row],[Suburb]],Table5[Travel Surcharge],Table5[$$]),"")</f>
        <v/>
      </c>
      <c r="AI3694" s="47"/>
      <c r="AJ3694" s="47"/>
    </row>
    <row r="3695" spans="1:36">
      <c r="A3695" s="374" t="s">
        <v>5441</v>
      </c>
      <c r="B3695" s="374">
        <v>17</v>
      </c>
      <c r="C3695" s="374" t="s">
        <v>502</v>
      </c>
      <c r="D3695" s="375" t="str">
        <f t="shared" si="799"/>
        <v>Rothwell Estate17</v>
      </c>
      <c r="E3695" s="375" t="s">
        <v>2175</v>
      </c>
      <c r="F3695" s="375" t="s">
        <v>2664</v>
      </c>
      <c r="G3695" s="375" t="s">
        <v>3202</v>
      </c>
      <c r="H3695" s="375" t="s">
        <v>5443</v>
      </c>
      <c r="I3695" s="63" t="s">
        <v>5444</v>
      </c>
      <c r="J3695" s="47">
        <f t="shared" si="808"/>
        <v>3740</v>
      </c>
      <c r="K3695" s="46" t="s">
        <v>10735</v>
      </c>
      <c r="L3695" s="47"/>
      <c r="M3695" s="47"/>
      <c r="N3695" s="47"/>
      <c r="O3695" s="47"/>
      <c r="P3695" s="47"/>
      <c r="Q3695" s="47"/>
      <c r="R3695" s="47"/>
      <c r="S3695" s="47"/>
      <c r="T3695" s="47"/>
      <c r="U3695" s="47">
        <f t="shared" si="806"/>
        <v>430</v>
      </c>
      <c r="V3695" s="47"/>
      <c r="W3695" s="47"/>
      <c r="X3695" s="47"/>
      <c r="Y3695" s="47"/>
      <c r="Z3695" s="47">
        <f t="shared" si="801"/>
        <v>4620</v>
      </c>
      <c r="AA3695" s="47"/>
      <c r="AB3695" s="47"/>
      <c r="AC3695" s="47"/>
      <c r="AD3695" s="47"/>
      <c r="AE3695" s="47"/>
      <c r="AF3695" s="47">
        <f t="shared" si="807"/>
        <v>1485</v>
      </c>
      <c r="AG3695" s="47"/>
      <c r="AH3695" s="47" t="str">
        <f>IFERROR(_xlfn.XLOOKUP(Table6[[#This Row],[Suburb]],Table5[Travel Surcharge],Table5[$$]),"")</f>
        <v/>
      </c>
      <c r="AI3695" s="47"/>
      <c r="AJ3695" s="47"/>
    </row>
    <row r="3696" spans="1:36">
      <c r="A3696" s="374" t="s">
        <v>5441</v>
      </c>
      <c r="B3696" s="374">
        <v>19</v>
      </c>
      <c r="C3696" s="374" t="s">
        <v>502</v>
      </c>
      <c r="D3696" s="375" t="str">
        <f t="shared" si="799"/>
        <v>Rothwell Estate19</v>
      </c>
      <c r="E3696" s="375" t="s">
        <v>2177</v>
      </c>
      <c r="F3696" s="375" t="s">
        <v>2664</v>
      </c>
      <c r="G3696" s="375" t="s">
        <v>3202</v>
      </c>
      <c r="H3696" s="375" t="s">
        <v>5443</v>
      </c>
      <c r="I3696" s="63" t="s">
        <v>5444</v>
      </c>
      <c r="J3696" s="47">
        <f t="shared" si="808"/>
        <v>3740</v>
      </c>
      <c r="K3696" s="46" t="s">
        <v>10735</v>
      </c>
      <c r="L3696" s="47"/>
      <c r="M3696" s="47"/>
      <c r="N3696" s="47"/>
      <c r="O3696" s="47"/>
      <c r="P3696" s="47"/>
      <c r="Q3696" s="47"/>
      <c r="R3696" s="47"/>
      <c r="S3696" s="47"/>
      <c r="T3696" s="47"/>
      <c r="U3696" s="47">
        <f t="shared" si="806"/>
        <v>430</v>
      </c>
      <c r="V3696" s="47"/>
      <c r="W3696" s="47"/>
      <c r="X3696" s="47"/>
      <c r="Y3696" s="47"/>
      <c r="Z3696" s="47">
        <f t="shared" si="801"/>
        <v>4620</v>
      </c>
      <c r="AA3696" s="47"/>
      <c r="AB3696" s="47"/>
      <c r="AC3696" s="47"/>
      <c r="AD3696" s="47"/>
      <c r="AE3696" s="47"/>
      <c r="AF3696" s="47">
        <f t="shared" si="807"/>
        <v>1485</v>
      </c>
      <c r="AG3696" s="47"/>
      <c r="AH3696" s="47" t="str">
        <f>IFERROR(_xlfn.XLOOKUP(Table6[[#This Row],[Suburb]],Table5[Travel Surcharge],Table5[$$]),"")</f>
        <v/>
      </c>
      <c r="AI3696" s="47"/>
      <c r="AJ3696" s="47"/>
    </row>
    <row r="3697" spans="1:36">
      <c r="A3697" s="374" t="s">
        <v>5441</v>
      </c>
      <c r="B3697" s="374">
        <v>25</v>
      </c>
      <c r="C3697" s="374" t="s">
        <v>502</v>
      </c>
      <c r="D3697" s="375" t="str">
        <f t="shared" si="799"/>
        <v>Rothwell Estate25</v>
      </c>
      <c r="E3697" s="375" t="s">
        <v>5449</v>
      </c>
      <c r="F3697" s="375" t="s">
        <v>2664</v>
      </c>
      <c r="G3697" s="375" t="s">
        <v>3202</v>
      </c>
      <c r="H3697" s="375" t="s">
        <v>5443</v>
      </c>
      <c r="I3697" s="63" t="s">
        <v>5444</v>
      </c>
      <c r="J3697" s="47">
        <f t="shared" si="808"/>
        <v>3740</v>
      </c>
      <c r="K3697" s="46" t="s">
        <v>10735</v>
      </c>
      <c r="L3697" s="47"/>
      <c r="M3697" s="47"/>
      <c r="N3697" s="47"/>
      <c r="O3697" s="47"/>
      <c r="P3697" s="47"/>
      <c r="Q3697" s="47"/>
      <c r="R3697" s="47"/>
      <c r="S3697" s="47"/>
      <c r="T3697" s="47"/>
      <c r="U3697" s="47">
        <f t="shared" si="806"/>
        <v>430</v>
      </c>
      <c r="V3697" s="47"/>
      <c r="W3697" s="47"/>
      <c r="X3697" s="47"/>
      <c r="Y3697" s="47"/>
      <c r="Z3697" s="47">
        <f t="shared" si="801"/>
        <v>4620</v>
      </c>
      <c r="AA3697" s="47"/>
      <c r="AB3697" s="47"/>
      <c r="AC3697" s="47"/>
      <c r="AD3697" s="47"/>
      <c r="AE3697" s="47"/>
      <c r="AF3697" s="47">
        <f t="shared" si="807"/>
        <v>1485</v>
      </c>
      <c r="AG3697" s="47"/>
      <c r="AH3697" s="47" t="str">
        <f>IFERROR(_xlfn.XLOOKUP(Table6[[#This Row],[Suburb]],Table5[Travel Surcharge],Table5[$$]),"")</f>
        <v/>
      </c>
      <c r="AI3697" s="47"/>
      <c r="AJ3697" s="47"/>
    </row>
    <row r="3698" spans="1:36">
      <c r="A3698" s="374" t="s">
        <v>5441</v>
      </c>
      <c r="B3698" s="374">
        <v>26</v>
      </c>
      <c r="C3698" s="374" t="s">
        <v>502</v>
      </c>
      <c r="D3698" s="375" t="str">
        <f t="shared" si="799"/>
        <v>Rothwell Estate26</v>
      </c>
      <c r="E3698" s="375" t="s">
        <v>5450</v>
      </c>
      <c r="F3698" s="375" t="s">
        <v>2664</v>
      </c>
      <c r="G3698" s="375" t="s">
        <v>3202</v>
      </c>
      <c r="H3698" s="375" t="s">
        <v>5443</v>
      </c>
      <c r="I3698" s="63" t="s">
        <v>5444</v>
      </c>
      <c r="J3698" s="47">
        <f t="shared" si="808"/>
        <v>3740</v>
      </c>
      <c r="K3698" s="46" t="s">
        <v>10735</v>
      </c>
      <c r="L3698" s="47"/>
      <c r="M3698" s="47"/>
      <c r="N3698" s="47"/>
      <c r="O3698" s="47"/>
      <c r="P3698" s="47"/>
      <c r="Q3698" s="47"/>
      <c r="R3698" s="47"/>
      <c r="S3698" s="47"/>
      <c r="T3698" s="47"/>
      <c r="U3698" s="47">
        <f t="shared" si="806"/>
        <v>430</v>
      </c>
      <c r="V3698" s="47"/>
      <c r="W3698" s="47"/>
      <c r="X3698" s="47"/>
      <c r="Y3698" s="47"/>
      <c r="Z3698" s="47">
        <f t="shared" si="801"/>
        <v>4620</v>
      </c>
      <c r="AA3698" s="47"/>
      <c r="AB3698" s="47"/>
      <c r="AC3698" s="47"/>
      <c r="AD3698" s="47"/>
      <c r="AE3698" s="47"/>
      <c r="AF3698" s="47">
        <f t="shared" si="807"/>
        <v>1485</v>
      </c>
      <c r="AG3698" s="47"/>
      <c r="AH3698" s="47" t="str">
        <f>IFERROR(_xlfn.XLOOKUP(Table6[[#This Row],[Suburb]],Table5[Travel Surcharge],Table5[$$]),"")</f>
        <v/>
      </c>
      <c r="AI3698" s="47"/>
      <c r="AJ3698" s="47"/>
    </row>
    <row r="3699" spans="1:36">
      <c r="A3699" s="374" t="s">
        <v>5441</v>
      </c>
      <c r="B3699" s="374">
        <v>28</v>
      </c>
      <c r="C3699" s="374" t="s">
        <v>502</v>
      </c>
      <c r="D3699" s="375" t="str">
        <f t="shared" si="799"/>
        <v>Rothwell Estate28</v>
      </c>
      <c r="E3699" s="375" t="s">
        <v>5451</v>
      </c>
      <c r="F3699" s="375" t="s">
        <v>2664</v>
      </c>
      <c r="G3699" s="375" t="s">
        <v>3202</v>
      </c>
      <c r="H3699" s="375" t="s">
        <v>5443</v>
      </c>
      <c r="I3699" s="63" t="s">
        <v>5444</v>
      </c>
      <c r="J3699" s="47">
        <f t="shared" si="808"/>
        <v>3740</v>
      </c>
      <c r="K3699" s="46" t="s">
        <v>10735</v>
      </c>
      <c r="L3699" s="47"/>
      <c r="M3699" s="47"/>
      <c r="N3699" s="47"/>
      <c r="O3699" s="47"/>
      <c r="P3699" s="47"/>
      <c r="Q3699" s="47"/>
      <c r="R3699" s="47"/>
      <c r="S3699" s="47"/>
      <c r="T3699" s="47"/>
      <c r="U3699" s="47">
        <f t="shared" si="806"/>
        <v>430</v>
      </c>
      <c r="V3699" s="47"/>
      <c r="W3699" s="47"/>
      <c r="X3699" s="47"/>
      <c r="Y3699" s="47"/>
      <c r="Z3699" s="47">
        <f t="shared" si="801"/>
        <v>4620</v>
      </c>
      <c r="AA3699" s="47"/>
      <c r="AB3699" s="47"/>
      <c r="AC3699" s="47"/>
      <c r="AD3699" s="47"/>
      <c r="AE3699" s="47"/>
      <c r="AF3699" s="47">
        <f t="shared" si="807"/>
        <v>1485</v>
      </c>
      <c r="AG3699" s="47"/>
      <c r="AH3699" s="47" t="str">
        <f>IFERROR(_xlfn.XLOOKUP(Table6[[#This Row],[Suburb]],Table5[Travel Surcharge],Table5[$$]),"")</f>
        <v/>
      </c>
      <c r="AI3699" s="47"/>
      <c r="AJ3699" s="47"/>
    </row>
    <row r="3700" spans="1:36">
      <c r="A3700" s="157" t="s">
        <v>8429</v>
      </c>
      <c r="B3700" s="157">
        <v>1</v>
      </c>
      <c r="C3700" s="157" t="s">
        <v>428</v>
      </c>
      <c r="D3700" s="157" t="str">
        <f t="shared" si="799"/>
        <v>Saffron Estate1</v>
      </c>
      <c r="E3700" s="157" t="s">
        <v>8430</v>
      </c>
      <c r="F3700" s="157" t="s">
        <v>1961</v>
      </c>
      <c r="G3700" s="157" t="s">
        <v>8431</v>
      </c>
      <c r="H3700" s="157" t="s">
        <v>8432</v>
      </c>
      <c r="I3700" s="158" t="s">
        <v>8433</v>
      </c>
      <c r="J3700" s="47">
        <f t="shared" si="808"/>
        <v>3740</v>
      </c>
      <c r="K3700" s="46" t="s">
        <v>10735</v>
      </c>
      <c r="L3700" s="47"/>
      <c r="M3700" s="47">
        <f>M$7</f>
        <v>1430.0000000000002</v>
      </c>
      <c r="N3700" s="47"/>
      <c r="O3700" s="47"/>
      <c r="P3700" s="47"/>
      <c r="Q3700" s="47">
        <f>Q$2</f>
        <v>0</v>
      </c>
      <c r="R3700" s="47"/>
      <c r="S3700" s="47"/>
      <c r="T3700" s="47"/>
      <c r="U3700" s="47"/>
      <c r="V3700" s="47"/>
      <c r="W3700" s="47"/>
      <c r="X3700" s="47"/>
      <c r="Y3700" s="47"/>
      <c r="Z3700" s="47">
        <f t="shared" si="801"/>
        <v>4620</v>
      </c>
      <c r="AA3700" s="47"/>
      <c r="AB3700" s="47"/>
      <c r="AC3700" s="47"/>
      <c r="AD3700" s="47"/>
      <c r="AE3700" s="47"/>
      <c r="AF3700" s="47"/>
      <c r="AG3700" s="47"/>
      <c r="AH3700" s="47" t="str">
        <f>IFERROR(_xlfn.XLOOKUP(Table6[[#This Row],[Suburb]],Table5[Travel Surcharge],Table5[$$]),"")</f>
        <v/>
      </c>
      <c r="AI3700" s="47">
        <f>AI$7</f>
        <v>1650.0000000000002</v>
      </c>
      <c r="AJ3700" s="47"/>
    </row>
    <row r="3701" spans="1:36">
      <c r="A3701" s="374" t="s">
        <v>5452</v>
      </c>
      <c r="B3701" s="374">
        <v>5</v>
      </c>
      <c r="C3701" s="374" t="s">
        <v>1590</v>
      </c>
      <c r="D3701" s="375" t="s">
        <v>9824</v>
      </c>
      <c r="E3701" s="375" t="s">
        <v>8649</v>
      </c>
      <c r="F3701" s="375" t="s">
        <v>5454</v>
      </c>
      <c r="G3701" s="375" t="s">
        <v>4185</v>
      </c>
      <c r="H3701" s="375" t="s">
        <v>4186</v>
      </c>
      <c r="I3701" s="63" t="s">
        <v>5455</v>
      </c>
      <c r="J3701" s="47"/>
      <c r="K3701" s="46" t="s">
        <v>317</v>
      </c>
      <c r="L3701" s="47"/>
      <c r="M3701" s="47"/>
      <c r="N3701" s="47">
        <v>2640</v>
      </c>
      <c r="O3701" s="47"/>
      <c r="P3701" s="47"/>
      <c r="Q3701" s="47"/>
      <c r="R3701" s="47"/>
      <c r="S3701" s="47"/>
      <c r="T3701" s="47">
        <v>1420</v>
      </c>
      <c r="U3701" s="47"/>
      <c r="V3701" s="47"/>
      <c r="W3701" s="47"/>
      <c r="X3701" s="47"/>
      <c r="Y3701" s="47"/>
      <c r="Z3701" s="47">
        <v>4620</v>
      </c>
      <c r="AA3701" s="47"/>
      <c r="AB3701" s="47"/>
      <c r="AC3701" s="47">
        <v>5200</v>
      </c>
      <c r="AD3701" s="47"/>
      <c r="AE3701" s="47"/>
      <c r="AF3701" s="47">
        <v>1485</v>
      </c>
      <c r="AG3701" s="47"/>
      <c r="AH3701" s="47" t="str">
        <f>IFERROR(_xlfn.XLOOKUP(Table6[[#This Row],[Suburb]],Table5[Travel Surcharge],Table5[$$]),"")</f>
        <v/>
      </c>
      <c r="AI3701" s="47"/>
      <c r="AJ3701" s="47"/>
    </row>
    <row r="3702" spans="1:36">
      <c r="A3702" s="374" t="s">
        <v>5452</v>
      </c>
      <c r="B3702" s="374">
        <v>6</v>
      </c>
      <c r="C3702" s="374" t="s">
        <v>1590</v>
      </c>
      <c r="D3702" s="375" t="str">
        <f t="shared" ref="D3702:D3718" si="809">CONCATENATE(A3702,B3702)</f>
        <v>Saltwater Coast Estate6</v>
      </c>
      <c r="E3702" s="375" t="s">
        <v>5453</v>
      </c>
      <c r="F3702" s="375" t="s">
        <v>5454</v>
      </c>
      <c r="G3702" s="375" t="s">
        <v>4185</v>
      </c>
      <c r="H3702" s="375" t="s">
        <v>4186</v>
      </c>
      <c r="I3702" s="63" t="s">
        <v>5455</v>
      </c>
      <c r="J3702" s="47"/>
      <c r="K3702" s="46" t="s">
        <v>317</v>
      </c>
      <c r="L3702" s="47"/>
      <c r="M3702" s="47"/>
      <c r="N3702" s="47">
        <f t="shared" ref="N3702:N3716" si="810">$N$7</f>
        <v>2640</v>
      </c>
      <c r="O3702" s="47"/>
      <c r="P3702" s="47"/>
      <c r="Q3702" s="47"/>
      <c r="R3702" s="47"/>
      <c r="S3702" s="47"/>
      <c r="T3702" s="47">
        <f t="shared" ref="T3702:T3716" si="811">T$2</f>
        <v>780</v>
      </c>
      <c r="U3702" s="47"/>
      <c r="V3702" s="47"/>
      <c r="W3702" s="47"/>
      <c r="X3702" s="47"/>
      <c r="Y3702" s="47"/>
      <c r="Z3702" s="47">
        <f t="shared" ref="Z3702:Z3718" si="812">Z$7</f>
        <v>4620</v>
      </c>
      <c r="AA3702" s="47"/>
      <c r="AB3702" s="47"/>
      <c r="AC3702" s="47">
        <f t="shared" ref="AC3702:AC3716" si="813">AC$7</f>
        <v>5200</v>
      </c>
      <c r="AD3702" s="47"/>
      <c r="AE3702" s="47"/>
      <c r="AF3702" s="47">
        <f t="shared" ref="AF3702:AF3716" si="814">AF$7</f>
        <v>1485</v>
      </c>
      <c r="AG3702" s="47"/>
      <c r="AH3702" s="47" t="str">
        <f>IFERROR(_xlfn.XLOOKUP(Table6[[#This Row],[Suburb]],Table5[Travel Surcharge],Table5[$$]),"")</f>
        <v/>
      </c>
      <c r="AI3702" s="47"/>
      <c r="AJ3702" s="47"/>
    </row>
    <row r="3703" spans="1:36">
      <c r="A3703" s="374" t="s">
        <v>5452</v>
      </c>
      <c r="B3703" s="374">
        <v>7</v>
      </c>
      <c r="C3703" s="374" t="s">
        <v>1590</v>
      </c>
      <c r="D3703" s="375" t="str">
        <f t="shared" si="809"/>
        <v>Saltwater Coast Estate7</v>
      </c>
      <c r="E3703" s="375" t="s">
        <v>5453</v>
      </c>
      <c r="F3703" s="375" t="s">
        <v>5454</v>
      </c>
      <c r="G3703" s="375" t="s">
        <v>4185</v>
      </c>
      <c r="H3703" s="375" t="s">
        <v>4186</v>
      </c>
      <c r="I3703" s="63" t="s">
        <v>5455</v>
      </c>
      <c r="J3703" s="47"/>
      <c r="K3703" s="46" t="s">
        <v>317</v>
      </c>
      <c r="L3703" s="47"/>
      <c r="M3703" s="47"/>
      <c r="N3703" s="47">
        <f t="shared" si="810"/>
        <v>2640</v>
      </c>
      <c r="O3703" s="47"/>
      <c r="P3703" s="47"/>
      <c r="Q3703" s="47"/>
      <c r="R3703" s="47"/>
      <c r="S3703" s="47"/>
      <c r="T3703" s="47">
        <f t="shared" si="811"/>
        <v>780</v>
      </c>
      <c r="U3703" s="47"/>
      <c r="V3703" s="47"/>
      <c r="W3703" s="47"/>
      <c r="X3703" s="47"/>
      <c r="Y3703" s="47"/>
      <c r="Z3703" s="47">
        <f t="shared" si="812"/>
        <v>4620</v>
      </c>
      <c r="AA3703" s="47"/>
      <c r="AB3703" s="47"/>
      <c r="AC3703" s="47">
        <f t="shared" si="813"/>
        <v>5200</v>
      </c>
      <c r="AD3703" s="47"/>
      <c r="AE3703" s="47"/>
      <c r="AF3703" s="47">
        <f t="shared" si="814"/>
        <v>1485</v>
      </c>
      <c r="AG3703" s="47"/>
      <c r="AH3703" s="47" t="str">
        <f>IFERROR(_xlfn.XLOOKUP(Table6[[#This Row],[Suburb]],Table5[Travel Surcharge],Table5[$$]),"")</f>
        <v/>
      </c>
      <c r="AI3703" s="47"/>
      <c r="AJ3703" s="47"/>
    </row>
    <row r="3704" spans="1:36">
      <c r="A3704" s="374" t="s">
        <v>5452</v>
      </c>
      <c r="B3704" s="374">
        <v>15</v>
      </c>
      <c r="C3704" s="374" t="s">
        <v>1590</v>
      </c>
      <c r="D3704" s="375" t="str">
        <f t="shared" si="809"/>
        <v>Saltwater Coast Estate15</v>
      </c>
      <c r="E3704" s="375" t="s">
        <v>5456</v>
      </c>
      <c r="F3704" s="375" t="s">
        <v>5454</v>
      </c>
      <c r="G3704" s="375" t="s">
        <v>4185</v>
      </c>
      <c r="H3704" s="375" t="s">
        <v>4186</v>
      </c>
      <c r="I3704" s="63" t="s">
        <v>5455</v>
      </c>
      <c r="J3704" s="47"/>
      <c r="K3704" s="46" t="s">
        <v>317</v>
      </c>
      <c r="L3704" s="47"/>
      <c r="M3704" s="47"/>
      <c r="N3704" s="47">
        <f t="shared" si="810"/>
        <v>2640</v>
      </c>
      <c r="O3704" s="47"/>
      <c r="P3704" s="47"/>
      <c r="Q3704" s="47"/>
      <c r="R3704" s="47"/>
      <c r="S3704" s="47"/>
      <c r="T3704" s="47">
        <f t="shared" si="811"/>
        <v>780</v>
      </c>
      <c r="U3704" s="47"/>
      <c r="V3704" s="47"/>
      <c r="W3704" s="47"/>
      <c r="X3704" s="47"/>
      <c r="Y3704" s="47"/>
      <c r="Z3704" s="47">
        <f t="shared" si="812"/>
        <v>4620</v>
      </c>
      <c r="AA3704" s="47"/>
      <c r="AB3704" s="47"/>
      <c r="AC3704" s="47">
        <f t="shared" si="813"/>
        <v>5200</v>
      </c>
      <c r="AD3704" s="47"/>
      <c r="AE3704" s="47"/>
      <c r="AF3704" s="47">
        <f t="shared" si="814"/>
        <v>1485</v>
      </c>
      <c r="AG3704" s="47"/>
      <c r="AH3704" s="47" t="str">
        <f>IFERROR(_xlfn.XLOOKUP(Table6[[#This Row],[Suburb]],Table5[Travel Surcharge],Table5[$$]),"")</f>
        <v/>
      </c>
      <c r="AI3704" s="47"/>
      <c r="AJ3704" s="47"/>
    </row>
    <row r="3705" spans="1:36">
      <c r="A3705" s="374" t="s">
        <v>5452</v>
      </c>
      <c r="B3705" s="374">
        <v>17</v>
      </c>
      <c r="C3705" s="374" t="s">
        <v>1590</v>
      </c>
      <c r="D3705" s="375" t="str">
        <f t="shared" si="809"/>
        <v>Saltwater Coast Estate17</v>
      </c>
      <c r="E3705" s="375" t="s">
        <v>5453</v>
      </c>
      <c r="F3705" s="375" t="s">
        <v>5454</v>
      </c>
      <c r="G3705" s="375" t="s">
        <v>4185</v>
      </c>
      <c r="H3705" s="375" t="s">
        <v>4186</v>
      </c>
      <c r="I3705" s="63" t="s">
        <v>5455</v>
      </c>
      <c r="J3705" s="47"/>
      <c r="K3705" s="46" t="s">
        <v>317</v>
      </c>
      <c r="L3705" s="47"/>
      <c r="M3705" s="47"/>
      <c r="N3705" s="47">
        <f t="shared" si="810"/>
        <v>2640</v>
      </c>
      <c r="O3705" s="47"/>
      <c r="P3705" s="47"/>
      <c r="Q3705" s="47"/>
      <c r="R3705" s="47"/>
      <c r="S3705" s="47"/>
      <c r="T3705" s="47">
        <f t="shared" si="811"/>
        <v>780</v>
      </c>
      <c r="U3705" s="47"/>
      <c r="V3705" s="47"/>
      <c r="W3705" s="47"/>
      <c r="X3705" s="47"/>
      <c r="Y3705" s="47"/>
      <c r="Z3705" s="47">
        <f t="shared" si="812"/>
        <v>4620</v>
      </c>
      <c r="AA3705" s="47"/>
      <c r="AB3705" s="47"/>
      <c r="AC3705" s="47">
        <f t="shared" si="813"/>
        <v>5200</v>
      </c>
      <c r="AD3705" s="47"/>
      <c r="AE3705" s="47"/>
      <c r="AF3705" s="47">
        <f t="shared" si="814"/>
        <v>1485</v>
      </c>
      <c r="AG3705" s="47"/>
      <c r="AH3705" s="47" t="str">
        <f>IFERROR(_xlfn.XLOOKUP(Table6[[#This Row],[Suburb]],Table5[Travel Surcharge],Table5[$$]),"")</f>
        <v/>
      </c>
      <c r="AI3705" s="47"/>
      <c r="AJ3705" s="47"/>
    </row>
    <row r="3706" spans="1:36">
      <c r="A3706" s="374" t="s">
        <v>5452</v>
      </c>
      <c r="B3706" s="374">
        <v>20</v>
      </c>
      <c r="C3706" s="374" t="s">
        <v>1590</v>
      </c>
      <c r="D3706" s="375" t="str">
        <f t="shared" si="809"/>
        <v>Saltwater Coast Estate20</v>
      </c>
      <c r="E3706" s="375" t="s">
        <v>5457</v>
      </c>
      <c r="F3706" s="375" t="s">
        <v>5454</v>
      </c>
      <c r="G3706" s="375" t="s">
        <v>4185</v>
      </c>
      <c r="H3706" s="375" t="s">
        <v>4186</v>
      </c>
      <c r="I3706" s="63" t="s">
        <v>5455</v>
      </c>
      <c r="J3706" s="47"/>
      <c r="K3706" s="46" t="s">
        <v>317</v>
      </c>
      <c r="L3706" s="47"/>
      <c r="M3706" s="47"/>
      <c r="N3706" s="47">
        <f t="shared" si="810"/>
        <v>2640</v>
      </c>
      <c r="O3706" s="47"/>
      <c r="P3706" s="47"/>
      <c r="Q3706" s="47"/>
      <c r="R3706" s="47"/>
      <c r="S3706" s="47"/>
      <c r="T3706" s="47">
        <f t="shared" si="811"/>
        <v>780</v>
      </c>
      <c r="U3706" s="47"/>
      <c r="V3706" s="47"/>
      <c r="W3706" s="47"/>
      <c r="X3706" s="47"/>
      <c r="Y3706" s="47"/>
      <c r="Z3706" s="47">
        <f t="shared" si="812"/>
        <v>4620</v>
      </c>
      <c r="AA3706" s="47"/>
      <c r="AB3706" s="47"/>
      <c r="AC3706" s="47">
        <f t="shared" si="813"/>
        <v>5200</v>
      </c>
      <c r="AD3706" s="47"/>
      <c r="AE3706" s="47"/>
      <c r="AF3706" s="47">
        <f t="shared" si="814"/>
        <v>1485</v>
      </c>
      <c r="AG3706" s="47"/>
      <c r="AH3706" s="47" t="str">
        <f>IFERROR(_xlfn.XLOOKUP(Table6[[#This Row],[Suburb]],Table5[Travel Surcharge],Table5[$$]),"")</f>
        <v/>
      </c>
      <c r="AI3706" s="47"/>
      <c r="AJ3706" s="47"/>
    </row>
    <row r="3707" spans="1:36">
      <c r="A3707" s="374" t="s">
        <v>5452</v>
      </c>
      <c r="B3707" s="374">
        <v>21</v>
      </c>
      <c r="C3707" s="374" t="s">
        <v>1590</v>
      </c>
      <c r="D3707" s="375" t="str">
        <f t="shared" si="809"/>
        <v>Saltwater Coast Estate21</v>
      </c>
      <c r="E3707" s="375" t="s">
        <v>9645</v>
      </c>
      <c r="F3707" s="375" t="s">
        <v>5454</v>
      </c>
      <c r="G3707" s="375" t="s">
        <v>4185</v>
      </c>
      <c r="H3707" s="375" t="s">
        <v>4186</v>
      </c>
      <c r="I3707" s="63" t="s">
        <v>5455</v>
      </c>
      <c r="J3707" s="47"/>
      <c r="K3707" s="46" t="s">
        <v>317</v>
      </c>
      <c r="L3707" s="47"/>
      <c r="M3707" s="47"/>
      <c r="N3707" s="47">
        <f t="shared" si="810"/>
        <v>2640</v>
      </c>
      <c r="O3707" s="47"/>
      <c r="P3707" s="47"/>
      <c r="Q3707" s="47"/>
      <c r="R3707" s="47"/>
      <c r="S3707" s="47"/>
      <c r="T3707" s="47">
        <f t="shared" si="811"/>
        <v>780</v>
      </c>
      <c r="U3707" s="47"/>
      <c r="V3707" s="47"/>
      <c r="W3707" s="47"/>
      <c r="X3707" s="47"/>
      <c r="Y3707" s="47"/>
      <c r="Z3707" s="47">
        <f t="shared" si="812"/>
        <v>4620</v>
      </c>
      <c r="AA3707" s="47"/>
      <c r="AB3707" s="47"/>
      <c r="AC3707" s="47">
        <f t="shared" si="813"/>
        <v>5200</v>
      </c>
      <c r="AD3707" s="47"/>
      <c r="AE3707" s="47"/>
      <c r="AF3707" s="47">
        <f t="shared" si="814"/>
        <v>1485</v>
      </c>
      <c r="AG3707" s="47"/>
      <c r="AH3707" s="47" t="str">
        <f>IFERROR(_xlfn.XLOOKUP(Table6[[#This Row],[Suburb]],Table5[Travel Surcharge],Table5[$$]),"")</f>
        <v/>
      </c>
      <c r="AI3707" s="47"/>
      <c r="AJ3707" s="47"/>
    </row>
    <row r="3708" spans="1:36">
      <c r="A3708" s="374" t="s">
        <v>5452</v>
      </c>
      <c r="B3708" s="374">
        <v>22</v>
      </c>
      <c r="C3708" s="374" t="s">
        <v>1590</v>
      </c>
      <c r="D3708" s="375" t="str">
        <f t="shared" si="809"/>
        <v>Saltwater Coast Estate22</v>
      </c>
      <c r="E3708" s="375" t="s">
        <v>5453</v>
      </c>
      <c r="F3708" s="375" t="s">
        <v>5454</v>
      </c>
      <c r="G3708" s="375" t="s">
        <v>4185</v>
      </c>
      <c r="H3708" s="375" t="s">
        <v>4186</v>
      </c>
      <c r="I3708" s="63" t="s">
        <v>5455</v>
      </c>
      <c r="J3708" s="47"/>
      <c r="K3708" s="46" t="s">
        <v>317</v>
      </c>
      <c r="L3708" s="47"/>
      <c r="M3708" s="47"/>
      <c r="N3708" s="47">
        <f t="shared" si="810"/>
        <v>2640</v>
      </c>
      <c r="O3708" s="47"/>
      <c r="P3708" s="47"/>
      <c r="Q3708" s="47"/>
      <c r="R3708" s="47"/>
      <c r="S3708" s="47"/>
      <c r="T3708" s="47">
        <f t="shared" si="811"/>
        <v>780</v>
      </c>
      <c r="U3708" s="47"/>
      <c r="V3708" s="47"/>
      <c r="W3708" s="47"/>
      <c r="X3708" s="47"/>
      <c r="Y3708" s="47"/>
      <c r="Z3708" s="47">
        <f t="shared" si="812"/>
        <v>4620</v>
      </c>
      <c r="AA3708" s="47"/>
      <c r="AB3708" s="47"/>
      <c r="AC3708" s="47">
        <f t="shared" si="813"/>
        <v>5200</v>
      </c>
      <c r="AD3708" s="47"/>
      <c r="AE3708" s="47"/>
      <c r="AF3708" s="47">
        <f t="shared" si="814"/>
        <v>1485</v>
      </c>
      <c r="AG3708" s="47"/>
      <c r="AH3708" s="47" t="str">
        <f>IFERROR(_xlfn.XLOOKUP(Table6[[#This Row],[Suburb]],Table5[Travel Surcharge],Table5[$$]),"")</f>
        <v/>
      </c>
      <c r="AI3708" s="47"/>
      <c r="AJ3708" s="47"/>
    </row>
    <row r="3709" spans="1:36">
      <c r="A3709" s="374" t="s">
        <v>5452</v>
      </c>
      <c r="B3709" s="374">
        <v>24</v>
      </c>
      <c r="C3709" s="374" t="s">
        <v>1590</v>
      </c>
      <c r="D3709" s="375" t="str">
        <f t="shared" si="809"/>
        <v>Saltwater Coast Estate24</v>
      </c>
      <c r="E3709" s="375" t="s">
        <v>5458</v>
      </c>
      <c r="F3709" s="375" t="s">
        <v>5454</v>
      </c>
      <c r="G3709" s="375" t="s">
        <v>4185</v>
      </c>
      <c r="H3709" s="375" t="s">
        <v>4186</v>
      </c>
      <c r="I3709" s="63" t="s">
        <v>5455</v>
      </c>
      <c r="J3709" s="47"/>
      <c r="K3709" s="46" t="s">
        <v>317</v>
      </c>
      <c r="L3709" s="47"/>
      <c r="M3709" s="47"/>
      <c r="N3709" s="47">
        <f t="shared" si="810"/>
        <v>2640</v>
      </c>
      <c r="O3709" s="47"/>
      <c r="P3709" s="47"/>
      <c r="Q3709" s="47"/>
      <c r="R3709" s="47"/>
      <c r="S3709" s="47"/>
      <c r="T3709" s="47">
        <f t="shared" si="811"/>
        <v>780</v>
      </c>
      <c r="U3709" s="47"/>
      <c r="V3709" s="47"/>
      <c r="W3709" s="47"/>
      <c r="X3709" s="47"/>
      <c r="Y3709" s="47"/>
      <c r="Z3709" s="47">
        <f t="shared" si="812"/>
        <v>4620</v>
      </c>
      <c r="AA3709" s="47"/>
      <c r="AB3709" s="47"/>
      <c r="AC3709" s="47">
        <f t="shared" si="813"/>
        <v>5200</v>
      </c>
      <c r="AD3709" s="47"/>
      <c r="AE3709" s="47"/>
      <c r="AF3709" s="47">
        <f t="shared" si="814"/>
        <v>1485</v>
      </c>
      <c r="AG3709" s="47"/>
      <c r="AH3709" s="47" t="str">
        <f>IFERROR(_xlfn.XLOOKUP(Table6[[#This Row],[Suburb]],Table5[Travel Surcharge],Table5[$$]),"")</f>
        <v/>
      </c>
      <c r="AI3709" s="47"/>
      <c r="AJ3709" s="47"/>
    </row>
    <row r="3710" spans="1:36">
      <c r="A3710" s="374" t="s">
        <v>5452</v>
      </c>
      <c r="B3710" s="374">
        <v>28</v>
      </c>
      <c r="C3710" s="374" t="s">
        <v>1590</v>
      </c>
      <c r="D3710" s="375" t="str">
        <f t="shared" si="809"/>
        <v>Saltwater Coast Estate28</v>
      </c>
      <c r="E3710" s="375" t="s">
        <v>5459</v>
      </c>
      <c r="F3710" s="375" t="s">
        <v>5454</v>
      </c>
      <c r="G3710" s="375" t="s">
        <v>4185</v>
      </c>
      <c r="H3710" s="375" t="s">
        <v>4186</v>
      </c>
      <c r="I3710" s="63" t="s">
        <v>5455</v>
      </c>
      <c r="J3710" s="47"/>
      <c r="K3710" s="46" t="s">
        <v>317</v>
      </c>
      <c r="L3710" s="47"/>
      <c r="M3710" s="47"/>
      <c r="N3710" s="47">
        <f t="shared" si="810"/>
        <v>2640</v>
      </c>
      <c r="O3710" s="47"/>
      <c r="P3710" s="47"/>
      <c r="Q3710" s="47"/>
      <c r="R3710" s="47"/>
      <c r="S3710" s="47"/>
      <c r="T3710" s="47">
        <f t="shared" si="811"/>
        <v>780</v>
      </c>
      <c r="U3710" s="47"/>
      <c r="V3710" s="47"/>
      <c r="W3710" s="47"/>
      <c r="X3710" s="47"/>
      <c r="Y3710" s="47"/>
      <c r="Z3710" s="47">
        <f t="shared" si="812"/>
        <v>4620</v>
      </c>
      <c r="AA3710" s="47"/>
      <c r="AB3710" s="47"/>
      <c r="AC3710" s="47">
        <f t="shared" si="813"/>
        <v>5200</v>
      </c>
      <c r="AD3710" s="47"/>
      <c r="AE3710" s="47"/>
      <c r="AF3710" s="47">
        <f t="shared" si="814"/>
        <v>1485</v>
      </c>
      <c r="AG3710" s="47"/>
      <c r="AH3710" s="47" t="str">
        <f>IFERROR(_xlfn.XLOOKUP(Table6[[#This Row],[Suburb]],Table5[Travel Surcharge],Table5[$$]),"")</f>
        <v/>
      </c>
      <c r="AI3710" s="47"/>
      <c r="AJ3710" s="47"/>
    </row>
    <row r="3711" spans="1:36">
      <c r="A3711" s="374" t="s">
        <v>5452</v>
      </c>
      <c r="B3711" s="374">
        <v>29</v>
      </c>
      <c r="C3711" s="374" t="s">
        <v>1590</v>
      </c>
      <c r="D3711" s="375" t="str">
        <f t="shared" si="809"/>
        <v>Saltwater Coast Estate29</v>
      </c>
      <c r="E3711" s="375" t="s">
        <v>5460</v>
      </c>
      <c r="F3711" s="375" t="s">
        <v>5454</v>
      </c>
      <c r="G3711" s="375" t="s">
        <v>4185</v>
      </c>
      <c r="H3711" s="375" t="s">
        <v>4186</v>
      </c>
      <c r="I3711" s="63" t="s">
        <v>5455</v>
      </c>
      <c r="J3711" s="47"/>
      <c r="K3711" s="46" t="s">
        <v>317</v>
      </c>
      <c r="L3711" s="47"/>
      <c r="M3711" s="47"/>
      <c r="N3711" s="47">
        <f t="shared" si="810"/>
        <v>2640</v>
      </c>
      <c r="O3711" s="47"/>
      <c r="P3711" s="47"/>
      <c r="Q3711" s="47"/>
      <c r="R3711" s="47"/>
      <c r="S3711" s="47"/>
      <c r="T3711" s="47">
        <f t="shared" si="811"/>
        <v>780</v>
      </c>
      <c r="U3711" s="47"/>
      <c r="V3711" s="47"/>
      <c r="W3711" s="47"/>
      <c r="X3711" s="47"/>
      <c r="Y3711" s="47"/>
      <c r="Z3711" s="47">
        <f t="shared" si="812"/>
        <v>4620</v>
      </c>
      <c r="AA3711" s="47"/>
      <c r="AB3711" s="47"/>
      <c r="AC3711" s="47">
        <f t="shared" si="813"/>
        <v>5200</v>
      </c>
      <c r="AD3711" s="47"/>
      <c r="AE3711" s="47"/>
      <c r="AF3711" s="47">
        <f t="shared" si="814"/>
        <v>1485</v>
      </c>
      <c r="AG3711" s="47"/>
      <c r="AH3711" s="47" t="str">
        <f>IFERROR(_xlfn.XLOOKUP(Table6[[#This Row],[Suburb]],Table5[Travel Surcharge],Table5[$$]),"")</f>
        <v/>
      </c>
      <c r="AI3711" s="47"/>
      <c r="AJ3711" s="47"/>
    </row>
    <row r="3712" spans="1:36">
      <c r="A3712" s="374" t="s">
        <v>5452</v>
      </c>
      <c r="B3712" s="374">
        <v>32</v>
      </c>
      <c r="C3712" s="374" t="s">
        <v>1590</v>
      </c>
      <c r="D3712" s="375" t="str">
        <f t="shared" si="809"/>
        <v>Saltwater Coast Estate32</v>
      </c>
      <c r="E3712" s="375" t="s">
        <v>5461</v>
      </c>
      <c r="F3712" s="375" t="s">
        <v>5454</v>
      </c>
      <c r="G3712" s="375" t="s">
        <v>4185</v>
      </c>
      <c r="H3712" s="375" t="s">
        <v>4186</v>
      </c>
      <c r="I3712" s="63" t="s">
        <v>5455</v>
      </c>
      <c r="J3712" s="47"/>
      <c r="K3712" s="46" t="s">
        <v>317</v>
      </c>
      <c r="L3712" s="47"/>
      <c r="M3712" s="47"/>
      <c r="N3712" s="47">
        <f t="shared" si="810"/>
        <v>2640</v>
      </c>
      <c r="O3712" s="47"/>
      <c r="P3712" s="47"/>
      <c r="Q3712" s="47"/>
      <c r="R3712" s="47"/>
      <c r="S3712" s="47"/>
      <c r="T3712" s="47">
        <f t="shared" si="811"/>
        <v>780</v>
      </c>
      <c r="U3712" s="47"/>
      <c r="V3712" s="47"/>
      <c r="W3712" s="47"/>
      <c r="X3712" s="47"/>
      <c r="Y3712" s="47"/>
      <c r="Z3712" s="47">
        <f t="shared" si="812"/>
        <v>4620</v>
      </c>
      <c r="AA3712" s="47"/>
      <c r="AB3712" s="47"/>
      <c r="AC3712" s="47">
        <f t="shared" si="813"/>
        <v>5200</v>
      </c>
      <c r="AD3712" s="47"/>
      <c r="AE3712" s="47"/>
      <c r="AF3712" s="47">
        <f t="shared" si="814"/>
        <v>1485</v>
      </c>
      <c r="AG3712" s="47"/>
      <c r="AH3712" s="47" t="str">
        <f>IFERROR(_xlfn.XLOOKUP(Table6[[#This Row],[Suburb]],Table5[Travel Surcharge],Table5[$$]),"")</f>
        <v/>
      </c>
      <c r="AI3712" s="47"/>
      <c r="AJ3712" s="47"/>
    </row>
    <row r="3713" spans="1:36">
      <c r="A3713" s="374" t="s">
        <v>5452</v>
      </c>
      <c r="B3713" s="374">
        <v>33</v>
      </c>
      <c r="C3713" s="374" t="s">
        <v>1590</v>
      </c>
      <c r="D3713" s="375" t="str">
        <f t="shared" si="809"/>
        <v>Saltwater Coast Estate33</v>
      </c>
      <c r="E3713" s="375" t="s">
        <v>5462</v>
      </c>
      <c r="F3713" s="375" t="s">
        <v>5454</v>
      </c>
      <c r="G3713" s="375" t="s">
        <v>4185</v>
      </c>
      <c r="H3713" s="375" t="s">
        <v>4186</v>
      </c>
      <c r="I3713" s="63" t="s">
        <v>5455</v>
      </c>
      <c r="J3713" s="47"/>
      <c r="K3713" s="46" t="s">
        <v>317</v>
      </c>
      <c r="L3713" s="47"/>
      <c r="M3713" s="47"/>
      <c r="N3713" s="47">
        <f t="shared" si="810"/>
        <v>2640</v>
      </c>
      <c r="O3713" s="47"/>
      <c r="P3713" s="47"/>
      <c r="Q3713" s="47"/>
      <c r="R3713" s="47"/>
      <c r="S3713" s="47"/>
      <c r="T3713" s="47">
        <f t="shared" si="811"/>
        <v>780</v>
      </c>
      <c r="U3713" s="47"/>
      <c r="V3713" s="47"/>
      <c r="W3713" s="47"/>
      <c r="X3713" s="47"/>
      <c r="Y3713" s="47"/>
      <c r="Z3713" s="47">
        <f t="shared" si="812"/>
        <v>4620</v>
      </c>
      <c r="AA3713" s="47"/>
      <c r="AB3713" s="47"/>
      <c r="AC3713" s="47">
        <f t="shared" si="813"/>
        <v>5200</v>
      </c>
      <c r="AD3713" s="47"/>
      <c r="AE3713" s="47"/>
      <c r="AF3713" s="47">
        <f t="shared" si="814"/>
        <v>1485</v>
      </c>
      <c r="AG3713" s="47"/>
      <c r="AH3713" s="47" t="str">
        <f>IFERROR(_xlfn.XLOOKUP(Table6[[#This Row],[Suburb]],Table5[Travel Surcharge],Table5[$$]),"")</f>
        <v/>
      </c>
      <c r="AI3713" s="47"/>
      <c r="AJ3713" s="47"/>
    </row>
    <row r="3714" spans="1:36">
      <c r="A3714" s="374" t="s">
        <v>5452</v>
      </c>
      <c r="B3714" s="374" t="s">
        <v>5463</v>
      </c>
      <c r="C3714" s="374" t="s">
        <v>1590</v>
      </c>
      <c r="D3714" s="375" t="str">
        <f t="shared" si="809"/>
        <v>Saltwater Coast Estate29A</v>
      </c>
      <c r="E3714" s="375" t="s">
        <v>5464</v>
      </c>
      <c r="F3714" s="375" t="s">
        <v>5454</v>
      </c>
      <c r="G3714" s="375" t="s">
        <v>4185</v>
      </c>
      <c r="H3714" s="375" t="s">
        <v>4186</v>
      </c>
      <c r="I3714" s="63" t="s">
        <v>5455</v>
      </c>
      <c r="J3714" s="47"/>
      <c r="K3714" s="46" t="s">
        <v>317</v>
      </c>
      <c r="L3714" s="47"/>
      <c r="M3714" s="47"/>
      <c r="N3714" s="47">
        <f t="shared" si="810"/>
        <v>2640</v>
      </c>
      <c r="O3714" s="47"/>
      <c r="P3714" s="47"/>
      <c r="Q3714" s="47"/>
      <c r="R3714" s="47"/>
      <c r="S3714" s="47"/>
      <c r="T3714" s="47">
        <f t="shared" si="811"/>
        <v>780</v>
      </c>
      <c r="U3714" s="47"/>
      <c r="V3714" s="47"/>
      <c r="W3714" s="47"/>
      <c r="X3714" s="47"/>
      <c r="Y3714" s="47"/>
      <c r="Z3714" s="47">
        <f t="shared" si="812"/>
        <v>4620</v>
      </c>
      <c r="AA3714" s="47"/>
      <c r="AB3714" s="47"/>
      <c r="AC3714" s="47">
        <f t="shared" si="813"/>
        <v>5200</v>
      </c>
      <c r="AD3714" s="47"/>
      <c r="AE3714" s="47"/>
      <c r="AF3714" s="47">
        <f t="shared" si="814"/>
        <v>1485</v>
      </c>
      <c r="AG3714" s="47"/>
      <c r="AH3714" s="47" t="str">
        <f>IFERROR(_xlfn.XLOOKUP(Table6[[#This Row],[Suburb]],Table5[Travel Surcharge],Table5[$$]),"")</f>
        <v/>
      </c>
      <c r="AI3714" s="47"/>
      <c r="AJ3714" s="47"/>
    </row>
    <row r="3715" spans="1:36">
      <c r="A3715" s="374" t="s">
        <v>5452</v>
      </c>
      <c r="B3715" s="374" t="s">
        <v>5465</v>
      </c>
      <c r="C3715" s="374" t="s">
        <v>1590</v>
      </c>
      <c r="D3715" s="375" t="str">
        <f t="shared" si="809"/>
        <v>Saltwater Coast Estate34A</v>
      </c>
      <c r="E3715" s="375" t="s">
        <v>5466</v>
      </c>
      <c r="F3715" s="375" t="s">
        <v>5454</v>
      </c>
      <c r="G3715" s="375" t="s">
        <v>4185</v>
      </c>
      <c r="H3715" s="375" t="s">
        <v>4186</v>
      </c>
      <c r="I3715" s="63" t="s">
        <v>5455</v>
      </c>
      <c r="J3715" s="47"/>
      <c r="K3715" s="46" t="s">
        <v>317</v>
      </c>
      <c r="L3715" s="47"/>
      <c r="M3715" s="47"/>
      <c r="N3715" s="47">
        <f t="shared" si="810"/>
        <v>2640</v>
      </c>
      <c r="O3715" s="47"/>
      <c r="P3715" s="47"/>
      <c r="Q3715" s="47"/>
      <c r="R3715" s="47"/>
      <c r="S3715" s="47"/>
      <c r="T3715" s="47">
        <f t="shared" si="811"/>
        <v>780</v>
      </c>
      <c r="U3715" s="47"/>
      <c r="V3715" s="47"/>
      <c r="W3715" s="47"/>
      <c r="X3715" s="47"/>
      <c r="Y3715" s="47"/>
      <c r="Z3715" s="47">
        <f t="shared" si="812"/>
        <v>4620</v>
      </c>
      <c r="AA3715" s="47"/>
      <c r="AB3715" s="47"/>
      <c r="AC3715" s="47">
        <f t="shared" si="813"/>
        <v>5200</v>
      </c>
      <c r="AD3715" s="47"/>
      <c r="AE3715" s="47"/>
      <c r="AF3715" s="47">
        <f t="shared" si="814"/>
        <v>1485</v>
      </c>
      <c r="AG3715" s="47"/>
      <c r="AH3715" s="47" t="str">
        <f>IFERROR(_xlfn.XLOOKUP(Table6[[#This Row],[Suburb]],Table5[Travel Surcharge],Table5[$$]),"")</f>
        <v/>
      </c>
      <c r="AI3715" s="47"/>
      <c r="AJ3715" s="47"/>
    </row>
    <row r="3716" spans="1:36">
      <c r="A3716" s="374" t="s">
        <v>5452</v>
      </c>
      <c r="B3716" s="374" t="s">
        <v>5467</v>
      </c>
      <c r="C3716" s="374" t="s">
        <v>1590</v>
      </c>
      <c r="D3716" s="375" t="str">
        <f t="shared" si="809"/>
        <v>Saltwater Coast Estate35A</v>
      </c>
      <c r="E3716" s="375" t="s">
        <v>5468</v>
      </c>
      <c r="F3716" s="375" t="s">
        <v>5454</v>
      </c>
      <c r="G3716" s="375" t="s">
        <v>4185</v>
      </c>
      <c r="H3716" s="375" t="s">
        <v>4186</v>
      </c>
      <c r="I3716" s="63" t="s">
        <v>5455</v>
      </c>
      <c r="J3716" s="47"/>
      <c r="K3716" s="46" t="s">
        <v>317</v>
      </c>
      <c r="L3716" s="47"/>
      <c r="M3716" s="47"/>
      <c r="N3716" s="47">
        <f t="shared" si="810"/>
        <v>2640</v>
      </c>
      <c r="O3716" s="47"/>
      <c r="P3716" s="47"/>
      <c r="Q3716" s="47"/>
      <c r="R3716" s="47"/>
      <c r="S3716" s="47"/>
      <c r="T3716" s="47">
        <f t="shared" si="811"/>
        <v>780</v>
      </c>
      <c r="U3716" s="47"/>
      <c r="V3716" s="47"/>
      <c r="W3716" s="47"/>
      <c r="X3716" s="47"/>
      <c r="Y3716" s="47"/>
      <c r="Z3716" s="47">
        <f t="shared" si="812"/>
        <v>4620</v>
      </c>
      <c r="AA3716" s="47"/>
      <c r="AB3716" s="47"/>
      <c r="AC3716" s="47">
        <f t="shared" si="813"/>
        <v>5200</v>
      </c>
      <c r="AD3716" s="47"/>
      <c r="AE3716" s="47"/>
      <c r="AF3716" s="47">
        <f t="shared" si="814"/>
        <v>1485</v>
      </c>
      <c r="AG3716" s="47"/>
      <c r="AH3716" s="47" t="str">
        <f>IFERROR(_xlfn.XLOOKUP(Table6[[#This Row],[Suburb]],Table5[Travel Surcharge],Table5[$$]),"")</f>
        <v/>
      </c>
      <c r="AI3716" s="47">
        <f>AI$7</f>
        <v>1650.0000000000002</v>
      </c>
      <c r="AJ3716" s="47"/>
    </row>
    <row r="3717" spans="1:36">
      <c r="A3717" s="374" t="s">
        <v>9592</v>
      </c>
      <c r="B3717" s="374">
        <v>1</v>
      </c>
      <c r="C3717" s="374" t="s">
        <v>550</v>
      </c>
      <c r="D3717" s="375" t="str">
        <f t="shared" si="809"/>
        <v>Samara 1</v>
      </c>
      <c r="E3717" s="375" t="s">
        <v>9593</v>
      </c>
      <c r="F3717" s="375"/>
      <c r="G3717" s="375" t="s">
        <v>9595</v>
      </c>
      <c r="H3717" s="375" t="s">
        <v>9596</v>
      </c>
      <c r="I3717" s="63" t="s">
        <v>9597</v>
      </c>
      <c r="J3717" s="47"/>
      <c r="K3717" s="46"/>
      <c r="L3717" s="47" t="s">
        <v>9298</v>
      </c>
      <c r="M3717" s="47">
        <f>$M$7</f>
        <v>1430.0000000000002</v>
      </c>
      <c r="N3717" s="47"/>
      <c r="O3717" s="47">
        <f>O$7</f>
        <v>4950</v>
      </c>
      <c r="P3717" s="47" t="s">
        <v>9598</v>
      </c>
      <c r="Q3717" s="47"/>
      <c r="R3717" s="47"/>
      <c r="S3717" s="47"/>
      <c r="T3717" s="47" t="s">
        <v>9602</v>
      </c>
      <c r="U3717" s="47"/>
      <c r="V3717" s="47"/>
      <c r="W3717" s="47"/>
      <c r="X3717" s="47"/>
      <c r="Y3717" s="47"/>
      <c r="Z3717" s="47">
        <f t="shared" si="812"/>
        <v>4620</v>
      </c>
      <c r="AA3717" s="47"/>
      <c r="AB3717" s="47"/>
      <c r="AC3717" s="47"/>
      <c r="AD3717" s="47"/>
      <c r="AE3717" s="47"/>
      <c r="AF3717" s="47">
        <v>1650.0000000000002</v>
      </c>
      <c r="AG3717" s="47"/>
      <c r="AH3717" s="47" t="str">
        <f>IFERROR(_xlfn.XLOOKUP(Table6[[#This Row],[Suburb]],Table5[Travel Surcharge],Table5[$$]),"")</f>
        <v/>
      </c>
      <c r="AI3717" s="47"/>
      <c r="AJ3717" s="47"/>
    </row>
    <row r="3718" spans="1:36">
      <c r="A3718" s="374" t="s">
        <v>9592</v>
      </c>
      <c r="B3718" s="374">
        <v>2</v>
      </c>
      <c r="C3718" s="374" t="s">
        <v>7458</v>
      </c>
      <c r="D3718" s="375" t="str">
        <f t="shared" si="809"/>
        <v>Samara 2</v>
      </c>
      <c r="E3718" s="375" t="s">
        <v>9594</v>
      </c>
      <c r="F3718" s="375"/>
      <c r="G3718" s="375" t="s">
        <v>9595</v>
      </c>
      <c r="H3718" s="375" t="s">
        <v>9596</v>
      </c>
      <c r="I3718" s="63" t="s">
        <v>9597</v>
      </c>
      <c r="J3718" s="47"/>
      <c r="K3718" s="46"/>
      <c r="L3718" s="47" t="s">
        <v>9298</v>
      </c>
      <c r="M3718" s="47">
        <f>$M$7</f>
        <v>1430.0000000000002</v>
      </c>
      <c r="N3718" s="47"/>
      <c r="O3718" s="47">
        <f>O$7</f>
        <v>4950</v>
      </c>
      <c r="P3718" s="47" t="s">
        <v>9598</v>
      </c>
      <c r="Q3718" s="47"/>
      <c r="R3718" s="47"/>
      <c r="S3718" s="47"/>
      <c r="T3718" s="47" t="s">
        <v>9602</v>
      </c>
      <c r="U3718" s="47"/>
      <c r="V3718" s="47"/>
      <c r="W3718" s="47"/>
      <c r="X3718" s="47"/>
      <c r="Y3718" s="47"/>
      <c r="Z3718" s="47">
        <f t="shared" si="812"/>
        <v>4620</v>
      </c>
      <c r="AA3718" s="47"/>
      <c r="AB3718" s="47"/>
      <c r="AC3718" s="47"/>
      <c r="AD3718" s="47"/>
      <c r="AE3718" s="47"/>
      <c r="AF3718" s="47">
        <v>1650.0000000000002</v>
      </c>
      <c r="AG3718" s="47"/>
      <c r="AH3718" s="47" t="str">
        <f>IFERROR(_xlfn.XLOOKUP(Table6[[#This Row],[Suburb]],Table5[Travel Surcharge],Table5[$$]),"")</f>
        <v/>
      </c>
      <c r="AI3718" s="47"/>
      <c r="AJ3718" s="47"/>
    </row>
    <row r="3719" spans="1:36">
      <c r="A3719" s="374" t="s">
        <v>5478</v>
      </c>
      <c r="B3719" s="374">
        <v>2</v>
      </c>
      <c r="C3719" s="374" t="s">
        <v>281</v>
      </c>
      <c r="D3719" s="375" t="s">
        <v>5479</v>
      </c>
      <c r="E3719" s="375" t="s">
        <v>5480</v>
      </c>
      <c r="F3719" s="375" t="s">
        <v>1056</v>
      </c>
      <c r="G3719" s="375" t="s">
        <v>5481</v>
      </c>
      <c r="H3719" s="375" t="s">
        <v>1903</v>
      </c>
      <c r="I3719" s="63" t="s">
        <v>5482</v>
      </c>
      <c r="J3719" s="47">
        <v>3740</v>
      </c>
      <c r="K3719" s="46" t="s">
        <v>7938</v>
      </c>
      <c r="L3719" s="47"/>
      <c r="M3719" s="47"/>
      <c r="N3719" s="47"/>
      <c r="O3719" s="47"/>
      <c r="P3719" s="47"/>
      <c r="Q3719" s="47"/>
      <c r="R3719" s="47"/>
      <c r="S3719" s="47"/>
      <c r="T3719" s="47">
        <f>T$2</f>
        <v>780</v>
      </c>
      <c r="U3719" s="47"/>
      <c r="V3719" s="47"/>
      <c r="W3719" s="47"/>
      <c r="X3719" s="47"/>
      <c r="Y3719" s="47"/>
      <c r="Z3719" s="47">
        <v>4620</v>
      </c>
      <c r="AA3719" s="47"/>
      <c r="AB3719" s="47"/>
      <c r="AC3719" s="47"/>
      <c r="AD3719" s="47"/>
      <c r="AE3719" s="47"/>
      <c r="AF3719" s="47">
        <v>1650.0000000000002</v>
      </c>
      <c r="AG3719" s="47"/>
      <c r="AH3719" s="47">
        <f>IFERROR(_xlfn.XLOOKUP(Table6[[#This Row],[Suburb]],Table5[Travel Surcharge],Table5[$$]),"")</f>
        <v>1500</v>
      </c>
      <c r="AI3719" s="47"/>
      <c r="AJ3719" s="47"/>
    </row>
    <row r="3720" spans="1:36">
      <c r="A3720" s="374" t="s">
        <v>5478</v>
      </c>
      <c r="B3720" s="374">
        <v>2</v>
      </c>
      <c r="C3720" s="374" t="s">
        <v>5483</v>
      </c>
      <c r="D3720" s="375" t="str">
        <f t="shared" ref="D3720:D3754" si="815">CONCATENATE(A3720,B3720)</f>
        <v>Sanctuary Estate2</v>
      </c>
      <c r="E3720" s="375" t="s">
        <v>5484</v>
      </c>
      <c r="F3720" s="375" t="s">
        <v>457</v>
      </c>
      <c r="G3720" s="375" t="s">
        <v>5485</v>
      </c>
      <c r="H3720" s="375" t="s">
        <v>5486</v>
      </c>
      <c r="I3720" s="63" t="s">
        <v>5487</v>
      </c>
      <c r="J3720" s="47"/>
      <c r="K3720" s="46" t="s">
        <v>10735</v>
      </c>
      <c r="L3720" s="47"/>
      <c r="M3720" s="47"/>
      <c r="N3720" s="47"/>
      <c r="O3720" s="47"/>
      <c r="P3720" s="47"/>
      <c r="Q3720" s="47"/>
      <c r="R3720" s="47">
        <f>R$2</f>
        <v>540</v>
      </c>
      <c r="S3720" s="47"/>
      <c r="T3720" s="47"/>
      <c r="U3720" s="47"/>
      <c r="V3720" s="47"/>
      <c r="W3720" s="47"/>
      <c r="X3720" s="47"/>
      <c r="Y3720" s="47"/>
      <c r="Z3720" s="47">
        <f t="shared" ref="Z3720:Z3728" si="816">Z$7</f>
        <v>4620</v>
      </c>
      <c r="AA3720" s="47"/>
      <c r="AB3720" s="47"/>
      <c r="AC3720" s="47"/>
      <c r="AD3720" s="47"/>
      <c r="AE3720" s="47"/>
      <c r="AF3720" s="47"/>
      <c r="AG3720" s="47"/>
      <c r="AH3720" s="47" t="str">
        <f>IFERROR(_xlfn.XLOOKUP(Table6[[#This Row],[Suburb]],Table5[Travel Surcharge],Table5[$$]),"")</f>
        <v/>
      </c>
      <c r="AI3720" s="47">
        <f t="shared" ref="AI3720:AI3726" si="817">AI$7</f>
        <v>1650.0000000000002</v>
      </c>
      <c r="AJ3720" s="47"/>
    </row>
    <row r="3721" spans="1:36">
      <c r="A3721" s="374" t="s">
        <v>5478</v>
      </c>
      <c r="B3721" s="374">
        <v>3</v>
      </c>
      <c r="C3721" s="374" t="s">
        <v>281</v>
      </c>
      <c r="D3721" s="375" t="str">
        <f t="shared" si="815"/>
        <v>Sanctuary Estate3</v>
      </c>
      <c r="E3721" s="375" t="s">
        <v>5488</v>
      </c>
      <c r="F3721" s="375" t="s">
        <v>1056</v>
      </c>
      <c r="G3721" s="375" t="s">
        <v>5481</v>
      </c>
      <c r="H3721" s="375" t="s">
        <v>1903</v>
      </c>
      <c r="I3721" s="63" t="s">
        <v>5482</v>
      </c>
      <c r="J3721" s="47">
        <f t="shared" ref="J3721:J3726" si="818">J$7</f>
        <v>3740</v>
      </c>
      <c r="K3721" s="46" t="s">
        <v>7938</v>
      </c>
      <c r="L3721" s="47"/>
      <c r="M3721" s="47"/>
      <c r="N3721" s="47"/>
      <c r="O3721" s="47"/>
      <c r="P3721" s="47"/>
      <c r="Q3721" s="47"/>
      <c r="R3721" s="47"/>
      <c r="S3721" s="47"/>
      <c r="T3721" s="47">
        <f t="shared" ref="T3721:T3726" si="819">T$2</f>
        <v>780</v>
      </c>
      <c r="U3721" s="47"/>
      <c r="V3721" s="47"/>
      <c r="W3721" s="47"/>
      <c r="X3721" s="47"/>
      <c r="Y3721" s="47"/>
      <c r="Z3721" s="47">
        <f t="shared" si="816"/>
        <v>4620</v>
      </c>
      <c r="AA3721" s="47"/>
      <c r="AB3721" s="47"/>
      <c r="AC3721" s="47"/>
      <c r="AD3721" s="47"/>
      <c r="AE3721" s="47"/>
      <c r="AF3721" s="47">
        <f t="shared" ref="AF3721:AF3726" si="820">AF$7</f>
        <v>1485</v>
      </c>
      <c r="AG3721" s="47"/>
      <c r="AH3721" s="47">
        <f>IFERROR(_xlfn.XLOOKUP(Table6[[#This Row],[Suburb]],Table5[Travel Surcharge],Table5[$$]),"")</f>
        <v>1500</v>
      </c>
      <c r="AI3721" s="47">
        <f t="shared" si="817"/>
        <v>1650.0000000000002</v>
      </c>
      <c r="AJ3721" s="47"/>
    </row>
    <row r="3722" spans="1:36">
      <c r="A3722" s="374" t="s">
        <v>5478</v>
      </c>
      <c r="B3722" s="374">
        <v>4</v>
      </c>
      <c r="C3722" s="374" t="s">
        <v>281</v>
      </c>
      <c r="D3722" s="375" t="str">
        <f t="shared" si="815"/>
        <v>Sanctuary Estate4</v>
      </c>
      <c r="E3722" s="375" t="s">
        <v>5489</v>
      </c>
      <c r="F3722" s="375" t="s">
        <v>1056</v>
      </c>
      <c r="G3722" s="375" t="s">
        <v>5481</v>
      </c>
      <c r="H3722" s="375" t="s">
        <v>1903</v>
      </c>
      <c r="I3722" s="63" t="s">
        <v>5482</v>
      </c>
      <c r="J3722" s="47">
        <f t="shared" si="818"/>
        <v>3740</v>
      </c>
      <c r="K3722" s="46" t="s">
        <v>7938</v>
      </c>
      <c r="L3722" s="47"/>
      <c r="M3722" s="47"/>
      <c r="N3722" s="47"/>
      <c r="O3722" s="47"/>
      <c r="P3722" s="47"/>
      <c r="Q3722" s="47"/>
      <c r="R3722" s="47"/>
      <c r="S3722" s="47"/>
      <c r="T3722" s="47">
        <f t="shared" si="819"/>
        <v>780</v>
      </c>
      <c r="U3722" s="47"/>
      <c r="V3722" s="47"/>
      <c r="W3722" s="47"/>
      <c r="X3722" s="47"/>
      <c r="Y3722" s="47"/>
      <c r="Z3722" s="47">
        <f t="shared" si="816"/>
        <v>4620</v>
      </c>
      <c r="AA3722" s="47"/>
      <c r="AB3722" s="47"/>
      <c r="AC3722" s="47"/>
      <c r="AD3722" s="47"/>
      <c r="AE3722" s="47"/>
      <c r="AF3722" s="47">
        <f t="shared" si="820"/>
        <v>1485</v>
      </c>
      <c r="AG3722" s="47"/>
      <c r="AH3722" s="47">
        <f>IFERROR(_xlfn.XLOOKUP(Table6[[#This Row],[Suburb]],Table5[Travel Surcharge],Table5[$$]),"")</f>
        <v>1500</v>
      </c>
      <c r="AI3722" s="47">
        <f t="shared" si="817"/>
        <v>1650.0000000000002</v>
      </c>
      <c r="AJ3722" s="47"/>
    </row>
    <row r="3723" spans="1:36">
      <c r="A3723" s="374" t="s">
        <v>5478</v>
      </c>
      <c r="B3723" s="374">
        <v>5</v>
      </c>
      <c r="C3723" s="374" t="s">
        <v>281</v>
      </c>
      <c r="D3723" s="375" t="str">
        <f t="shared" si="815"/>
        <v>Sanctuary Estate5</v>
      </c>
      <c r="E3723" s="375" t="s">
        <v>5490</v>
      </c>
      <c r="F3723" s="375" t="s">
        <v>1056</v>
      </c>
      <c r="G3723" s="375" t="s">
        <v>5481</v>
      </c>
      <c r="H3723" s="375" t="s">
        <v>1903</v>
      </c>
      <c r="I3723" s="63" t="s">
        <v>5482</v>
      </c>
      <c r="J3723" s="47">
        <f t="shared" si="818"/>
        <v>3740</v>
      </c>
      <c r="K3723" s="46" t="s">
        <v>7938</v>
      </c>
      <c r="L3723" s="47"/>
      <c r="M3723" s="47"/>
      <c r="N3723" s="47"/>
      <c r="O3723" s="47"/>
      <c r="P3723" s="47"/>
      <c r="Q3723" s="47"/>
      <c r="R3723" s="47"/>
      <c r="S3723" s="47"/>
      <c r="T3723" s="47">
        <f t="shared" si="819"/>
        <v>780</v>
      </c>
      <c r="U3723" s="47"/>
      <c r="V3723" s="47"/>
      <c r="W3723" s="47"/>
      <c r="X3723" s="47"/>
      <c r="Y3723" s="47"/>
      <c r="Z3723" s="47">
        <f t="shared" si="816"/>
        <v>4620</v>
      </c>
      <c r="AA3723" s="47"/>
      <c r="AB3723" s="47"/>
      <c r="AC3723" s="47"/>
      <c r="AD3723" s="47"/>
      <c r="AE3723" s="47"/>
      <c r="AF3723" s="47">
        <f t="shared" si="820"/>
        <v>1485</v>
      </c>
      <c r="AG3723" s="47"/>
      <c r="AH3723" s="47">
        <f>IFERROR(_xlfn.XLOOKUP(Table6[[#This Row],[Suburb]],Table5[Travel Surcharge],Table5[$$]),"")</f>
        <v>1500</v>
      </c>
      <c r="AI3723" s="47">
        <f t="shared" si="817"/>
        <v>1650.0000000000002</v>
      </c>
      <c r="AJ3723" s="47"/>
    </row>
    <row r="3724" spans="1:36">
      <c r="A3724" s="374" t="s">
        <v>5478</v>
      </c>
      <c r="B3724" s="374">
        <v>6</v>
      </c>
      <c r="C3724" s="374" t="s">
        <v>281</v>
      </c>
      <c r="D3724" s="375" t="str">
        <f t="shared" si="815"/>
        <v>Sanctuary Estate6</v>
      </c>
      <c r="E3724" s="375" t="s">
        <v>5491</v>
      </c>
      <c r="F3724" s="375" t="s">
        <v>1056</v>
      </c>
      <c r="G3724" s="375" t="s">
        <v>5481</v>
      </c>
      <c r="H3724" s="375" t="s">
        <v>1903</v>
      </c>
      <c r="I3724" s="63" t="s">
        <v>5482</v>
      </c>
      <c r="J3724" s="47">
        <f t="shared" si="818"/>
        <v>3740</v>
      </c>
      <c r="K3724" s="46" t="s">
        <v>7938</v>
      </c>
      <c r="L3724" s="47"/>
      <c r="M3724" s="47"/>
      <c r="N3724" s="47"/>
      <c r="O3724" s="47"/>
      <c r="P3724" s="47"/>
      <c r="Q3724" s="47"/>
      <c r="R3724" s="47"/>
      <c r="S3724" s="47"/>
      <c r="T3724" s="47">
        <f t="shared" si="819"/>
        <v>780</v>
      </c>
      <c r="U3724" s="47"/>
      <c r="V3724" s="47"/>
      <c r="W3724" s="47"/>
      <c r="X3724" s="47"/>
      <c r="Y3724" s="47"/>
      <c r="Z3724" s="47">
        <f t="shared" si="816"/>
        <v>4620</v>
      </c>
      <c r="AA3724" s="47"/>
      <c r="AB3724" s="47"/>
      <c r="AC3724" s="47"/>
      <c r="AD3724" s="47"/>
      <c r="AE3724" s="47"/>
      <c r="AF3724" s="47">
        <f t="shared" si="820"/>
        <v>1485</v>
      </c>
      <c r="AG3724" s="47"/>
      <c r="AH3724" s="47">
        <f>IFERROR(_xlfn.XLOOKUP(Table6[[#This Row],[Suburb]],Table5[Travel Surcharge],Table5[$$]),"")</f>
        <v>1500</v>
      </c>
      <c r="AI3724" s="47">
        <f t="shared" si="817"/>
        <v>1650.0000000000002</v>
      </c>
      <c r="AJ3724" s="47"/>
    </row>
    <row r="3725" spans="1:36">
      <c r="A3725" s="374" t="s">
        <v>5478</v>
      </c>
      <c r="B3725" s="374">
        <v>7</v>
      </c>
      <c r="C3725" s="374" t="s">
        <v>281</v>
      </c>
      <c r="D3725" s="375" t="str">
        <f t="shared" si="815"/>
        <v>Sanctuary Estate7</v>
      </c>
      <c r="E3725" s="375" t="s">
        <v>5493</v>
      </c>
      <c r="F3725" s="375" t="s">
        <v>1056</v>
      </c>
      <c r="G3725" s="375" t="s">
        <v>5481</v>
      </c>
      <c r="H3725" s="375" t="s">
        <v>1903</v>
      </c>
      <c r="I3725" s="63" t="s">
        <v>5482</v>
      </c>
      <c r="J3725" s="47">
        <f t="shared" si="818"/>
        <v>3740</v>
      </c>
      <c r="K3725" s="46" t="s">
        <v>7938</v>
      </c>
      <c r="L3725" s="47"/>
      <c r="M3725" s="47"/>
      <c r="N3725" s="47"/>
      <c r="O3725" s="47"/>
      <c r="P3725" s="47"/>
      <c r="Q3725" s="47"/>
      <c r="R3725" s="47"/>
      <c r="S3725" s="47"/>
      <c r="T3725" s="47">
        <f t="shared" si="819"/>
        <v>780</v>
      </c>
      <c r="U3725" s="47"/>
      <c r="V3725" s="47"/>
      <c r="W3725" s="47"/>
      <c r="X3725" s="47"/>
      <c r="Y3725" s="47"/>
      <c r="Z3725" s="47">
        <f t="shared" si="816"/>
        <v>4620</v>
      </c>
      <c r="AA3725" s="47"/>
      <c r="AB3725" s="47"/>
      <c r="AC3725" s="47"/>
      <c r="AD3725" s="47"/>
      <c r="AE3725" s="47"/>
      <c r="AF3725" s="47">
        <f t="shared" si="820"/>
        <v>1485</v>
      </c>
      <c r="AG3725" s="47"/>
      <c r="AH3725" s="47">
        <f>IFERROR(_xlfn.XLOOKUP(Table6[[#This Row],[Suburb]],Table5[Travel Surcharge],Table5[$$]),"")</f>
        <v>1500</v>
      </c>
      <c r="AI3725" s="47">
        <f t="shared" si="817"/>
        <v>1650.0000000000002</v>
      </c>
      <c r="AJ3725" s="47"/>
    </row>
    <row r="3726" spans="1:36">
      <c r="A3726" s="374" t="s">
        <v>5478</v>
      </c>
      <c r="B3726" s="374" t="s">
        <v>624</v>
      </c>
      <c r="C3726" s="374" t="s">
        <v>281</v>
      </c>
      <c r="D3726" s="375" t="str">
        <f t="shared" si="815"/>
        <v>Sanctuary Estate6B</v>
      </c>
      <c r="E3726" s="375" t="s">
        <v>5492</v>
      </c>
      <c r="F3726" s="375" t="s">
        <v>1056</v>
      </c>
      <c r="G3726" s="375" t="s">
        <v>5481</v>
      </c>
      <c r="H3726" s="375" t="s">
        <v>1903</v>
      </c>
      <c r="I3726" s="63" t="s">
        <v>5482</v>
      </c>
      <c r="J3726" s="47">
        <f t="shared" si="818"/>
        <v>3740</v>
      </c>
      <c r="K3726" s="46" t="s">
        <v>7938</v>
      </c>
      <c r="L3726" s="47"/>
      <c r="M3726" s="47"/>
      <c r="N3726" s="47"/>
      <c r="O3726" s="47"/>
      <c r="P3726" s="47"/>
      <c r="Q3726" s="47"/>
      <c r="R3726" s="47"/>
      <c r="S3726" s="47"/>
      <c r="T3726" s="47">
        <f t="shared" si="819"/>
        <v>780</v>
      </c>
      <c r="U3726" s="47"/>
      <c r="V3726" s="47"/>
      <c r="W3726" s="47"/>
      <c r="X3726" s="47"/>
      <c r="Y3726" s="47"/>
      <c r="Z3726" s="47">
        <f t="shared" si="816"/>
        <v>4620</v>
      </c>
      <c r="AA3726" s="47"/>
      <c r="AB3726" s="47"/>
      <c r="AC3726" s="47"/>
      <c r="AD3726" s="47"/>
      <c r="AE3726" s="47"/>
      <c r="AF3726" s="47">
        <f t="shared" si="820"/>
        <v>1485</v>
      </c>
      <c r="AG3726" s="47"/>
      <c r="AH3726" s="47">
        <f>IFERROR(_xlfn.XLOOKUP(Table6[[#This Row],[Suburb]],Table5[Travel Surcharge],Table5[$$]),"")</f>
        <v>1500</v>
      </c>
      <c r="AI3726" s="47">
        <f t="shared" si="817"/>
        <v>1650.0000000000002</v>
      </c>
      <c r="AJ3726" s="47"/>
    </row>
    <row r="3727" spans="1:36">
      <c r="A3727" s="374" t="s">
        <v>5494</v>
      </c>
      <c r="B3727" s="374">
        <v>19</v>
      </c>
      <c r="C3727" s="374" t="s">
        <v>1590</v>
      </c>
      <c r="D3727" s="375" t="str">
        <f t="shared" si="815"/>
        <v>Sanctuary Lakes Estate19</v>
      </c>
      <c r="E3727" s="375" t="s">
        <v>5495</v>
      </c>
      <c r="F3727" s="375"/>
      <c r="G3727" s="375" t="s">
        <v>5496</v>
      </c>
      <c r="H3727" s="375" t="s">
        <v>5497</v>
      </c>
      <c r="I3727" s="63" t="s">
        <v>5498</v>
      </c>
      <c r="J3727" s="47"/>
      <c r="K3727" s="46" t="s">
        <v>10735</v>
      </c>
      <c r="L3727" s="47"/>
      <c r="M3727" s="47"/>
      <c r="N3727" s="47"/>
      <c r="O3727" s="47"/>
      <c r="P3727" s="47"/>
      <c r="Q3727" s="47">
        <f t="shared" ref="Q3727:Q3735" si="821">Q$2</f>
        <v>0</v>
      </c>
      <c r="R3727" s="47"/>
      <c r="S3727" s="47"/>
      <c r="T3727" s="47"/>
      <c r="U3727" s="47"/>
      <c r="V3727" s="47"/>
      <c r="W3727" s="47"/>
      <c r="X3727" s="47"/>
      <c r="Y3727" s="47"/>
      <c r="Z3727" s="47">
        <f t="shared" si="816"/>
        <v>4620</v>
      </c>
      <c r="AA3727" s="47"/>
      <c r="AB3727" s="47"/>
      <c r="AC3727" s="47"/>
      <c r="AD3727" s="47"/>
      <c r="AE3727" s="47"/>
      <c r="AF3727" s="47"/>
      <c r="AG3727" s="47"/>
      <c r="AH3727" s="47" t="str">
        <f>IFERROR(_xlfn.XLOOKUP(Table6[[#This Row],[Suburb]],Table5[Travel Surcharge],Table5[$$]),"")</f>
        <v/>
      </c>
      <c r="AI3727" s="47"/>
      <c r="AJ3727" s="47"/>
    </row>
    <row r="3728" spans="1:36">
      <c r="A3728" s="374" t="s">
        <v>5494</v>
      </c>
      <c r="B3728" s="374">
        <v>32</v>
      </c>
      <c r="C3728" s="374" t="s">
        <v>1590</v>
      </c>
      <c r="D3728" s="375" t="str">
        <f t="shared" si="815"/>
        <v>Sanctuary Lakes Estate32</v>
      </c>
      <c r="E3728" s="375" t="s">
        <v>5495</v>
      </c>
      <c r="F3728" s="375"/>
      <c r="G3728" s="375" t="s">
        <v>5496</v>
      </c>
      <c r="H3728" s="375" t="s">
        <v>5497</v>
      </c>
      <c r="I3728" s="63" t="s">
        <v>5498</v>
      </c>
      <c r="J3728" s="47"/>
      <c r="K3728" s="46" t="s">
        <v>10735</v>
      </c>
      <c r="L3728" s="47"/>
      <c r="M3728" s="47"/>
      <c r="N3728" s="47"/>
      <c r="O3728" s="47"/>
      <c r="P3728" s="47"/>
      <c r="Q3728" s="47">
        <f t="shared" si="821"/>
        <v>0</v>
      </c>
      <c r="R3728" s="47"/>
      <c r="S3728" s="47"/>
      <c r="T3728" s="47"/>
      <c r="U3728" s="47"/>
      <c r="V3728" s="47"/>
      <c r="W3728" s="47"/>
      <c r="X3728" s="47"/>
      <c r="Y3728" s="47"/>
      <c r="Z3728" s="47">
        <f t="shared" si="816"/>
        <v>4620</v>
      </c>
      <c r="AA3728" s="47"/>
      <c r="AB3728" s="47"/>
      <c r="AC3728" s="47"/>
      <c r="AD3728" s="47"/>
      <c r="AE3728" s="47"/>
      <c r="AF3728" s="47"/>
      <c r="AG3728" s="47"/>
      <c r="AH3728" s="47" t="str">
        <f>IFERROR(_xlfn.XLOOKUP(Table6[[#This Row],[Suburb]],Table5[Travel Surcharge],Table5[$$]),"")</f>
        <v/>
      </c>
      <c r="AI3728" s="47"/>
      <c r="AJ3728" s="47"/>
    </row>
    <row r="3729" spans="1:36">
      <c r="A3729" s="374" t="s">
        <v>5469</v>
      </c>
      <c r="B3729" s="374">
        <v>1</v>
      </c>
      <c r="C3729" s="374" t="s">
        <v>283</v>
      </c>
      <c r="D3729" s="375" t="str">
        <f t="shared" si="815"/>
        <v>Sanctuary Springs1</v>
      </c>
      <c r="E3729" s="375" t="s">
        <v>5470</v>
      </c>
      <c r="F3729" s="375" t="s">
        <v>5471</v>
      </c>
      <c r="G3729" s="375" t="s">
        <v>5472</v>
      </c>
      <c r="H3729" s="375" t="s">
        <v>5473</v>
      </c>
      <c r="I3729" s="63" t="s">
        <v>5474</v>
      </c>
      <c r="J3729" s="47"/>
      <c r="K3729" s="46" t="s">
        <v>10735</v>
      </c>
      <c r="L3729" s="47"/>
      <c r="M3729" s="47"/>
      <c r="N3729" s="47" t="s">
        <v>5475</v>
      </c>
      <c r="O3729" s="47"/>
      <c r="P3729" s="47"/>
      <c r="Q3729" s="47">
        <f t="shared" si="821"/>
        <v>0</v>
      </c>
      <c r="R3729" s="47"/>
      <c r="S3729" s="47"/>
      <c r="T3729" s="47"/>
      <c r="U3729" s="47"/>
      <c r="V3729" s="47"/>
      <c r="W3729" s="47"/>
      <c r="X3729" s="47"/>
      <c r="Y3729" s="47"/>
      <c r="Z3729" s="47">
        <v>4620</v>
      </c>
      <c r="AA3729" s="47"/>
      <c r="AB3729" s="47"/>
      <c r="AC3729" s="47"/>
      <c r="AD3729" s="47"/>
      <c r="AE3729" s="47"/>
      <c r="AF3729" s="47">
        <v>1650.0000000000002</v>
      </c>
      <c r="AG3729" s="47"/>
      <c r="AH3729" s="47">
        <f>IFERROR(_xlfn.XLOOKUP(Table6[[#This Row],[Suburb]],Table5[Travel Surcharge],Table5[$$]),"")</f>
        <v>1500</v>
      </c>
      <c r="AI3729" s="47"/>
      <c r="AJ3729" s="47"/>
    </row>
    <row r="3730" spans="1:36">
      <c r="A3730" s="374" t="s">
        <v>5469</v>
      </c>
      <c r="B3730" s="374">
        <v>2</v>
      </c>
      <c r="C3730" s="374" t="s">
        <v>283</v>
      </c>
      <c r="D3730" s="375" t="str">
        <f t="shared" si="815"/>
        <v>Sanctuary Springs2</v>
      </c>
      <c r="E3730" s="375" t="s">
        <v>5476</v>
      </c>
      <c r="F3730" s="375" t="s">
        <v>5471</v>
      </c>
      <c r="G3730" s="375" t="s">
        <v>5472</v>
      </c>
      <c r="H3730" s="375" t="s">
        <v>5473</v>
      </c>
      <c r="I3730" s="63" t="s">
        <v>5474</v>
      </c>
      <c r="J3730" s="47"/>
      <c r="K3730" s="46" t="s">
        <v>10735</v>
      </c>
      <c r="L3730" s="47"/>
      <c r="M3730" s="47"/>
      <c r="N3730" s="47" t="s">
        <v>5475</v>
      </c>
      <c r="O3730" s="47"/>
      <c r="P3730" s="47"/>
      <c r="Q3730" s="47">
        <f t="shared" si="821"/>
        <v>0</v>
      </c>
      <c r="R3730" s="47"/>
      <c r="S3730" s="47"/>
      <c r="T3730" s="47"/>
      <c r="U3730" s="47"/>
      <c r="V3730" s="47"/>
      <c r="W3730" s="47"/>
      <c r="X3730" s="47"/>
      <c r="Y3730" s="47"/>
      <c r="Z3730" s="47">
        <v>4620</v>
      </c>
      <c r="AA3730" s="47"/>
      <c r="AB3730" s="47"/>
      <c r="AC3730" s="47"/>
      <c r="AD3730" s="47"/>
      <c r="AE3730" s="47"/>
      <c r="AF3730" s="47">
        <v>1650.0000000000002</v>
      </c>
      <c r="AG3730" s="47"/>
      <c r="AH3730" s="47">
        <f>IFERROR(_xlfn.XLOOKUP(Table6[[#This Row],[Suburb]],Table5[Travel Surcharge],Table5[$$]),"")</f>
        <v>1500</v>
      </c>
      <c r="AI3730" s="47"/>
      <c r="AJ3730" s="47"/>
    </row>
    <row r="3731" spans="1:36">
      <c r="A3731" s="374" t="s">
        <v>5469</v>
      </c>
      <c r="B3731" s="374">
        <v>3</v>
      </c>
      <c r="C3731" s="374" t="s">
        <v>283</v>
      </c>
      <c r="D3731" s="375" t="str">
        <f t="shared" si="815"/>
        <v>Sanctuary Springs3</v>
      </c>
      <c r="E3731" s="375" t="s">
        <v>5477</v>
      </c>
      <c r="F3731" s="375" t="s">
        <v>5471</v>
      </c>
      <c r="G3731" s="375" t="s">
        <v>5472</v>
      </c>
      <c r="H3731" s="375" t="s">
        <v>5473</v>
      </c>
      <c r="I3731" s="63" t="s">
        <v>5474</v>
      </c>
      <c r="J3731" s="47"/>
      <c r="K3731" s="46" t="s">
        <v>10735</v>
      </c>
      <c r="L3731" s="47"/>
      <c r="M3731" s="47"/>
      <c r="N3731" s="47" t="s">
        <v>5475</v>
      </c>
      <c r="O3731" s="47"/>
      <c r="P3731" s="47"/>
      <c r="Q3731" s="47">
        <f t="shared" si="821"/>
        <v>0</v>
      </c>
      <c r="R3731" s="47"/>
      <c r="S3731" s="47"/>
      <c r="T3731" s="47"/>
      <c r="U3731" s="47"/>
      <c r="V3731" s="47"/>
      <c r="W3731" s="47"/>
      <c r="X3731" s="47"/>
      <c r="Y3731" s="47"/>
      <c r="Z3731" s="47">
        <v>4620</v>
      </c>
      <c r="AA3731" s="47"/>
      <c r="AB3731" s="47"/>
      <c r="AC3731" s="47"/>
      <c r="AD3731" s="47"/>
      <c r="AE3731" s="47"/>
      <c r="AF3731" s="47">
        <v>1650.0000000000002</v>
      </c>
      <c r="AG3731" s="47"/>
      <c r="AH3731" s="47">
        <f>IFERROR(_xlfn.XLOOKUP(Table6[[#This Row],[Suburb]],Table5[Travel Surcharge],Table5[$$]),"")</f>
        <v>1500</v>
      </c>
      <c r="AI3731" s="47"/>
      <c r="AJ3731" s="47"/>
    </row>
    <row r="3732" spans="1:36">
      <c r="A3732" s="374" t="s">
        <v>5499</v>
      </c>
      <c r="B3732" s="374">
        <v>2</v>
      </c>
      <c r="C3732" s="374" t="s">
        <v>385</v>
      </c>
      <c r="D3732" s="375" t="str">
        <f t="shared" si="815"/>
        <v>Sapphire2</v>
      </c>
      <c r="E3732" s="375" t="s">
        <v>5500</v>
      </c>
      <c r="F3732" s="375"/>
      <c r="G3732" s="375"/>
      <c r="H3732" s="375"/>
      <c r="I3732" s="63"/>
      <c r="J3732" s="47">
        <f>J$7</f>
        <v>3740</v>
      </c>
      <c r="K3732" s="46" t="s">
        <v>10735</v>
      </c>
      <c r="L3732" s="47"/>
      <c r="M3732" s="47"/>
      <c r="N3732" s="47"/>
      <c r="O3732" s="47"/>
      <c r="P3732" s="47"/>
      <c r="Q3732" s="47">
        <f t="shared" si="821"/>
        <v>0</v>
      </c>
      <c r="R3732" s="47"/>
      <c r="S3732" s="47"/>
      <c r="T3732" s="47"/>
      <c r="U3732" s="47"/>
      <c r="V3732" s="47"/>
      <c r="W3732" s="47"/>
      <c r="X3732" s="47"/>
      <c r="Y3732" s="47"/>
      <c r="Z3732" s="47">
        <f t="shared" ref="Z3732:Z3754" si="822">Z$7</f>
        <v>4620</v>
      </c>
      <c r="AA3732" s="47"/>
      <c r="AB3732" s="47"/>
      <c r="AC3732" s="47"/>
      <c r="AD3732" s="47"/>
      <c r="AE3732" s="47"/>
      <c r="AF3732" s="47"/>
      <c r="AG3732" s="47"/>
      <c r="AH3732" s="47" t="str">
        <f>IFERROR(_xlfn.XLOOKUP(Table6[[#This Row],[Suburb]],Table5[Travel Surcharge],Table5[$$]),"")</f>
        <v/>
      </c>
      <c r="AI3732" s="47"/>
      <c r="AJ3732" s="47"/>
    </row>
    <row r="3733" spans="1:36">
      <c r="A3733" s="157" t="s">
        <v>5499</v>
      </c>
      <c r="B3733" s="157">
        <v>4</v>
      </c>
      <c r="C3733" s="157" t="s">
        <v>385</v>
      </c>
      <c r="D3733" s="157" t="str">
        <f t="shared" si="815"/>
        <v>Sapphire4</v>
      </c>
      <c r="E3733" s="157" t="s">
        <v>8068</v>
      </c>
      <c r="F3733" s="157"/>
      <c r="G3733" s="157"/>
      <c r="H3733" s="157"/>
      <c r="I3733" s="158"/>
      <c r="J3733" s="47">
        <f>J$7</f>
        <v>3740</v>
      </c>
      <c r="K3733" s="46" t="s">
        <v>10735</v>
      </c>
      <c r="L3733" s="47"/>
      <c r="M3733" s="47"/>
      <c r="N3733" s="47"/>
      <c r="O3733" s="47"/>
      <c r="P3733" s="47"/>
      <c r="Q3733" s="47">
        <f t="shared" si="821"/>
        <v>0</v>
      </c>
      <c r="R3733" s="47"/>
      <c r="S3733" s="47"/>
      <c r="T3733" s="47"/>
      <c r="U3733" s="47"/>
      <c r="V3733" s="47"/>
      <c r="W3733" s="47"/>
      <c r="X3733" s="47"/>
      <c r="Y3733" s="47"/>
      <c r="Z3733" s="47">
        <f t="shared" si="822"/>
        <v>4620</v>
      </c>
      <c r="AA3733" s="47"/>
      <c r="AB3733" s="47"/>
      <c r="AC3733" s="47"/>
      <c r="AD3733" s="47"/>
      <c r="AE3733" s="47"/>
      <c r="AF3733" s="47"/>
      <c r="AG3733" s="47"/>
      <c r="AH3733" s="47" t="str">
        <f>IFERROR(_xlfn.XLOOKUP(Table6[[#This Row],[Suburb]],Table5[Travel Surcharge],Table5[$$]),"")</f>
        <v/>
      </c>
      <c r="AI3733" s="47"/>
      <c r="AJ3733" s="47"/>
    </row>
    <row r="3734" spans="1:36">
      <c r="A3734" s="157" t="s">
        <v>5499</v>
      </c>
      <c r="B3734" s="157">
        <v>5</v>
      </c>
      <c r="C3734" s="157" t="s">
        <v>385</v>
      </c>
      <c r="D3734" s="157" t="str">
        <f t="shared" si="815"/>
        <v>Sapphire5</v>
      </c>
      <c r="E3734" s="157" t="s">
        <v>8067</v>
      </c>
      <c r="F3734" s="157"/>
      <c r="G3734" s="157"/>
      <c r="H3734" s="157"/>
      <c r="I3734" s="158"/>
      <c r="J3734" s="47">
        <f>J$7</f>
        <v>3740</v>
      </c>
      <c r="K3734" s="46" t="s">
        <v>10735</v>
      </c>
      <c r="L3734" s="47"/>
      <c r="M3734" s="47"/>
      <c r="N3734" s="47"/>
      <c r="O3734" s="47"/>
      <c r="P3734" s="47"/>
      <c r="Q3734" s="47">
        <f t="shared" si="821"/>
        <v>0</v>
      </c>
      <c r="R3734" s="47"/>
      <c r="S3734" s="47"/>
      <c r="T3734" s="47"/>
      <c r="U3734" s="47"/>
      <c r="V3734" s="47"/>
      <c r="W3734" s="47"/>
      <c r="X3734" s="47"/>
      <c r="Y3734" s="47"/>
      <c r="Z3734" s="47">
        <f t="shared" si="822"/>
        <v>4620</v>
      </c>
      <c r="AA3734" s="47"/>
      <c r="AB3734" s="47"/>
      <c r="AC3734" s="47"/>
      <c r="AD3734" s="47"/>
      <c r="AE3734" s="47"/>
      <c r="AF3734" s="47"/>
      <c r="AG3734" s="47"/>
      <c r="AH3734" s="47" t="str">
        <f>IFERROR(_xlfn.XLOOKUP(Table6[[#This Row],[Suburb]],Table5[Travel Surcharge],Table5[$$]),"")</f>
        <v/>
      </c>
      <c r="AI3734" s="47"/>
      <c r="AJ3734" s="47"/>
    </row>
    <row r="3735" spans="1:36">
      <c r="A3735" s="157" t="s">
        <v>5499</v>
      </c>
      <c r="B3735" s="157">
        <v>6</v>
      </c>
      <c r="C3735" s="157" t="s">
        <v>8654</v>
      </c>
      <c r="D3735" s="157" t="str">
        <f t="shared" si="815"/>
        <v>Sapphire6</v>
      </c>
      <c r="E3735" s="157" t="s">
        <v>8655</v>
      </c>
      <c r="F3735" s="157"/>
      <c r="G3735" s="157"/>
      <c r="H3735" s="157"/>
      <c r="I3735" s="158"/>
      <c r="J3735" s="47">
        <f>J$7</f>
        <v>3740</v>
      </c>
      <c r="K3735" s="46" t="s">
        <v>10735</v>
      </c>
      <c r="L3735" s="47"/>
      <c r="M3735" s="47"/>
      <c r="N3735" s="47"/>
      <c r="O3735" s="47"/>
      <c r="P3735" s="47"/>
      <c r="Q3735" s="47">
        <f t="shared" si="821"/>
        <v>0</v>
      </c>
      <c r="R3735" s="47"/>
      <c r="S3735" s="47"/>
      <c r="T3735" s="47"/>
      <c r="U3735" s="47"/>
      <c r="V3735" s="47"/>
      <c r="W3735" s="47"/>
      <c r="X3735" s="47"/>
      <c r="Y3735" s="47"/>
      <c r="Z3735" s="47">
        <f t="shared" si="822"/>
        <v>4620</v>
      </c>
      <c r="AA3735" s="47"/>
      <c r="AB3735" s="47"/>
      <c r="AC3735" s="47"/>
      <c r="AD3735" s="47"/>
      <c r="AE3735" s="47"/>
      <c r="AF3735" s="47"/>
      <c r="AG3735" s="47"/>
      <c r="AH3735" s="47" t="str">
        <f>IFERROR(_xlfn.XLOOKUP(Table6[[#This Row],[Suburb]],Table5[Travel Surcharge],Table5[$$]),"")</f>
        <v/>
      </c>
      <c r="AI3735" s="47"/>
      <c r="AJ3735" s="47"/>
    </row>
    <row r="3736" spans="1:36">
      <c r="A3736" s="374" t="s">
        <v>5501</v>
      </c>
      <c r="B3736" s="374">
        <v>6</v>
      </c>
      <c r="C3736" s="374" t="s">
        <v>1590</v>
      </c>
      <c r="D3736" s="375" t="str">
        <f t="shared" si="815"/>
        <v>Saratoga Estate 6</v>
      </c>
      <c r="E3736" s="375" t="s">
        <v>5502</v>
      </c>
      <c r="F3736" s="375" t="s">
        <v>493</v>
      </c>
      <c r="G3736" s="375" t="s">
        <v>494</v>
      </c>
      <c r="H3736" s="375" t="s">
        <v>495</v>
      </c>
      <c r="I3736" s="63" t="s">
        <v>496</v>
      </c>
      <c r="J3736" s="47"/>
      <c r="K3736" s="46" t="s">
        <v>10735</v>
      </c>
      <c r="L3736" s="47"/>
      <c r="M3736" s="47"/>
      <c r="N3736" s="47"/>
      <c r="O3736" s="47"/>
      <c r="P3736" s="47"/>
      <c r="Q3736" s="47"/>
      <c r="R3736" s="47"/>
      <c r="S3736" s="47"/>
      <c r="T3736" s="47">
        <f>T$2</f>
        <v>780</v>
      </c>
      <c r="U3736" s="47"/>
      <c r="V3736" s="47"/>
      <c r="W3736" s="47"/>
      <c r="X3736" s="47"/>
      <c r="Y3736" s="47"/>
      <c r="Z3736" s="47">
        <f t="shared" si="822"/>
        <v>4620</v>
      </c>
      <c r="AA3736" s="47"/>
      <c r="AB3736" s="47"/>
      <c r="AC3736" s="47"/>
      <c r="AD3736" s="47"/>
      <c r="AE3736" s="47"/>
      <c r="AF3736" s="47"/>
      <c r="AG3736" s="47"/>
      <c r="AH3736" s="47" t="str">
        <f>IFERROR(_xlfn.XLOOKUP(Table6[[#This Row],[Suburb]],Table5[Travel Surcharge],Table5[$$]),"")</f>
        <v/>
      </c>
      <c r="AI3736" s="47"/>
      <c r="AJ3736" s="47"/>
    </row>
    <row r="3737" spans="1:36">
      <c r="A3737" s="374" t="s">
        <v>5501</v>
      </c>
      <c r="B3737" s="374">
        <v>8</v>
      </c>
      <c r="C3737" s="374" t="s">
        <v>1590</v>
      </c>
      <c r="D3737" s="375" t="str">
        <f t="shared" si="815"/>
        <v>Saratoga Estate 8</v>
      </c>
      <c r="E3737" s="375" t="s">
        <v>5502</v>
      </c>
      <c r="F3737" s="375" t="s">
        <v>493</v>
      </c>
      <c r="G3737" s="375" t="s">
        <v>494</v>
      </c>
      <c r="H3737" s="375" t="s">
        <v>495</v>
      </c>
      <c r="I3737" s="63" t="s">
        <v>496</v>
      </c>
      <c r="J3737" s="47"/>
      <c r="K3737" s="46" t="s">
        <v>10735</v>
      </c>
      <c r="L3737" s="47"/>
      <c r="M3737" s="47"/>
      <c r="N3737" s="47"/>
      <c r="O3737" s="47"/>
      <c r="P3737" s="47"/>
      <c r="Q3737" s="47"/>
      <c r="R3737" s="47"/>
      <c r="S3737" s="47"/>
      <c r="T3737" s="47">
        <f>T$2</f>
        <v>780</v>
      </c>
      <c r="U3737" s="47"/>
      <c r="V3737" s="47"/>
      <c r="W3737" s="47"/>
      <c r="X3737" s="47"/>
      <c r="Y3737" s="47"/>
      <c r="Z3737" s="47">
        <f t="shared" si="822"/>
        <v>4620</v>
      </c>
      <c r="AA3737" s="47"/>
      <c r="AB3737" s="47"/>
      <c r="AC3737" s="47"/>
      <c r="AD3737" s="47"/>
      <c r="AE3737" s="47"/>
      <c r="AF3737" s="47"/>
      <c r="AG3737" s="47"/>
      <c r="AH3737" s="47" t="str">
        <f>IFERROR(_xlfn.XLOOKUP(Table6[[#This Row],[Suburb]],Table5[Travel Surcharge],Table5[$$]),"")</f>
        <v/>
      </c>
      <c r="AI3737" s="47"/>
      <c r="AJ3737" s="47"/>
    </row>
    <row r="3738" spans="1:36">
      <c r="A3738" s="374" t="s">
        <v>5501</v>
      </c>
      <c r="B3738" s="374">
        <v>9</v>
      </c>
      <c r="C3738" s="374" t="s">
        <v>1590</v>
      </c>
      <c r="D3738" s="375" t="str">
        <f t="shared" si="815"/>
        <v>Saratoga Estate 9</v>
      </c>
      <c r="E3738" s="375" t="s">
        <v>5503</v>
      </c>
      <c r="F3738" s="375" t="s">
        <v>493</v>
      </c>
      <c r="G3738" s="375" t="s">
        <v>494</v>
      </c>
      <c r="H3738" s="375" t="s">
        <v>495</v>
      </c>
      <c r="I3738" s="63" t="s">
        <v>496</v>
      </c>
      <c r="J3738" s="47"/>
      <c r="K3738" s="46" t="s">
        <v>10735</v>
      </c>
      <c r="L3738" s="47"/>
      <c r="M3738" s="47"/>
      <c r="N3738" s="47"/>
      <c r="O3738" s="47"/>
      <c r="P3738" s="47"/>
      <c r="Q3738" s="47"/>
      <c r="R3738" s="47"/>
      <c r="S3738" s="47"/>
      <c r="T3738" s="47">
        <f>T$2</f>
        <v>780</v>
      </c>
      <c r="U3738" s="47"/>
      <c r="V3738" s="47"/>
      <c r="W3738" s="47"/>
      <c r="X3738" s="47"/>
      <c r="Y3738" s="47"/>
      <c r="Z3738" s="47">
        <f t="shared" si="822"/>
        <v>4620</v>
      </c>
      <c r="AA3738" s="47"/>
      <c r="AB3738" s="47"/>
      <c r="AC3738" s="47"/>
      <c r="AD3738" s="47"/>
      <c r="AE3738" s="47"/>
      <c r="AF3738" s="47"/>
      <c r="AG3738" s="47"/>
      <c r="AH3738" s="47" t="str">
        <f>IFERROR(_xlfn.XLOOKUP(Table6[[#This Row],[Suburb]],Table5[Travel Surcharge],Table5[$$]),"")</f>
        <v/>
      </c>
      <c r="AI3738" s="47"/>
      <c r="AJ3738" s="47"/>
    </row>
    <row r="3739" spans="1:36">
      <c r="A3739" s="374" t="s">
        <v>5501</v>
      </c>
      <c r="B3739" s="374">
        <v>10</v>
      </c>
      <c r="C3739" s="374" t="s">
        <v>1590</v>
      </c>
      <c r="D3739" s="375" t="str">
        <f t="shared" si="815"/>
        <v>Saratoga Estate 10</v>
      </c>
      <c r="E3739" s="375" t="s">
        <v>5504</v>
      </c>
      <c r="F3739" s="375" t="s">
        <v>493</v>
      </c>
      <c r="G3739" s="375" t="s">
        <v>494</v>
      </c>
      <c r="H3739" s="375" t="s">
        <v>495</v>
      </c>
      <c r="I3739" s="63" t="s">
        <v>496</v>
      </c>
      <c r="J3739" s="47"/>
      <c r="K3739" s="46" t="s">
        <v>10735</v>
      </c>
      <c r="L3739" s="47"/>
      <c r="M3739" s="47"/>
      <c r="N3739" s="47"/>
      <c r="O3739" s="47"/>
      <c r="P3739" s="47"/>
      <c r="Q3739" s="47"/>
      <c r="R3739" s="47"/>
      <c r="S3739" s="47"/>
      <c r="T3739" s="47">
        <f>T$2</f>
        <v>780</v>
      </c>
      <c r="U3739" s="47"/>
      <c r="V3739" s="47"/>
      <c r="W3739" s="47"/>
      <c r="X3739" s="47"/>
      <c r="Y3739" s="47"/>
      <c r="Z3739" s="47">
        <f t="shared" si="822"/>
        <v>4620</v>
      </c>
      <c r="AA3739" s="47"/>
      <c r="AB3739" s="47"/>
      <c r="AC3739" s="47"/>
      <c r="AD3739" s="47"/>
      <c r="AE3739" s="47"/>
      <c r="AF3739" s="47"/>
      <c r="AG3739" s="47"/>
      <c r="AH3739" s="47" t="str">
        <f>IFERROR(_xlfn.XLOOKUP(Table6[[#This Row],[Suburb]],Table5[Travel Surcharge],Table5[$$]),"")</f>
        <v/>
      </c>
      <c r="AI3739" s="47"/>
      <c r="AJ3739" s="47"/>
    </row>
    <row r="3740" spans="1:36">
      <c r="A3740" s="374" t="s">
        <v>5501</v>
      </c>
      <c r="B3740" s="374">
        <v>11</v>
      </c>
      <c r="C3740" s="374" t="s">
        <v>1590</v>
      </c>
      <c r="D3740" s="375" t="str">
        <f t="shared" si="815"/>
        <v>Saratoga Estate 11</v>
      </c>
      <c r="E3740" s="375" t="s">
        <v>5505</v>
      </c>
      <c r="F3740" s="375" t="s">
        <v>493</v>
      </c>
      <c r="G3740" s="375" t="s">
        <v>494</v>
      </c>
      <c r="H3740" s="375" t="s">
        <v>495</v>
      </c>
      <c r="I3740" s="63" t="s">
        <v>496</v>
      </c>
      <c r="J3740" s="47"/>
      <c r="K3740" s="46" t="s">
        <v>10735</v>
      </c>
      <c r="L3740" s="47"/>
      <c r="M3740" s="47"/>
      <c r="N3740" s="47"/>
      <c r="O3740" s="47"/>
      <c r="P3740" s="47"/>
      <c r="Q3740" s="47"/>
      <c r="R3740" s="47"/>
      <c r="S3740" s="47"/>
      <c r="T3740" s="47">
        <f>T$2</f>
        <v>780</v>
      </c>
      <c r="U3740" s="47"/>
      <c r="V3740" s="47"/>
      <c r="W3740" s="47"/>
      <c r="X3740" s="47"/>
      <c r="Y3740" s="47"/>
      <c r="Z3740" s="47">
        <f t="shared" si="822"/>
        <v>4620</v>
      </c>
      <c r="AA3740" s="47"/>
      <c r="AB3740" s="47"/>
      <c r="AC3740" s="47"/>
      <c r="AD3740" s="47"/>
      <c r="AE3740" s="47"/>
      <c r="AF3740" s="47"/>
      <c r="AG3740" s="47"/>
      <c r="AH3740" s="47" t="str">
        <f>IFERROR(_xlfn.XLOOKUP(Table6[[#This Row],[Suburb]],Table5[Travel Surcharge],Table5[$$]),"")</f>
        <v/>
      </c>
      <c r="AI3740" s="47"/>
      <c r="AJ3740" s="47"/>
    </row>
    <row r="3741" spans="1:36">
      <c r="A3741" s="374" t="s">
        <v>5506</v>
      </c>
      <c r="B3741" s="374">
        <v>2</v>
      </c>
      <c r="C3741" s="374" t="s">
        <v>2060</v>
      </c>
      <c r="D3741" s="375" t="str">
        <f t="shared" si="815"/>
        <v>Savana Estate2</v>
      </c>
      <c r="E3741" s="375" t="s">
        <v>5507</v>
      </c>
      <c r="F3741" s="375" t="s">
        <v>5508</v>
      </c>
      <c r="G3741" s="375" t="s">
        <v>5509</v>
      </c>
      <c r="H3741" s="375" t="s">
        <v>5510</v>
      </c>
      <c r="I3741" s="63" t="s">
        <v>5511</v>
      </c>
      <c r="J3741" s="47">
        <v>3740</v>
      </c>
      <c r="K3741" s="46" t="s">
        <v>10735</v>
      </c>
      <c r="L3741" s="47"/>
      <c r="M3741" s="47">
        <f t="shared" ref="M3741:M3754" si="823">M$7</f>
        <v>1430.0000000000002</v>
      </c>
      <c r="N3741" s="47"/>
      <c r="O3741" s="47" t="s">
        <v>5512</v>
      </c>
      <c r="P3741" s="47"/>
      <c r="Q3741" s="47">
        <f t="shared" ref="Q3741:Q3754" si="824">Q$2</f>
        <v>0</v>
      </c>
      <c r="R3741" s="47"/>
      <c r="S3741" s="47"/>
      <c r="T3741" s="47"/>
      <c r="U3741" s="47"/>
      <c r="V3741" s="47"/>
      <c r="W3741" s="47"/>
      <c r="X3741" s="47"/>
      <c r="Y3741" s="47"/>
      <c r="Z3741" s="47">
        <f t="shared" si="822"/>
        <v>4620</v>
      </c>
      <c r="AA3741" s="47">
        <f t="shared" ref="AA3741:AA3754" si="825">AA$7</f>
        <v>1400</v>
      </c>
      <c r="AB3741" s="47"/>
      <c r="AC3741" s="47"/>
      <c r="AD3741" s="47" t="s">
        <v>1</v>
      </c>
      <c r="AE3741" s="47"/>
      <c r="AF3741" s="47">
        <f t="shared" ref="AF3741:AF3754" si="826">AF$7</f>
        <v>1485</v>
      </c>
      <c r="AG3741" s="47"/>
      <c r="AH3741" s="47" t="str">
        <f>IFERROR(_xlfn.XLOOKUP(Table6[[#This Row],[Suburb]],Table5[Travel Surcharge],Table5[$$]),"")</f>
        <v/>
      </c>
      <c r="AI3741" s="47"/>
      <c r="AJ3741" s="47"/>
    </row>
    <row r="3742" spans="1:36">
      <c r="A3742" s="374" t="s">
        <v>5506</v>
      </c>
      <c r="B3742" s="374">
        <v>3</v>
      </c>
      <c r="C3742" s="374" t="s">
        <v>2060</v>
      </c>
      <c r="D3742" s="375" t="str">
        <f t="shared" si="815"/>
        <v>Savana Estate3</v>
      </c>
      <c r="E3742" s="375" t="s">
        <v>5513</v>
      </c>
      <c r="F3742" s="375" t="s">
        <v>5508</v>
      </c>
      <c r="G3742" s="375" t="s">
        <v>5509</v>
      </c>
      <c r="H3742" s="375" t="s">
        <v>5514</v>
      </c>
      <c r="I3742" s="63" t="s">
        <v>5511</v>
      </c>
      <c r="J3742" s="47">
        <v>3740</v>
      </c>
      <c r="K3742" s="46" t="s">
        <v>10735</v>
      </c>
      <c r="L3742" s="47"/>
      <c r="M3742" s="47">
        <f t="shared" si="823"/>
        <v>1430.0000000000002</v>
      </c>
      <c r="N3742" s="47"/>
      <c r="O3742" s="47" t="s">
        <v>5512</v>
      </c>
      <c r="P3742" s="47"/>
      <c r="Q3742" s="47">
        <f t="shared" si="824"/>
        <v>0</v>
      </c>
      <c r="R3742" s="47"/>
      <c r="S3742" s="47"/>
      <c r="T3742" s="47"/>
      <c r="U3742" s="47"/>
      <c r="V3742" s="47"/>
      <c r="W3742" s="47"/>
      <c r="X3742" s="47"/>
      <c r="Y3742" s="47"/>
      <c r="Z3742" s="47">
        <f t="shared" si="822"/>
        <v>4620</v>
      </c>
      <c r="AA3742" s="47">
        <f t="shared" si="825"/>
        <v>1400</v>
      </c>
      <c r="AB3742" s="47"/>
      <c r="AC3742" s="47"/>
      <c r="AD3742" s="47" t="s">
        <v>1</v>
      </c>
      <c r="AE3742" s="47"/>
      <c r="AF3742" s="47">
        <f t="shared" si="826"/>
        <v>1485</v>
      </c>
      <c r="AG3742" s="47"/>
      <c r="AH3742" s="47" t="str">
        <f>IFERROR(_xlfn.XLOOKUP(Table6[[#This Row],[Suburb]],Table5[Travel Surcharge],Table5[$$]),"")</f>
        <v/>
      </c>
      <c r="AI3742" s="47"/>
      <c r="AJ3742" s="47"/>
    </row>
    <row r="3743" spans="1:36">
      <c r="A3743" s="374" t="s">
        <v>5506</v>
      </c>
      <c r="B3743" s="374">
        <v>4</v>
      </c>
      <c r="C3743" s="374" t="s">
        <v>2060</v>
      </c>
      <c r="D3743" s="375" t="str">
        <f t="shared" si="815"/>
        <v>Savana Estate4</v>
      </c>
      <c r="E3743" s="375" t="s">
        <v>5515</v>
      </c>
      <c r="F3743" s="375" t="s">
        <v>5508</v>
      </c>
      <c r="G3743" s="375" t="s">
        <v>5509</v>
      </c>
      <c r="H3743" s="375" t="s">
        <v>5516</v>
      </c>
      <c r="I3743" s="63" t="s">
        <v>5511</v>
      </c>
      <c r="J3743" s="47">
        <v>3740</v>
      </c>
      <c r="K3743" s="46" t="s">
        <v>10735</v>
      </c>
      <c r="L3743" s="47"/>
      <c r="M3743" s="47">
        <f t="shared" si="823"/>
        <v>1430.0000000000002</v>
      </c>
      <c r="N3743" s="47"/>
      <c r="O3743" s="47" t="s">
        <v>5512</v>
      </c>
      <c r="P3743" s="47"/>
      <c r="Q3743" s="47">
        <f t="shared" si="824"/>
        <v>0</v>
      </c>
      <c r="R3743" s="47"/>
      <c r="S3743" s="47"/>
      <c r="T3743" s="47"/>
      <c r="U3743" s="47"/>
      <c r="V3743" s="47"/>
      <c r="W3743" s="47"/>
      <c r="X3743" s="47"/>
      <c r="Y3743" s="47"/>
      <c r="Z3743" s="47">
        <f t="shared" si="822"/>
        <v>4620</v>
      </c>
      <c r="AA3743" s="47">
        <f t="shared" si="825"/>
        <v>1400</v>
      </c>
      <c r="AB3743" s="47"/>
      <c r="AC3743" s="47"/>
      <c r="AD3743" s="47" t="s">
        <v>1</v>
      </c>
      <c r="AE3743" s="47"/>
      <c r="AF3743" s="47">
        <f t="shared" si="826"/>
        <v>1485</v>
      </c>
      <c r="AG3743" s="47"/>
      <c r="AH3743" s="47" t="str">
        <f>IFERROR(_xlfn.XLOOKUP(Table6[[#This Row],[Suburb]],Table5[Travel Surcharge],Table5[$$]),"")</f>
        <v/>
      </c>
      <c r="AI3743" s="47"/>
      <c r="AJ3743" s="47"/>
    </row>
    <row r="3744" spans="1:36">
      <c r="A3744" s="374" t="s">
        <v>5506</v>
      </c>
      <c r="B3744" s="374">
        <v>5</v>
      </c>
      <c r="C3744" s="374" t="s">
        <v>2060</v>
      </c>
      <c r="D3744" s="375" t="str">
        <f t="shared" si="815"/>
        <v>Savana Estate5</v>
      </c>
      <c r="E3744" s="375" t="s">
        <v>5517</v>
      </c>
      <c r="F3744" s="375" t="s">
        <v>5508</v>
      </c>
      <c r="G3744" s="375" t="s">
        <v>5509</v>
      </c>
      <c r="H3744" s="375" t="s">
        <v>5518</v>
      </c>
      <c r="I3744" s="63" t="s">
        <v>5511</v>
      </c>
      <c r="J3744" s="47">
        <v>3740</v>
      </c>
      <c r="K3744" s="46" t="s">
        <v>10735</v>
      </c>
      <c r="L3744" s="47"/>
      <c r="M3744" s="47">
        <f t="shared" si="823"/>
        <v>1430.0000000000002</v>
      </c>
      <c r="N3744" s="47"/>
      <c r="O3744" s="47" t="s">
        <v>5512</v>
      </c>
      <c r="P3744" s="47"/>
      <c r="Q3744" s="47">
        <f t="shared" si="824"/>
        <v>0</v>
      </c>
      <c r="R3744" s="47"/>
      <c r="S3744" s="47"/>
      <c r="T3744" s="47"/>
      <c r="U3744" s="47"/>
      <c r="V3744" s="47"/>
      <c r="W3744" s="47"/>
      <c r="X3744" s="47"/>
      <c r="Y3744" s="47"/>
      <c r="Z3744" s="47">
        <f t="shared" si="822"/>
        <v>4620</v>
      </c>
      <c r="AA3744" s="47">
        <f t="shared" si="825"/>
        <v>1400</v>
      </c>
      <c r="AB3744" s="47"/>
      <c r="AC3744" s="47"/>
      <c r="AD3744" s="47" t="s">
        <v>1</v>
      </c>
      <c r="AE3744" s="47"/>
      <c r="AF3744" s="47">
        <f t="shared" si="826"/>
        <v>1485</v>
      </c>
      <c r="AG3744" s="47"/>
      <c r="AH3744" s="47" t="str">
        <f>IFERROR(_xlfn.XLOOKUP(Table6[[#This Row],[Suburb]],Table5[Travel Surcharge],Table5[$$]),"")</f>
        <v/>
      </c>
      <c r="AI3744" s="47"/>
      <c r="AJ3744" s="47"/>
    </row>
    <row r="3745" spans="1:39">
      <c r="A3745" s="374" t="s">
        <v>5506</v>
      </c>
      <c r="B3745" s="374">
        <v>6</v>
      </c>
      <c r="C3745" s="374" t="s">
        <v>2060</v>
      </c>
      <c r="D3745" s="375" t="str">
        <f t="shared" si="815"/>
        <v>Savana Estate6</v>
      </c>
      <c r="E3745" s="375" t="s">
        <v>5519</v>
      </c>
      <c r="F3745" s="375" t="s">
        <v>5508</v>
      </c>
      <c r="G3745" s="375" t="s">
        <v>5509</v>
      </c>
      <c r="H3745" s="375" t="s">
        <v>5518</v>
      </c>
      <c r="I3745" s="63" t="s">
        <v>5511</v>
      </c>
      <c r="J3745" s="47">
        <v>3740</v>
      </c>
      <c r="K3745" s="46" t="s">
        <v>10735</v>
      </c>
      <c r="L3745" s="47"/>
      <c r="M3745" s="47">
        <f t="shared" si="823"/>
        <v>1430.0000000000002</v>
      </c>
      <c r="N3745" s="47"/>
      <c r="O3745" s="47" t="s">
        <v>5512</v>
      </c>
      <c r="P3745" s="47"/>
      <c r="Q3745" s="47">
        <f t="shared" si="824"/>
        <v>0</v>
      </c>
      <c r="R3745" s="47"/>
      <c r="S3745" s="47"/>
      <c r="T3745" s="47"/>
      <c r="U3745" s="47"/>
      <c r="V3745" s="47"/>
      <c r="W3745" s="47"/>
      <c r="X3745" s="47"/>
      <c r="Y3745" s="47"/>
      <c r="Z3745" s="47">
        <f t="shared" si="822"/>
        <v>4620</v>
      </c>
      <c r="AA3745" s="47">
        <f t="shared" si="825"/>
        <v>1400</v>
      </c>
      <c r="AB3745" s="47"/>
      <c r="AC3745" s="47"/>
      <c r="AD3745" s="47" t="s">
        <v>1</v>
      </c>
      <c r="AE3745" s="47"/>
      <c r="AF3745" s="47">
        <f t="shared" si="826"/>
        <v>1485</v>
      </c>
      <c r="AG3745" s="47"/>
      <c r="AH3745" s="47" t="str">
        <f>IFERROR(_xlfn.XLOOKUP(Table6[[#This Row],[Suburb]],Table5[Travel Surcharge],Table5[$$]),"")</f>
        <v/>
      </c>
      <c r="AI3745" s="47"/>
      <c r="AJ3745" s="47"/>
    </row>
    <row r="3746" spans="1:39">
      <c r="A3746" s="374" t="s">
        <v>5506</v>
      </c>
      <c r="B3746" s="374">
        <v>7</v>
      </c>
      <c r="C3746" s="374" t="s">
        <v>2060</v>
      </c>
      <c r="D3746" s="375" t="str">
        <f t="shared" si="815"/>
        <v>Savana Estate7</v>
      </c>
      <c r="E3746" s="375" t="s">
        <v>5520</v>
      </c>
      <c r="F3746" s="375" t="s">
        <v>5508</v>
      </c>
      <c r="G3746" s="375" t="s">
        <v>5509</v>
      </c>
      <c r="H3746" s="375" t="s">
        <v>5518</v>
      </c>
      <c r="I3746" s="63" t="s">
        <v>5511</v>
      </c>
      <c r="J3746" s="47">
        <v>3740</v>
      </c>
      <c r="K3746" s="46" t="s">
        <v>10735</v>
      </c>
      <c r="L3746" s="47"/>
      <c r="M3746" s="47">
        <f t="shared" si="823"/>
        <v>1430.0000000000002</v>
      </c>
      <c r="N3746" s="47"/>
      <c r="O3746" s="47" t="s">
        <v>5512</v>
      </c>
      <c r="P3746" s="47"/>
      <c r="Q3746" s="47">
        <f t="shared" si="824"/>
        <v>0</v>
      </c>
      <c r="R3746" s="47"/>
      <c r="S3746" s="47"/>
      <c r="T3746" s="47"/>
      <c r="U3746" s="47"/>
      <c r="V3746" s="47"/>
      <c r="W3746" s="47"/>
      <c r="X3746" s="47"/>
      <c r="Y3746" s="47"/>
      <c r="Z3746" s="47">
        <f t="shared" si="822"/>
        <v>4620</v>
      </c>
      <c r="AA3746" s="47">
        <f t="shared" si="825"/>
        <v>1400</v>
      </c>
      <c r="AB3746" s="47"/>
      <c r="AC3746" s="47"/>
      <c r="AD3746" s="47" t="s">
        <v>1</v>
      </c>
      <c r="AE3746" s="47"/>
      <c r="AF3746" s="47">
        <f t="shared" si="826"/>
        <v>1485</v>
      </c>
      <c r="AG3746" s="47"/>
      <c r="AH3746" s="47" t="str">
        <f>IFERROR(_xlfn.XLOOKUP(Table6[[#This Row],[Suburb]],Table5[Travel Surcharge],Table5[$$]),"")</f>
        <v/>
      </c>
      <c r="AI3746" s="47"/>
      <c r="AJ3746" s="47"/>
    </row>
    <row r="3747" spans="1:39">
      <c r="A3747" s="374" t="s">
        <v>5506</v>
      </c>
      <c r="B3747" s="374">
        <v>8</v>
      </c>
      <c r="C3747" s="374" t="s">
        <v>2060</v>
      </c>
      <c r="D3747" s="375" t="str">
        <f t="shared" si="815"/>
        <v>Savana Estate8</v>
      </c>
      <c r="E3747" s="375" t="s">
        <v>5521</v>
      </c>
      <c r="F3747" s="375" t="s">
        <v>5508</v>
      </c>
      <c r="G3747" s="375" t="s">
        <v>5509</v>
      </c>
      <c r="H3747" s="375" t="s">
        <v>5518</v>
      </c>
      <c r="I3747" s="63" t="s">
        <v>5511</v>
      </c>
      <c r="J3747" s="47">
        <v>3740</v>
      </c>
      <c r="K3747" s="46" t="s">
        <v>10735</v>
      </c>
      <c r="L3747" s="47"/>
      <c r="M3747" s="47">
        <f t="shared" si="823"/>
        <v>1430.0000000000002</v>
      </c>
      <c r="N3747" s="47"/>
      <c r="O3747" s="47" t="s">
        <v>5512</v>
      </c>
      <c r="P3747" s="47"/>
      <c r="Q3747" s="47">
        <f t="shared" si="824"/>
        <v>0</v>
      </c>
      <c r="R3747" s="47"/>
      <c r="S3747" s="47"/>
      <c r="T3747" s="47"/>
      <c r="U3747" s="47"/>
      <c r="V3747" s="47"/>
      <c r="W3747" s="47"/>
      <c r="X3747" s="47"/>
      <c r="Y3747" s="47"/>
      <c r="Z3747" s="47">
        <f t="shared" si="822"/>
        <v>4620</v>
      </c>
      <c r="AA3747" s="47">
        <f t="shared" si="825"/>
        <v>1400</v>
      </c>
      <c r="AB3747" s="47"/>
      <c r="AC3747" s="47"/>
      <c r="AD3747" s="47" t="s">
        <v>1</v>
      </c>
      <c r="AE3747" s="47"/>
      <c r="AF3747" s="47">
        <f t="shared" si="826"/>
        <v>1485</v>
      </c>
      <c r="AG3747" s="47"/>
      <c r="AH3747" s="47" t="str">
        <f>IFERROR(_xlfn.XLOOKUP(Table6[[#This Row],[Suburb]],Table5[Travel Surcharge],Table5[$$]),"")</f>
        <v/>
      </c>
      <c r="AI3747" s="47"/>
      <c r="AJ3747" s="47"/>
    </row>
    <row r="3748" spans="1:39">
      <c r="A3748" s="374" t="s">
        <v>5506</v>
      </c>
      <c r="B3748" s="374">
        <v>9</v>
      </c>
      <c r="C3748" s="374" t="s">
        <v>2060</v>
      </c>
      <c r="D3748" s="375" t="str">
        <f t="shared" si="815"/>
        <v>Savana Estate9</v>
      </c>
      <c r="E3748" s="375" t="s">
        <v>5522</v>
      </c>
      <c r="F3748" s="375" t="s">
        <v>5508</v>
      </c>
      <c r="G3748" s="375" t="s">
        <v>5509</v>
      </c>
      <c r="H3748" s="375" t="s">
        <v>5518</v>
      </c>
      <c r="I3748" s="63" t="s">
        <v>5511</v>
      </c>
      <c r="J3748" s="47">
        <v>3740</v>
      </c>
      <c r="K3748" s="46" t="s">
        <v>10735</v>
      </c>
      <c r="L3748" s="47"/>
      <c r="M3748" s="47">
        <f t="shared" si="823"/>
        <v>1430.0000000000002</v>
      </c>
      <c r="N3748" s="47"/>
      <c r="O3748" s="47" t="s">
        <v>5512</v>
      </c>
      <c r="P3748" s="47"/>
      <c r="Q3748" s="47">
        <f t="shared" si="824"/>
        <v>0</v>
      </c>
      <c r="R3748" s="47"/>
      <c r="S3748" s="47"/>
      <c r="T3748" s="47"/>
      <c r="U3748" s="47"/>
      <c r="V3748" s="47"/>
      <c r="W3748" s="47"/>
      <c r="X3748" s="47"/>
      <c r="Y3748" s="47"/>
      <c r="Z3748" s="47">
        <f t="shared" si="822"/>
        <v>4620</v>
      </c>
      <c r="AA3748" s="47">
        <f t="shared" si="825"/>
        <v>1400</v>
      </c>
      <c r="AB3748" s="47"/>
      <c r="AC3748" s="47"/>
      <c r="AD3748" s="47" t="s">
        <v>1</v>
      </c>
      <c r="AE3748" s="47"/>
      <c r="AF3748" s="47">
        <f t="shared" si="826"/>
        <v>1485</v>
      </c>
      <c r="AG3748" s="47"/>
      <c r="AH3748" s="47" t="str">
        <f>IFERROR(_xlfn.XLOOKUP(Table6[[#This Row],[Suburb]],Table5[Travel Surcharge],Table5[$$]),"")</f>
        <v/>
      </c>
      <c r="AI3748" s="47"/>
      <c r="AJ3748" s="47"/>
    </row>
    <row r="3749" spans="1:39">
      <c r="A3749" s="374" t="s">
        <v>5506</v>
      </c>
      <c r="B3749" s="374">
        <v>10</v>
      </c>
      <c r="C3749" s="374" t="s">
        <v>2060</v>
      </c>
      <c r="D3749" s="375" t="str">
        <f t="shared" si="815"/>
        <v>Savana Estate10</v>
      </c>
      <c r="E3749" s="375" t="s">
        <v>5524</v>
      </c>
      <c r="F3749" s="375" t="s">
        <v>5508</v>
      </c>
      <c r="G3749" s="375" t="s">
        <v>5509</v>
      </c>
      <c r="H3749" s="375" t="s">
        <v>5518</v>
      </c>
      <c r="I3749" s="63" t="s">
        <v>5511</v>
      </c>
      <c r="J3749" s="47">
        <v>3740</v>
      </c>
      <c r="K3749" s="46" t="s">
        <v>10735</v>
      </c>
      <c r="L3749" s="47"/>
      <c r="M3749" s="47">
        <f t="shared" si="823"/>
        <v>1430.0000000000002</v>
      </c>
      <c r="N3749" s="47"/>
      <c r="O3749" s="47" t="s">
        <v>5512</v>
      </c>
      <c r="P3749" s="47"/>
      <c r="Q3749" s="47">
        <f t="shared" si="824"/>
        <v>0</v>
      </c>
      <c r="R3749" s="47"/>
      <c r="S3749" s="47"/>
      <c r="T3749" s="47"/>
      <c r="U3749" s="47"/>
      <c r="V3749" s="47"/>
      <c r="W3749" s="47"/>
      <c r="X3749" s="47"/>
      <c r="Y3749" s="47"/>
      <c r="Z3749" s="47">
        <f t="shared" si="822"/>
        <v>4620</v>
      </c>
      <c r="AA3749" s="47">
        <f t="shared" si="825"/>
        <v>1400</v>
      </c>
      <c r="AB3749" s="47"/>
      <c r="AC3749" s="47"/>
      <c r="AD3749" s="47" t="s">
        <v>1</v>
      </c>
      <c r="AE3749" s="47"/>
      <c r="AF3749" s="47">
        <f t="shared" si="826"/>
        <v>1485</v>
      </c>
      <c r="AG3749" s="47"/>
      <c r="AH3749" s="47" t="str">
        <f>IFERROR(_xlfn.XLOOKUP(Table6[[#This Row],[Suburb]],Table5[Travel Surcharge],Table5[$$]),"")</f>
        <v/>
      </c>
      <c r="AI3749" s="47"/>
      <c r="AJ3749" s="47"/>
    </row>
    <row r="3750" spans="1:39">
      <c r="A3750" s="374" t="s">
        <v>5506</v>
      </c>
      <c r="B3750" s="374">
        <v>11</v>
      </c>
      <c r="C3750" s="374" t="s">
        <v>2060</v>
      </c>
      <c r="D3750" s="375" t="str">
        <f t="shared" si="815"/>
        <v>Savana Estate11</v>
      </c>
      <c r="E3750" s="375" t="s">
        <v>5525</v>
      </c>
      <c r="F3750" s="375" t="s">
        <v>5508</v>
      </c>
      <c r="G3750" s="375" t="s">
        <v>5509</v>
      </c>
      <c r="H3750" s="375" t="s">
        <v>5518</v>
      </c>
      <c r="I3750" s="63" t="s">
        <v>5511</v>
      </c>
      <c r="J3750" s="47">
        <v>3740</v>
      </c>
      <c r="K3750" s="46" t="s">
        <v>10735</v>
      </c>
      <c r="L3750" s="47"/>
      <c r="M3750" s="47">
        <f t="shared" si="823"/>
        <v>1430.0000000000002</v>
      </c>
      <c r="N3750" s="47"/>
      <c r="O3750" s="47" t="s">
        <v>5512</v>
      </c>
      <c r="P3750" s="47"/>
      <c r="Q3750" s="47">
        <f t="shared" si="824"/>
        <v>0</v>
      </c>
      <c r="R3750" s="47"/>
      <c r="S3750" s="47"/>
      <c r="T3750" s="47"/>
      <c r="U3750" s="47"/>
      <c r="V3750" s="47"/>
      <c r="W3750" s="47"/>
      <c r="X3750" s="47"/>
      <c r="Y3750" s="47"/>
      <c r="Z3750" s="47">
        <f t="shared" si="822"/>
        <v>4620</v>
      </c>
      <c r="AA3750" s="47">
        <f t="shared" si="825"/>
        <v>1400</v>
      </c>
      <c r="AB3750" s="47"/>
      <c r="AC3750" s="47"/>
      <c r="AD3750" s="47" t="s">
        <v>1</v>
      </c>
      <c r="AE3750" s="47"/>
      <c r="AF3750" s="47">
        <f t="shared" si="826"/>
        <v>1485</v>
      </c>
      <c r="AG3750" s="47"/>
      <c r="AH3750" s="47" t="str">
        <f>IFERROR(_xlfn.XLOOKUP(Table6[[#This Row],[Suburb]],Table5[Travel Surcharge],Table5[$$]),"")</f>
        <v/>
      </c>
      <c r="AI3750" s="47"/>
      <c r="AJ3750" s="47"/>
    </row>
    <row r="3751" spans="1:39">
      <c r="A3751" s="374" t="s">
        <v>5506</v>
      </c>
      <c r="B3751" s="374">
        <v>12</v>
      </c>
      <c r="C3751" s="374" t="s">
        <v>2060</v>
      </c>
      <c r="D3751" s="375" t="str">
        <f t="shared" si="815"/>
        <v>Savana Estate12</v>
      </c>
      <c r="E3751" s="375" t="s">
        <v>5526</v>
      </c>
      <c r="F3751" s="375" t="s">
        <v>5508</v>
      </c>
      <c r="G3751" s="375" t="s">
        <v>5509</v>
      </c>
      <c r="H3751" s="375" t="s">
        <v>5518</v>
      </c>
      <c r="I3751" s="63" t="s">
        <v>5511</v>
      </c>
      <c r="J3751" s="47">
        <v>3740</v>
      </c>
      <c r="K3751" s="46" t="s">
        <v>10735</v>
      </c>
      <c r="L3751" s="47"/>
      <c r="M3751" s="47">
        <f t="shared" si="823"/>
        <v>1430.0000000000002</v>
      </c>
      <c r="N3751" s="47"/>
      <c r="O3751" s="47" t="s">
        <v>5512</v>
      </c>
      <c r="P3751" s="47"/>
      <c r="Q3751" s="47">
        <f t="shared" si="824"/>
        <v>0</v>
      </c>
      <c r="R3751" s="47"/>
      <c r="S3751" s="47"/>
      <c r="T3751" s="47"/>
      <c r="U3751" s="47"/>
      <c r="V3751" s="47"/>
      <c r="W3751" s="47"/>
      <c r="X3751" s="47"/>
      <c r="Y3751" s="47"/>
      <c r="Z3751" s="47">
        <f t="shared" si="822"/>
        <v>4620</v>
      </c>
      <c r="AA3751" s="47">
        <f t="shared" si="825"/>
        <v>1400</v>
      </c>
      <c r="AB3751" s="47"/>
      <c r="AC3751" s="47"/>
      <c r="AD3751" s="47" t="s">
        <v>1</v>
      </c>
      <c r="AE3751" s="47"/>
      <c r="AF3751" s="47">
        <f t="shared" si="826"/>
        <v>1485</v>
      </c>
      <c r="AG3751" s="47"/>
      <c r="AH3751" s="47" t="str">
        <f>IFERROR(_xlfn.XLOOKUP(Table6[[#This Row],[Suburb]],Table5[Travel Surcharge],Table5[$$]),"")</f>
        <v/>
      </c>
      <c r="AI3751" s="47"/>
      <c r="AJ3751" s="47"/>
    </row>
    <row r="3752" spans="1:39">
      <c r="A3752" s="374" t="s">
        <v>5506</v>
      </c>
      <c r="B3752" s="374">
        <v>13</v>
      </c>
      <c r="C3752" s="374" t="s">
        <v>2060</v>
      </c>
      <c r="D3752" s="375" t="str">
        <f t="shared" si="815"/>
        <v>Savana Estate13</v>
      </c>
      <c r="E3752" s="375" t="s">
        <v>5527</v>
      </c>
      <c r="F3752" s="375" t="s">
        <v>5508</v>
      </c>
      <c r="G3752" s="375" t="s">
        <v>5509</v>
      </c>
      <c r="H3752" s="375" t="s">
        <v>5518</v>
      </c>
      <c r="I3752" s="63" t="s">
        <v>5511</v>
      </c>
      <c r="J3752" s="47">
        <v>3740</v>
      </c>
      <c r="K3752" s="46" t="s">
        <v>10735</v>
      </c>
      <c r="L3752" s="47"/>
      <c r="M3752" s="47">
        <f t="shared" si="823"/>
        <v>1430.0000000000002</v>
      </c>
      <c r="N3752" s="47"/>
      <c r="O3752" s="47" t="s">
        <v>5512</v>
      </c>
      <c r="P3752" s="47"/>
      <c r="Q3752" s="47">
        <f t="shared" si="824"/>
        <v>0</v>
      </c>
      <c r="R3752" s="47"/>
      <c r="S3752" s="47"/>
      <c r="T3752" s="47"/>
      <c r="U3752" s="47"/>
      <c r="V3752" s="47"/>
      <c r="W3752" s="47"/>
      <c r="X3752" s="47"/>
      <c r="Y3752" s="47"/>
      <c r="Z3752" s="47">
        <f t="shared" si="822"/>
        <v>4620</v>
      </c>
      <c r="AA3752" s="47">
        <f t="shared" si="825"/>
        <v>1400</v>
      </c>
      <c r="AB3752" s="47"/>
      <c r="AC3752" s="47"/>
      <c r="AD3752" s="47" t="s">
        <v>1</v>
      </c>
      <c r="AE3752" s="47"/>
      <c r="AF3752" s="47">
        <f t="shared" si="826"/>
        <v>1485</v>
      </c>
      <c r="AG3752" s="47"/>
      <c r="AH3752" s="47" t="str">
        <f>IFERROR(_xlfn.XLOOKUP(Table6[[#This Row],[Suburb]],Table5[Travel Surcharge],Table5[$$]),"")</f>
        <v/>
      </c>
      <c r="AI3752" s="47"/>
      <c r="AJ3752" s="47"/>
    </row>
    <row r="3753" spans="1:39">
      <c r="A3753" s="374" t="s">
        <v>5506</v>
      </c>
      <c r="B3753" s="374">
        <v>14</v>
      </c>
      <c r="C3753" s="374" t="s">
        <v>2060</v>
      </c>
      <c r="D3753" s="375" t="str">
        <f t="shared" si="815"/>
        <v>Savana Estate14</v>
      </c>
      <c r="E3753" s="375" t="s">
        <v>5528</v>
      </c>
      <c r="F3753" s="375" t="s">
        <v>5508</v>
      </c>
      <c r="G3753" s="375" t="s">
        <v>5509</v>
      </c>
      <c r="H3753" s="375" t="s">
        <v>5518</v>
      </c>
      <c r="I3753" s="63" t="s">
        <v>5511</v>
      </c>
      <c r="J3753" s="47">
        <v>3740</v>
      </c>
      <c r="K3753" s="46" t="s">
        <v>10735</v>
      </c>
      <c r="L3753" s="47"/>
      <c r="M3753" s="47">
        <f t="shared" si="823"/>
        <v>1430.0000000000002</v>
      </c>
      <c r="N3753" s="47"/>
      <c r="O3753" s="47" t="s">
        <v>5512</v>
      </c>
      <c r="P3753" s="47"/>
      <c r="Q3753" s="47">
        <f t="shared" si="824"/>
        <v>0</v>
      </c>
      <c r="R3753" s="47"/>
      <c r="S3753" s="47"/>
      <c r="T3753" s="47"/>
      <c r="U3753" s="47"/>
      <c r="V3753" s="47" t="s">
        <v>5529</v>
      </c>
      <c r="W3753" s="47"/>
      <c r="X3753" s="47"/>
      <c r="Y3753" s="47"/>
      <c r="Z3753" s="47">
        <f t="shared" si="822"/>
        <v>4620</v>
      </c>
      <c r="AA3753" s="47">
        <f t="shared" si="825"/>
        <v>1400</v>
      </c>
      <c r="AB3753" s="47"/>
      <c r="AC3753" s="47"/>
      <c r="AD3753" s="47" t="s">
        <v>1</v>
      </c>
      <c r="AE3753" s="47"/>
      <c r="AF3753" s="47">
        <f t="shared" si="826"/>
        <v>1485</v>
      </c>
      <c r="AG3753" s="47"/>
      <c r="AH3753" s="47" t="str">
        <f>IFERROR(_xlfn.XLOOKUP(Table6[[#This Row],[Suburb]],Table5[Travel Surcharge],Table5[$$]),"")</f>
        <v/>
      </c>
      <c r="AI3753" s="47"/>
      <c r="AJ3753" s="47"/>
    </row>
    <row r="3754" spans="1:39">
      <c r="A3754" s="374" t="s">
        <v>5506</v>
      </c>
      <c r="B3754" s="374" t="s">
        <v>714</v>
      </c>
      <c r="C3754" s="374" t="s">
        <v>2060</v>
      </c>
      <c r="D3754" s="375" t="str">
        <f t="shared" si="815"/>
        <v>Savana Estate11A</v>
      </c>
      <c r="E3754" s="375" t="s">
        <v>5525</v>
      </c>
      <c r="F3754" s="375" t="s">
        <v>5508</v>
      </c>
      <c r="G3754" s="375" t="s">
        <v>5509</v>
      </c>
      <c r="H3754" s="375" t="s">
        <v>5518</v>
      </c>
      <c r="I3754" s="63" t="s">
        <v>5511</v>
      </c>
      <c r="J3754" s="47">
        <v>3740</v>
      </c>
      <c r="K3754" s="46" t="s">
        <v>10735</v>
      </c>
      <c r="L3754" s="47"/>
      <c r="M3754" s="47">
        <f t="shared" si="823"/>
        <v>1430.0000000000002</v>
      </c>
      <c r="N3754" s="47"/>
      <c r="O3754" s="47" t="s">
        <v>5512</v>
      </c>
      <c r="P3754" s="47"/>
      <c r="Q3754" s="47">
        <f t="shared" si="824"/>
        <v>0</v>
      </c>
      <c r="R3754" s="47"/>
      <c r="S3754" s="47"/>
      <c r="T3754" s="47"/>
      <c r="U3754" s="47"/>
      <c r="V3754" s="47"/>
      <c r="W3754" s="47"/>
      <c r="X3754" s="47"/>
      <c r="Y3754" s="47"/>
      <c r="Z3754" s="47">
        <f t="shared" si="822"/>
        <v>4620</v>
      </c>
      <c r="AA3754" s="47">
        <f t="shared" si="825"/>
        <v>1400</v>
      </c>
      <c r="AB3754" s="47"/>
      <c r="AC3754" s="47"/>
      <c r="AD3754" s="47" t="s">
        <v>1</v>
      </c>
      <c r="AE3754" s="47"/>
      <c r="AF3754" s="47">
        <f t="shared" si="826"/>
        <v>1485</v>
      </c>
      <c r="AG3754" s="47"/>
      <c r="AH3754" s="47" t="str">
        <f>IFERROR(_xlfn.XLOOKUP(Table6[[#This Row],[Suburb]],Table5[Travel Surcharge],Table5[$$]),"")</f>
        <v/>
      </c>
      <c r="AI3754" s="47"/>
      <c r="AJ3754" s="47"/>
    </row>
    <row r="3755" spans="1:39">
      <c r="A3755" s="374" t="s">
        <v>5506</v>
      </c>
      <c r="B3755" s="374" t="s">
        <v>1936</v>
      </c>
      <c r="C3755" s="374" t="s">
        <v>2060</v>
      </c>
      <c r="D3755" s="375" t="s">
        <v>5530</v>
      </c>
      <c r="E3755" s="375" t="s">
        <v>5531</v>
      </c>
      <c r="F3755" s="375" t="s">
        <v>5508</v>
      </c>
      <c r="G3755" s="375" t="s">
        <v>5509</v>
      </c>
      <c r="H3755" s="375" t="s">
        <v>5518</v>
      </c>
      <c r="I3755" s="63" t="s">
        <v>5511</v>
      </c>
      <c r="J3755" s="47">
        <v>3740</v>
      </c>
      <c r="K3755" s="46" t="s">
        <v>10735</v>
      </c>
      <c r="L3755" s="47"/>
      <c r="M3755" s="47">
        <v>1430.0000000000002</v>
      </c>
      <c r="N3755" s="47"/>
      <c r="O3755" s="47" t="s">
        <v>5512</v>
      </c>
      <c r="P3755" s="47"/>
      <c r="Q3755" s="47">
        <v>0</v>
      </c>
      <c r="R3755" s="47"/>
      <c r="S3755" s="47"/>
      <c r="T3755" s="47"/>
      <c r="U3755" s="47"/>
      <c r="V3755" s="47" t="s">
        <v>5529</v>
      </c>
      <c r="W3755" s="47"/>
      <c r="X3755" s="47"/>
      <c r="Y3755" s="47"/>
      <c r="Z3755" s="47">
        <v>4620</v>
      </c>
      <c r="AA3755" s="47">
        <v>1400</v>
      </c>
      <c r="AB3755" s="47"/>
      <c r="AC3755" s="47"/>
      <c r="AD3755" s="47" t="s">
        <v>1</v>
      </c>
      <c r="AE3755" s="47"/>
      <c r="AF3755" s="47">
        <v>1650.0000000000002</v>
      </c>
      <c r="AG3755" s="47"/>
      <c r="AH3755" s="47" t="str">
        <f>IFERROR(_xlfn.XLOOKUP(Table6[[#This Row],[Suburb]],Table5[Travel Surcharge],Table5[$$]),"")</f>
        <v/>
      </c>
      <c r="AI3755" s="47"/>
      <c r="AJ3755" s="47"/>
    </row>
    <row r="3756" spans="1:39">
      <c r="A3756" s="374" t="s">
        <v>5506</v>
      </c>
      <c r="B3756" s="374" t="s">
        <v>501</v>
      </c>
      <c r="C3756" s="374" t="s">
        <v>2060</v>
      </c>
      <c r="D3756" s="375" t="str">
        <f t="shared" ref="D3756:D3787" si="827">CONCATENATE(A3756,B3756)</f>
        <v>Savana Estate1A</v>
      </c>
      <c r="E3756" s="375" t="s">
        <v>5532</v>
      </c>
      <c r="F3756" s="375" t="s">
        <v>5508</v>
      </c>
      <c r="G3756" s="375" t="s">
        <v>5509</v>
      </c>
      <c r="H3756" s="375" t="s">
        <v>5533</v>
      </c>
      <c r="I3756" s="63" t="s">
        <v>5511</v>
      </c>
      <c r="J3756" s="47">
        <v>3740</v>
      </c>
      <c r="K3756" s="46" t="s">
        <v>10735</v>
      </c>
      <c r="L3756" s="47"/>
      <c r="M3756" s="47">
        <f>M$7</f>
        <v>1430.0000000000002</v>
      </c>
      <c r="N3756" s="47"/>
      <c r="O3756" s="47" t="s">
        <v>5512</v>
      </c>
      <c r="P3756" s="47"/>
      <c r="Q3756" s="47">
        <f>Q$2</f>
        <v>0</v>
      </c>
      <c r="R3756" s="47"/>
      <c r="S3756" s="47"/>
      <c r="T3756" s="47"/>
      <c r="U3756" s="47"/>
      <c r="V3756" s="47"/>
      <c r="W3756" s="47"/>
      <c r="X3756" s="47"/>
      <c r="Y3756" s="47"/>
      <c r="Z3756" s="47">
        <f t="shared" ref="Z3756:AA3758" si="828">Z$7</f>
        <v>4620</v>
      </c>
      <c r="AA3756" s="47">
        <f t="shared" si="828"/>
        <v>1400</v>
      </c>
      <c r="AB3756" s="47"/>
      <c r="AC3756" s="47"/>
      <c r="AD3756" s="47" t="s">
        <v>1</v>
      </c>
      <c r="AE3756" s="47"/>
      <c r="AF3756" s="47">
        <f>AF$7</f>
        <v>1485</v>
      </c>
      <c r="AG3756" s="47"/>
      <c r="AH3756" s="47" t="str">
        <f>IFERROR(_xlfn.XLOOKUP(Table6[[#This Row],[Suburb]],Table5[Travel Surcharge],Table5[$$]),"")</f>
        <v/>
      </c>
      <c r="AI3756" s="47"/>
      <c r="AJ3756" s="47"/>
    </row>
    <row r="3757" spans="1:39">
      <c r="A3757" s="374" t="s">
        <v>5506</v>
      </c>
      <c r="B3757" s="374" t="s">
        <v>507</v>
      </c>
      <c r="C3757" s="374" t="s">
        <v>2060</v>
      </c>
      <c r="D3757" s="375" t="str">
        <f t="shared" si="827"/>
        <v>Savana Estate1B</v>
      </c>
      <c r="E3757" s="375" t="s">
        <v>5534</v>
      </c>
      <c r="F3757" s="375" t="s">
        <v>5508</v>
      </c>
      <c r="G3757" s="375" t="s">
        <v>5509</v>
      </c>
      <c r="H3757" s="375" t="s">
        <v>5535</v>
      </c>
      <c r="I3757" s="63" t="s">
        <v>5511</v>
      </c>
      <c r="J3757" s="47">
        <v>3740</v>
      </c>
      <c r="K3757" s="46" t="s">
        <v>10735</v>
      </c>
      <c r="L3757" s="47"/>
      <c r="M3757" s="47">
        <f>M$7</f>
        <v>1430.0000000000002</v>
      </c>
      <c r="N3757" s="47"/>
      <c r="O3757" s="47" t="s">
        <v>5512</v>
      </c>
      <c r="P3757" s="47"/>
      <c r="Q3757" s="47">
        <f>Q$2</f>
        <v>0</v>
      </c>
      <c r="R3757" s="47"/>
      <c r="S3757" s="47"/>
      <c r="T3757" s="47"/>
      <c r="U3757" s="47"/>
      <c r="V3757" s="47"/>
      <c r="W3757" s="47"/>
      <c r="X3757" s="47"/>
      <c r="Y3757" s="47"/>
      <c r="Z3757" s="47">
        <f t="shared" si="828"/>
        <v>4620</v>
      </c>
      <c r="AA3757" s="47">
        <f t="shared" si="828"/>
        <v>1400</v>
      </c>
      <c r="AB3757" s="47"/>
      <c r="AC3757" s="47"/>
      <c r="AD3757" s="47" t="s">
        <v>1</v>
      </c>
      <c r="AE3757" s="47"/>
      <c r="AF3757" s="47">
        <f>AF$7</f>
        <v>1485</v>
      </c>
      <c r="AG3757" s="47"/>
      <c r="AH3757" s="47" t="str">
        <f>IFERROR(_xlfn.XLOOKUP(Table6[[#This Row],[Suburb]],Table5[Travel Surcharge],Table5[$$]),"")</f>
        <v/>
      </c>
      <c r="AI3757" s="47"/>
      <c r="AJ3757" s="47"/>
    </row>
    <row r="3758" spans="1:39">
      <c r="A3758" s="374" t="s">
        <v>5506</v>
      </c>
      <c r="B3758" s="374" t="s">
        <v>710</v>
      </c>
      <c r="C3758" s="374" t="s">
        <v>2060</v>
      </c>
      <c r="D3758" s="375" t="str">
        <f t="shared" si="827"/>
        <v>Savana Estate9B</v>
      </c>
      <c r="E3758" s="375" t="s">
        <v>5523</v>
      </c>
      <c r="F3758" s="375" t="s">
        <v>5508</v>
      </c>
      <c r="G3758" s="375" t="s">
        <v>5509</v>
      </c>
      <c r="H3758" s="375" t="s">
        <v>5518</v>
      </c>
      <c r="I3758" s="63" t="s">
        <v>5511</v>
      </c>
      <c r="J3758" s="47">
        <v>3740</v>
      </c>
      <c r="K3758" s="46" t="s">
        <v>10735</v>
      </c>
      <c r="L3758" s="47"/>
      <c r="M3758" s="47">
        <f>M$7</f>
        <v>1430.0000000000002</v>
      </c>
      <c r="N3758" s="47"/>
      <c r="O3758" s="47" t="s">
        <v>5512</v>
      </c>
      <c r="P3758" s="47"/>
      <c r="Q3758" s="47">
        <f>Q$2</f>
        <v>0</v>
      </c>
      <c r="R3758" s="47"/>
      <c r="S3758" s="47"/>
      <c r="T3758" s="47"/>
      <c r="U3758" s="47"/>
      <c r="V3758" s="47"/>
      <c r="W3758" s="47"/>
      <c r="X3758" s="47"/>
      <c r="Y3758" s="47"/>
      <c r="Z3758" s="47">
        <f t="shared" si="828"/>
        <v>4620</v>
      </c>
      <c r="AA3758" s="47">
        <f t="shared" si="828"/>
        <v>1400</v>
      </c>
      <c r="AB3758" s="47"/>
      <c r="AC3758" s="47"/>
      <c r="AD3758" s="47" t="s">
        <v>1</v>
      </c>
      <c r="AE3758" s="47"/>
      <c r="AF3758" s="47">
        <f>AF$7</f>
        <v>1485</v>
      </c>
      <c r="AG3758" s="47"/>
      <c r="AH3758" s="47" t="str">
        <f>IFERROR(_xlfn.XLOOKUP(Table6[[#This Row],[Suburb]],Table5[Travel Surcharge],Table5[$$]),"")</f>
        <v/>
      </c>
      <c r="AI3758" s="47"/>
      <c r="AJ3758" s="47"/>
    </row>
    <row r="3759" spans="1:39" s="631" customFormat="1">
      <c r="A3759" s="628" t="s">
        <v>11025</v>
      </c>
      <c r="B3759" s="628">
        <v>1</v>
      </c>
      <c r="C3759" s="628" t="s">
        <v>1412</v>
      </c>
      <c r="D3759" s="629" t="str">
        <f>CONCATENATE(A3759,B3759)</f>
        <v>Scenic Botanica1</v>
      </c>
      <c r="E3759" s="629" t="s">
        <v>11033</v>
      </c>
      <c r="F3759" s="629"/>
      <c r="G3759" s="629"/>
      <c r="H3759" s="629"/>
      <c r="I3759" s="63"/>
      <c r="J3759" s="47">
        <v>3740</v>
      </c>
      <c r="K3759" s="630" t="s">
        <v>10735</v>
      </c>
      <c r="L3759" s="47" t="s">
        <v>11027</v>
      </c>
      <c r="M3759" s="47" t="s">
        <v>11028</v>
      </c>
      <c r="N3759" s="47" t="s">
        <v>11026</v>
      </c>
      <c r="O3759" s="47" t="s">
        <v>11029</v>
      </c>
      <c r="P3759" s="47" t="s">
        <v>11030</v>
      </c>
      <c r="Q3759" s="47" t="s">
        <v>11031</v>
      </c>
      <c r="R3759" s="47" t="s">
        <v>11032</v>
      </c>
      <c r="S3759" s="47">
        <f>S$2</f>
        <v>590</v>
      </c>
      <c r="T3759" s="47"/>
      <c r="U3759" s="47">
        <v>430</v>
      </c>
      <c r="V3759" s="47" t="s">
        <v>9898</v>
      </c>
      <c r="W3759" s="47"/>
      <c r="X3759" s="47"/>
      <c r="Y3759" s="47"/>
      <c r="Z3759" s="47">
        <f>Z$7</f>
        <v>4620</v>
      </c>
      <c r="AA3759" s="47"/>
      <c r="AB3759" s="47"/>
      <c r="AC3759" s="47"/>
      <c r="AD3759" s="47"/>
      <c r="AE3759" s="47">
        <v>5000</v>
      </c>
      <c r="AF3759" s="47">
        <v>1485</v>
      </c>
      <c r="AG3759" s="47"/>
      <c r="AH3759" s="47" t="e">
        <f>IF((COUNTIF(#REF!,C3759)&gt;0),(IF('Pricing Sheet'!$C$3&lt;&gt;"",(VLOOKUP(C3759,AQ:AQ,2,FALSE)),(VLOOKUP(C3759,AQ:AQ,3,FALSE)))),"")</f>
        <v>#REF!</v>
      </c>
      <c r="AI3759" s="47"/>
      <c r="AJ3759" s="47"/>
      <c r="AM3759" s="62"/>
    </row>
    <row r="3760" spans="1:39">
      <c r="A3760" s="374" t="s">
        <v>5545</v>
      </c>
      <c r="B3760" s="374">
        <v>7</v>
      </c>
      <c r="C3760" s="374" t="s">
        <v>1590</v>
      </c>
      <c r="D3760" s="375" t="str">
        <f t="shared" si="827"/>
        <v>Sea Spray Estate7</v>
      </c>
      <c r="E3760" s="375" t="s">
        <v>5546</v>
      </c>
      <c r="F3760" s="375" t="s">
        <v>5547</v>
      </c>
      <c r="G3760" s="375" t="s">
        <v>1603</v>
      </c>
      <c r="H3760" s="375" t="s">
        <v>5548</v>
      </c>
      <c r="I3760" s="63" t="s">
        <v>5549</v>
      </c>
      <c r="J3760" s="47"/>
      <c r="K3760" s="46" t="s">
        <v>317</v>
      </c>
      <c r="L3760" s="47"/>
      <c r="M3760" s="47"/>
      <c r="N3760" s="47"/>
      <c r="O3760" s="47"/>
      <c r="P3760" s="47"/>
      <c r="Q3760" s="47"/>
      <c r="R3760" s="47"/>
      <c r="S3760" s="47"/>
      <c r="T3760" s="47">
        <f>T$2</f>
        <v>780</v>
      </c>
      <c r="U3760" s="47"/>
      <c r="V3760" s="47"/>
      <c r="W3760" s="47"/>
      <c r="X3760" s="47"/>
      <c r="Y3760" s="47"/>
      <c r="Z3760" s="47">
        <f t="shared" ref="Z3760:Z3787" si="829">Z$7</f>
        <v>4620</v>
      </c>
      <c r="AA3760" s="47"/>
      <c r="AB3760" s="47"/>
      <c r="AC3760" s="47">
        <f>AC$7</f>
        <v>5200</v>
      </c>
      <c r="AD3760" s="47"/>
      <c r="AE3760" s="47"/>
      <c r="AF3760" s="47"/>
      <c r="AG3760" s="47"/>
      <c r="AH3760" s="47" t="str">
        <f>IFERROR(_xlfn.XLOOKUP(Table6[[#This Row],[Suburb]],Table5[Travel Surcharge],Table5[$$]),"")</f>
        <v/>
      </c>
      <c r="AI3760" s="47"/>
      <c r="AJ3760" s="47"/>
    </row>
    <row r="3761" spans="1:36">
      <c r="A3761" s="374" t="s">
        <v>5545</v>
      </c>
      <c r="B3761" s="374">
        <v>8</v>
      </c>
      <c r="C3761" s="374" t="s">
        <v>1590</v>
      </c>
      <c r="D3761" s="375" t="str">
        <f t="shared" si="827"/>
        <v>Sea Spray Estate8</v>
      </c>
      <c r="E3761" s="375" t="s">
        <v>5550</v>
      </c>
      <c r="F3761" s="375" t="s">
        <v>5547</v>
      </c>
      <c r="G3761" s="375" t="s">
        <v>1603</v>
      </c>
      <c r="H3761" s="375" t="s">
        <v>5548</v>
      </c>
      <c r="I3761" s="63" t="s">
        <v>5549</v>
      </c>
      <c r="J3761" s="47"/>
      <c r="K3761" s="46" t="s">
        <v>317</v>
      </c>
      <c r="L3761" s="47"/>
      <c r="M3761" s="47"/>
      <c r="N3761" s="47"/>
      <c r="O3761" s="47"/>
      <c r="P3761" s="47"/>
      <c r="Q3761" s="47"/>
      <c r="R3761" s="47"/>
      <c r="S3761" s="47"/>
      <c r="T3761" s="47">
        <f>T$2</f>
        <v>780</v>
      </c>
      <c r="U3761" s="47"/>
      <c r="V3761" s="47"/>
      <c r="W3761" s="47"/>
      <c r="X3761" s="47"/>
      <c r="Y3761" s="47"/>
      <c r="Z3761" s="47">
        <f t="shared" si="829"/>
        <v>4620</v>
      </c>
      <c r="AA3761" s="47"/>
      <c r="AB3761" s="47"/>
      <c r="AC3761" s="47">
        <f>AC$7</f>
        <v>5200</v>
      </c>
      <c r="AD3761" s="47"/>
      <c r="AE3761" s="47"/>
      <c r="AF3761" s="47"/>
      <c r="AG3761" s="47"/>
      <c r="AH3761" s="47" t="str">
        <f>IFERROR(_xlfn.XLOOKUP(Table6[[#This Row],[Suburb]],Table5[Travel Surcharge],Table5[$$]),"")</f>
        <v/>
      </c>
      <c r="AI3761" s="47"/>
      <c r="AJ3761" s="47"/>
    </row>
    <row r="3762" spans="1:36">
      <c r="A3762" s="374" t="s">
        <v>5536</v>
      </c>
      <c r="B3762" s="374">
        <v>15</v>
      </c>
      <c r="C3762" s="374" t="s">
        <v>5537</v>
      </c>
      <c r="D3762" s="375" t="str">
        <f t="shared" si="827"/>
        <v>Seabreeze Estate15</v>
      </c>
      <c r="E3762" s="375" t="s">
        <v>5538</v>
      </c>
      <c r="F3762" s="375" t="s">
        <v>5539</v>
      </c>
      <c r="G3762" s="375" t="s">
        <v>5540</v>
      </c>
      <c r="H3762" s="375" t="s">
        <v>5541</v>
      </c>
      <c r="I3762" s="63" t="s">
        <v>5542</v>
      </c>
      <c r="J3762" s="47">
        <v>3740</v>
      </c>
      <c r="K3762" s="46" t="s">
        <v>10735</v>
      </c>
      <c r="L3762" s="47"/>
      <c r="M3762" s="47"/>
      <c r="N3762" s="47"/>
      <c r="O3762" s="47"/>
      <c r="P3762" s="47"/>
      <c r="Q3762" s="47">
        <f t="shared" ref="Q3762:Q3775" si="830">Q$2</f>
        <v>0</v>
      </c>
      <c r="R3762" s="47"/>
      <c r="S3762" s="47" t="s">
        <v>5543</v>
      </c>
      <c r="T3762" s="47" t="s">
        <v>5544</v>
      </c>
      <c r="U3762" s="47"/>
      <c r="V3762" s="47"/>
      <c r="W3762" s="47"/>
      <c r="X3762" s="47"/>
      <c r="Y3762" s="47"/>
      <c r="Z3762" s="47">
        <f t="shared" si="829"/>
        <v>4620</v>
      </c>
      <c r="AA3762" s="47"/>
      <c r="AB3762" s="47"/>
      <c r="AC3762" s="47"/>
      <c r="AD3762" s="47"/>
      <c r="AE3762" s="47"/>
      <c r="AF3762" s="47"/>
      <c r="AG3762" s="47"/>
      <c r="AH3762" s="47" t="str">
        <f>IFERROR(_xlfn.XLOOKUP(Table6[[#This Row],[Suburb]],Table5[Travel Surcharge],Table5[$$]),"")</f>
        <v/>
      </c>
      <c r="AI3762" s="47"/>
      <c r="AJ3762" s="47"/>
    </row>
    <row r="3763" spans="1:36">
      <c r="A3763" s="374" t="s">
        <v>5536</v>
      </c>
      <c r="B3763" s="374">
        <v>16</v>
      </c>
      <c r="C3763" s="374" t="s">
        <v>5537</v>
      </c>
      <c r="D3763" s="375" t="str">
        <f t="shared" si="827"/>
        <v>Seabreeze Estate16</v>
      </c>
      <c r="E3763" s="375" t="s">
        <v>9738</v>
      </c>
      <c r="F3763" s="375" t="s">
        <v>5539</v>
      </c>
      <c r="G3763" s="375" t="s">
        <v>5540</v>
      </c>
      <c r="H3763" s="375" t="s">
        <v>5541</v>
      </c>
      <c r="I3763" s="63" t="s">
        <v>5542</v>
      </c>
      <c r="J3763" s="47">
        <v>3740</v>
      </c>
      <c r="K3763" s="46" t="s">
        <v>10735</v>
      </c>
      <c r="L3763" s="47"/>
      <c r="M3763" s="47"/>
      <c r="N3763" s="47"/>
      <c r="O3763" s="47"/>
      <c r="P3763" s="47"/>
      <c r="Q3763" s="47">
        <f t="shared" si="830"/>
        <v>0</v>
      </c>
      <c r="R3763" s="47"/>
      <c r="S3763" s="47" t="s">
        <v>5543</v>
      </c>
      <c r="T3763" s="47" t="s">
        <v>5544</v>
      </c>
      <c r="U3763" s="47"/>
      <c r="V3763" s="47"/>
      <c r="W3763" s="47"/>
      <c r="X3763" s="47"/>
      <c r="Y3763" s="47"/>
      <c r="Z3763" s="47">
        <f t="shared" si="829"/>
        <v>4620</v>
      </c>
      <c r="AA3763" s="47"/>
      <c r="AB3763" s="47"/>
      <c r="AC3763" s="47"/>
      <c r="AD3763" s="47"/>
      <c r="AE3763" s="47"/>
      <c r="AF3763" s="47"/>
      <c r="AG3763" s="47"/>
      <c r="AH3763" s="47" t="str">
        <f>IFERROR(_xlfn.XLOOKUP(Table6[[#This Row],[Suburb]],Table5[Travel Surcharge],Table5[$$]),"")</f>
        <v/>
      </c>
      <c r="AI3763" s="47"/>
      <c r="AJ3763" s="47"/>
    </row>
    <row r="3764" spans="1:36">
      <c r="A3764" s="374" t="s">
        <v>5551</v>
      </c>
      <c r="B3764" s="374">
        <v>1</v>
      </c>
      <c r="C3764" s="374" t="s">
        <v>1532</v>
      </c>
      <c r="D3764" s="375" t="str">
        <f t="shared" si="827"/>
        <v>Seachange1</v>
      </c>
      <c r="E3764" s="375" t="s">
        <v>5552</v>
      </c>
      <c r="F3764" s="375"/>
      <c r="G3764" s="375"/>
      <c r="H3764" s="375"/>
      <c r="I3764" s="63"/>
      <c r="J3764" s="47">
        <v>3740</v>
      </c>
      <c r="K3764" s="46" t="s">
        <v>7938</v>
      </c>
      <c r="L3764" s="47"/>
      <c r="M3764" s="47"/>
      <c r="N3764" s="47" t="s">
        <v>5553</v>
      </c>
      <c r="O3764" s="47"/>
      <c r="P3764" s="47"/>
      <c r="Q3764" s="47">
        <f t="shared" si="830"/>
        <v>0</v>
      </c>
      <c r="R3764" s="47"/>
      <c r="S3764" s="47"/>
      <c r="T3764" s="47"/>
      <c r="U3764" s="47"/>
      <c r="V3764" s="47"/>
      <c r="W3764" s="47"/>
      <c r="X3764" s="47"/>
      <c r="Y3764" s="47"/>
      <c r="Z3764" s="47">
        <f t="shared" si="829"/>
        <v>4620</v>
      </c>
      <c r="AA3764" s="47"/>
      <c r="AB3764" s="47"/>
      <c r="AC3764" s="47"/>
      <c r="AD3764" s="47"/>
      <c r="AE3764" s="47"/>
      <c r="AF3764" s="47"/>
      <c r="AG3764" s="47"/>
      <c r="AH3764" s="47">
        <f>IFERROR(_xlfn.XLOOKUP(Table6[[#This Row],[Suburb]],Table5[Travel Surcharge],Table5[$$]),"")</f>
        <v>1500</v>
      </c>
      <c r="AI3764" s="47"/>
      <c r="AJ3764" s="47"/>
    </row>
    <row r="3765" spans="1:36">
      <c r="A3765" s="374" t="s">
        <v>5551</v>
      </c>
      <c r="B3765" s="374">
        <v>2</v>
      </c>
      <c r="C3765" s="374" t="s">
        <v>1532</v>
      </c>
      <c r="D3765" s="375" t="str">
        <f t="shared" si="827"/>
        <v>Seachange2</v>
      </c>
      <c r="E3765" s="375" t="s">
        <v>5554</v>
      </c>
      <c r="F3765" s="375"/>
      <c r="G3765" s="375"/>
      <c r="H3765" s="375"/>
      <c r="I3765" s="63"/>
      <c r="J3765" s="47">
        <v>3740</v>
      </c>
      <c r="K3765" s="46" t="s">
        <v>7938</v>
      </c>
      <c r="L3765" s="47"/>
      <c r="M3765" s="47"/>
      <c r="N3765" s="47" t="s">
        <v>5553</v>
      </c>
      <c r="O3765" s="47"/>
      <c r="P3765" s="47"/>
      <c r="Q3765" s="47">
        <f t="shared" si="830"/>
        <v>0</v>
      </c>
      <c r="R3765" s="47"/>
      <c r="S3765" s="47"/>
      <c r="T3765" s="47"/>
      <c r="U3765" s="47"/>
      <c r="V3765" s="47"/>
      <c r="W3765" s="47"/>
      <c r="X3765" s="47"/>
      <c r="Y3765" s="47"/>
      <c r="Z3765" s="47">
        <f t="shared" si="829"/>
        <v>4620</v>
      </c>
      <c r="AA3765" s="47"/>
      <c r="AB3765" s="47"/>
      <c r="AC3765" s="47"/>
      <c r="AD3765" s="47"/>
      <c r="AE3765" s="47"/>
      <c r="AF3765" s="47"/>
      <c r="AG3765" s="47"/>
      <c r="AH3765" s="47">
        <f>IFERROR(_xlfn.XLOOKUP(Table6[[#This Row],[Suburb]],Table5[Travel Surcharge],Table5[$$]),"")</f>
        <v>1500</v>
      </c>
      <c r="AI3765" s="47"/>
      <c r="AJ3765" s="47"/>
    </row>
    <row r="3766" spans="1:36">
      <c r="A3766" s="374" t="s">
        <v>5551</v>
      </c>
      <c r="B3766" s="374">
        <v>3</v>
      </c>
      <c r="C3766" s="374" t="s">
        <v>1532</v>
      </c>
      <c r="D3766" s="375" t="str">
        <f t="shared" si="827"/>
        <v>Seachange3</v>
      </c>
      <c r="E3766" s="375" t="s">
        <v>5555</v>
      </c>
      <c r="F3766" s="375"/>
      <c r="G3766" s="375"/>
      <c r="H3766" s="375"/>
      <c r="I3766" s="63"/>
      <c r="J3766" s="47">
        <v>3740</v>
      </c>
      <c r="K3766" s="46" t="s">
        <v>7938</v>
      </c>
      <c r="L3766" s="47"/>
      <c r="M3766" s="47"/>
      <c r="N3766" s="47" t="s">
        <v>5553</v>
      </c>
      <c r="O3766" s="47"/>
      <c r="P3766" s="47"/>
      <c r="Q3766" s="47">
        <f t="shared" si="830"/>
        <v>0</v>
      </c>
      <c r="R3766" s="47"/>
      <c r="S3766" s="47"/>
      <c r="T3766" s="47"/>
      <c r="U3766" s="47"/>
      <c r="V3766" s="47"/>
      <c r="W3766" s="47"/>
      <c r="X3766" s="47"/>
      <c r="Y3766" s="47"/>
      <c r="Z3766" s="47">
        <f t="shared" si="829"/>
        <v>4620</v>
      </c>
      <c r="AA3766" s="47"/>
      <c r="AB3766" s="47"/>
      <c r="AC3766" s="47"/>
      <c r="AD3766" s="47"/>
      <c r="AE3766" s="47"/>
      <c r="AF3766" s="47"/>
      <c r="AG3766" s="47"/>
      <c r="AH3766" s="47">
        <f>IFERROR(_xlfn.XLOOKUP(Table6[[#This Row],[Suburb]],Table5[Travel Surcharge],Table5[$$]),"")</f>
        <v>1500</v>
      </c>
      <c r="AI3766" s="47"/>
      <c r="AJ3766" s="47"/>
    </row>
    <row r="3767" spans="1:36">
      <c r="A3767" s="374" t="s">
        <v>5551</v>
      </c>
      <c r="B3767" s="374">
        <v>4</v>
      </c>
      <c r="C3767" s="374" t="s">
        <v>1532</v>
      </c>
      <c r="D3767" s="375" t="str">
        <f t="shared" si="827"/>
        <v>Seachange4</v>
      </c>
      <c r="E3767" s="375" t="s">
        <v>5556</v>
      </c>
      <c r="F3767" s="375"/>
      <c r="G3767" s="375"/>
      <c r="H3767" s="375"/>
      <c r="I3767" s="63"/>
      <c r="J3767" s="47">
        <v>3740</v>
      </c>
      <c r="K3767" s="46" t="s">
        <v>7938</v>
      </c>
      <c r="L3767" s="47"/>
      <c r="M3767" s="47"/>
      <c r="N3767" s="47" t="s">
        <v>5553</v>
      </c>
      <c r="O3767" s="47"/>
      <c r="P3767" s="47"/>
      <c r="Q3767" s="47">
        <f t="shared" si="830"/>
        <v>0</v>
      </c>
      <c r="R3767" s="47"/>
      <c r="S3767" s="47"/>
      <c r="T3767" s="47"/>
      <c r="U3767" s="47"/>
      <c r="V3767" s="47"/>
      <c r="W3767" s="47"/>
      <c r="X3767" s="47"/>
      <c r="Y3767" s="47"/>
      <c r="Z3767" s="47">
        <f t="shared" si="829"/>
        <v>4620</v>
      </c>
      <c r="AA3767" s="47"/>
      <c r="AB3767" s="47"/>
      <c r="AC3767" s="47"/>
      <c r="AD3767" s="47"/>
      <c r="AE3767" s="47"/>
      <c r="AF3767" s="47"/>
      <c r="AG3767" s="47"/>
      <c r="AH3767" s="47">
        <f>IFERROR(_xlfn.XLOOKUP(Table6[[#This Row],[Suburb]],Table5[Travel Surcharge],Table5[$$]),"")</f>
        <v>1500</v>
      </c>
      <c r="AI3767" s="47"/>
      <c r="AJ3767" s="47"/>
    </row>
    <row r="3768" spans="1:36">
      <c r="A3768" s="374" t="s">
        <v>5551</v>
      </c>
      <c r="B3768" s="374">
        <v>5</v>
      </c>
      <c r="C3768" s="374" t="s">
        <v>1532</v>
      </c>
      <c r="D3768" s="375" t="str">
        <f t="shared" si="827"/>
        <v>Seachange5</v>
      </c>
      <c r="E3768" s="375" t="s">
        <v>5557</v>
      </c>
      <c r="F3768" s="375"/>
      <c r="G3768" s="375"/>
      <c r="H3768" s="375"/>
      <c r="I3768" s="63"/>
      <c r="J3768" s="47">
        <v>3740</v>
      </c>
      <c r="K3768" s="46" t="s">
        <v>7938</v>
      </c>
      <c r="L3768" s="47"/>
      <c r="M3768" s="47"/>
      <c r="N3768" s="47" t="s">
        <v>5553</v>
      </c>
      <c r="O3768" s="47"/>
      <c r="P3768" s="47"/>
      <c r="Q3768" s="47">
        <f t="shared" si="830"/>
        <v>0</v>
      </c>
      <c r="R3768" s="47"/>
      <c r="S3768" s="47"/>
      <c r="T3768" s="47"/>
      <c r="U3768" s="47"/>
      <c r="V3768" s="47"/>
      <c r="W3768" s="47"/>
      <c r="X3768" s="47"/>
      <c r="Y3768" s="47"/>
      <c r="Z3768" s="47">
        <f t="shared" si="829"/>
        <v>4620</v>
      </c>
      <c r="AA3768" s="47"/>
      <c r="AB3768" s="47"/>
      <c r="AC3768" s="47"/>
      <c r="AD3768" s="47"/>
      <c r="AE3768" s="47"/>
      <c r="AF3768" s="47"/>
      <c r="AG3768" s="47"/>
      <c r="AH3768" s="47">
        <f>IFERROR(_xlfn.XLOOKUP(Table6[[#This Row],[Suburb]],Table5[Travel Surcharge],Table5[$$]),"")</f>
        <v>1500</v>
      </c>
      <c r="AI3768" s="47"/>
      <c r="AJ3768" s="47"/>
    </row>
    <row r="3769" spans="1:36">
      <c r="A3769" s="374" t="s">
        <v>5551</v>
      </c>
      <c r="B3769" s="374">
        <v>6</v>
      </c>
      <c r="C3769" s="374" t="s">
        <v>1532</v>
      </c>
      <c r="D3769" s="375" t="str">
        <f t="shared" si="827"/>
        <v>Seachange6</v>
      </c>
      <c r="E3769" s="375" t="s">
        <v>5558</v>
      </c>
      <c r="F3769" s="375"/>
      <c r="G3769" s="375"/>
      <c r="H3769" s="375"/>
      <c r="I3769" s="63"/>
      <c r="J3769" s="47">
        <v>3740</v>
      </c>
      <c r="K3769" s="46" t="s">
        <v>7938</v>
      </c>
      <c r="L3769" s="47"/>
      <c r="M3769" s="47"/>
      <c r="N3769" s="47" t="s">
        <v>5553</v>
      </c>
      <c r="O3769" s="47"/>
      <c r="P3769" s="47"/>
      <c r="Q3769" s="47">
        <f t="shared" si="830"/>
        <v>0</v>
      </c>
      <c r="R3769" s="47"/>
      <c r="S3769" s="47"/>
      <c r="T3769" s="47"/>
      <c r="U3769" s="47"/>
      <c r="V3769" s="47"/>
      <c r="W3769" s="47"/>
      <c r="X3769" s="47"/>
      <c r="Y3769" s="47"/>
      <c r="Z3769" s="47">
        <f t="shared" si="829"/>
        <v>4620</v>
      </c>
      <c r="AA3769" s="47"/>
      <c r="AB3769" s="47"/>
      <c r="AC3769" s="47"/>
      <c r="AD3769" s="47"/>
      <c r="AE3769" s="47"/>
      <c r="AF3769" s="47"/>
      <c r="AG3769" s="47"/>
      <c r="AH3769" s="47">
        <f>IFERROR(_xlfn.XLOOKUP(Table6[[#This Row],[Suburb]],Table5[Travel Surcharge],Table5[$$]),"")</f>
        <v>1500</v>
      </c>
      <c r="AI3769" s="47"/>
      <c r="AJ3769" s="47"/>
    </row>
    <row r="3770" spans="1:36">
      <c r="A3770" s="374" t="s">
        <v>5551</v>
      </c>
      <c r="B3770" s="374">
        <v>7</v>
      </c>
      <c r="C3770" s="374" t="s">
        <v>1532</v>
      </c>
      <c r="D3770" s="375" t="str">
        <f t="shared" si="827"/>
        <v>Seachange7</v>
      </c>
      <c r="E3770" s="375" t="s">
        <v>5559</v>
      </c>
      <c r="F3770" s="375"/>
      <c r="G3770" s="375"/>
      <c r="H3770" s="375"/>
      <c r="I3770" s="63"/>
      <c r="J3770" s="47">
        <v>3740</v>
      </c>
      <c r="K3770" s="46" t="s">
        <v>7938</v>
      </c>
      <c r="L3770" s="47"/>
      <c r="M3770" s="47"/>
      <c r="N3770" s="47" t="s">
        <v>5553</v>
      </c>
      <c r="O3770" s="47"/>
      <c r="P3770" s="47"/>
      <c r="Q3770" s="47">
        <f t="shared" si="830"/>
        <v>0</v>
      </c>
      <c r="R3770" s="47"/>
      <c r="S3770" s="47"/>
      <c r="T3770" s="47"/>
      <c r="U3770" s="47"/>
      <c r="V3770" s="47"/>
      <c r="W3770" s="47"/>
      <c r="X3770" s="47"/>
      <c r="Y3770" s="47"/>
      <c r="Z3770" s="47">
        <f t="shared" si="829"/>
        <v>4620</v>
      </c>
      <c r="AA3770" s="47"/>
      <c r="AB3770" s="47"/>
      <c r="AC3770" s="47"/>
      <c r="AD3770" s="47"/>
      <c r="AE3770" s="47"/>
      <c r="AF3770" s="47"/>
      <c r="AG3770" s="47"/>
      <c r="AH3770" s="47">
        <f>IFERROR(_xlfn.XLOOKUP(Table6[[#This Row],[Suburb]],Table5[Travel Surcharge],Table5[$$]),"")</f>
        <v>1500</v>
      </c>
      <c r="AI3770" s="47"/>
      <c r="AJ3770" s="47"/>
    </row>
    <row r="3771" spans="1:36">
      <c r="A3771" s="374" t="s">
        <v>5551</v>
      </c>
      <c r="B3771" s="374">
        <v>8</v>
      </c>
      <c r="C3771" s="374" t="s">
        <v>1532</v>
      </c>
      <c r="D3771" s="375" t="str">
        <f t="shared" si="827"/>
        <v>Seachange8</v>
      </c>
      <c r="E3771" s="375" t="s">
        <v>5560</v>
      </c>
      <c r="F3771" s="375"/>
      <c r="G3771" s="375"/>
      <c r="H3771" s="375"/>
      <c r="I3771" s="63"/>
      <c r="J3771" s="47">
        <v>3740</v>
      </c>
      <c r="K3771" s="46" t="s">
        <v>7938</v>
      </c>
      <c r="L3771" s="47"/>
      <c r="M3771" s="47"/>
      <c r="N3771" s="47" t="s">
        <v>5553</v>
      </c>
      <c r="O3771" s="47"/>
      <c r="P3771" s="47"/>
      <c r="Q3771" s="47">
        <f t="shared" si="830"/>
        <v>0</v>
      </c>
      <c r="R3771" s="47"/>
      <c r="S3771" s="47"/>
      <c r="T3771" s="47"/>
      <c r="U3771" s="47"/>
      <c r="V3771" s="47"/>
      <c r="W3771" s="47"/>
      <c r="X3771" s="47"/>
      <c r="Y3771" s="47"/>
      <c r="Z3771" s="47">
        <f t="shared" si="829"/>
        <v>4620</v>
      </c>
      <c r="AA3771" s="47"/>
      <c r="AB3771" s="47"/>
      <c r="AC3771" s="47"/>
      <c r="AD3771" s="47"/>
      <c r="AE3771" s="47"/>
      <c r="AF3771" s="47"/>
      <c r="AG3771" s="47"/>
      <c r="AH3771" s="47">
        <f>IFERROR(_xlfn.XLOOKUP(Table6[[#This Row],[Suburb]],Table5[Travel Surcharge],Table5[$$]),"")</f>
        <v>1500</v>
      </c>
      <c r="AI3771" s="47"/>
      <c r="AJ3771" s="47"/>
    </row>
    <row r="3772" spans="1:36">
      <c r="A3772" s="374" t="s">
        <v>5551</v>
      </c>
      <c r="B3772" s="374">
        <v>9</v>
      </c>
      <c r="C3772" s="374" t="s">
        <v>1532</v>
      </c>
      <c r="D3772" s="375" t="str">
        <f t="shared" si="827"/>
        <v>Seachange9</v>
      </c>
      <c r="E3772" s="375" t="s">
        <v>5561</v>
      </c>
      <c r="F3772" s="375"/>
      <c r="G3772" s="375"/>
      <c r="H3772" s="375"/>
      <c r="I3772" s="63"/>
      <c r="J3772" s="47">
        <v>3740</v>
      </c>
      <c r="K3772" s="46" t="s">
        <v>7938</v>
      </c>
      <c r="L3772" s="47"/>
      <c r="M3772" s="47"/>
      <c r="N3772" s="47" t="s">
        <v>5553</v>
      </c>
      <c r="O3772" s="47"/>
      <c r="P3772" s="47"/>
      <c r="Q3772" s="47">
        <f t="shared" si="830"/>
        <v>0</v>
      </c>
      <c r="R3772" s="47"/>
      <c r="S3772" s="47"/>
      <c r="T3772" s="47"/>
      <c r="U3772" s="47"/>
      <c r="V3772" s="47"/>
      <c r="W3772" s="47"/>
      <c r="X3772" s="47"/>
      <c r="Y3772" s="47"/>
      <c r="Z3772" s="47">
        <f t="shared" si="829"/>
        <v>4620</v>
      </c>
      <c r="AA3772" s="47"/>
      <c r="AB3772" s="47"/>
      <c r="AC3772" s="47"/>
      <c r="AD3772" s="47"/>
      <c r="AE3772" s="47"/>
      <c r="AF3772" s="47"/>
      <c r="AG3772" s="47"/>
      <c r="AH3772" s="47">
        <f>IFERROR(_xlfn.XLOOKUP(Table6[[#This Row],[Suburb]],Table5[Travel Surcharge],Table5[$$]),"")</f>
        <v>1500</v>
      </c>
      <c r="AI3772" s="47"/>
      <c r="AJ3772" s="47"/>
    </row>
    <row r="3773" spans="1:36">
      <c r="A3773" s="374" t="s">
        <v>5551</v>
      </c>
      <c r="B3773" s="374">
        <v>10</v>
      </c>
      <c r="C3773" s="374" t="s">
        <v>1532</v>
      </c>
      <c r="D3773" s="375" t="str">
        <f t="shared" si="827"/>
        <v>Seachange10</v>
      </c>
      <c r="E3773" s="375" t="s">
        <v>5562</v>
      </c>
      <c r="F3773" s="375"/>
      <c r="G3773" s="375"/>
      <c r="H3773" s="375"/>
      <c r="I3773" s="63"/>
      <c r="J3773" s="47">
        <v>3740</v>
      </c>
      <c r="K3773" s="46" t="s">
        <v>7938</v>
      </c>
      <c r="L3773" s="47"/>
      <c r="M3773" s="47"/>
      <c r="N3773" s="47" t="s">
        <v>5553</v>
      </c>
      <c r="O3773" s="47"/>
      <c r="P3773" s="47"/>
      <c r="Q3773" s="47">
        <f t="shared" si="830"/>
        <v>0</v>
      </c>
      <c r="R3773" s="47"/>
      <c r="S3773" s="47"/>
      <c r="T3773" s="47"/>
      <c r="U3773" s="47"/>
      <c r="V3773" s="47"/>
      <c r="W3773" s="47"/>
      <c r="X3773" s="47"/>
      <c r="Y3773" s="47"/>
      <c r="Z3773" s="47">
        <f t="shared" si="829"/>
        <v>4620</v>
      </c>
      <c r="AA3773" s="47"/>
      <c r="AB3773" s="47"/>
      <c r="AC3773" s="47"/>
      <c r="AD3773" s="47"/>
      <c r="AE3773" s="47"/>
      <c r="AF3773" s="47"/>
      <c r="AG3773" s="47"/>
      <c r="AH3773" s="47">
        <f>IFERROR(_xlfn.XLOOKUP(Table6[[#This Row],[Suburb]],Table5[Travel Surcharge],Table5[$$]),"")</f>
        <v>1500</v>
      </c>
      <c r="AI3773" s="47"/>
      <c r="AJ3773" s="47"/>
    </row>
    <row r="3774" spans="1:36">
      <c r="A3774" s="374" t="s">
        <v>5551</v>
      </c>
      <c r="B3774" s="374">
        <v>11</v>
      </c>
      <c r="C3774" s="374" t="s">
        <v>1532</v>
      </c>
      <c r="D3774" s="375" t="str">
        <f t="shared" si="827"/>
        <v>Seachange11</v>
      </c>
      <c r="E3774" s="375" t="s">
        <v>5563</v>
      </c>
      <c r="F3774" s="375"/>
      <c r="G3774" s="375"/>
      <c r="H3774" s="375"/>
      <c r="I3774" s="63"/>
      <c r="J3774" s="47">
        <v>3740</v>
      </c>
      <c r="K3774" s="46" t="s">
        <v>7938</v>
      </c>
      <c r="L3774" s="47"/>
      <c r="M3774" s="47"/>
      <c r="N3774" s="47" t="s">
        <v>5553</v>
      </c>
      <c r="O3774" s="47"/>
      <c r="P3774" s="47"/>
      <c r="Q3774" s="47">
        <f t="shared" si="830"/>
        <v>0</v>
      </c>
      <c r="R3774" s="47"/>
      <c r="S3774" s="47"/>
      <c r="T3774" s="47"/>
      <c r="U3774" s="47"/>
      <c r="V3774" s="47"/>
      <c r="W3774" s="47"/>
      <c r="X3774" s="47"/>
      <c r="Y3774" s="47"/>
      <c r="Z3774" s="47">
        <f t="shared" si="829"/>
        <v>4620</v>
      </c>
      <c r="AA3774" s="47"/>
      <c r="AB3774" s="47"/>
      <c r="AC3774" s="47"/>
      <c r="AD3774" s="47"/>
      <c r="AE3774" s="47"/>
      <c r="AF3774" s="47"/>
      <c r="AG3774" s="47"/>
      <c r="AH3774" s="47">
        <f>IFERROR(_xlfn.XLOOKUP(Table6[[#This Row],[Suburb]],Table5[Travel Surcharge],Table5[$$]),"")</f>
        <v>1500</v>
      </c>
      <c r="AI3774" s="47"/>
      <c r="AJ3774" s="47"/>
    </row>
    <row r="3775" spans="1:36">
      <c r="A3775" s="374" t="s">
        <v>5551</v>
      </c>
      <c r="B3775" s="374">
        <v>12</v>
      </c>
      <c r="C3775" s="374" t="s">
        <v>1532</v>
      </c>
      <c r="D3775" s="375" t="str">
        <f t="shared" si="827"/>
        <v>Seachange12</v>
      </c>
      <c r="E3775" s="375" t="s">
        <v>5564</v>
      </c>
      <c r="F3775" s="375"/>
      <c r="G3775" s="375"/>
      <c r="H3775" s="375"/>
      <c r="I3775" s="63"/>
      <c r="J3775" s="47">
        <v>3740</v>
      </c>
      <c r="K3775" s="46" t="s">
        <v>7938</v>
      </c>
      <c r="L3775" s="47"/>
      <c r="M3775" s="47"/>
      <c r="N3775" s="47" t="s">
        <v>5553</v>
      </c>
      <c r="O3775" s="47"/>
      <c r="P3775" s="47"/>
      <c r="Q3775" s="47">
        <f t="shared" si="830"/>
        <v>0</v>
      </c>
      <c r="R3775" s="47"/>
      <c r="S3775" s="47"/>
      <c r="T3775" s="47"/>
      <c r="U3775" s="47"/>
      <c r="V3775" s="47"/>
      <c r="W3775" s="47"/>
      <c r="X3775" s="47"/>
      <c r="Y3775" s="47"/>
      <c r="Z3775" s="47">
        <f t="shared" si="829"/>
        <v>4620</v>
      </c>
      <c r="AA3775" s="47"/>
      <c r="AB3775" s="47"/>
      <c r="AC3775" s="47"/>
      <c r="AD3775" s="47"/>
      <c r="AE3775" s="47"/>
      <c r="AF3775" s="47"/>
      <c r="AG3775" s="47"/>
      <c r="AH3775" s="47">
        <f>IFERROR(_xlfn.XLOOKUP(Table6[[#This Row],[Suburb]],Table5[Travel Surcharge],Table5[$$]),"")</f>
        <v>1500</v>
      </c>
      <c r="AI3775" s="47"/>
      <c r="AJ3775" s="47"/>
    </row>
    <row r="3776" spans="1:36">
      <c r="A3776" s="374" t="s">
        <v>5565</v>
      </c>
      <c r="B3776" s="374">
        <v>1</v>
      </c>
      <c r="C3776" s="374" t="s">
        <v>1532</v>
      </c>
      <c r="D3776" s="375" t="str">
        <f t="shared" si="827"/>
        <v>Seaside Estate1</v>
      </c>
      <c r="E3776" s="375" t="s">
        <v>5566</v>
      </c>
      <c r="F3776" s="375"/>
      <c r="G3776" s="375"/>
      <c r="H3776" s="375"/>
      <c r="I3776" s="63"/>
      <c r="J3776" s="47"/>
      <c r="K3776" s="46" t="s">
        <v>7938</v>
      </c>
      <c r="L3776" s="47"/>
      <c r="M3776" s="47"/>
      <c r="N3776" s="47" t="s">
        <v>5567</v>
      </c>
      <c r="O3776" s="47" t="s">
        <v>5568</v>
      </c>
      <c r="P3776" s="47"/>
      <c r="Q3776" s="47" t="s">
        <v>5569</v>
      </c>
      <c r="R3776" s="47"/>
      <c r="S3776" s="47"/>
      <c r="T3776" s="47"/>
      <c r="U3776" s="47"/>
      <c r="V3776" s="47" t="s">
        <v>5570</v>
      </c>
      <c r="W3776" s="47"/>
      <c r="X3776" s="47"/>
      <c r="Y3776" s="47"/>
      <c r="Z3776" s="47">
        <f t="shared" si="829"/>
        <v>4620</v>
      </c>
      <c r="AA3776" s="47">
        <f t="shared" ref="AA3776:AC3778" si="831">AA$7</f>
        <v>1400</v>
      </c>
      <c r="AB3776" s="47">
        <f t="shared" si="831"/>
        <v>2800</v>
      </c>
      <c r="AC3776" s="47">
        <f t="shared" si="831"/>
        <v>5200</v>
      </c>
      <c r="AD3776" s="47"/>
      <c r="AE3776" s="47"/>
      <c r="AF3776" s="47"/>
      <c r="AG3776" s="47"/>
      <c r="AH3776" s="47">
        <f>IFERROR(_xlfn.XLOOKUP(Table6[[#This Row],[Suburb]],Table5[Travel Surcharge],Table5[$$]),"")</f>
        <v>1500</v>
      </c>
      <c r="AI3776" s="47"/>
      <c r="AJ3776" s="47"/>
    </row>
    <row r="3777" spans="1:36">
      <c r="A3777" s="374" t="s">
        <v>5565</v>
      </c>
      <c r="B3777" s="374">
        <v>2</v>
      </c>
      <c r="C3777" s="374" t="s">
        <v>1532</v>
      </c>
      <c r="D3777" s="375" t="str">
        <f t="shared" si="827"/>
        <v>Seaside Estate2</v>
      </c>
      <c r="E3777" s="375" t="s">
        <v>5571</v>
      </c>
      <c r="F3777" s="375"/>
      <c r="G3777" s="375"/>
      <c r="H3777" s="375"/>
      <c r="I3777" s="63"/>
      <c r="J3777" s="47"/>
      <c r="K3777" s="46" t="s">
        <v>7938</v>
      </c>
      <c r="L3777" s="47"/>
      <c r="M3777" s="47"/>
      <c r="N3777" s="47" t="s">
        <v>5567</v>
      </c>
      <c r="O3777" s="47" t="s">
        <v>5568</v>
      </c>
      <c r="P3777" s="47"/>
      <c r="Q3777" s="47" t="s">
        <v>5569</v>
      </c>
      <c r="R3777" s="47"/>
      <c r="S3777" s="47"/>
      <c r="T3777" s="47"/>
      <c r="U3777" s="47"/>
      <c r="V3777" s="47" t="s">
        <v>5570</v>
      </c>
      <c r="W3777" s="47"/>
      <c r="X3777" s="47"/>
      <c r="Y3777" s="47"/>
      <c r="Z3777" s="47">
        <f t="shared" si="829"/>
        <v>4620</v>
      </c>
      <c r="AA3777" s="47">
        <f t="shared" si="831"/>
        <v>1400</v>
      </c>
      <c r="AB3777" s="47">
        <f t="shared" si="831"/>
        <v>2800</v>
      </c>
      <c r="AC3777" s="47">
        <f t="shared" si="831"/>
        <v>5200</v>
      </c>
      <c r="AD3777" s="47"/>
      <c r="AE3777" s="47"/>
      <c r="AF3777" s="47"/>
      <c r="AG3777" s="47"/>
      <c r="AH3777" s="47">
        <f>IFERROR(_xlfn.XLOOKUP(Table6[[#This Row],[Suburb]],Table5[Travel Surcharge],Table5[$$]),"")</f>
        <v>1500</v>
      </c>
      <c r="AI3777" s="47"/>
      <c r="AJ3777" s="47"/>
    </row>
    <row r="3778" spans="1:36">
      <c r="A3778" s="157" t="s">
        <v>5565</v>
      </c>
      <c r="B3778" s="157">
        <v>8</v>
      </c>
      <c r="C3778" s="157" t="s">
        <v>1532</v>
      </c>
      <c r="D3778" s="157" t="str">
        <f t="shared" si="827"/>
        <v>Seaside Estate8</v>
      </c>
      <c r="E3778" s="157" t="s">
        <v>8070</v>
      </c>
      <c r="F3778" s="157"/>
      <c r="G3778" s="157"/>
      <c r="H3778" s="157"/>
      <c r="I3778" s="158"/>
      <c r="J3778" s="47"/>
      <c r="K3778" s="46" t="s">
        <v>7938</v>
      </c>
      <c r="L3778" s="47"/>
      <c r="M3778" s="47"/>
      <c r="N3778" s="47" t="s">
        <v>5567</v>
      </c>
      <c r="O3778" s="47" t="s">
        <v>5568</v>
      </c>
      <c r="P3778" s="47"/>
      <c r="Q3778" s="47" t="s">
        <v>5569</v>
      </c>
      <c r="R3778" s="47"/>
      <c r="S3778" s="47"/>
      <c r="T3778" s="47"/>
      <c r="U3778" s="47"/>
      <c r="V3778" s="47" t="s">
        <v>5570</v>
      </c>
      <c r="W3778" s="47"/>
      <c r="X3778" s="47"/>
      <c r="Y3778" s="47"/>
      <c r="Z3778" s="47">
        <f t="shared" si="829"/>
        <v>4620</v>
      </c>
      <c r="AA3778" s="47">
        <f t="shared" si="831"/>
        <v>1400</v>
      </c>
      <c r="AB3778" s="47">
        <f t="shared" si="831"/>
        <v>2800</v>
      </c>
      <c r="AC3778" s="47">
        <f t="shared" si="831"/>
        <v>5200</v>
      </c>
      <c r="AD3778" s="47"/>
      <c r="AE3778" s="47"/>
      <c r="AF3778" s="47"/>
      <c r="AG3778" s="47"/>
      <c r="AH3778" s="47">
        <f>IFERROR(_xlfn.XLOOKUP(Table6[[#This Row],[Suburb]],Table5[Travel Surcharge],Table5[$$]),"")</f>
        <v>1500</v>
      </c>
      <c r="AI3778" s="47"/>
      <c r="AJ3778" s="47"/>
    </row>
    <row r="3779" spans="1:36">
      <c r="A3779" s="374" t="s">
        <v>5572</v>
      </c>
      <c r="B3779" s="374">
        <v>1</v>
      </c>
      <c r="C3779" s="374" t="s">
        <v>4240</v>
      </c>
      <c r="D3779" s="375" t="str">
        <f t="shared" si="827"/>
        <v>Seaton Estate1</v>
      </c>
      <c r="E3779" s="375" t="s">
        <v>5573</v>
      </c>
      <c r="F3779" s="375"/>
      <c r="G3779" s="375"/>
      <c r="H3779" s="375"/>
      <c r="I3779" s="63"/>
      <c r="J3779" s="47">
        <f t="shared" ref="J3779:J3787" si="832">J$7</f>
        <v>3740</v>
      </c>
      <c r="K3779" s="46" t="s">
        <v>7938</v>
      </c>
      <c r="L3779" s="47"/>
      <c r="M3779" s="47"/>
      <c r="N3779" s="47"/>
      <c r="O3779" s="47"/>
      <c r="P3779" s="47"/>
      <c r="Q3779" s="47">
        <f>Q$2</f>
        <v>0</v>
      </c>
      <c r="R3779" s="47"/>
      <c r="S3779" s="47"/>
      <c r="T3779" s="47"/>
      <c r="U3779" s="47"/>
      <c r="V3779" s="47"/>
      <c r="W3779" s="47"/>
      <c r="X3779" s="47"/>
      <c r="Y3779" s="47"/>
      <c r="Z3779" s="47">
        <f t="shared" si="829"/>
        <v>4620</v>
      </c>
      <c r="AA3779" s="47"/>
      <c r="AB3779" s="47"/>
      <c r="AC3779" s="47"/>
      <c r="AD3779" s="47"/>
      <c r="AE3779" s="47"/>
      <c r="AF3779" s="47"/>
      <c r="AG3779" s="47"/>
      <c r="AH3779" s="47" t="str">
        <f>IFERROR(_xlfn.XLOOKUP(Table6[[#This Row],[Suburb]],Table5[Travel Surcharge],Table5[$$]),"")</f>
        <v/>
      </c>
      <c r="AI3779" s="47"/>
      <c r="AJ3779" s="47"/>
    </row>
    <row r="3780" spans="1:36">
      <c r="A3780" s="374" t="s">
        <v>5574</v>
      </c>
      <c r="B3780" s="374">
        <v>1</v>
      </c>
      <c r="C3780" s="374" t="s">
        <v>468</v>
      </c>
      <c r="D3780" s="375" t="str">
        <f t="shared" si="827"/>
        <v>Serenity Estate1</v>
      </c>
      <c r="E3780" s="375" t="s">
        <v>5575</v>
      </c>
      <c r="F3780" s="375" t="s">
        <v>1428</v>
      </c>
      <c r="G3780" s="375" t="s">
        <v>2110</v>
      </c>
      <c r="H3780" s="375" t="s">
        <v>2111</v>
      </c>
      <c r="I3780" s="63"/>
      <c r="J3780" s="47">
        <f t="shared" si="832"/>
        <v>3740</v>
      </c>
      <c r="K3780" s="46" t="s">
        <v>10735</v>
      </c>
      <c r="L3780" s="47"/>
      <c r="M3780" s="47"/>
      <c r="N3780" s="47"/>
      <c r="O3780" s="47"/>
      <c r="P3780" s="47"/>
      <c r="Q3780" s="47">
        <f>Q$2</f>
        <v>0</v>
      </c>
      <c r="R3780" s="47"/>
      <c r="S3780" s="47"/>
      <c r="T3780" s="47"/>
      <c r="U3780" s="47"/>
      <c r="V3780" s="47"/>
      <c r="W3780" s="47"/>
      <c r="X3780" s="47"/>
      <c r="Y3780" s="47"/>
      <c r="Z3780" s="47">
        <f t="shared" si="829"/>
        <v>4620</v>
      </c>
      <c r="AA3780" s="47"/>
      <c r="AB3780" s="47"/>
      <c r="AC3780" s="47"/>
      <c r="AD3780" s="47"/>
      <c r="AE3780" s="47"/>
      <c r="AF3780" s="47"/>
      <c r="AG3780" s="47"/>
      <c r="AH3780" s="47" t="str">
        <f>IFERROR(_xlfn.XLOOKUP(Table6[[#This Row],[Suburb]],Table5[Travel Surcharge],Table5[$$]),"")</f>
        <v/>
      </c>
      <c r="AI3780" s="47"/>
      <c r="AJ3780" s="47"/>
    </row>
    <row r="3781" spans="1:36">
      <c r="A3781" s="374" t="s">
        <v>5574</v>
      </c>
      <c r="B3781" s="374">
        <v>2</v>
      </c>
      <c r="C3781" s="374" t="s">
        <v>468</v>
      </c>
      <c r="D3781" s="375" t="str">
        <f t="shared" si="827"/>
        <v>Serenity Estate2</v>
      </c>
      <c r="E3781" s="375" t="s">
        <v>5576</v>
      </c>
      <c r="F3781" s="375" t="s">
        <v>1428</v>
      </c>
      <c r="G3781" s="375" t="s">
        <v>2110</v>
      </c>
      <c r="H3781" s="375" t="s">
        <v>2111</v>
      </c>
      <c r="I3781" s="63"/>
      <c r="J3781" s="47">
        <f t="shared" si="832"/>
        <v>3740</v>
      </c>
      <c r="K3781" s="46" t="s">
        <v>10735</v>
      </c>
      <c r="L3781" s="47"/>
      <c r="M3781" s="47"/>
      <c r="N3781" s="47"/>
      <c r="O3781" s="47"/>
      <c r="P3781" s="47"/>
      <c r="Q3781" s="47">
        <f>Q$2</f>
        <v>0</v>
      </c>
      <c r="R3781" s="47"/>
      <c r="S3781" s="47"/>
      <c r="T3781" s="47"/>
      <c r="U3781" s="47"/>
      <c r="V3781" s="47"/>
      <c r="W3781" s="47"/>
      <c r="X3781" s="47"/>
      <c r="Y3781" s="47"/>
      <c r="Z3781" s="47">
        <f t="shared" si="829"/>
        <v>4620</v>
      </c>
      <c r="AA3781" s="47"/>
      <c r="AB3781" s="47"/>
      <c r="AC3781" s="47"/>
      <c r="AD3781" s="47"/>
      <c r="AE3781" s="47"/>
      <c r="AF3781" s="47"/>
      <c r="AG3781" s="47"/>
      <c r="AH3781" s="47" t="str">
        <f>IFERROR(_xlfn.XLOOKUP(Table6[[#This Row],[Suburb]],Table5[Travel Surcharge],Table5[$$]),"")</f>
        <v/>
      </c>
      <c r="AI3781" s="47"/>
      <c r="AJ3781" s="47"/>
    </row>
    <row r="3782" spans="1:36">
      <c r="A3782" s="374" t="s">
        <v>5574</v>
      </c>
      <c r="B3782" s="374">
        <v>3</v>
      </c>
      <c r="C3782" s="374" t="s">
        <v>468</v>
      </c>
      <c r="D3782" s="375" t="str">
        <f t="shared" si="827"/>
        <v>Serenity Estate3</v>
      </c>
      <c r="E3782" s="375" t="s">
        <v>5577</v>
      </c>
      <c r="F3782" s="375" t="s">
        <v>1428</v>
      </c>
      <c r="G3782" s="375" t="s">
        <v>2110</v>
      </c>
      <c r="H3782" s="375" t="s">
        <v>2111</v>
      </c>
      <c r="I3782" s="63"/>
      <c r="J3782" s="47">
        <f t="shared" si="832"/>
        <v>3740</v>
      </c>
      <c r="K3782" s="46" t="s">
        <v>10735</v>
      </c>
      <c r="L3782" s="47"/>
      <c r="M3782" s="47"/>
      <c r="N3782" s="47"/>
      <c r="O3782" s="47"/>
      <c r="P3782" s="47"/>
      <c r="Q3782" s="47">
        <f>Q$2</f>
        <v>0</v>
      </c>
      <c r="R3782" s="47"/>
      <c r="S3782" s="47"/>
      <c r="T3782" s="47"/>
      <c r="U3782" s="47"/>
      <c r="V3782" s="47"/>
      <c r="W3782" s="47"/>
      <c r="X3782" s="47"/>
      <c r="Y3782" s="47"/>
      <c r="Z3782" s="47">
        <f t="shared" si="829"/>
        <v>4620</v>
      </c>
      <c r="AA3782" s="47"/>
      <c r="AB3782" s="47"/>
      <c r="AC3782" s="47"/>
      <c r="AD3782" s="47"/>
      <c r="AE3782" s="47"/>
      <c r="AF3782" s="47"/>
      <c r="AG3782" s="47"/>
      <c r="AH3782" s="47" t="str">
        <f>IFERROR(_xlfn.XLOOKUP(Table6[[#This Row],[Suburb]],Table5[Travel Surcharge],Table5[$$]),"")</f>
        <v/>
      </c>
      <c r="AI3782" s="47"/>
      <c r="AJ3782" s="47"/>
    </row>
    <row r="3783" spans="1:36">
      <c r="A3783" s="374" t="s">
        <v>5574</v>
      </c>
      <c r="B3783" s="374">
        <v>4</v>
      </c>
      <c r="C3783" s="374" t="s">
        <v>468</v>
      </c>
      <c r="D3783" s="375" t="str">
        <f t="shared" si="827"/>
        <v>Serenity Estate4</v>
      </c>
      <c r="E3783" s="375" t="s">
        <v>5578</v>
      </c>
      <c r="F3783" s="375" t="s">
        <v>1428</v>
      </c>
      <c r="G3783" s="375" t="s">
        <v>2110</v>
      </c>
      <c r="H3783" s="375" t="s">
        <v>2111</v>
      </c>
      <c r="I3783" s="63"/>
      <c r="J3783" s="47">
        <f t="shared" si="832"/>
        <v>3740</v>
      </c>
      <c r="K3783" s="46" t="s">
        <v>10735</v>
      </c>
      <c r="L3783" s="47"/>
      <c r="M3783" s="47"/>
      <c r="N3783" s="47"/>
      <c r="O3783" s="47"/>
      <c r="P3783" s="47"/>
      <c r="Q3783" s="47">
        <f>Q$2</f>
        <v>0</v>
      </c>
      <c r="R3783" s="47"/>
      <c r="S3783" s="47"/>
      <c r="T3783" s="47"/>
      <c r="U3783" s="47"/>
      <c r="V3783" s="47"/>
      <c r="W3783" s="47"/>
      <c r="X3783" s="47"/>
      <c r="Y3783" s="47"/>
      <c r="Z3783" s="47">
        <f t="shared" si="829"/>
        <v>4620</v>
      </c>
      <c r="AA3783" s="47"/>
      <c r="AB3783" s="47"/>
      <c r="AC3783" s="47"/>
      <c r="AD3783" s="47"/>
      <c r="AE3783" s="47"/>
      <c r="AF3783" s="47"/>
      <c r="AG3783" s="47"/>
      <c r="AH3783" s="47" t="str">
        <f>IFERROR(_xlfn.XLOOKUP(Table6[[#This Row],[Suburb]],Table5[Travel Surcharge],Table5[$$]),"")</f>
        <v/>
      </c>
      <c r="AI3783" s="47"/>
      <c r="AJ3783" s="47"/>
    </row>
    <row r="3784" spans="1:36">
      <c r="A3784" s="374" t="s">
        <v>5579</v>
      </c>
      <c r="B3784" s="374">
        <v>6</v>
      </c>
      <c r="C3784" s="374" t="s">
        <v>409</v>
      </c>
      <c r="D3784" s="375" t="str">
        <f t="shared" si="827"/>
        <v>Settlers Hill Estate6</v>
      </c>
      <c r="E3784" s="375" t="s">
        <v>5580</v>
      </c>
      <c r="F3784" s="375" t="s">
        <v>5581</v>
      </c>
      <c r="G3784" s="375" t="s">
        <v>5582</v>
      </c>
      <c r="H3784" s="375" t="s">
        <v>5583</v>
      </c>
      <c r="I3784" s="63" t="s">
        <v>5584</v>
      </c>
      <c r="J3784" s="47">
        <f t="shared" si="832"/>
        <v>3740</v>
      </c>
      <c r="K3784" s="46" t="s">
        <v>10735</v>
      </c>
      <c r="L3784" s="47"/>
      <c r="M3784" s="47"/>
      <c r="N3784" s="47" t="s">
        <v>5585</v>
      </c>
      <c r="O3784" s="47"/>
      <c r="P3784" s="47"/>
      <c r="Q3784" s="47"/>
      <c r="R3784" s="47">
        <f>R$2</f>
        <v>540</v>
      </c>
      <c r="S3784" s="47"/>
      <c r="T3784" s="47" t="s">
        <v>5586</v>
      </c>
      <c r="U3784" s="47"/>
      <c r="V3784" s="47"/>
      <c r="W3784" s="47"/>
      <c r="X3784" s="47"/>
      <c r="Y3784" s="47"/>
      <c r="Z3784" s="47">
        <f t="shared" si="829"/>
        <v>4620</v>
      </c>
      <c r="AA3784" s="47"/>
      <c r="AB3784" s="47"/>
      <c r="AC3784" s="47"/>
      <c r="AD3784" s="47" t="s">
        <v>1</v>
      </c>
      <c r="AE3784" s="47"/>
      <c r="AF3784" s="47">
        <f>AF$7</f>
        <v>1485</v>
      </c>
      <c r="AG3784" s="47"/>
      <c r="AH3784" s="47" t="str">
        <f>IFERROR(_xlfn.XLOOKUP(Table6[[#This Row],[Suburb]],Table5[Travel Surcharge],Table5[$$]),"")</f>
        <v/>
      </c>
      <c r="AI3784" s="47"/>
      <c r="AJ3784" s="47"/>
    </row>
    <row r="3785" spans="1:36">
      <c r="A3785" s="374" t="s">
        <v>5579</v>
      </c>
      <c r="B3785" s="374">
        <v>9</v>
      </c>
      <c r="C3785" s="374" t="s">
        <v>409</v>
      </c>
      <c r="D3785" s="375" t="str">
        <f t="shared" si="827"/>
        <v>Settlers Hill Estate9</v>
      </c>
      <c r="E3785" s="375" t="s">
        <v>5587</v>
      </c>
      <c r="F3785" s="375" t="s">
        <v>5581</v>
      </c>
      <c r="G3785" s="375" t="s">
        <v>5582</v>
      </c>
      <c r="H3785" s="375" t="s">
        <v>5583</v>
      </c>
      <c r="I3785" s="63" t="s">
        <v>5584</v>
      </c>
      <c r="J3785" s="47">
        <f t="shared" si="832"/>
        <v>3740</v>
      </c>
      <c r="K3785" s="46" t="s">
        <v>10735</v>
      </c>
      <c r="L3785" s="47"/>
      <c r="M3785" s="47"/>
      <c r="N3785" s="47" t="s">
        <v>5585</v>
      </c>
      <c r="O3785" s="47"/>
      <c r="P3785" s="47"/>
      <c r="Q3785" s="47"/>
      <c r="R3785" s="47">
        <f>R$2</f>
        <v>540</v>
      </c>
      <c r="S3785" s="47"/>
      <c r="T3785" s="47" t="s">
        <v>5586</v>
      </c>
      <c r="U3785" s="47"/>
      <c r="V3785" s="47"/>
      <c r="W3785" s="47"/>
      <c r="X3785" s="47"/>
      <c r="Y3785" s="47"/>
      <c r="Z3785" s="47">
        <f t="shared" si="829"/>
        <v>4620</v>
      </c>
      <c r="AA3785" s="47"/>
      <c r="AB3785" s="47"/>
      <c r="AC3785" s="47"/>
      <c r="AD3785" s="47" t="s">
        <v>1</v>
      </c>
      <c r="AE3785" s="47"/>
      <c r="AF3785" s="47">
        <f>AF$7</f>
        <v>1485</v>
      </c>
      <c r="AG3785" s="47"/>
      <c r="AH3785" s="47" t="str">
        <f>IFERROR(_xlfn.XLOOKUP(Table6[[#This Row],[Suburb]],Table5[Travel Surcharge],Table5[$$]),"")</f>
        <v/>
      </c>
      <c r="AI3785" s="47"/>
      <c r="AJ3785" s="47"/>
    </row>
    <row r="3786" spans="1:36">
      <c r="A3786" s="374" t="s">
        <v>5579</v>
      </c>
      <c r="B3786" s="374">
        <v>10</v>
      </c>
      <c r="C3786" s="374" t="s">
        <v>409</v>
      </c>
      <c r="D3786" s="375" t="str">
        <f t="shared" si="827"/>
        <v>Settlers Hill Estate10</v>
      </c>
      <c r="E3786" s="375" t="s">
        <v>5588</v>
      </c>
      <c r="F3786" s="375" t="s">
        <v>5581</v>
      </c>
      <c r="G3786" s="375" t="s">
        <v>5582</v>
      </c>
      <c r="H3786" s="375" t="s">
        <v>5583</v>
      </c>
      <c r="I3786" s="63" t="s">
        <v>5584</v>
      </c>
      <c r="J3786" s="47">
        <f t="shared" si="832"/>
        <v>3740</v>
      </c>
      <c r="K3786" s="46" t="s">
        <v>10735</v>
      </c>
      <c r="L3786" s="47"/>
      <c r="M3786" s="47"/>
      <c r="N3786" s="47" t="s">
        <v>5585</v>
      </c>
      <c r="O3786" s="47"/>
      <c r="P3786" s="47"/>
      <c r="Q3786" s="47"/>
      <c r="R3786" s="47">
        <f>R$2</f>
        <v>540</v>
      </c>
      <c r="S3786" s="47"/>
      <c r="T3786" s="47" t="s">
        <v>5586</v>
      </c>
      <c r="U3786" s="47"/>
      <c r="V3786" s="47"/>
      <c r="W3786" s="47"/>
      <c r="X3786" s="47"/>
      <c r="Y3786" s="47"/>
      <c r="Z3786" s="47">
        <f t="shared" si="829"/>
        <v>4620</v>
      </c>
      <c r="AA3786" s="47"/>
      <c r="AB3786" s="47"/>
      <c r="AC3786" s="47"/>
      <c r="AD3786" s="47" t="s">
        <v>1</v>
      </c>
      <c r="AE3786" s="47"/>
      <c r="AF3786" s="47">
        <f>AF$7</f>
        <v>1485</v>
      </c>
      <c r="AG3786" s="47"/>
      <c r="AH3786" s="47" t="str">
        <f>IFERROR(_xlfn.XLOOKUP(Table6[[#This Row],[Suburb]],Table5[Travel Surcharge],Table5[$$]),"")</f>
        <v/>
      </c>
      <c r="AI3786" s="47"/>
      <c r="AJ3786" s="47"/>
    </row>
    <row r="3787" spans="1:36">
      <c r="A3787" s="374" t="s">
        <v>5579</v>
      </c>
      <c r="B3787" s="374">
        <v>11</v>
      </c>
      <c r="C3787" s="374" t="s">
        <v>409</v>
      </c>
      <c r="D3787" s="375" t="str">
        <f t="shared" si="827"/>
        <v>Settlers Hill Estate11</v>
      </c>
      <c r="E3787" s="375" t="s">
        <v>5589</v>
      </c>
      <c r="F3787" s="375" t="s">
        <v>5581</v>
      </c>
      <c r="G3787" s="375" t="s">
        <v>5582</v>
      </c>
      <c r="H3787" s="375" t="s">
        <v>5583</v>
      </c>
      <c r="I3787" s="63" t="s">
        <v>5584</v>
      </c>
      <c r="J3787" s="47">
        <f t="shared" si="832"/>
        <v>3740</v>
      </c>
      <c r="K3787" s="46" t="s">
        <v>10735</v>
      </c>
      <c r="L3787" s="47"/>
      <c r="M3787" s="47"/>
      <c r="N3787" s="47" t="s">
        <v>5585</v>
      </c>
      <c r="O3787" s="47"/>
      <c r="P3787" s="47"/>
      <c r="Q3787" s="47"/>
      <c r="R3787" s="47">
        <f>R$2</f>
        <v>540</v>
      </c>
      <c r="S3787" s="47"/>
      <c r="T3787" s="47" t="s">
        <v>5586</v>
      </c>
      <c r="U3787" s="47"/>
      <c r="V3787" s="47"/>
      <c r="W3787" s="47"/>
      <c r="X3787" s="47"/>
      <c r="Y3787" s="47"/>
      <c r="Z3787" s="47">
        <f t="shared" si="829"/>
        <v>4620</v>
      </c>
      <c r="AA3787" s="47"/>
      <c r="AB3787" s="47"/>
      <c r="AC3787" s="47"/>
      <c r="AD3787" s="47" t="s">
        <v>1</v>
      </c>
      <c r="AE3787" s="47"/>
      <c r="AF3787" s="47">
        <f>AF$7</f>
        <v>1485</v>
      </c>
      <c r="AG3787" s="47"/>
      <c r="AH3787" s="47" t="str">
        <f>IFERROR(_xlfn.XLOOKUP(Table6[[#This Row],[Suburb]],Table5[Travel Surcharge],Table5[$$]),"")</f>
        <v/>
      </c>
      <c r="AI3787" s="47"/>
      <c r="AJ3787" s="47"/>
    </row>
    <row r="3788" spans="1:36">
      <c r="A3788" s="374" t="s">
        <v>5590</v>
      </c>
      <c r="B3788" s="374">
        <v>1</v>
      </c>
      <c r="C3788" s="374" t="s">
        <v>404</v>
      </c>
      <c r="D3788" s="375" t="str">
        <f t="shared" ref="D3788:D3857" si="833">CONCATENATE(A3788,B3788)</f>
        <v>Seventh Bend Estate1</v>
      </c>
      <c r="E3788" s="375" t="s">
        <v>5591</v>
      </c>
      <c r="F3788" s="375" t="s">
        <v>5592</v>
      </c>
      <c r="G3788" s="375" t="s">
        <v>5232</v>
      </c>
      <c r="H3788" s="375" t="s">
        <v>5593</v>
      </c>
      <c r="I3788" s="63" t="s">
        <v>5594</v>
      </c>
      <c r="J3788" s="47"/>
      <c r="K3788" s="46" t="s">
        <v>10735</v>
      </c>
      <c r="L3788" s="47"/>
      <c r="M3788" s="47">
        <f t="shared" ref="M3788:M3799" si="834">M$7</f>
        <v>1430.0000000000002</v>
      </c>
      <c r="N3788" s="47"/>
      <c r="O3788" s="47"/>
      <c r="P3788" s="47"/>
      <c r="Q3788" s="47"/>
      <c r="R3788" s="47"/>
      <c r="S3788" s="47"/>
      <c r="T3788" s="47" t="s">
        <v>5595</v>
      </c>
      <c r="U3788" s="47"/>
      <c r="V3788" s="47"/>
      <c r="W3788" s="47"/>
      <c r="X3788" s="47"/>
      <c r="Y3788" s="47"/>
      <c r="Z3788" s="47">
        <f t="shared" ref="Z3788:Z3799" si="835">Z$7</f>
        <v>4620</v>
      </c>
      <c r="AA3788" s="47"/>
      <c r="AB3788" s="47"/>
      <c r="AC3788" s="47"/>
      <c r="AD3788" s="47"/>
      <c r="AE3788" s="47"/>
      <c r="AF3788" s="47"/>
      <c r="AG3788" s="47"/>
      <c r="AH3788" s="47" t="str">
        <f>IFERROR(_xlfn.XLOOKUP(Table6[[#This Row],[Suburb]],Table5[Travel Surcharge],Table5[$$]),"")</f>
        <v/>
      </c>
      <c r="AI3788" s="47"/>
      <c r="AJ3788" s="47"/>
    </row>
    <row r="3789" spans="1:36">
      <c r="A3789" s="374" t="s">
        <v>5590</v>
      </c>
      <c r="B3789" s="374">
        <v>2</v>
      </c>
      <c r="C3789" s="374" t="s">
        <v>404</v>
      </c>
      <c r="D3789" s="375" t="str">
        <f t="shared" si="833"/>
        <v>Seventh Bend Estate2</v>
      </c>
      <c r="E3789" s="375" t="s">
        <v>5596</v>
      </c>
      <c r="F3789" s="375" t="s">
        <v>5592</v>
      </c>
      <c r="G3789" s="375" t="s">
        <v>5232</v>
      </c>
      <c r="H3789" s="375" t="s">
        <v>5593</v>
      </c>
      <c r="I3789" s="63" t="s">
        <v>5594</v>
      </c>
      <c r="J3789" s="47"/>
      <c r="K3789" s="46" t="s">
        <v>10735</v>
      </c>
      <c r="L3789" s="47"/>
      <c r="M3789" s="47">
        <f t="shared" si="834"/>
        <v>1430.0000000000002</v>
      </c>
      <c r="N3789" s="47"/>
      <c r="O3789" s="47"/>
      <c r="P3789" s="47"/>
      <c r="Q3789" s="47"/>
      <c r="R3789" s="47"/>
      <c r="S3789" s="47"/>
      <c r="T3789" s="47" t="s">
        <v>5595</v>
      </c>
      <c r="U3789" s="47"/>
      <c r="V3789" s="47"/>
      <c r="W3789" s="47"/>
      <c r="X3789" s="47"/>
      <c r="Y3789" s="47"/>
      <c r="Z3789" s="47">
        <f t="shared" si="835"/>
        <v>4620</v>
      </c>
      <c r="AA3789" s="47"/>
      <c r="AB3789" s="47"/>
      <c r="AC3789" s="47"/>
      <c r="AD3789" s="47"/>
      <c r="AE3789" s="47"/>
      <c r="AF3789" s="47"/>
      <c r="AG3789" s="47"/>
      <c r="AH3789" s="47" t="str">
        <f>IFERROR(_xlfn.XLOOKUP(Table6[[#This Row],[Suburb]],Table5[Travel Surcharge],Table5[$$]),"")</f>
        <v/>
      </c>
      <c r="AI3789" s="47"/>
      <c r="AJ3789" s="47"/>
    </row>
    <row r="3790" spans="1:36">
      <c r="A3790" s="374" t="s">
        <v>5590</v>
      </c>
      <c r="B3790" s="374">
        <v>3</v>
      </c>
      <c r="C3790" s="374" t="s">
        <v>404</v>
      </c>
      <c r="D3790" s="375" t="str">
        <f t="shared" si="833"/>
        <v>Seventh Bend Estate3</v>
      </c>
      <c r="E3790" s="375" t="s">
        <v>5597</v>
      </c>
      <c r="F3790" s="375" t="s">
        <v>5592</v>
      </c>
      <c r="G3790" s="375" t="s">
        <v>5232</v>
      </c>
      <c r="H3790" s="375" t="s">
        <v>5593</v>
      </c>
      <c r="I3790" s="63" t="s">
        <v>5594</v>
      </c>
      <c r="J3790" s="47"/>
      <c r="K3790" s="46" t="s">
        <v>10735</v>
      </c>
      <c r="L3790" s="47"/>
      <c r="M3790" s="47">
        <f t="shared" si="834"/>
        <v>1430.0000000000002</v>
      </c>
      <c r="N3790" s="47"/>
      <c r="O3790" s="47"/>
      <c r="P3790" s="47"/>
      <c r="Q3790" s="47"/>
      <c r="R3790" s="47"/>
      <c r="S3790" s="47"/>
      <c r="T3790" s="47" t="s">
        <v>5595</v>
      </c>
      <c r="U3790" s="47"/>
      <c r="V3790" s="47"/>
      <c r="W3790" s="47"/>
      <c r="X3790" s="47"/>
      <c r="Y3790" s="47"/>
      <c r="Z3790" s="47">
        <f t="shared" si="835"/>
        <v>4620</v>
      </c>
      <c r="AA3790" s="47"/>
      <c r="AB3790" s="47"/>
      <c r="AC3790" s="47"/>
      <c r="AD3790" s="47"/>
      <c r="AE3790" s="47"/>
      <c r="AF3790" s="47"/>
      <c r="AG3790" s="47"/>
      <c r="AH3790" s="47" t="str">
        <f>IFERROR(_xlfn.XLOOKUP(Table6[[#This Row],[Suburb]],Table5[Travel Surcharge],Table5[$$]),"")</f>
        <v/>
      </c>
      <c r="AI3790" s="47"/>
      <c r="AJ3790" s="47"/>
    </row>
    <row r="3791" spans="1:36">
      <c r="A3791" s="374" t="s">
        <v>5590</v>
      </c>
      <c r="B3791" s="374">
        <v>4</v>
      </c>
      <c r="C3791" s="374" t="s">
        <v>404</v>
      </c>
      <c r="D3791" s="375" t="str">
        <f t="shared" si="833"/>
        <v>Seventh Bend Estate4</v>
      </c>
      <c r="E3791" s="375" t="s">
        <v>5598</v>
      </c>
      <c r="F3791" s="375" t="s">
        <v>5592</v>
      </c>
      <c r="G3791" s="375" t="s">
        <v>5232</v>
      </c>
      <c r="H3791" s="375" t="s">
        <v>5593</v>
      </c>
      <c r="I3791" s="63" t="s">
        <v>5594</v>
      </c>
      <c r="J3791" s="47"/>
      <c r="K3791" s="46" t="s">
        <v>10735</v>
      </c>
      <c r="L3791" s="47"/>
      <c r="M3791" s="47">
        <f t="shared" si="834"/>
        <v>1430.0000000000002</v>
      </c>
      <c r="N3791" s="47"/>
      <c r="O3791" s="47"/>
      <c r="P3791" s="47"/>
      <c r="Q3791" s="47"/>
      <c r="R3791" s="47"/>
      <c r="S3791" s="47"/>
      <c r="T3791" s="47" t="s">
        <v>5595</v>
      </c>
      <c r="U3791" s="47"/>
      <c r="V3791" s="47"/>
      <c r="W3791" s="47"/>
      <c r="X3791" s="47"/>
      <c r="Y3791" s="47"/>
      <c r="Z3791" s="47">
        <f t="shared" si="835"/>
        <v>4620</v>
      </c>
      <c r="AA3791" s="47"/>
      <c r="AB3791" s="47"/>
      <c r="AC3791" s="47"/>
      <c r="AD3791" s="47"/>
      <c r="AE3791" s="47"/>
      <c r="AF3791" s="47"/>
      <c r="AG3791" s="47"/>
      <c r="AH3791" s="47" t="str">
        <f>IFERROR(_xlfn.XLOOKUP(Table6[[#This Row],[Suburb]],Table5[Travel Surcharge],Table5[$$]),"")</f>
        <v/>
      </c>
      <c r="AI3791" s="47"/>
      <c r="AJ3791" s="47"/>
    </row>
    <row r="3792" spans="1:36">
      <c r="A3792" s="374" t="s">
        <v>5590</v>
      </c>
      <c r="B3792" s="374">
        <v>8</v>
      </c>
      <c r="C3792" s="374" t="s">
        <v>404</v>
      </c>
      <c r="D3792" s="375" t="str">
        <f t="shared" si="833"/>
        <v>Seventh Bend Estate8</v>
      </c>
      <c r="E3792" s="375" t="s">
        <v>5607</v>
      </c>
      <c r="F3792" s="375" t="s">
        <v>5592</v>
      </c>
      <c r="G3792" s="375" t="s">
        <v>5232</v>
      </c>
      <c r="H3792" s="375" t="s">
        <v>5593</v>
      </c>
      <c r="I3792" s="63" t="s">
        <v>5594</v>
      </c>
      <c r="J3792" s="47"/>
      <c r="K3792" s="46" t="s">
        <v>10735</v>
      </c>
      <c r="L3792" s="47"/>
      <c r="M3792" s="47">
        <f t="shared" si="834"/>
        <v>1430.0000000000002</v>
      </c>
      <c r="N3792" s="47"/>
      <c r="O3792" s="47"/>
      <c r="P3792" s="47"/>
      <c r="Q3792" s="47"/>
      <c r="R3792" s="47"/>
      <c r="S3792" s="47"/>
      <c r="T3792" s="47" t="s">
        <v>5595</v>
      </c>
      <c r="U3792" s="47"/>
      <c r="V3792" s="47"/>
      <c r="W3792" s="47"/>
      <c r="X3792" s="47"/>
      <c r="Y3792" s="47"/>
      <c r="Z3792" s="47">
        <f t="shared" si="835"/>
        <v>4620</v>
      </c>
      <c r="AA3792" s="47"/>
      <c r="AB3792" s="47"/>
      <c r="AC3792" s="47"/>
      <c r="AD3792" s="47"/>
      <c r="AE3792" s="47"/>
      <c r="AF3792" s="47"/>
      <c r="AG3792" s="47"/>
      <c r="AH3792" s="47" t="str">
        <f>IFERROR(_xlfn.XLOOKUP(Table6[[#This Row],[Suburb]],Table5[Travel Surcharge],Table5[$$]),"")</f>
        <v/>
      </c>
      <c r="AI3792" s="47"/>
      <c r="AJ3792" s="47"/>
    </row>
    <row r="3793" spans="1:36">
      <c r="A3793" s="374" t="s">
        <v>5590</v>
      </c>
      <c r="B3793" s="374">
        <v>9</v>
      </c>
      <c r="C3793" s="374" t="s">
        <v>404</v>
      </c>
      <c r="D3793" s="375" t="str">
        <f t="shared" si="833"/>
        <v>Seventh Bend Estate9</v>
      </c>
      <c r="E3793" s="375" t="s">
        <v>5608</v>
      </c>
      <c r="F3793" s="375" t="s">
        <v>5592</v>
      </c>
      <c r="G3793" s="375" t="s">
        <v>5232</v>
      </c>
      <c r="H3793" s="375" t="s">
        <v>5593</v>
      </c>
      <c r="I3793" s="63" t="s">
        <v>5594</v>
      </c>
      <c r="J3793" s="47"/>
      <c r="K3793" s="46" t="s">
        <v>10735</v>
      </c>
      <c r="L3793" s="47"/>
      <c r="M3793" s="47">
        <f t="shared" si="834"/>
        <v>1430.0000000000002</v>
      </c>
      <c r="N3793" s="47"/>
      <c r="O3793" s="47"/>
      <c r="P3793" s="47"/>
      <c r="Q3793" s="47"/>
      <c r="R3793" s="47"/>
      <c r="S3793" s="47"/>
      <c r="T3793" s="47" t="s">
        <v>5595</v>
      </c>
      <c r="U3793" s="47"/>
      <c r="V3793" s="47"/>
      <c r="W3793" s="47"/>
      <c r="X3793" s="47"/>
      <c r="Y3793" s="47"/>
      <c r="Z3793" s="47">
        <f t="shared" si="835"/>
        <v>4620</v>
      </c>
      <c r="AA3793" s="47"/>
      <c r="AB3793" s="47"/>
      <c r="AC3793" s="47"/>
      <c r="AD3793" s="47"/>
      <c r="AE3793" s="47"/>
      <c r="AF3793" s="47"/>
      <c r="AG3793" s="47"/>
      <c r="AH3793" s="47" t="str">
        <f>IFERROR(_xlfn.XLOOKUP(Table6[[#This Row],[Suburb]],Table5[Travel Surcharge],Table5[$$]),"")</f>
        <v/>
      </c>
      <c r="AI3793" s="47"/>
      <c r="AJ3793" s="47"/>
    </row>
    <row r="3794" spans="1:36">
      <c r="A3794" s="374" t="s">
        <v>5590</v>
      </c>
      <c r="B3794" s="374">
        <v>10</v>
      </c>
      <c r="C3794" s="374" t="s">
        <v>404</v>
      </c>
      <c r="D3794" s="375" t="str">
        <f t="shared" si="833"/>
        <v>Seventh Bend Estate10</v>
      </c>
      <c r="E3794" s="375" t="s">
        <v>5609</v>
      </c>
      <c r="F3794" s="375" t="s">
        <v>5592</v>
      </c>
      <c r="G3794" s="375" t="s">
        <v>5232</v>
      </c>
      <c r="H3794" s="375" t="s">
        <v>5593</v>
      </c>
      <c r="I3794" s="63" t="s">
        <v>5594</v>
      </c>
      <c r="J3794" s="47"/>
      <c r="K3794" s="46" t="s">
        <v>10735</v>
      </c>
      <c r="L3794" s="47"/>
      <c r="M3794" s="47">
        <f t="shared" si="834"/>
        <v>1430.0000000000002</v>
      </c>
      <c r="N3794" s="47"/>
      <c r="O3794" s="47"/>
      <c r="P3794" s="47"/>
      <c r="Q3794" s="47"/>
      <c r="R3794" s="47"/>
      <c r="S3794" s="47"/>
      <c r="T3794" s="47" t="s">
        <v>5595</v>
      </c>
      <c r="U3794" s="47"/>
      <c r="V3794" s="47"/>
      <c r="W3794" s="47"/>
      <c r="X3794" s="47"/>
      <c r="Y3794" s="47"/>
      <c r="Z3794" s="47">
        <f t="shared" si="835"/>
        <v>4620</v>
      </c>
      <c r="AA3794" s="47"/>
      <c r="AB3794" s="47"/>
      <c r="AC3794" s="47"/>
      <c r="AD3794" s="47"/>
      <c r="AE3794" s="47"/>
      <c r="AF3794" s="47"/>
      <c r="AG3794" s="47"/>
      <c r="AH3794" s="47" t="str">
        <f>IFERROR(_xlfn.XLOOKUP(Table6[[#This Row],[Suburb]],Table5[Travel Surcharge],Table5[$$]),"")</f>
        <v/>
      </c>
      <c r="AI3794" s="47"/>
      <c r="AJ3794" s="47"/>
    </row>
    <row r="3795" spans="1:36">
      <c r="A3795" s="374" t="s">
        <v>5590</v>
      </c>
      <c r="B3795" s="374">
        <v>11</v>
      </c>
      <c r="C3795" s="374" t="s">
        <v>404</v>
      </c>
      <c r="D3795" s="375" t="str">
        <f t="shared" si="833"/>
        <v>Seventh Bend Estate11</v>
      </c>
      <c r="E3795" s="375" t="s">
        <v>5610</v>
      </c>
      <c r="F3795" s="375" t="s">
        <v>5592</v>
      </c>
      <c r="G3795" s="375" t="s">
        <v>5232</v>
      </c>
      <c r="H3795" s="375" t="s">
        <v>5593</v>
      </c>
      <c r="I3795" s="63" t="s">
        <v>5594</v>
      </c>
      <c r="J3795" s="47"/>
      <c r="K3795" s="46" t="s">
        <v>10735</v>
      </c>
      <c r="L3795" s="47"/>
      <c r="M3795" s="47">
        <f t="shared" si="834"/>
        <v>1430.0000000000002</v>
      </c>
      <c r="N3795" s="47"/>
      <c r="O3795" s="47"/>
      <c r="P3795" s="47"/>
      <c r="Q3795" s="47"/>
      <c r="R3795" s="47"/>
      <c r="S3795" s="47"/>
      <c r="T3795" s="47" t="s">
        <v>5595</v>
      </c>
      <c r="U3795" s="47"/>
      <c r="V3795" s="47"/>
      <c r="W3795" s="47"/>
      <c r="X3795" s="47"/>
      <c r="Y3795" s="47"/>
      <c r="Z3795" s="47">
        <f t="shared" si="835"/>
        <v>4620</v>
      </c>
      <c r="AA3795" s="47"/>
      <c r="AB3795" s="47"/>
      <c r="AC3795" s="47"/>
      <c r="AD3795" s="47"/>
      <c r="AE3795" s="47"/>
      <c r="AF3795" s="47"/>
      <c r="AG3795" s="47"/>
      <c r="AH3795" s="47" t="str">
        <f>IFERROR(_xlfn.XLOOKUP(Table6[[#This Row],[Suburb]],Table5[Travel Surcharge],Table5[$$]),"")</f>
        <v/>
      </c>
      <c r="AI3795" s="47"/>
      <c r="AJ3795" s="47"/>
    </row>
    <row r="3796" spans="1:36">
      <c r="A3796" s="374" t="s">
        <v>5590</v>
      </c>
      <c r="B3796" s="374">
        <v>13</v>
      </c>
      <c r="C3796" s="374" t="s">
        <v>404</v>
      </c>
      <c r="D3796" s="375" t="str">
        <f t="shared" si="833"/>
        <v>Seventh Bend Estate13</v>
      </c>
      <c r="E3796" s="375" t="s">
        <v>5611</v>
      </c>
      <c r="F3796" s="375" t="s">
        <v>5592</v>
      </c>
      <c r="G3796" s="375" t="s">
        <v>5232</v>
      </c>
      <c r="H3796" s="375" t="s">
        <v>5593</v>
      </c>
      <c r="I3796" s="63" t="s">
        <v>5594</v>
      </c>
      <c r="J3796" s="47"/>
      <c r="K3796" s="46" t="s">
        <v>10735</v>
      </c>
      <c r="L3796" s="47"/>
      <c r="M3796" s="47">
        <f t="shared" si="834"/>
        <v>1430.0000000000002</v>
      </c>
      <c r="N3796" s="47"/>
      <c r="O3796" s="47"/>
      <c r="P3796" s="47"/>
      <c r="Q3796" s="47"/>
      <c r="R3796" s="47"/>
      <c r="S3796" s="47"/>
      <c r="T3796" s="47" t="s">
        <v>5595</v>
      </c>
      <c r="U3796" s="47"/>
      <c r="V3796" s="47"/>
      <c r="W3796" s="47"/>
      <c r="X3796" s="47"/>
      <c r="Y3796" s="47"/>
      <c r="Z3796" s="47">
        <f t="shared" si="835"/>
        <v>4620</v>
      </c>
      <c r="AA3796" s="47"/>
      <c r="AB3796" s="47"/>
      <c r="AC3796" s="47"/>
      <c r="AD3796" s="47"/>
      <c r="AE3796" s="47"/>
      <c r="AF3796" s="47"/>
      <c r="AG3796" s="47"/>
      <c r="AH3796" s="47" t="str">
        <f>IFERROR(_xlfn.XLOOKUP(Table6[[#This Row],[Suburb]],Table5[Travel Surcharge],Table5[$$]),"")</f>
        <v/>
      </c>
      <c r="AI3796" s="47"/>
      <c r="AJ3796" s="47"/>
    </row>
    <row r="3797" spans="1:36">
      <c r="A3797" s="374" t="s">
        <v>5590</v>
      </c>
      <c r="B3797" s="374">
        <v>14</v>
      </c>
      <c r="C3797" s="374" t="s">
        <v>404</v>
      </c>
      <c r="D3797" s="375" t="str">
        <f t="shared" si="833"/>
        <v>Seventh Bend Estate14</v>
      </c>
      <c r="E3797" s="375" t="s">
        <v>10145</v>
      </c>
      <c r="F3797" s="375" t="s">
        <v>5592</v>
      </c>
      <c r="G3797" s="375" t="s">
        <v>5232</v>
      </c>
      <c r="H3797" s="375" t="s">
        <v>5593</v>
      </c>
      <c r="I3797" s="63" t="s">
        <v>5594</v>
      </c>
      <c r="J3797" s="47"/>
      <c r="K3797" s="46" t="s">
        <v>10735</v>
      </c>
      <c r="L3797" s="47"/>
      <c r="M3797" s="47">
        <v>1430.0000000000002</v>
      </c>
      <c r="N3797" s="47"/>
      <c r="O3797" s="47"/>
      <c r="P3797" s="47"/>
      <c r="Q3797" s="47"/>
      <c r="R3797" s="47"/>
      <c r="S3797" s="47"/>
      <c r="T3797" s="47" t="s">
        <v>5595</v>
      </c>
      <c r="U3797" s="47"/>
      <c r="V3797" s="47"/>
      <c r="W3797" s="47"/>
      <c r="X3797" s="47"/>
      <c r="Y3797" s="47"/>
      <c r="Z3797" s="47">
        <v>4620</v>
      </c>
      <c r="AA3797" s="47"/>
      <c r="AB3797" s="47"/>
      <c r="AC3797" s="47"/>
      <c r="AD3797" s="47"/>
      <c r="AE3797" s="47"/>
      <c r="AF3797" s="47"/>
      <c r="AG3797" s="47"/>
      <c r="AH3797" s="47" t="s">
        <v>9976</v>
      </c>
      <c r="AI3797" s="47"/>
      <c r="AJ3797" s="47"/>
    </row>
    <row r="3798" spans="1:36">
      <c r="A3798" s="374" t="s">
        <v>5590</v>
      </c>
      <c r="B3798" s="374">
        <v>16</v>
      </c>
      <c r="C3798" s="374" t="s">
        <v>404</v>
      </c>
      <c r="D3798" s="375" t="str">
        <f t="shared" si="833"/>
        <v>Seventh Bend Estate16</v>
      </c>
      <c r="E3798" s="375" t="s">
        <v>5612</v>
      </c>
      <c r="F3798" s="375" t="s">
        <v>5592</v>
      </c>
      <c r="G3798" s="375" t="s">
        <v>5232</v>
      </c>
      <c r="H3798" s="375" t="s">
        <v>5593</v>
      </c>
      <c r="I3798" s="63" t="s">
        <v>5594</v>
      </c>
      <c r="J3798" s="47"/>
      <c r="K3798" s="46" t="s">
        <v>10735</v>
      </c>
      <c r="L3798" s="47"/>
      <c r="M3798" s="47">
        <f t="shared" si="834"/>
        <v>1430.0000000000002</v>
      </c>
      <c r="N3798" s="47"/>
      <c r="O3798" s="47"/>
      <c r="P3798" s="47"/>
      <c r="Q3798" s="47"/>
      <c r="R3798" s="47"/>
      <c r="S3798" s="47"/>
      <c r="T3798" s="47" t="s">
        <v>5595</v>
      </c>
      <c r="U3798" s="47"/>
      <c r="V3798" s="47"/>
      <c r="W3798" s="47"/>
      <c r="X3798" s="47"/>
      <c r="Y3798" s="47"/>
      <c r="Z3798" s="47">
        <f t="shared" si="835"/>
        <v>4620</v>
      </c>
      <c r="AA3798" s="47"/>
      <c r="AB3798" s="47"/>
      <c r="AC3798" s="47"/>
      <c r="AD3798" s="47"/>
      <c r="AE3798" s="47"/>
      <c r="AF3798" s="47"/>
      <c r="AG3798" s="47"/>
      <c r="AH3798" s="47" t="str">
        <f>IFERROR(_xlfn.XLOOKUP(Table6[[#This Row],[Suburb]],Table5[Travel Surcharge],Table5[$$]),"")</f>
        <v/>
      </c>
      <c r="AI3798" s="47"/>
      <c r="AJ3798" s="47"/>
    </row>
    <row r="3799" spans="1:36">
      <c r="A3799" s="374" t="s">
        <v>5590</v>
      </c>
      <c r="B3799" s="374">
        <v>17</v>
      </c>
      <c r="C3799" s="374" t="s">
        <v>404</v>
      </c>
      <c r="D3799" s="375" t="str">
        <f t="shared" si="833"/>
        <v>Seventh Bend Estate17</v>
      </c>
      <c r="E3799" s="375" t="s">
        <v>5613</v>
      </c>
      <c r="F3799" s="375" t="s">
        <v>5592</v>
      </c>
      <c r="G3799" s="375" t="s">
        <v>5232</v>
      </c>
      <c r="H3799" s="375" t="s">
        <v>5593</v>
      </c>
      <c r="I3799" s="63" t="s">
        <v>5594</v>
      </c>
      <c r="J3799" s="47"/>
      <c r="K3799" s="46" t="s">
        <v>10735</v>
      </c>
      <c r="L3799" s="47"/>
      <c r="M3799" s="47">
        <f t="shared" si="834"/>
        <v>1430.0000000000002</v>
      </c>
      <c r="N3799" s="47"/>
      <c r="O3799" s="47"/>
      <c r="P3799" s="47"/>
      <c r="Q3799" s="47"/>
      <c r="R3799" s="47"/>
      <c r="S3799" s="47"/>
      <c r="T3799" s="47" t="s">
        <v>5595</v>
      </c>
      <c r="U3799" s="47"/>
      <c r="V3799" s="47"/>
      <c r="W3799" s="47"/>
      <c r="X3799" s="47"/>
      <c r="Y3799" s="47"/>
      <c r="Z3799" s="47">
        <f t="shared" si="835"/>
        <v>4620</v>
      </c>
      <c r="AA3799" s="47"/>
      <c r="AB3799" s="47"/>
      <c r="AC3799" s="47"/>
      <c r="AD3799" s="47"/>
      <c r="AE3799" s="47"/>
      <c r="AF3799" s="47"/>
      <c r="AG3799" s="47"/>
      <c r="AH3799" s="47" t="str">
        <f>IFERROR(_xlfn.XLOOKUP(Table6[[#This Row],[Suburb]],Table5[Travel Surcharge],Table5[$$]),"")</f>
        <v/>
      </c>
      <c r="AI3799" s="47"/>
      <c r="AJ3799" s="47"/>
    </row>
    <row r="3800" spans="1:36">
      <c r="A3800" s="374" t="s">
        <v>5590</v>
      </c>
      <c r="B3800" s="374">
        <v>18</v>
      </c>
      <c r="C3800" s="374" t="s">
        <v>404</v>
      </c>
      <c r="D3800" s="375" t="str">
        <f t="shared" si="833"/>
        <v>Seventh Bend Estate18</v>
      </c>
      <c r="E3800" s="375" t="s">
        <v>5614</v>
      </c>
      <c r="F3800" s="375" t="s">
        <v>5592</v>
      </c>
      <c r="G3800" s="375" t="s">
        <v>5232</v>
      </c>
      <c r="H3800" s="375" t="s">
        <v>5593</v>
      </c>
      <c r="I3800" s="63" t="s">
        <v>5594</v>
      </c>
      <c r="J3800" s="47"/>
      <c r="K3800" s="46" t="s">
        <v>10735</v>
      </c>
      <c r="L3800" s="47"/>
      <c r="M3800" s="47">
        <v>1430.0000000000002</v>
      </c>
      <c r="N3800" s="47"/>
      <c r="O3800" s="47"/>
      <c r="P3800" s="47"/>
      <c r="Q3800" s="47"/>
      <c r="R3800" s="47"/>
      <c r="S3800" s="47"/>
      <c r="T3800" s="47" t="s">
        <v>5595</v>
      </c>
      <c r="U3800" s="47"/>
      <c r="V3800" s="47"/>
      <c r="W3800" s="47"/>
      <c r="X3800" s="47"/>
      <c r="Y3800" s="47"/>
      <c r="Z3800" s="47">
        <v>4620</v>
      </c>
      <c r="AA3800" s="47"/>
      <c r="AB3800" s="47"/>
      <c r="AC3800" s="47"/>
      <c r="AD3800" s="47"/>
      <c r="AE3800" s="47"/>
      <c r="AF3800" s="47"/>
      <c r="AG3800" s="47"/>
      <c r="AH3800" s="47" t="str">
        <f>IFERROR(_xlfn.XLOOKUP(Table6[[#This Row],[Suburb]],Table5[Travel Surcharge],Table5[$$]),"")</f>
        <v/>
      </c>
      <c r="AI3800" s="47"/>
      <c r="AJ3800" s="47"/>
    </row>
    <row r="3801" spans="1:36">
      <c r="A3801" s="157" t="s">
        <v>5590</v>
      </c>
      <c r="B3801" s="157">
        <v>19</v>
      </c>
      <c r="C3801" s="157" t="s">
        <v>7427</v>
      </c>
      <c r="D3801" s="157" t="str">
        <f t="shared" si="833"/>
        <v>Seventh Bend Estate19</v>
      </c>
      <c r="E3801" s="157" t="s">
        <v>8352</v>
      </c>
      <c r="F3801" s="157" t="s">
        <v>5592</v>
      </c>
      <c r="G3801" s="157" t="s">
        <v>5232</v>
      </c>
      <c r="H3801" s="157" t="s">
        <v>8351</v>
      </c>
      <c r="I3801" s="158" t="s">
        <v>5594</v>
      </c>
      <c r="J3801" s="47"/>
      <c r="K3801" s="46" t="s">
        <v>10735</v>
      </c>
      <c r="L3801" s="47"/>
      <c r="M3801" s="47">
        <v>1431</v>
      </c>
      <c r="N3801" s="47"/>
      <c r="O3801" s="47"/>
      <c r="P3801" s="47"/>
      <c r="Q3801" s="47"/>
      <c r="R3801" s="47"/>
      <c r="S3801" s="47"/>
      <c r="T3801" s="47" t="s">
        <v>5595</v>
      </c>
      <c r="U3801" s="47"/>
      <c r="V3801" s="47"/>
      <c r="W3801" s="47"/>
      <c r="X3801" s="47"/>
      <c r="Y3801" s="47"/>
      <c r="Z3801" s="47">
        <v>4621</v>
      </c>
      <c r="AA3801" s="47"/>
      <c r="AB3801" s="47"/>
      <c r="AC3801" s="47"/>
      <c r="AD3801" s="47"/>
      <c r="AE3801" s="47"/>
      <c r="AF3801" s="47"/>
      <c r="AG3801" s="47"/>
      <c r="AH3801" s="47" t="str">
        <f>IFERROR(_xlfn.XLOOKUP(Table6[[#This Row],[Suburb]],Table5[Travel Surcharge],Table5[$$]),"")</f>
        <v/>
      </c>
      <c r="AI3801" s="47"/>
      <c r="AJ3801" s="47"/>
    </row>
    <row r="3802" spans="1:36">
      <c r="A3802" s="374" t="s">
        <v>5590</v>
      </c>
      <c r="B3802" s="374">
        <v>20</v>
      </c>
      <c r="C3802" s="374" t="s">
        <v>404</v>
      </c>
      <c r="D3802" s="375" t="s">
        <v>9787</v>
      </c>
      <c r="E3802" s="375" t="s">
        <v>9788</v>
      </c>
      <c r="F3802" s="375" t="s">
        <v>5592</v>
      </c>
      <c r="G3802" s="375" t="s">
        <v>5232</v>
      </c>
      <c r="H3802" s="375" t="s">
        <v>5593</v>
      </c>
      <c r="I3802" s="63" t="s">
        <v>5594</v>
      </c>
      <c r="J3802" s="47"/>
      <c r="K3802" s="46" t="s">
        <v>10735</v>
      </c>
      <c r="L3802" s="47"/>
      <c r="M3802" s="47">
        <v>1430.0000000000002</v>
      </c>
      <c r="N3802" s="47"/>
      <c r="O3802" s="47"/>
      <c r="P3802" s="47"/>
      <c r="Q3802" s="47"/>
      <c r="R3802" s="47"/>
      <c r="S3802" s="47"/>
      <c r="T3802" s="47" t="s">
        <v>5595</v>
      </c>
      <c r="U3802" s="47"/>
      <c r="V3802" s="47"/>
      <c r="W3802" s="47"/>
      <c r="X3802" s="47"/>
      <c r="Y3802" s="47"/>
      <c r="Z3802" s="47">
        <v>4620</v>
      </c>
      <c r="AA3802" s="47"/>
      <c r="AB3802" s="47"/>
      <c r="AC3802" s="47"/>
      <c r="AD3802" s="47"/>
      <c r="AE3802" s="47"/>
      <c r="AF3802" s="47"/>
      <c r="AG3802" s="47"/>
      <c r="AH3802" s="47" t="str">
        <f>IFERROR(_xlfn.XLOOKUP(Table6[[#This Row],[Suburb]],Table5[Travel Surcharge],Table5[$$]),"")</f>
        <v/>
      </c>
      <c r="AI3802" s="47"/>
      <c r="AJ3802" s="47"/>
    </row>
    <row r="3803" spans="1:36">
      <c r="A3803" s="374" t="s">
        <v>5590</v>
      </c>
      <c r="B3803" s="374">
        <v>21</v>
      </c>
      <c r="C3803" s="374" t="s">
        <v>404</v>
      </c>
      <c r="D3803" s="375" t="s">
        <v>10694</v>
      </c>
      <c r="E3803" s="375" t="s">
        <v>10695</v>
      </c>
      <c r="F3803" s="375" t="s">
        <v>5592</v>
      </c>
      <c r="G3803" s="375" t="s">
        <v>5232</v>
      </c>
      <c r="H3803" s="375" t="s">
        <v>5593</v>
      </c>
      <c r="I3803" s="63" t="s">
        <v>5594</v>
      </c>
      <c r="J3803" s="47"/>
      <c r="K3803" s="46" t="s">
        <v>10735</v>
      </c>
      <c r="L3803" s="47"/>
      <c r="M3803" s="47">
        <v>1430.0000000000002</v>
      </c>
      <c r="N3803" s="47"/>
      <c r="O3803" s="47"/>
      <c r="P3803" s="47"/>
      <c r="Q3803" s="47"/>
      <c r="R3803" s="47"/>
      <c r="S3803" s="47"/>
      <c r="T3803" s="47" t="s">
        <v>5595</v>
      </c>
      <c r="U3803" s="47"/>
      <c r="V3803" s="47"/>
      <c r="W3803" s="47"/>
      <c r="X3803" s="47"/>
      <c r="Y3803" s="47"/>
      <c r="Z3803" s="47">
        <v>4620</v>
      </c>
      <c r="AA3803" s="47"/>
      <c r="AB3803" s="47"/>
      <c r="AC3803" s="47"/>
      <c r="AD3803" s="47"/>
      <c r="AE3803" s="47"/>
      <c r="AF3803" s="47"/>
      <c r="AG3803" s="47"/>
      <c r="AH3803" s="47" t="str">
        <f>IFERROR(_xlfn.XLOOKUP(Table6[[#This Row],[Suburb]],Table5[Travel Surcharge],Table5[$$]),"")</f>
        <v/>
      </c>
      <c r="AI3803" s="47"/>
      <c r="AJ3803" s="47"/>
    </row>
    <row r="3804" spans="1:36">
      <c r="A3804" s="374" t="s">
        <v>5590</v>
      </c>
      <c r="B3804" s="374" t="s">
        <v>617</v>
      </c>
      <c r="C3804" s="374" t="s">
        <v>404</v>
      </c>
      <c r="D3804" s="375" t="str">
        <f t="shared" si="833"/>
        <v>Seventh Bend Estate5A</v>
      </c>
      <c r="E3804" s="375" t="s">
        <v>5599</v>
      </c>
      <c r="F3804" s="375" t="s">
        <v>5592</v>
      </c>
      <c r="G3804" s="375" t="s">
        <v>5232</v>
      </c>
      <c r="H3804" s="375" t="s">
        <v>5593</v>
      </c>
      <c r="I3804" s="63" t="s">
        <v>5594</v>
      </c>
      <c r="J3804" s="47"/>
      <c r="K3804" s="46" t="s">
        <v>10735</v>
      </c>
      <c r="L3804" s="47"/>
      <c r="M3804" s="47">
        <f t="shared" ref="M3804:M3811" si="836">M$7</f>
        <v>1430.0000000000002</v>
      </c>
      <c r="N3804" s="47"/>
      <c r="O3804" s="47"/>
      <c r="P3804" s="47"/>
      <c r="Q3804" s="47"/>
      <c r="R3804" s="47"/>
      <c r="S3804" s="47"/>
      <c r="T3804" s="47" t="s">
        <v>5595</v>
      </c>
      <c r="U3804" s="47"/>
      <c r="V3804" s="47"/>
      <c r="W3804" s="47"/>
      <c r="X3804" s="47"/>
      <c r="Y3804" s="47"/>
      <c r="Z3804" s="47">
        <f t="shared" ref="Z3804:Z3838" si="837">Z$7</f>
        <v>4620</v>
      </c>
      <c r="AA3804" s="47"/>
      <c r="AB3804" s="47"/>
      <c r="AC3804" s="47"/>
      <c r="AD3804" s="47"/>
      <c r="AE3804" s="47"/>
      <c r="AF3804" s="47"/>
      <c r="AG3804" s="47"/>
      <c r="AH3804" s="47" t="str">
        <f>IFERROR(_xlfn.XLOOKUP(Table6[[#This Row],[Suburb]],Table5[Travel Surcharge],Table5[$$]),"")</f>
        <v/>
      </c>
      <c r="AI3804" s="47"/>
      <c r="AJ3804" s="47"/>
    </row>
    <row r="3805" spans="1:36">
      <c r="A3805" s="374" t="s">
        <v>5590</v>
      </c>
      <c r="B3805" s="374" t="s">
        <v>1466</v>
      </c>
      <c r="C3805" s="374" t="s">
        <v>404</v>
      </c>
      <c r="D3805" s="375" t="str">
        <f t="shared" si="833"/>
        <v>Seventh Bend Estate5B</v>
      </c>
      <c r="E3805" s="375" t="s">
        <v>5600</v>
      </c>
      <c r="F3805" s="375" t="s">
        <v>5592</v>
      </c>
      <c r="G3805" s="375" t="s">
        <v>5232</v>
      </c>
      <c r="H3805" s="375" t="s">
        <v>5593</v>
      </c>
      <c r="I3805" s="63" t="s">
        <v>5594</v>
      </c>
      <c r="J3805" s="47"/>
      <c r="K3805" s="46" t="s">
        <v>10735</v>
      </c>
      <c r="L3805" s="47"/>
      <c r="M3805" s="47">
        <f t="shared" si="836"/>
        <v>1430.0000000000002</v>
      </c>
      <c r="N3805" s="47"/>
      <c r="O3805" s="47"/>
      <c r="P3805" s="47"/>
      <c r="Q3805" s="47"/>
      <c r="R3805" s="47"/>
      <c r="S3805" s="47"/>
      <c r="T3805" s="47" t="s">
        <v>5595</v>
      </c>
      <c r="U3805" s="47"/>
      <c r="V3805" s="47"/>
      <c r="W3805" s="47"/>
      <c r="X3805" s="47"/>
      <c r="Y3805" s="47"/>
      <c r="Z3805" s="47">
        <f t="shared" si="837"/>
        <v>4620</v>
      </c>
      <c r="AA3805" s="47"/>
      <c r="AB3805" s="47"/>
      <c r="AC3805" s="47"/>
      <c r="AD3805" s="47"/>
      <c r="AE3805" s="47"/>
      <c r="AF3805" s="47"/>
      <c r="AG3805" s="47"/>
      <c r="AH3805" s="47" t="str">
        <f>IFERROR(_xlfn.XLOOKUP(Table6[[#This Row],[Suburb]],Table5[Travel Surcharge],Table5[$$]),"")</f>
        <v/>
      </c>
      <c r="AI3805" s="47"/>
      <c r="AJ3805" s="47"/>
    </row>
    <row r="3806" spans="1:36">
      <c r="A3806" s="374" t="s">
        <v>5590</v>
      </c>
      <c r="B3806" s="374" t="s">
        <v>622</v>
      </c>
      <c r="C3806" s="374" t="s">
        <v>404</v>
      </c>
      <c r="D3806" s="375" t="str">
        <f t="shared" si="833"/>
        <v>Seventh Bend Estate6A</v>
      </c>
      <c r="E3806" s="375" t="s">
        <v>5601</v>
      </c>
      <c r="F3806" s="375" t="s">
        <v>5592</v>
      </c>
      <c r="G3806" s="375" t="s">
        <v>5232</v>
      </c>
      <c r="H3806" s="375" t="s">
        <v>5593</v>
      </c>
      <c r="I3806" s="63" t="s">
        <v>5594</v>
      </c>
      <c r="J3806" s="47"/>
      <c r="K3806" s="46" t="s">
        <v>10735</v>
      </c>
      <c r="L3806" s="47"/>
      <c r="M3806" s="47">
        <f t="shared" si="836"/>
        <v>1430.0000000000002</v>
      </c>
      <c r="N3806" s="47"/>
      <c r="O3806" s="47"/>
      <c r="P3806" s="47"/>
      <c r="Q3806" s="47"/>
      <c r="R3806" s="47"/>
      <c r="S3806" s="47"/>
      <c r="T3806" s="47" t="s">
        <v>5595</v>
      </c>
      <c r="U3806" s="47"/>
      <c r="V3806" s="47"/>
      <c r="W3806" s="47"/>
      <c r="X3806" s="47"/>
      <c r="Y3806" s="47"/>
      <c r="Z3806" s="47">
        <f t="shared" si="837"/>
        <v>4620</v>
      </c>
      <c r="AA3806" s="47"/>
      <c r="AB3806" s="47"/>
      <c r="AC3806" s="47"/>
      <c r="AD3806" s="47"/>
      <c r="AE3806" s="47"/>
      <c r="AF3806" s="47"/>
      <c r="AG3806" s="47"/>
      <c r="AH3806" s="47" t="str">
        <f>IFERROR(_xlfn.XLOOKUP(Table6[[#This Row],[Suburb]],Table5[Travel Surcharge],Table5[$$]),"")</f>
        <v/>
      </c>
      <c r="AI3806" s="47"/>
      <c r="AJ3806" s="47"/>
    </row>
    <row r="3807" spans="1:36">
      <c r="A3807" s="374" t="s">
        <v>5590</v>
      </c>
      <c r="B3807" s="374" t="s">
        <v>624</v>
      </c>
      <c r="C3807" s="374" t="s">
        <v>404</v>
      </c>
      <c r="D3807" s="375" t="str">
        <f t="shared" si="833"/>
        <v>Seventh Bend Estate6B</v>
      </c>
      <c r="E3807" s="375" t="s">
        <v>5602</v>
      </c>
      <c r="F3807" s="375" t="s">
        <v>5592</v>
      </c>
      <c r="G3807" s="375" t="s">
        <v>5232</v>
      </c>
      <c r="H3807" s="375" t="s">
        <v>5593</v>
      </c>
      <c r="I3807" s="63" t="s">
        <v>5594</v>
      </c>
      <c r="J3807" s="47"/>
      <c r="K3807" s="46" t="s">
        <v>10735</v>
      </c>
      <c r="L3807" s="47"/>
      <c r="M3807" s="47">
        <f t="shared" si="836"/>
        <v>1430.0000000000002</v>
      </c>
      <c r="N3807" s="47"/>
      <c r="O3807" s="47"/>
      <c r="P3807" s="47"/>
      <c r="Q3807" s="47"/>
      <c r="R3807" s="47"/>
      <c r="S3807" s="47"/>
      <c r="T3807" s="47" t="s">
        <v>5595</v>
      </c>
      <c r="U3807" s="47"/>
      <c r="V3807" s="47"/>
      <c r="W3807" s="47"/>
      <c r="X3807" s="47"/>
      <c r="Y3807" s="47"/>
      <c r="Z3807" s="47">
        <f t="shared" si="837"/>
        <v>4620</v>
      </c>
      <c r="AA3807" s="47"/>
      <c r="AB3807" s="47"/>
      <c r="AC3807" s="47"/>
      <c r="AD3807" s="47"/>
      <c r="AE3807" s="47"/>
      <c r="AF3807" s="47"/>
      <c r="AG3807" s="47"/>
      <c r="AH3807" s="47" t="str">
        <f>IFERROR(_xlfn.XLOOKUP(Table6[[#This Row],[Suburb]],Table5[Travel Surcharge],Table5[$$]),"")</f>
        <v/>
      </c>
      <c r="AI3807" s="47"/>
      <c r="AJ3807" s="47"/>
    </row>
    <row r="3808" spans="1:36">
      <c r="A3808" s="374" t="s">
        <v>5590</v>
      </c>
      <c r="B3808" s="374" t="s">
        <v>626</v>
      </c>
      <c r="C3808" s="374" t="s">
        <v>404</v>
      </c>
      <c r="D3808" s="375" t="str">
        <f t="shared" si="833"/>
        <v>Seventh Bend Estate6C</v>
      </c>
      <c r="E3808" s="375" t="s">
        <v>5603</v>
      </c>
      <c r="F3808" s="375" t="s">
        <v>5592</v>
      </c>
      <c r="G3808" s="375" t="s">
        <v>5232</v>
      </c>
      <c r="H3808" s="375" t="s">
        <v>5593</v>
      </c>
      <c r="I3808" s="63" t="s">
        <v>5594</v>
      </c>
      <c r="J3808" s="47"/>
      <c r="K3808" s="46" t="s">
        <v>10735</v>
      </c>
      <c r="L3808" s="47"/>
      <c r="M3808" s="47">
        <f t="shared" si="836"/>
        <v>1430.0000000000002</v>
      </c>
      <c r="N3808" s="47"/>
      <c r="O3808" s="47"/>
      <c r="P3808" s="47"/>
      <c r="Q3808" s="47"/>
      <c r="R3808" s="47"/>
      <c r="S3808" s="47"/>
      <c r="T3808" s="47" t="s">
        <v>5595</v>
      </c>
      <c r="U3808" s="47"/>
      <c r="V3808" s="47"/>
      <c r="W3808" s="47"/>
      <c r="X3808" s="47"/>
      <c r="Y3808" s="47"/>
      <c r="Z3808" s="47">
        <f t="shared" si="837"/>
        <v>4620</v>
      </c>
      <c r="AA3808" s="47"/>
      <c r="AB3808" s="47"/>
      <c r="AC3808" s="47"/>
      <c r="AD3808" s="47"/>
      <c r="AE3808" s="47"/>
      <c r="AF3808" s="47"/>
      <c r="AG3808" s="47"/>
      <c r="AH3808" s="47" t="str">
        <f>IFERROR(_xlfn.XLOOKUP(Table6[[#This Row],[Suburb]],Table5[Travel Surcharge],Table5[$$]),"")</f>
        <v/>
      </c>
      <c r="AI3808" s="47"/>
      <c r="AJ3808" s="47"/>
    </row>
    <row r="3809" spans="1:36">
      <c r="A3809" s="374" t="s">
        <v>5590</v>
      </c>
      <c r="B3809" s="374" t="s">
        <v>2697</v>
      </c>
      <c r="C3809" s="374" t="s">
        <v>404</v>
      </c>
      <c r="D3809" s="375" t="str">
        <f t="shared" si="833"/>
        <v>Seventh Bend Estate6D</v>
      </c>
      <c r="E3809" s="375" t="s">
        <v>5604</v>
      </c>
      <c r="F3809" s="375" t="s">
        <v>5592</v>
      </c>
      <c r="G3809" s="375" t="s">
        <v>5232</v>
      </c>
      <c r="H3809" s="375" t="s">
        <v>5593</v>
      </c>
      <c r="I3809" s="63" t="s">
        <v>5594</v>
      </c>
      <c r="J3809" s="47"/>
      <c r="K3809" s="46" t="s">
        <v>10735</v>
      </c>
      <c r="L3809" s="47"/>
      <c r="M3809" s="47">
        <f t="shared" si="836"/>
        <v>1430.0000000000002</v>
      </c>
      <c r="N3809" s="47"/>
      <c r="O3809" s="47"/>
      <c r="P3809" s="47"/>
      <c r="Q3809" s="47"/>
      <c r="R3809" s="47"/>
      <c r="S3809" s="47"/>
      <c r="T3809" s="47" t="s">
        <v>5595</v>
      </c>
      <c r="U3809" s="47"/>
      <c r="V3809" s="47"/>
      <c r="W3809" s="47"/>
      <c r="X3809" s="47"/>
      <c r="Y3809" s="47"/>
      <c r="Z3809" s="47">
        <f t="shared" si="837"/>
        <v>4620</v>
      </c>
      <c r="AA3809" s="47"/>
      <c r="AB3809" s="47"/>
      <c r="AC3809" s="47"/>
      <c r="AD3809" s="47"/>
      <c r="AE3809" s="47"/>
      <c r="AF3809" s="47"/>
      <c r="AG3809" s="47"/>
      <c r="AH3809" s="47" t="str">
        <f>IFERROR(_xlfn.XLOOKUP(Table6[[#This Row],[Suburb]],Table5[Travel Surcharge],Table5[$$]),"")</f>
        <v/>
      </c>
      <c r="AI3809" s="47"/>
      <c r="AJ3809" s="47"/>
    </row>
    <row r="3810" spans="1:36">
      <c r="A3810" s="374" t="s">
        <v>5590</v>
      </c>
      <c r="B3810" s="374" t="s">
        <v>1488</v>
      </c>
      <c r="C3810" s="374" t="s">
        <v>404</v>
      </c>
      <c r="D3810" s="375" t="str">
        <f t="shared" si="833"/>
        <v>Seventh Bend Estate7A</v>
      </c>
      <c r="E3810" s="375" t="s">
        <v>5605</v>
      </c>
      <c r="F3810" s="375" t="s">
        <v>5592</v>
      </c>
      <c r="G3810" s="375" t="s">
        <v>5232</v>
      </c>
      <c r="H3810" s="375" t="s">
        <v>5593</v>
      </c>
      <c r="I3810" s="63" t="s">
        <v>5594</v>
      </c>
      <c r="J3810" s="47"/>
      <c r="K3810" s="46" t="s">
        <v>10735</v>
      </c>
      <c r="L3810" s="47"/>
      <c r="M3810" s="47">
        <f t="shared" si="836"/>
        <v>1430.0000000000002</v>
      </c>
      <c r="N3810" s="47"/>
      <c r="O3810" s="47"/>
      <c r="P3810" s="47"/>
      <c r="Q3810" s="47"/>
      <c r="R3810" s="47"/>
      <c r="S3810" s="47"/>
      <c r="T3810" s="47" t="s">
        <v>5595</v>
      </c>
      <c r="U3810" s="47"/>
      <c r="V3810" s="47"/>
      <c r="W3810" s="47"/>
      <c r="X3810" s="47"/>
      <c r="Y3810" s="47"/>
      <c r="Z3810" s="47">
        <f t="shared" si="837"/>
        <v>4620</v>
      </c>
      <c r="AA3810" s="47"/>
      <c r="AB3810" s="47"/>
      <c r="AC3810" s="47"/>
      <c r="AD3810" s="47"/>
      <c r="AE3810" s="47"/>
      <c r="AF3810" s="47"/>
      <c r="AG3810" s="47"/>
      <c r="AH3810" s="47" t="str">
        <f>IFERROR(_xlfn.XLOOKUP(Table6[[#This Row],[Suburb]],Table5[Travel Surcharge],Table5[$$]),"")</f>
        <v/>
      </c>
      <c r="AI3810" s="47"/>
      <c r="AJ3810" s="47"/>
    </row>
    <row r="3811" spans="1:36">
      <c r="A3811" s="374" t="s">
        <v>5590</v>
      </c>
      <c r="B3811" s="374" t="s">
        <v>1630</v>
      </c>
      <c r="C3811" s="374" t="s">
        <v>404</v>
      </c>
      <c r="D3811" s="375" t="str">
        <f t="shared" si="833"/>
        <v>Seventh Bend Estate7B</v>
      </c>
      <c r="E3811" s="375" t="s">
        <v>5606</v>
      </c>
      <c r="F3811" s="375" t="s">
        <v>5592</v>
      </c>
      <c r="G3811" s="375" t="s">
        <v>5232</v>
      </c>
      <c r="H3811" s="375" t="s">
        <v>5593</v>
      </c>
      <c r="I3811" s="63" t="s">
        <v>5594</v>
      </c>
      <c r="J3811" s="47"/>
      <c r="K3811" s="46" t="s">
        <v>10735</v>
      </c>
      <c r="L3811" s="47"/>
      <c r="M3811" s="47">
        <f t="shared" si="836"/>
        <v>1430.0000000000002</v>
      </c>
      <c r="N3811" s="47"/>
      <c r="O3811" s="47"/>
      <c r="P3811" s="47"/>
      <c r="Q3811" s="47"/>
      <c r="R3811" s="47"/>
      <c r="S3811" s="47"/>
      <c r="T3811" s="47" t="s">
        <v>5595</v>
      </c>
      <c r="U3811" s="47"/>
      <c r="V3811" s="47"/>
      <c r="W3811" s="47"/>
      <c r="X3811" s="47"/>
      <c r="Y3811" s="47"/>
      <c r="Z3811" s="47">
        <f t="shared" si="837"/>
        <v>4620</v>
      </c>
      <c r="AA3811" s="47"/>
      <c r="AB3811" s="47"/>
      <c r="AC3811" s="47"/>
      <c r="AD3811" s="47"/>
      <c r="AE3811" s="47"/>
      <c r="AF3811" s="47"/>
      <c r="AG3811" s="47"/>
      <c r="AH3811" s="47" t="str">
        <f>IFERROR(_xlfn.XLOOKUP(Table6[[#This Row],[Suburb]],Table5[Travel Surcharge],Table5[$$]),"")</f>
        <v/>
      </c>
      <c r="AI3811" s="47"/>
      <c r="AJ3811" s="47"/>
    </row>
    <row r="3812" spans="1:36">
      <c r="A3812" s="374" t="s">
        <v>9230</v>
      </c>
      <c r="B3812" s="374">
        <v>1</v>
      </c>
      <c r="C3812" s="374" t="s">
        <v>1721</v>
      </c>
      <c r="D3812" s="375" t="str">
        <f t="shared" si="833"/>
        <v>Sherwood Grange1</v>
      </c>
      <c r="E3812" s="375" t="s">
        <v>9231</v>
      </c>
      <c r="F3812" s="375"/>
      <c r="G3812" s="375"/>
      <c r="H3812" s="375"/>
      <c r="I3812" s="63"/>
      <c r="J3812" s="47">
        <f t="shared" ref="J3812:J3827" si="838">J$7</f>
        <v>3740</v>
      </c>
      <c r="K3812" s="46" t="s">
        <v>7938</v>
      </c>
      <c r="L3812" s="47">
        <f>L1325</f>
        <v>1210</v>
      </c>
      <c r="M3812" s="47"/>
      <c r="N3812" s="47"/>
      <c r="O3812" s="47">
        <f t="shared" ref="O3812:O3817" si="839">O$7</f>
        <v>4950</v>
      </c>
      <c r="P3812" s="47"/>
      <c r="Q3812" s="47"/>
      <c r="R3812" s="47"/>
      <c r="S3812" s="47" t="s">
        <v>967</v>
      </c>
      <c r="T3812" s="47"/>
      <c r="U3812" s="47"/>
      <c r="V3812" s="47" t="s">
        <v>9232</v>
      </c>
      <c r="W3812" s="47">
        <f>$W1325</f>
        <v>0</v>
      </c>
      <c r="X3812" s="47" t="s">
        <v>9234</v>
      </c>
      <c r="Y3812" s="47" t="s">
        <v>9233</v>
      </c>
      <c r="Z3812" s="47">
        <f t="shared" si="837"/>
        <v>4620</v>
      </c>
      <c r="AA3812" s="47">
        <f>$AA1325</f>
        <v>0</v>
      </c>
      <c r="AB3812" s="47" t="s">
        <v>9235</v>
      </c>
      <c r="AC3812" s="47" t="s">
        <v>9236</v>
      </c>
      <c r="AD3812" s="47"/>
      <c r="AE3812" s="47"/>
      <c r="AF3812" s="47">
        <f t="shared" ref="AF3812:AF3817" si="840">AF$7</f>
        <v>1485</v>
      </c>
      <c r="AG3812" s="47" t="s">
        <v>10129</v>
      </c>
      <c r="AH3812" s="47" t="str">
        <f>IFERROR(_xlfn.XLOOKUP(Table6[[#This Row],[Suburb]],Table5[Travel Surcharge],Table5[$$]),"")</f>
        <v/>
      </c>
      <c r="AI3812" s="47">
        <f>$AI1325</f>
        <v>0</v>
      </c>
      <c r="AJ3812" s="47"/>
    </row>
    <row r="3813" spans="1:36">
      <c r="A3813" s="374" t="s">
        <v>9230</v>
      </c>
      <c r="B3813" s="374">
        <v>2</v>
      </c>
      <c r="C3813" s="374" t="s">
        <v>1721</v>
      </c>
      <c r="D3813" s="375" t="str">
        <f t="shared" si="833"/>
        <v>Sherwood Grange2</v>
      </c>
      <c r="E3813" s="375" t="s">
        <v>9237</v>
      </c>
      <c r="F3813" s="375"/>
      <c r="G3813" s="375"/>
      <c r="H3813" s="375"/>
      <c r="I3813" s="63"/>
      <c r="J3813" s="47">
        <f t="shared" si="838"/>
        <v>3740</v>
      </c>
      <c r="K3813" s="46" t="s">
        <v>7938</v>
      </c>
      <c r="L3813" s="47">
        <f>L1325</f>
        <v>1210</v>
      </c>
      <c r="M3813" s="47"/>
      <c r="N3813" s="47"/>
      <c r="O3813" s="47">
        <f t="shared" si="839"/>
        <v>4950</v>
      </c>
      <c r="P3813" s="47"/>
      <c r="Q3813" s="47"/>
      <c r="R3813" s="47"/>
      <c r="S3813" s="47" t="s">
        <v>967</v>
      </c>
      <c r="T3813" s="47"/>
      <c r="U3813" s="47"/>
      <c r="V3813" s="47" t="s">
        <v>9232</v>
      </c>
      <c r="W3813" s="47">
        <f>$W1325</f>
        <v>0</v>
      </c>
      <c r="X3813" s="47" t="s">
        <v>9234</v>
      </c>
      <c r="Y3813" s="47" t="s">
        <v>9233</v>
      </c>
      <c r="Z3813" s="47">
        <f t="shared" si="837"/>
        <v>4620</v>
      </c>
      <c r="AA3813" s="47">
        <f>$AA1325</f>
        <v>0</v>
      </c>
      <c r="AB3813" s="47" t="s">
        <v>9235</v>
      </c>
      <c r="AC3813" s="47" t="s">
        <v>9236</v>
      </c>
      <c r="AD3813" s="47"/>
      <c r="AE3813" s="47"/>
      <c r="AF3813" s="47">
        <f t="shared" si="840"/>
        <v>1485</v>
      </c>
      <c r="AG3813" s="47" t="s">
        <v>10129</v>
      </c>
      <c r="AH3813" s="47" t="str">
        <f>IFERROR(_xlfn.XLOOKUP(Table6[[#This Row],[Suburb]],Table5[Travel Surcharge],Table5[$$]),"")</f>
        <v/>
      </c>
      <c r="AI3813" s="47">
        <f>$AI1325</f>
        <v>0</v>
      </c>
      <c r="AJ3813" s="47"/>
    </row>
    <row r="3814" spans="1:36">
      <c r="A3814" s="374" t="s">
        <v>9230</v>
      </c>
      <c r="B3814" s="374">
        <v>3</v>
      </c>
      <c r="C3814" s="374" t="s">
        <v>1721</v>
      </c>
      <c r="D3814" s="375" t="str">
        <f t="shared" si="833"/>
        <v>Sherwood Grange3</v>
      </c>
      <c r="E3814" s="375" t="s">
        <v>9238</v>
      </c>
      <c r="F3814" s="375"/>
      <c r="G3814" s="375"/>
      <c r="H3814" s="375"/>
      <c r="I3814" s="63"/>
      <c r="J3814" s="47">
        <f t="shared" si="838"/>
        <v>3740</v>
      </c>
      <c r="K3814" s="46" t="s">
        <v>7938</v>
      </c>
      <c r="L3814" s="47">
        <f>L1325</f>
        <v>1210</v>
      </c>
      <c r="M3814" s="47"/>
      <c r="N3814" s="47"/>
      <c r="O3814" s="47">
        <f t="shared" si="839"/>
        <v>4950</v>
      </c>
      <c r="P3814" s="47"/>
      <c r="Q3814" s="47"/>
      <c r="R3814" s="47"/>
      <c r="S3814" s="47" t="s">
        <v>967</v>
      </c>
      <c r="T3814" s="47"/>
      <c r="U3814" s="47"/>
      <c r="V3814" s="47" t="s">
        <v>9232</v>
      </c>
      <c r="W3814" s="47">
        <f>$W1325</f>
        <v>0</v>
      </c>
      <c r="X3814" s="47" t="s">
        <v>9234</v>
      </c>
      <c r="Y3814" s="47" t="s">
        <v>9233</v>
      </c>
      <c r="Z3814" s="47">
        <f t="shared" si="837"/>
        <v>4620</v>
      </c>
      <c r="AA3814" s="47">
        <f>$AA1325</f>
        <v>0</v>
      </c>
      <c r="AB3814" s="47" t="s">
        <v>9235</v>
      </c>
      <c r="AC3814" s="47" t="s">
        <v>9236</v>
      </c>
      <c r="AD3814" s="47"/>
      <c r="AE3814" s="47"/>
      <c r="AF3814" s="47">
        <f t="shared" si="840"/>
        <v>1485</v>
      </c>
      <c r="AG3814" s="47" t="s">
        <v>10129</v>
      </c>
      <c r="AH3814" s="47" t="str">
        <f>IFERROR(_xlfn.XLOOKUP(Table6[[#This Row],[Suburb]],Table5[Travel Surcharge],Table5[$$]),"")</f>
        <v/>
      </c>
      <c r="AI3814" s="47">
        <f>$AI1325</f>
        <v>0</v>
      </c>
      <c r="AJ3814" s="47"/>
    </row>
    <row r="3815" spans="1:36">
      <c r="A3815" s="374" t="s">
        <v>9230</v>
      </c>
      <c r="B3815" s="374">
        <v>4</v>
      </c>
      <c r="C3815" s="374" t="s">
        <v>1721</v>
      </c>
      <c r="D3815" s="375" t="str">
        <f t="shared" si="833"/>
        <v>Sherwood Grange4</v>
      </c>
      <c r="E3815" s="375" t="s">
        <v>9239</v>
      </c>
      <c r="F3815" s="375"/>
      <c r="G3815" s="375"/>
      <c r="H3815" s="375"/>
      <c r="I3815" s="63"/>
      <c r="J3815" s="47">
        <f t="shared" si="838"/>
        <v>3740</v>
      </c>
      <c r="K3815" s="46" t="s">
        <v>7938</v>
      </c>
      <c r="L3815" s="47">
        <f>L1325</f>
        <v>1210</v>
      </c>
      <c r="M3815" s="47"/>
      <c r="N3815" s="47"/>
      <c r="O3815" s="47">
        <f t="shared" si="839"/>
        <v>4950</v>
      </c>
      <c r="P3815" s="47"/>
      <c r="Q3815" s="47"/>
      <c r="R3815" s="47"/>
      <c r="S3815" s="47" t="s">
        <v>967</v>
      </c>
      <c r="T3815" s="47"/>
      <c r="U3815" s="47"/>
      <c r="V3815" s="47" t="s">
        <v>9232</v>
      </c>
      <c r="W3815" s="47">
        <f>$W1325</f>
        <v>0</v>
      </c>
      <c r="X3815" s="47" t="s">
        <v>9234</v>
      </c>
      <c r="Y3815" s="47" t="s">
        <v>9233</v>
      </c>
      <c r="Z3815" s="47">
        <f t="shared" si="837"/>
        <v>4620</v>
      </c>
      <c r="AA3815" s="47">
        <f>$AA1325</f>
        <v>0</v>
      </c>
      <c r="AB3815" s="47" t="s">
        <v>9235</v>
      </c>
      <c r="AC3815" s="47" t="s">
        <v>9236</v>
      </c>
      <c r="AD3815" s="47"/>
      <c r="AE3815" s="47"/>
      <c r="AF3815" s="47">
        <f t="shared" si="840"/>
        <v>1485</v>
      </c>
      <c r="AG3815" s="47" t="s">
        <v>10129</v>
      </c>
      <c r="AH3815" s="47" t="str">
        <f>IFERROR(_xlfn.XLOOKUP(Table6[[#This Row],[Suburb]],Table5[Travel Surcharge],Table5[$$]),"")</f>
        <v/>
      </c>
      <c r="AI3815" s="47">
        <f>$AI1325</f>
        <v>0</v>
      </c>
      <c r="AJ3815" s="47"/>
    </row>
    <row r="3816" spans="1:36">
      <c r="A3816" s="374" t="s">
        <v>9230</v>
      </c>
      <c r="B3816" s="374">
        <v>5</v>
      </c>
      <c r="C3816" s="374" t="s">
        <v>1721</v>
      </c>
      <c r="D3816" s="375" t="str">
        <f t="shared" si="833"/>
        <v>Sherwood Grange5</v>
      </c>
      <c r="E3816" s="375" t="s">
        <v>9240</v>
      </c>
      <c r="F3816" s="375"/>
      <c r="G3816" s="375"/>
      <c r="H3816" s="375"/>
      <c r="I3816" s="63"/>
      <c r="J3816" s="47">
        <f t="shared" si="838"/>
        <v>3740</v>
      </c>
      <c r="K3816" s="46" t="s">
        <v>7938</v>
      </c>
      <c r="L3816" s="47">
        <f>L1325</f>
        <v>1210</v>
      </c>
      <c r="M3816" s="47"/>
      <c r="N3816" s="47"/>
      <c r="O3816" s="47">
        <f t="shared" si="839"/>
        <v>4950</v>
      </c>
      <c r="P3816" s="47"/>
      <c r="Q3816" s="47"/>
      <c r="R3816" s="47"/>
      <c r="S3816" s="47" t="s">
        <v>967</v>
      </c>
      <c r="T3816" s="47"/>
      <c r="U3816" s="47"/>
      <c r="V3816" s="47" t="s">
        <v>9232</v>
      </c>
      <c r="W3816" s="47">
        <f>$W1325</f>
        <v>0</v>
      </c>
      <c r="X3816" s="47" t="s">
        <v>9234</v>
      </c>
      <c r="Y3816" s="47" t="s">
        <v>9233</v>
      </c>
      <c r="Z3816" s="47">
        <f t="shared" si="837"/>
        <v>4620</v>
      </c>
      <c r="AA3816" s="47">
        <f>$AA1325</f>
        <v>0</v>
      </c>
      <c r="AB3816" s="47" t="s">
        <v>9235</v>
      </c>
      <c r="AC3816" s="47" t="s">
        <v>9236</v>
      </c>
      <c r="AD3816" s="47"/>
      <c r="AE3816" s="47"/>
      <c r="AF3816" s="47">
        <f t="shared" si="840"/>
        <v>1485</v>
      </c>
      <c r="AG3816" s="47" t="s">
        <v>10129</v>
      </c>
      <c r="AH3816" s="47" t="str">
        <f>IFERROR(_xlfn.XLOOKUP(Table6[[#This Row],[Suburb]],Table5[Travel Surcharge],Table5[$$]),"")</f>
        <v/>
      </c>
      <c r="AI3816" s="47">
        <f>$AI1325</f>
        <v>0</v>
      </c>
      <c r="AJ3816" s="47"/>
    </row>
    <row r="3817" spans="1:36">
      <c r="A3817" s="374" t="s">
        <v>9230</v>
      </c>
      <c r="B3817" s="374">
        <v>6</v>
      </c>
      <c r="C3817" s="374" t="s">
        <v>1721</v>
      </c>
      <c r="D3817" s="375" t="str">
        <f t="shared" si="833"/>
        <v>Sherwood Grange6</v>
      </c>
      <c r="E3817" s="375" t="s">
        <v>9241</v>
      </c>
      <c r="F3817" s="375"/>
      <c r="G3817" s="375"/>
      <c r="H3817" s="375"/>
      <c r="I3817" s="63"/>
      <c r="J3817" s="47">
        <f t="shared" si="838"/>
        <v>3740</v>
      </c>
      <c r="K3817" s="46" t="s">
        <v>7938</v>
      </c>
      <c r="L3817" s="47">
        <f>L1325</f>
        <v>1210</v>
      </c>
      <c r="M3817" s="47"/>
      <c r="N3817" s="47"/>
      <c r="O3817" s="47">
        <f t="shared" si="839"/>
        <v>4950</v>
      </c>
      <c r="P3817" s="47"/>
      <c r="Q3817" s="47"/>
      <c r="R3817" s="47"/>
      <c r="S3817" s="47" t="s">
        <v>967</v>
      </c>
      <c r="T3817" s="47"/>
      <c r="U3817" s="47"/>
      <c r="V3817" s="47" t="s">
        <v>9232</v>
      </c>
      <c r="W3817" s="47">
        <f>$W1325</f>
        <v>0</v>
      </c>
      <c r="X3817" s="47" t="s">
        <v>9234</v>
      </c>
      <c r="Y3817" s="47" t="s">
        <v>9233</v>
      </c>
      <c r="Z3817" s="47">
        <f t="shared" si="837"/>
        <v>4620</v>
      </c>
      <c r="AA3817" s="47">
        <f>$AA1325</f>
        <v>0</v>
      </c>
      <c r="AB3817" s="47" t="s">
        <v>9235</v>
      </c>
      <c r="AC3817" s="47" t="s">
        <v>9236</v>
      </c>
      <c r="AD3817" s="47"/>
      <c r="AE3817" s="47"/>
      <c r="AF3817" s="47">
        <f t="shared" si="840"/>
        <v>1485</v>
      </c>
      <c r="AG3817" s="47" t="s">
        <v>10129</v>
      </c>
      <c r="AH3817" s="47" t="str">
        <f>IFERROR(_xlfn.XLOOKUP(Table6[[#This Row],[Suburb]],Table5[Travel Surcharge],Table5[$$]),"")</f>
        <v/>
      </c>
      <c r="AI3817" s="47">
        <f>$AI1325</f>
        <v>0</v>
      </c>
      <c r="AJ3817" s="47"/>
    </row>
    <row r="3818" spans="1:36">
      <c r="A3818" s="374" t="s">
        <v>5615</v>
      </c>
      <c r="B3818" s="374">
        <v>5</v>
      </c>
      <c r="C3818" s="374" t="s">
        <v>862</v>
      </c>
      <c r="D3818" s="375" t="str">
        <f t="shared" si="833"/>
        <v>Sienna Estate5</v>
      </c>
      <c r="E3818" s="375" t="s">
        <v>5616</v>
      </c>
      <c r="F3818" s="375" t="s">
        <v>3782</v>
      </c>
      <c r="G3818" s="375" t="s">
        <v>5617</v>
      </c>
      <c r="H3818" s="375" t="s">
        <v>5618</v>
      </c>
      <c r="I3818" s="63" t="s">
        <v>5619</v>
      </c>
      <c r="J3818" s="47">
        <f t="shared" si="838"/>
        <v>3740</v>
      </c>
      <c r="K3818" s="46" t="s">
        <v>10735</v>
      </c>
      <c r="L3818" s="47">
        <f>L$7</f>
        <v>1210</v>
      </c>
      <c r="M3818" s="47"/>
      <c r="N3818" s="47"/>
      <c r="O3818" s="47"/>
      <c r="P3818" s="47"/>
      <c r="Q3818" s="47"/>
      <c r="R3818" s="47">
        <f t="shared" ref="R3818:R3827" si="841">R$2</f>
        <v>540</v>
      </c>
      <c r="S3818" s="47"/>
      <c r="T3818" s="47"/>
      <c r="U3818" s="47"/>
      <c r="V3818" s="47"/>
      <c r="W3818" s="47"/>
      <c r="X3818" s="47"/>
      <c r="Y3818" s="47"/>
      <c r="Z3818" s="47">
        <f t="shared" si="837"/>
        <v>4620</v>
      </c>
      <c r="AA3818" s="47"/>
      <c r="AB3818" s="47"/>
      <c r="AC3818" s="47"/>
      <c r="AD3818" s="47"/>
      <c r="AE3818" s="47"/>
      <c r="AF3818" s="47"/>
      <c r="AG3818" s="47"/>
      <c r="AH3818" s="47" t="str">
        <f>IFERROR(_xlfn.XLOOKUP(Table6[[#This Row],[Suburb]],Table5[Travel Surcharge],Table5[$$]),"")</f>
        <v/>
      </c>
      <c r="AI3818" s="47"/>
      <c r="AJ3818" s="47"/>
    </row>
    <row r="3819" spans="1:36">
      <c r="A3819" s="374" t="s">
        <v>5620</v>
      </c>
      <c r="B3819" s="374">
        <v>1</v>
      </c>
      <c r="C3819" s="374" t="s">
        <v>862</v>
      </c>
      <c r="D3819" s="375" t="str">
        <f t="shared" si="833"/>
        <v>Sienna North Estate1</v>
      </c>
      <c r="E3819" s="375" t="s">
        <v>5621</v>
      </c>
      <c r="F3819" s="375" t="s">
        <v>1428</v>
      </c>
      <c r="G3819" s="375" t="s">
        <v>5622</v>
      </c>
      <c r="H3819" s="375" t="s">
        <v>5623</v>
      </c>
      <c r="I3819" s="63" t="s">
        <v>5624</v>
      </c>
      <c r="J3819" s="47">
        <f t="shared" si="838"/>
        <v>3740</v>
      </c>
      <c r="K3819" s="46" t="s">
        <v>10735</v>
      </c>
      <c r="L3819" s="47"/>
      <c r="M3819" s="47">
        <f t="shared" ref="M3819:M3827" si="842">M$7</f>
        <v>1430.0000000000002</v>
      </c>
      <c r="N3819" s="47"/>
      <c r="O3819" s="47"/>
      <c r="P3819" s="47" t="s">
        <v>5625</v>
      </c>
      <c r="Q3819" s="47"/>
      <c r="R3819" s="47">
        <f t="shared" si="841"/>
        <v>540</v>
      </c>
      <c r="S3819" s="47" t="s">
        <v>1765</v>
      </c>
      <c r="T3819" s="47" t="s">
        <v>536</v>
      </c>
      <c r="U3819" s="47"/>
      <c r="V3819" s="47"/>
      <c r="W3819" s="47"/>
      <c r="X3819" s="47"/>
      <c r="Y3819" s="47"/>
      <c r="Z3819" s="47">
        <f t="shared" si="837"/>
        <v>4620</v>
      </c>
      <c r="AA3819" s="47">
        <v>1400</v>
      </c>
      <c r="AB3819" s="47">
        <v>2800</v>
      </c>
      <c r="AC3819" s="47"/>
      <c r="AD3819" s="47" t="s">
        <v>1</v>
      </c>
      <c r="AE3819" s="47"/>
      <c r="AF3819" s="47">
        <f>AF$7</f>
        <v>1485</v>
      </c>
      <c r="AG3819" s="47"/>
      <c r="AH3819" s="47" t="str">
        <f>IFERROR(_xlfn.XLOOKUP(Table6[[#This Row],[Suburb]],Table5[Travel Surcharge],Table5[$$]),"")</f>
        <v/>
      </c>
      <c r="AI3819" s="47"/>
      <c r="AJ3819" s="47"/>
    </row>
    <row r="3820" spans="1:36">
      <c r="A3820" s="374" t="s">
        <v>5620</v>
      </c>
      <c r="B3820" s="374">
        <v>2</v>
      </c>
      <c r="C3820" s="374" t="s">
        <v>862</v>
      </c>
      <c r="D3820" s="375" t="str">
        <f t="shared" si="833"/>
        <v>Sienna North Estate2</v>
      </c>
      <c r="E3820" s="375" t="s">
        <v>5626</v>
      </c>
      <c r="F3820" s="375" t="s">
        <v>1428</v>
      </c>
      <c r="G3820" s="375" t="s">
        <v>5622</v>
      </c>
      <c r="H3820" s="375" t="s">
        <v>5623</v>
      </c>
      <c r="I3820" s="63" t="s">
        <v>5624</v>
      </c>
      <c r="J3820" s="47">
        <f t="shared" si="838"/>
        <v>3740</v>
      </c>
      <c r="K3820" s="46" t="s">
        <v>10735</v>
      </c>
      <c r="L3820" s="47"/>
      <c r="M3820" s="47">
        <f t="shared" si="842"/>
        <v>1430.0000000000002</v>
      </c>
      <c r="N3820" s="47"/>
      <c r="O3820" s="47"/>
      <c r="P3820" s="47" t="s">
        <v>5625</v>
      </c>
      <c r="Q3820" s="47"/>
      <c r="R3820" s="47">
        <f t="shared" si="841"/>
        <v>540</v>
      </c>
      <c r="S3820" s="47" t="s">
        <v>1765</v>
      </c>
      <c r="T3820" s="47" t="s">
        <v>536</v>
      </c>
      <c r="U3820" s="47"/>
      <c r="V3820" s="47"/>
      <c r="W3820" s="47"/>
      <c r="X3820" s="47"/>
      <c r="Y3820" s="47"/>
      <c r="Z3820" s="47">
        <f t="shared" si="837"/>
        <v>4620</v>
      </c>
      <c r="AA3820" s="47">
        <v>1400</v>
      </c>
      <c r="AB3820" s="47">
        <v>2800</v>
      </c>
      <c r="AC3820" s="47"/>
      <c r="AD3820" s="47" t="s">
        <v>1</v>
      </c>
      <c r="AE3820" s="47"/>
      <c r="AF3820" s="47">
        <f>AF$7</f>
        <v>1485</v>
      </c>
      <c r="AG3820" s="47"/>
      <c r="AH3820" s="47" t="str">
        <f>IFERROR(_xlfn.XLOOKUP(Table6[[#This Row],[Suburb]],Table5[Travel Surcharge],Table5[$$]),"")</f>
        <v/>
      </c>
      <c r="AI3820" s="47"/>
      <c r="AJ3820" s="47"/>
    </row>
    <row r="3821" spans="1:36">
      <c r="A3821" s="374" t="s">
        <v>5620</v>
      </c>
      <c r="B3821" s="374">
        <v>3</v>
      </c>
      <c r="C3821" s="374" t="s">
        <v>862</v>
      </c>
      <c r="D3821" s="375" t="str">
        <f t="shared" si="833"/>
        <v>Sienna North Estate3</v>
      </c>
      <c r="E3821" s="375" t="s">
        <v>5627</v>
      </c>
      <c r="F3821" s="375" t="s">
        <v>1428</v>
      </c>
      <c r="G3821" s="375" t="s">
        <v>5622</v>
      </c>
      <c r="H3821" s="375" t="s">
        <v>5623</v>
      </c>
      <c r="I3821" s="63" t="s">
        <v>5624</v>
      </c>
      <c r="J3821" s="47">
        <f t="shared" si="838"/>
        <v>3740</v>
      </c>
      <c r="K3821" s="46" t="s">
        <v>10735</v>
      </c>
      <c r="L3821" s="47"/>
      <c r="M3821" s="47">
        <f t="shared" si="842"/>
        <v>1430.0000000000002</v>
      </c>
      <c r="N3821" s="47"/>
      <c r="O3821" s="47"/>
      <c r="P3821" s="47" t="s">
        <v>5625</v>
      </c>
      <c r="Q3821" s="47"/>
      <c r="R3821" s="47">
        <f t="shared" si="841"/>
        <v>540</v>
      </c>
      <c r="S3821" s="47" t="s">
        <v>1765</v>
      </c>
      <c r="T3821" s="47" t="s">
        <v>536</v>
      </c>
      <c r="U3821" s="47"/>
      <c r="V3821" s="47"/>
      <c r="W3821" s="47"/>
      <c r="X3821" s="47"/>
      <c r="Y3821" s="47"/>
      <c r="Z3821" s="47">
        <f t="shared" si="837"/>
        <v>4620</v>
      </c>
      <c r="AA3821" s="47">
        <v>1400</v>
      </c>
      <c r="AB3821" s="47">
        <v>2800</v>
      </c>
      <c r="AC3821" s="47"/>
      <c r="AD3821" s="47" t="s">
        <v>1</v>
      </c>
      <c r="AE3821" s="47"/>
      <c r="AF3821" s="47">
        <f>AF$7</f>
        <v>1485</v>
      </c>
      <c r="AG3821" s="47"/>
      <c r="AH3821" s="47" t="str">
        <f>IFERROR(_xlfn.XLOOKUP(Table6[[#This Row],[Suburb]],Table5[Travel Surcharge],Table5[$$]),"")</f>
        <v/>
      </c>
      <c r="AI3821" s="47"/>
      <c r="AJ3821" s="47"/>
    </row>
    <row r="3822" spans="1:36">
      <c r="A3822" s="374" t="s">
        <v>5620</v>
      </c>
      <c r="B3822" s="374">
        <v>4</v>
      </c>
      <c r="C3822" s="374" t="s">
        <v>862</v>
      </c>
      <c r="D3822" s="375" t="str">
        <f t="shared" si="833"/>
        <v>Sienna North Estate4</v>
      </c>
      <c r="E3822" s="375" t="s">
        <v>5628</v>
      </c>
      <c r="F3822" s="375" t="s">
        <v>1428</v>
      </c>
      <c r="G3822" s="375" t="s">
        <v>5622</v>
      </c>
      <c r="H3822" s="375" t="s">
        <v>5623</v>
      </c>
      <c r="I3822" s="63" t="s">
        <v>5624</v>
      </c>
      <c r="J3822" s="47">
        <f t="shared" si="838"/>
        <v>3740</v>
      </c>
      <c r="K3822" s="46" t="s">
        <v>10735</v>
      </c>
      <c r="L3822" s="47"/>
      <c r="M3822" s="47">
        <f t="shared" si="842"/>
        <v>1430.0000000000002</v>
      </c>
      <c r="N3822" s="47"/>
      <c r="O3822" s="47"/>
      <c r="P3822" s="47" t="s">
        <v>5625</v>
      </c>
      <c r="Q3822" s="47"/>
      <c r="R3822" s="47">
        <f t="shared" si="841"/>
        <v>540</v>
      </c>
      <c r="S3822" s="47" t="s">
        <v>1765</v>
      </c>
      <c r="T3822" s="47" t="s">
        <v>536</v>
      </c>
      <c r="U3822" s="47"/>
      <c r="V3822" s="47"/>
      <c r="W3822" s="47"/>
      <c r="X3822" s="47"/>
      <c r="Y3822" s="47"/>
      <c r="Z3822" s="47">
        <f t="shared" si="837"/>
        <v>4620</v>
      </c>
      <c r="AA3822" s="47">
        <v>1400</v>
      </c>
      <c r="AB3822" s="47">
        <v>2800</v>
      </c>
      <c r="AC3822" s="47"/>
      <c r="AD3822" s="47" t="s">
        <v>1</v>
      </c>
      <c r="AE3822" s="47"/>
      <c r="AF3822" s="47">
        <f>AF$7</f>
        <v>1485</v>
      </c>
      <c r="AG3822" s="47"/>
      <c r="AH3822" s="47" t="str">
        <f>IFERROR(_xlfn.XLOOKUP(Table6[[#This Row],[Suburb]],Table5[Travel Surcharge],Table5[$$]),"")</f>
        <v/>
      </c>
      <c r="AI3822" s="47"/>
      <c r="AJ3822" s="47"/>
    </row>
    <row r="3823" spans="1:36">
      <c r="A3823" s="374" t="s">
        <v>5629</v>
      </c>
      <c r="B3823" s="374">
        <v>1</v>
      </c>
      <c r="C3823" s="374" t="s">
        <v>862</v>
      </c>
      <c r="D3823" s="375" t="str">
        <f t="shared" si="833"/>
        <v>Sienna Rise Estate1</v>
      </c>
      <c r="E3823" s="375" t="s">
        <v>5630</v>
      </c>
      <c r="F3823" s="375" t="s">
        <v>1428</v>
      </c>
      <c r="G3823" s="375" t="s">
        <v>2110</v>
      </c>
      <c r="H3823" s="375" t="s">
        <v>2111</v>
      </c>
      <c r="I3823" s="63"/>
      <c r="J3823" s="47">
        <f t="shared" si="838"/>
        <v>3740</v>
      </c>
      <c r="K3823" s="46" t="s">
        <v>10735</v>
      </c>
      <c r="L3823" s="47"/>
      <c r="M3823" s="47">
        <f t="shared" si="842"/>
        <v>1430.0000000000002</v>
      </c>
      <c r="N3823" s="47"/>
      <c r="O3823" s="47"/>
      <c r="P3823" s="47" t="s">
        <v>5625</v>
      </c>
      <c r="Q3823" s="47"/>
      <c r="R3823" s="47">
        <f t="shared" si="841"/>
        <v>540</v>
      </c>
      <c r="S3823" s="47"/>
      <c r="T3823" s="47"/>
      <c r="U3823" s="47"/>
      <c r="V3823" s="47"/>
      <c r="W3823" s="47"/>
      <c r="X3823" s="47"/>
      <c r="Y3823" s="47"/>
      <c r="Z3823" s="47">
        <f t="shared" si="837"/>
        <v>4620</v>
      </c>
      <c r="AA3823" s="47"/>
      <c r="AB3823" s="47"/>
      <c r="AC3823" s="47"/>
      <c r="AD3823" s="47" t="s">
        <v>1</v>
      </c>
      <c r="AE3823" s="47"/>
      <c r="AF3823" s="47"/>
      <c r="AG3823" s="47"/>
      <c r="AH3823" s="47" t="str">
        <f>IFERROR(_xlfn.XLOOKUP(Table6[[#This Row],[Suburb]],Table5[Travel Surcharge],Table5[$$]),"")</f>
        <v/>
      </c>
      <c r="AI3823" s="47"/>
      <c r="AJ3823" s="47"/>
    </row>
    <row r="3824" spans="1:36">
      <c r="A3824" s="374" t="s">
        <v>5629</v>
      </c>
      <c r="B3824" s="374">
        <v>2</v>
      </c>
      <c r="C3824" s="374" t="s">
        <v>862</v>
      </c>
      <c r="D3824" s="375" t="str">
        <f t="shared" si="833"/>
        <v>Sienna Rise Estate2</v>
      </c>
      <c r="E3824" s="375" t="s">
        <v>5630</v>
      </c>
      <c r="F3824" s="375" t="s">
        <v>1428</v>
      </c>
      <c r="G3824" s="375" t="s">
        <v>2110</v>
      </c>
      <c r="H3824" s="375" t="s">
        <v>2111</v>
      </c>
      <c r="I3824" s="63"/>
      <c r="J3824" s="47">
        <f t="shared" si="838"/>
        <v>3740</v>
      </c>
      <c r="K3824" s="46" t="s">
        <v>10735</v>
      </c>
      <c r="L3824" s="47"/>
      <c r="M3824" s="47">
        <f t="shared" si="842"/>
        <v>1430.0000000000002</v>
      </c>
      <c r="N3824" s="47"/>
      <c r="O3824" s="47"/>
      <c r="P3824" s="47" t="s">
        <v>5625</v>
      </c>
      <c r="Q3824" s="47"/>
      <c r="R3824" s="47">
        <f t="shared" si="841"/>
        <v>540</v>
      </c>
      <c r="S3824" s="47"/>
      <c r="T3824" s="47"/>
      <c r="U3824" s="47"/>
      <c r="V3824" s="47"/>
      <c r="W3824" s="47"/>
      <c r="X3824" s="47"/>
      <c r="Y3824" s="47"/>
      <c r="Z3824" s="47">
        <f t="shared" si="837"/>
        <v>4620</v>
      </c>
      <c r="AA3824" s="47"/>
      <c r="AB3824" s="47"/>
      <c r="AC3824" s="47"/>
      <c r="AD3824" s="47" t="s">
        <v>1</v>
      </c>
      <c r="AE3824" s="47"/>
      <c r="AF3824" s="47"/>
      <c r="AG3824" s="47"/>
      <c r="AH3824" s="47" t="str">
        <f>IFERROR(_xlfn.XLOOKUP(Table6[[#This Row],[Suburb]],Table5[Travel Surcharge],Table5[$$]),"")</f>
        <v/>
      </c>
      <c r="AI3824" s="47"/>
      <c r="AJ3824" s="47"/>
    </row>
    <row r="3825" spans="1:36">
      <c r="A3825" s="374" t="s">
        <v>5629</v>
      </c>
      <c r="B3825" s="374">
        <v>3</v>
      </c>
      <c r="C3825" s="374" t="s">
        <v>862</v>
      </c>
      <c r="D3825" s="375" t="str">
        <f t="shared" si="833"/>
        <v>Sienna Rise Estate3</v>
      </c>
      <c r="E3825" s="375" t="s">
        <v>5631</v>
      </c>
      <c r="F3825" s="375" t="s">
        <v>1428</v>
      </c>
      <c r="G3825" s="375" t="s">
        <v>2110</v>
      </c>
      <c r="H3825" s="375" t="s">
        <v>2111</v>
      </c>
      <c r="I3825" s="63"/>
      <c r="J3825" s="47">
        <f t="shared" si="838"/>
        <v>3740</v>
      </c>
      <c r="K3825" s="46" t="s">
        <v>10735</v>
      </c>
      <c r="L3825" s="47"/>
      <c r="M3825" s="47">
        <f t="shared" si="842"/>
        <v>1430.0000000000002</v>
      </c>
      <c r="N3825" s="47"/>
      <c r="O3825" s="47"/>
      <c r="P3825" s="47" t="s">
        <v>5625</v>
      </c>
      <c r="Q3825" s="47"/>
      <c r="R3825" s="47">
        <f t="shared" si="841"/>
        <v>540</v>
      </c>
      <c r="S3825" s="47"/>
      <c r="T3825" s="47"/>
      <c r="U3825" s="47"/>
      <c r="V3825" s="47"/>
      <c r="W3825" s="47"/>
      <c r="X3825" s="47"/>
      <c r="Y3825" s="47"/>
      <c r="Z3825" s="47">
        <f t="shared" si="837"/>
        <v>4620</v>
      </c>
      <c r="AA3825" s="47"/>
      <c r="AB3825" s="47"/>
      <c r="AC3825" s="47"/>
      <c r="AD3825" s="47" t="s">
        <v>1</v>
      </c>
      <c r="AE3825" s="47"/>
      <c r="AF3825" s="47"/>
      <c r="AG3825" s="47"/>
      <c r="AH3825" s="47" t="str">
        <f>IFERROR(_xlfn.XLOOKUP(Table6[[#This Row],[Suburb]],Table5[Travel Surcharge],Table5[$$]),"")</f>
        <v/>
      </c>
      <c r="AI3825" s="47"/>
      <c r="AJ3825" s="47"/>
    </row>
    <row r="3826" spans="1:36">
      <c r="A3826" s="374" t="s">
        <v>5629</v>
      </c>
      <c r="B3826" s="374">
        <v>4</v>
      </c>
      <c r="C3826" s="374" t="s">
        <v>862</v>
      </c>
      <c r="D3826" s="375" t="str">
        <f t="shared" si="833"/>
        <v>Sienna Rise Estate4</v>
      </c>
      <c r="E3826" s="375" t="s">
        <v>5632</v>
      </c>
      <c r="F3826" s="375" t="s">
        <v>1428</v>
      </c>
      <c r="G3826" s="375" t="s">
        <v>2110</v>
      </c>
      <c r="H3826" s="375" t="s">
        <v>2111</v>
      </c>
      <c r="I3826" s="63"/>
      <c r="J3826" s="47">
        <f t="shared" si="838"/>
        <v>3740</v>
      </c>
      <c r="K3826" s="46" t="s">
        <v>10735</v>
      </c>
      <c r="L3826" s="47"/>
      <c r="M3826" s="47">
        <f t="shared" si="842"/>
        <v>1430.0000000000002</v>
      </c>
      <c r="N3826" s="47"/>
      <c r="O3826" s="47"/>
      <c r="P3826" s="47" t="s">
        <v>5625</v>
      </c>
      <c r="Q3826" s="47"/>
      <c r="R3826" s="47">
        <f t="shared" si="841"/>
        <v>540</v>
      </c>
      <c r="S3826" s="47"/>
      <c r="T3826" s="47"/>
      <c r="U3826" s="47"/>
      <c r="V3826" s="47"/>
      <c r="W3826" s="47"/>
      <c r="X3826" s="47"/>
      <c r="Y3826" s="47"/>
      <c r="Z3826" s="47">
        <f t="shared" si="837"/>
        <v>4620</v>
      </c>
      <c r="AA3826" s="47"/>
      <c r="AB3826" s="47"/>
      <c r="AC3826" s="47"/>
      <c r="AD3826" s="47" t="s">
        <v>1</v>
      </c>
      <c r="AE3826" s="47"/>
      <c r="AF3826" s="47"/>
      <c r="AG3826" s="47"/>
      <c r="AH3826" s="47" t="str">
        <f>IFERROR(_xlfn.XLOOKUP(Table6[[#This Row],[Suburb]],Table5[Travel Surcharge],Table5[$$]),"")</f>
        <v/>
      </c>
      <c r="AI3826" s="47"/>
      <c r="AJ3826" s="47"/>
    </row>
    <row r="3827" spans="1:36">
      <c r="A3827" s="374" t="s">
        <v>5629</v>
      </c>
      <c r="B3827" s="374">
        <v>5</v>
      </c>
      <c r="C3827" s="374" t="s">
        <v>862</v>
      </c>
      <c r="D3827" s="375" t="str">
        <f t="shared" si="833"/>
        <v>Sienna Rise Estate5</v>
      </c>
      <c r="E3827" s="375" t="s">
        <v>5633</v>
      </c>
      <c r="F3827" s="375" t="s">
        <v>1428</v>
      </c>
      <c r="G3827" s="375" t="s">
        <v>2110</v>
      </c>
      <c r="H3827" s="375" t="s">
        <v>2111</v>
      </c>
      <c r="I3827" s="63"/>
      <c r="J3827" s="47">
        <f t="shared" si="838"/>
        <v>3740</v>
      </c>
      <c r="K3827" s="46" t="s">
        <v>10735</v>
      </c>
      <c r="L3827" s="47"/>
      <c r="M3827" s="47">
        <f t="shared" si="842"/>
        <v>1430.0000000000002</v>
      </c>
      <c r="N3827" s="47"/>
      <c r="O3827" s="47"/>
      <c r="P3827" s="47" t="s">
        <v>5625</v>
      </c>
      <c r="Q3827" s="47"/>
      <c r="R3827" s="47">
        <f t="shared" si="841"/>
        <v>540</v>
      </c>
      <c r="S3827" s="47"/>
      <c r="T3827" s="47"/>
      <c r="U3827" s="47"/>
      <c r="V3827" s="47"/>
      <c r="W3827" s="47"/>
      <c r="X3827" s="47"/>
      <c r="Y3827" s="47"/>
      <c r="Z3827" s="47">
        <f t="shared" si="837"/>
        <v>4620</v>
      </c>
      <c r="AA3827" s="47"/>
      <c r="AB3827" s="47"/>
      <c r="AC3827" s="47"/>
      <c r="AD3827" s="47" t="s">
        <v>1</v>
      </c>
      <c r="AE3827" s="47"/>
      <c r="AF3827" s="47"/>
      <c r="AG3827" s="47"/>
      <c r="AH3827" s="47" t="str">
        <f>IFERROR(_xlfn.XLOOKUP(Table6[[#This Row],[Suburb]],Table5[Travel Surcharge],Table5[$$]),"")</f>
        <v/>
      </c>
      <c r="AI3827" s="47"/>
      <c r="AJ3827" s="47"/>
    </row>
    <row r="3828" spans="1:36">
      <c r="A3828" s="374" t="s">
        <v>5634</v>
      </c>
      <c r="B3828" s="374">
        <v>2</v>
      </c>
      <c r="C3828" s="374" t="s">
        <v>394</v>
      </c>
      <c r="D3828" s="375" t="str">
        <f t="shared" si="833"/>
        <v>Silk Estate2</v>
      </c>
      <c r="E3828" s="375" t="s">
        <v>5635</v>
      </c>
      <c r="F3828" s="375"/>
      <c r="G3828" s="375"/>
      <c r="H3828" s="375"/>
      <c r="I3828" s="63"/>
      <c r="J3828" s="47"/>
      <c r="K3828" s="46" t="s">
        <v>10735</v>
      </c>
      <c r="L3828" s="47"/>
      <c r="M3828" s="47"/>
      <c r="N3828" s="47"/>
      <c r="O3828" s="47"/>
      <c r="P3828" s="47"/>
      <c r="Q3828" s="47">
        <f t="shared" ref="Q3828:Q3837" si="843">Q$2</f>
        <v>0</v>
      </c>
      <c r="R3828" s="47"/>
      <c r="S3828" s="47"/>
      <c r="T3828" s="47"/>
      <c r="U3828" s="47"/>
      <c r="V3828" s="47"/>
      <c r="W3828" s="47"/>
      <c r="X3828" s="47"/>
      <c r="Y3828" s="47"/>
      <c r="Z3828" s="47">
        <f t="shared" si="837"/>
        <v>4620</v>
      </c>
      <c r="AA3828" s="47"/>
      <c r="AB3828" s="47"/>
      <c r="AC3828" s="47"/>
      <c r="AD3828" s="47"/>
      <c r="AE3828" s="47"/>
      <c r="AF3828" s="47"/>
      <c r="AG3828" s="47"/>
      <c r="AH3828" s="47" t="str">
        <f>IFERROR(_xlfn.XLOOKUP(Table6[[#This Row],[Suburb]],Table5[Travel Surcharge],Table5[$$]),"")</f>
        <v/>
      </c>
      <c r="AI3828" s="47"/>
      <c r="AJ3828" s="47"/>
    </row>
    <row r="3829" spans="1:36">
      <c r="A3829" s="374" t="s">
        <v>5636</v>
      </c>
      <c r="B3829" s="374">
        <v>1</v>
      </c>
      <c r="C3829" s="374" t="s">
        <v>302</v>
      </c>
      <c r="D3829" s="375" t="str">
        <f t="shared" si="833"/>
        <v>Silverwood Estate1</v>
      </c>
      <c r="E3829" s="375" t="s">
        <v>5637</v>
      </c>
      <c r="F3829" s="375" t="s">
        <v>5638</v>
      </c>
      <c r="G3829" s="375" t="s">
        <v>5639</v>
      </c>
      <c r="H3829" s="375" t="s">
        <v>5640</v>
      </c>
      <c r="I3829" s="63" t="s">
        <v>5641</v>
      </c>
      <c r="J3829" s="47"/>
      <c r="K3829" s="46" t="s">
        <v>10735</v>
      </c>
      <c r="L3829" s="47">
        <f>L$7</f>
        <v>1210</v>
      </c>
      <c r="M3829" s="47" t="s">
        <v>5642</v>
      </c>
      <c r="N3829" s="47" t="s">
        <v>5643</v>
      </c>
      <c r="O3829" s="47" t="s">
        <v>5644</v>
      </c>
      <c r="P3829" s="47"/>
      <c r="Q3829" s="47">
        <f t="shared" si="843"/>
        <v>0</v>
      </c>
      <c r="R3829" s="47"/>
      <c r="S3829" s="47"/>
      <c r="T3829" s="47"/>
      <c r="U3829" s="47" t="s">
        <v>1192</v>
      </c>
      <c r="V3829" s="47" t="s">
        <v>5645</v>
      </c>
      <c r="W3829" s="47"/>
      <c r="X3829" s="47"/>
      <c r="Y3829" s="47"/>
      <c r="Z3829" s="47">
        <f t="shared" si="837"/>
        <v>4620</v>
      </c>
      <c r="AA3829" s="47">
        <f>AA$7</f>
        <v>1400</v>
      </c>
      <c r="AB3829" s="47"/>
      <c r="AC3829" s="47"/>
      <c r="AD3829" s="47"/>
      <c r="AE3829" s="47"/>
      <c r="AF3829" s="47">
        <f t="shared" ref="AF3829:AF3842" si="844">AF$7</f>
        <v>1485</v>
      </c>
      <c r="AG3829" s="47"/>
      <c r="AH3829" s="47">
        <f>IFERROR(_xlfn.XLOOKUP(Table6[[#This Row],[Suburb]],Table5[Travel Surcharge],Table5[$$]),"")</f>
        <v>7000</v>
      </c>
      <c r="AI3829" s="47"/>
      <c r="AJ3829" s="47">
        <f>AJ9</f>
        <v>0</v>
      </c>
    </row>
    <row r="3830" spans="1:36">
      <c r="A3830" s="374" t="s">
        <v>5636</v>
      </c>
      <c r="B3830" s="374">
        <v>2</v>
      </c>
      <c r="C3830" s="374" t="s">
        <v>302</v>
      </c>
      <c r="D3830" s="375" t="str">
        <f t="shared" si="833"/>
        <v>Silverwood Estate2</v>
      </c>
      <c r="E3830" s="375" t="s">
        <v>5646</v>
      </c>
      <c r="F3830" s="375" t="s">
        <v>5638</v>
      </c>
      <c r="G3830" s="375" t="s">
        <v>5639</v>
      </c>
      <c r="H3830" s="375" t="s">
        <v>5640</v>
      </c>
      <c r="I3830" s="63" t="s">
        <v>5641</v>
      </c>
      <c r="J3830" s="47"/>
      <c r="K3830" s="46" t="s">
        <v>10735</v>
      </c>
      <c r="L3830" s="47">
        <f>L$7</f>
        <v>1210</v>
      </c>
      <c r="M3830" s="47" t="s">
        <v>5642</v>
      </c>
      <c r="N3830" s="47" t="s">
        <v>5643</v>
      </c>
      <c r="O3830" s="47" t="s">
        <v>5644</v>
      </c>
      <c r="P3830" s="47"/>
      <c r="Q3830" s="47">
        <f t="shared" si="843"/>
        <v>0</v>
      </c>
      <c r="R3830" s="47"/>
      <c r="S3830" s="47"/>
      <c r="T3830" s="47"/>
      <c r="U3830" s="47" t="s">
        <v>1192</v>
      </c>
      <c r="V3830" s="47" t="s">
        <v>5645</v>
      </c>
      <c r="W3830" s="47"/>
      <c r="X3830" s="47"/>
      <c r="Y3830" s="47"/>
      <c r="Z3830" s="47">
        <f t="shared" si="837"/>
        <v>4620</v>
      </c>
      <c r="AA3830" s="47">
        <f>AA$7</f>
        <v>1400</v>
      </c>
      <c r="AB3830" s="47"/>
      <c r="AC3830" s="47"/>
      <c r="AD3830" s="47"/>
      <c r="AE3830" s="47"/>
      <c r="AF3830" s="47">
        <f t="shared" si="844"/>
        <v>1485</v>
      </c>
      <c r="AG3830" s="47"/>
      <c r="AH3830" s="47">
        <f>IFERROR(_xlfn.XLOOKUP(Table6[[#This Row],[Suburb]],Table5[Travel Surcharge],Table5[$$]),"")</f>
        <v>7000</v>
      </c>
      <c r="AI3830" s="47"/>
      <c r="AJ3830" s="47">
        <f>AJ9</f>
        <v>0</v>
      </c>
    </row>
    <row r="3831" spans="1:36">
      <c r="A3831" s="374" t="s">
        <v>5636</v>
      </c>
      <c r="B3831" s="374">
        <v>3</v>
      </c>
      <c r="C3831" s="374" t="s">
        <v>302</v>
      </c>
      <c r="D3831" s="375" t="str">
        <f t="shared" si="833"/>
        <v>Silverwood Estate3</v>
      </c>
      <c r="E3831" s="375" t="s">
        <v>5647</v>
      </c>
      <c r="F3831" s="375" t="s">
        <v>5638</v>
      </c>
      <c r="G3831" s="375" t="s">
        <v>5639</v>
      </c>
      <c r="H3831" s="375" t="s">
        <v>5640</v>
      </c>
      <c r="I3831" s="63" t="s">
        <v>5641</v>
      </c>
      <c r="J3831" s="47"/>
      <c r="K3831" s="46" t="s">
        <v>10735</v>
      </c>
      <c r="L3831" s="47">
        <f>L$7</f>
        <v>1210</v>
      </c>
      <c r="M3831" s="47" t="s">
        <v>5642</v>
      </c>
      <c r="N3831" s="47" t="s">
        <v>5643</v>
      </c>
      <c r="O3831" s="47" t="s">
        <v>5644</v>
      </c>
      <c r="P3831" s="47"/>
      <c r="Q3831" s="47">
        <f t="shared" si="843"/>
        <v>0</v>
      </c>
      <c r="R3831" s="47"/>
      <c r="S3831" s="47"/>
      <c r="T3831" s="47"/>
      <c r="U3831" s="47" t="s">
        <v>1192</v>
      </c>
      <c r="V3831" s="47" t="s">
        <v>5645</v>
      </c>
      <c r="W3831" s="47"/>
      <c r="X3831" s="47"/>
      <c r="Y3831" s="47"/>
      <c r="Z3831" s="47">
        <f t="shared" si="837"/>
        <v>4620</v>
      </c>
      <c r="AA3831" s="47">
        <f>AA$7</f>
        <v>1400</v>
      </c>
      <c r="AB3831" s="47"/>
      <c r="AC3831" s="47"/>
      <c r="AD3831" s="47"/>
      <c r="AE3831" s="47"/>
      <c r="AF3831" s="47">
        <f t="shared" si="844"/>
        <v>1485</v>
      </c>
      <c r="AG3831" s="47"/>
      <c r="AH3831" s="47">
        <f>IFERROR(_xlfn.XLOOKUP(Table6[[#This Row],[Suburb]],Table5[Travel Surcharge],Table5[$$]),"")</f>
        <v>7000</v>
      </c>
      <c r="AI3831" s="47"/>
      <c r="AJ3831" s="47">
        <f>AJ9</f>
        <v>0</v>
      </c>
    </row>
    <row r="3832" spans="1:36">
      <c r="A3832" s="374" t="s">
        <v>5636</v>
      </c>
      <c r="B3832" s="374">
        <v>5</v>
      </c>
      <c r="C3832" s="374" t="s">
        <v>302</v>
      </c>
      <c r="D3832" s="375" t="str">
        <f t="shared" si="833"/>
        <v>Silverwood Estate5</v>
      </c>
      <c r="E3832" s="375" t="s">
        <v>10096</v>
      </c>
      <c r="F3832" s="375" t="s">
        <v>5638</v>
      </c>
      <c r="G3832" s="375" t="s">
        <v>5639</v>
      </c>
      <c r="H3832" s="375" t="s">
        <v>5640</v>
      </c>
      <c r="I3832" s="63" t="s">
        <v>5641</v>
      </c>
      <c r="J3832" s="47"/>
      <c r="K3832" s="46" t="s">
        <v>10735</v>
      </c>
      <c r="L3832" s="47">
        <v>1210</v>
      </c>
      <c r="M3832" s="47" t="s">
        <v>5642</v>
      </c>
      <c r="N3832" s="47" t="s">
        <v>5643</v>
      </c>
      <c r="O3832" s="47" t="s">
        <v>5644</v>
      </c>
      <c r="P3832" s="47"/>
      <c r="Q3832" s="47">
        <v>0</v>
      </c>
      <c r="R3832" s="47"/>
      <c r="S3832" s="47"/>
      <c r="T3832" s="47"/>
      <c r="U3832" s="47" t="s">
        <v>1192</v>
      </c>
      <c r="V3832" s="47" t="s">
        <v>5645</v>
      </c>
      <c r="W3832" s="47"/>
      <c r="X3832" s="47"/>
      <c r="Y3832" s="47"/>
      <c r="Z3832" s="47">
        <v>4620</v>
      </c>
      <c r="AA3832" s="47">
        <v>1400</v>
      </c>
      <c r="AB3832" s="47"/>
      <c r="AC3832" s="47"/>
      <c r="AD3832" s="47"/>
      <c r="AE3832" s="47"/>
      <c r="AF3832" s="47">
        <v>1485</v>
      </c>
      <c r="AG3832" s="47"/>
      <c r="AH3832" s="47">
        <v>7000</v>
      </c>
      <c r="AI3832" s="47"/>
      <c r="AJ3832" s="47">
        <v>0</v>
      </c>
    </row>
    <row r="3833" spans="1:36">
      <c r="A3833" s="374" t="s">
        <v>5636</v>
      </c>
      <c r="B3833" s="374">
        <v>6</v>
      </c>
      <c r="C3833" s="374" t="s">
        <v>302</v>
      </c>
      <c r="D3833" s="375" t="str">
        <f t="shared" si="833"/>
        <v>Silverwood Estate6</v>
      </c>
      <c r="E3833" s="375" t="s">
        <v>10637</v>
      </c>
      <c r="F3833" s="375" t="s">
        <v>5638</v>
      </c>
      <c r="G3833" s="375" t="s">
        <v>5639</v>
      </c>
      <c r="H3833" s="375" t="s">
        <v>5640</v>
      </c>
      <c r="I3833" s="63" t="s">
        <v>5641</v>
      </c>
      <c r="J3833" s="47"/>
      <c r="K3833" s="46" t="s">
        <v>10735</v>
      </c>
      <c r="L3833" s="47">
        <v>1210</v>
      </c>
      <c r="M3833" s="47" t="s">
        <v>5642</v>
      </c>
      <c r="N3833" s="47" t="s">
        <v>5643</v>
      </c>
      <c r="O3833" s="47" t="s">
        <v>5644</v>
      </c>
      <c r="P3833" s="47"/>
      <c r="Q3833" s="47">
        <v>0</v>
      </c>
      <c r="R3833" s="47"/>
      <c r="S3833" s="47"/>
      <c r="T3833" s="47"/>
      <c r="U3833" s="47" t="s">
        <v>1192</v>
      </c>
      <c r="V3833" s="47" t="s">
        <v>5645</v>
      </c>
      <c r="W3833" s="47"/>
      <c r="X3833" s="47"/>
      <c r="Y3833" s="47"/>
      <c r="Z3833" s="47">
        <v>4620</v>
      </c>
      <c r="AA3833" s="47">
        <v>1400</v>
      </c>
      <c r="AB3833" s="47"/>
      <c r="AC3833" s="47"/>
      <c r="AD3833" s="47"/>
      <c r="AE3833" s="47"/>
      <c r="AF3833" s="47">
        <v>1485</v>
      </c>
      <c r="AG3833" s="47"/>
      <c r="AH3833" s="47">
        <v>7000</v>
      </c>
      <c r="AI3833" s="47"/>
      <c r="AJ3833" s="47">
        <v>0</v>
      </c>
    </row>
    <row r="3834" spans="1:36">
      <c r="A3834" s="374" t="s">
        <v>5636</v>
      </c>
      <c r="B3834" s="374">
        <v>8</v>
      </c>
      <c r="C3834" s="374" t="s">
        <v>302</v>
      </c>
      <c r="D3834" s="375" t="str">
        <f t="shared" si="833"/>
        <v>Silverwood Estate8</v>
      </c>
      <c r="E3834" s="375" t="s">
        <v>10854</v>
      </c>
      <c r="F3834" s="375" t="s">
        <v>5638</v>
      </c>
      <c r="G3834" s="375" t="s">
        <v>5639</v>
      </c>
      <c r="H3834" s="375" t="s">
        <v>5640</v>
      </c>
      <c r="I3834" s="63" t="s">
        <v>5641</v>
      </c>
      <c r="J3834" s="47"/>
      <c r="K3834" s="46" t="s">
        <v>10735</v>
      </c>
      <c r="L3834" s="47">
        <v>1210</v>
      </c>
      <c r="M3834" s="47" t="s">
        <v>5642</v>
      </c>
      <c r="N3834" s="47" t="s">
        <v>5643</v>
      </c>
      <c r="O3834" s="47" t="s">
        <v>5644</v>
      </c>
      <c r="P3834" s="47"/>
      <c r="Q3834" s="47">
        <v>0</v>
      </c>
      <c r="R3834" s="47"/>
      <c r="S3834" s="47"/>
      <c r="T3834" s="47"/>
      <c r="U3834" s="47" t="s">
        <v>1192</v>
      </c>
      <c r="V3834" s="47" t="s">
        <v>5645</v>
      </c>
      <c r="W3834" s="47"/>
      <c r="X3834" s="47"/>
      <c r="Y3834" s="47"/>
      <c r="Z3834" s="47">
        <v>4620</v>
      </c>
      <c r="AA3834" s="47">
        <v>1400</v>
      </c>
      <c r="AB3834" s="47"/>
      <c r="AC3834" s="47"/>
      <c r="AD3834" s="47"/>
      <c r="AE3834" s="47"/>
      <c r="AF3834" s="47">
        <v>1485</v>
      </c>
      <c r="AG3834" s="47"/>
      <c r="AH3834" s="47">
        <v>7000</v>
      </c>
      <c r="AI3834" s="47"/>
      <c r="AJ3834" s="47">
        <v>0</v>
      </c>
    </row>
    <row r="3835" spans="1:36">
      <c r="A3835" s="374" t="s">
        <v>5648</v>
      </c>
      <c r="B3835" s="374">
        <v>1</v>
      </c>
      <c r="C3835" s="374" t="s">
        <v>862</v>
      </c>
      <c r="D3835" s="375" t="str">
        <f t="shared" si="833"/>
        <v>Sinclair Heights Estate1</v>
      </c>
      <c r="E3835" s="375" t="s">
        <v>5649</v>
      </c>
      <c r="F3835" s="375"/>
      <c r="G3835" s="375"/>
      <c r="H3835" s="375"/>
      <c r="I3835" s="63"/>
      <c r="J3835" s="47">
        <f>J$7</f>
        <v>3740</v>
      </c>
      <c r="K3835" s="46" t="s">
        <v>10735</v>
      </c>
      <c r="L3835" s="47"/>
      <c r="M3835" s="47">
        <f t="shared" ref="M3835:M3842" si="845">M$7</f>
        <v>1430.0000000000002</v>
      </c>
      <c r="N3835" s="47"/>
      <c r="O3835" s="47"/>
      <c r="P3835" s="47"/>
      <c r="Q3835" s="47">
        <f t="shared" si="843"/>
        <v>0</v>
      </c>
      <c r="R3835" s="47"/>
      <c r="S3835" s="47"/>
      <c r="T3835" s="47" t="s">
        <v>5650</v>
      </c>
      <c r="U3835" s="47"/>
      <c r="V3835" s="47" t="s">
        <v>5651</v>
      </c>
      <c r="W3835" s="47"/>
      <c r="X3835" s="47"/>
      <c r="Y3835" s="47" t="s">
        <v>5652</v>
      </c>
      <c r="Z3835" s="47">
        <f t="shared" si="837"/>
        <v>4620</v>
      </c>
      <c r="AA3835" s="47"/>
      <c r="AB3835" s="47"/>
      <c r="AC3835" s="47"/>
      <c r="AD3835" s="47"/>
      <c r="AE3835" s="47"/>
      <c r="AF3835" s="47">
        <f t="shared" si="844"/>
        <v>1485</v>
      </c>
      <c r="AG3835" s="47"/>
      <c r="AH3835" s="47" t="str">
        <f>IFERROR(_xlfn.XLOOKUP(Table6[[#This Row],[Suburb]],Table5[Travel Surcharge],Table5[$$]),"")</f>
        <v/>
      </c>
      <c r="AI3835" s="47">
        <f>AI$7</f>
        <v>1650.0000000000002</v>
      </c>
      <c r="AJ3835" s="47"/>
    </row>
    <row r="3836" spans="1:36">
      <c r="A3836" s="374" t="s">
        <v>5648</v>
      </c>
      <c r="B3836" s="374">
        <v>2</v>
      </c>
      <c r="C3836" s="374" t="s">
        <v>862</v>
      </c>
      <c r="D3836" s="375" t="str">
        <f t="shared" si="833"/>
        <v>Sinclair Heights Estate2</v>
      </c>
      <c r="E3836" s="375" t="s">
        <v>5653</v>
      </c>
      <c r="F3836" s="375"/>
      <c r="G3836" s="375"/>
      <c r="H3836" s="375"/>
      <c r="I3836" s="63"/>
      <c r="J3836" s="47">
        <f>J$7</f>
        <v>3740</v>
      </c>
      <c r="K3836" s="46" t="s">
        <v>10735</v>
      </c>
      <c r="L3836" s="47"/>
      <c r="M3836" s="47">
        <f t="shared" si="845"/>
        <v>1430.0000000000002</v>
      </c>
      <c r="N3836" s="47"/>
      <c r="O3836" s="47"/>
      <c r="P3836" s="47"/>
      <c r="Q3836" s="47">
        <f t="shared" si="843"/>
        <v>0</v>
      </c>
      <c r="R3836" s="47"/>
      <c r="S3836" s="47"/>
      <c r="T3836" s="47" t="s">
        <v>5650</v>
      </c>
      <c r="U3836" s="47"/>
      <c r="V3836" s="47" t="s">
        <v>5651</v>
      </c>
      <c r="W3836" s="47"/>
      <c r="X3836" s="47"/>
      <c r="Y3836" s="47" t="s">
        <v>5652</v>
      </c>
      <c r="Z3836" s="47">
        <f t="shared" si="837"/>
        <v>4620</v>
      </c>
      <c r="AA3836" s="47"/>
      <c r="AB3836" s="47"/>
      <c r="AC3836" s="47"/>
      <c r="AD3836" s="47"/>
      <c r="AE3836" s="47"/>
      <c r="AF3836" s="47">
        <f t="shared" si="844"/>
        <v>1485</v>
      </c>
      <c r="AG3836" s="47"/>
      <c r="AH3836" s="47" t="str">
        <f>IFERROR(_xlfn.XLOOKUP(Table6[[#This Row],[Suburb]],Table5[Travel Surcharge],Table5[$$]),"")</f>
        <v/>
      </c>
      <c r="AI3836" s="47">
        <f>AI$7</f>
        <v>1650.0000000000002</v>
      </c>
      <c r="AJ3836" s="47"/>
    </row>
    <row r="3837" spans="1:36">
      <c r="A3837" s="374" t="s">
        <v>5648</v>
      </c>
      <c r="B3837" s="374">
        <v>4</v>
      </c>
      <c r="C3837" s="374" t="s">
        <v>862</v>
      </c>
      <c r="D3837" s="375" t="str">
        <f t="shared" si="833"/>
        <v>Sinclair Heights Estate4</v>
      </c>
      <c r="E3837" s="375" t="s">
        <v>5654</v>
      </c>
      <c r="F3837" s="375"/>
      <c r="G3837" s="375"/>
      <c r="H3837" s="375"/>
      <c r="I3837" s="63"/>
      <c r="J3837" s="47">
        <f>J$7</f>
        <v>3740</v>
      </c>
      <c r="K3837" s="46" t="s">
        <v>10735</v>
      </c>
      <c r="L3837" s="47"/>
      <c r="M3837" s="47">
        <f t="shared" si="845"/>
        <v>1430.0000000000002</v>
      </c>
      <c r="N3837" s="47"/>
      <c r="O3837" s="47"/>
      <c r="P3837" s="47"/>
      <c r="Q3837" s="47">
        <f t="shared" si="843"/>
        <v>0</v>
      </c>
      <c r="R3837" s="47"/>
      <c r="S3837" s="47"/>
      <c r="T3837" s="47" t="s">
        <v>5650</v>
      </c>
      <c r="U3837" s="47"/>
      <c r="V3837" s="47" t="s">
        <v>5651</v>
      </c>
      <c r="W3837" s="47"/>
      <c r="X3837" s="47"/>
      <c r="Y3837" s="47" t="s">
        <v>5652</v>
      </c>
      <c r="Z3837" s="47">
        <f t="shared" si="837"/>
        <v>4620</v>
      </c>
      <c r="AA3837" s="47"/>
      <c r="AB3837" s="47"/>
      <c r="AC3837" s="47"/>
      <c r="AD3837" s="47"/>
      <c r="AE3837" s="47"/>
      <c r="AF3837" s="47">
        <f t="shared" si="844"/>
        <v>1485</v>
      </c>
      <c r="AG3837" s="47"/>
      <c r="AH3837" s="47" t="str">
        <f>IFERROR(_xlfn.XLOOKUP(Table6[[#This Row],[Suburb]],Table5[Travel Surcharge],Table5[$$]),"")</f>
        <v/>
      </c>
      <c r="AI3837" s="47">
        <f>AI$7</f>
        <v>1650.0000000000002</v>
      </c>
      <c r="AJ3837" s="47"/>
    </row>
    <row r="3838" spans="1:36">
      <c r="A3838" s="374" t="s">
        <v>5655</v>
      </c>
      <c r="B3838" s="374">
        <v>1</v>
      </c>
      <c r="C3838" s="374" t="s">
        <v>404</v>
      </c>
      <c r="D3838" s="375" t="str">
        <f t="shared" si="833"/>
        <v>Skylark1</v>
      </c>
      <c r="E3838" s="375" t="s">
        <v>5656</v>
      </c>
      <c r="F3838" s="375"/>
      <c r="G3838" s="375"/>
      <c r="H3838" s="375"/>
      <c r="I3838" s="63"/>
      <c r="J3838" s="47" t="s">
        <v>10837</v>
      </c>
      <c r="K3838" s="46" t="s">
        <v>7938</v>
      </c>
      <c r="L3838" s="47"/>
      <c r="M3838" s="47">
        <f t="shared" si="845"/>
        <v>1430.0000000000002</v>
      </c>
      <c r="N3838" s="47" t="s">
        <v>5657</v>
      </c>
      <c r="O3838" s="47" t="s">
        <v>5658</v>
      </c>
      <c r="P3838" s="47" t="s">
        <v>5659</v>
      </c>
      <c r="Q3838" s="47"/>
      <c r="R3838" s="47"/>
      <c r="S3838" s="47" t="s">
        <v>463</v>
      </c>
      <c r="T3838" s="47"/>
      <c r="U3838" s="47"/>
      <c r="V3838" s="47"/>
      <c r="W3838" s="47"/>
      <c r="X3838" s="47"/>
      <c r="Y3838" s="47"/>
      <c r="Z3838" s="47">
        <f t="shared" si="837"/>
        <v>4620</v>
      </c>
      <c r="AA3838" s="47"/>
      <c r="AB3838" s="47"/>
      <c r="AC3838" s="47"/>
      <c r="AD3838" s="47"/>
      <c r="AE3838" s="47"/>
      <c r="AF3838" s="47">
        <f t="shared" si="844"/>
        <v>1485</v>
      </c>
      <c r="AG3838" s="47"/>
      <c r="AH3838" s="47" t="str">
        <f>IFERROR(_xlfn.XLOOKUP(Table6[[#This Row],[Suburb]],Table5[Travel Surcharge],Table5[$$]),"")</f>
        <v/>
      </c>
      <c r="AI3838" s="47"/>
      <c r="AJ3838" s="47"/>
    </row>
    <row r="3839" spans="1:36">
      <c r="A3839" s="374" t="s">
        <v>5655</v>
      </c>
      <c r="B3839" s="374">
        <v>2</v>
      </c>
      <c r="C3839" s="374" t="s">
        <v>404</v>
      </c>
      <c r="D3839" s="375" t="str">
        <f t="shared" si="833"/>
        <v>Skylark2</v>
      </c>
      <c r="E3839" s="375" t="s">
        <v>5660</v>
      </c>
      <c r="F3839" s="375"/>
      <c r="G3839" s="375"/>
      <c r="H3839" s="375"/>
      <c r="I3839" s="63"/>
      <c r="J3839" s="47" t="s">
        <v>10838</v>
      </c>
      <c r="K3839" s="46" t="s">
        <v>7938</v>
      </c>
      <c r="L3839" s="47"/>
      <c r="M3839" s="47">
        <f t="shared" si="845"/>
        <v>1430.0000000000002</v>
      </c>
      <c r="N3839" s="47" t="s">
        <v>5657</v>
      </c>
      <c r="O3839" s="47" t="s">
        <v>5658</v>
      </c>
      <c r="P3839" s="47" t="s">
        <v>5659</v>
      </c>
      <c r="Q3839" s="47"/>
      <c r="R3839" s="47"/>
      <c r="S3839" s="47" t="s">
        <v>463</v>
      </c>
      <c r="T3839" s="47"/>
      <c r="U3839" s="47"/>
      <c r="V3839" s="47"/>
      <c r="W3839" s="47"/>
      <c r="X3839" s="47"/>
      <c r="Y3839" s="47"/>
      <c r="Z3839" s="47">
        <f t="shared" ref="Z3839:Z3869" si="846">Z$7</f>
        <v>4620</v>
      </c>
      <c r="AA3839" s="47"/>
      <c r="AB3839" s="47"/>
      <c r="AC3839" s="47"/>
      <c r="AD3839" s="47"/>
      <c r="AE3839" s="47"/>
      <c r="AF3839" s="47">
        <f t="shared" si="844"/>
        <v>1485</v>
      </c>
      <c r="AG3839" s="47"/>
      <c r="AH3839" s="47" t="str">
        <f>IFERROR(_xlfn.XLOOKUP(Table6[[#This Row],[Suburb]],Table5[Travel Surcharge],Table5[$$]),"")</f>
        <v/>
      </c>
      <c r="AI3839" s="47"/>
      <c r="AJ3839" s="47"/>
    </row>
    <row r="3840" spans="1:36">
      <c r="A3840" s="374" t="s">
        <v>5655</v>
      </c>
      <c r="B3840" s="374">
        <v>3</v>
      </c>
      <c r="C3840" s="374" t="s">
        <v>404</v>
      </c>
      <c r="D3840" s="375" t="str">
        <f t="shared" si="833"/>
        <v>Skylark3</v>
      </c>
      <c r="E3840" s="375" t="s">
        <v>5661</v>
      </c>
      <c r="F3840" s="375"/>
      <c r="G3840" s="375"/>
      <c r="H3840" s="375"/>
      <c r="I3840" s="63"/>
      <c r="J3840" s="47" t="s">
        <v>10839</v>
      </c>
      <c r="K3840" s="46" t="s">
        <v>7938</v>
      </c>
      <c r="L3840" s="47"/>
      <c r="M3840" s="47">
        <f t="shared" si="845"/>
        <v>1430.0000000000002</v>
      </c>
      <c r="N3840" s="47" t="s">
        <v>5657</v>
      </c>
      <c r="O3840" s="47" t="s">
        <v>5658</v>
      </c>
      <c r="P3840" s="47" t="s">
        <v>5659</v>
      </c>
      <c r="Q3840" s="47"/>
      <c r="R3840" s="47"/>
      <c r="S3840" s="47" t="s">
        <v>463</v>
      </c>
      <c r="T3840" s="47"/>
      <c r="U3840" s="47"/>
      <c r="V3840" s="47"/>
      <c r="W3840" s="47"/>
      <c r="X3840" s="47"/>
      <c r="Y3840" s="47"/>
      <c r="Z3840" s="47">
        <f t="shared" si="846"/>
        <v>4620</v>
      </c>
      <c r="AA3840" s="47"/>
      <c r="AB3840" s="47"/>
      <c r="AC3840" s="47"/>
      <c r="AD3840" s="47"/>
      <c r="AE3840" s="47"/>
      <c r="AF3840" s="47">
        <f t="shared" si="844"/>
        <v>1485</v>
      </c>
      <c r="AG3840" s="47"/>
      <c r="AH3840" s="47" t="str">
        <f>IFERROR(_xlfn.XLOOKUP(Table6[[#This Row],[Suburb]],Table5[Travel Surcharge],Table5[$$]),"")</f>
        <v/>
      </c>
      <c r="AI3840" s="47"/>
      <c r="AJ3840" s="47"/>
    </row>
    <row r="3841" spans="1:36">
      <c r="A3841" s="374" t="s">
        <v>5655</v>
      </c>
      <c r="B3841" s="374">
        <v>4</v>
      </c>
      <c r="C3841" s="374" t="s">
        <v>404</v>
      </c>
      <c r="D3841" s="375" t="str">
        <f t="shared" si="833"/>
        <v>Skylark4</v>
      </c>
      <c r="E3841" s="375" t="s">
        <v>5662</v>
      </c>
      <c r="F3841" s="375"/>
      <c r="G3841" s="375"/>
      <c r="H3841" s="375"/>
      <c r="I3841" s="63"/>
      <c r="J3841" s="47" t="s">
        <v>10840</v>
      </c>
      <c r="K3841" s="46" t="s">
        <v>7938</v>
      </c>
      <c r="L3841" s="47"/>
      <c r="M3841" s="47">
        <f t="shared" si="845"/>
        <v>1430.0000000000002</v>
      </c>
      <c r="N3841" s="47" t="s">
        <v>5657</v>
      </c>
      <c r="O3841" s="47" t="s">
        <v>5658</v>
      </c>
      <c r="P3841" s="47" t="s">
        <v>5659</v>
      </c>
      <c r="Q3841" s="47"/>
      <c r="R3841" s="47"/>
      <c r="S3841" s="47" t="s">
        <v>463</v>
      </c>
      <c r="T3841" s="47"/>
      <c r="U3841" s="47"/>
      <c r="V3841" s="47"/>
      <c r="W3841" s="47"/>
      <c r="X3841" s="47"/>
      <c r="Y3841" s="47"/>
      <c r="Z3841" s="47">
        <f t="shared" si="846"/>
        <v>4620</v>
      </c>
      <c r="AA3841" s="47"/>
      <c r="AB3841" s="47"/>
      <c r="AC3841" s="47"/>
      <c r="AD3841" s="47"/>
      <c r="AE3841" s="47"/>
      <c r="AF3841" s="47">
        <f t="shared" si="844"/>
        <v>1485</v>
      </c>
      <c r="AG3841" s="47"/>
      <c r="AH3841" s="47" t="str">
        <f>IFERROR(_xlfn.XLOOKUP(Table6[[#This Row],[Suburb]],Table5[Travel Surcharge],Table5[$$]),"")</f>
        <v/>
      </c>
      <c r="AI3841" s="47"/>
      <c r="AJ3841" s="47"/>
    </row>
    <row r="3842" spans="1:36">
      <c r="A3842" s="374" t="s">
        <v>5655</v>
      </c>
      <c r="B3842" s="374">
        <v>5</v>
      </c>
      <c r="C3842" s="374" t="s">
        <v>404</v>
      </c>
      <c r="D3842" s="375" t="str">
        <f t="shared" si="833"/>
        <v>Skylark5</v>
      </c>
      <c r="E3842" s="375" t="s">
        <v>5663</v>
      </c>
      <c r="F3842" s="375"/>
      <c r="G3842" s="375"/>
      <c r="H3842" s="375"/>
      <c r="I3842" s="63"/>
      <c r="J3842" s="47" t="s">
        <v>10841</v>
      </c>
      <c r="K3842" s="46" t="s">
        <v>7938</v>
      </c>
      <c r="L3842" s="47"/>
      <c r="M3842" s="47">
        <f t="shared" si="845"/>
        <v>1430.0000000000002</v>
      </c>
      <c r="N3842" s="47" t="s">
        <v>5657</v>
      </c>
      <c r="O3842" s="47" t="s">
        <v>5658</v>
      </c>
      <c r="P3842" s="47" t="s">
        <v>5659</v>
      </c>
      <c r="Q3842" s="47"/>
      <c r="R3842" s="47"/>
      <c r="S3842" s="47" t="s">
        <v>463</v>
      </c>
      <c r="T3842" s="47"/>
      <c r="U3842" s="47"/>
      <c r="V3842" s="47"/>
      <c r="W3842" s="47"/>
      <c r="X3842" s="47"/>
      <c r="Y3842" s="47"/>
      <c r="Z3842" s="47">
        <f t="shared" si="846"/>
        <v>4620</v>
      </c>
      <c r="AA3842" s="47"/>
      <c r="AB3842" s="47"/>
      <c r="AC3842" s="47"/>
      <c r="AD3842" s="47"/>
      <c r="AE3842" s="47"/>
      <c r="AF3842" s="47">
        <f t="shared" si="844"/>
        <v>1485</v>
      </c>
      <c r="AG3842" s="47"/>
      <c r="AH3842" s="47" t="str">
        <f>IFERROR(_xlfn.XLOOKUP(Table6[[#This Row],[Suburb]],Table5[Travel Surcharge],Table5[$$]),"")</f>
        <v/>
      </c>
      <c r="AI3842" s="47"/>
      <c r="AJ3842" s="47"/>
    </row>
    <row r="3843" spans="1:36">
      <c r="A3843" s="157" t="s">
        <v>8521</v>
      </c>
      <c r="B3843" s="157">
        <v>2</v>
      </c>
      <c r="C3843" s="157" t="s">
        <v>8522</v>
      </c>
      <c r="D3843" s="157" t="str">
        <f t="shared" si="833"/>
        <v>Skyline Vista2</v>
      </c>
      <c r="E3843" s="157" t="s">
        <v>8523</v>
      </c>
      <c r="F3843" s="157" t="s">
        <v>8524</v>
      </c>
      <c r="G3843" s="157" t="s">
        <v>1271</v>
      </c>
      <c r="H3843" s="157" t="s">
        <v>1272</v>
      </c>
      <c r="I3843" s="158" t="s">
        <v>1273</v>
      </c>
      <c r="J3843" s="47"/>
      <c r="K3843" s="46"/>
      <c r="L3843" s="47" t="s">
        <v>8525</v>
      </c>
      <c r="M3843" s="47"/>
      <c r="N3843" s="47"/>
      <c r="O3843" s="47">
        <f>O$7</f>
        <v>4950</v>
      </c>
      <c r="P3843" s="47"/>
      <c r="Q3843" s="47"/>
      <c r="R3843" s="47"/>
      <c r="S3843" s="47">
        <f>S$2</f>
        <v>590</v>
      </c>
      <c r="T3843" s="47"/>
      <c r="U3843" s="47"/>
      <c r="V3843" s="47"/>
      <c r="W3843" s="47"/>
      <c r="X3843" s="47"/>
      <c r="Y3843" s="47"/>
      <c r="Z3843" s="47">
        <f t="shared" si="846"/>
        <v>4620</v>
      </c>
      <c r="AA3843" s="47"/>
      <c r="AB3843" s="47"/>
      <c r="AC3843" s="47"/>
      <c r="AD3843" s="47"/>
      <c r="AE3843" s="47"/>
      <c r="AF3843" s="47"/>
      <c r="AG3843" s="47"/>
      <c r="AH3843" s="47" t="str">
        <f>IFERROR(_xlfn.XLOOKUP(Table6[[#This Row],[Suburb]],Table5[Travel Surcharge],Table5[$$]),"")</f>
        <v/>
      </c>
      <c r="AI3843" s="47"/>
      <c r="AJ3843" s="47"/>
    </row>
    <row r="3844" spans="1:36">
      <c r="A3844" s="374" t="s">
        <v>5664</v>
      </c>
      <c r="B3844" s="374">
        <v>1</v>
      </c>
      <c r="C3844" s="374" t="s">
        <v>802</v>
      </c>
      <c r="D3844" s="375" t="str">
        <f t="shared" si="833"/>
        <v>Skymont1</v>
      </c>
      <c r="E3844" s="375" t="s">
        <v>5665</v>
      </c>
      <c r="F3844" s="375" t="s">
        <v>5666</v>
      </c>
      <c r="G3844" s="375" t="s">
        <v>4860</v>
      </c>
      <c r="H3844" s="375" t="s">
        <v>4861</v>
      </c>
      <c r="I3844" s="63" t="s">
        <v>4862</v>
      </c>
      <c r="J3844" s="47"/>
      <c r="K3844" s="46" t="s">
        <v>10735</v>
      </c>
      <c r="L3844" s="47" t="s">
        <v>5667</v>
      </c>
      <c r="M3844" s="47">
        <f>M$7</f>
        <v>1430.0000000000002</v>
      </c>
      <c r="N3844" s="47" t="s">
        <v>5668</v>
      </c>
      <c r="O3844" s="47" t="s">
        <v>2646</v>
      </c>
      <c r="P3844" s="47"/>
      <c r="Q3844" s="47"/>
      <c r="R3844" s="47">
        <f>R$2</f>
        <v>540</v>
      </c>
      <c r="S3844" s="47"/>
      <c r="T3844" s="47"/>
      <c r="U3844" s="47"/>
      <c r="V3844" s="47"/>
      <c r="W3844" s="47" t="s">
        <v>5669</v>
      </c>
      <c r="X3844" s="47"/>
      <c r="Y3844" s="47"/>
      <c r="Z3844" s="47">
        <f t="shared" si="846"/>
        <v>4620</v>
      </c>
      <c r="AA3844" s="47"/>
      <c r="AB3844" s="47"/>
      <c r="AC3844" s="47"/>
      <c r="AD3844" s="47"/>
      <c r="AE3844" s="47"/>
      <c r="AF3844" s="47">
        <f t="shared" ref="AF3844:AF3869" si="847">AF$7</f>
        <v>1485</v>
      </c>
      <c r="AG3844" s="47"/>
      <c r="AH3844" s="47" t="str">
        <f>IFERROR(_xlfn.XLOOKUP(Table6[[#This Row],[Suburb]],Table5[Travel Surcharge],Table5[$$]),"")</f>
        <v/>
      </c>
      <c r="AI3844" s="47"/>
      <c r="AJ3844" s="47"/>
    </row>
    <row r="3845" spans="1:36">
      <c r="A3845" s="374" t="s">
        <v>5664</v>
      </c>
      <c r="B3845" s="374">
        <v>2</v>
      </c>
      <c r="C3845" s="374" t="s">
        <v>802</v>
      </c>
      <c r="D3845" s="375" t="str">
        <f t="shared" si="833"/>
        <v>Skymont2</v>
      </c>
      <c r="E3845" s="375" t="s">
        <v>5670</v>
      </c>
      <c r="F3845" s="375" t="s">
        <v>5666</v>
      </c>
      <c r="G3845" s="375" t="s">
        <v>4860</v>
      </c>
      <c r="H3845" s="375" t="s">
        <v>4861</v>
      </c>
      <c r="I3845" s="63" t="s">
        <v>4862</v>
      </c>
      <c r="J3845" s="47"/>
      <c r="K3845" s="46" t="s">
        <v>10735</v>
      </c>
      <c r="L3845" s="47" t="s">
        <v>5667</v>
      </c>
      <c r="M3845" s="47">
        <f>M$7</f>
        <v>1430.0000000000002</v>
      </c>
      <c r="N3845" s="47" t="s">
        <v>5668</v>
      </c>
      <c r="O3845" s="47" t="s">
        <v>2646</v>
      </c>
      <c r="P3845" s="47"/>
      <c r="Q3845" s="47"/>
      <c r="R3845" s="47">
        <f>R$2</f>
        <v>540</v>
      </c>
      <c r="S3845" s="47"/>
      <c r="T3845" s="47"/>
      <c r="U3845" s="47"/>
      <c r="V3845" s="47"/>
      <c r="W3845" s="47" t="s">
        <v>5669</v>
      </c>
      <c r="X3845" s="47"/>
      <c r="Y3845" s="47"/>
      <c r="Z3845" s="47">
        <f t="shared" si="846"/>
        <v>4620</v>
      </c>
      <c r="AA3845" s="47"/>
      <c r="AB3845" s="47"/>
      <c r="AC3845" s="47"/>
      <c r="AD3845" s="47"/>
      <c r="AE3845" s="47"/>
      <c r="AF3845" s="47">
        <f t="shared" si="847"/>
        <v>1485</v>
      </c>
      <c r="AG3845" s="47"/>
      <c r="AH3845" s="47" t="str">
        <f>IFERROR(_xlfn.XLOOKUP(Table6[[#This Row],[Suburb]],Table5[Travel Surcharge],Table5[$$]),"")</f>
        <v/>
      </c>
      <c r="AI3845" s="47"/>
      <c r="AJ3845" s="47"/>
    </row>
    <row r="3846" spans="1:36">
      <c r="A3846" s="374" t="s">
        <v>5664</v>
      </c>
      <c r="B3846" s="374">
        <v>3</v>
      </c>
      <c r="C3846" s="374" t="s">
        <v>802</v>
      </c>
      <c r="D3846" s="375" t="str">
        <f t="shared" si="833"/>
        <v>Skymont3</v>
      </c>
      <c r="E3846" s="375" t="s">
        <v>5672</v>
      </c>
      <c r="F3846" s="375" t="s">
        <v>5666</v>
      </c>
      <c r="G3846" s="375" t="s">
        <v>4860</v>
      </c>
      <c r="H3846" s="375" t="s">
        <v>4861</v>
      </c>
      <c r="I3846" s="63" t="s">
        <v>4862</v>
      </c>
      <c r="J3846" s="47"/>
      <c r="K3846" s="46" t="s">
        <v>10735</v>
      </c>
      <c r="L3846" s="47" t="s">
        <v>5667</v>
      </c>
      <c r="M3846" s="47">
        <f>M$7</f>
        <v>1430.0000000000002</v>
      </c>
      <c r="N3846" s="47" t="s">
        <v>5668</v>
      </c>
      <c r="O3846" s="47" t="s">
        <v>2646</v>
      </c>
      <c r="P3846" s="47"/>
      <c r="Q3846" s="47"/>
      <c r="R3846" s="47">
        <f>R$2</f>
        <v>540</v>
      </c>
      <c r="S3846" s="47"/>
      <c r="T3846" s="47"/>
      <c r="U3846" s="47"/>
      <c r="V3846" s="47"/>
      <c r="W3846" s="47" t="s">
        <v>5669</v>
      </c>
      <c r="X3846" s="47"/>
      <c r="Y3846" s="47"/>
      <c r="Z3846" s="47">
        <f t="shared" si="846"/>
        <v>4620</v>
      </c>
      <c r="AA3846" s="47"/>
      <c r="AB3846" s="47"/>
      <c r="AC3846" s="47"/>
      <c r="AD3846" s="47"/>
      <c r="AE3846" s="47"/>
      <c r="AF3846" s="47">
        <f t="shared" si="847"/>
        <v>1485</v>
      </c>
      <c r="AG3846" s="47"/>
      <c r="AH3846" s="47" t="str">
        <f>IFERROR(_xlfn.XLOOKUP(Table6[[#This Row],[Suburb]],Table5[Travel Surcharge],Table5[$$]),"")</f>
        <v/>
      </c>
      <c r="AI3846" s="47"/>
      <c r="AJ3846" s="47"/>
    </row>
    <row r="3847" spans="1:36">
      <c r="A3847" s="374" t="s">
        <v>5664</v>
      </c>
      <c r="B3847" s="374" t="s">
        <v>604</v>
      </c>
      <c r="C3847" s="374" t="s">
        <v>802</v>
      </c>
      <c r="D3847" s="375" t="str">
        <f t="shared" si="833"/>
        <v>Skymont2B</v>
      </c>
      <c r="E3847" s="375" t="s">
        <v>5671</v>
      </c>
      <c r="F3847" s="375" t="s">
        <v>5666</v>
      </c>
      <c r="G3847" s="375" t="s">
        <v>4860</v>
      </c>
      <c r="H3847" s="375" t="s">
        <v>4861</v>
      </c>
      <c r="I3847" s="63" t="s">
        <v>4862</v>
      </c>
      <c r="J3847" s="47"/>
      <c r="K3847" s="46" t="s">
        <v>10735</v>
      </c>
      <c r="L3847" s="47" t="s">
        <v>5667</v>
      </c>
      <c r="M3847" s="47">
        <f>M$7</f>
        <v>1430.0000000000002</v>
      </c>
      <c r="N3847" s="47" t="s">
        <v>5668</v>
      </c>
      <c r="O3847" s="47" t="s">
        <v>2646</v>
      </c>
      <c r="P3847" s="47"/>
      <c r="Q3847" s="47"/>
      <c r="R3847" s="47">
        <f>R$2</f>
        <v>540</v>
      </c>
      <c r="S3847" s="47"/>
      <c r="T3847" s="47"/>
      <c r="U3847" s="47"/>
      <c r="V3847" s="47"/>
      <c r="W3847" s="47" t="s">
        <v>5669</v>
      </c>
      <c r="X3847" s="47"/>
      <c r="Y3847" s="47"/>
      <c r="Z3847" s="47">
        <f t="shared" si="846"/>
        <v>4620</v>
      </c>
      <c r="AA3847" s="47"/>
      <c r="AB3847" s="47"/>
      <c r="AC3847" s="47"/>
      <c r="AD3847" s="47"/>
      <c r="AE3847" s="47"/>
      <c r="AF3847" s="47">
        <f t="shared" si="847"/>
        <v>1485</v>
      </c>
      <c r="AG3847" s="47"/>
      <c r="AH3847" s="47" t="str">
        <f>IFERROR(_xlfn.XLOOKUP(Table6[[#This Row],[Suburb]],Table5[Travel Surcharge],Table5[$$]),"")</f>
        <v/>
      </c>
      <c r="AI3847" s="47"/>
      <c r="AJ3847" s="47"/>
    </row>
    <row r="3848" spans="1:36">
      <c r="A3848" s="374" t="s">
        <v>5673</v>
      </c>
      <c r="B3848" s="374">
        <v>1</v>
      </c>
      <c r="C3848" s="374" t="s">
        <v>428</v>
      </c>
      <c r="D3848" s="375" t="str">
        <f t="shared" si="833"/>
        <v>Smiths Lane1</v>
      </c>
      <c r="E3848" s="375" t="s">
        <v>5674</v>
      </c>
      <c r="F3848" s="375"/>
      <c r="G3848" s="375"/>
      <c r="H3848" s="375"/>
      <c r="I3848" s="63"/>
      <c r="J3848" s="47">
        <f t="shared" ref="J3848:J3869" si="848">J$7</f>
        <v>3740</v>
      </c>
      <c r="K3848" s="46" t="s">
        <v>10735</v>
      </c>
      <c r="L3848" s="47"/>
      <c r="M3848" s="47" t="s">
        <v>5675</v>
      </c>
      <c r="N3848" s="47"/>
      <c r="O3848" s="47"/>
      <c r="P3848" s="47"/>
      <c r="Q3848" s="47">
        <f t="shared" ref="Q3848:Q3869" si="849">Q$2</f>
        <v>0</v>
      </c>
      <c r="R3848" s="47"/>
      <c r="S3848" s="47"/>
      <c r="T3848" s="47"/>
      <c r="U3848" s="47"/>
      <c r="V3848" s="47" t="s">
        <v>9269</v>
      </c>
      <c r="W3848" s="47"/>
      <c r="X3848" s="47">
        <f t="shared" ref="X3848:X3869" si="850">X$7</f>
        <v>3000</v>
      </c>
      <c r="Y3848" s="47"/>
      <c r="Z3848" s="47">
        <f t="shared" si="846"/>
        <v>4620</v>
      </c>
      <c r="AA3848" s="47"/>
      <c r="AB3848" s="47"/>
      <c r="AC3848" s="47"/>
      <c r="AD3848" s="47"/>
      <c r="AE3848" s="47" t="s">
        <v>5676</v>
      </c>
      <c r="AF3848" s="47">
        <f t="shared" si="847"/>
        <v>1485</v>
      </c>
      <c r="AG3848" s="47"/>
      <c r="AH3848" s="47" t="str">
        <f>IFERROR(_xlfn.XLOOKUP(Table6[[#This Row],[Suburb]],Table5[Travel Surcharge],Table5[$$]),"")</f>
        <v/>
      </c>
      <c r="AI3848" s="47" t="s">
        <v>5677</v>
      </c>
      <c r="AJ3848" s="47" t="s">
        <v>7676</v>
      </c>
    </row>
    <row r="3849" spans="1:36">
      <c r="A3849" s="374" t="s">
        <v>5673</v>
      </c>
      <c r="B3849" s="374">
        <v>2</v>
      </c>
      <c r="C3849" s="374" t="s">
        <v>428</v>
      </c>
      <c r="D3849" s="375" t="str">
        <f t="shared" si="833"/>
        <v>Smiths Lane2</v>
      </c>
      <c r="E3849" s="375" t="s">
        <v>5678</v>
      </c>
      <c r="F3849" s="375"/>
      <c r="G3849" s="375"/>
      <c r="H3849" s="375"/>
      <c r="I3849" s="63"/>
      <c r="J3849" s="47">
        <f t="shared" si="848"/>
        <v>3740</v>
      </c>
      <c r="K3849" s="46" t="s">
        <v>10735</v>
      </c>
      <c r="L3849" s="47"/>
      <c r="M3849" s="47" t="s">
        <v>5675</v>
      </c>
      <c r="N3849" s="47"/>
      <c r="O3849" s="47"/>
      <c r="P3849" s="47"/>
      <c r="Q3849" s="47">
        <f t="shared" si="849"/>
        <v>0</v>
      </c>
      <c r="R3849" s="47"/>
      <c r="S3849" s="47"/>
      <c r="T3849" s="47"/>
      <c r="U3849" s="47"/>
      <c r="V3849" s="47" t="s">
        <v>8190</v>
      </c>
      <c r="W3849" s="47"/>
      <c r="X3849" s="47">
        <f t="shared" si="850"/>
        <v>3000</v>
      </c>
      <c r="Y3849" s="47"/>
      <c r="Z3849" s="47">
        <f t="shared" si="846"/>
        <v>4620</v>
      </c>
      <c r="AA3849" s="47"/>
      <c r="AB3849" s="47"/>
      <c r="AC3849" s="47"/>
      <c r="AD3849" s="47"/>
      <c r="AE3849" s="47" t="s">
        <v>5676</v>
      </c>
      <c r="AF3849" s="47">
        <f t="shared" si="847"/>
        <v>1485</v>
      </c>
      <c r="AG3849" s="47"/>
      <c r="AH3849" s="47" t="str">
        <f>IFERROR(_xlfn.XLOOKUP(Table6[[#This Row],[Suburb]],Table5[Travel Surcharge],Table5[$$]),"")</f>
        <v/>
      </c>
      <c r="AI3849" s="47" t="s">
        <v>5677</v>
      </c>
      <c r="AJ3849" s="47" t="s">
        <v>7676</v>
      </c>
    </row>
    <row r="3850" spans="1:36">
      <c r="A3850" s="374" t="s">
        <v>5673</v>
      </c>
      <c r="B3850" s="374">
        <v>3</v>
      </c>
      <c r="C3850" s="374" t="s">
        <v>428</v>
      </c>
      <c r="D3850" s="375" t="str">
        <f t="shared" si="833"/>
        <v>Smiths Lane3</v>
      </c>
      <c r="E3850" s="375" t="s">
        <v>5679</v>
      </c>
      <c r="F3850" s="375"/>
      <c r="G3850" s="375"/>
      <c r="H3850" s="375"/>
      <c r="I3850" s="63"/>
      <c r="J3850" s="47">
        <f t="shared" si="848"/>
        <v>3740</v>
      </c>
      <c r="K3850" s="46" t="s">
        <v>10735</v>
      </c>
      <c r="L3850" s="47"/>
      <c r="M3850" s="47" t="s">
        <v>5675</v>
      </c>
      <c r="N3850" s="47"/>
      <c r="O3850" s="47"/>
      <c r="P3850" s="47"/>
      <c r="Q3850" s="47">
        <f t="shared" si="849"/>
        <v>0</v>
      </c>
      <c r="R3850" s="47"/>
      <c r="S3850" s="47"/>
      <c r="T3850" s="47"/>
      <c r="U3850" s="47"/>
      <c r="V3850" s="47" t="s">
        <v>8190</v>
      </c>
      <c r="W3850" s="47"/>
      <c r="X3850" s="47">
        <f t="shared" si="850"/>
        <v>3000</v>
      </c>
      <c r="Y3850" s="47"/>
      <c r="Z3850" s="47">
        <f t="shared" si="846"/>
        <v>4620</v>
      </c>
      <c r="AA3850" s="47"/>
      <c r="AB3850" s="47"/>
      <c r="AC3850" s="47"/>
      <c r="AD3850" s="47"/>
      <c r="AE3850" s="47" t="s">
        <v>5676</v>
      </c>
      <c r="AF3850" s="47">
        <f t="shared" si="847"/>
        <v>1485</v>
      </c>
      <c r="AG3850" s="47"/>
      <c r="AH3850" s="47" t="str">
        <f>IFERROR(_xlfn.XLOOKUP(Table6[[#This Row],[Suburb]],Table5[Travel Surcharge],Table5[$$]),"")</f>
        <v/>
      </c>
      <c r="AI3850" s="47" t="s">
        <v>5677</v>
      </c>
      <c r="AJ3850" s="47" t="s">
        <v>7676</v>
      </c>
    </row>
    <row r="3851" spans="1:36">
      <c r="A3851" s="374" t="s">
        <v>5673</v>
      </c>
      <c r="B3851" s="374">
        <v>4</v>
      </c>
      <c r="C3851" s="374" t="s">
        <v>428</v>
      </c>
      <c r="D3851" s="375" t="str">
        <f t="shared" si="833"/>
        <v>Smiths Lane4</v>
      </c>
      <c r="E3851" s="375" t="s">
        <v>5680</v>
      </c>
      <c r="F3851" s="375"/>
      <c r="G3851" s="375"/>
      <c r="H3851" s="375"/>
      <c r="I3851" s="63"/>
      <c r="J3851" s="47">
        <f t="shared" si="848"/>
        <v>3740</v>
      </c>
      <c r="K3851" s="46" t="s">
        <v>10735</v>
      </c>
      <c r="L3851" s="47"/>
      <c r="M3851" s="47" t="s">
        <v>5675</v>
      </c>
      <c r="N3851" s="47"/>
      <c r="O3851" s="47"/>
      <c r="P3851" s="47"/>
      <c r="Q3851" s="47">
        <f t="shared" si="849"/>
        <v>0</v>
      </c>
      <c r="R3851" s="47"/>
      <c r="S3851" s="47"/>
      <c r="T3851" s="47"/>
      <c r="U3851" s="47"/>
      <c r="V3851" s="47" t="s">
        <v>8190</v>
      </c>
      <c r="W3851" s="47"/>
      <c r="X3851" s="47">
        <f t="shared" si="850"/>
        <v>3000</v>
      </c>
      <c r="Y3851" s="47"/>
      <c r="Z3851" s="47">
        <f t="shared" si="846"/>
        <v>4620</v>
      </c>
      <c r="AA3851" s="47"/>
      <c r="AB3851" s="47"/>
      <c r="AC3851" s="47"/>
      <c r="AD3851" s="47"/>
      <c r="AE3851" s="47" t="s">
        <v>5676</v>
      </c>
      <c r="AF3851" s="47">
        <f t="shared" si="847"/>
        <v>1485</v>
      </c>
      <c r="AG3851" s="47"/>
      <c r="AH3851" s="47" t="str">
        <f>IFERROR(_xlfn.XLOOKUP(Table6[[#This Row],[Suburb]],Table5[Travel Surcharge],Table5[$$]),"")</f>
        <v/>
      </c>
      <c r="AI3851" s="47" t="s">
        <v>5677</v>
      </c>
      <c r="AJ3851" s="47" t="s">
        <v>7676</v>
      </c>
    </row>
    <row r="3852" spans="1:36">
      <c r="A3852" s="374" t="s">
        <v>5673</v>
      </c>
      <c r="B3852" s="374">
        <v>5</v>
      </c>
      <c r="C3852" s="374" t="s">
        <v>428</v>
      </c>
      <c r="D3852" s="375" t="str">
        <f t="shared" si="833"/>
        <v>Smiths Lane5</v>
      </c>
      <c r="E3852" s="375" t="s">
        <v>5681</v>
      </c>
      <c r="F3852" s="375"/>
      <c r="G3852" s="375"/>
      <c r="H3852" s="375"/>
      <c r="I3852" s="63"/>
      <c r="J3852" s="47">
        <f t="shared" si="848"/>
        <v>3740</v>
      </c>
      <c r="K3852" s="46" t="s">
        <v>10735</v>
      </c>
      <c r="L3852" s="47"/>
      <c r="M3852" s="47" t="s">
        <v>5675</v>
      </c>
      <c r="N3852" s="47"/>
      <c r="O3852" s="47"/>
      <c r="P3852" s="47"/>
      <c r="Q3852" s="47">
        <f t="shared" si="849"/>
        <v>0</v>
      </c>
      <c r="R3852" s="47"/>
      <c r="S3852" s="47"/>
      <c r="T3852" s="47"/>
      <c r="U3852" s="47"/>
      <c r="V3852" s="47" t="s">
        <v>8190</v>
      </c>
      <c r="W3852" s="47"/>
      <c r="X3852" s="47">
        <f t="shared" si="850"/>
        <v>3000</v>
      </c>
      <c r="Y3852" s="47"/>
      <c r="Z3852" s="47">
        <f t="shared" si="846"/>
        <v>4620</v>
      </c>
      <c r="AA3852" s="47"/>
      <c r="AB3852" s="47"/>
      <c r="AC3852" s="47"/>
      <c r="AD3852" s="47"/>
      <c r="AE3852" s="47" t="s">
        <v>5676</v>
      </c>
      <c r="AF3852" s="47">
        <f t="shared" si="847"/>
        <v>1485</v>
      </c>
      <c r="AG3852" s="47"/>
      <c r="AH3852" s="47" t="str">
        <f>IFERROR(_xlfn.XLOOKUP(Table6[[#This Row],[Suburb]],Table5[Travel Surcharge],Table5[$$]),"")</f>
        <v/>
      </c>
      <c r="AI3852" s="47" t="s">
        <v>5677</v>
      </c>
      <c r="AJ3852" s="47" t="s">
        <v>7676</v>
      </c>
    </row>
    <row r="3853" spans="1:36">
      <c r="A3853" s="374" t="s">
        <v>5673</v>
      </c>
      <c r="B3853" s="374">
        <v>6</v>
      </c>
      <c r="C3853" s="374" t="s">
        <v>428</v>
      </c>
      <c r="D3853" s="375" t="str">
        <f t="shared" si="833"/>
        <v>Smiths Lane6</v>
      </c>
      <c r="E3853" s="375" t="s">
        <v>5682</v>
      </c>
      <c r="F3853" s="375"/>
      <c r="G3853" s="375"/>
      <c r="H3853" s="375"/>
      <c r="I3853" s="63"/>
      <c r="J3853" s="47">
        <f t="shared" si="848"/>
        <v>3740</v>
      </c>
      <c r="K3853" s="46" t="s">
        <v>10735</v>
      </c>
      <c r="L3853" s="47"/>
      <c r="M3853" s="47" t="s">
        <v>5675</v>
      </c>
      <c r="N3853" s="47"/>
      <c r="O3853" s="47"/>
      <c r="P3853" s="47"/>
      <c r="Q3853" s="47">
        <f t="shared" si="849"/>
        <v>0</v>
      </c>
      <c r="R3853" s="47"/>
      <c r="S3853" s="47"/>
      <c r="T3853" s="47"/>
      <c r="U3853" s="47"/>
      <c r="V3853" s="47" t="s">
        <v>8190</v>
      </c>
      <c r="W3853" s="47"/>
      <c r="X3853" s="47">
        <f t="shared" si="850"/>
        <v>3000</v>
      </c>
      <c r="Y3853" s="47"/>
      <c r="Z3853" s="47">
        <f t="shared" si="846"/>
        <v>4620</v>
      </c>
      <c r="AA3853" s="47"/>
      <c r="AB3853" s="47"/>
      <c r="AC3853" s="47"/>
      <c r="AD3853" s="47"/>
      <c r="AE3853" s="47" t="s">
        <v>5676</v>
      </c>
      <c r="AF3853" s="47">
        <f t="shared" si="847"/>
        <v>1485</v>
      </c>
      <c r="AG3853" s="47"/>
      <c r="AH3853" s="47" t="str">
        <f>IFERROR(_xlfn.XLOOKUP(Table6[[#This Row],[Suburb]],Table5[Travel Surcharge],Table5[$$]),"")</f>
        <v/>
      </c>
      <c r="AI3853" s="47" t="s">
        <v>5677</v>
      </c>
      <c r="AJ3853" s="47" t="s">
        <v>7676</v>
      </c>
    </row>
    <row r="3854" spans="1:36">
      <c r="A3854" s="374" t="s">
        <v>5673</v>
      </c>
      <c r="B3854" s="374">
        <v>7</v>
      </c>
      <c r="C3854" s="374" t="s">
        <v>428</v>
      </c>
      <c r="D3854" s="375" t="str">
        <f t="shared" si="833"/>
        <v>Smiths Lane7</v>
      </c>
      <c r="E3854" s="375" t="s">
        <v>5683</v>
      </c>
      <c r="F3854" s="375"/>
      <c r="G3854" s="375"/>
      <c r="H3854" s="375"/>
      <c r="I3854" s="63"/>
      <c r="J3854" s="47">
        <f t="shared" si="848"/>
        <v>3740</v>
      </c>
      <c r="K3854" s="46" t="s">
        <v>10735</v>
      </c>
      <c r="L3854" s="47"/>
      <c r="M3854" s="47" t="s">
        <v>5675</v>
      </c>
      <c r="N3854" s="47"/>
      <c r="O3854" s="47"/>
      <c r="P3854" s="47"/>
      <c r="Q3854" s="47">
        <f t="shared" si="849"/>
        <v>0</v>
      </c>
      <c r="R3854" s="47"/>
      <c r="S3854" s="47"/>
      <c r="T3854" s="47"/>
      <c r="U3854" s="47"/>
      <c r="V3854" s="47" t="s">
        <v>8190</v>
      </c>
      <c r="W3854" s="47"/>
      <c r="X3854" s="47">
        <f t="shared" si="850"/>
        <v>3000</v>
      </c>
      <c r="Y3854" s="47"/>
      <c r="Z3854" s="47">
        <f t="shared" si="846"/>
        <v>4620</v>
      </c>
      <c r="AA3854" s="47"/>
      <c r="AB3854" s="47"/>
      <c r="AC3854" s="47"/>
      <c r="AD3854" s="47"/>
      <c r="AE3854" s="47" t="s">
        <v>5676</v>
      </c>
      <c r="AF3854" s="47">
        <f t="shared" si="847"/>
        <v>1485</v>
      </c>
      <c r="AG3854" s="47"/>
      <c r="AH3854" s="47" t="str">
        <f>IFERROR(_xlfn.XLOOKUP(Table6[[#This Row],[Suburb]],Table5[Travel Surcharge],Table5[$$]),"")</f>
        <v/>
      </c>
      <c r="AI3854" s="47" t="s">
        <v>5677</v>
      </c>
      <c r="AJ3854" s="47" t="s">
        <v>7676</v>
      </c>
    </row>
    <row r="3855" spans="1:36">
      <c r="A3855" s="374" t="s">
        <v>5673</v>
      </c>
      <c r="B3855" s="374">
        <v>8</v>
      </c>
      <c r="C3855" s="374" t="s">
        <v>428</v>
      </c>
      <c r="D3855" s="375" t="str">
        <f t="shared" si="833"/>
        <v>Smiths Lane8</v>
      </c>
      <c r="E3855" s="375" t="s">
        <v>5684</v>
      </c>
      <c r="F3855" s="375"/>
      <c r="G3855" s="375"/>
      <c r="H3855" s="375"/>
      <c r="I3855" s="63"/>
      <c r="J3855" s="47">
        <f t="shared" si="848"/>
        <v>3740</v>
      </c>
      <c r="K3855" s="46" t="s">
        <v>10735</v>
      </c>
      <c r="L3855" s="47"/>
      <c r="M3855" s="47" t="s">
        <v>5675</v>
      </c>
      <c r="N3855" s="47"/>
      <c r="O3855" s="47"/>
      <c r="P3855" s="47"/>
      <c r="Q3855" s="47">
        <f t="shared" si="849"/>
        <v>0</v>
      </c>
      <c r="R3855" s="47"/>
      <c r="S3855" s="47"/>
      <c r="T3855" s="47"/>
      <c r="U3855" s="47"/>
      <c r="V3855" s="47" t="s">
        <v>8190</v>
      </c>
      <c r="W3855" s="47"/>
      <c r="X3855" s="47">
        <f t="shared" si="850"/>
        <v>3000</v>
      </c>
      <c r="Y3855" s="47"/>
      <c r="Z3855" s="47">
        <f t="shared" si="846"/>
        <v>4620</v>
      </c>
      <c r="AA3855" s="47"/>
      <c r="AB3855" s="47"/>
      <c r="AC3855" s="47"/>
      <c r="AD3855" s="47"/>
      <c r="AE3855" s="47" t="s">
        <v>5676</v>
      </c>
      <c r="AF3855" s="47">
        <f t="shared" si="847"/>
        <v>1485</v>
      </c>
      <c r="AG3855" s="47"/>
      <c r="AH3855" s="47" t="str">
        <f>IFERROR(_xlfn.XLOOKUP(Table6[[#This Row],[Suburb]],Table5[Travel Surcharge],Table5[$$]),"")</f>
        <v/>
      </c>
      <c r="AI3855" s="47" t="s">
        <v>5677</v>
      </c>
      <c r="AJ3855" s="47" t="s">
        <v>7676</v>
      </c>
    </row>
    <row r="3856" spans="1:36">
      <c r="A3856" s="374" t="s">
        <v>5673</v>
      </c>
      <c r="B3856" s="374">
        <v>9</v>
      </c>
      <c r="C3856" s="374" t="s">
        <v>428</v>
      </c>
      <c r="D3856" s="375" t="str">
        <f t="shared" si="833"/>
        <v>Smiths Lane9</v>
      </c>
      <c r="E3856" s="375" t="s">
        <v>5685</v>
      </c>
      <c r="F3856" s="375"/>
      <c r="G3856" s="375"/>
      <c r="H3856" s="375"/>
      <c r="I3856" s="63"/>
      <c r="J3856" s="47">
        <f t="shared" si="848"/>
        <v>3740</v>
      </c>
      <c r="K3856" s="46" t="s">
        <v>10735</v>
      </c>
      <c r="L3856" s="47"/>
      <c r="M3856" s="47" t="s">
        <v>5675</v>
      </c>
      <c r="N3856" s="47"/>
      <c r="O3856" s="47"/>
      <c r="P3856" s="47"/>
      <c r="Q3856" s="47">
        <f t="shared" si="849"/>
        <v>0</v>
      </c>
      <c r="R3856" s="47"/>
      <c r="S3856" s="47"/>
      <c r="T3856" s="47"/>
      <c r="U3856" s="47"/>
      <c r="V3856" s="47" t="s">
        <v>8190</v>
      </c>
      <c r="W3856" s="47"/>
      <c r="X3856" s="47">
        <f t="shared" si="850"/>
        <v>3000</v>
      </c>
      <c r="Y3856" s="47"/>
      <c r="Z3856" s="47">
        <f t="shared" si="846"/>
        <v>4620</v>
      </c>
      <c r="AA3856" s="47"/>
      <c r="AB3856" s="47"/>
      <c r="AC3856" s="47"/>
      <c r="AD3856" s="47"/>
      <c r="AE3856" s="47" t="s">
        <v>5676</v>
      </c>
      <c r="AF3856" s="47">
        <f t="shared" si="847"/>
        <v>1485</v>
      </c>
      <c r="AG3856" s="47"/>
      <c r="AH3856" s="47" t="str">
        <f>IFERROR(_xlfn.XLOOKUP(Table6[[#This Row],[Suburb]],Table5[Travel Surcharge],Table5[$$]),"")</f>
        <v/>
      </c>
      <c r="AI3856" s="47" t="s">
        <v>5677</v>
      </c>
      <c r="AJ3856" s="47" t="s">
        <v>7676</v>
      </c>
    </row>
    <row r="3857" spans="1:36">
      <c r="A3857" s="374" t="s">
        <v>5673</v>
      </c>
      <c r="B3857" s="374">
        <v>10</v>
      </c>
      <c r="C3857" s="374" t="s">
        <v>428</v>
      </c>
      <c r="D3857" s="375" t="str">
        <f t="shared" si="833"/>
        <v>Smiths Lane10</v>
      </c>
      <c r="E3857" s="375" t="s">
        <v>5686</v>
      </c>
      <c r="F3857" s="375"/>
      <c r="G3857" s="375"/>
      <c r="H3857" s="375"/>
      <c r="I3857" s="63"/>
      <c r="J3857" s="47">
        <f t="shared" si="848"/>
        <v>3740</v>
      </c>
      <c r="K3857" s="46" t="s">
        <v>10735</v>
      </c>
      <c r="L3857" s="47"/>
      <c r="M3857" s="47" t="s">
        <v>5675</v>
      </c>
      <c r="N3857" s="47"/>
      <c r="O3857" s="47"/>
      <c r="P3857" s="47"/>
      <c r="Q3857" s="47">
        <f t="shared" si="849"/>
        <v>0</v>
      </c>
      <c r="R3857" s="47"/>
      <c r="S3857" s="47"/>
      <c r="T3857" s="47"/>
      <c r="U3857" s="47"/>
      <c r="V3857" s="47" t="s">
        <v>8190</v>
      </c>
      <c r="W3857" s="47"/>
      <c r="X3857" s="47">
        <f t="shared" si="850"/>
        <v>3000</v>
      </c>
      <c r="Y3857" s="47"/>
      <c r="Z3857" s="47">
        <f t="shared" si="846"/>
        <v>4620</v>
      </c>
      <c r="AA3857" s="47"/>
      <c r="AB3857" s="47"/>
      <c r="AC3857" s="47"/>
      <c r="AD3857" s="47"/>
      <c r="AE3857" s="47" t="s">
        <v>5676</v>
      </c>
      <c r="AF3857" s="47">
        <f t="shared" si="847"/>
        <v>1485</v>
      </c>
      <c r="AG3857" s="47"/>
      <c r="AH3857" s="47" t="str">
        <f>IFERROR(_xlfn.XLOOKUP(Table6[[#This Row],[Suburb]],Table5[Travel Surcharge],Table5[$$]),"")</f>
        <v/>
      </c>
      <c r="AI3857" s="47" t="s">
        <v>5677</v>
      </c>
      <c r="AJ3857" s="47" t="s">
        <v>7676</v>
      </c>
    </row>
    <row r="3858" spans="1:36">
      <c r="A3858" s="157" t="s">
        <v>5673</v>
      </c>
      <c r="B3858" s="157">
        <v>12</v>
      </c>
      <c r="C3858" s="157" t="s">
        <v>428</v>
      </c>
      <c r="D3858" s="157" t="str">
        <f t="shared" ref="D3858:D3932" si="851">CONCATENATE(A3858,B3858)</f>
        <v>Smiths Lane12</v>
      </c>
      <c r="E3858" s="157" t="s">
        <v>7675</v>
      </c>
      <c r="F3858" s="157"/>
      <c r="G3858" s="157"/>
      <c r="H3858" s="157"/>
      <c r="I3858" s="158"/>
      <c r="J3858" s="47">
        <f t="shared" si="848"/>
        <v>3740</v>
      </c>
      <c r="K3858" s="46" t="s">
        <v>10735</v>
      </c>
      <c r="L3858" s="47"/>
      <c r="M3858" s="47" t="s">
        <v>5675</v>
      </c>
      <c r="N3858" s="47"/>
      <c r="O3858" s="47"/>
      <c r="P3858" s="47"/>
      <c r="Q3858" s="47">
        <f t="shared" si="849"/>
        <v>0</v>
      </c>
      <c r="R3858" s="47"/>
      <c r="S3858" s="47"/>
      <c r="T3858" s="47"/>
      <c r="U3858" s="47"/>
      <c r="V3858" s="47" t="s">
        <v>8190</v>
      </c>
      <c r="W3858" s="47"/>
      <c r="X3858" s="47">
        <f t="shared" si="850"/>
        <v>3000</v>
      </c>
      <c r="Y3858" s="47"/>
      <c r="Z3858" s="47">
        <f t="shared" si="846"/>
        <v>4620</v>
      </c>
      <c r="AA3858" s="47"/>
      <c r="AB3858" s="47"/>
      <c r="AC3858" s="47"/>
      <c r="AD3858" s="47"/>
      <c r="AE3858" s="47" t="s">
        <v>5676</v>
      </c>
      <c r="AF3858" s="47">
        <f t="shared" si="847"/>
        <v>1485</v>
      </c>
      <c r="AG3858" s="47"/>
      <c r="AH3858" s="47" t="str">
        <f>IFERROR(_xlfn.XLOOKUP(Table6[[#This Row],[Suburb]],Table5[Travel Surcharge],Table5[$$]),"")</f>
        <v/>
      </c>
      <c r="AI3858" s="47" t="s">
        <v>5677</v>
      </c>
      <c r="AJ3858" s="47" t="s">
        <v>7676</v>
      </c>
    </row>
    <row r="3859" spans="1:36">
      <c r="A3859" s="374" t="s">
        <v>5673</v>
      </c>
      <c r="B3859" s="374">
        <v>13</v>
      </c>
      <c r="C3859" s="374" t="s">
        <v>428</v>
      </c>
      <c r="D3859" s="375" t="str">
        <f t="shared" si="851"/>
        <v>Smiths Lane13</v>
      </c>
      <c r="E3859" s="375" t="s">
        <v>5687</v>
      </c>
      <c r="F3859" s="375"/>
      <c r="G3859" s="375"/>
      <c r="H3859" s="375"/>
      <c r="I3859" s="63"/>
      <c r="J3859" s="47">
        <f t="shared" si="848"/>
        <v>3740</v>
      </c>
      <c r="K3859" s="46" t="s">
        <v>10735</v>
      </c>
      <c r="L3859" s="47"/>
      <c r="M3859" s="47" t="s">
        <v>5675</v>
      </c>
      <c r="N3859" s="47"/>
      <c r="O3859" s="47"/>
      <c r="P3859" s="47"/>
      <c r="Q3859" s="47">
        <f t="shared" si="849"/>
        <v>0</v>
      </c>
      <c r="R3859" s="47"/>
      <c r="S3859" s="47"/>
      <c r="T3859" s="47"/>
      <c r="U3859" s="47"/>
      <c r="V3859" s="47" t="s">
        <v>8190</v>
      </c>
      <c r="W3859" s="47"/>
      <c r="X3859" s="47">
        <f t="shared" si="850"/>
        <v>3000</v>
      </c>
      <c r="Y3859" s="47"/>
      <c r="Z3859" s="47">
        <f t="shared" si="846"/>
        <v>4620</v>
      </c>
      <c r="AA3859" s="47"/>
      <c r="AB3859" s="47"/>
      <c r="AC3859" s="47"/>
      <c r="AD3859" s="47"/>
      <c r="AE3859" s="47" t="s">
        <v>5676</v>
      </c>
      <c r="AF3859" s="47">
        <f t="shared" si="847"/>
        <v>1485</v>
      </c>
      <c r="AG3859" s="47"/>
      <c r="AH3859" s="47" t="str">
        <f>IFERROR(_xlfn.XLOOKUP(Table6[[#This Row],[Suburb]],Table5[Travel Surcharge],Table5[$$]),"")</f>
        <v/>
      </c>
      <c r="AI3859" s="47" t="s">
        <v>5677</v>
      </c>
      <c r="AJ3859" s="47" t="s">
        <v>7676</v>
      </c>
    </row>
    <row r="3860" spans="1:36">
      <c r="A3860" s="374" t="s">
        <v>5673</v>
      </c>
      <c r="B3860" s="374">
        <v>14</v>
      </c>
      <c r="C3860" s="374" t="s">
        <v>428</v>
      </c>
      <c r="D3860" s="375" t="str">
        <f t="shared" si="851"/>
        <v>Smiths Lane14</v>
      </c>
      <c r="E3860" s="375" t="s">
        <v>5688</v>
      </c>
      <c r="F3860" s="375"/>
      <c r="G3860" s="375"/>
      <c r="H3860" s="375"/>
      <c r="I3860" s="63"/>
      <c r="J3860" s="47">
        <f t="shared" si="848"/>
        <v>3740</v>
      </c>
      <c r="K3860" s="46" t="s">
        <v>10735</v>
      </c>
      <c r="L3860" s="47"/>
      <c r="M3860" s="47" t="s">
        <v>5675</v>
      </c>
      <c r="N3860" s="47"/>
      <c r="O3860" s="47"/>
      <c r="P3860" s="47"/>
      <c r="Q3860" s="47">
        <f t="shared" si="849"/>
        <v>0</v>
      </c>
      <c r="R3860" s="47"/>
      <c r="S3860" s="47"/>
      <c r="T3860" s="47"/>
      <c r="U3860" s="47"/>
      <c r="V3860" s="47" t="s">
        <v>8190</v>
      </c>
      <c r="W3860" s="47"/>
      <c r="X3860" s="47">
        <f t="shared" si="850"/>
        <v>3000</v>
      </c>
      <c r="Y3860" s="47"/>
      <c r="Z3860" s="47">
        <f t="shared" si="846"/>
        <v>4620</v>
      </c>
      <c r="AA3860" s="47"/>
      <c r="AB3860" s="47"/>
      <c r="AC3860" s="47"/>
      <c r="AD3860" s="47"/>
      <c r="AE3860" s="47" t="s">
        <v>5676</v>
      </c>
      <c r="AF3860" s="47">
        <f t="shared" si="847"/>
        <v>1485</v>
      </c>
      <c r="AG3860" s="47"/>
      <c r="AH3860" s="47" t="str">
        <f>IFERROR(_xlfn.XLOOKUP(Table6[[#This Row],[Suburb]],Table5[Travel Surcharge],Table5[$$]),"")</f>
        <v/>
      </c>
      <c r="AI3860" s="47" t="s">
        <v>5677</v>
      </c>
      <c r="AJ3860" s="47" t="s">
        <v>7676</v>
      </c>
    </row>
    <row r="3861" spans="1:36">
      <c r="A3861" s="374" t="s">
        <v>5673</v>
      </c>
      <c r="B3861" s="374">
        <v>15</v>
      </c>
      <c r="C3861" s="374" t="s">
        <v>428</v>
      </c>
      <c r="D3861" s="375" t="str">
        <f t="shared" si="851"/>
        <v>Smiths Lane15</v>
      </c>
      <c r="E3861" s="375" t="s">
        <v>5689</v>
      </c>
      <c r="F3861" s="375"/>
      <c r="G3861" s="375"/>
      <c r="H3861" s="375"/>
      <c r="I3861" s="63"/>
      <c r="J3861" s="47">
        <f t="shared" si="848"/>
        <v>3740</v>
      </c>
      <c r="K3861" s="46" t="s">
        <v>10735</v>
      </c>
      <c r="L3861" s="47"/>
      <c r="M3861" s="47" t="s">
        <v>5675</v>
      </c>
      <c r="N3861" s="47"/>
      <c r="O3861" s="47"/>
      <c r="P3861" s="47"/>
      <c r="Q3861" s="47">
        <f t="shared" si="849"/>
        <v>0</v>
      </c>
      <c r="R3861" s="47"/>
      <c r="S3861" s="47"/>
      <c r="T3861" s="47"/>
      <c r="U3861" s="47"/>
      <c r="V3861" s="47" t="s">
        <v>8190</v>
      </c>
      <c r="W3861" s="47"/>
      <c r="X3861" s="47">
        <f t="shared" si="850"/>
        <v>3000</v>
      </c>
      <c r="Y3861" s="47"/>
      <c r="Z3861" s="47">
        <f t="shared" si="846"/>
        <v>4620</v>
      </c>
      <c r="AA3861" s="47"/>
      <c r="AB3861" s="47"/>
      <c r="AC3861" s="47"/>
      <c r="AD3861" s="47"/>
      <c r="AE3861" s="47" t="s">
        <v>5676</v>
      </c>
      <c r="AF3861" s="47">
        <f t="shared" si="847"/>
        <v>1485</v>
      </c>
      <c r="AG3861" s="47"/>
      <c r="AH3861" s="47" t="str">
        <f>IFERROR(_xlfn.XLOOKUP(Table6[[#This Row],[Suburb]],Table5[Travel Surcharge],Table5[$$]),"")</f>
        <v/>
      </c>
      <c r="AI3861" s="47" t="s">
        <v>5677</v>
      </c>
      <c r="AJ3861" s="47" t="s">
        <v>7676</v>
      </c>
    </row>
    <row r="3862" spans="1:36">
      <c r="A3862" s="374" t="s">
        <v>5673</v>
      </c>
      <c r="B3862" s="374">
        <v>16</v>
      </c>
      <c r="C3862" s="374" t="s">
        <v>428</v>
      </c>
      <c r="D3862" s="375" t="str">
        <f t="shared" si="851"/>
        <v>Smiths Lane16</v>
      </c>
      <c r="E3862" s="375" t="s">
        <v>5690</v>
      </c>
      <c r="F3862" s="375"/>
      <c r="G3862" s="375"/>
      <c r="H3862" s="375"/>
      <c r="I3862" s="63"/>
      <c r="J3862" s="47">
        <f t="shared" si="848"/>
        <v>3740</v>
      </c>
      <c r="K3862" s="46" t="s">
        <v>10735</v>
      </c>
      <c r="L3862" s="47"/>
      <c r="M3862" s="47" t="s">
        <v>5675</v>
      </c>
      <c r="N3862" s="47"/>
      <c r="O3862" s="47"/>
      <c r="P3862" s="47"/>
      <c r="Q3862" s="47">
        <f t="shared" si="849"/>
        <v>0</v>
      </c>
      <c r="R3862" s="47"/>
      <c r="S3862" s="47"/>
      <c r="T3862" s="47"/>
      <c r="U3862" s="47"/>
      <c r="V3862" s="47" t="s">
        <v>8190</v>
      </c>
      <c r="W3862" s="47"/>
      <c r="X3862" s="47">
        <f t="shared" si="850"/>
        <v>3000</v>
      </c>
      <c r="Y3862" s="47"/>
      <c r="Z3862" s="47">
        <f t="shared" si="846"/>
        <v>4620</v>
      </c>
      <c r="AA3862" s="47"/>
      <c r="AB3862" s="47"/>
      <c r="AC3862" s="47"/>
      <c r="AD3862" s="47"/>
      <c r="AE3862" s="47" t="s">
        <v>5676</v>
      </c>
      <c r="AF3862" s="47">
        <f t="shared" si="847"/>
        <v>1485</v>
      </c>
      <c r="AG3862" s="47"/>
      <c r="AH3862" s="47" t="str">
        <f>IFERROR(_xlfn.XLOOKUP(Table6[[#This Row],[Suburb]],Table5[Travel Surcharge],Table5[$$]),"")</f>
        <v/>
      </c>
      <c r="AI3862" s="47" t="s">
        <v>5677</v>
      </c>
      <c r="AJ3862" s="47" t="s">
        <v>7676</v>
      </c>
    </row>
    <row r="3863" spans="1:36" ht="17.25" customHeight="1">
      <c r="A3863" s="374" t="s">
        <v>5673</v>
      </c>
      <c r="B3863" s="374">
        <v>17</v>
      </c>
      <c r="C3863" s="374" t="s">
        <v>428</v>
      </c>
      <c r="D3863" s="375" t="str">
        <f t="shared" si="851"/>
        <v>Smiths Lane17</v>
      </c>
      <c r="E3863" s="375" t="s">
        <v>5691</v>
      </c>
      <c r="F3863" s="375"/>
      <c r="G3863" s="375"/>
      <c r="H3863" s="375"/>
      <c r="I3863" s="63"/>
      <c r="J3863" s="47">
        <f t="shared" si="848"/>
        <v>3740</v>
      </c>
      <c r="K3863" s="46" t="s">
        <v>10735</v>
      </c>
      <c r="L3863" s="47"/>
      <c r="M3863" s="47" t="s">
        <v>5675</v>
      </c>
      <c r="N3863" s="47"/>
      <c r="O3863" s="47"/>
      <c r="P3863" s="47"/>
      <c r="Q3863" s="47">
        <f t="shared" si="849"/>
        <v>0</v>
      </c>
      <c r="R3863" s="47"/>
      <c r="S3863" s="47"/>
      <c r="T3863" s="47"/>
      <c r="U3863" s="47"/>
      <c r="V3863" s="47" t="s">
        <v>8190</v>
      </c>
      <c r="W3863" s="47"/>
      <c r="X3863" s="47">
        <f t="shared" si="850"/>
        <v>3000</v>
      </c>
      <c r="Y3863" s="47"/>
      <c r="Z3863" s="47">
        <f t="shared" si="846"/>
        <v>4620</v>
      </c>
      <c r="AA3863" s="47"/>
      <c r="AB3863" s="47"/>
      <c r="AC3863" s="47"/>
      <c r="AD3863" s="47"/>
      <c r="AE3863" s="47" t="s">
        <v>5676</v>
      </c>
      <c r="AF3863" s="47">
        <f t="shared" si="847"/>
        <v>1485</v>
      </c>
      <c r="AG3863" s="47"/>
      <c r="AH3863" s="47" t="str">
        <f>IFERROR(_xlfn.XLOOKUP(Table6[[#This Row],[Suburb]],Table5[Travel Surcharge],Table5[$$]),"")</f>
        <v/>
      </c>
      <c r="AI3863" s="47" t="s">
        <v>5677</v>
      </c>
      <c r="AJ3863" s="47" t="s">
        <v>7676</v>
      </c>
    </row>
    <row r="3864" spans="1:36">
      <c r="A3864" s="374" t="s">
        <v>5673</v>
      </c>
      <c r="B3864" s="374">
        <v>18</v>
      </c>
      <c r="C3864" s="374" t="s">
        <v>428</v>
      </c>
      <c r="D3864" s="375" t="str">
        <f t="shared" si="851"/>
        <v>Smiths Lane18</v>
      </c>
      <c r="E3864" s="375" t="s">
        <v>5692</v>
      </c>
      <c r="F3864" s="375"/>
      <c r="G3864" s="375"/>
      <c r="H3864" s="375"/>
      <c r="I3864" s="63"/>
      <c r="J3864" s="47">
        <f t="shared" si="848"/>
        <v>3740</v>
      </c>
      <c r="K3864" s="46" t="s">
        <v>10735</v>
      </c>
      <c r="L3864" s="47"/>
      <c r="M3864" s="47" t="s">
        <v>5675</v>
      </c>
      <c r="N3864" s="47"/>
      <c r="O3864" s="47"/>
      <c r="P3864" s="47"/>
      <c r="Q3864" s="47">
        <f t="shared" si="849"/>
        <v>0</v>
      </c>
      <c r="R3864" s="47"/>
      <c r="S3864" s="47"/>
      <c r="T3864" s="47"/>
      <c r="U3864" s="47"/>
      <c r="V3864" s="47" t="s">
        <v>8190</v>
      </c>
      <c r="W3864" s="47"/>
      <c r="X3864" s="47">
        <f t="shared" si="850"/>
        <v>3000</v>
      </c>
      <c r="Y3864" s="47"/>
      <c r="Z3864" s="47">
        <f t="shared" si="846"/>
        <v>4620</v>
      </c>
      <c r="AA3864" s="47"/>
      <c r="AB3864" s="47"/>
      <c r="AC3864" s="47"/>
      <c r="AD3864" s="47"/>
      <c r="AE3864" s="47" t="s">
        <v>5676</v>
      </c>
      <c r="AF3864" s="47">
        <f t="shared" si="847"/>
        <v>1485</v>
      </c>
      <c r="AG3864" s="47"/>
      <c r="AH3864" s="47" t="str">
        <f>IFERROR(_xlfn.XLOOKUP(Table6[[#This Row],[Suburb]],Table5[Travel Surcharge],Table5[$$]),"")</f>
        <v/>
      </c>
      <c r="AI3864" s="47" t="s">
        <v>5677</v>
      </c>
      <c r="AJ3864" s="47" t="s">
        <v>7676</v>
      </c>
    </row>
    <row r="3865" spans="1:36">
      <c r="A3865" s="374" t="s">
        <v>5673</v>
      </c>
      <c r="B3865" s="374">
        <v>19</v>
      </c>
      <c r="C3865" s="374" t="s">
        <v>428</v>
      </c>
      <c r="D3865" s="375" t="str">
        <f t="shared" si="851"/>
        <v>Smiths Lane19</v>
      </c>
      <c r="E3865" s="375" t="s">
        <v>5693</v>
      </c>
      <c r="F3865" s="375"/>
      <c r="G3865" s="375"/>
      <c r="H3865" s="375"/>
      <c r="I3865" s="63"/>
      <c r="J3865" s="47">
        <f t="shared" si="848"/>
        <v>3740</v>
      </c>
      <c r="K3865" s="46" t="s">
        <v>10735</v>
      </c>
      <c r="L3865" s="47"/>
      <c r="M3865" s="47" t="s">
        <v>5675</v>
      </c>
      <c r="N3865" s="47"/>
      <c r="O3865" s="47"/>
      <c r="P3865" s="47"/>
      <c r="Q3865" s="47">
        <f t="shared" si="849"/>
        <v>0</v>
      </c>
      <c r="R3865" s="47"/>
      <c r="S3865" s="47"/>
      <c r="T3865" s="47"/>
      <c r="U3865" s="47"/>
      <c r="V3865" s="47" t="s">
        <v>8190</v>
      </c>
      <c r="W3865" s="47"/>
      <c r="X3865" s="47">
        <f t="shared" si="850"/>
        <v>3000</v>
      </c>
      <c r="Y3865" s="47"/>
      <c r="Z3865" s="47">
        <f t="shared" si="846"/>
        <v>4620</v>
      </c>
      <c r="AA3865" s="47"/>
      <c r="AB3865" s="47"/>
      <c r="AC3865" s="47"/>
      <c r="AD3865" s="47"/>
      <c r="AE3865" s="47" t="s">
        <v>5676</v>
      </c>
      <c r="AF3865" s="47">
        <f t="shared" si="847"/>
        <v>1485</v>
      </c>
      <c r="AG3865" s="47"/>
      <c r="AH3865" s="47" t="str">
        <f>IFERROR(_xlfn.XLOOKUP(Table6[[#This Row],[Suburb]],Table5[Travel Surcharge],Table5[$$]),"")</f>
        <v/>
      </c>
      <c r="AI3865" s="47" t="s">
        <v>5677</v>
      </c>
      <c r="AJ3865" s="47" t="s">
        <v>7676</v>
      </c>
    </row>
    <row r="3866" spans="1:36">
      <c r="A3866" s="157" t="s">
        <v>5673</v>
      </c>
      <c r="B3866" s="157">
        <v>20</v>
      </c>
      <c r="C3866" s="157" t="s">
        <v>428</v>
      </c>
      <c r="D3866" s="157" t="str">
        <f t="shared" si="851"/>
        <v>Smiths Lane20</v>
      </c>
      <c r="E3866" s="157" t="s">
        <v>5849</v>
      </c>
      <c r="F3866" s="157"/>
      <c r="G3866" s="157"/>
      <c r="H3866" s="157"/>
      <c r="I3866" s="158"/>
      <c r="J3866" s="47">
        <f t="shared" si="848"/>
        <v>3740</v>
      </c>
      <c r="K3866" s="46" t="s">
        <v>10735</v>
      </c>
      <c r="L3866" s="47"/>
      <c r="M3866" s="47" t="s">
        <v>5675</v>
      </c>
      <c r="N3866" s="47"/>
      <c r="O3866" s="47"/>
      <c r="P3866" s="47"/>
      <c r="Q3866" s="47">
        <f t="shared" si="849"/>
        <v>0</v>
      </c>
      <c r="R3866" s="47"/>
      <c r="S3866" s="47"/>
      <c r="T3866" s="47"/>
      <c r="U3866" s="47"/>
      <c r="V3866" s="47" t="s">
        <v>8190</v>
      </c>
      <c r="W3866" s="47"/>
      <c r="X3866" s="47">
        <f t="shared" si="850"/>
        <v>3000</v>
      </c>
      <c r="Y3866" s="47"/>
      <c r="Z3866" s="47">
        <f t="shared" si="846"/>
        <v>4620</v>
      </c>
      <c r="AA3866" s="47"/>
      <c r="AB3866" s="47"/>
      <c r="AC3866" s="47"/>
      <c r="AD3866" s="47"/>
      <c r="AE3866" s="47" t="s">
        <v>5676</v>
      </c>
      <c r="AF3866" s="47">
        <f t="shared" si="847"/>
        <v>1485</v>
      </c>
      <c r="AG3866" s="47"/>
      <c r="AH3866" s="47" t="str">
        <f>IFERROR(_xlfn.XLOOKUP(Table6[[#This Row],[Suburb]],Table5[Travel Surcharge],Table5[$$]),"")</f>
        <v/>
      </c>
      <c r="AI3866" s="47" t="s">
        <v>5677</v>
      </c>
      <c r="AJ3866" s="47" t="s">
        <v>7676</v>
      </c>
    </row>
    <row r="3867" spans="1:36">
      <c r="A3867" s="157" t="s">
        <v>5673</v>
      </c>
      <c r="B3867" s="157">
        <v>21</v>
      </c>
      <c r="C3867" s="157" t="s">
        <v>428</v>
      </c>
      <c r="D3867" s="157" t="str">
        <f t="shared" si="851"/>
        <v>Smiths Lane21</v>
      </c>
      <c r="E3867" s="157" t="s">
        <v>8276</v>
      </c>
      <c r="F3867" s="157"/>
      <c r="G3867" s="157"/>
      <c r="H3867" s="157"/>
      <c r="I3867" s="158"/>
      <c r="J3867" s="47">
        <f t="shared" si="848"/>
        <v>3740</v>
      </c>
      <c r="K3867" s="46" t="s">
        <v>10735</v>
      </c>
      <c r="L3867" s="47"/>
      <c r="M3867" s="47" t="s">
        <v>5675</v>
      </c>
      <c r="N3867" s="47"/>
      <c r="O3867" s="47"/>
      <c r="P3867" s="47"/>
      <c r="Q3867" s="47">
        <f t="shared" si="849"/>
        <v>0</v>
      </c>
      <c r="R3867" s="47"/>
      <c r="S3867" s="47"/>
      <c r="T3867" s="47"/>
      <c r="U3867" s="47"/>
      <c r="V3867" s="47" t="s">
        <v>8190</v>
      </c>
      <c r="W3867" s="47"/>
      <c r="X3867" s="47">
        <f t="shared" si="850"/>
        <v>3000</v>
      </c>
      <c r="Y3867" s="47"/>
      <c r="Z3867" s="47">
        <f t="shared" si="846"/>
        <v>4620</v>
      </c>
      <c r="AA3867" s="47"/>
      <c r="AB3867" s="47"/>
      <c r="AC3867" s="47"/>
      <c r="AD3867" s="47"/>
      <c r="AE3867" s="47" t="s">
        <v>5676</v>
      </c>
      <c r="AF3867" s="47">
        <f t="shared" si="847"/>
        <v>1485</v>
      </c>
      <c r="AG3867" s="47"/>
      <c r="AH3867" s="47" t="str">
        <f>IFERROR(_xlfn.XLOOKUP(Table6[[#This Row],[Suburb]],Table5[Travel Surcharge],Table5[$$]),"")</f>
        <v/>
      </c>
      <c r="AI3867" s="47" t="s">
        <v>5677</v>
      </c>
      <c r="AJ3867" s="47" t="s">
        <v>7676</v>
      </c>
    </row>
    <row r="3868" spans="1:36">
      <c r="A3868" s="157" t="s">
        <v>5673</v>
      </c>
      <c r="B3868" s="157">
        <v>22</v>
      </c>
      <c r="C3868" s="157" t="s">
        <v>428</v>
      </c>
      <c r="D3868" s="157" t="str">
        <f t="shared" si="851"/>
        <v>Smiths Lane22</v>
      </c>
      <c r="E3868" s="157" t="s">
        <v>7996</v>
      </c>
      <c r="F3868" s="157"/>
      <c r="G3868" s="157"/>
      <c r="H3868" s="157"/>
      <c r="I3868" s="158"/>
      <c r="J3868" s="47">
        <f t="shared" si="848"/>
        <v>3740</v>
      </c>
      <c r="K3868" s="46" t="s">
        <v>10735</v>
      </c>
      <c r="L3868" s="47"/>
      <c r="M3868" s="47" t="s">
        <v>5675</v>
      </c>
      <c r="N3868" s="47"/>
      <c r="O3868" s="47"/>
      <c r="P3868" s="47"/>
      <c r="Q3868" s="47">
        <f t="shared" si="849"/>
        <v>0</v>
      </c>
      <c r="R3868" s="47"/>
      <c r="S3868" s="47"/>
      <c r="T3868" s="47"/>
      <c r="U3868" s="47"/>
      <c r="V3868" s="47" t="s">
        <v>8190</v>
      </c>
      <c r="W3868" s="47"/>
      <c r="X3868" s="47">
        <f t="shared" si="850"/>
        <v>3000</v>
      </c>
      <c r="Y3868" s="47"/>
      <c r="Z3868" s="47">
        <f t="shared" si="846"/>
        <v>4620</v>
      </c>
      <c r="AA3868" s="47"/>
      <c r="AB3868" s="47"/>
      <c r="AC3868" s="47"/>
      <c r="AD3868" s="47"/>
      <c r="AE3868" s="47" t="s">
        <v>5676</v>
      </c>
      <c r="AF3868" s="47">
        <f t="shared" si="847"/>
        <v>1485</v>
      </c>
      <c r="AG3868" s="47"/>
      <c r="AH3868" s="47" t="str">
        <f>IFERROR(_xlfn.XLOOKUP(Table6[[#This Row],[Suburb]],Table5[Travel Surcharge],Table5[$$]),"")</f>
        <v/>
      </c>
      <c r="AI3868" s="47" t="s">
        <v>5677</v>
      </c>
      <c r="AJ3868" s="47" t="s">
        <v>7676</v>
      </c>
    </row>
    <row r="3869" spans="1:36">
      <c r="A3869" s="157" t="s">
        <v>5673</v>
      </c>
      <c r="B3869" s="157">
        <v>25</v>
      </c>
      <c r="C3869" s="157" t="s">
        <v>7416</v>
      </c>
      <c r="D3869" s="157" t="str">
        <f t="shared" si="851"/>
        <v>Smiths Lane25</v>
      </c>
      <c r="E3869" s="157" t="s">
        <v>8328</v>
      </c>
      <c r="F3869" s="157"/>
      <c r="G3869" s="157"/>
      <c r="H3869" s="157"/>
      <c r="I3869" s="158"/>
      <c r="J3869" s="47">
        <f t="shared" si="848"/>
        <v>3740</v>
      </c>
      <c r="K3869" s="46" t="s">
        <v>10735</v>
      </c>
      <c r="L3869" s="47"/>
      <c r="M3869" s="47" t="s">
        <v>8327</v>
      </c>
      <c r="N3869" s="47"/>
      <c r="O3869" s="47"/>
      <c r="P3869" s="47"/>
      <c r="Q3869" s="47">
        <f t="shared" si="849"/>
        <v>0</v>
      </c>
      <c r="R3869" s="47"/>
      <c r="S3869" s="47"/>
      <c r="T3869" s="47"/>
      <c r="U3869" s="47"/>
      <c r="V3869" s="47" t="s">
        <v>8190</v>
      </c>
      <c r="W3869" s="47"/>
      <c r="X3869" s="47">
        <f t="shared" si="850"/>
        <v>3000</v>
      </c>
      <c r="Y3869" s="47"/>
      <c r="Z3869" s="47">
        <f t="shared" si="846"/>
        <v>4620</v>
      </c>
      <c r="AA3869" s="47"/>
      <c r="AB3869" s="47"/>
      <c r="AC3869" s="47"/>
      <c r="AD3869" s="47"/>
      <c r="AE3869" s="47" t="s">
        <v>5676</v>
      </c>
      <c r="AF3869" s="47">
        <f t="shared" si="847"/>
        <v>1485</v>
      </c>
      <c r="AG3869" s="47"/>
      <c r="AH3869" s="47" t="str">
        <f>IFERROR(_xlfn.XLOOKUP(Table6[[#This Row],[Suburb]],Table5[Travel Surcharge],Table5[$$]),"")</f>
        <v/>
      </c>
      <c r="AI3869" s="47" t="s">
        <v>5677</v>
      </c>
      <c r="AJ3869" s="47" t="s">
        <v>7676</v>
      </c>
    </row>
    <row r="3870" spans="1:36">
      <c r="A3870" s="374" t="s">
        <v>5673</v>
      </c>
      <c r="B3870" s="374">
        <v>27</v>
      </c>
      <c r="C3870" s="374" t="s">
        <v>7416</v>
      </c>
      <c r="D3870" s="375" t="str">
        <f t="shared" si="851"/>
        <v>Smiths Lane27</v>
      </c>
      <c r="E3870" s="375" t="s">
        <v>9177</v>
      </c>
      <c r="F3870" s="375"/>
      <c r="G3870" s="375"/>
      <c r="H3870" s="375"/>
      <c r="I3870" s="63"/>
      <c r="J3870" s="47">
        <v>3740</v>
      </c>
      <c r="K3870" s="46" t="s">
        <v>10735</v>
      </c>
      <c r="L3870" s="47"/>
      <c r="M3870" s="47" t="s">
        <v>8327</v>
      </c>
      <c r="N3870" s="47"/>
      <c r="O3870" s="47"/>
      <c r="P3870" s="47"/>
      <c r="Q3870" s="47">
        <v>0</v>
      </c>
      <c r="R3870" s="47"/>
      <c r="S3870" s="47"/>
      <c r="T3870" s="47"/>
      <c r="U3870" s="47"/>
      <c r="V3870" s="47" t="s">
        <v>8190</v>
      </c>
      <c r="W3870" s="47"/>
      <c r="X3870" s="47">
        <v>3000</v>
      </c>
      <c r="Y3870" s="47"/>
      <c r="Z3870" s="47">
        <v>4620</v>
      </c>
      <c r="AA3870" s="47"/>
      <c r="AB3870" s="47"/>
      <c r="AC3870" s="47"/>
      <c r="AD3870" s="47"/>
      <c r="AE3870" s="47" t="s">
        <v>5676</v>
      </c>
      <c r="AF3870" s="47">
        <v>1650.0000000000002</v>
      </c>
      <c r="AG3870" s="47"/>
      <c r="AH3870" s="47" t="s">
        <v>9976</v>
      </c>
      <c r="AI3870" s="47" t="s">
        <v>5677</v>
      </c>
      <c r="AJ3870" s="47" t="s">
        <v>7676</v>
      </c>
    </row>
    <row r="3871" spans="1:36">
      <c r="A3871" s="374" t="s">
        <v>5673</v>
      </c>
      <c r="B3871" s="374">
        <v>28</v>
      </c>
      <c r="C3871" s="374" t="s">
        <v>7416</v>
      </c>
      <c r="D3871" s="375" t="str">
        <f t="shared" si="851"/>
        <v>Smiths Lane28</v>
      </c>
      <c r="E3871" s="375" t="s">
        <v>9531</v>
      </c>
      <c r="F3871" s="375"/>
      <c r="G3871" s="375"/>
      <c r="H3871" s="375"/>
      <c r="I3871" s="63"/>
      <c r="J3871" s="47">
        <v>3740</v>
      </c>
      <c r="K3871" s="46" t="s">
        <v>10735</v>
      </c>
      <c r="L3871" s="47"/>
      <c r="M3871" s="47" t="s">
        <v>8327</v>
      </c>
      <c r="N3871" s="47"/>
      <c r="O3871" s="47"/>
      <c r="P3871" s="47"/>
      <c r="Q3871" s="47">
        <v>0</v>
      </c>
      <c r="R3871" s="47"/>
      <c r="S3871" s="47"/>
      <c r="T3871" s="47"/>
      <c r="U3871" s="47"/>
      <c r="V3871" s="47" t="s">
        <v>8190</v>
      </c>
      <c r="W3871" s="47"/>
      <c r="X3871" s="47">
        <v>3000</v>
      </c>
      <c r="Y3871" s="47"/>
      <c r="Z3871" s="47">
        <v>4620</v>
      </c>
      <c r="AA3871" s="47"/>
      <c r="AB3871" s="47"/>
      <c r="AC3871" s="47"/>
      <c r="AD3871" s="47"/>
      <c r="AE3871" s="47" t="s">
        <v>5676</v>
      </c>
      <c r="AF3871" s="47">
        <v>1650.0000000000002</v>
      </c>
      <c r="AG3871" s="47"/>
      <c r="AH3871" s="47" t="str">
        <f>IFERROR(_xlfn.XLOOKUP(Table6[[#This Row],[Suburb]],Table5[Travel Surcharge],Table5[$$]),"")</f>
        <v/>
      </c>
      <c r="AI3871" s="47" t="s">
        <v>5677</v>
      </c>
      <c r="AJ3871" s="47" t="s">
        <v>7676</v>
      </c>
    </row>
    <row r="3872" spans="1:36">
      <c r="A3872" s="157" t="s">
        <v>5673</v>
      </c>
      <c r="B3872" s="157">
        <v>26</v>
      </c>
      <c r="C3872" s="157" t="s">
        <v>8537</v>
      </c>
      <c r="D3872" s="157" t="str">
        <f t="shared" si="851"/>
        <v>Smiths Lane26</v>
      </c>
      <c r="E3872" s="157" t="s">
        <v>8541</v>
      </c>
      <c r="F3872" s="157"/>
      <c r="G3872" s="157"/>
      <c r="H3872" s="157"/>
      <c r="I3872" s="158"/>
      <c r="J3872" s="47">
        <f>J$7</f>
        <v>3740</v>
      </c>
      <c r="K3872" s="46" t="s">
        <v>10735</v>
      </c>
      <c r="L3872" s="47"/>
      <c r="M3872" s="47" t="s">
        <v>8538</v>
      </c>
      <c r="N3872" s="47"/>
      <c r="O3872" s="47"/>
      <c r="P3872" s="47"/>
      <c r="Q3872" s="47">
        <f>Q$2</f>
        <v>0</v>
      </c>
      <c r="R3872" s="47"/>
      <c r="S3872" s="47"/>
      <c r="T3872" s="47"/>
      <c r="U3872" s="47"/>
      <c r="V3872" s="47" t="s">
        <v>8190</v>
      </c>
      <c r="W3872" s="47"/>
      <c r="X3872" s="47">
        <f>X$7</f>
        <v>3000</v>
      </c>
      <c r="Y3872" s="47"/>
      <c r="Z3872" s="47">
        <f>Z$7</f>
        <v>4620</v>
      </c>
      <c r="AA3872" s="47"/>
      <c r="AB3872" s="47"/>
      <c r="AC3872" s="47"/>
      <c r="AD3872" s="47"/>
      <c r="AE3872" s="47" t="s">
        <v>5676</v>
      </c>
      <c r="AF3872" s="47">
        <f>AF$7</f>
        <v>1485</v>
      </c>
      <c r="AG3872" s="47"/>
      <c r="AH3872" s="47" t="str">
        <f>IFERROR(_xlfn.XLOOKUP(Table6[[#This Row],[Suburb]],Table5[Travel Surcharge],Table5[$$]),"")</f>
        <v/>
      </c>
      <c r="AI3872" s="47" t="s">
        <v>8539</v>
      </c>
      <c r="AJ3872" s="47" t="s">
        <v>8540</v>
      </c>
    </row>
    <row r="3873" spans="1:36">
      <c r="A3873" s="157" t="s">
        <v>5673</v>
      </c>
      <c r="B3873" s="157" t="s">
        <v>889</v>
      </c>
      <c r="C3873" s="157" t="s">
        <v>8537</v>
      </c>
      <c r="D3873" s="157" t="str">
        <f t="shared" si="851"/>
        <v>Smiths Lane27B</v>
      </c>
      <c r="E3873" s="157" t="s">
        <v>9177</v>
      </c>
      <c r="F3873" s="157"/>
      <c r="G3873" s="157"/>
      <c r="H3873" s="157"/>
      <c r="I3873" s="158"/>
      <c r="J3873" s="47">
        <f>J$7</f>
        <v>3740</v>
      </c>
      <c r="K3873" s="46" t="s">
        <v>10735</v>
      </c>
      <c r="L3873" s="47"/>
      <c r="M3873" s="47" t="s">
        <v>8538</v>
      </c>
      <c r="N3873" s="47"/>
      <c r="O3873" s="47"/>
      <c r="P3873" s="47"/>
      <c r="Q3873" s="47">
        <f>Q$2</f>
        <v>0</v>
      </c>
      <c r="R3873" s="47"/>
      <c r="S3873" s="47"/>
      <c r="T3873" s="47"/>
      <c r="U3873" s="47"/>
      <c r="V3873" s="47" t="s">
        <v>8190</v>
      </c>
      <c r="W3873" s="47"/>
      <c r="X3873" s="47">
        <f>X$7</f>
        <v>3000</v>
      </c>
      <c r="Y3873" s="47"/>
      <c r="Z3873" s="47">
        <f>Z$7</f>
        <v>4620</v>
      </c>
      <c r="AA3873" s="47"/>
      <c r="AB3873" s="47"/>
      <c r="AC3873" s="47"/>
      <c r="AD3873" s="47"/>
      <c r="AE3873" s="47" t="s">
        <v>5676</v>
      </c>
      <c r="AF3873" s="47">
        <f>AF$7</f>
        <v>1485</v>
      </c>
      <c r="AG3873" s="47"/>
      <c r="AH3873" s="47" t="str">
        <f>IFERROR(_xlfn.XLOOKUP(Table6[[#This Row],[Suburb]],Table5[Travel Surcharge],Table5[$$]),"")</f>
        <v/>
      </c>
      <c r="AI3873" s="47" t="s">
        <v>8539</v>
      </c>
      <c r="AJ3873" s="47" t="s">
        <v>8540</v>
      </c>
    </row>
    <row r="3874" spans="1:36">
      <c r="A3874" s="374" t="s">
        <v>5673</v>
      </c>
      <c r="B3874" s="374">
        <v>29</v>
      </c>
      <c r="C3874" s="374" t="s">
        <v>428</v>
      </c>
      <c r="D3874" s="375" t="str">
        <f t="shared" si="851"/>
        <v>Smiths Lane29</v>
      </c>
      <c r="E3874" s="375" t="s">
        <v>9792</v>
      </c>
      <c r="F3874" s="375"/>
      <c r="G3874" s="375"/>
      <c r="H3874" s="375"/>
      <c r="I3874" s="63"/>
      <c r="J3874" s="47">
        <v>3740</v>
      </c>
      <c r="K3874" s="46" t="s">
        <v>10735</v>
      </c>
      <c r="L3874" s="47"/>
      <c r="M3874" s="47" t="s">
        <v>5675</v>
      </c>
      <c r="N3874" s="47"/>
      <c r="O3874" s="47"/>
      <c r="P3874" s="47"/>
      <c r="Q3874" s="47">
        <v>0</v>
      </c>
      <c r="R3874" s="47"/>
      <c r="S3874" s="47"/>
      <c r="T3874" s="47"/>
      <c r="U3874" s="47"/>
      <c r="V3874" s="47" t="s">
        <v>9269</v>
      </c>
      <c r="W3874" s="47"/>
      <c r="X3874" s="47">
        <v>3000</v>
      </c>
      <c r="Y3874" s="47"/>
      <c r="Z3874" s="47">
        <v>4620</v>
      </c>
      <c r="AA3874" s="47"/>
      <c r="AB3874" s="47"/>
      <c r="AC3874" s="47"/>
      <c r="AD3874" s="47"/>
      <c r="AE3874" s="47" t="s">
        <v>5676</v>
      </c>
      <c r="AF3874" s="47">
        <v>1485</v>
      </c>
      <c r="AG3874" s="47"/>
      <c r="AH3874" s="47" t="str">
        <f>IFERROR(_xlfn.XLOOKUP(Table6[[#This Row],[Suburb]],Table5[Travel Surcharge],Table5[$$]),"")</f>
        <v/>
      </c>
      <c r="AI3874" s="47" t="s">
        <v>5677</v>
      </c>
      <c r="AJ3874" s="47" t="s">
        <v>7676</v>
      </c>
    </row>
    <row r="3875" spans="1:36">
      <c r="A3875" s="374" t="s">
        <v>5673</v>
      </c>
      <c r="B3875" s="374">
        <v>30</v>
      </c>
      <c r="C3875" s="374" t="s">
        <v>428</v>
      </c>
      <c r="D3875" s="375" t="str">
        <f t="shared" si="851"/>
        <v>Smiths Lane30</v>
      </c>
      <c r="E3875" s="375" t="s">
        <v>9811</v>
      </c>
      <c r="F3875" s="375"/>
      <c r="G3875" s="375"/>
      <c r="H3875" s="375"/>
      <c r="I3875" s="63"/>
      <c r="J3875" s="47">
        <v>3740</v>
      </c>
      <c r="K3875" s="46" t="s">
        <v>10735</v>
      </c>
      <c r="L3875" s="47"/>
      <c r="M3875" s="47" t="s">
        <v>5675</v>
      </c>
      <c r="N3875" s="47"/>
      <c r="O3875" s="47"/>
      <c r="P3875" s="47"/>
      <c r="Q3875" s="47">
        <v>0</v>
      </c>
      <c r="R3875" s="47"/>
      <c r="S3875" s="47"/>
      <c r="T3875" s="47"/>
      <c r="U3875" s="47"/>
      <c r="V3875" s="47" t="s">
        <v>9269</v>
      </c>
      <c r="W3875" s="47"/>
      <c r="X3875" s="47">
        <v>3000</v>
      </c>
      <c r="Y3875" s="47"/>
      <c r="Z3875" s="47">
        <v>4620</v>
      </c>
      <c r="AA3875" s="47"/>
      <c r="AB3875" s="47"/>
      <c r="AC3875" s="47"/>
      <c r="AD3875" s="47"/>
      <c r="AE3875" s="47" t="s">
        <v>5676</v>
      </c>
      <c r="AF3875" s="47">
        <v>1485</v>
      </c>
      <c r="AG3875" s="47"/>
      <c r="AH3875" s="47" t="str">
        <f>IFERROR(_xlfn.XLOOKUP(Table6[[#This Row],[Suburb]],Table5[Travel Surcharge],Table5[$$]),"")</f>
        <v/>
      </c>
      <c r="AI3875" s="47" t="s">
        <v>5677</v>
      </c>
      <c r="AJ3875" s="47" t="s">
        <v>7676</v>
      </c>
    </row>
    <row r="3876" spans="1:36">
      <c r="A3876" s="374" t="s">
        <v>5673</v>
      </c>
      <c r="B3876" s="374">
        <v>31</v>
      </c>
      <c r="C3876" s="374" t="s">
        <v>428</v>
      </c>
      <c r="D3876" s="375" t="str">
        <f t="shared" ref="D3876:D3879" si="852">CONCATENATE(A3876,B3876)</f>
        <v>Smiths Lane31</v>
      </c>
      <c r="E3876" s="375" t="s">
        <v>10339</v>
      </c>
      <c r="F3876" s="375"/>
      <c r="G3876" s="375"/>
      <c r="H3876" s="375"/>
      <c r="I3876" s="63"/>
      <c r="J3876" s="47">
        <v>3740</v>
      </c>
      <c r="K3876" s="46" t="s">
        <v>10735</v>
      </c>
      <c r="L3876" s="47"/>
      <c r="M3876" s="47" t="s">
        <v>5675</v>
      </c>
      <c r="N3876" s="47"/>
      <c r="O3876" s="47"/>
      <c r="P3876" s="47"/>
      <c r="Q3876" s="47">
        <v>0</v>
      </c>
      <c r="R3876" s="47"/>
      <c r="S3876" s="47"/>
      <c r="T3876" s="47"/>
      <c r="U3876" s="47"/>
      <c r="V3876" s="47" t="s">
        <v>9269</v>
      </c>
      <c r="W3876" s="47"/>
      <c r="X3876" s="47">
        <v>3000</v>
      </c>
      <c r="Y3876" s="47"/>
      <c r="Z3876" s="47">
        <v>4620</v>
      </c>
      <c r="AA3876" s="47"/>
      <c r="AB3876" s="47"/>
      <c r="AC3876" s="47"/>
      <c r="AD3876" s="47"/>
      <c r="AE3876" s="47" t="s">
        <v>5676</v>
      </c>
      <c r="AF3876" s="47">
        <v>1485</v>
      </c>
      <c r="AG3876" s="47"/>
      <c r="AH3876" s="47" t="str">
        <f>IFERROR(_xlfn.XLOOKUP(Table6[[#This Row],[Suburb]],Table5[Travel Surcharge],Table5[$$]),"")</f>
        <v/>
      </c>
      <c r="AI3876" s="47" t="s">
        <v>5677</v>
      </c>
      <c r="AJ3876" s="47" t="s">
        <v>7676</v>
      </c>
    </row>
    <row r="3877" spans="1:36">
      <c r="A3877" s="374" t="s">
        <v>5673</v>
      </c>
      <c r="B3877" s="374">
        <v>32</v>
      </c>
      <c r="C3877" s="374" t="s">
        <v>428</v>
      </c>
      <c r="D3877" s="375" t="str">
        <f t="shared" si="852"/>
        <v>Smiths Lane32</v>
      </c>
      <c r="E3877" s="375" t="s">
        <v>10466</v>
      </c>
      <c r="F3877" s="375"/>
      <c r="G3877" s="375"/>
      <c r="H3877" s="375"/>
      <c r="I3877" s="63"/>
      <c r="J3877" s="47">
        <v>3740</v>
      </c>
      <c r="K3877" s="46" t="s">
        <v>10735</v>
      </c>
      <c r="L3877" s="47"/>
      <c r="M3877" s="47" t="s">
        <v>5675</v>
      </c>
      <c r="N3877" s="47"/>
      <c r="O3877" s="47"/>
      <c r="P3877" s="47"/>
      <c r="Q3877" s="47">
        <v>0</v>
      </c>
      <c r="R3877" s="47"/>
      <c r="S3877" s="47"/>
      <c r="T3877" s="47"/>
      <c r="U3877" s="47"/>
      <c r="V3877" s="47" t="s">
        <v>9269</v>
      </c>
      <c r="W3877" s="47"/>
      <c r="X3877" s="47">
        <v>3000</v>
      </c>
      <c r="Y3877" s="47"/>
      <c r="Z3877" s="47">
        <v>4620</v>
      </c>
      <c r="AA3877" s="47"/>
      <c r="AB3877" s="47"/>
      <c r="AC3877" s="47"/>
      <c r="AD3877" s="47"/>
      <c r="AE3877" s="47" t="s">
        <v>5676</v>
      </c>
      <c r="AF3877" s="47">
        <v>1485</v>
      </c>
      <c r="AG3877" s="47"/>
      <c r="AH3877" s="47" t="s">
        <v>9976</v>
      </c>
      <c r="AI3877" s="47" t="s">
        <v>5677</v>
      </c>
      <c r="AJ3877" s="47" t="s">
        <v>7676</v>
      </c>
    </row>
    <row r="3878" spans="1:36">
      <c r="A3878" s="374" t="s">
        <v>5673</v>
      </c>
      <c r="B3878" s="374">
        <v>33</v>
      </c>
      <c r="C3878" s="374" t="s">
        <v>428</v>
      </c>
      <c r="D3878" s="375" t="str">
        <f t="shared" si="852"/>
        <v>Smiths Lane33</v>
      </c>
      <c r="E3878" s="375" t="s">
        <v>10821</v>
      </c>
      <c r="F3878" s="375"/>
      <c r="G3878" s="375"/>
      <c r="H3878" s="375"/>
      <c r="I3878" s="63"/>
      <c r="J3878" s="47">
        <v>3740</v>
      </c>
      <c r="K3878" s="46" t="s">
        <v>10735</v>
      </c>
      <c r="L3878" s="47"/>
      <c r="M3878" s="47" t="s">
        <v>5675</v>
      </c>
      <c r="N3878" s="47"/>
      <c r="O3878" s="47"/>
      <c r="P3878" s="47"/>
      <c r="Q3878" s="47">
        <v>0</v>
      </c>
      <c r="R3878" s="47"/>
      <c r="S3878" s="47"/>
      <c r="T3878" s="47"/>
      <c r="U3878" s="47"/>
      <c r="V3878" s="47" t="s">
        <v>9269</v>
      </c>
      <c r="W3878" s="47"/>
      <c r="X3878" s="47">
        <v>3000</v>
      </c>
      <c r="Y3878" s="47"/>
      <c r="Z3878" s="47">
        <v>4620</v>
      </c>
      <c r="AA3878" s="47"/>
      <c r="AB3878" s="47"/>
      <c r="AC3878" s="47"/>
      <c r="AD3878" s="47"/>
      <c r="AE3878" s="47" t="s">
        <v>5676</v>
      </c>
      <c r="AF3878" s="47">
        <v>1485</v>
      </c>
      <c r="AG3878" s="47"/>
      <c r="AH3878" s="47" t="s">
        <v>9976</v>
      </c>
      <c r="AI3878" s="47" t="s">
        <v>5677</v>
      </c>
      <c r="AJ3878" s="47" t="s">
        <v>7676</v>
      </c>
    </row>
    <row r="3879" spans="1:36">
      <c r="A3879" s="374" t="s">
        <v>5673</v>
      </c>
      <c r="B3879" s="374">
        <v>34</v>
      </c>
      <c r="C3879" s="374" t="s">
        <v>428</v>
      </c>
      <c r="D3879" s="375" t="str">
        <f t="shared" si="852"/>
        <v>Smiths Lane34</v>
      </c>
      <c r="E3879" s="375" t="s">
        <v>10960</v>
      </c>
      <c r="F3879" s="375"/>
      <c r="G3879" s="375"/>
      <c r="H3879" s="375"/>
      <c r="I3879" s="63"/>
      <c r="J3879" s="47">
        <f t="shared" ref="J3879:J3893" si="853">J$7</f>
        <v>3740</v>
      </c>
      <c r="K3879" s="46" t="s">
        <v>10735</v>
      </c>
      <c r="L3879" s="47"/>
      <c r="M3879" s="47" t="s">
        <v>5675</v>
      </c>
      <c r="N3879" s="47"/>
      <c r="O3879" s="47" t="s">
        <v>5695</v>
      </c>
      <c r="P3879" s="47"/>
      <c r="Q3879" s="47">
        <f t="shared" ref="Q3879:Q3884" si="854">Q$2</f>
        <v>0</v>
      </c>
      <c r="R3879" s="47"/>
      <c r="S3879" s="47"/>
      <c r="T3879" s="47"/>
      <c r="U3879" s="47"/>
      <c r="V3879" s="47" t="s">
        <v>8190</v>
      </c>
      <c r="W3879" s="47"/>
      <c r="X3879" s="47">
        <f t="shared" ref="X3879:X3893" si="855">X$7</f>
        <v>3000</v>
      </c>
      <c r="Y3879" s="47"/>
      <c r="Z3879" s="47">
        <f t="shared" ref="Z3879:Z3928" si="856">Z$7</f>
        <v>4620</v>
      </c>
      <c r="AA3879" s="47"/>
      <c r="AB3879" s="47"/>
      <c r="AC3879" s="47"/>
      <c r="AD3879" s="47"/>
      <c r="AE3879" s="47" t="s">
        <v>5676</v>
      </c>
      <c r="AF3879" s="47">
        <f t="shared" ref="AF3879:AF3893" si="857">AF$7</f>
        <v>1485</v>
      </c>
      <c r="AG3879" s="47"/>
      <c r="AH3879" s="47" t="str">
        <f>IFERROR(_xlfn.XLOOKUP(Table6[[#This Row],[Suburb]],Table5[Travel Surcharge],Table5[$$]),"")</f>
        <v/>
      </c>
      <c r="AI3879" s="47" t="s">
        <v>5677</v>
      </c>
      <c r="AJ3879" s="47" t="s">
        <v>7676</v>
      </c>
    </row>
    <row r="3880" spans="1:36">
      <c r="A3880" s="374" t="s">
        <v>5673</v>
      </c>
      <c r="B3880" s="374">
        <v>38</v>
      </c>
      <c r="C3880" s="374" t="s">
        <v>428</v>
      </c>
      <c r="D3880" s="375" t="str">
        <f t="shared" si="851"/>
        <v>Smiths Lane38</v>
      </c>
      <c r="E3880" s="375" t="s">
        <v>5694</v>
      </c>
      <c r="F3880" s="375"/>
      <c r="G3880" s="375"/>
      <c r="H3880" s="375"/>
      <c r="I3880" s="63"/>
      <c r="J3880" s="47">
        <f t="shared" si="853"/>
        <v>3740</v>
      </c>
      <c r="K3880" s="46" t="s">
        <v>10735</v>
      </c>
      <c r="L3880" s="47"/>
      <c r="M3880" s="47" t="s">
        <v>5675</v>
      </c>
      <c r="N3880" s="47"/>
      <c r="O3880" s="47" t="s">
        <v>5695</v>
      </c>
      <c r="P3880" s="47"/>
      <c r="Q3880" s="47">
        <f t="shared" si="854"/>
        <v>0</v>
      </c>
      <c r="R3880" s="47"/>
      <c r="S3880" s="47"/>
      <c r="T3880" s="47"/>
      <c r="U3880" s="47"/>
      <c r="V3880" s="47" t="s">
        <v>8190</v>
      </c>
      <c r="W3880" s="47"/>
      <c r="X3880" s="47">
        <f t="shared" si="855"/>
        <v>3000</v>
      </c>
      <c r="Y3880" s="47"/>
      <c r="Z3880" s="47">
        <f t="shared" si="856"/>
        <v>4620</v>
      </c>
      <c r="AA3880" s="47"/>
      <c r="AB3880" s="47"/>
      <c r="AC3880" s="47"/>
      <c r="AD3880" s="47"/>
      <c r="AE3880" s="47" t="s">
        <v>5676</v>
      </c>
      <c r="AF3880" s="47">
        <f t="shared" si="857"/>
        <v>1485</v>
      </c>
      <c r="AG3880" s="47"/>
      <c r="AH3880" s="47" t="str">
        <f>IFERROR(_xlfn.XLOOKUP(Table6[[#This Row],[Suburb]],Table5[Travel Surcharge],Table5[$$]),"")</f>
        <v/>
      </c>
      <c r="AI3880" s="47" t="s">
        <v>5677</v>
      </c>
      <c r="AJ3880" s="47" t="s">
        <v>7676</v>
      </c>
    </row>
    <row r="3881" spans="1:36">
      <c r="A3881" s="157" t="s">
        <v>5673</v>
      </c>
      <c r="B3881" s="157">
        <v>39</v>
      </c>
      <c r="C3881" s="157" t="s">
        <v>7416</v>
      </c>
      <c r="D3881" s="157" t="str">
        <f t="shared" si="851"/>
        <v>Smiths Lane39</v>
      </c>
      <c r="E3881" s="157" t="s">
        <v>8531</v>
      </c>
      <c r="F3881" s="157"/>
      <c r="G3881" s="157"/>
      <c r="H3881" s="157"/>
      <c r="I3881" s="158"/>
      <c r="J3881" s="47">
        <f t="shared" si="853"/>
        <v>3740</v>
      </c>
      <c r="K3881" s="46" t="s">
        <v>10735</v>
      </c>
      <c r="L3881" s="47"/>
      <c r="M3881" s="47" t="s">
        <v>8327</v>
      </c>
      <c r="N3881" s="47"/>
      <c r="O3881" s="47" t="s">
        <v>5695</v>
      </c>
      <c r="P3881" s="47"/>
      <c r="Q3881" s="47">
        <f t="shared" si="854"/>
        <v>0</v>
      </c>
      <c r="R3881" s="47"/>
      <c r="S3881" s="47"/>
      <c r="T3881" s="47"/>
      <c r="U3881" s="47"/>
      <c r="V3881" s="47" t="s">
        <v>8190</v>
      </c>
      <c r="W3881" s="47"/>
      <c r="X3881" s="47">
        <f t="shared" si="855"/>
        <v>3000</v>
      </c>
      <c r="Y3881" s="47"/>
      <c r="Z3881" s="47">
        <f t="shared" si="856"/>
        <v>4620</v>
      </c>
      <c r="AA3881" s="47"/>
      <c r="AB3881" s="47"/>
      <c r="AC3881" s="47"/>
      <c r="AD3881" s="47"/>
      <c r="AE3881" s="47" t="s">
        <v>5676</v>
      </c>
      <c r="AF3881" s="47">
        <f t="shared" si="857"/>
        <v>1485</v>
      </c>
      <c r="AG3881" s="47"/>
      <c r="AH3881" s="47" t="str">
        <f>IFERROR(_xlfn.XLOOKUP(Table6[[#This Row],[Suburb]],Table5[Travel Surcharge],Table5[$$]),"")</f>
        <v/>
      </c>
      <c r="AI3881" s="47" t="s">
        <v>5677</v>
      </c>
      <c r="AJ3881" s="47" t="s">
        <v>7676</v>
      </c>
    </row>
    <row r="3882" spans="1:36">
      <c r="A3882" s="374" t="s">
        <v>5673</v>
      </c>
      <c r="B3882" s="374">
        <v>40</v>
      </c>
      <c r="C3882" s="374" t="s">
        <v>428</v>
      </c>
      <c r="D3882" s="375" t="str">
        <f t="shared" si="851"/>
        <v>Smiths Lane40</v>
      </c>
      <c r="E3882" s="375" t="s">
        <v>5696</v>
      </c>
      <c r="F3882" s="375"/>
      <c r="G3882" s="375"/>
      <c r="H3882" s="375"/>
      <c r="I3882" s="63"/>
      <c r="J3882" s="47">
        <f t="shared" si="853"/>
        <v>3740</v>
      </c>
      <c r="K3882" s="46" t="s">
        <v>10735</v>
      </c>
      <c r="L3882" s="47"/>
      <c r="M3882" s="47" t="s">
        <v>5675</v>
      </c>
      <c r="N3882" s="47"/>
      <c r="O3882" s="47" t="s">
        <v>5695</v>
      </c>
      <c r="P3882" s="47"/>
      <c r="Q3882" s="47">
        <f t="shared" si="854"/>
        <v>0</v>
      </c>
      <c r="R3882" s="47"/>
      <c r="S3882" s="47"/>
      <c r="T3882" s="47"/>
      <c r="U3882" s="47"/>
      <c r="V3882" s="47" t="s">
        <v>8190</v>
      </c>
      <c r="W3882" s="47"/>
      <c r="X3882" s="47">
        <f t="shared" si="855"/>
        <v>3000</v>
      </c>
      <c r="Y3882" s="47"/>
      <c r="Z3882" s="47">
        <f t="shared" si="856"/>
        <v>4620</v>
      </c>
      <c r="AA3882" s="47"/>
      <c r="AB3882" s="47"/>
      <c r="AC3882" s="47"/>
      <c r="AD3882" s="47"/>
      <c r="AE3882" s="47" t="s">
        <v>5676</v>
      </c>
      <c r="AF3882" s="47">
        <f t="shared" si="857"/>
        <v>1485</v>
      </c>
      <c r="AG3882" s="47"/>
      <c r="AH3882" s="47" t="str">
        <f>IFERROR(_xlfn.XLOOKUP(Table6[[#This Row],[Suburb]],Table5[Travel Surcharge],Table5[$$]),"")</f>
        <v/>
      </c>
      <c r="AI3882" s="47" t="s">
        <v>5677</v>
      </c>
      <c r="AJ3882" s="47" t="s">
        <v>7676</v>
      </c>
    </row>
    <row r="3883" spans="1:36">
      <c r="A3883" s="374" t="s">
        <v>5673</v>
      </c>
      <c r="B3883" s="374">
        <v>41</v>
      </c>
      <c r="C3883" s="374" t="s">
        <v>428</v>
      </c>
      <c r="D3883" s="375" t="str">
        <f t="shared" si="851"/>
        <v>Smiths Lane41</v>
      </c>
      <c r="E3883" s="375" t="s">
        <v>5697</v>
      </c>
      <c r="F3883" s="375"/>
      <c r="G3883" s="375"/>
      <c r="H3883" s="375"/>
      <c r="I3883" s="63"/>
      <c r="J3883" s="47">
        <f t="shared" si="853"/>
        <v>3740</v>
      </c>
      <c r="K3883" s="46" t="s">
        <v>10735</v>
      </c>
      <c r="L3883" s="47"/>
      <c r="M3883" s="47" t="s">
        <v>5675</v>
      </c>
      <c r="N3883" s="47"/>
      <c r="O3883" s="47" t="s">
        <v>5695</v>
      </c>
      <c r="P3883" s="47"/>
      <c r="Q3883" s="47">
        <f t="shared" si="854"/>
        <v>0</v>
      </c>
      <c r="R3883" s="47"/>
      <c r="S3883" s="47"/>
      <c r="T3883" s="47"/>
      <c r="U3883" s="47"/>
      <c r="V3883" s="47" t="s">
        <v>8190</v>
      </c>
      <c r="W3883" s="47"/>
      <c r="X3883" s="47">
        <f t="shared" si="855"/>
        <v>3000</v>
      </c>
      <c r="Y3883" s="47"/>
      <c r="Z3883" s="47">
        <f t="shared" si="856"/>
        <v>4620</v>
      </c>
      <c r="AA3883" s="47"/>
      <c r="AB3883" s="47"/>
      <c r="AC3883" s="47"/>
      <c r="AD3883" s="47"/>
      <c r="AE3883" s="47" t="s">
        <v>5676</v>
      </c>
      <c r="AF3883" s="47">
        <f t="shared" si="857"/>
        <v>1485</v>
      </c>
      <c r="AG3883" s="47"/>
      <c r="AH3883" s="47" t="str">
        <f>IFERROR(_xlfn.XLOOKUP(Table6[[#This Row],[Suburb]],Table5[Travel Surcharge],Table5[$$]),"")</f>
        <v/>
      </c>
      <c r="AI3883" s="47" t="s">
        <v>5677</v>
      </c>
      <c r="AJ3883" s="47" t="s">
        <v>7676</v>
      </c>
    </row>
    <row r="3884" spans="1:36">
      <c r="A3884" s="374" t="s">
        <v>5673</v>
      </c>
      <c r="B3884" s="374">
        <v>42</v>
      </c>
      <c r="C3884" s="374" t="s">
        <v>428</v>
      </c>
      <c r="D3884" s="375" t="str">
        <f t="shared" si="851"/>
        <v>Smiths Lane42</v>
      </c>
      <c r="E3884" s="375" t="s">
        <v>5698</v>
      </c>
      <c r="F3884" s="375"/>
      <c r="G3884" s="375"/>
      <c r="H3884" s="375"/>
      <c r="I3884" s="63"/>
      <c r="J3884" s="47">
        <f t="shared" si="853"/>
        <v>3740</v>
      </c>
      <c r="K3884" s="46" t="s">
        <v>10735</v>
      </c>
      <c r="L3884" s="47"/>
      <c r="M3884" s="47" t="s">
        <v>5675</v>
      </c>
      <c r="N3884" s="47"/>
      <c r="O3884" s="47" t="s">
        <v>5695</v>
      </c>
      <c r="P3884" s="47"/>
      <c r="Q3884" s="47">
        <f t="shared" si="854"/>
        <v>0</v>
      </c>
      <c r="R3884" s="47"/>
      <c r="S3884" s="47"/>
      <c r="T3884" s="47"/>
      <c r="U3884" s="47"/>
      <c r="V3884" s="47" t="s">
        <v>8190</v>
      </c>
      <c r="W3884" s="47"/>
      <c r="X3884" s="47">
        <f t="shared" si="855"/>
        <v>3000</v>
      </c>
      <c r="Y3884" s="47"/>
      <c r="Z3884" s="47">
        <f t="shared" si="856"/>
        <v>4620</v>
      </c>
      <c r="AA3884" s="47"/>
      <c r="AB3884" s="47"/>
      <c r="AC3884" s="47"/>
      <c r="AD3884" s="47"/>
      <c r="AE3884" s="47" t="s">
        <v>5676</v>
      </c>
      <c r="AF3884" s="47">
        <f t="shared" si="857"/>
        <v>1485</v>
      </c>
      <c r="AG3884" s="47"/>
      <c r="AH3884" s="47" t="str">
        <f>IFERROR(_xlfn.XLOOKUP(Table6[[#This Row],[Suburb]],Table5[Travel Surcharge],Table5[$$]),"")</f>
        <v/>
      </c>
      <c r="AI3884" s="47" t="s">
        <v>5677</v>
      </c>
      <c r="AJ3884" s="47" t="s">
        <v>7676</v>
      </c>
    </row>
    <row r="3885" spans="1:36">
      <c r="A3885" s="374" t="s">
        <v>5673</v>
      </c>
      <c r="B3885" s="374">
        <v>44</v>
      </c>
      <c r="C3885" s="374" t="s">
        <v>428</v>
      </c>
      <c r="D3885" s="375" t="str">
        <f t="shared" si="851"/>
        <v>Smiths Lane44</v>
      </c>
      <c r="E3885" s="375" t="s">
        <v>10863</v>
      </c>
      <c r="F3885" s="375"/>
      <c r="G3885" s="375"/>
      <c r="H3885" s="375"/>
      <c r="I3885" s="63"/>
      <c r="J3885" s="47">
        <v>3740</v>
      </c>
      <c r="K3885" s="46" t="s">
        <v>10735</v>
      </c>
      <c r="L3885" s="47"/>
      <c r="M3885" s="47" t="s">
        <v>5675</v>
      </c>
      <c r="N3885" s="47"/>
      <c r="O3885" s="47" t="s">
        <v>5695</v>
      </c>
      <c r="P3885" s="47"/>
      <c r="Q3885" s="47">
        <v>0</v>
      </c>
      <c r="R3885" s="47"/>
      <c r="S3885" s="47"/>
      <c r="T3885" s="47"/>
      <c r="U3885" s="47"/>
      <c r="V3885" s="47" t="s">
        <v>8190</v>
      </c>
      <c r="W3885" s="47"/>
      <c r="X3885" s="47">
        <v>3000</v>
      </c>
      <c r="Y3885" s="47"/>
      <c r="Z3885" s="47">
        <v>4620</v>
      </c>
      <c r="AA3885" s="47"/>
      <c r="AB3885" s="47"/>
      <c r="AC3885" s="47"/>
      <c r="AD3885" s="47"/>
      <c r="AE3885" s="47" t="s">
        <v>5676</v>
      </c>
      <c r="AF3885" s="47">
        <v>1485</v>
      </c>
      <c r="AG3885" s="47"/>
      <c r="AH3885" s="47" t="s">
        <v>9976</v>
      </c>
      <c r="AI3885" s="47" t="s">
        <v>5677</v>
      </c>
      <c r="AJ3885" s="47" t="s">
        <v>7676</v>
      </c>
    </row>
    <row r="3886" spans="1:36">
      <c r="A3886" s="374" t="s">
        <v>5699</v>
      </c>
      <c r="B3886" s="374">
        <v>5</v>
      </c>
      <c r="C3886" s="374" t="s">
        <v>428</v>
      </c>
      <c r="D3886" s="375" t="str">
        <f t="shared" si="851"/>
        <v>Smiths Park5</v>
      </c>
      <c r="E3886" s="375" t="s">
        <v>5700</v>
      </c>
      <c r="F3886" s="375"/>
      <c r="G3886" s="375" t="s">
        <v>5701</v>
      </c>
      <c r="H3886" s="375" t="s">
        <v>5702</v>
      </c>
      <c r="I3886" s="63" t="s">
        <v>5703</v>
      </c>
      <c r="J3886" s="47">
        <f t="shared" si="853"/>
        <v>3740</v>
      </c>
      <c r="K3886" s="46" t="s">
        <v>10735</v>
      </c>
      <c r="L3886" s="47" t="s">
        <v>2817</v>
      </c>
      <c r="M3886" s="47">
        <v>1430.0000000000002</v>
      </c>
      <c r="N3886" s="47"/>
      <c r="O3886" s="47" t="s">
        <v>5704</v>
      </c>
      <c r="P3886" s="47" t="s">
        <v>8468</v>
      </c>
      <c r="Q3886" s="47"/>
      <c r="R3886" s="47"/>
      <c r="S3886" s="47"/>
      <c r="T3886" s="47"/>
      <c r="U3886" s="47">
        <f t="shared" ref="U3886:U3893" si="858">U$2</f>
        <v>430</v>
      </c>
      <c r="V3886" s="47"/>
      <c r="W3886" s="47"/>
      <c r="X3886" s="47">
        <f t="shared" si="855"/>
        <v>3000</v>
      </c>
      <c r="Y3886" s="47"/>
      <c r="Z3886" s="47">
        <f t="shared" si="856"/>
        <v>4620</v>
      </c>
      <c r="AA3886" s="47"/>
      <c r="AB3886" s="47"/>
      <c r="AC3886" s="47"/>
      <c r="AD3886" s="47"/>
      <c r="AE3886" s="47"/>
      <c r="AF3886" s="47">
        <f t="shared" si="857"/>
        <v>1485</v>
      </c>
      <c r="AG3886" s="47"/>
      <c r="AH3886" s="47" t="str">
        <f>IFERROR(_xlfn.XLOOKUP(Table6[[#This Row],[Suburb]],Table5[Travel Surcharge],Table5[$$]),"")</f>
        <v/>
      </c>
      <c r="AI3886" s="47"/>
      <c r="AJ3886" s="47"/>
    </row>
    <row r="3887" spans="1:36">
      <c r="A3887" s="374" t="s">
        <v>5699</v>
      </c>
      <c r="B3887" s="374">
        <v>6</v>
      </c>
      <c r="C3887" s="374" t="s">
        <v>428</v>
      </c>
      <c r="D3887" s="375" t="str">
        <f t="shared" si="851"/>
        <v>Smiths Park6</v>
      </c>
      <c r="E3887" s="375" t="s">
        <v>5705</v>
      </c>
      <c r="F3887" s="375"/>
      <c r="G3887" s="375" t="s">
        <v>5701</v>
      </c>
      <c r="H3887" s="375" t="s">
        <v>5702</v>
      </c>
      <c r="I3887" s="63" t="s">
        <v>5703</v>
      </c>
      <c r="J3887" s="47">
        <f t="shared" si="853"/>
        <v>3740</v>
      </c>
      <c r="K3887" s="46" t="s">
        <v>10735</v>
      </c>
      <c r="L3887" s="47" t="s">
        <v>2817</v>
      </c>
      <c r="M3887" s="47">
        <v>1430.0000000000002</v>
      </c>
      <c r="N3887" s="47"/>
      <c r="O3887" s="47" t="s">
        <v>5704</v>
      </c>
      <c r="P3887" s="47" t="s">
        <v>8468</v>
      </c>
      <c r="Q3887" s="47"/>
      <c r="R3887" s="47"/>
      <c r="S3887" s="47"/>
      <c r="T3887" s="47"/>
      <c r="U3887" s="47">
        <f t="shared" si="858"/>
        <v>430</v>
      </c>
      <c r="V3887" s="47"/>
      <c r="W3887" s="47"/>
      <c r="X3887" s="47">
        <f t="shared" si="855"/>
        <v>3000</v>
      </c>
      <c r="Y3887" s="47"/>
      <c r="Z3887" s="47">
        <f t="shared" si="856"/>
        <v>4620</v>
      </c>
      <c r="AA3887" s="47"/>
      <c r="AB3887" s="47"/>
      <c r="AC3887" s="47"/>
      <c r="AD3887" s="47"/>
      <c r="AE3887" s="47"/>
      <c r="AF3887" s="47">
        <f t="shared" si="857"/>
        <v>1485</v>
      </c>
      <c r="AG3887" s="47"/>
      <c r="AH3887" s="47" t="str">
        <f>IFERROR(_xlfn.XLOOKUP(Table6[[#This Row],[Suburb]],Table5[Travel Surcharge],Table5[$$]),"")</f>
        <v/>
      </c>
      <c r="AI3887" s="47"/>
      <c r="AJ3887" s="47"/>
    </row>
    <row r="3888" spans="1:36">
      <c r="A3888" s="374" t="s">
        <v>5699</v>
      </c>
      <c r="B3888" s="374">
        <v>7</v>
      </c>
      <c r="C3888" s="374" t="s">
        <v>428</v>
      </c>
      <c r="D3888" s="375" t="str">
        <f t="shared" si="851"/>
        <v>Smiths Park7</v>
      </c>
      <c r="E3888" s="375" t="s">
        <v>5706</v>
      </c>
      <c r="F3888" s="375"/>
      <c r="G3888" s="375" t="s">
        <v>5701</v>
      </c>
      <c r="H3888" s="375" t="s">
        <v>5702</v>
      </c>
      <c r="I3888" s="63" t="s">
        <v>5703</v>
      </c>
      <c r="J3888" s="47">
        <f t="shared" si="853"/>
        <v>3740</v>
      </c>
      <c r="K3888" s="46" t="s">
        <v>10735</v>
      </c>
      <c r="L3888" s="47" t="s">
        <v>2817</v>
      </c>
      <c r="M3888" s="47">
        <v>1430.0000000000002</v>
      </c>
      <c r="N3888" s="47"/>
      <c r="O3888" s="47" t="s">
        <v>5704</v>
      </c>
      <c r="P3888" s="47" t="s">
        <v>8468</v>
      </c>
      <c r="Q3888" s="47"/>
      <c r="R3888" s="47"/>
      <c r="S3888" s="47"/>
      <c r="T3888" s="47"/>
      <c r="U3888" s="47">
        <f t="shared" si="858"/>
        <v>430</v>
      </c>
      <c r="V3888" s="47"/>
      <c r="W3888" s="47"/>
      <c r="X3888" s="47">
        <f t="shared" si="855"/>
        <v>3000</v>
      </c>
      <c r="Y3888" s="47"/>
      <c r="Z3888" s="47">
        <f t="shared" si="856"/>
        <v>4620</v>
      </c>
      <c r="AA3888" s="47"/>
      <c r="AB3888" s="47"/>
      <c r="AC3888" s="47"/>
      <c r="AD3888" s="47"/>
      <c r="AE3888" s="47"/>
      <c r="AF3888" s="47">
        <f t="shared" si="857"/>
        <v>1485</v>
      </c>
      <c r="AG3888" s="47"/>
      <c r="AH3888" s="47" t="str">
        <f>IFERROR(_xlfn.XLOOKUP(Table6[[#This Row],[Suburb]],Table5[Travel Surcharge],Table5[$$]),"")</f>
        <v/>
      </c>
      <c r="AI3888" s="47"/>
      <c r="AJ3888" s="47"/>
    </row>
    <row r="3889" spans="1:36">
      <c r="A3889" s="374" t="s">
        <v>5699</v>
      </c>
      <c r="B3889" s="374">
        <v>8</v>
      </c>
      <c r="C3889" s="374" t="s">
        <v>428</v>
      </c>
      <c r="D3889" s="375" t="str">
        <f t="shared" si="851"/>
        <v>Smiths Park8</v>
      </c>
      <c r="E3889" s="375" t="s">
        <v>5707</v>
      </c>
      <c r="F3889" s="375"/>
      <c r="G3889" s="375" t="s">
        <v>5701</v>
      </c>
      <c r="H3889" s="375" t="s">
        <v>5702</v>
      </c>
      <c r="I3889" s="63" t="s">
        <v>5703</v>
      </c>
      <c r="J3889" s="47">
        <f t="shared" si="853"/>
        <v>3740</v>
      </c>
      <c r="K3889" s="46" t="s">
        <v>10735</v>
      </c>
      <c r="L3889" s="47" t="s">
        <v>2817</v>
      </c>
      <c r="M3889" s="47">
        <v>1430.0000000000002</v>
      </c>
      <c r="N3889" s="47"/>
      <c r="O3889" s="47" t="s">
        <v>5704</v>
      </c>
      <c r="P3889" s="47" t="s">
        <v>8468</v>
      </c>
      <c r="Q3889" s="47"/>
      <c r="R3889" s="47"/>
      <c r="S3889" s="47"/>
      <c r="T3889" s="47"/>
      <c r="U3889" s="47">
        <f t="shared" si="858"/>
        <v>430</v>
      </c>
      <c r="V3889" s="47"/>
      <c r="W3889" s="47"/>
      <c r="X3889" s="47">
        <f t="shared" si="855"/>
        <v>3000</v>
      </c>
      <c r="Y3889" s="47"/>
      <c r="Z3889" s="47">
        <f t="shared" si="856"/>
        <v>4620</v>
      </c>
      <c r="AA3889" s="47"/>
      <c r="AB3889" s="47"/>
      <c r="AC3889" s="47"/>
      <c r="AD3889" s="47"/>
      <c r="AE3889" s="47"/>
      <c r="AF3889" s="47">
        <f t="shared" si="857"/>
        <v>1485</v>
      </c>
      <c r="AG3889" s="47"/>
      <c r="AH3889" s="47" t="str">
        <f>IFERROR(_xlfn.XLOOKUP(Table6[[#This Row],[Suburb]],Table5[Travel Surcharge],Table5[$$]),"")</f>
        <v/>
      </c>
      <c r="AI3889" s="47"/>
      <c r="AJ3889" s="47"/>
    </row>
    <row r="3890" spans="1:36">
      <c r="A3890" s="374" t="s">
        <v>5699</v>
      </c>
      <c r="B3890" s="374">
        <v>10</v>
      </c>
      <c r="C3890" s="374" t="s">
        <v>428</v>
      </c>
      <c r="D3890" s="375" t="str">
        <f t="shared" si="851"/>
        <v>Smiths Park10</v>
      </c>
      <c r="E3890" s="375" t="s">
        <v>5708</v>
      </c>
      <c r="F3890" s="375"/>
      <c r="G3890" s="375" t="s">
        <v>5701</v>
      </c>
      <c r="H3890" s="375" t="s">
        <v>5702</v>
      </c>
      <c r="I3890" s="63" t="s">
        <v>5703</v>
      </c>
      <c r="J3890" s="47">
        <f t="shared" si="853"/>
        <v>3740</v>
      </c>
      <c r="K3890" s="46" t="s">
        <v>10735</v>
      </c>
      <c r="L3890" s="47" t="s">
        <v>2817</v>
      </c>
      <c r="M3890" s="47">
        <v>1430.0000000000002</v>
      </c>
      <c r="N3890" s="47"/>
      <c r="O3890" s="47" t="s">
        <v>5704</v>
      </c>
      <c r="P3890" s="47" t="s">
        <v>8468</v>
      </c>
      <c r="Q3890" s="47"/>
      <c r="R3890" s="47"/>
      <c r="S3890" s="47"/>
      <c r="T3890" s="47"/>
      <c r="U3890" s="47">
        <f t="shared" si="858"/>
        <v>430</v>
      </c>
      <c r="V3890" s="47"/>
      <c r="W3890" s="47"/>
      <c r="X3890" s="47">
        <f t="shared" si="855"/>
        <v>3000</v>
      </c>
      <c r="Y3890" s="47"/>
      <c r="Z3890" s="47">
        <f t="shared" si="856"/>
        <v>4620</v>
      </c>
      <c r="AA3890" s="47"/>
      <c r="AB3890" s="47"/>
      <c r="AC3890" s="47"/>
      <c r="AD3890" s="47"/>
      <c r="AE3890" s="47"/>
      <c r="AF3890" s="47">
        <f t="shared" si="857"/>
        <v>1485</v>
      </c>
      <c r="AG3890" s="47"/>
      <c r="AH3890" s="47" t="str">
        <f>IFERROR(_xlfn.XLOOKUP(Table6[[#This Row],[Suburb]],Table5[Travel Surcharge],Table5[$$]),"")</f>
        <v/>
      </c>
      <c r="AI3890" s="47"/>
      <c r="AJ3890" s="47"/>
    </row>
    <row r="3891" spans="1:36">
      <c r="A3891" s="374" t="s">
        <v>5699</v>
      </c>
      <c r="B3891" s="374">
        <v>11</v>
      </c>
      <c r="C3891" s="374" t="s">
        <v>428</v>
      </c>
      <c r="D3891" s="375" t="str">
        <f t="shared" si="851"/>
        <v>Smiths Park11</v>
      </c>
      <c r="E3891" s="375" t="s">
        <v>5709</v>
      </c>
      <c r="F3891" s="375"/>
      <c r="G3891" s="375" t="s">
        <v>5701</v>
      </c>
      <c r="H3891" s="375" t="s">
        <v>5702</v>
      </c>
      <c r="I3891" s="63" t="s">
        <v>5703</v>
      </c>
      <c r="J3891" s="47">
        <f t="shared" si="853"/>
        <v>3740</v>
      </c>
      <c r="K3891" s="46" t="s">
        <v>10735</v>
      </c>
      <c r="L3891" s="47" t="s">
        <v>2817</v>
      </c>
      <c r="M3891" s="47">
        <v>1430.0000000000002</v>
      </c>
      <c r="N3891" s="47"/>
      <c r="O3891" s="47" t="s">
        <v>5704</v>
      </c>
      <c r="P3891" s="47" t="s">
        <v>8468</v>
      </c>
      <c r="Q3891" s="47"/>
      <c r="R3891" s="47"/>
      <c r="S3891" s="47"/>
      <c r="T3891" s="47"/>
      <c r="U3891" s="47">
        <f t="shared" si="858"/>
        <v>430</v>
      </c>
      <c r="V3891" s="47"/>
      <c r="W3891" s="47"/>
      <c r="X3891" s="47">
        <f t="shared" si="855"/>
        <v>3000</v>
      </c>
      <c r="Y3891" s="47"/>
      <c r="Z3891" s="47">
        <f t="shared" si="856"/>
        <v>4620</v>
      </c>
      <c r="AA3891" s="47"/>
      <c r="AB3891" s="47"/>
      <c r="AC3891" s="47"/>
      <c r="AD3891" s="47"/>
      <c r="AE3891" s="47"/>
      <c r="AF3891" s="47">
        <f t="shared" si="857"/>
        <v>1485</v>
      </c>
      <c r="AG3891" s="47"/>
      <c r="AH3891" s="47" t="str">
        <f>IFERROR(_xlfn.XLOOKUP(Table6[[#This Row],[Suburb]],Table5[Travel Surcharge],Table5[$$]),"")</f>
        <v/>
      </c>
      <c r="AI3891" s="47"/>
      <c r="AJ3891" s="47"/>
    </row>
    <row r="3892" spans="1:36">
      <c r="A3892" s="374" t="s">
        <v>5699</v>
      </c>
      <c r="B3892" s="374">
        <v>12</v>
      </c>
      <c r="C3892" s="374" t="s">
        <v>428</v>
      </c>
      <c r="D3892" s="375" t="str">
        <f t="shared" si="851"/>
        <v>Smiths Park12</v>
      </c>
      <c r="E3892" s="375" t="s">
        <v>5710</v>
      </c>
      <c r="F3892" s="375"/>
      <c r="G3892" s="375" t="s">
        <v>5701</v>
      </c>
      <c r="H3892" s="375" t="s">
        <v>5702</v>
      </c>
      <c r="I3892" s="63" t="s">
        <v>5703</v>
      </c>
      <c r="J3892" s="47">
        <f t="shared" si="853"/>
        <v>3740</v>
      </c>
      <c r="K3892" s="46" t="s">
        <v>10735</v>
      </c>
      <c r="L3892" s="47" t="s">
        <v>2817</v>
      </c>
      <c r="M3892" s="47">
        <v>1430.0000000000002</v>
      </c>
      <c r="N3892" s="47"/>
      <c r="O3892" s="47" t="s">
        <v>5704</v>
      </c>
      <c r="P3892" s="47" t="s">
        <v>8468</v>
      </c>
      <c r="Q3892" s="47"/>
      <c r="R3892" s="47"/>
      <c r="S3892" s="47"/>
      <c r="T3892" s="47"/>
      <c r="U3892" s="47">
        <f t="shared" si="858"/>
        <v>430</v>
      </c>
      <c r="V3892" s="47"/>
      <c r="W3892" s="47"/>
      <c r="X3892" s="47">
        <f t="shared" si="855"/>
        <v>3000</v>
      </c>
      <c r="Y3892" s="47"/>
      <c r="Z3892" s="47">
        <f t="shared" si="856"/>
        <v>4620</v>
      </c>
      <c r="AA3892" s="47"/>
      <c r="AB3892" s="47"/>
      <c r="AC3892" s="47"/>
      <c r="AD3892" s="47"/>
      <c r="AE3892" s="47"/>
      <c r="AF3892" s="47">
        <f t="shared" si="857"/>
        <v>1485</v>
      </c>
      <c r="AG3892" s="47"/>
      <c r="AH3892" s="47" t="str">
        <f>IFERROR(_xlfn.XLOOKUP(Table6[[#This Row],[Suburb]],Table5[Travel Surcharge],Table5[$$]),"")</f>
        <v/>
      </c>
      <c r="AI3892" s="47"/>
      <c r="AJ3892" s="47"/>
    </row>
    <row r="3893" spans="1:36">
      <c r="A3893" s="157" t="s">
        <v>5699</v>
      </c>
      <c r="B3893" s="157">
        <v>13</v>
      </c>
      <c r="C3893" s="157" t="s">
        <v>428</v>
      </c>
      <c r="D3893" s="157" t="str">
        <f t="shared" si="851"/>
        <v>Smiths Park13</v>
      </c>
      <c r="E3893" s="157" t="s">
        <v>8075</v>
      </c>
      <c r="F3893" s="157"/>
      <c r="G3893" s="157" t="s">
        <v>5701</v>
      </c>
      <c r="H3893" s="157" t="s">
        <v>5702</v>
      </c>
      <c r="I3893" s="158" t="s">
        <v>5703</v>
      </c>
      <c r="J3893" s="47">
        <f t="shared" si="853"/>
        <v>3740</v>
      </c>
      <c r="K3893" s="46" t="s">
        <v>10735</v>
      </c>
      <c r="L3893" s="47" t="s">
        <v>2817</v>
      </c>
      <c r="M3893" s="47">
        <v>1430.0000000000002</v>
      </c>
      <c r="N3893" s="47"/>
      <c r="O3893" s="47" t="s">
        <v>5704</v>
      </c>
      <c r="P3893" s="47" t="s">
        <v>8468</v>
      </c>
      <c r="Q3893" s="47"/>
      <c r="R3893" s="47"/>
      <c r="S3893" s="47"/>
      <c r="T3893" s="47"/>
      <c r="U3893" s="47">
        <f t="shared" si="858"/>
        <v>430</v>
      </c>
      <c r="V3893" s="47"/>
      <c r="W3893" s="47"/>
      <c r="X3893" s="47">
        <f t="shared" si="855"/>
        <v>3000</v>
      </c>
      <c r="Y3893" s="47"/>
      <c r="Z3893" s="47">
        <f t="shared" si="856"/>
        <v>4620</v>
      </c>
      <c r="AA3893" s="47"/>
      <c r="AB3893" s="47"/>
      <c r="AC3893" s="47"/>
      <c r="AD3893" s="47"/>
      <c r="AE3893" s="47"/>
      <c r="AF3893" s="47">
        <f t="shared" si="857"/>
        <v>1485</v>
      </c>
      <c r="AG3893" s="47"/>
      <c r="AH3893" s="47" t="str">
        <f>IFERROR(_xlfn.XLOOKUP(Table6[[#This Row],[Suburb]],Table5[Travel Surcharge],Table5[$$]),"")</f>
        <v/>
      </c>
      <c r="AI3893" s="47"/>
      <c r="AJ3893" s="47"/>
    </row>
    <row r="3894" spans="1:36">
      <c r="A3894" s="374" t="s">
        <v>8999</v>
      </c>
      <c r="B3894" s="374">
        <v>2</v>
      </c>
      <c r="C3894" s="374" t="s">
        <v>550</v>
      </c>
      <c r="D3894" s="375" t="str">
        <f t="shared" si="851"/>
        <v>Society2</v>
      </c>
      <c r="E3894" s="375" t="s">
        <v>10369</v>
      </c>
      <c r="F3894" s="375"/>
      <c r="G3894" s="375"/>
      <c r="H3894" s="375"/>
      <c r="I3894" s="63"/>
      <c r="J3894" s="47"/>
      <c r="K3894" s="46" t="s">
        <v>10735</v>
      </c>
      <c r="L3894" s="47" t="s">
        <v>3622</v>
      </c>
      <c r="M3894" s="47" t="s">
        <v>8773</v>
      </c>
      <c r="N3894" s="47" t="s">
        <v>1396</v>
      </c>
      <c r="O3894" s="47">
        <v>4950</v>
      </c>
      <c r="P3894" s="47"/>
      <c r="Q3894" s="47"/>
      <c r="R3894" s="47"/>
      <c r="S3894" s="47"/>
      <c r="T3894" s="47">
        <v>0</v>
      </c>
      <c r="U3894" s="47"/>
      <c r="V3894" s="47" t="s">
        <v>9001</v>
      </c>
      <c r="W3894" s="47"/>
      <c r="X3894" s="47" t="s">
        <v>8217</v>
      </c>
      <c r="Y3894" s="47"/>
      <c r="Z3894" s="47">
        <v>4620</v>
      </c>
      <c r="AA3894" s="47">
        <v>1400</v>
      </c>
      <c r="AB3894" s="47"/>
      <c r="AC3894" s="47"/>
      <c r="AD3894" s="47"/>
      <c r="AE3894" s="47"/>
      <c r="AF3894" s="47">
        <v>1485</v>
      </c>
      <c r="AG3894" s="47"/>
      <c r="AH3894" s="47" t="s">
        <v>9976</v>
      </c>
      <c r="AI3894" s="47"/>
      <c r="AJ3894" s="47"/>
    </row>
    <row r="3895" spans="1:36">
      <c r="A3895" s="374" t="s">
        <v>8999</v>
      </c>
      <c r="B3895" s="374">
        <v>3</v>
      </c>
      <c r="C3895" s="374" t="s">
        <v>550</v>
      </c>
      <c r="D3895" s="375" t="str">
        <f t="shared" si="851"/>
        <v>Society3</v>
      </c>
      <c r="E3895" s="375" t="s">
        <v>9000</v>
      </c>
      <c r="F3895" s="375"/>
      <c r="G3895" s="375"/>
      <c r="H3895" s="375"/>
      <c r="I3895" s="63"/>
      <c r="J3895" s="47"/>
      <c r="K3895" s="46" t="s">
        <v>10735</v>
      </c>
      <c r="L3895" s="47" t="s">
        <v>3622</v>
      </c>
      <c r="M3895" s="47" t="s">
        <v>8773</v>
      </c>
      <c r="N3895" s="47" t="s">
        <v>1396</v>
      </c>
      <c r="O3895" s="47">
        <f>O$7</f>
        <v>4950</v>
      </c>
      <c r="P3895" s="47"/>
      <c r="Q3895" s="47"/>
      <c r="R3895" s="47"/>
      <c r="S3895" s="47"/>
      <c r="T3895" s="47">
        <f>$T1691</f>
        <v>0</v>
      </c>
      <c r="U3895" s="47"/>
      <c r="V3895" s="47" t="s">
        <v>9001</v>
      </c>
      <c r="W3895" s="47"/>
      <c r="X3895" s="47" t="s">
        <v>8217</v>
      </c>
      <c r="Y3895" s="47"/>
      <c r="Z3895" s="47">
        <f t="shared" si="856"/>
        <v>4620</v>
      </c>
      <c r="AA3895" s="47">
        <f>$AA$7</f>
        <v>1400</v>
      </c>
      <c r="AB3895" s="47"/>
      <c r="AC3895" s="47"/>
      <c r="AD3895" s="47"/>
      <c r="AE3895" s="47"/>
      <c r="AF3895" s="47">
        <f>$AF$7</f>
        <v>1485</v>
      </c>
      <c r="AG3895" s="47"/>
      <c r="AH3895" s="47" t="str">
        <f>IFERROR(_xlfn.XLOOKUP(Table6[[#This Row],[Suburb]],Table5[Travel Surcharge],Table5[$$]),"")</f>
        <v/>
      </c>
      <c r="AI3895" s="47"/>
      <c r="AJ3895" s="47"/>
    </row>
    <row r="3896" spans="1:36">
      <c r="A3896" s="374" t="s">
        <v>8999</v>
      </c>
      <c r="B3896" s="374">
        <v>5</v>
      </c>
      <c r="C3896" s="374" t="s">
        <v>550</v>
      </c>
      <c r="D3896" s="375" t="str">
        <f t="shared" ref="D3896" si="859">CONCATENATE(A3896,B3896)</f>
        <v>Society5</v>
      </c>
      <c r="E3896" s="375" t="s">
        <v>10370</v>
      </c>
      <c r="F3896" s="375"/>
      <c r="G3896" s="375"/>
      <c r="H3896" s="375"/>
      <c r="I3896" s="63"/>
      <c r="J3896" s="47"/>
      <c r="K3896" s="46" t="s">
        <v>10735</v>
      </c>
      <c r="L3896" s="47" t="s">
        <v>3622</v>
      </c>
      <c r="M3896" s="47" t="s">
        <v>8773</v>
      </c>
      <c r="N3896" s="47" t="s">
        <v>1396</v>
      </c>
      <c r="O3896" s="47">
        <f>O$7</f>
        <v>4950</v>
      </c>
      <c r="P3896" s="47"/>
      <c r="Q3896" s="47"/>
      <c r="R3896" s="47"/>
      <c r="S3896" s="47"/>
      <c r="T3896" s="47">
        <f>$T1692</f>
        <v>0</v>
      </c>
      <c r="U3896" s="47"/>
      <c r="V3896" s="47" t="s">
        <v>9001</v>
      </c>
      <c r="W3896" s="47"/>
      <c r="X3896" s="47" t="s">
        <v>8217</v>
      </c>
      <c r="Y3896" s="47"/>
      <c r="Z3896" s="47">
        <f t="shared" si="856"/>
        <v>4620</v>
      </c>
      <c r="AA3896" s="47">
        <f>$AA$7</f>
        <v>1400</v>
      </c>
      <c r="AB3896" s="47"/>
      <c r="AC3896" s="47"/>
      <c r="AD3896" s="47"/>
      <c r="AE3896" s="47"/>
      <c r="AF3896" s="47">
        <f>$AF$7</f>
        <v>1485</v>
      </c>
      <c r="AG3896" s="47"/>
      <c r="AH3896" s="47" t="str">
        <f>IFERROR(_xlfn.XLOOKUP(Table6[[#This Row],[Suburb]],Table5[Travel Surcharge],Table5[$$]),"")</f>
        <v/>
      </c>
      <c r="AI3896" s="47"/>
      <c r="AJ3896" s="47"/>
    </row>
    <row r="3897" spans="1:36">
      <c r="A3897" s="374" t="s">
        <v>5711</v>
      </c>
      <c r="B3897" s="374">
        <v>5</v>
      </c>
      <c r="C3897" s="374" t="s">
        <v>2060</v>
      </c>
      <c r="D3897" s="375" t="str">
        <f t="shared" si="851"/>
        <v>Somerdale Heights5</v>
      </c>
      <c r="E3897" s="375" t="s">
        <v>2064</v>
      </c>
      <c r="F3897" s="375"/>
      <c r="G3897" s="375" t="s">
        <v>5384</v>
      </c>
      <c r="H3897" s="375" t="s">
        <v>5385</v>
      </c>
      <c r="I3897" s="63" t="s">
        <v>5386</v>
      </c>
      <c r="J3897" s="47">
        <f t="shared" ref="J3897:J3913" si="860">J$7</f>
        <v>3740</v>
      </c>
      <c r="K3897" s="46" t="s">
        <v>10735</v>
      </c>
      <c r="L3897" s="47"/>
      <c r="M3897" s="47"/>
      <c r="N3897" s="47"/>
      <c r="O3897" s="47"/>
      <c r="P3897" s="47"/>
      <c r="Q3897" s="47">
        <f>Q$2</f>
        <v>0</v>
      </c>
      <c r="R3897" s="47"/>
      <c r="S3897" s="47"/>
      <c r="T3897" s="47"/>
      <c r="U3897" s="47"/>
      <c r="V3897" s="47"/>
      <c r="W3897" s="47"/>
      <c r="X3897" s="47"/>
      <c r="Y3897" s="47"/>
      <c r="Z3897" s="47">
        <f t="shared" si="856"/>
        <v>4620</v>
      </c>
      <c r="AA3897" s="47"/>
      <c r="AB3897" s="47"/>
      <c r="AC3897" s="47"/>
      <c r="AD3897" s="47"/>
      <c r="AE3897" s="47"/>
      <c r="AF3897" s="47"/>
      <c r="AG3897" s="47"/>
      <c r="AH3897" s="47" t="str">
        <f>IFERROR(_xlfn.XLOOKUP(Table6[[#This Row],[Suburb]],Table5[Travel Surcharge],Table5[$$]),"")</f>
        <v/>
      </c>
      <c r="AI3897" s="47"/>
      <c r="AJ3897" s="47"/>
    </row>
    <row r="3898" spans="1:36">
      <c r="A3898" s="374" t="s">
        <v>5711</v>
      </c>
      <c r="B3898" s="374">
        <v>6</v>
      </c>
      <c r="C3898" s="374" t="s">
        <v>2060</v>
      </c>
      <c r="D3898" s="375" t="str">
        <f t="shared" si="851"/>
        <v>Somerdale Heights6</v>
      </c>
      <c r="E3898" s="375" t="s">
        <v>5716</v>
      </c>
      <c r="F3898" s="375"/>
      <c r="G3898" s="375" t="s">
        <v>5384</v>
      </c>
      <c r="H3898" s="375" t="s">
        <v>5385</v>
      </c>
      <c r="I3898" s="63" t="s">
        <v>5386</v>
      </c>
      <c r="J3898" s="47">
        <f t="shared" si="860"/>
        <v>3740</v>
      </c>
      <c r="K3898" s="46" t="s">
        <v>10735</v>
      </c>
      <c r="L3898" s="47"/>
      <c r="M3898" s="47"/>
      <c r="N3898" s="47"/>
      <c r="O3898" s="47"/>
      <c r="P3898" s="47"/>
      <c r="Q3898" s="47">
        <f>Q$2</f>
        <v>0</v>
      </c>
      <c r="R3898" s="47"/>
      <c r="S3898" s="47"/>
      <c r="T3898" s="47"/>
      <c r="U3898" s="47"/>
      <c r="V3898" s="47"/>
      <c r="W3898" s="47"/>
      <c r="X3898" s="47"/>
      <c r="Y3898" s="47"/>
      <c r="Z3898" s="47">
        <f t="shared" si="856"/>
        <v>4620</v>
      </c>
      <c r="AA3898" s="47"/>
      <c r="AB3898" s="47"/>
      <c r="AC3898" s="47"/>
      <c r="AD3898" s="47"/>
      <c r="AE3898" s="47"/>
      <c r="AF3898" s="47"/>
      <c r="AG3898" s="47"/>
      <c r="AH3898" s="47" t="str">
        <f>IFERROR(_xlfn.XLOOKUP(Table6[[#This Row],[Suburb]],Table5[Travel Surcharge],Table5[$$]),"")</f>
        <v/>
      </c>
      <c r="AI3898" s="47"/>
      <c r="AJ3898" s="47"/>
    </row>
    <row r="3899" spans="1:36">
      <c r="A3899" s="374" t="s">
        <v>5711</v>
      </c>
      <c r="B3899" s="374">
        <v>7</v>
      </c>
      <c r="C3899" s="374" t="s">
        <v>2060</v>
      </c>
      <c r="D3899" s="375" t="str">
        <f t="shared" si="851"/>
        <v>Somerdale Heights7</v>
      </c>
      <c r="E3899" s="375" t="s">
        <v>5717</v>
      </c>
      <c r="F3899" s="375"/>
      <c r="G3899" s="375" t="s">
        <v>5384</v>
      </c>
      <c r="H3899" s="375" t="s">
        <v>5385</v>
      </c>
      <c r="I3899" s="63" t="s">
        <v>5386</v>
      </c>
      <c r="J3899" s="47">
        <f t="shared" si="860"/>
        <v>3740</v>
      </c>
      <c r="K3899" s="46" t="s">
        <v>10735</v>
      </c>
      <c r="L3899" s="47"/>
      <c r="M3899" s="47"/>
      <c r="N3899" s="47"/>
      <c r="O3899" s="47"/>
      <c r="P3899" s="47"/>
      <c r="Q3899" s="47">
        <f>Q$2</f>
        <v>0</v>
      </c>
      <c r="R3899" s="47"/>
      <c r="S3899" s="47"/>
      <c r="T3899" s="47"/>
      <c r="U3899" s="47"/>
      <c r="V3899" s="47"/>
      <c r="W3899" s="47"/>
      <c r="X3899" s="47"/>
      <c r="Y3899" s="47"/>
      <c r="Z3899" s="47">
        <f t="shared" si="856"/>
        <v>4620</v>
      </c>
      <c r="AA3899" s="47"/>
      <c r="AB3899" s="47"/>
      <c r="AC3899" s="47"/>
      <c r="AD3899" s="47"/>
      <c r="AE3899" s="47"/>
      <c r="AF3899" s="47"/>
      <c r="AG3899" s="47"/>
      <c r="AH3899" s="47" t="str">
        <f>IFERROR(_xlfn.XLOOKUP(Table6[[#This Row],[Suburb]],Table5[Travel Surcharge],Table5[$$]),"")</f>
        <v/>
      </c>
      <c r="AI3899" s="47"/>
      <c r="AJ3899" s="47"/>
    </row>
    <row r="3900" spans="1:36">
      <c r="A3900" s="374" t="s">
        <v>5711</v>
      </c>
      <c r="B3900" s="374" t="s">
        <v>5712</v>
      </c>
      <c r="C3900" s="374" t="s">
        <v>2060</v>
      </c>
      <c r="D3900" s="375" t="str">
        <f t="shared" si="851"/>
        <v>Somerdale Heights1A (101-132)</v>
      </c>
      <c r="E3900" s="375" t="s">
        <v>5713</v>
      </c>
      <c r="F3900" s="375"/>
      <c r="G3900" s="375" t="s">
        <v>5384</v>
      </c>
      <c r="H3900" s="375" t="s">
        <v>5385</v>
      </c>
      <c r="I3900" s="63" t="s">
        <v>5386</v>
      </c>
      <c r="J3900" s="47">
        <f t="shared" si="860"/>
        <v>3740</v>
      </c>
      <c r="K3900" s="46" t="s">
        <v>10735</v>
      </c>
      <c r="L3900" s="47"/>
      <c r="M3900" s="47"/>
      <c r="N3900" s="47"/>
      <c r="O3900" s="47"/>
      <c r="P3900" s="47"/>
      <c r="Q3900" s="47">
        <f>Q$2</f>
        <v>0</v>
      </c>
      <c r="R3900" s="47"/>
      <c r="S3900" s="47"/>
      <c r="T3900" s="47"/>
      <c r="U3900" s="47"/>
      <c r="V3900" s="47"/>
      <c r="W3900" s="47"/>
      <c r="X3900" s="47"/>
      <c r="Y3900" s="47"/>
      <c r="Z3900" s="47">
        <f t="shared" si="856"/>
        <v>4620</v>
      </c>
      <c r="AA3900" s="47"/>
      <c r="AB3900" s="47"/>
      <c r="AC3900" s="47"/>
      <c r="AD3900" s="47"/>
      <c r="AE3900" s="47"/>
      <c r="AF3900" s="47"/>
      <c r="AG3900" s="47"/>
      <c r="AH3900" s="47" t="str">
        <f>IFERROR(_xlfn.XLOOKUP(Table6[[#This Row],[Suburb]],Table5[Travel Surcharge],Table5[$$]),"")</f>
        <v/>
      </c>
      <c r="AI3900" s="47"/>
      <c r="AJ3900" s="47"/>
    </row>
    <row r="3901" spans="1:36">
      <c r="A3901" s="374" t="s">
        <v>5711</v>
      </c>
      <c r="B3901" s="374" t="s">
        <v>5714</v>
      </c>
      <c r="C3901" s="374" t="s">
        <v>2060</v>
      </c>
      <c r="D3901" s="375" t="str">
        <f t="shared" si="851"/>
        <v>Somerdale Heights1A (133-145)</v>
      </c>
      <c r="E3901" s="375" t="s">
        <v>5715</v>
      </c>
      <c r="F3901" s="375"/>
      <c r="G3901" s="375" t="s">
        <v>5384</v>
      </c>
      <c r="H3901" s="375" t="s">
        <v>5385</v>
      </c>
      <c r="I3901" s="63" t="s">
        <v>5386</v>
      </c>
      <c r="J3901" s="47">
        <f t="shared" si="860"/>
        <v>3740</v>
      </c>
      <c r="K3901" s="46" t="s">
        <v>10735</v>
      </c>
      <c r="L3901" s="47"/>
      <c r="M3901" s="47"/>
      <c r="N3901" s="47"/>
      <c r="O3901" s="47"/>
      <c r="P3901" s="47"/>
      <c r="Q3901" s="47">
        <f>Q$2</f>
        <v>0</v>
      </c>
      <c r="R3901" s="47"/>
      <c r="S3901" s="47"/>
      <c r="T3901" s="47"/>
      <c r="U3901" s="47"/>
      <c r="V3901" s="47"/>
      <c r="W3901" s="47"/>
      <c r="X3901" s="47"/>
      <c r="Y3901" s="47"/>
      <c r="Z3901" s="47">
        <f t="shared" si="856"/>
        <v>4620</v>
      </c>
      <c r="AA3901" s="47"/>
      <c r="AB3901" s="47"/>
      <c r="AC3901" s="47"/>
      <c r="AD3901" s="47"/>
      <c r="AE3901" s="47"/>
      <c r="AF3901" s="47"/>
      <c r="AG3901" s="47"/>
      <c r="AH3901" s="47" t="str">
        <f>IFERROR(_xlfn.XLOOKUP(Table6[[#This Row],[Suburb]],Table5[Travel Surcharge],Table5[$$]),"")</f>
        <v/>
      </c>
      <c r="AI3901" s="47"/>
      <c r="AJ3901" s="47"/>
    </row>
    <row r="3902" spans="1:36">
      <c r="A3902" s="374" t="s">
        <v>5718</v>
      </c>
      <c r="B3902" s="374">
        <v>14</v>
      </c>
      <c r="C3902" s="374" t="s">
        <v>353</v>
      </c>
      <c r="D3902" s="375" t="str">
        <f t="shared" si="851"/>
        <v>Somerfield Estate14</v>
      </c>
      <c r="E3902" s="375" t="s">
        <v>5719</v>
      </c>
      <c r="F3902" s="375" t="s">
        <v>690</v>
      </c>
      <c r="G3902" s="375" t="s">
        <v>4225</v>
      </c>
      <c r="H3902" s="375" t="s">
        <v>4226</v>
      </c>
      <c r="I3902" s="63" t="s">
        <v>4227</v>
      </c>
      <c r="J3902" s="47">
        <f t="shared" si="860"/>
        <v>3740</v>
      </c>
      <c r="K3902" s="46" t="s">
        <v>7938</v>
      </c>
      <c r="L3902" s="47"/>
      <c r="M3902" s="47" t="s">
        <v>5720</v>
      </c>
      <c r="N3902" s="47"/>
      <c r="O3902" s="47"/>
      <c r="P3902" s="47"/>
      <c r="Q3902" s="47"/>
      <c r="R3902" s="47"/>
      <c r="S3902" s="47"/>
      <c r="T3902" s="47">
        <f t="shared" ref="T3902:T3910" si="861">T$2</f>
        <v>780</v>
      </c>
      <c r="U3902" s="47"/>
      <c r="V3902" s="47"/>
      <c r="W3902" s="47"/>
      <c r="X3902" s="47">
        <f t="shared" ref="X3902:X3910" si="862">X$7</f>
        <v>3000</v>
      </c>
      <c r="Y3902" s="47"/>
      <c r="Z3902" s="47">
        <f t="shared" si="856"/>
        <v>4620</v>
      </c>
      <c r="AA3902" s="47"/>
      <c r="AB3902" s="47"/>
      <c r="AC3902" s="47">
        <f t="shared" ref="AC3902:AC3910" si="863">AC$7</f>
        <v>5200</v>
      </c>
      <c r="AD3902" s="47"/>
      <c r="AE3902" s="47"/>
      <c r="AF3902" s="47"/>
      <c r="AG3902" s="47"/>
      <c r="AH3902" s="47" t="str">
        <f>IFERROR(_xlfn.XLOOKUP(Table6[[#This Row],[Suburb]],Table5[Travel Surcharge],Table5[$$]),"")</f>
        <v/>
      </c>
      <c r="AI3902" s="47"/>
      <c r="AJ3902" s="47"/>
    </row>
    <row r="3903" spans="1:36">
      <c r="A3903" s="374" t="s">
        <v>5718</v>
      </c>
      <c r="B3903" s="374">
        <v>32</v>
      </c>
      <c r="C3903" s="374" t="s">
        <v>353</v>
      </c>
      <c r="D3903" s="375" t="str">
        <f t="shared" si="851"/>
        <v>Somerfield Estate32</v>
      </c>
      <c r="E3903" s="375" t="s">
        <v>5721</v>
      </c>
      <c r="F3903" s="375" t="s">
        <v>690</v>
      </c>
      <c r="G3903" s="375" t="s">
        <v>4225</v>
      </c>
      <c r="H3903" s="375" t="s">
        <v>4226</v>
      </c>
      <c r="I3903" s="63" t="s">
        <v>4227</v>
      </c>
      <c r="J3903" s="47">
        <f t="shared" si="860"/>
        <v>3740</v>
      </c>
      <c r="K3903" s="46" t="s">
        <v>7938</v>
      </c>
      <c r="L3903" s="47"/>
      <c r="M3903" s="47" t="s">
        <v>5720</v>
      </c>
      <c r="N3903" s="47"/>
      <c r="O3903" s="47"/>
      <c r="P3903" s="47"/>
      <c r="Q3903" s="47"/>
      <c r="R3903" s="47"/>
      <c r="S3903" s="47"/>
      <c r="T3903" s="47">
        <f t="shared" si="861"/>
        <v>780</v>
      </c>
      <c r="U3903" s="47"/>
      <c r="V3903" s="47"/>
      <c r="W3903" s="47"/>
      <c r="X3903" s="47">
        <f t="shared" si="862"/>
        <v>3000</v>
      </c>
      <c r="Y3903" s="47"/>
      <c r="Z3903" s="47">
        <f t="shared" si="856"/>
        <v>4620</v>
      </c>
      <c r="AA3903" s="47"/>
      <c r="AB3903" s="47"/>
      <c r="AC3903" s="47">
        <f t="shared" si="863"/>
        <v>5200</v>
      </c>
      <c r="AD3903" s="47"/>
      <c r="AE3903" s="47"/>
      <c r="AF3903" s="47"/>
      <c r="AG3903" s="47"/>
      <c r="AH3903" s="47" t="str">
        <f>IFERROR(_xlfn.XLOOKUP(Table6[[#This Row],[Suburb]],Table5[Travel Surcharge],Table5[$$]),"")</f>
        <v/>
      </c>
      <c r="AI3903" s="47"/>
      <c r="AJ3903" s="47"/>
    </row>
    <row r="3904" spans="1:36">
      <c r="A3904" s="374" t="s">
        <v>5718</v>
      </c>
      <c r="B3904" s="374">
        <v>35</v>
      </c>
      <c r="C3904" s="374" t="s">
        <v>353</v>
      </c>
      <c r="D3904" s="375" t="str">
        <f t="shared" si="851"/>
        <v>Somerfield Estate35</v>
      </c>
      <c r="E3904" s="375" t="s">
        <v>5722</v>
      </c>
      <c r="F3904" s="375" t="s">
        <v>690</v>
      </c>
      <c r="G3904" s="375" t="s">
        <v>4225</v>
      </c>
      <c r="H3904" s="375" t="s">
        <v>4226</v>
      </c>
      <c r="I3904" s="63" t="s">
        <v>4227</v>
      </c>
      <c r="J3904" s="47">
        <f t="shared" si="860"/>
        <v>3740</v>
      </c>
      <c r="K3904" s="46" t="s">
        <v>7938</v>
      </c>
      <c r="L3904" s="47"/>
      <c r="M3904" s="47" t="s">
        <v>5720</v>
      </c>
      <c r="N3904" s="47"/>
      <c r="O3904" s="47"/>
      <c r="P3904" s="47"/>
      <c r="Q3904" s="47"/>
      <c r="R3904" s="47"/>
      <c r="S3904" s="47"/>
      <c r="T3904" s="47">
        <f t="shared" si="861"/>
        <v>780</v>
      </c>
      <c r="U3904" s="47"/>
      <c r="V3904" s="47"/>
      <c r="W3904" s="47"/>
      <c r="X3904" s="47">
        <f t="shared" si="862"/>
        <v>3000</v>
      </c>
      <c r="Y3904" s="47"/>
      <c r="Z3904" s="47">
        <f t="shared" si="856"/>
        <v>4620</v>
      </c>
      <c r="AA3904" s="47"/>
      <c r="AB3904" s="47"/>
      <c r="AC3904" s="47">
        <f t="shared" si="863"/>
        <v>5200</v>
      </c>
      <c r="AD3904" s="47"/>
      <c r="AE3904" s="47"/>
      <c r="AF3904" s="47"/>
      <c r="AG3904" s="47"/>
      <c r="AH3904" s="47" t="str">
        <f>IFERROR(_xlfn.XLOOKUP(Table6[[#This Row],[Suburb]],Table5[Travel Surcharge],Table5[$$]),"")</f>
        <v/>
      </c>
      <c r="AI3904" s="47"/>
      <c r="AJ3904" s="47"/>
    </row>
    <row r="3905" spans="1:36">
      <c r="A3905" s="374" t="s">
        <v>5718</v>
      </c>
      <c r="B3905" s="374">
        <v>37</v>
      </c>
      <c r="C3905" s="374" t="s">
        <v>353</v>
      </c>
      <c r="D3905" s="375" t="str">
        <f t="shared" si="851"/>
        <v>Somerfield Estate37</v>
      </c>
      <c r="E3905" s="375" t="s">
        <v>5723</v>
      </c>
      <c r="F3905" s="375" t="s">
        <v>690</v>
      </c>
      <c r="G3905" s="375" t="s">
        <v>4225</v>
      </c>
      <c r="H3905" s="375" t="s">
        <v>4226</v>
      </c>
      <c r="I3905" s="63" t="s">
        <v>4227</v>
      </c>
      <c r="J3905" s="47">
        <f t="shared" si="860"/>
        <v>3740</v>
      </c>
      <c r="K3905" s="46" t="s">
        <v>7938</v>
      </c>
      <c r="L3905" s="47"/>
      <c r="M3905" s="47" t="s">
        <v>5720</v>
      </c>
      <c r="N3905" s="47"/>
      <c r="O3905" s="47"/>
      <c r="P3905" s="47"/>
      <c r="Q3905" s="47"/>
      <c r="R3905" s="47"/>
      <c r="S3905" s="47"/>
      <c r="T3905" s="47">
        <f t="shared" si="861"/>
        <v>780</v>
      </c>
      <c r="U3905" s="47"/>
      <c r="V3905" s="47"/>
      <c r="W3905" s="47"/>
      <c r="X3905" s="47">
        <f t="shared" si="862"/>
        <v>3000</v>
      </c>
      <c r="Y3905" s="47"/>
      <c r="Z3905" s="47">
        <f t="shared" si="856"/>
        <v>4620</v>
      </c>
      <c r="AA3905" s="47"/>
      <c r="AB3905" s="47"/>
      <c r="AC3905" s="47">
        <f t="shared" si="863"/>
        <v>5200</v>
      </c>
      <c r="AD3905" s="47"/>
      <c r="AE3905" s="47"/>
      <c r="AF3905" s="47"/>
      <c r="AG3905" s="47"/>
      <c r="AH3905" s="47" t="str">
        <f>IFERROR(_xlfn.XLOOKUP(Table6[[#This Row],[Suburb]],Table5[Travel Surcharge],Table5[$$]),"")</f>
        <v/>
      </c>
      <c r="AI3905" s="47"/>
      <c r="AJ3905" s="47"/>
    </row>
    <row r="3906" spans="1:36">
      <c r="A3906" s="374" t="s">
        <v>5718</v>
      </c>
      <c r="B3906" s="374">
        <v>40</v>
      </c>
      <c r="C3906" s="374" t="s">
        <v>353</v>
      </c>
      <c r="D3906" s="375" t="str">
        <f t="shared" si="851"/>
        <v>Somerfield Estate40</v>
      </c>
      <c r="E3906" s="375" t="s">
        <v>5724</v>
      </c>
      <c r="F3906" s="375" t="s">
        <v>690</v>
      </c>
      <c r="G3906" s="375" t="s">
        <v>4225</v>
      </c>
      <c r="H3906" s="375" t="s">
        <v>4226</v>
      </c>
      <c r="I3906" s="63" t="s">
        <v>4227</v>
      </c>
      <c r="J3906" s="47">
        <f t="shared" si="860"/>
        <v>3740</v>
      </c>
      <c r="K3906" s="46" t="s">
        <v>7938</v>
      </c>
      <c r="L3906" s="47"/>
      <c r="M3906" s="47" t="s">
        <v>5720</v>
      </c>
      <c r="N3906" s="47"/>
      <c r="O3906" s="47"/>
      <c r="P3906" s="47"/>
      <c r="Q3906" s="47"/>
      <c r="R3906" s="47"/>
      <c r="S3906" s="47"/>
      <c r="T3906" s="47">
        <f t="shared" si="861"/>
        <v>780</v>
      </c>
      <c r="U3906" s="47"/>
      <c r="V3906" s="47"/>
      <c r="W3906" s="47"/>
      <c r="X3906" s="47">
        <f t="shared" si="862"/>
        <v>3000</v>
      </c>
      <c r="Y3906" s="47"/>
      <c r="Z3906" s="47">
        <f t="shared" si="856"/>
        <v>4620</v>
      </c>
      <c r="AA3906" s="47"/>
      <c r="AB3906" s="47"/>
      <c r="AC3906" s="47">
        <f t="shared" si="863"/>
        <v>5200</v>
      </c>
      <c r="AD3906" s="47"/>
      <c r="AE3906" s="47"/>
      <c r="AF3906" s="47"/>
      <c r="AG3906" s="47"/>
      <c r="AH3906" s="47" t="str">
        <f>IFERROR(_xlfn.XLOOKUP(Table6[[#This Row],[Suburb]],Table5[Travel Surcharge],Table5[$$]),"")</f>
        <v/>
      </c>
      <c r="AI3906" s="47"/>
      <c r="AJ3906" s="47"/>
    </row>
    <row r="3907" spans="1:36">
      <c r="A3907" s="374" t="s">
        <v>5718</v>
      </c>
      <c r="B3907" s="374">
        <v>41</v>
      </c>
      <c r="C3907" s="374" t="s">
        <v>353</v>
      </c>
      <c r="D3907" s="375" t="str">
        <f t="shared" si="851"/>
        <v>Somerfield Estate41</v>
      </c>
      <c r="E3907" s="375" t="s">
        <v>5725</v>
      </c>
      <c r="F3907" s="375" t="s">
        <v>690</v>
      </c>
      <c r="G3907" s="375" t="s">
        <v>4225</v>
      </c>
      <c r="H3907" s="375" t="s">
        <v>4226</v>
      </c>
      <c r="I3907" s="63" t="s">
        <v>4227</v>
      </c>
      <c r="J3907" s="47">
        <f t="shared" si="860"/>
        <v>3740</v>
      </c>
      <c r="K3907" s="46" t="s">
        <v>7938</v>
      </c>
      <c r="L3907" s="47"/>
      <c r="M3907" s="47" t="s">
        <v>5720</v>
      </c>
      <c r="N3907" s="47"/>
      <c r="O3907" s="47"/>
      <c r="P3907" s="47"/>
      <c r="Q3907" s="47"/>
      <c r="R3907" s="47"/>
      <c r="S3907" s="47"/>
      <c r="T3907" s="47">
        <f t="shared" si="861"/>
        <v>780</v>
      </c>
      <c r="U3907" s="47"/>
      <c r="V3907" s="47"/>
      <c r="W3907" s="47"/>
      <c r="X3907" s="47">
        <f t="shared" si="862"/>
        <v>3000</v>
      </c>
      <c r="Y3907" s="47"/>
      <c r="Z3907" s="47">
        <f t="shared" si="856"/>
        <v>4620</v>
      </c>
      <c r="AA3907" s="47"/>
      <c r="AB3907" s="47"/>
      <c r="AC3907" s="47">
        <f t="shared" si="863"/>
        <v>5200</v>
      </c>
      <c r="AD3907" s="47"/>
      <c r="AE3907" s="47"/>
      <c r="AF3907" s="47"/>
      <c r="AG3907" s="47"/>
      <c r="AH3907" s="47" t="str">
        <f>IFERROR(_xlfn.XLOOKUP(Table6[[#This Row],[Suburb]],Table5[Travel Surcharge],Table5[$$]),"")</f>
        <v/>
      </c>
      <c r="AI3907" s="47"/>
      <c r="AJ3907" s="47"/>
    </row>
    <row r="3908" spans="1:36">
      <c r="A3908" s="374" t="s">
        <v>5718</v>
      </c>
      <c r="B3908" s="374">
        <v>42</v>
      </c>
      <c r="C3908" s="374" t="s">
        <v>353</v>
      </c>
      <c r="D3908" s="375" t="str">
        <f t="shared" si="851"/>
        <v>Somerfield Estate42</v>
      </c>
      <c r="E3908" s="375" t="s">
        <v>5726</v>
      </c>
      <c r="F3908" s="375" t="s">
        <v>690</v>
      </c>
      <c r="G3908" s="375" t="s">
        <v>4225</v>
      </c>
      <c r="H3908" s="375" t="s">
        <v>4226</v>
      </c>
      <c r="I3908" s="63" t="s">
        <v>4227</v>
      </c>
      <c r="J3908" s="47">
        <f t="shared" si="860"/>
        <v>3740</v>
      </c>
      <c r="K3908" s="46" t="s">
        <v>7938</v>
      </c>
      <c r="L3908" s="47"/>
      <c r="M3908" s="47" t="s">
        <v>5720</v>
      </c>
      <c r="N3908" s="47"/>
      <c r="O3908" s="47"/>
      <c r="P3908" s="47"/>
      <c r="Q3908" s="47"/>
      <c r="R3908" s="47"/>
      <c r="S3908" s="47"/>
      <c r="T3908" s="47">
        <f t="shared" si="861"/>
        <v>780</v>
      </c>
      <c r="U3908" s="47"/>
      <c r="V3908" s="47"/>
      <c r="W3908" s="47"/>
      <c r="X3908" s="47">
        <f t="shared" si="862"/>
        <v>3000</v>
      </c>
      <c r="Y3908" s="47"/>
      <c r="Z3908" s="47">
        <f t="shared" si="856"/>
        <v>4620</v>
      </c>
      <c r="AA3908" s="47"/>
      <c r="AB3908" s="47"/>
      <c r="AC3908" s="47">
        <f t="shared" si="863"/>
        <v>5200</v>
      </c>
      <c r="AD3908" s="47"/>
      <c r="AE3908" s="47"/>
      <c r="AF3908" s="47"/>
      <c r="AG3908" s="47"/>
      <c r="AH3908" s="47" t="str">
        <f>IFERROR(_xlfn.XLOOKUP(Table6[[#This Row],[Suburb]],Table5[Travel Surcharge],Table5[$$]),"")</f>
        <v/>
      </c>
      <c r="AI3908" s="47"/>
      <c r="AJ3908" s="47"/>
    </row>
    <row r="3909" spans="1:36">
      <c r="A3909" s="374" t="s">
        <v>5718</v>
      </c>
      <c r="B3909" s="374">
        <v>45</v>
      </c>
      <c r="C3909" s="374" t="s">
        <v>353</v>
      </c>
      <c r="D3909" s="375" t="str">
        <f t="shared" si="851"/>
        <v>Somerfield Estate45</v>
      </c>
      <c r="E3909" s="375" t="s">
        <v>5727</v>
      </c>
      <c r="F3909" s="375" t="s">
        <v>690</v>
      </c>
      <c r="G3909" s="375" t="s">
        <v>4225</v>
      </c>
      <c r="H3909" s="375" t="s">
        <v>4226</v>
      </c>
      <c r="I3909" s="63" t="s">
        <v>4227</v>
      </c>
      <c r="J3909" s="47">
        <f t="shared" si="860"/>
        <v>3740</v>
      </c>
      <c r="K3909" s="46" t="s">
        <v>7938</v>
      </c>
      <c r="L3909" s="47"/>
      <c r="M3909" s="47" t="s">
        <v>5720</v>
      </c>
      <c r="N3909" s="47"/>
      <c r="O3909" s="47"/>
      <c r="P3909" s="47"/>
      <c r="Q3909" s="47"/>
      <c r="R3909" s="47"/>
      <c r="S3909" s="47"/>
      <c r="T3909" s="47">
        <f t="shared" si="861"/>
        <v>780</v>
      </c>
      <c r="U3909" s="47"/>
      <c r="V3909" s="47"/>
      <c r="W3909" s="47"/>
      <c r="X3909" s="47">
        <f t="shared" si="862"/>
        <v>3000</v>
      </c>
      <c r="Y3909" s="47"/>
      <c r="Z3909" s="47">
        <f t="shared" si="856"/>
        <v>4620</v>
      </c>
      <c r="AA3909" s="47"/>
      <c r="AB3909" s="47"/>
      <c r="AC3909" s="47">
        <f t="shared" si="863"/>
        <v>5200</v>
      </c>
      <c r="AD3909" s="47"/>
      <c r="AE3909" s="47"/>
      <c r="AF3909" s="47"/>
      <c r="AG3909" s="47"/>
      <c r="AH3909" s="47" t="str">
        <f>IFERROR(_xlfn.XLOOKUP(Table6[[#This Row],[Suburb]],Table5[Travel Surcharge],Table5[$$]),"")</f>
        <v/>
      </c>
      <c r="AI3909" s="47"/>
      <c r="AJ3909" s="47"/>
    </row>
    <row r="3910" spans="1:36">
      <c r="A3910" s="374" t="s">
        <v>5718</v>
      </c>
      <c r="B3910" s="374">
        <v>47</v>
      </c>
      <c r="C3910" s="374" t="s">
        <v>353</v>
      </c>
      <c r="D3910" s="375" t="str">
        <f t="shared" si="851"/>
        <v>Somerfield Estate47</v>
      </c>
      <c r="E3910" s="375" t="s">
        <v>5728</v>
      </c>
      <c r="F3910" s="375" t="s">
        <v>690</v>
      </c>
      <c r="G3910" s="375" t="s">
        <v>4225</v>
      </c>
      <c r="H3910" s="375" t="s">
        <v>4226</v>
      </c>
      <c r="I3910" s="63" t="s">
        <v>4227</v>
      </c>
      <c r="J3910" s="47">
        <f t="shared" si="860"/>
        <v>3740</v>
      </c>
      <c r="K3910" s="46" t="s">
        <v>7938</v>
      </c>
      <c r="L3910" s="47"/>
      <c r="M3910" s="47" t="s">
        <v>5720</v>
      </c>
      <c r="N3910" s="47"/>
      <c r="O3910" s="47"/>
      <c r="P3910" s="47"/>
      <c r="Q3910" s="47"/>
      <c r="R3910" s="47"/>
      <c r="S3910" s="47"/>
      <c r="T3910" s="47">
        <f t="shared" si="861"/>
        <v>780</v>
      </c>
      <c r="U3910" s="47"/>
      <c r="V3910" s="47"/>
      <c r="W3910" s="47"/>
      <c r="X3910" s="47">
        <f t="shared" si="862"/>
        <v>3000</v>
      </c>
      <c r="Y3910" s="47"/>
      <c r="Z3910" s="47">
        <f t="shared" si="856"/>
        <v>4620</v>
      </c>
      <c r="AA3910" s="47"/>
      <c r="AB3910" s="47"/>
      <c r="AC3910" s="47">
        <f t="shared" si="863"/>
        <v>5200</v>
      </c>
      <c r="AD3910" s="47"/>
      <c r="AE3910" s="47"/>
      <c r="AF3910" s="47"/>
      <c r="AG3910" s="47"/>
      <c r="AH3910" s="47" t="str">
        <f>IFERROR(_xlfn.XLOOKUP(Table6[[#This Row],[Suburb]],Table5[Travel Surcharge],Table5[$$]),"")</f>
        <v/>
      </c>
      <c r="AI3910" s="47"/>
      <c r="AJ3910" s="47"/>
    </row>
    <row r="3911" spans="1:36">
      <c r="A3911" s="374" t="s">
        <v>8735</v>
      </c>
      <c r="B3911" s="374">
        <v>1</v>
      </c>
      <c r="C3911" s="374" t="s">
        <v>8736</v>
      </c>
      <c r="D3911" s="375" t="str">
        <f t="shared" si="851"/>
        <v>Somerford Estate1</v>
      </c>
      <c r="E3911" s="375" t="s">
        <v>9544</v>
      </c>
      <c r="F3911" s="375"/>
      <c r="G3911" s="375"/>
      <c r="H3911" s="375"/>
      <c r="I3911" s="63"/>
      <c r="J3911" s="47">
        <f t="shared" si="860"/>
        <v>3740</v>
      </c>
      <c r="K3911" s="46" t="s">
        <v>10735</v>
      </c>
      <c r="L3911" s="47" t="s">
        <v>8773</v>
      </c>
      <c r="M3911" s="47">
        <v>1430.0000000000002</v>
      </c>
      <c r="N3911" s="47"/>
      <c r="O3911" s="47">
        <f>O$7</f>
        <v>4950</v>
      </c>
      <c r="P3911" s="47"/>
      <c r="Q3911" s="47"/>
      <c r="R3911" s="47"/>
      <c r="S3911" s="47" t="s">
        <v>637</v>
      </c>
      <c r="T3911" s="47" t="s">
        <v>8740</v>
      </c>
      <c r="U3911" s="47"/>
      <c r="V3911" s="47"/>
      <c r="W3911" s="47" t="s">
        <v>8737</v>
      </c>
      <c r="X3911" s="47" t="s">
        <v>8738</v>
      </c>
      <c r="Y3911" s="47"/>
      <c r="Z3911" s="47">
        <f t="shared" si="856"/>
        <v>4620</v>
      </c>
      <c r="AA3911" s="47">
        <v>1400</v>
      </c>
      <c r="AB3911" s="47" t="s">
        <v>8739</v>
      </c>
      <c r="AC3911" s="47"/>
      <c r="AD3911" s="47"/>
      <c r="AE3911" s="47"/>
      <c r="AF3911" s="47">
        <v>1650.0000000000002</v>
      </c>
      <c r="AG3911" s="47"/>
      <c r="AH3911" s="47" t="str">
        <f>IFERROR(_xlfn.XLOOKUP(Table6[[#This Row],[Suburb]],Table5[Travel Surcharge],Table5[$$]),"")</f>
        <v/>
      </c>
      <c r="AI3911" s="47"/>
      <c r="AJ3911" s="47"/>
    </row>
    <row r="3912" spans="1:36">
      <c r="A3912" s="374" t="s">
        <v>8735</v>
      </c>
      <c r="B3912" s="374">
        <v>2</v>
      </c>
      <c r="C3912" s="374" t="s">
        <v>8736</v>
      </c>
      <c r="D3912" s="375" t="str">
        <f t="shared" si="851"/>
        <v>Somerford Estate2</v>
      </c>
      <c r="E3912" s="375" t="s">
        <v>9545</v>
      </c>
      <c r="F3912" s="375"/>
      <c r="G3912" s="375"/>
      <c r="H3912" s="375"/>
      <c r="I3912" s="63"/>
      <c r="J3912" s="47">
        <f t="shared" si="860"/>
        <v>3740</v>
      </c>
      <c r="K3912" s="46" t="s">
        <v>10735</v>
      </c>
      <c r="L3912" s="47" t="s">
        <v>8773</v>
      </c>
      <c r="M3912" s="47">
        <v>1430.0000000000002</v>
      </c>
      <c r="N3912" s="47"/>
      <c r="O3912" s="47">
        <f>O$7</f>
        <v>4950</v>
      </c>
      <c r="P3912" s="47"/>
      <c r="Q3912" s="47"/>
      <c r="R3912" s="47"/>
      <c r="S3912" s="47" t="s">
        <v>637</v>
      </c>
      <c r="T3912" s="47" t="s">
        <v>8740</v>
      </c>
      <c r="U3912" s="47"/>
      <c r="V3912" s="47"/>
      <c r="W3912" s="47" t="s">
        <v>8737</v>
      </c>
      <c r="X3912" s="47" t="s">
        <v>8738</v>
      </c>
      <c r="Y3912" s="47"/>
      <c r="Z3912" s="47">
        <f t="shared" si="856"/>
        <v>4620</v>
      </c>
      <c r="AA3912" s="47">
        <v>1400</v>
      </c>
      <c r="AB3912" s="47" t="s">
        <v>8739</v>
      </c>
      <c r="AC3912" s="47"/>
      <c r="AD3912" s="47"/>
      <c r="AE3912" s="47"/>
      <c r="AF3912" s="47">
        <v>1650.0000000000002</v>
      </c>
      <c r="AG3912" s="47"/>
      <c r="AH3912" s="47" t="str">
        <f>IFERROR(_xlfn.XLOOKUP(Table6[[#This Row],[Suburb]],Table5[Travel Surcharge],Table5[$$]),"")</f>
        <v/>
      </c>
      <c r="AI3912" s="47"/>
      <c r="AJ3912" s="47"/>
    </row>
    <row r="3913" spans="1:36">
      <c r="A3913" s="374" t="s">
        <v>8735</v>
      </c>
      <c r="B3913" s="374">
        <v>3</v>
      </c>
      <c r="C3913" s="374" t="s">
        <v>8736</v>
      </c>
      <c r="D3913" s="375" t="str">
        <f t="shared" ref="D3913" si="864">CONCATENATE(A3913,B3913)</f>
        <v>Somerford Estate3</v>
      </c>
      <c r="E3913" s="375" t="s">
        <v>10958</v>
      </c>
      <c r="F3913" s="375"/>
      <c r="G3913" s="375"/>
      <c r="H3913" s="375"/>
      <c r="I3913" s="63"/>
      <c r="J3913" s="47">
        <f t="shared" si="860"/>
        <v>3740</v>
      </c>
      <c r="K3913" s="46" t="s">
        <v>10735</v>
      </c>
      <c r="L3913" s="47" t="s">
        <v>8773</v>
      </c>
      <c r="M3913" s="47">
        <v>1430.0000000000002</v>
      </c>
      <c r="N3913" s="47"/>
      <c r="O3913" s="47">
        <f>O$7</f>
        <v>4950</v>
      </c>
      <c r="P3913" s="47"/>
      <c r="Q3913" s="47"/>
      <c r="R3913" s="47"/>
      <c r="S3913" s="47" t="s">
        <v>637</v>
      </c>
      <c r="T3913" s="47" t="s">
        <v>8740</v>
      </c>
      <c r="U3913" s="47"/>
      <c r="V3913" s="47"/>
      <c r="W3913" s="47" t="s">
        <v>8737</v>
      </c>
      <c r="X3913" s="47" t="s">
        <v>8738</v>
      </c>
      <c r="Y3913" s="47"/>
      <c r="Z3913" s="47">
        <f t="shared" si="856"/>
        <v>4620</v>
      </c>
      <c r="AA3913" s="47">
        <v>1400</v>
      </c>
      <c r="AB3913" s="47" t="s">
        <v>8739</v>
      </c>
      <c r="AC3913" s="47"/>
      <c r="AD3913" s="47"/>
      <c r="AE3913" s="47"/>
      <c r="AF3913" s="47">
        <v>1650.0000000000002</v>
      </c>
      <c r="AG3913" s="47"/>
      <c r="AH3913" s="47" t="str">
        <f>IFERROR(_xlfn.XLOOKUP(Table6[[#This Row],[Suburb]],Table5[Travel Surcharge],Table5[$$]),"")</f>
        <v/>
      </c>
      <c r="AI3913" s="47"/>
      <c r="AJ3913" s="47"/>
    </row>
    <row r="3914" spans="1:36">
      <c r="A3914" s="374" t="s">
        <v>10875</v>
      </c>
      <c r="B3914" s="276" t="s">
        <v>501</v>
      </c>
      <c r="C3914" s="374" t="s">
        <v>2794</v>
      </c>
      <c r="D3914" s="375" t="str">
        <f>CONCATENATE(A3914,B3914)</f>
        <v>Somerley Estate 1A</v>
      </c>
      <c r="E3914" s="375"/>
      <c r="F3914" s="375" t="s">
        <v>6813</v>
      </c>
      <c r="G3914" s="375"/>
      <c r="H3914" s="375"/>
      <c r="I3914" s="63"/>
      <c r="J3914" s="47">
        <v>3740</v>
      </c>
      <c r="K3914" s="46" t="s">
        <v>7938</v>
      </c>
      <c r="L3914" s="47">
        <v>1200</v>
      </c>
      <c r="M3914" s="47" t="s">
        <v>8773</v>
      </c>
      <c r="N3914" s="46" t="s">
        <v>10877</v>
      </c>
      <c r="O3914" s="47" t="s">
        <v>10878</v>
      </c>
      <c r="P3914" s="47" t="s">
        <v>10876</v>
      </c>
      <c r="Q3914" s="47">
        <v>0</v>
      </c>
      <c r="R3914" s="47"/>
      <c r="S3914" s="47"/>
      <c r="T3914" s="47"/>
      <c r="U3914" s="47" t="s">
        <v>10879</v>
      </c>
      <c r="V3914" s="47"/>
      <c r="W3914" s="47"/>
      <c r="X3914" s="47"/>
      <c r="Y3914" s="47"/>
      <c r="Z3914" s="47">
        <f>Z$7</f>
        <v>4620</v>
      </c>
      <c r="AA3914" s="47"/>
      <c r="AB3914" s="47"/>
      <c r="AC3914" s="47"/>
      <c r="AD3914" s="47"/>
      <c r="AE3914" s="47"/>
      <c r="AF3914" s="47">
        <v>1650</v>
      </c>
      <c r="AG3914" s="47"/>
      <c r="AH3914" s="47">
        <v>1500</v>
      </c>
      <c r="AI3914" s="47"/>
      <c r="AJ3914" s="47"/>
    </row>
    <row r="3915" spans="1:36">
      <c r="A3915" s="374" t="s">
        <v>5729</v>
      </c>
      <c r="B3915" s="374">
        <v>1</v>
      </c>
      <c r="C3915" s="374" t="s">
        <v>1024</v>
      </c>
      <c r="D3915" s="375" t="str">
        <f t="shared" si="851"/>
        <v>Somers Estate1</v>
      </c>
      <c r="E3915" s="375" t="s">
        <v>5730</v>
      </c>
      <c r="F3915" s="375"/>
      <c r="G3915" s="375"/>
      <c r="H3915" s="375"/>
      <c r="I3915" s="63"/>
      <c r="J3915" s="47">
        <f>J$7</f>
        <v>3740</v>
      </c>
      <c r="K3915" s="46" t="s">
        <v>10735</v>
      </c>
      <c r="L3915" s="47"/>
      <c r="M3915" s="47">
        <f>M$7</f>
        <v>1430.0000000000002</v>
      </c>
      <c r="N3915" s="47"/>
      <c r="O3915" s="47"/>
      <c r="P3915" s="47"/>
      <c r="Q3915" s="47">
        <f>Q$2</f>
        <v>0</v>
      </c>
      <c r="R3915" s="47"/>
      <c r="S3915" s="47"/>
      <c r="T3915" s="47"/>
      <c r="U3915" s="47"/>
      <c r="V3915" s="47"/>
      <c r="W3915" s="47"/>
      <c r="X3915" s="47"/>
      <c r="Y3915" s="47"/>
      <c r="Z3915" s="47">
        <f t="shared" si="856"/>
        <v>4620</v>
      </c>
      <c r="AA3915" s="47"/>
      <c r="AB3915" s="47"/>
      <c r="AC3915" s="47"/>
      <c r="AD3915" s="47"/>
      <c r="AE3915" s="47"/>
      <c r="AF3915" s="47">
        <f>AF$7</f>
        <v>1485</v>
      </c>
      <c r="AG3915" s="47"/>
      <c r="AH3915" s="47" t="str">
        <f>IFERROR(_xlfn.XLOOKUP(Table6[[#This Row],[Suburb]],Table5[Travel Surcharge],Table5[$$]),"")</f>
        <v/>
      </c>
      <c r="AI3915" s="47"/>
      <c r="AJ3915" s="47"/>
    </row>
    <row r="3916" spans="1:36">
      <c r="A3916" s="374" t="s">
        <v>10880</v>
      </c>
      <c r="B3916" s="374">
        <v>23</v>
      </c>
      <c r="C3916" s="374" t="s">
        <v>10881</v>
      </c>
      <c r="D3916" s="375" t="str">
        <f>CONCATENATE(A3916,B3916)</f>
        <v>Somerset23</v>
      </c>
      <c r="E3916" s="375" t="s">
        <v>10882</v>
      </c>
      <c r="F3916" s="375"/>
      <c r="G3916" s="375"/>
      <c r="H3916" s="375"/>
      <c r="I3916" s="63"/>
      <c r="J3916" s="47" t="s">
        <v>10883</v>
      </c>
      <c r="K3916" s="46" t="s">
        <v>10735</v>
      </c>
      <c r="L3916" s="47"/>
      <c r="M3916" s="47"/>
      <c r="N3916" s="47"/>
      <c r="O3916" s="47"/>
      <c r="P3916" s="47"/>
      <c r="Q3916" s="47">
        <v>0</v>
      </c>
      <c r="R3916" s="47"/>
      <c r="S3916" s="47"/>
      <c r="T3916" s="47"/>
      <c r="U3916" s="47"/>
      <c r="V3916" s="47"/>
      <c r="W3916" s="47"/>
      <c r="X3916" s="47"/>
      <c r="Y3916" s="47"/>
      <c r="Z3916" s="47"/>
      <c r="AA3916" s="47"/>
      <c r="AB3916" s="47"/>
      <c r="AC3916" s="47"/>
      <c r="AD3916" s="47"/>
      <c r="AE3916" s="47"/>
      <c r="AF3916" s="47"/>
      <c r="AG3916" s="47"/>
      <c r="AH3916" s="47">
        <v>3000</v>
      </c>
      <c r="AI3916" s="47"/>
      <c r="AJ3916" s="47"/>
    </row>
    <row r="3917" spans="1:36">
      <c r="A3917" s="374" t="s">
        <v>5731</v>
      </c>
      <c r="B3917" s="374">
        <v>1</v>
      </c>
      <c r="C3917" s="374" t="s">
        <v>455</v>
      </c>
      <c r="D3917" s="375" t="str">
        <f t="shared" si="851"/>
        <v>Sommery Estate1</v>
      </c>
      <c r="E3917" s="375" t="s">
        <v>5732</v>
      </c>
      <c r="F3917" s="375"/>
      <c r="G3917" s="375"/>
      <c r="H3917" s="375"/>
      <c r="I3917" s="63"/>
      <c r="J3917" s="47">
        <f>J$7</f>
        <v>3740</v>
      </c>
      <c r="K3917" s="46" t="s">
        <v>10735</v>
      </c>
      <c r="L3917" s="47"/>
      <c r="M3917" s="47"/>
      <c r="N3917" s="47"/>
      <c r="O3917" s="47"/>
      <c r="P3917" s="47"/>
      <c r="Q3917" s="47">
        <f>Q$2</f>
        <v>0</v>
      </c>
      <c r="R3917" s="47"/>
      <c r="S3917" s="47"/>
      <c r="T3917" s="47"/>
      <c r="U3917" s="47"/>
      <c r="V3917" s="47"/>
      <c r="W3917" s="47"/>
      <c r="X3917" s="47"/>
      <c r="Y3917" s="47"/>
      <c r="Z3917" s="47">
        <f t="shared" si="856"/>
        <v>4620</v>
      </c>
      <c r="AA3917" s="47"/>
      <c r="AB3917" s="47"/>
      <c r="AC3917" s="47"/>
      <c r="AD3917" s="47"/>
      <c r="AE3917" s="47"/>
      <c r="AF3917" s="47"/>
      <c r="AG3917" s="47"/>
      <c r="AH3917" s="47" t="str">
        <f>IFERROR(_xlfn.XLOOKUP(Table6[[#This Row],[Suburb]],Table5[Travel Surcharge],Table5[$$]),"")</f>
        <v/>
      </c>
      <c r="AI3917" s="47"/>
      <c r="AJ3917" s="47"/>
    </row>
    <row r="3918" spans="1:36">
      <c r="A3918" s="374" t="s">
        <v>5733</v>
      </c>
      <c r="B3918" s="374">
        <v>1</v>
      </c>
      <c r="C3918" s="374" t="s">
        <v>428</v>
      </c>
      <c r="D3918" s="375" t="str">
        <f t="shared" si="851"/>
        <v>South East Residence1</v>
      </c>
      <c r="E3918" s="375" t="s">
        <v>5734</v>
      </c>
      <c r="F3918" s="375" t="s">
        <v>5735</v>
      </c>
      <c r="G3918" s="375" t="s">
        <v>494</v>
      </c>
      <c r="H3918" s="375" t="s">
        <v>1521</v>
      </c>
      <c r="I3918" s="63" t="s">
        <v>4016</v>
      </c>
      <c r="J3918" s="47">
        <f>J$7</f>
        <v>3740</v>
      </c>
      <c r="K3918" s="46" t="s">
        <v>10735</v>
      </c>
      <c r="L3918" s="47"/>
      <c r="M3918" s="47">
        <f>M$7</f>
        <v>1430.0000000000002</v>
      </c>
      <c r="N3918" s="47"/>
      <c r="O3918" s="47" t="s">
        <v>5736</v>
      </c>
      <c r="P3918" s="47" t="s">
        <v>5737</v>
      </c>
      <c r="Q3918" s="47">
        <f>Q$2</f>
        <v>0</v>
      </c>
      <c r="R3918" s="47"/>
      <c r="S3918" s="47"/>
      <c r="T3918" s="47"/>
      <c r="U3918" s="47"/>
      <c r="V3918" s="47" t="str">
        <f>V$7</f>
        <v>$6/m2</v>
      </c>
      <c r="W3918" s="47"/>
      <c r="X3918" s="47"/>
      <c r="Y3918" s="47"/>
      <c r="Z3918" s="47">
        <f t="shared" si="856"/>
        <v>4620</v>
      </c>
      <c r="AA3918" s="47"/>
      <c r="AB3918" s="47"/>
      <c r="AC3918" s="47"/>
      <c r="AD3918" s="47"/>
      <c r="AE3918" s="47"/>
      <c r="AF3918" s="47">
        <f>AF$7</f>
        <v>1485</v>
      </c>
      <c r="AG3918" s="47"/>
      <c r="AH3918" s="47" t="str">
        <f>IFERROR(_xlfn.XLOOKUP(Table6[[#This Row],[Suburb]],Table5[Travel Surcharge],Table5[$$]),"")</f>
        <v/>
      </c>
      <c r="AI3918" s="47"/>
      <c r="AJ3918" s="47"/>
    </row>
    <row r="3919" spans="1:36">
      <c r="A3919" s="374" t="s">
        <v>5738</v>
      </c>
      <c r="B3919" s="374">
        <v>1</v>
      </c>
      <c r="C3919" s="374" t="s">
        <v>802</v>
      </c>
      <c r="D3919" s="375" t="str">
        <f t="shared" si="851"/>
        <v>South Siding Estate1</v>
      </c>
      <c r="E3919" s="375" t="s">
        <v>5739</v>
      </c>
      <c r="F3919" s="375" t="s">
        <v>1428</v>
      </c>
      <c r="G3919" s="375" t="s">
        <v>5740</v>
      </c>
      <c r="H3919" s="375" t="s">
        <v>4232</v>
      </c>
      <c r="I3919" s="63" t="s">
        <v>5741</v>
      </c>
      <c r="J3919" s="47">
        <f>J$7</f>
        <v>3740</v>
      </c>
      <c r="K3919" s="46" t="s">
        <v>10735</v>
      </c>
      <c r="L3919" s="47"/>
      <c r="M3919" s="47"/>
      <c r="N3919" s="47" t="s">
        <v>5742</v>
      </c>
      <c r="O3919" s="47"/>
      <c r="P3919" s="47"/>
      <c r="Q3919" s="47"/>
      <c r="R3919" s="47">
        <f>R$2</f>
        <v>540</v>
      </c>
      <c r="S3919" s="47"/>
      <c r="T3919" s="47"/>
      <c r="U3919" s="47"/>
      <c r="V3919" s="47"/>
      <c r="W3919" s="47"/>
      <c r="X3919" s="47"/>
      <c r="Y3919" s="47"/>
      <c r="Z3919" s="47">
        <f t="shared" si="856"/>
        <v>4620</v>
      </c>
      <c r="AA3919" s="47"/>
      <c r="AB3919" s="47"/>
      <c r="AC3919" s="47"/>
      <c r="AD3919" s="47"/>
      <c r="AE3919" s="47"/>
      <c r="AF3919" s="47"/>
      <c r="AG3919" s="47"/>
      <c r="AH3919" s="47" t="str">
        <f>IFERROR(_xlfn.XLOOKUP(Table6[[#This Row],[Suburb]],Table5[Travel Surcharge],Table5[$$]),"")</f>
        <v/>
      </c>
      <c r="AI3919" s="47"/>
      <c r="AJ3919" s="47"/>
    </row>
    <row r="3920" spans="1:36">
      <c r="A3920" s="374" t="s">
        <v>5738</v>
      </c>
      <c r="B3920" s="374" t="s">
        <v>718</v>
      </c>
      <c r="C3920" s="374" t="s">
        <v>802</v>
      </c>
      <c r="D3920" s="375" t="str">
        <f t="shared" si="851"/>
        <v>South Siding Estate2A</v>
      </c>
      <c r="E3920" s="375" t="s">
        <v>5743</v>
      </c>
      <c r="F3920" s="375" t="s">
        <v>1428</v>
      </c>
      <c r="G3920" s="375" t="s">
        <v>5740</v>
      </c>
      <c r="H3920" s="375" t="s">
        <v>4232</v>
      </c>
      <c r="I3920" s="63" t="s">
        <v>5741</v>
      </c>
      <c r="J3920" s="47">
        <f>J$7</f>
        <v>3740</v>
      </c>
      <c r="K3920" s="46" t="s">
        <v>10735</v>
      </c>
      <c r="L3920" s="47"/>
      <c r="M3920" s="47"/>
      <c r="N3920" s="47" t="s">
        <v>5742</v>
      </c>
      <c r="O3920" s="47"/>
      <c r="P3920" s="47"/>
      <c r="Q3920" s="47"/>
      <c r="R3920" s="47">
        <f>R$2</f>
        <v>540</v>
      </c>
      <c r="S3920" s="47"/>
      <c r="T3920" s="47"/>
      <c r="U3920" s="47"/>
      <c r="V3920" s="47"/>
      <c r="W3920" s="47"/>
      <c r="X3920" s="47"/>
      <c r="Y3920" s="47"/>
      <c r="Z3920" s="47">
        <f t="shared" si="856"/>
        <v>4620</v>
      </c>
      <c r="AA3920" s="47"/>
      <c r="AB3920" s="47"/>
      <c r="AC3920" s="47"/>
      <c r="AD3920" s="47"/>
      <c r="AE3920" s="47"/>
      <c r="AF3920" s="47"/>
      <c r="AG3920" s="47"/>
      <c r="AH3920" s="47" t="str">
        <f>IFERROR(_xlfn.XLOOKUP(Table6[[#This Row],[Suburb]],Table5[Travel Surcharge],Table5[$$]),"")</f>
        <v/>
      </c>
      <c r="AI3920" s="47"/>
      <c r="AJ3920" s="47"/>
    </row>
    <row r="3921" spans="1:36">
      <c r="A3921" s="374" t="s">
        <v>5744</v>
      </c>
      <c r="B3921" s="374">
        <v>1</v>
      </c>
      <c r="C3921" s="374" t="s">
        <v>567</v>
      </c>
      <c r="D3921" s="375" t="str">
        <f t="shared" si="851"/>
        <v>Sovereign Rose Estate1</v>
      </c>
      <c r="E3921" s="375" t="s">
        <v>5745</v>
      </c>
      <c r="F3921" s="375" t="s">
        <v>5746</v>
      </c>
      <c r="G3921" s="375" t="s">
        <v>5747</v>
      </c>
      <c r="H3921" s="375" t="s">
        <v>5748</v>
      </c>
      <c r="I3921" s="63"/>
      <c r="J3921" s="47"/>
      <c r="K3921" s="46"/>
      <c r="L3921" s="47"/>
      <c r="M3921" s="47">
        <f>M$7</f>
        <v>1430.0000000000002</v>
      </c>
      <c r="N3921" s="47"/>
      <c r="O3921" s="47">
        <f>O$7</f>
        <v>4950</v>
      </c>
      <c r="P3921" s="47"/>
      <c r="Q3921" s="47">
        <f>Q$2</f>
        <v>0</v>
      </c>
      <c r="R3921" s="47"/>
      <c r="S3921" s="47"/>
      <c r="T3921" s="47"/>
      <c r="U3921" s="47"/>
      <c r="V3921" s="47"/>
      <c r="W3921" s="47"/>
      <c r="X3921" s="47"/>
      <c r="Y3921" s="47"/>
      <c r="Z3921" s="47">
        <f t="shared" si="856"/>
        <v>4620</v>
      </c>
      <c r="AA3921" s="47"/>
      <c r="AB3921" s="47"/>
      <c r="AC3921" s="47"/>
      <c r="AD3921" s="47" t="s">
        <v>1</v>
      </c>
      <c r="AE3921" s="47"/>
      <c r="AF3921" s="47">
        <f>AF$7</f>
        <v>1485</v>
      </c>
      <c r="AG3921" s="47"/>
      <c r="AH3921" s="47" t="str">
        <f>IFERROR(_xlfn.XLOOKUP(Table6[[#This Row],[Suburb]],Table5[Travel Surcharge],Table5[$$]),"")</f>
        <v/>
      </c>
      <c r="AI3921" s="47"/>
      <c r="AJ3921" s="47"/>
    </row>
    <row r="3922" spans="1:36">
      <c r="A3922" s="374" t="s">
        <v>5744</v>
      </c>
      <c r="B3922" s="374">
        <v>2</v>
      </c>
      <c r="C3922" s="374" t="s">
        <v>567</v>
      </c>
      <c r="D3922" s="375" t="str">
        <f t="shared" si="851"/>
        <v>Sovereign Rose Estate2</v>
      </c>
      <c r="E3922" s="375" t="s">
        <v>5749</v>
      </c>
      <c r="F3922" s="375" t="s">
        <v>5746</v>
      </c>
      <c r="G3922" s="375" t="s">
        <v>5747</v>
      </c>
      <c r="H3922" s="375" t="s">
        <v>5748</v>
      </c>
      <c r="I3922" s="63"/>
      <c r="J3922" s="47"/>
      <c r="K3922" s="46"/>
      <c r="L3922" s="47"/>
      <c r="M3922" s="47">
        <f>M$7</f>
        <v>1430.0000000000002</v>
      </c>
      <c r="N3922" s="47"/>
      <c r="O3922" s="47">
        <f>O$7</f>
        <v>4950</v>
      </c>
      <c r="P3922" s="47"/>
      <c r="Q3922" s="47">
        <f>Q$2</f>
        <v>0</v>
      </c>
      <c r="R3922" s="47"/>
      <c r="S3922" s="47"/>
      <c r="T3922" s="47"/>
      <c r="U3922" s="47"/>
      <c r="V3922" s="47"/>
      <c r="W3922" s="47"/>
      <c r="X3922" s="47"/>
      <c r="Y3922" s="47"/>
      <c r="Z3922" s="47">
        <f t="shared" si="856"/>
        <v>4620</v>
      </c>
      <c r="AA3922" s="47"/>
      <c r="AB3922" s="47"/>
      <c r="AC3922" s="47"/>
      <c r="AD3922" s="47" t="s">
        <v>1</v>
      </c>
      <c r="AE3922" s="47"/>
      <c r="AF3922" s="47">
        <f>AF$7</f>
        <v>1485</v>
      </c>
      <c r="AG3922" s="47"/>
      <c r="AH3922" s="47" t="str">
        <f>IFERROR(_xlfn.XLOOKUP(Table6[[#This Row],[Suburb]],Table5[Travel Surcharge],Table5[$$]),"")</f>
        <v/>
      </c>
      <c r="AI3922" s="47"/>
      <c r="AJ3922" s="47"/>
    </row>
    <row r="3923" spans="1:36">
      <c r="A3923" s="374" t="s">
        <v>5744</v>
      </c>
      <c r="B3923" s="374">
        <v>3</v>
      </c>
      <c r="C3923" s="374" t="s">
        <v>567</v>
      </c>
      <c r="D3923" s="375" t="str">
        <f t="shared" si="851"/>
        <v>Sovereign Rose Estate3</v>
      </c>
      <c r="E3923" s="375" t="s">
        <v>5750</v>
      </c>
      <c r="F3923" s="375" t="s">
        <v>5746</v>
      </c>
      <c r="G3923" s="375" t="s">
        <v>5747</v>
      </c>
      <c r="H3923" s="375" t="s">
        <v>5748</v>
      </c>
      <c r="I3923" s="63"/>
      <c r="J3923" s="47"/>
      <c r="K3923" s="46"/>
      <c r="L3923" s="47"/>
      <c r="M3923" s="47">
        <f>M$7</f>
        <v>1430.0000000000002</v>
      </c>
      <c r="N3923" s="47"/>
      <c r="O3923" s="47">
        <f>O$7</f>
        <v>4950</v>
      </c>
      <c r="P3923" s="47"/>
      <c r="Q3923" s="47">
        <f>Q$2</f>
        <v>0</v>
      </c>
      <c r="R3923" s="47"/>
      <c r="S3923" s="47"/>
      <c r="T3923" s="47"/>
      <c r="U3923" s="47"/>
      <c r="V3923" s="47"/>
      <c r="W3923" s="47"/>
      <c r="X3923" s="47"/>
      <c r="Y3923" s="47"/>
      <c r="Z3923" s="47">
        <f t="shared" si="856"/>
        <v>4620</v>
      </c>
      <c r="AA3923" s="47"/>
      <c r="AB3923" s="47"/>
      <c r="AC3923" s="47"/>
      <c r="AD3923" s="47" t="s">
        <v>1</v>
      </c>
      <c r="AE3923" s="47"/>
      <c r="AF3923" s="47">
        <f>AF$7</f>
        <v>1485</v>
      </c>
      <c r="AG3923" s="47"/>
      <c r="AH3923" s="47" t="str">
        <f>IFERROR(_xlfn.XLOOKUP(Table6[[#This Row],[Suburb]],Table5[Travel Surcharge],Table5[$$]),"")</f>
        <v/>
      </c>
      <c r="AI3923" s="47"/>
      <c r="AJ3923" s="47"/>
    </row>
    <row r="3924" spans="1:36">
      <c r="A3924" s="374" t="s">
        <v>5744</v>
      </c>
      <c r="B3924" s="374">
        <v>4</v>
      </c>
      <c r="C3924" s="374" t="s">
        <v>567</v>
      </c>
      <c r="D3924" s="375" t="str">
        <f t="shared" si="851"/>
        <v>Sovereign Rose Estate4</v>
      </c>
      <c r="E3924" s="375" t="s">
        <v>5751</v>
      </c>
      <c r="F3924" s="375" t="s">
        <v>5746</v>
      </c>
      <c r="G3924" s="375" t="s">
        <v>5747</v>
      </c>
      <c r="H3924" s="375" t="s">
        <v>5748</v>
      </c>
      <c r="I3924" s="63"/>
      <c r="J3924" s="47"/>
      <c r="K3924" s="46"/>
      <c r="L3924" s="47"/>
      <c r="M3924" s="47">
        <f>M$7</f>
        <v>1430.0000000000002</v>
      </c>
      <c r="N3924" s="47"/>
      <c r="O3924" s="47">
        <f>O$7</f>
        <v>4950</v>
      </c>
      <c r="P3924" s="47"/>
      <c r="Q3924" s="47">
        <f>Q$2</f>
        <v>0</v>
      </c>
      <c r="R3924" s="47"/>
      <c r="S3924" s="47"/>
      <c r="T3924" s="47"/>
      <c r="U3924" s="47"/>
      <c r="V3924" s="47"/>
      <c r="W3924" s="47"/>
      <c r="X3924" s="47"/>
      <c r="Y3924" s="47"/>
      <c r="Z3924" s="47">
        <f t="shared" si="856"/>
        <v>4620</v>
      </c>
      <c r="AA3924" s="47"/>
      <c r="AB3924" s="47"/>
      <c r="AC3924" s="47"/>
      <c r="AD3924" s="47" t="s">
        <v>1</v>
      </c>
      <c r="AE3924" s="47"/>
      <c r="AF3924" s="47">
        <f>AF$7</f>
        <v>1485</v>
      </c>
      <c r="AG3924" s="47"/>
      <c r="AH3924" s="47" t="str">
        <f>IFERROR(_xlfn.XLOOKUP(Table6[[#This Row],[Suburb]],Table5[Travel Surcharge],Table5[$$]),"")</f>
        <v/>
      </c>
      <c r="AI3924" s="47"/>
      <c r="AJ3924" s="47"/>
    </row>
    <row r="3925" spans="1:36">
      <c r="A3925" s="374" t="s">
        <v>5752</v>
      </c>
      <c r="B3925" s="374">
        <v>1</v>
      </c>
      <c r="C3925" s="374" t="s">
        <v>3471</v>
      </c>
      <c r="D3925" s="375" t="str">
        <f t="shared" si="851"/>
        <v>Soverign Estate1</v>
      </c>
      <c r="E3925" s="375" t="s">
        <v>5753</v>
      </c>
      <c r="F3925" s="375" t="s">
        <v>5754</v>
      </c>
      <c r="G3925" s="375" t="s">
        <v>3729</v>
      </c>
      <c r="H3925" s="375" t="s">
        <v>3730</v>
      </c>
      <c r="I3925" s="63" t="s">
        <v>3731</v>
      </c>
      <c r="J3925" s="47">
        <f>J$7</f>
        <v>3740</v>
      </c>
      <c r="K3925" s="46" t="s">
        <v>7938</v>
      </c>
      <c r="L3925" s="47"/>
      <c r="M3925" s="47"/>
      <c r="N3925" s="47"/>
      <c r="O3925" s="47"/>
      <c r="P3925" s="47"/>
      <c r="Q3925" s="47"/>
      <c r="R3925" s="47"/>
      <c r="S3925" s="47"/>
      <c r="T3925" s="47">
        <f>T$2</f>
        <v>780</v>
      </c>
      <c r="U3925" s="47"/>
      <c r="V3925" s="47"/>
      <c r="W3925" s="47"/>
      <c r="X3925" s="47"/>
      <c r="Y3925" s="47"/>
      <c r="Z3925" s="47">
        <f t="shared" si="856"/>
        <v>4620</v>
      </c>
      <c r="AA3925" s="47"/>
      <c r="AB3925" s="47"/>
      <c r="AC3925" s="47"/>
      <c r="AD3925" s="47"/>
      <c r="AE3925" s="47"/>
      <c r="AF3925" s="47"/>
      <c r="AG3925" s="47"/>
      <c r="AH3925" s="47" t="str">
        <f>IFERROR(_xlfn.XLOOKUP(Table6[[#This Row],[Suburb]],Table5[Travel Surcharge],Table5[$$]),"")</f>
        <v/>
      </c>
      <c r="AI3925" s="47">
        <f>AI$7</f>
        <v>1650.0000000000002</v>
      </c>
      <c r="AJ3925" s="47"/>
    </row>
    <row r="3926" spans="1:36">
      <c r="A3926" s="374" t="s">
        <v>5752</v>
      </c>
      <c r="B3926" s="374">
        <v>2</v>
      </c>
      <c r="C3926" s="374" t="s">
        <v>3471</v>
      </c>
      <c r="D3926" s="375" t="str">
        <f t="shared" si="851"/>
        <v>Soverign Estate2</v>
      </c>
      <c r="E3926" s="375" t="s">
        <v>5755</v>
      </c>
      <c r="F3926" s="375" t="s">
        <v>5754</v>
      </c>
      <c r="G3926" s="375" t="s">
        <v>3729</v>
      </c>
      <c r="H3926" s="375" t="s">
        <v>3730</v>
      </c>
      <c r="I3926" s="63" t="s">
        <v>3731</v>
      </c>
      <c r="J3926" s="47">
        <f>J$7</f>
        <v>3740</v>
      </c>
      <c r="K3926" s="46" t="s">
        <v>7938</v>
      </c>
      <c r="L3926" s="47"/>
      <c r="M3926" s="47"/>
      <c r="N3926" s="47"/>
      <c r="O3926" s="47"/>
      <c r="P3926" s="47"/>
      <c r="Q3926" s="47"/>
      <c r="R3926" s="47"/>
      <c r="S3926" s="47"/>
      <c r="T3926" s="47">
        <f>T$2</f>
        <v>780</v>
      </c>
      <c r="U3926" s="47"/>
      <c r="V3926" s="47"/>
      <c r="W3926" s="47"/>
      <c r="X3926" s="47"/>
      <c r="Y3926" s="47"/>
      <c r="Z3926" s="47">
        <f t="shared" si="856"/>
        <v>4620</v>
      </c>
      <c r="AA3926" s="47"/>
      <c r="AB3926" s="47"/>
      <c r="AC3926" s="47"/>
      <c r="AD3926" s="47"/>
      <c r="AE3926" s="47"/>
      <c r="AF3926" s="47"/>
      <c r="AG3926" s="47"/>
      <c r="AH3926" s="47" t="str">
        <f>IFERROR(_xlfn.XLOOKUP(Table6[[#This Row],[Suburb]],Table5[Travel Surcharge],Table5[$$]),"")</f>
        <v/>
      </c>
      <c r="AI3926" s="47">
        <f>AI$7</f>
        <v>1650.0000000000002</v>
      </c>
      <c r="AJ3926" s="47"/>
    </row>
    <row r="3927" spans="1:36">
      <c r="A3927" s="374" t="s">
        <v>5756</v>
      </c>
      <c r="B3927" s="374">
        <v>1</v>
      </c>
      <c r="C3927" s="374" t="s">
        <v>5757</v>
      </c>
      <c r="D3927" s="375" t="str">
        <f t="shared" si="851"/>
        <v>Spindrift Estate1</v>
      </c>
      <c r="E3927" s="375" t="s">
        <v>5758</v>
      </c>
      <c r="F3927" s="375"/>
      <c r="G3927" s="375"/>
      <c r="H3927" s="375"/>
      <c r="I3927" s="63"/>
      <c r="J3927" s="47"/>
      <c r="K3927" s="46" t="s">
        <v>10735</v>
      </c>
      <c r="L3927" s="47"/>
      <c r="M3927" s="47" t="s">
        <v>5759</v>
      </c>
      <c r="N3927" s="47" t="s">
        <v>5760</v>
      </c>
      <c r="O3927" s="47" t="s">
        <v>5761</v>
      </c>
      <c r="P3927" s="47" t="s">
        <v>5762</v>
      </c>
      <c r="Q3927" s="47"/>
      <c r="R3927" s="47"/>
      <c r="S3927" s="47"/>
      <c r="T3927" s="47"/>
      <c r="U3927" s="47">
        <f>U$2</f>
        <v>430</v>
      </c>
      <c r="V3927" s="47"/>
      <c r="W3927" s="47"/>
      <c r="X3927" s="47"/>
      <c r="Y3927" s="47"/>
      <c r="Z3927" s="47">
        <f t="shared" si="856"/>
        <v>4620</v>
      </c>
      <c r="AA3927" s="47"/>
      <c r="AB3927" s="47"/>
      <c r="AC3927" s="47"/>
      <c r="AD3927" s="47"/>
      <c r="AE3927" s="47"/>
      <c r="AF3927" s="47">
        <f>AF$7</f>
        <v>1485</v>
      </c>
      <c r="AG3927" s="47"/>
      <c r="AH3927" s="47" t="str">
        <f>IFERROR(_xlfn.XLOOKUP(Table6[[#This Row],[Suburb]],Table5[Travel Surcharge],Table5[$$]),"")</f>
        <v/>
      </c>
      <c r="AI3927" s="47">
        <f>AI$7</f>
        <v>1650.0000000000002</v>
      </c>
      <c r="AJ3927" s="47"/>
    </row>
    <row r="3928" spans="1:36">
      <c r="A3928" s="374" t="s">
        <v>5763</v>
      </c>
      <c r="B3928" s="374">
        <v>1</v>
      </c>
      <c r="C3928" s="374" t="s">
        <v>722</v>
      </c>
      <c r="D3928" s="375" t="str">
        <f t="shared" si="851"/>
        <v>Springlands1</v>
      </c>
      <c r="E3928" s="375" t="s">
        <v>5764</v>
      </c>
      <c r="F3928" s="375" t="s">
        <v>5746</v>
      </c>
      <c r="G3928" s="375" t="s">
        <v>5765</v>
      </c>
      <c r="H3928" s="375" t="s">
        <v>5766</v>
      </c>
      <c r="I3928" s="63" t="s">
        <v>5767</v>
      </c>
      <c r="J3928" s="47"/>
      <c r="K3928" s="46" t="s">
        <v>10735</v>
      </c>
      <c r="L3928" s="47" t="s">
        <v>5768</v>
      </c>
      <c r="M3928" s="47"/>
      <c r="N3928" s="47"/>
      <c r="O3928" s="47"/>
      <c r="P3928" s="47"/>
      <c r="Q3928" s="47">
        <f t="shared" ref="Q3928:Q3948" si="865">Q$2</f>
        <v>0</v>
      </c>
      <c r="R3928" s="47"/>
      <c r="S3928" s="47"/>
      <c r="T3928" s="47"/>
      <c r="U3928" s="47"/>
      <c r="V3928" s="47"/>
      <c r="W3928" s="47"/>
      <c r="X3928" s="47"/>
      <c r="Y3928" s="47"/>
      <c r="Z3928" s="47">
        <f t="shared" si="856"/>
        <v>4620</v>
      </c>
      <c r="AA3928" s="47"/>
      <c r="AB3928" s="47"/>
      <c r="AC3928" s="47"/>
      <c r="AD3928" s="47"/>
      <c r="AE3928" s="47"/>
      <c r="AF3928" s="47"/>
      <c r="AG3928" s="47"/>
      <c r="AH3928" s="47" t="str">
        <f>IFERROR(_xlfn.XLOOKUP(Table6[[#This Row],[Suburb]],Table5[Travel Surcharge],Table5[$$]),"")</f>
        <v/>
      </c>
      <c r="AI3928" s="47"/>
      <c r="AJ3928" s="47"/>
    </row>
    <row r="3929" spans="1:36">
      <c r="A3929" s="374" t="s">
        <v>5769</v>
      </c>
      <c r="B3929" s="374">
        <v>3</v>
      </c>
      <c r="C3929" s="374" t="s">
        <v>2433</v>
      </c>
      <c r="D3929" s="375" t="str">
        <f t="shared" si="851"/>
        <v>Springridge Estate3</v>
      </c>
      <c r="E3929" s="375" t="s">
        <v>5770</v>
      </c>
      <c r="F3929" s="375" t="s">
        <v>5771</v>
      </c>
      <c r="G3929" s="375" t="s">
        <v>5772</v>
      </c>
      <c r="H3929" s="375" t="s">
        <v>5773</v>
      </c>
      <c r="I3929" s="63" t="s">
        <v>5774</v>
      </c>
      <c r="J3929" s="47"/>
      <c r="K3929" s="46" t="s">
        <v>10735</v>
      </c>
      <c r="L3929" s="47" t="s">
        <v>3890</v>
      </c>
      <c r="M3929" s="47"/>
      <c r="N3929" s="47" t="str">
        <f t="shared" ref="N3929:N3948" si="866">"&lt;300m2 - $"&amp;N$7</f>
        <v>&lt;300m2 - $2640</v>
      </c>
      <c r="O3929" s="47"/>
      <c r="P3929" s="47" t="str">
        <f t="shared" ref="P3929:P3948" si="867">"&gt;300m2 - $"&amp;P$7</f>
        <v>&gt;300m2 - $8500</v>
      </c>
      <c r="Q3929" s="47">
        <f t="shared" si="865"/>
        <v>0</v>
      </c>
      <c r="R3929" s="47"/>
      <c r="S3929" s="47"/>
      <c r="T3929" s="47"/>
      <c r="U3929" s="47"/>
      <c r="V3929" s="47"/>
      <c r="W3929" s="47"/>
      <c r="X3929" s="47"/>
      <c r="Y3929" s="47" t="s">
        <v>5775</v>
      </c>
      <c r="Z3929" s="47"/>
      <c r="AA3929" s="47"/>
      <c r="AB3929" s="47"/>
      <c r="AC3929" s="47"/>
      <c r="AD3929" s="47"/>
      <c r="AE3929" s="47"/>
      <c r="AF3929" s="47"/>
      <c r="AG3929" s="47"/>
      <c r="AH3929" s="47" t="str">
        <f>IFERROR(_xlfn.XLOOKUP(Table6[[#This Row],[Suburb]],Table5[Travel Surcharge],Table5[$$]),"")</f>
        <v/>
      </c>
      <c r="AI3929" s="47"/>
      <c r="AJ3929" s="47"/>
    </row>
    <row r="3930" spans="1:36">
      <c r="A3930" s="374" t="s">
        <v>5769</v>
      </c>
      <c r="B3930" s="374">
        <v>6</v>
      </c>
      <c r="C3930" s="374" t="s">
        <v>2433</v>
      </c>
      <c r="D3930" s="375" t="str">
        <f t="shared" si="851"/>
        <v>Springridge Estate6</v>
      </c>
      <c r="E3930" s="375" t="s">
        <v>5776</v>
      </c>
      <c r="F3930" s="375" t="s">
        <v>5771</v>
      </c>
      <c r="G3930" s="375" t="s">
        <v>5772</v>
      </c>
      <c r="H3930" s="375" t="s">
        <v>5773</v>
      </c>
      <c r="I3930" s="63" t="s">
        <v>5774</v>
      </c>
      <c r="J3930" s="47"/>
      <c r="K3930" s="46" t="s">
        <v>10735</v>
      </c>
      <c r="L3930" s="47" t="s">
        <v>3890</v>
      </c>
      <c r="M3930" s="47"/>
      <c r="N3930" s="47" t="str">
        <f t="shared" si="866"/>
        <v>&lt;300m2 - $2640</v>
      </c>
      <c r="O3930" s="47"/>
      <c r="P3930" s="47" t="str">
        <f t="shared" si="867"/>
        <v>&gt;300m2 - $8500</v>
      </c>
      <c r="Q3930" s="47">
        <f t="shared" si="865"/>
        <v>0</v>
      </c>
      <c r="R3930" s="47"/>
      <c r="S3930" s="47"/>
      <c r="T3930" s="47"/>
      <c r="U3930" s="47"/>
      <c r="V3930" s="47"/>
      <c r="W3930" s="47"/>
      <c r="X3930" s="47"/>
      <c r="Y3930" s="47" t="s">
        <v>5777</v>
      </c>
      <c r="Z3930" s="47"/>
      <c r="AA3930" s="47"/>
      <c r="AB3930" s="47"/>
      <c r="AC3930" s="47"/>
      <c r="AD3930" s="47"/>
      <c r="AE3930" s="47"/>
      <c r="AF3930" s="47"/>
      <c r="AG3930" s="47"/>
      <c r="AH3930" s="47" t="str">
        <f>IFERROR(_xlfn.XLOOKUP(Table6[[#This Row],[Suburb]],Table5[Travel Surcharge],Table5[$$]),"")</f>
        <v/>
      </c>
      <c r="AI3930" s="47"/>
      <c r="AJ3930" s="47"/>
    </row>
    <row r="3931" spans="1:36">
      <c r="A3931" s="374" t="s">
        <v>5769</v>
      </c>
      <c r="B3931" s="374">
        <v>9</v>
      </c>
      <c r="C3931" s="374" t="s">
        <v>2433</v>
      </c>
      <c r="D3931" s="375" t="str">
        <f t="shared" si="851"/>
        <v>Springridge Estate9</v>
      </c>
      <c r="E3931" s="375" t="s">
        <v>5803</v>
      </c>
      <c r="F3931" s="375" t="s">
        <v>5771</v>
      </c>
      <c r="G3931" s="375" t="s">
        <v>5772</v>
      </c>
      <c r="H3931" s="375" t="s">
        <v>5773</v>
      </c>
      <c r="I3931" s="63" t="s">
        <v>5774</v>
      </c>
      <c r="J3931" s="47"/>
      <c r="K3931" s="46" t="s">
        <v>10735</v>
      </c>
      <c r="L3931" s="47" t="s">
        <v>3890</v>
      </c>
      <c r="M3931" s="47"/>
      <c r="N3931" s="47" t="str">
        <f t="shared" si="866"/>
        <v>&lt;300m2 - $2640</v>
      </c>
      <c r="O3931" s="47"/>
      <c r="P3931" s="47" t="str">
        <f t="shared" si="867"/>
        <v>&gt;300m2 - $8500</v>
      </c>
      <c r="Q3931" s="47">
        <f t="shared" si="865"/>
        <v>0</v>
      </c>
      <c r="R3931" s="47"/>
      <c r="S3931" s="47"/>
      <c r="T3931" s="47"/>
      <c r="U3931" s="47"/>
      <c r="V3931" s="47"/>
      <c r="W3931" s="47"/>
      <c r="X3931" s="47"/>
      <c r="Y3931" s="47" t="s">
        <v>5802</v>
      </c>
      <c r="Z3931" s="47"/>
      <c r="AA3931" s="47"/>
      <c r="AB3931" s="47"/>
      <c r="AC3931" s="47"/>
      <c r="AD3931" s="47"/>
      <c r="AE3931" s="47"/>
      <c r="AF3931" s="47"/>
      <c r="AG3931" s="47"/>
      <c r="AH3931" s="47" t="str">
        <f>IFERROR(_xlfn.XLOOKUP(Table6[[#This Row],[Suburb]],Table5[Travel Surcharge],Table5[$$]),"")</f>
        <v/>
      </c>
      <c r="AI3931" s="47"/>
      <c r="AJ3931" s="47"/>
    </row>
    <row r="3932" spans="1:36">
      <c r="A3932" s="374" t="s">
        <v>5769</v>
      </c>
      <c r="B3932" s="374">
        <v>10</v>
      </c>
      <c r="C3932" s="374" t="s">
        <v>2433</v>
      </c>
      <c r="D3932" s="375" t="str">
        <f t="shared" si="851"/>
        <v>Springridge Estate10</v>
      </c>
      <c r="E3932" s="375" t="s">
        <v>5804</v>
      </c>
      <c r="F3932" s="375" t="s">
        <v>5771</v>
      </c>
      <c r="G3932" s="375" t="s">
        <v>5772</v>
      </c>
      <c r="H3932" s="375" t="s">
        <v>5773</v>
      </c>
      <c r="I3932" s="63" t="s">
        <v>5774</v>
      </c>
      <c r="J3932" s="47"/>
      <c r="K3932" s="46" t="s">
        <v>10735</v>
      </c>
      <c r="L3932" s="47" t="s">
        <v>3890</v>
      </c>
      <c r="M3932" s="47"/>
      <c r="N3932" s="47" t="str">
        <f t="shared" si="866"/>
        <v>&lt;300m2 - $2640</v>
      </c>
      <c r="O3932" s="47"/>
      <c r="P3932" s="47" t="str">
        <f t="shared" si="867"/>
        <v>&gt;300m2 - $8500</v>
      </c>
      <c r="Q3932" s="47">
        <f t="shared" si="865"/>
        <v>0</v>
      </c>
      <c r="R3932" s="47"/>
      <c r="S3932" s="47"/>
      <c r="T3932" s="47"/>
      <c r="U3932" s="47"/>
      <c r="V3932" s="47"/>
      <c r="W3932" s="47"/>
      <c r="X3932" s="47"/>
      <c r="Y3932" s="47" t="s">
        <v>5802</v>
      </c>
      <c r="Z3932" s="47"/>
      <c r="AA3932" s="47"/>
      <c r="AB3932" s="47"/>
      <c r="AC3932" s="47"/>
      <c r="AD3932" s="47"/>
      <c r="AE3932" s="47"/>
      <c r="AF3932" s="47"/>
      <c r="AG3932" s="47"/>
      <c r="AH3932" s="47" t="str">
        <f>IFERROR(_xlfn.XLOOKUP(Table6[[#This Row],[Suburb]],Table5[Travel Surcharge],Table5[$$]),"")</f>
        <v/>
      </c>
      <c r="AI3932" s="47"/>
      <c r="AJ3932" s="47"/>
    </row>
    <row r="3933" spans="1:36">
      <c r="A3933" s="374" t="s">
        <v>5769</v>
      </c>
      <c r="B3933" s="374">
        <v>11</v>
      </c>
      <c r="C3933" s="374" t="s">
        <v>2433</v>
      </c>
      <c r="D3933" s="375" t="str">
        <f t="shared" ref="D3933:D3999" si="868">CONCATENATE(A3933,B3933)</f>
        <v>Springridge Estate11</v>
      </c>
      <c r="E3933" s="375" t="s">
        <v>5805</v>
      </c>
      <c r="F3933" s="375" t="s">
        <v>5771</v>
      </c>
      <c r="G3933" s="375" t="s">
        <v>5772</v>
      </c>
      <c r="H3933" s="375" t="s">
        <v>5773</v>
      </c>
      <c r="I3933" s="63" t="s">
        <v>5774</v>
      </c>
      <c r="J3933" s="47"/>
      <c r="K3933" s="46" t="s">
        <v>10735</v>
      </c>
      <c r="L3933" s="47" t="s">
        <v>3890</v>
      </c>
      <c r="M3933" s="47"/>
      <c r="N3933" s="47" t="str">
        <f t="shared" si="866"/>
        <v>&lt;300m2 - $2640</v>
      </c>
      <c r="O3933" s="47"/>
      <c r="P3933" s="47" t="str">
        <f t="shared" si="867"/>
        <v>&gt;300m2 - $8500</v>
      </c>
      <c r="Q3933" s="47">
        <f t="shared" si="865"/>
        <v>0</v>
      </c>
      <c r="R3933" s="47"/>
      <c r="S3933" s="47"/>
      <c r="T3933" s="47"/>
      <c r="U3933" s="47"/>
      <c r="V3933" s="47"/>
      <c r="W3933" s="47"/>
      <c r="X3933" s="47"/>
      <c r="Y3933" s="47" t="s">
        <v>5802</v>
      </c>
      <c r="Z3933" s="47"/>
      <c r="AA3933" s="47"/>
      <c r="AB3933" s="47"/>
      <c r="AC3933" s="47"/>
      <c r="AD3933" s="47"/>
      <c r="AE3933" s="47"/>
      <c r="AF3933" s="47"/>
      <c r="AG3933" s="47"/>
      <c r="AH3933" s="47" t="str">
        <f>IFERROR(_xlfn.XLOOKUP(Table6[[#This Row],[Suburb]],Table5[Travel Surcharge],Table5[$$]),"")</f>
        <v/>
      </c>
      <c r="AI3933" s="47"/>
      <c r="AJ3933" s="47"/>
    </row>
    <row r="3934" spans="1:36">
      <c r="A3934" s="374" t="s">
        <v>5769</v>
      </c>
      <c r="B3934" s="374">
        <v>12</v>
      </c>
      <c r="C3934" s="374" t="s">
        <v>2433</v>
      </c>
      <c r="D3934" s="375" t="str">
        <f t="shared" si="868"/>
        <v>Springridge Estate12</v>
      </c>
      <c r="E3934" s="375" t="s">
        <v>5806</v>
      </c>
      <c r="F3934" s="375" t="s">
        <v>5771</v>
      </c>
      <c r="G3934" s="375" t="s">
        <v>5772</v>
      </c>
      <c r="H3934" s="375" t="s">
        <v>5773</v>
      </c>
      <c r="I3934" s="63" t="s">
        <v>5774</v>
      </c>
      <c r="J3934" s="47"/>
      <c r="K3934" s="46" t="s">
        <v>10735</v>
      </c>
      <c r="L3934" s="47" t="s">
        <v>3890</v>
      </c>
      <c r="M3934" s="47"/>
      <c r="N3934" s="47" t="str">
        <f t="shared" si="866"/>
        <v>&lt;300m2 - $2640</v>
      </c>
      <c r="O3934" s="47"/>
      <c r="P3934" s="47" t="str">
        <f t="shared" si="867"/>
        <v>&gt;300m2 - $8500</v>
      </c>
      <c r="Q3934" s="47">
        <f t="shared" si="865"/>
        <v>0</v>
      </c>
      <c r="R3934" s="47"/>
      <c r="S3934" s="47"/>
      <c r="T3934" s="47"/>
      <c r="U3934" s="47"/>
      <c r="V3934" s="47"/>
      <c r="W3934" s="47"/>
      <c r="X3934" s="47"/>
      <c r="Y3934" s="47" t="s">
        <v>5802</v>
      </c>
      <c r="Z3934" s="47"/>
      <c r="AA3934" s="47"/>
      <c r="AB3934" s="47"/>
      <c r="AC3934" s="47"/>
      <c r="AD3934" s="47"/>
      <c r="AE3934" s="47"/>
      <c r="AF3934" s="47"/>
      <c r="AG3934" s="47"/>
      <c r="AH3934" s="47" t="str">
        <f>IFERROR(_xlfn.XLOOKUP(Table6[[#This Row],[Suburb]],Table5[Travel Surcharge],Table5[$$]),"")</f>
        <v/>
      </c>
      <c r="AI3934" s="47"/>
      <c r="AJ3934" s="47"/>
    </row>
    <row r="3935" spans="1:36">
      <c r="A3935" s="374" t="s">
        <v>5769</v>
      </c>
      <c r="B3935" s="374">
        <v>13</v>
      </c>
      <c r="C3935" s="374" t="s">
        <v>2433</v>
      </c>
      <c r="D3935" s="375" t="str">
        <f t="shared" si="868"/>
        <v>Springridge Estate13</v>
      </c>
      <c r="E3935" s="375" t="s">
        <v>5807</v>
      </c>
      <c r="F3935" s="375" t="s">
        <v>5771</v>
      </c>
      <c r="G3935" s="375" t="s">
        <v>5772</v>
      </c>
      <c r="H3935" s="375" t="s">
        <v>5773</v>
      </c>
      <c r="I3935" s="63" t="s">
        <v>5774</v>
      </c>
      <c r="J3935" s="47"/>
      <c r="K3935" s="46" t="s">
        <v>10735</v>
      </c>
      <c r="L3935" s="47" t="s">
        <v>3890</v>
      </c>
      <c r="M3935" s="47"/>
      <c r="N3935" s="47" t="str">
        <f t="shared" si="866"/>
        <v>&lt;300m2 - $2640</v>
      </c>
      <c r="O3935" s="47"/>
      <c r="P3935" s="47" t="str">
        <f t="shared" si="867"/>
        <v>&gt;300m2 - $8500</v>
      </c>
      <c r="Q3935" s="47">
        <f t="shared" si="865"/>
        <v>0</v>
      </c>
      <c r="R3935" s="47"/>
      <c r="S3935" s="47"/>
      <c r="T3935" s="47"/>
      <c r="U3935" s="47"/>
      <c r="V3935" s="47"/>
      <c r="W3935" s="47"/>
      <c r="X3935" s="47"/>
      <c r="Y3935" s="47" t="s">
        <v>5802</v>
      </c>
      <c r="Z3935" s="47"/>
      <c r="AA3935" s="47"/>
      <c r="AB3935" s="47"/>
      <c r="AC3935" s="47"/>
      <c r="AD3935" s="47"/>
      <c r="AE3935" s="47"/>
      <c r="AF3935" s="47"/>
      <c r="AG3935" s="47"/>
      <c r="AH3935" s="47" t="str">
        <f>IFERROR(_xlfn.XLOOKUP(Table6[[#This Row],[Suburb]],Table5[Travel Surcharge],Table5[$$]),"")</f>
        <v/>
      </c>
      <c r="AI3935" s="47"/>
      <c r="AJ3935" s="47"/>
    </row>
    <row r="3936" spans="1:36">
      <c r="A3936" s="157" t="s">
        <v>5769</v>
      </c>
      <c r="B3936" s="157">
        <v>14</v>
      </c>
      <c r="C3936" s="157" t="s">
        <v>2433</v>
      </c>
      <c r="D3936" s="157" t="str">
        <f t="shared" si="868"/>
        <v>Springridge Estate14</v>
      </c>
      <c r="E3936" s="157" t="s">
        <v>8800</v>
      </c>
      <c r="F3936" s="157" t="s">
        <v>5771</v>
      </c>
      <c r="G3936" s="157" t="s">
        <v>5772</v>
      </c>
      <c r="H3936" s="157" t="s">
        <v>5773</v>
      </c>
      <c r="I3936" s="158" t="s">
        <v>5774</v>
      </c>
      <c r="J3936" s="159"/>
      <c r="K3936" s="46" t="s">
        <v>10735</v>
      </c>
      <c r="L3936" s="159" t="s">
        <v>3890</v>
      </c>
      <c r="M3936" s="159"/>
      <c r="N3936" s="159" t="str">
        <f t="shared" si="866"/>
        <v>&lt;300m2 - $2640</v>
      </c>
      <c r="O3936" s="159"/>
      <c r="P3936" s="159" t="str">
        <f t="shared" si="867"/>
        <v>&gt;300m2 - $8500</v>
      </c>
      <c r="Q3936" s="159">
        <f t="shared" si="865"/>
        <v>0</v>
      </c>
      <c r="R3936" s="159"/>
      <c r="S3936" s="159"/>
      <c r="T3936" s="159"/>
      <c r="U3936" s="159"/>
      <c r="V3936" s="159"/>
      <c r="W3936" s="159"/>
      <c r="X3936" s="159"/>
      <c r="Y3936" s="159" t="s">
        <v>5802</v>
      </c>
      <c r="Z3936" s="159"/>
      <c r="AA3936" s="159"/>
      <c r="AB3936" s="159"/>
      <c r="AC3936" s="159"/>
      <c r="AD3936" s="159"/>
      <c r="AE3936" s="159"/>
      <c r="AF3936" s="159"/>
      <c r="AG3936" s="159"/>
      <c r="AH3936" s="47" t="str">
        <f>IFERROR(_xlfn.XLOOKUP(Table6[[#This Row],[Suburb]],Table5[Travel Surcharge],Table5[$$]),"")</f>
        <v/>
      </c>
      <c r="AI3936" s="159"/>
      <c r="AJ3936" s="159"/>
    </row>
    <row r="3937" spans="1:36">
      <c r="A3937" s="374" t="s">
        <v>5769</v>
      </c>
      <c r="B3937" s="374" t="s">
        <v>615</v>
      </c>
      <c r="C3937" s="374" t="s">
        <v>2433</v>
      </c>
      <c r="D3937" s="375" t="str">
        <f t="shared" si="868"/>
        <v>Springridge Estate4C</v>
      </c>
      <c r="E3937" s="375" t="s">
        <v>5778</v>
      </c>
      <c r="F3937" s="375" t="s">
        <v>5771</v>
      </c>
      <c r="G3937" s="375" t="s">
        <v>5772</v>
      </c>
      <c r="H3937" s="375" t="s">
        <v>5773</v>
      </c>
      <c r="I3937" s="63" t="s">
        <v>5774</v>
      </c>
      <c r="J3937" s="47"/>
      <c r="K3937" s="46" t="s">
        <v>10735</v>
      </c>
      <c r="L3937" s="47" t="s">
        <v>3890</v>
      </c>
      <c r="M3937" s="47"/>
      <c r="N3937" s="47" t="str">
        <f t="shared" si="866"/>
        <v>&lt;300m2 - $2640</v>
      </c>
      <c r="O3937" s="47"/>
      <c r="P3937" s="47" t="str">
        <f t="shared" si="867"/>
        <v>&gt;300m2 - $8500</v>
      </c>
      <c r="Q3937" s="47">
        <f t="shared" si="865"/>
        <v>0</v>
      </c>
      <c r="R3937" s="47"/>
      <c r="S3937" s="47"/>
      <c r="T3937" s="47"/>
      <c r="U3937" s="47"/>
      <c r="V3937" s="47"/>
      <c r="W3937" s="47"/>
      <c r="X3937" s="47"/>
      <c r="Y3937" s="47" t="s">
        <v>5779</v>
      </c>
      <c r="Z3937" s="47"/>
      <c r="AA3937" s="47"/>
      <c r="AB3937" s="47"/>
      <c r="AC3937" s="47"/>
      <c r="AD3937" s="47"/>
      <c r="AE3937" s="47"/>
      <c r="AF3937" s="47"/>
      <c r="AG3937" s="47"/>
      <c r="AH3937" s="47" t="str">
        <f>IFERROR(_xlfn.XLOOKUP(Table6[[#This Row],[Suburb]],Table5[Travel Surcharge],Table5[$$]),"")</f>
        <v/>
      </c>
      <c r="AI3937" s="47"/>
      <c r="AJ3937" s="47"/>
    </row>
    <row r="3938" spans="1:36">
      <c r="A3938" s="374" t="s">
        <v>5769</v>
      </c>
      <c r="B3938" s="374" t="s">
        <v>5043</v>
      </c>
      <c r="C3938" s="374" t="s">
        <v>2433</v>
      </c>
      <c r="D3938" s="375" t="str">
        <f t="shared" si="868"/>
        <v>Springridge Estate4D</v>
      </c>
      <c r="E3938" s="375" t="s">
        <v>5780</v>
      </c>
      <c r="F3938" s="375" t="s">
        <v>5771</v>
      </c>
      <c r="G3938" s="375" t="s">
        <v>5772</v>
      </c>
      <c r="H3938" s="375" t="s">
        <v>5773</v>
      </c>
      <c r="I3938" s="63" t="s">
        <v>5774</v>
      </c>
      <c r="J3938" s="47"/>
      <c r="K3938" s="46" t="s">
        <v>10735</v>
      </c>
      <c r="L3938" s="47" t="s">
        <v>3890</v>
      </c>
      <c r="M3938" s="47"/>
      <c r="N3938" s="47" t="str">
        <f t="shared" si="866"/>
        <v>&lt;300m2 - $2640</v>
      </c>
      <c r="O3938" s="47"/>
      <c r="P3938" s="47" t="str">
        <f t="shared" si="867"/>
        <v>&gt;300m2 - $8500</v>
      </c>
      <c r="Q3938" s="47">
        <f t="shared" si="865"/>
        <v>0</v>
      </c>
      <c r="R3938" s="47"/>
      <c r="S3938" s="47"/>
      <c r="T3938" s="47"/>
      <c r="U3938" s="47"/>
      <c r="V3938" s="47"/>
      <c r="W3938" s="47"/>
      <c r="X3938" s="47"/>
      <c r="Y3938" s="47" t="s">
        <v>5781</v>
      </c>
      <c r="Z3938" s="47"/>
      <c r="AA3938" s="47"/>
      <c r="AB3938" s="47"/>
      <c r="AC3938" s="47"/>
      <c r="AD3938" s="47"/>
      <c r="AE3938" s="47"/>
      <c r="AF3938" s="47"/>
      <c r="AG3938" s="47"/>
      <c r="AH3938" s="47" t="str">
        <f>IFERROR(_xlfn.XLOOKUP(Table6[[#This Row],[Suburb]],Table5[Travel Surcharge],Table5[$$]),"")</f>
        <v/>
      </c>
      <c r="AI3938" s="47"/>
      <c r="AJ3938" s="47"/>
    </row>
    <row r="3939" spans="1:36">
      <c r="A3939" s="374" t="s">
        <v>5769</v>
      </c>
      <c r="B3939" s="374" t="s">
        <v>5782</v>
      </c>
      <c r="C3939" s="374" t="s">
        <v>2433</v>
      </c>
      <c r="D3939" s="375" t="str">
        <f t="shared" si="868"/>
        <v>Springridge Estate4E</v>
      </c>
      <c r="E3939" s="375" t="s">
        <v>5783</v>
      </c>
      <c r="F3939" s="375" t="s">
        <v>5771</v>
      </c>
      <c r="G3939" s="375" t="s">
        <v>5772</v>
      </c>
      <c r="H3939" s="375" t="s">
        <v>5773</v>
      </c>
      <c r="I3939" s="63" t="s">
        <v>5774</v>
      </c>
      <c r="J3939" s="47"/>
      <c r="K3939" s="46" t="s">
        <v>10735</v>
      </c>
      <c r="L3939" s="47" t="s">
        <v>3890</v>
      </c>
      <c r="M3939" s="47"/>
      <c r="N3939" s="47" t="str">
        <f t="shared" si="866"/>
        <v>&lt;300m2 - $2640</v>
      </c>
      <c r="O3939" s="47"/>
      <c r="P3939" s="47" t="str">
        <f t="shared" si="867"/>
        <v>&gt;300m2 - $8500</v>
      </c>
      <c r="Q3939" s="47">
        <f t="shared" si="865"/>
        <v>0</v>
      </c>
      <c r="R3939" s="47"/>
      <c r="S3939" s="47"/>
      <c r="T3939" s="47"/>
      <c r="U3939" s="47"/>
      <c r="V3939" s="47"/>
      <c r="W3939" s="47"/>
      <c r="X3939" s="47"/>
      <c r="Y3939" s="47" t="s">
        <v>5784</v>
      </c>
      <c r="Z3939" s="47"/>
      <c r="AA3939" s="47"/>
      <c r="AB3939" s="47"/>
      <c r="AC3939" s="47"/>
      <c r="AD3939" s="47"/>
      <c r="AE3939" s="47"/>
      <c r="AF3939" s="47"/>
      <c r="AG3939" s="47"/>
      <c r="AH3939" s="47" t="str">
        <f>IFERROR(_xlfn.XLOOKUP(Table6[[#This Row],[Suburb]],Table5[Travel Surcharge],Table5[$$]),"")</f>
        <v/>
      </c>
      <c r="AI3939" s="47"/>
      <c r="AJ3939" s="47"/>
    </row>
    <row r="3940" spans="1:36">
      <c r="A3940" s="374" t="s">
        <v>5769</v>
      </c>
      <c r="B3940" s="374" t="s">
        <v>617</v>
      </c>
      <c r="C3940" s="374" t="s">
        <v>2433</v>
      </c>
      <c r="D3940" s="375" t="str">
        <f t="shared" si="868"/>
        <v>Springridge Estate5A</v>
      </c>
      <c r="E3940" s="375" t="s">
        <v>5785</v>
      </c>
      <c r="F3940" s="375" t="s">
        <v>5771</v>
      </c>
      <c r="G3940" s="375" t="s">
        <v>5772</v>
      </c>
      <c r="H3940" s="375" t="s">
        <v>5773</v>
      </c>
      <c r="I3940" s="63" t="s">
        <v>5774</v>
      </c>
      <c r="J3940" s="47"/>
      <c r="K3940" s="46" t="s">
        <v>10735</v>
      </c>
      <c r="L3940" s="47" t="s">
        <v>3890</v>
      </c>
      <c r="M3940" s="47"/>
      <c r="N3940" s="47" t="str">
        <f t="shared" si="866"/>
        <v>&lt;300m2 - $2640</v>
      </c>
      <c r="O3940" s="47"/>
      <c r="P3940" s="47" t="str">
        <f t="shared" si="867"/>
        <v>&gt;300m2 - $8500</v>
      </c>
      <c r="Q3940" s="47">
        <f t="shared" si="865"/>
        <v>0</v>
      </c>
      <c r="R3940" s="47"/>
      <c r="S3940" s="47"/>
      <c r="T3940" s="47"/>
      <c r="U3940" s="47"/>
      <c r="V3940" s="47"/>
      <c r="W3940" s="47"/>
      <c r="X3940" s="47"/>
      <c r="Y3940" s="47" t="s">
        <v>5786</v>
      </c>
      <c r="Z3940" s="47"/>
      <c r="AA3940" s="47"/>
      <c r="AB3940" s="47"/>
      <c r="AC3940" s="47"/>
      <c r="AD3940" s="47"/>
      <c r="AE3940" s="47"/>
      <c r="AF3940" s="47"/>
      <c r="AG3940" s="47"/>
      <c r="AH3940" s="47" t="str">
        <f>IFERROR(_xlfn.XLOOKUP(Table6[[#This Row],[Suburb]],Table5[Travel Surcharge],Table5[$$]),"")</f>
        <v/>
      </c>
      <c r="AI3940" s="47"/>
      <c r="AJ3940" s="47"/>
    </row>
    <row r="3941" spans="1:36">
      <c r="A3941" s="374" t="s">
        <v>5769</v>
      </c>
      <c r="B3941" s="374" t="s">
        <v>1466</v>
      </c>
      <c r="C3941" s="374" t="s">
        <v>2433</v>
      </c>
      <c r="D3941" s="375" t="str">
        <f t="shared" si="868"/>
        <v>Springridge Estate5B</v>
      </c>
      <c r="E3941" s="375" t="s">
        <v>5787</v>
      </c>
      <c r="F3941" s="375" t="s">
        <v>5771</v>
      </c>
      <c r="G3941" s="375" t="s">
        <v>5772</v>
      </c>
      <c r="H3941" s="375" t="s">
        <v>5773</v>
      </c>
      <c r="I3941" s="63" t="s">
        <v>5774</v>
      </c>
      <c r="J3941" s="47"/>
      <c r="K3941" s="46" t="s">
        <v>10735</v>
      </c>
      <c r="L3941" s="47" t="s">
        <v>3890</v>
      </c>
      <c r="M3941" s="47"/>
      <c r="N3941" s="47" t="str">
        <f t="shared" si="866"/>
        <v>&lt;300m2 - $2640</v>
      </c>
      <c r="O3941" s="47"/>
      <c r="P3941" s="47" t="str">
        <f t="shared" si="867"/>
        <v>&gt;300m2 - $8500</v>
      </c>
      <c r="Q3941" s="47">
        <f t="shared" si="865"/>
        <v>0</v>
      </c>
      <c r="R3941" s="47"/>
      <c r="S3941" s="47"/>
      <c r="T3941" s="47"/>
      <c r="U3941" s="47"/>
      <c r="V3941" s="47"/>
      <c r="W3941" s="47"/>
      <c r="X3941" s="47"/>
      <c r="Y3941" s="47" t="s">
        <v>5788</v>
      </c>
      <c r="Z3941" s="47"/>
      <c r="AA3941" s="47"/>
      <c r="AB3941" s="47"/>
      <c r="AC3941" s="47"/>
      <c r="AD3941" s="47"/>
      <c r="AE3941" s="47"/>
      <c r="AF3941" s="47"/>
      <c r="AG3941" s="47"/>
      <c r="AH3941" s="47" t="str">
        <f>IFERROR(_xlfn.XLOOKUP(Table6[[#This Row],[Suburb]],Table5[Travel Surcharge],Table5[$$]),"")</f>
        <v/>
      </c>
      <c r="AI3941" s="47"/>
      <c r="AJ3941" s="47"/>
    </row>
    <row r="3942" spans="1:36">
      <c r="A3942" s="374" t="s">
        <v>5769</v>
      </c>
      <c r="B3942" s="374" t="s">
        <v>620</v>
      </c>
      <c r="C3942" s="374" t="s">
        <v>2433</v>
      </c>
      <c r="D3942" s="375" t="str">
        <f t="shared" si="868"/>
        <v>Springridge Estate5D</v>
      </c>
      <c r="E3942" s="375" t="s">
        <v>5789</v>
      </c>
      <c r="F3942" s="375" t="s">
        <v>5771</v>
      </c>
      <c r="G3942" s="375" t="s">
        <v>5772</v>
      </c>
      <c r="H3942" s="375" t="s">
        <v>5773</v>
      </c>
      <c r="I3942" s="63" t="s">
        <v>5774</v>
      </c>
      <c r="J3942" s="47"/>
      <c r="K3942" s="46" t="s">
        <v>10735</v>
      </c>
      <c r="L3942" s="47" t="s">
        <v>3890</v>
      </c>
      <c r="M3942" s="47"/>
      <c r="N3942" s="47" t="str">
        <f t="shared" si="866"/>
        <v>&lt;300m2 - $2640</v>
      </c>
      <c r="O3942" s="47"/>
      <c r="P3942" s="47" t="str">
        <f t="shared" si="867"/>
        <v>&gt;300m2 - $8500</v>
      </c>
      <c r="Q3942" s="47">
        <f t="shared" si="865"/>
        <v>0</v>
      </c>
      <c r="R3942" s="47"/>
      <c r="S3942" s="47"/>
      <c r="T3942" s="47"/>
      <c r="U3942" s="47"/>
      <c r="V3942" s="47"/>
      <c r="W3942" s="47"/>
      <c r="X3942" s="47"/>
      <c r="Y3942" s="47" t="s">
        <v>5790</v>
      </c>
      <c r="Z3942" s="47"/>
      <c r="AA3942" s="47"/>
      <c r="AB3942" s="47"/>
      <c r="AC3942" s="47"/>
      <c r="AD3942" s="47"/>
      <c r="AE3942" s="47"/>
      <c r="AF3942" s="47"/>
      <c r="AG3942" s="47"/>
      <c r="AH3942" s="47" t="str">
        <f>IFERROR(_xlfn.XLOOKUP(Table6[[#This Row],[Suburb]],Table5[Travel Surcharge],Table5[$$]),"")</f>
        <v/>
      </c>
      <c r="AI3942" s="47"/>
      <c r="AJ3942" s="47"/>
    </row>
    <row r="3943" spans="1:36">
      <c r="A3943" s="374" t="s">
        <v>5769</v>
      </c>
      <c r="B3943" s="374" t="s">
        <v>5791</v>
      </c>
      <c r="C3943" s="374" t="s">
        <v>2433</v>
      </c>
      <c r="D3943" s="375" t="str">
        <f t="shared" si="868"/>
        <v>Springridge Estate5E</v>
      </c>
      <c r="E3943" s="375" t="s">
        <v>5792</v>
      </c>
      <c r="F3943" s="375" t="s">
        <v>5771</v>
      </c>
      <c r="G3943" s="375" t="s">
        <v>5772</v>
      </c>
      <c r="H3943" s="375" t="s">
        <v>5773</v>
      </c>
      <c r="I3943" s="63" t="s">
        <v>5774</v>
      </c>
      <c r="J3943" s="47"/>
      <c r="K3943" s="46" t="s">
        <v>10735</v>
      </c>
      <c r="L3943" s="47" t="s">
        <v>3890</v>
      </c>
      <c r="M3943" s="47"/>
      <c r="N3943" s="47" t="str">
        <f t="shared" si="866"/>
        <v>&lt;300m2 - $2640</v>
      </c>
      <c r="O3943" s="47"/>
      <c r="P3943" s="47" t="str">
        <f t="shared" si="867"/>
        <v>&gt;300m2 - $8500</v>
      </c>
      <c r="Q3943" s="47">
        <f t="shared" si="865"/>
        <v>0</v>
      </c>
      <c r="R3943" s="47"/>
      <c r="S3943" s="47"/>
      <c r="T3943" s="47"/>
      <c r="U3943" s="47"/>
      <c r="V3943" s="47"/>
      <c r="W3943" s="47"/>
      <c r="X3943" s="47"/>
      <c r="Y3943" s="47" t="s">
        <v>5790</v>
      </c>
      <c r="Z3943" s="47"/>
      <c r="AA3943" s="47"/>
      <c r="AB3943" s="47"/>
      <c r="AC3943" s="47"/>
      <c r="AD3943" s="47"/>
      <c r="AE3943" s="47"/>
      <c r="AF3943" s="47"/>
      <c r="AG3943" s="47"/>
      <c r="AH3943" s="47" t="str">
        <f>IFERROR(_xlfn.XLOOKUP(Table6[[#This Row],[Suburb]],Table5[Travel Surcharge],Table5[$$]),"")</f>
        <v/>
      </c>
      <c r="AI3943" s="47"/>
      <c r="AJ3943" s="47"/>
    </row>
    <row r="3944" spans="1:36">
      <c r="A3944" s="374" t="s">
        <v>5769</v>
      </c>
      <c r="B3944" s="374" t="s">
        <v>1488</v>
      </c>
      <c r="C3944" s="374" t="s">
        <v>2433</v>
      </c>
      <c r="D3944" s="375" t="str">
        <f t="shared" si="868"/>
        <v>Springridge Estate7A</v>
      </c>
      <c r="E3944" s="375" t="s">
        <v>5793</v>
      </c>
      <c r="F3944" s="375" t="s">
        <v>5771</v>
      </c>
      <c r="G3944" s="375" t="s">
        <v>5772</v>
      </c>
      <c r="H3944" s="375" t="s">
        <v>5773</v>
      </c>
      <c r="I3944" s="63" t="s">
        <v>5774</v>
      </c>
      <c r="J3944" s="47"/>
      <c r="K3944" s="46" t="s">
        <v>10735</v>
      </c>
      <c r="L3944" s="47" t="s">
        <v>3890</v>
      </c>
      <c r="M3944" s="47"/>
      <c r="N3944" s="47" t="str">
        <f t="shared" si="866"/>
        <v>&lt;300m2 - $2640</v>
      </c>
      <c r="O3944" s="47"/>
      <c r="P3944" s="47" t="str">
        <f t="shared" si="867"/>
        <v>&gt;300m2 - $8500</v>
      </c>
      <c r="Q3944" s="47">
        <f t="shared" si="865"/>
        <v>0</v>
      </c>
      <c r="R3944" s="47"/>
      <c r="S3944" s="47"/>
      <c r="T3944" s="47"/>
      <c r="U3944" s="47"/>
      <c r="V3944" s="47"/>
      <c r="W3944" s="47"/>
      <c r="X3944" s="47"/>
      <c r="Y3944" s="47" t="s">
        <v>5794</v>
      </c>
      <c r="Z3944" s="47"/>
      <c r="AA3944" s="47"/>
      <c r="AB3944" s="47"/>
      <c r="AC3944" s="47"/>
      <c r="AD3944" s="47"/>
      <c r="AE3944" s="47"/>
      <c r="AF3944" s="47"/>
      <c r="AG3944" s="47"/>
      <c r="AH3944" s="47" t="str">
        <f>IFERROR(_xlfn.XLOOKUP(Table6[[#This Row],[Suburb]],Table5[Travel Surcharge],Table5[$$]),"")</f>
        <v/>
      </c>
      <c r="AI3944" s="47"/>
      <c r="AJ3944" s="47"/>
    </row>
    <row r="3945" spans="1:36">
      <c r="A3945" s="374" t="s">
        <v>5769</v>
      </c>
      <c r="B3945" s="374" t="s">
        <v>1630</v>
      </c>
      <c r="C3945" s="374" t="s">
        <v>2433</v>
      </c>
      <c r="D3945" s="375" t="str">
        <f t="shared" si="868"/>
        <v>Springridge Estate7B</v>
      </c>
      <c r="E3945" s="375" t="s">
        <v>5795</v>
      </c>
      <c r="F3945" s="375" t="s">
        <v>5771</v>
      </c>
      <c r="G3945" s="375" t="s">
        <v>5772</v>
      </c>
      <c r="H3945" s="375" t="s">
        <v>5773</v>
      </c>
      <c r="I3945" s="63" t="s">
        <v>5774</v>
      </c>
      <c r="J3945" s="47"/>
      <c r="K3945" s="46" t="s">
        <v>10735</v>
      </c>
      <c r="L3945" s="47" t="s">
        <v>3890</v>
      </c>
      <c r="M3945" s="47"/>
      <c r="N3945" s="47" t="str">
        <f t="shared" si="866"/>
        <v>&lt;300m2 - $2640</v>
      </c>
      <c r="O3945" s="47"/>
      <c r="P3945" s="47" t="str">
        <f t="shared" si="867"/>
        <v>&gt;300m2 - $8500</v>
      </c>
      <c r="Q3945" s="47">
        <f t="shared" si="865"/>
        <v>0</v>
      </c>
      <c r="R3945" s="47"/>
      <c r="S3945" s="47"/>
      <c r="T3945" s="47"/>
      <c r="U3945" s="47"/>
      <c r="V3945" s="47"/>
      <c r="W3945" s="47"/>
      <c r="X3945" s="47"/>
      <c r="Y3945" s="47" t="s">
        <v>5796</v>
      </c>
      <c r="Z3945" s="47"/>
      <c r="AA3945" s="47"/>
      <c r="AB3945" s="47"/>
      <c r="AC3945" s="47"/>
      <c r="AD3945" s="47"/>
      <c r="AE3945" s="47"/>
      <c r="AF3945" s="47"/>
      <c r="AG3945" s="47"/>
      <c r="AH3945" s="47" t="str">
        <f>IFERROR(_xlfn.XLOOKUP(Table6[[#This Row],[Suburb]],Table5[Travel Surcharge],Table5[$$]),"")</f>
        <v/>
      </c>
      <c r="AI3945" s="47"/>
      <c r="AJ3945" s="47"/>
    </row>
    <row r="3946" spans="1:36">
      <c r="A3946" s="374" t="s">
        <v>5769</v>
      </c>
      <c r="B3946" s="374" t="s">
        <v>748</v>
      </c>
      <c r="C3946" s="374" t="s">
        <v>2433</v>
      </c>
      <c r="D3946" s="375" t="str">
        <f t="shared" si="868"/>
        <v>Springridge Estate8A</v>
      </c>
      <c r="E3946" s="375" t="s">
        <v>5797</v>
      </c>
      <c r="F3946" s="375" t="s">
        <v>5771</v>
      </c>
      <c r="G3946" s="375" t="s">
        <v>5772</v>
      </c>
      <c r="H3946" s="375" t="s">
        <v>5773</v>
      </c>
      <c r="I3946" s="63" t="s">
        <v>5774</v>
      </c>
      <c r="J3946" s="47"/>
      <c r="K3946" s="46" t="s">
        <v>10735</v>
      </c>
      <c r="L3946" s="47" t="s">
        <v>3890</v>
      </c>
      <c r="M3946" s="47"/>
      <c r="N3946" s="47" t="str">
        <f t="shared" si="866"/>
        <v>&lt;300m2 - $2640</v>
      </c>
      <c r="O3946" s="47"/>
      <c r="P3946" s="47" t="str">
        <f t="shared" si="867"/>
        <v>&gt;300m2 - $8500</v>
      </c>
      <c r="Q3946" s="47">
        <f t="shared" si="865"/>
        <v>0</v>
      </c>
      <c r="R3946" s="47"/>
      <c r="S3946" s="47"/>
      <c r="T3946" s="47"/>
      <c r="U3946" s="47"/>
      <c r="V3946" s="47"/>
      <c r="W3946" s="47"/>
      <c r="X3946" s="47"/>
      <c r="Y3946" s="47" t="s">
        <v>5798</v>
      </c>
      <c r="Z3946" s="47"/>
      <c r="AA3946" s="47"/>
      <c r="AB3946" s="47"/>
      <c r="AC3946" s="47"/>
      <c r="AD3946" s="47"/>
      <c r="AE3946" s="47"/>
      <c r="AF3946" s="47"/>
      <c r="AG3946" s="47"/>
      <c r="AH3946" s="47" t="str">
        <f>IFERROR(_xlfn.XLOOKUP(Table6[[#This Row],[Suburb]],Table5[Travel Surcharge],Table5[$$]),"")</f>
        <v/>
      </c>
      <c r="AI3946" s="47"/>
      <c r="AJ3946" s="47"/>
    </row>
    <row r="3947" spans="1:36">
      <c r="A3947" s="374" t="s">
        <v>5769</v>
      </c>
      <c r="B3947" s="374" t="s">
        <v>750</v>
      </c>
      <c r="C3947" s="374" t="s">
        <v>2433</v>
      </c>
      <c r="D3947" s="375" t="str">
        <f t="shared" si="868"/>
        <v>Springridge Estate8B</v>
      </c>
      <c r="E3947" s="375" t="s">
        <v>5799</v>
      </c>
      <c r="F3947" s="375" t="s">
        <v>5771</v>
      </c>
      <c r="G3947" s="375" t="s">
        <v>5772</v>
      </c>
      <c r="H3947" s="375" t="s">
        <v>5773</v>
      </c>
      <c r="I3947" s="63" t="s">
        <v>5774</v>
      </c>
      <c r="J3947" s="47"/>
      <c r="K3947" s="46" t="s">
        <v>10735</v>
      </c>
      <c r="L3947" s="47" t="s">
        <v>3890</v>
      </c>
      <c r="M3947" s="47"/>
      <c r="N3947" s="47" t="str">
        <f t="shared" si="866"/>
        <v>&lt;300m2 - $2640</v>
      </c>
      <c r="O3947" s="47"/>
      <c r="P3947" s="47" t="str">
        <f t="shared" si="867"/>
        <v>&gt;300m2 - $8500</v>
      </c>
      <c r="Q3947" s="47">
        <f t="shared" si="865"/>
        <v>0</v>
      </c>
      <c r="R3947" s="47"/>
      <c r="S3947" s="47"/>
      <c r="T3947" s="47"/>
      <c r="U3947" s="47"/>
      <c r="V3947" s="47"/>
      <c r="W3947" s="47"/>
      <c r="X3947" s="47"/>
      <c r="Y3947" s="47" t="s">
        <v>5800</v>
      </c>
      <c r="Z3947" s="47"/>
      <c r="AA3947" s="47"/>
      <c r="AB3947" s="47"/>
      <c r="AC3947" s="47"/>
      <c r="AD3947" s="47"/>
      <c r="AE3947" s="47"/>
      <c r="AF3947" s="47"/>
      <c r="AG3947" s="47"/>
      <c r="AH3947" s="47" t="str">
        <f>IFERROR(_xlfn.XLOOKUP(Table6[[#This Row],[Suburb]],Table5[Travel Surcharge],Table5[$$]),"")</f>
        <v/>
      </c>
      <c r="AI3947" s="47"/>
      <c r="AJ3947" s="47"/>
    </row>
    <row r="3948" spans="1:36">
      <c r="A3948" s="374" t="s">
        <v>5769</v>
      </c>
      <c r="B3948" s="374" t="s">
        <v>2704</v>
      </c>
      <c r="C3948" s="374" t="s">
        <v>2433</v>
      </c>
      <c r="D3948" s="375" t="str">
        <f t="shared" si="868"/>
        <v>Springridge Estate8C</v>
      </c>
      <c r="E3948" s="375" t="s">
        <v>5801</v>
      </c>
      <c r="F3948" s="375" t="s">
        <v>5771</v>
      </c>
      <c r="G3948" s="375" t="s">
        <v>5772</v>
      </c>
      <c r="H3948" s="375" t="s">
        <v>5773</v>
      </c>
      <c r="I3948" s="63" t="s">
        <v>5774</v>
      </c>
      <c r="J3948" s="47"/>
      <c r="K3948" s="46" t="s">
        <v>10735</v>
      </c>
      <c r="L3948" s="47" t="s">
        <v>3890</v>
      </c>
      <c r="M3948" s="47"/>
      <c r="N3948" s="47" t="str">
        <f t="shared" si="866"/>
        <v>&lt;300m2 - $2640</v>
      </c>
      <c r="O3948" s="47"/>
      <c r="P3948" s="47" t="str">
        <f t="shared" si="867"/>
        <v>&gt;300m2 - $8500</v>
      </c>
      <c r="Q3948" s="47">
        <f t="shared" si="865"/>
        <v>0</v>
      </c>
      <c r="R3948" s="47"/>
      <c r="S3948" s="47"/>
      <c r="T3948" s="47"/>
      <c r="U3948" s="47"/>
      <c r="V3948" s="47"/>
      <c r="W3948" s="47"/>
      <c r="X3948" s="47"/>
      <c r="Y3948" s="47" t="s">
        <v>5802</v>
      </c>
      <c r="Z3948" s="47"/>
      <c r="AA3948" s="47"/>
      <c r="AB3948" s="47"/>
      <c r="AC3948" s="47"/>
      <c r="AD3948" s="47"/>
      <c r="AE3948" s="47"/>
      <c r="AF3948" s="47"/>
      <c r="AG3948" s="47"/>
      <c r="AH3948" s="47" t="str">
        <f>IFERROR(_xlfn.XLOOKUP(Table6[[#This Row],[Suburb]],Table5[Travel Surcharge],Table5[$$]),"")</f>
        <v/>
      </c>
      <c r="AI3948" s="47"/>
      <c r="AJ3948" s="47"/>
    </row>
    <row r="3949" spans="1:36">
      <c r="A3949" s="374" t="s">
        <v>5812</v>
      </c>
      <c r="B3949" s="374">
        <v>6</v>
      </c>
      <c r="C3949" s="374" t="s">
        <v>5813</v>
      </c>
      <c r="D3949" s="375" t="str">
        <f t="shared" si="868"/>
        <v>St Andrews Field Estate6</v>
      </c>
      <c r="E3949" s="375" t="s">
        <v>5814</v>
      </c>
      <c r="F3949" s="375" t="s">
        <v>5815</v>
      </c>
      <c r="G3949" s="375"/>
      <c r="H3949" s="375"/>
      <c r="I3949" s="63"/>
      <c r="J3949" s="47"/>
      <c r="K3949" s="46" t="s">
        <v>10735</v>
      </c>
      <c r="L3949" s="47"/>
      <c r="M3949" s="47"/>
      <c r="N3949" s="47"/>
      <c r="O3949" s="47"/>
      <c r="P3949" s="47"/>
      <c r="Q3949" s="47"/>
      <c r="R3949" s="47"/>
      <c r="S3949" s="47"/>
      <c r="T3949" s="47">
        <f>T$2</f>
        <v>780</v>
      </c>
      <c r="U3949" s="47"/>
      <c r="V3949" s="47"/>
      <c r="W3949" s="47"/>
      <c r="X3949" s="47"/>
      <c r="Y3949" s="47"/>
      <c r="Z3949" s="47">
        <f t="shared" ref="Z3949:Z3980" si="869">Z$7</f>
        <v>4620</v>
      </c>
      <c r="AA3949" s="47"/>
      <c r="AB3949" s="47"/>
      <c r="AC3949" s="47"/>
      <c r="AD3949" s="47"/>
      <c r="AE3949" s="47"/>
      <c r="AF3949" s="47"/>
      <c r="AG3949" s="47"/>
      <c r="AH3949" s="47" t="str">
        <f>IFERROR(_xlfn.XLOOKUP(Table6[[#This Row],[Suburb]],Table5[Travel Surcharge],Table5[$$]),"")</f>
        <v/>
      </c>
      <c r="AI3949" s="47"/>
      <c r="AJ3949" s="47"/>
    </row>
    <row r="3950" spans="1:36">
      <c r="A3950" s="374" t="s">
        <v>5816</v>
      </c>
      <c r="B3950" s="374">
        <v>2</v>
      </c>
      <c r="C3950" s="374" t="s">
        <v>567</v>
      </c>
      <c r="D3950" s="375" t="str">
        <f t="shared" si="868"/>
        <v>St Genevieve Estate2</v>
      </c>
      <c r="E3950" s="375" t="s">
        <v>5817</v>
      </c>
      <c r="F3950" s="375" t="s">
        <v>1155</v>
      </c>
      <c r="G3950" s="375" t="s">
        <v>1183</v>
      </c>
      <c r="H3950" s="375" t="s">
        <v>1184</v>
      </c>
      <c r="I3950" s="63" t="s">
        <v>5818</v>
      </c>
      <c r="J3950" s="47">
        <f t="shared" ref="J3950:J3985" si="870">J$7</f>
        <v>3740</v>
      </c>
      <c r="K3950" s="46" t="s">
        <v>10735</v>
      </c>
      <c r="L3950" s="47">
        <f t="shared" ref="L3950:L3955" si="871">L$7</f>
        <v>1210</v>
      </c>
      <c r="M3950" s="47" t="s">
        <v>498</v>
      </c>
      <c r="N3950" s="47"/>
      <c r="O3950" s="47"/>
      <c r="P3950" s="47"/>
      <c r="Q3950" s="47"/>
      <c r="R3950" s="47"/>
      <c r="S3950" s="47"/>
      <c r="T3950" s="47"/>
      <c r="U3950" s="47">
        <f t="shared" ref="U3950:U3955" si="872">U$2</f>
        <v>430</v>
      </c>
      <c r="V3950" s="47"/>
      <c r="W3950" s="47"/>
      <c r="X3950" s="47"/>
      <c r="Y3950" s="47"/>
      <c r="Z3950" s="47">
        <f t="shared" si="869"/>
        <v>4620</v>
      </c>
      <c r="AA3950" s="47">
        <f t="shared" ref="AA3950:AA3984" si="873">AA$7</f>
        <v>1400</v>
      </c>
      <c r="AB3950" s="47"/>
      <c r="AC3950" s="47"/>
      <c r="AD3950" s="47" t="s">
        <v>1</v>
      </c>
      <c r="AE3950" s="47"/>
      <c r="AF3950" s="47"/>
      <c r="AG3950" s="47"/>
      <c r="AH3950" s="47" t="str">
        <f>IFERROR(_xlfn.XLOOKUP(Table6[[#This Row],[Suburb]],Table5[Travel Surcharge],Table5[$$]),"")</f>
        <v/>
      </c>
      <c r="AI3950" s="47">
        <f t="shared" ref="AI3950:AI3955" si="874">AI$7</f>
        <v>1650.0000000000002</v>
      </c>
      <c r="AJ3950" s="47"/>
    </row>
    <row r="3951" spans="1:36">
      <c r="A3951" s="374" t="s">
        <v>5816</v>
      </c>
      <c r="B3951" s="374">
        <v>4</v>
      </c>
      <c r="C3951" s="374" t="s">
        <v>567</v>
      </c>
      <c r="D3951" s="375" t="str">
        <f t="shared" si="868"/>
        <v>St Genevieve Estate4</v>
      </c>
      <c r="E3951" s="375" t="s">
        <v>5819</v>
      </c>
      <c r="F3951" s="375" t="s">
        <v>1155</v>
      </c>
      <c r="G3951" s="375" t="s">
        <v>1183</v>
      </c>
      <c r="H3951" s="375" t="s">
        <v>1184</v>
      </c>
      <c r="I3951" s="63" t="s">
        <v>5818</v>
      </c>
      <c r="J3951" s="47">
        <f t="shared" si="870"/>
        <v>3740</v>
      </c>
      <c r="K3951" s="46" t="s">
        <v>10735</v>
      </c>
      <c r="L3951" s="47">
        <f t="shared" si="871"/>
        <v>1210</v>
      </c>
      <c r="M3951" s="47" t="s">
        <v>498</v>
      </c>
      <c r="N3951" s="47"/>
      <c r="O3951" s="47"/>
      <c r="P3951" s="47"/>
      <c r="Q3951" s="47"/>
      <c r="R3951" s="47"/>
      <c r="S3951" s="47"/>
      <c r="T3951" s="47"/>
      <c r="U3951" s="47">
        <f t="shared" si="872"/>
        <v>430</v>
      </c>
      <c r="V3951" s="47"/>
      <c r="W3951" s="47"/>
      <c r="X3951" s="47"/>
      <c r="Y3951" s="47"/>
      <c r="Z3951" s="47">
        <f t="shared" si="869"/>
        <v>4620</v>
      </c>
      <c r="AA3951" s="47">
        <f t="shared" si="873"/>
        <v>1400</v>
      </c>
      <c r="AB3951" s="47"/>
      <c r="AC3951" s="47"/>
      <c r="AD3951" s="47" t="s">
        <v>1</v>
      </c>
      <c r="AE3951" s="47"/>
      <c r="AF3951" s="47"/>
      <c r="AG3951" s="47"/>
      <c r="AH3951" s="47" t="str">
        <f>IFERROR(_xlfn.XLOOKUP(Table6[[#This Row],[Suburb]],Table5[Travel Surcharge],Table5[$$]),"")</f>
        <v/>
      </c>
      <c r="AI3951" s="47">
        <f t="shared" si="874"/>
        <v>1650.0000000000002</v>
      </c>
      <c r="AJ3951" s="47"/>
    </row>
    <row r="3952" spans="1:36">
      <c r="A3952" s="374" t="s">
        <v>5816</v>
      </c>
      <c r="B3952" s="374">
        <v>5</v>
      </c>
      <c r="C3952" s="374" t="s">
        <v>567</v>
      </c>
      <c r="D3952" s="375" t="str">
        <f t="shared" si="868"/>
        <v>St Genevieve Estate5</v>
      </c>
      <c r="E3952" s="375" t="s">
        <v>5820</v>
      </c>
      <c r="F3952" s="375" t="s">
        <v>1155</v>
      </c>
      <c r="G3952" s="375" t="s">
        <v>1183</v>
      </c>
      <c r="H3952" s="375" t="s">
        <v>1184</v>
      </c>
      <c r="I3952" s="63" t="s">
        <v>5818</v>
      </c>
      <c r="J3952" s="47">
        <f t="shared" si="870"/>
        <v>3740</v>
      </c>
      <c r="K3952" s="46" t="s">
        <v>10735</v>
      </c>
      <c r="L3952" s="47">
        <f t="shared" si="871"/>
        <v>1210</v>
      </c>
      <c r="M3952" s="47" t="s">
        <v>498</v>
      </c>
      <c r="N3952" s="47"/>
      <c r="O3952" s="47"/>
      <c r="P3952" s="47"/>
      <c r="Q3952" s="47"/>
      <c r="R3952" s="47"/>
      <c r="S3952" s="47"/>
      <c r="T3952" s="47"/>
      <c r="U3952" s="47">
        <f t="shared" si="872"/>
        <v>430</v>
      </c>
      <c r="V3952" s="47"/>
      <c r="W3952" s="47"/>
      <c r="X3952" s="47"/>
      <c r="Y3952" s="47"/>
      <c r="Z3952" s="47">
        <f t="shared" si="869"/>
        <v>4620</v>
      </c>
      <c r="AA3952" s="47">
        <f t="shared" si="873"/>
        <v>1400</v>
      </c>
      <c r="AB3952" s="47"/>
      <c r="AC3952" s="47"/>
      <c r="AD3952" s="47" t="s">
        <v>1</v>
      </c>
      <c r="AE3952" s="47"/>
      <c r="AF3952" s="47"/>
      <c r="AG3952" s="47"/>
      <c r="AH3952" s="47" t="str">
        <f>IFERROR(_xlfn.XLOOKUP(Table6[[#This Row],[Suburb]],Table5[Travel Surcharge],Table5[$$]),"")</f>
        <v/>
      </c>
      <c r="AI3952" s="47">
        <f t="shared" si="874"/>
        <v>1650.0000000000002</v>
      </c>
      <c r="AJ3952" s="47"/>
    </row>
    <row r="3953" spans="1:36">
      <c r="A3953" s="374" t="s">
        <v>5816</v>
      </c>
      <c r="B3953" s="374">
        <v>6</v>
      </c>
      <c r="C3953" s="374" t="s">
        <v>567</v>
      </c>
      <c r="D3953" s="375" t="str">
        <f t="shared" si="868"/>
        <v>St Genevieve Estate6</v>
      </c>
      <c r="E3953" s="375" t="s">
        <v>5821</v>
      </c>
      <c r="F3953" s="375" t="s">
        <v>1155</v>
      </c>
      <c r="G3953" s="375" t="s">
        <v>1183</v>
      </c>
      <c r="H3953" s="375" t="s">
        <v>1184</v>
      </c>
      <c r="I3953" s="63" t="s">
        <v>5818</v>
      </c>
      <c r="J3953" s="47">
        <f t="shared" si="870"/>
        <v>3740</v>
      </c>
      <c r="K3953" s="46" t="s">
        <v>10735</v>
      </c>
      <c r="L3953" s="47">
        <f t="shared" si="871"/>
        <v>1210</v>
      </c>
      <c r="M3953" s="47" t="s">
        <v>498</v>
      </c>
      <c r="N3953" s="47"/>
      <c r="O3953" s="47"/>
      <c r="P3953" s="47"/>
      <c r="Q3953" s="47"/>
      <c r="R3953" s="47"/>
      <c r="S3953" s="47"/>
      <c r="T3953" s="47"/>
      <c r="U3953" s="47">
        <f t="shared" si="872"/>
        <v>430</v>
      </c>
      <c r="V3953" s="47"/>
      <c r="W3953" s="47"/>
      <c r="X3953" s="47"/>
      <c r="Y3953" s="47"/>
      <c r="Z3953" s="47">
        <f t="shared" si="869"/>
        <v>4620</v>
      </c>
      <c r="AA3953" s="47">
        <f t="shared" si="873"/>
        <v>1400</v>
      </c>
      <c r="AB3953" s="47"/>
      <c r="AC3953" s="47"/>
      <c r="AD3953" s="47" t="s">
        <v>1</v>
      </c>
      <c r="AE3953" s="47"/>
      <c r="AF3953" s="47"/>
      <c r="AG3953" s="47"/>
      <c r="AH3953" s="47" t="str">
        <f>IFERROR(_xlfn.XLOOKUP(Table6[[#This Row],[Suburb]],Table5[Travel Surcharge],Table5[$$]),"")</f>
        <v/>
      </c>
      <c r="AI3953" s="47">
        <f t="shared" si="874"/>
        <v>1650.0000000000002</v>
      </c>
      <c r="AJ3953" s="47"/>
    </row>
    <row r="3954" spans="1:36">
      <c r="A3954" s="374" t="s">
        <v>5816</v>
      </c>
      <c r="B3954" s="374">
        <v>7</v>
      </c>
      <c r="C3954" s="374" t="s">
        <v>567</v>
      </c>
      <c r="D3954" s="375" t="str">
        <f t="shared" si="868"/>
        <v>St Genevieve Estate7</v>
      </c>
      <c r="E3954" s="375" t="s">
        <v>5822</v>
      </c>
      <c r="F3954" s="375" t="s">
        <v>1155</v>
      </c>
      <c r="G3954" s="375" t="s">
        <v>1183</v>
      </c>
      <c r="H3954" s="375" t="s">
        <v>1184</v>
      </c>
      <c r="I3954" s="63" t="s">
        <v>5818</v>
      </c>
      <c r="J3954" s="47">
        <f t="shared" si="870"/>
        <v>3740</v>
      </c>
      <c r="K3954" s="46" t="s">
        <v>10735</v>
      </c>
      <c r="L3954" s="47">
        <f t="shared" si="871"/>
        <v>1210</v>
      </c>
      <c r="M3954" s="47" t="s">
        <v>498</v>
      </c>
      <c r="N3954" s="47"/>
      <c r="O3954" s="47"/>
      <c r="P3954" s="47"/>
      <c r="Q3954" s="47"/>
      <c r="R3954" s="47"/>
      <c r="S3954" s="47"/>
      <c r="T3954" s="47"/>
      <c r="U3954" s="47">
        <f t="shared" si="872"/>
        <v>430</v>
      </c>
      <c r="V3954" s="47"/>
      <c r="W3954" s="47"/>
      <c r="X3954" s="47"/>
      <c r="Y3954" s="47"/>
      <c r="Z3954" s="47">
        <f t="shared" si="869"/>
        <v>4620</v>
      </c>
      <c r="AA3954" s="47">
        <f t="shared" si="873"/>
        <v>1400</v>
      </c>
      <c r="AB3954" s="47"/>
      <c r="AC3954" s="47"/>
      <c r="AD3954" s="47" t="s">
        <v>1</v>
      </c>
      <c r="AE3954" s="47"/>
      <c r="AF3954" s="47"/>
      <c r="AG3954" s="47"/>
      <c r="AH3954" s="47" t="str">
        <f>IFERROR(_xlfn.XLOOKUP(Table6[[#This Row],[Suburb]],Table5[Travel Surcharge],Table5[$$]),"")</f>
        <v/>
      </c>
      <c r="AI3954" s="47">
        <f t="shared" si="874"/>
        <v>1650.0000000000002</v>
      </c>
      <c r="AJ3954" s="47"/>
    </row>
    <row r="3955" spans="1:36">
      <c r="A3955" s="374" t="s">
        <v>5816</v>
      </c>
      <c r="B3955" s="374">
        <v>8</v>
      </c>
      <c r="C3955" s="374" t="s">
        <v>567</v>
      </c>
      <c r="D3955" s="375" t="str">
        <f t="shared" si="868"/>
        <v>St Genevieve Estate8</v>
      </c>
      <c r="E3955" s="375" t="s">
        <v>5823</v>
      </c>
      <c r="F3955" s="375" t="s">
        <v>1155</v>
      </c>
      <c r="G3955" s="375" t="s">
        <v>1183</v>
      </c>
      <c r="H3955" s="375" t="s">
        <v>1184</v>
      </c>
      <c r="I3955" s="63" t="s">
        <v>5818</v>
      </c>
      <c r="J3955" s="47">
        <f t="shared" si="870"/>
        <v>3740</v>
      </c>
      <c r="K3955" s="46" t="s">
        <v>10735</v>
      </c>
      <c r="L3955" s="47">
        <f t="shared" si="871"/>
        <v>1210</v>
      </c>
      <c r="M3955" s="47" t="s">
        <v>498</v>
      </c>
      <c r="N3955" s="47"/>
      <c r="O3955" s="47"/>
      <c r="P3955" s="47"/>
      <c r="Q3955" s="47"/>
      <c r="R3955" s="47"/>
      <c r="S3955" s="47"/>
      <c r="T3955" s="47"/>
      <c r="U3955" s="47">
        <f t="shared" si="872"/>
        <v>430</v>
      </c>
      <c r="V3955" s="47"/>
      <c r="W3955" s="47"/>
      <c r="X3955" s="47"/>
      <c r="Y3955" s="47"/>
      <c r="Z3955" s="47">
        <f t="shared" si="869"/>
        <v>4620</v>
      </c>
      <c r="AA3955" s="47">
        <f t="shared" si="873"/>
        <v>1400</v>
      </c>
      <c r="AB3955" s="47"/>
      <c r="AC3955" s="47"/>
      <c r="AD3955" s="47" t="s">
        <v>1</v>
      </c>
      <c r="AE3955" s="47"/>
      <c r="AF3955" s="47"/>
      <c r="AG3955" s="47"/>
      <c r="AH3955" s="47" t="str">
        <f>IFERROR(_xlfn.XLOOKUP(Table6[[#This Row],[Suburb]],Table5[Travel Surcharge],Table5[$$]),"")</f>
        <v/>
      </c>
      <c r="AI3955" s="47">
        <f t="shared" si="874"/>
        <v>1650.0000000000002</v>
      </c>
      <c r="AJ3955" s="47"/>
    </row>
    <row r="3956" spans="1:36">
      <c r="A3956" s="374" t="s">
        <v>5824</v>
      </c>
      <c r="B3956" s="374">
        <v>1</v>
      </c>
      <c r="C3956" s="374" t="s">
        <v>428</v>
      </c>
      <c r="D3956" s="375" t="str">
        <f t="shared" si="868"/>
        <v>St Germain Estate1</v>
      </c>
      <c r="E3956" s="375" t="s">
        <v>5825</v>
      </c>
      <c r="F3956" s="375" t="s">
        <v>5826</v>
      </c>
      <c r="G3956" s="375" t="s">
        <v>5827</v>
      </c>
      <c r="H3956" s="375" t="s">
        <v>5828</v>
      </c>
      <c r="I3956" s="63" t="s">
        <v>5829</v>
      </c>
      <c r="J3956" s="47">
        <f t="shared" si="870"/>
        <v>3740</v>
      </c>
      <c r="K3956" s="46" t="s">
        <v>7938</v>
      </c>
      <c r="L3956" s="47"/>
      <c r="M3956" s="47">
        <f t="shared" ref="M3956:M3980" si="875">M$7</f>
        <v>1430.0000000000002</v>
      </c>
      <c r="N3956" s="47" t="s">
        <v>5830</v>
      </c>
      <c r="O3956" s="47"/>
      <c r="P3956" s="47"/>
      <c r="Q3956" s="47">
        <f t="shared" ref="Q3956:Q3980" si="876">Q$2</f>
        <v>0</v>
      </c>
      <c r="R3956" s="47"/>
      <c r="S3956" s="47"/>
      <c r="T3956" s="47" t="s">
        <v>641</v>
      </c>
      <c r="U3956" s="47"/>
      <c r="V3956" s="47"/>
      <c r="W3956" s="47"/>
      <c r="X3956" s="47"/>
      <c r="Y3956" s="47"/>
      <c r="Z3956" s="47">
        <f t="shared" si="869"/>
        <v>4620</v>
      </c>
      <c r="AA3956" s="47">
        <f t="shared" si="873"/>
        <v>1400</v>
      </c>
      <c r="AB3956" s="47"/>
      <c r="AC3956" s="47"/>
      <c r="AD3956" s="47"/>
      <c r="AE3956" s="47"/>
      <c r="AF3956" s="47"/>
      <c r="AG3956" s="47"/>
      <c r="AH3956" s="47" t="str">
        <f>IFERROR(_xlfn.XLOOKUP(Table6[[#This Row],[Suburb]],Table5[Travel Surcharge],Table5[$$]),"")</f>
        <v/>
      </c>
      <c r="AI3956" s="47"/>
      <c r="AJ3956" s="47"/>
    </row>
    <row r="3957" spans="1:36">
      <c r="A3957" s="374" t="s">
        <v>5824</v>
      </c>
      <c r="B3957" s="374">
        <v>2</v>
      </c>
      <c r="C3957" s="374" t="s">
        <v>428</v>
      </c>
      <c r="D3957" s="375" t="str">
        <f t="shared" si="868"/>
        <v>St Germain Estate2</v>
      </c>
      <c r="E3957" s="375" t="s">
        <v>5831</v>
      </c>
      <c r="F3957" s="375" t="s">
        <v>5826</v>
      </c>
      <c r="G3957" s="375" t="s">
        <v>5827</v>
      </c>
      <c r="H3957" s="375" t="s">
        <v>5828</v>
      </c>
      <c r="I3957" s="63" t="s">
        <v>5829</v>
      </c>
      <c r="J3957" s="47">
        <f t="shared" si="870"/>
        <v>3740</v>
      </c>
      <c r="K3957" s="46" t="s">
        <v>7938</v>
      </c>
      <c r="L3957" s="47"/>
      <c r="M3957" s="47">
        <f t="shared" si="875"/>
        <v>1430.0000000000002</v>
      </c>
      <c r="N3957" s="47" t="s">
        <v>5830</v>
      </c>
      <c r="O3957" s="47"/>
      <c r="P3957" s="47"/>
      <c r="Q3957" s="47">
        <f t="shared" si="876"/>
        <v>0</v>
      </c>
      <c r="R3957" s="47"/>
      <c r="S3957" s="47"/>
      <c r="T3957" s="47" t="s">
        <v>641</v>
      </c>
      <c r="U3957" s="47"/>
      <c r="V3957" s="47"/>
      <c r="W3957" s="47"/>
      <c r="X3957" s="47"/>
      <c r="Y3957" s="47"/>
      <c r="Z3957" s="47">
        <f t="shared" si="869"/>
        <v>4620</v>
      </c>
      <c r="AA3957" s="47">
        <f t="shared" si="873"/>
        <v>1400</v>
      </c>
      <c r="AB3957" s="47"/>
      <c r="AC3957" s="47"/>
      <c r="AD3957" s="47"/>
      <c r="AE3957" s="47"/>
      <c r="AF3957" s="47"/>
      <c r="AG3957" s="47"/>
      <c r="AH3957" s="47" t="str">
        <f>IFERROR(_xlfn.XLOOKUP(Table6[[#This Row],[Suburb]],Table5[Travel Surcharge],Table5[$$]),"")</f>
        <v/>
      </c>
      <c r="AI3957" s="47"/>
      <c r="AJ3957" s="47"/>
    </row>
    <row r="3958" spans="1:36">
      <c r="A3958" s="374" t="s">
        <v>5824</v>
      </c>
      <c r="B3958" s="374">
        <v>3</v>
      </c>
      <c r="C3958" s="374" t="s">
        <v>428</v>
      </c>
      <c r="D3958" s="375" t="str">
        <f t="shared" si="868"/>
        <v>St Germain Estate3</v>
      </c>
      <c r="E3958" s="375" t="s">
        <v>5832</v>
      </c>
      <c r="F3958" s="375" t="s">
        <v>5826</v>
      </c>
      <c r="G3958" s="375" t="s">
        <v>5827</v>
      </c>
      <c r="H3958" s="375" t="s">
        <v>5828</v>
      </c>
      <c r="I3958" s="63" t="s">
        <v>5829</v>
      </c>
      <c r="J3958" s="47">
        <f t="shared" si="870"/>
        <v>3740</v>
      </c>
      <c r="K3958" s="46" t="s">
        <v>7938</v>
      </c>
      <c r="L3958" s="47"/>
      <c r="M3958" s="47">
        <f t="shared" si="875"/>
        <v>1430.0000000000002</v>
      </c>
      <c r="N3958" s="47" t="s">
        <v>5830</v>
      </c>
      <c r="O3958" s="47"/>
      <c r="P3958" s="47"/>
      <c r="Q3958" s="47">
        <f t="shared" si="876"/>
        <v>0</v>
      </c>
      <c r="R3958" s="47"/>
      <c r="S3958" s="47"/>
      <c r="T3958" s="47" t="s">
        <v>641</v>
      </c>
      <c r="U3958" s="47"/>
      <c r="V3958" s="47"/>
      <c r="W3958" s="47"/>
      <c r="X3958" s="47"/>
      <c r="Y3958" s="47"/>
      <c r="Z3958" s="47">
        <f t="shared" si="869"/>
        <v>4620</v>
      </c>
      <c r="AA3958" s="47">
        <f t="shared" si="873"/>
        <v>1400</v>
      </c>
      <c r="AB3958" s="47"/>
      <c r="AC3958" s="47"/>
      <c r="AD3958" s="47"/>
      <c r="AE3958" s="47"/>
      <c r="AF3958" s="47"/>
      <c r="AG3958" s="47"/>
      <c r="AH3958" s="47" t="str">
        <f>IFERROR(_xlfn.XLOOKUP(Table6[[#This Row],[Suburb]],Table5[Travel Surcharge],Table5[$$]),"")</f>
        <v/>
      </c>
      <c r="AI3958" s="47"/>
      <c r="AJ3958" s="47"/>
    </row>
    <row r="3959" spans="1:36">
      <c r="A3959" s="374" t="s">
        <v>5824</v>
      </c>
      <c r="B3959" s="374">
        <v>4</v>
      </c>
      <c r="C3959" s="374" t="s">
        <v>428</v>
      </c>
      <c r="D3959" s="375" t="str">
        <f t="shared" si="868"/>
        <v>St Germain Estate4</v>
      </c>
      <c r="E3959" s="375" t="s">
        <v>5833</v>
      </c>
      <c r="F3959" s="375" t="s">
        <v>5826</v>
      </c>
      <c r="G3959" s="375" t="s">
        <v>5827</v>
      </c>
      <c r="H3959" s="375" t="s">
        <v>5828</v>
      </c>
      <c r="I3959" s="63" t="s">
        <v>5829</v>
      </c>
      <c r="J3959" s="47">
        <f t="shared" si="870"/>
        <v>3740</v>
      </c>
      <c r="K3959" s="46" t="s">
        <v>7938</v>
      </c>
      <c r="L3959" s="47"/>
      <c r="M3959" s="47">
        <f t="shared" si="875"/>
        <v>1430.0000000000002</v>
      </c>
      <c r="N3959" s="47" t="s">
        <v>5830</v>
      </c>
      <c r="O3959" s="47"/>
      <c r="P3959" s="47"/>
      <c r="Q3959" s="47">
        <f t="shared" si="876"/>
        <v>0</v>
      </c>
      <c r="R3959" s="47"/>
      <c r="S3959" s="47"/>
      <c r="T3959" s="47" t="s">
        <v>641</v>
      </c>
      <c r="U3959" s="47"/>
      <c r="V3959" s="47"/>
      <c r="W3959" s="47"/>
      <c r="X3959" s="47"/>
      <c r="Y3959" s="47"/>
      <c r="Z3959" s="47">
        <f t="shared" si="869"/>
        <v>4620</v>
      </c>
      <c r="AA3959" s="47">
        <f t="shared" si="873"/>
        <v>1400</v>
      </c>
      <c r="AB3959" s="47"/>
      <c r="AC3959" s="47"/>
      <c r="AD3959" s="47"/>
      <c r="AE3959" s="47"/>
      <c r="AF3959" s="47"/>
      <c r="AG3959" s="47"/>
      <c r="AH3959" s="47" t="str">
        <f>IFERROR(_xlfn.XLOOKUP(Table6[[#This Row],[Suburb]],Table5[Travel Surcharge],Table5[$$]),"")</f>
        <v/>
      </c>
      <c r="AI3959" s="47"/>
      <c r="AJ3959" s="47"/>
    </row>
    <row r="3960" spans="1:36">
      <c r="A3960" s="374" t="s">
        <v>5824</v>
      </c>
      <c r="B3960" s="374">
        <v>5</v>
      </c>
      <c r="C3960" s="374" t="s">
        <v>428</v>
      </c>
      <c r="D3960" s="375" t="str">
        <f t="shared" si="868"/>
        <v>St Germain Estate5</v>
      </c>
      <c r="E3960" s="375" t="s">
        <v>5834</v>
      </c>
      <c r="F3960" s="375" t="s">
        <v>5826</v>
      </c>
      <c r="G3960" s="375" t="s">
        <v>5827</v>
      </c>
      <c r="H3960" s="375" t="s">
        <v>5828</v>
      </c>
      <c r="I3960" s="63" t="s">
        <v>5829</v>
      </c>
      <c r="J3960" s="47">
        <f t="shared" si="870"/>
        <v>3740</v>
      </c>
      <c r="K3960" s="46" t="s">
        <v>7938</v>
      </c>
      <c r="L3960" s="47"/>
      <c r="M3960" s="47">
        <f t="shared" si="875"/>
        <v>1430.0000000000002</v>
      </c>
      <c r="N3960" s="47" t="s">
        <v>5830</v>
      </c>
      <c r="O3960" s="47"/>
      <c r="P3960" s="47"/>
      <c r="Q3960" s="47">
        <f t="shared" si="876"/>
        <v>0</v>
      </c>
      <c r="R3960" s="47"/>
      <c r="S3960" s="47"/>
      <c r="T3960" s="47" t="s">
        <v>641</v>
      </c>
      <c r="U3960" s="47"/>
      <c r="V3960" s="47"/>
      <c r="W3960" s="47"/>
      <c r="X3960" s="47"/>
      <c r="Y3960" s="47"/>
      <c r="Z3960" s="47">
        <f t="shared" si="869"/>
        <v>4620</v>
      </c>
      <c r="AA3960" s="47">
        <f t="shared" si="873"/>
        <v>1400</v>
      </c>
      <c r="AB3960" s="47"/>
      <c r="AC3960" s="47"/>
      <c r="AD3960" s="47"/>
      <c r="AE3960" s="47"/>
      <c r="AF3960" s="47"/>
      <c r="AG3960" s="47"/>
      <c r="AH3960" s="47" t="str">
        <f>IFERROR(_xlfn.XLOOKUP(Table6[[#This Row],[Suburb]],Table5[Travel Surcharge],Table5[$$]),"")</f>
        <v/>
      </c>
      <c r="AI3960" s="47"/>
      <c r="AJ3960" s="47"/>
    </row>
    <row r="3961" spans="1:36">
      <c r="A3961" s="374" t="s">
        <v>5824</v>
      </c>
      <c r="B3961" s="374">
        <v>6</v>
      </c>
      <c r="C3961" s="374" t="s">
        <v>428</v>
      </c>
      <c r="D3961" s="375" t="str">
        <f t="shared" si="868"/>
        <v>St Germain Estate6</v>
      </c>
      <c r="E3961" s="375" t="s">
        <v>5835</v>
      </c>
      <c r="F3961" s="375" t="s">
        <v>5826</v>
      </c>
      <c r="G3961" s="375" t="s">
        <v>5827</v>
      </c>
      <c r="H3961" s="375" t="s">
        <v>5828</v>
      </c>
      <c r="I3961" s="63" t="s">
        <v>5829</v>
      </c>
      <c r="J3961" s="47">
        <f t="shared" si="870"/>
        <v>3740</v>
      </c>
      <c r="K3961" s="46" t="s">
        <v>7938</v>
      </c>
      <c r="L3961" s="47"/>
      <c r="M3961" s="47">
        <f t="shared" si="875"/>
        <v>1430.0000000000002</v>
      </c>
      <c r="N3961" s="47" t="s">
        <v>5830</v>
      </c>
      <c r="O3961" s="47"/>
      <c r="P3961" s="47"/>
      <c r="Q3961" s="47">
        <f t="shared" si="876"/>
        <v>0</v>
      </c>
      <c r="R3961" s="47"/>
      <c r="S3961" s="47"/>
      <c r="T3961" s="47" t="s">
        <v>641</v>
      </c>
      <c r="U3961" s="47"/>
      <c r="V3961" s="47"/>
      <c r="W3961" s="47"/>
      <c r="X3961" s="47"/>
      <c r="Y3961" s="47"/>
      <c r="Z3961" s="47">
        <f t="shared" si="869"/>
        <v>4620</v>
      </c>
      <c r="AA3961" s="47">
        <f t="shared" si="873"/>
        <v>1400</v>
      </c>
      <c r="AB3961" s="47"/>
      <c r="AC3961" s="47"/>
      <c r="AD3961" s="47"/>
      <c r="AE3961" s="47"/>
      <c r="AF3961" s="47"/>
      <c r="AG3961" s="47"/>
      <c r="AH3961" s="47" t="str">
        <f>IFERROR(_xlfn.XLOOKUP(Table6[[#This Row],[Suburb]],Table5[Travel Surcharge],Table5[$$]),"")</f>
        <v/>
      </c>
      <c r="AI3961" s="47"/>
      <c r="AJ3961" s="47"/>
    </row>
    <row r="3962" spans="1:36">
      <c r="A3962" s="374" t="s">
        <v>5824</v>
      </c>
      <c r="B3962" s="374">
        <v>7</v>
      </c>
      <c r="C3962" s="374" t="s">
        <v>428</v>
      </c>
      <c r="D3962" s="375" t="str">
        <f t="shared" si="868"/>
        <v>St Germain Estate7</v>
      </c>
      <c r="E3962" s="375" t="s">
        <v>5836</v>
      </c>
      <c r="F3962" s="375" t="s">
        <v>5826</v>
      </c>
      <c r="G3962" s="375" t="s">
        <v>5827</v>
      </c>
      <c r="H3962" s="375" t="s">
        <v>5828</v>
      </c>
      <c r="I3962" s="63" t="s">
        <v>5829</v>
      </c>
      <c r="J3962" s="47">
        <f t="shared" si="870"/>
        <v>3740</v>
      </c>
      <c r="K3962" s="46" t="s">
        <v>7938</v>
      </c>
      <c r="L3962" s="47"/>
      <c r="M3962" s="47">
        <f t="shared" si="875"/>
        <v>1430.0000000000002</v>
      </c>
      <c r="N3962" s="47" t="s">
        <v>5830</v>
      </c>
      <c r="O3962" s="47"/>
      <c r="P3962" s="47"/>
      <c r="Q3962" s="47">
        <f t="shared" si="876"/>
        <v>0</v>
      </c>
      <c r="R3962" s="47"/>
      <c r="S3962" s="47"/>
      <c r="T3962" s="47" t="s">
        <v>641</v>
      </c>
      <c r="U3962" s="47"/>
      <c r="V3962" s="47"/>
      <c r="W3962" s="47"/>
      <c r="X3962" s="47"/>
      <c r="Y3962" s="47"/>
      <c r="Z3962" s="47">
        <f t="shared" si="869"/>
        <v>4620</v>
      </c>
      <c r="AA3962" s="47">
        <f t="shared" si="873"/>
        <v>1400</v>
      </c>
      <c r="AB3962" s="47"/>
      <c r="AC3962" s="47"/>
      <c r="AD3962" s="47"/>
      <c r="AE3962" s="47"/>
      <c r="AF3962" s="47"/>
      <c r="AG3962" s="47"/>
      <c r="AH3962" s="47" t="str">
        <f>IFERROR(_xlfn.XLOOKUP(Table6[[#This Row],[Suburb]],Table5[Travel Surcharge],Table5[$$]),"")</f>
        <v/>
      </c>
      <c r="AI3962" s="47"/>
      <c r="AJ3962" s="47"/>
    </row>
    <row r="3963" spans="1:36">
      <c r="A3963" s="374" t="s">
        <v>5824</v>
      </c>
      <c r="B3963" s="374">
        <v>8</v>
      </c>
      <c r="C3963" s="374" t="s">
        <v>428</v>
      </c>
      <c r="D3963" s="375" t="str">
        <f t="shared" si="868"/>
        <v>St Germain Estate8</v>
      </c>
      <c r="E3963" s="375" t="s">
        <v>5837</v>
      </c>
      <c r="F3963" s="375" t="s">
        <v>5826</v>
      </c>
      <c r="G3963" s="375" t="s">
        <v>5827</v>
      </c>
      <c r="H3963" s="375" t="s">
        <v>5828</v>
      </c>
      <c r="I3963" s="63" t="s">
        <v>5829</v>
      </c>
      <c r="J3963" s="47">
        <f t="shared" si="870"/>
        <v>3740</v>
      </c>
      <c r="K3963" s="46" t="s">
        <v>7938</v>
      </c>
      <c r="L3963" s="47"/>
      <c r="M3963" s="47">
        <f t="shared" si="875"/>
        <v>1430.0000000000002</v>
      </c>
      <c r="N3963" s="47" t="s">
        <v>5830</v>
      </c>
      <c r="O3963" s="47"/>
      <c r="P3963" s="47"/>
      <c r="Q3963" s="47">
        <f t="shared" si="876"/>
        <v>0</v>
      </c>
      <c r="R3963" s="47"/>
      <c r="S3963" s="47"/>
      <c r="T3963" s="47" t="s">
        <v>641</v>
      </c>
      <c r="U3963" s="47"/>
      <c r="V3963" s="47"/>
      <c r="W3963" s="47"/>
      <c r="X3963" s="47"/>
      <c r="Y3963" s="47"/>
      <c r="Z3963" s="47">
        <f t="shared" si="869"/>
        <v>4620</v>
      </c>
      <c r="AA3963" s="47">
        <f t="shared" si="873"/>
        <v>1400</v>
      </c>
      <c r="AB3963" s="47"/>
      <c r="AC3963" s="47"/>
      <c r="AD3963" s="47"/>
      <c r="AE3963" s="47"/>
      <c r="AF3963" s="47"/>
      <c r="AG3963" s="47"/>
      <c r="AH3963" s="47" t="str">
        <f>IFERROR(_xlfn.XLOOKUP(Table6[[#This Row],[Suburb]],Table5[Travel Surcharge],Table5[$$]),"")</f>
        <v/>
      </c>
      <c r="AI3963" s="47"/>
      <c r="AJ3963" s="47"/>
    </row>
    <row r="3964" spans="1:36">
      <c r="A3964" s="374" t="s">
        <v>5824</v>
      </c>
      <c r="B3964" s="374">
        <v>9</v>
      </c>
      <c r="C3964" s="374" t="s">
        <v>428</v>
      </c>
      <c r="D3964" s="375" t="str">
        <f t="shared" si="868"/>
        <v>St Germain Estate9</v>
      </c>
      <c r="E3964" s="375" t="s">
        <v>5838</v>
      </c>
      <c r="F3964" s="375" t="s">
        <v>5826</v>
      </c>
      <c r="G3964" s="375" t="s">
        <v>5827</v>
      </c>
      <c r="H3964" s="375" t="s">
        <v>5828</v>
      </c>
      <c r="I3964" s="63" t="s">
        <v>5829</v>
      </c>
      <c r="J3964" s="47">
        <f t="shared" si="870"/>
        <v>3740</v>
      </c>
      <c r="K3964" s="46" t="s">
        <v>7938</v>
      </c>
      <c r="L3964" s="47"/>
      <c r="M3964" s="47">
        <f t="shared" si="875"/>
        <v>1430.0000000000002</v>
      </c>
      <c r="N3964" s="47" t="s">
        <v>5830</v>
      </c>
      <c r="O3964" s="47"/>
      <c r="P3964" s="47"/>
      <c r="Q3964" s="47">
        <f t="shared" si="876"/>
        <v>0</v>
      </c>
      <c r="R3964" s="47"/>
      <c r="S3964" s="47"/>
      <c r="T3964" s="47" t="s">
        <v>641</v>
      </c>
      <c r="U3964" s="47"/>
      <c r="V3964" s="47"/>
      <c r="W3964" s="47"/>
      <c r="X3964" s="47"/>
      <c r="Y3964" s="47"/>
      <c r="Z3964" s="47">
        <f t="shared" si="869"/>
        <v>4620</v>
      </c>
      <c r="AA3964" s="47">
        <f t="shared" si="873"/>
        <v>1400</v>
      </c>
      <c r="AB3964" s="47"/>
      <c r="AC3964" s="47"/>
      <c r="AD3964" s="47"/>
      <c r="AE3964" s="47"/>
      <c r="AF3964" s="47"/>
      <c r="AG3964" s="47"/>
      <c r="AH3964" s="47" t="str">
        <f>IFERROR(_xlfn.XLOOKUP(Table6[[#This Row],[Suburb]],Table5[Travel Surcharge],Table5[$$]),"")</f>
        <v/>
      </c>
      <c r="AI3964" s="47"/>
      <c r="AJ3964" s="47"/>
    </row>
    <row r="3965" spans="1:36">
      <c r="A3965" s="374" t="s">
        <v>5824</v>
      </c>
      <c r="B3965" s="374">
        <v>10</v>
      </c>
      <c r="C3965" s="374" t="s">
        <v>428</v>
      </c>
      <c r="D3965" s="375" t="str">
        <f t="shared" si="868"/>
        <v>St Germain Estate10</v>
      </c>
      <c r="E3965" s="375" t="s">
        <v>5839</v>
      </c>
      <c r="F3965" s="375" t="s">
        <v>5826</v>
      </c>
      <c r="G3965" s="375" t="s">
        <v>5827</v>
      </c>
      <c r="H3965" s="375" t="s">
        <v>5828</v>
      </c>
      <c r="I3965" s="63" t="s">
        <v>5829</v>
      </c>
      <c r="J3965" s="47">
        <f t="shared" si="870"/>
        <v>3740</v>
      </c>
      <c r="K3965" s="46" t="s">
        <v>7938</v>
      </c>
      <c r="L3965" s="47"/>
      <c r="M3965" s="47">
        <f t="shared" si="875"/>
        <v>1430.0000000000002</v>
      </c>
      <c r="N3965" s="47" t="s">
        <v>5830</v>
      </c>
      <c r="O3965" s="47"/>
      <c r="P3965" s="47"/>
      <c r="Q3965" s="47">
        <f t="shared" si="876"/>
        <v>0</v>
      </c>
      <c r="R3965" s="47"/>
      <c r="S3965" s="47"/>
      <c r="T3965" s="47" t="s">
        <v>641</v>
      </c>
      <c r="U3965" s="47"/>
      <c r="V3965" s="47"/>
      <c r="W3965" s="47"/>
      <c r="X3965" s="47"/>
      <c r="Y3965" s="47"/>
      <c r="Z3965" s="47">
        <f t="shared" si="869"/>
        <v>4620</v>
      </c>
      <c r="AA3965" s="47">
        <f t="shared" si="873"/>
        <v>1400</v>
      </c>
      <c r="AB3965" s="47"/>
      <c r="AC3965" s="47"/>
      <c r="AD3965" s="47"/>
      <c r="AE3965" s="47"/>
      <c r="AF3965" s="47"/>
      <c r="AG3965" s="47"/>
      <c r="AH3965" s="47" t="str">
        <f>IFERROR(_xlfn.XLOOKUP(Table6[[#This Row],[Suburb]],Table5[Travel Surcharge],Table5[$$]),"")</f>
        <v/>
      </c>
      <c r="AI3965" s="47"/>
      <c r="AJ3965" s="47"/>
    </row>
    <row r="3966" spans="1:36">
      <c r="A3966" s="374" t="s">
        <v>5824</v>
      </c>
      <c r="B3966" s="374">
        <v>11</v>
      </c>
      <c r="C3966" s="374" t="s">
        <v>428</v>
      </c>
      <c r="D3966" s="375" t="str">
        <f t="shared" si="868"/>
        <v>St Germain Estate11</v>
      </c>
      <c r="E3966" s="375" t="s">
        <v>5840</v>
      </c>
      <c r="F3966" s="375" t="s">
        <v>5826</v>
      </c>
      <c r="G3966" s="375" t="s">
        <v>5827</v>
      </c>
      <c r="H3966" s="375" t="s">
        <v>5828</v>
      </c>
      <c r="I3966" s="63" t="s">
        <v>5829</v>
      </c>
      <c r="J3966" s="47">
        <f t="shared" si="870"/>
        <v>3740</v>
      </c>
      <c r="K3966" s="46" t="s">
        <v>7938</v>
      </c>
      <c r="L3966" s="47"/>
      <c r="M3966" s="47">
        <f t="shared" si="875"/>
        <v>1430.0000000000002</v>
      </c>
      <c r="N3966" s="47" t="s">
        <v>5830</v>
      </c>
      <c r="O3966" s="47"/>
      <c r="P3966" s="47"/>
      <c r="Q3966" s="47">
        <f t="shared" si="876"/>
        <v>0</v>
      </c>
      <c r="R3966" s="47"/>
      <c r="S3966" s="47"/>
      <c r="T3966" s="47" t="s">
        <v>641</v>
      </c>
      <c r="U3966" s="47"/>
      <c r="V3966" s="47"/>
      <c r="W3966" s="47"/>
      <c r="X3966" s="47"/>
      <c r="Y3966" s="47"/>
      <c r="Z3966" s="47">
        <f t="shared" si="869"/>
        <v>4620</v>
      </c>
      <c r="AA3966" s="47">
        <f t="shared" si="873"/>
        <v>1400</v>
      </c>
      <c r="AB3966" s="47"/>
      <c r="AC3966" s="47"/>
      <c r="AD3966" s="47"/>
      <c r="AE3966" s="47"/>
      <c r="AF3966" s="47"/>
      <c r="AG3966" s="47"/>
      <c r="AH3966" s="47" t="str">
        <f>IFERROR(_xlfn.XLOOKUP(Table6[[#This Row],[Suburb]],Table5[Travel Surcharge],Table5[$$]),"")</f>
        <v/>
      </c>
      <c r="AI3966" s="47"/>
      <c r="AJ3966" s="47"/>
    </row>
    <row r="3967" spans="1:36">
      <c r="A3967" s="374" t="s">
        <v>5824</v>
      </c>
      <c r="B3967" s="374">
        <v>12</v>
      </c>
      <c r="C3967" s="374" t="s">
        <v>428</v>
      </c>
      <c r="D3967" s="375" t="str">
        <f t="shared" si="868"/>
        <v>St Germain Estate12</v>
      </c>
      <c r="E3967" s="375" t="s">
        <v>5841</v>
      </c>
      <c r="F3967" s="375" t="s">
        <v>5826</v>
      </c>
      <c r="G3967" s="375" t="s">
        <v>5827</v>
      </c>
      <c r="H3967" s="375" t="s">
        <v>5828</v>
      </c>
      <c r="I3967" s="63" t="s">
        <v>5829</v>
      </c>
      <c r="J3967" s="47">
        <f t="shared" si="870"/>
        <v>3740</v>
      </c>
      <c r="K3967" s="46" t="s">
        <v>7938</v>
      </c>
      <c r="L3967" s="47"/>
      <c r="M3967" s="47">
        <f t="shared" si="875"/>
        <v>1430.0000000000002</v>
      </c>
      <c r="N3967" s="47" t="s">
        <v>5830</v>
      </c>
      <c r="O3967" s="47"/>
      <c r="P3967" s="47"/>
      <c r="Q3967" s="47">
        <f t="shared" si="876"/>
        <v>0</v>
      </c>
      <c r="R3967" s="47"/>
      <c r="S3967" s="47"/>
      <c r="T3967" s="47" t="s">
        <v>641</v>
      </c>
      <c r="U3967" s="47"/>
      <c r="V3967" s="47"/>
      <c r="W3967" s="47"/>
      <c r="X3967" s="47"/>
      <c r="Y3967" s="47"/>
      <c r="Z3967" s="47">
        <f t="shared" si="869"/>
        <v>4620</v>
      </c>
      <c r="AA3967" s="47">
        <f t="shared" si="873"/>
        <v>1400</v>
      </c>
      <c r="AB3967" s="47"/>
      <c r="AC3967" s="47"/>
      <c r="AD3967" s="47"/>
      <c r="AE3967" s="47"/>
      <c r="AF3967" s="47"/>
      <c r="AG3967" s="47"/>
      <c r="AH3967" s="47" t="str">
        <f>IFERROR(_xlfn.XLOOKUP(Table6[[#This Row],[Suburb]],Table5[Travel Surcharge],Table5[$$]),"")</f>
        <v/>
      </c>
      <c r="AI3967" s="47"/>
      <c r="AJ3967" s="47"/>
    </row>
    <row r="3968" spans="1:36">
      <c r="A3968" s="374" t="s">
        <v>5824</v>
      </c>
      <c r="B3968" s="374">
        <v>13</v>
      </c>
      <c r="C3968" s="374" t="s">
        <v>428</v>
      </c>
      <c r="D3968" s="375" t="str">
        <f t="shared" si="868"/>
        <v>St Germain Estate13</v>
      </c>
      <c r="E3968" s="375" t="s">
        <v>5842</v>
      </c>
      <c r="F3968" s="375" t="s">
        <v>5826</v>
      </c>
      <c r="G3968" s="375" t="s">
        <v>5827</v>
      </c>
      <c r="H3968" s="375" t="s">
        <v>5828</v>
      </c>
      <c r="I3968" s="63" t="s">
        <v>5829</v>
      </c>
      <c r="J3968" s="47">
        <f t="shared" si="870"/>
        <v>3740</v>
      </c>
      <c r="K3968" s="46" t="s">
        <v>7938</v>
      </c>
      <c r="L3968" s="47"/>
      <c r="M3968" s="47">
        <f t="shared" si="875"/>
        <v>1430.0000000000002</v>
      </c>
      <c r="N3968" s="47" t="s">
        <v>5830</v>
      </c>
      <c r="O3968" s="47"/>
      <c r="P3968" s="47"/>
      <c r="Q3968" s="47">
        <f t="shared" si="876"/>
        <v>0</v>
      </c>
      <c r="R3968" s="47"/>
      <c r="S3968" s="47"/>
      <c r="T3968" s="47" t="s">
        <v>641</v>
      </c>
      <c r="U3968" s="47"/>
      <c r="V3968" s="47"/>
      <c r="W3968" s="47"/>
      <c r="X3968" s="47"/>
      <c r="Y3968" s="47"/>
      <c r="Z3968" s="47">
        <f t="shared" si="869"/>
        <v>4620</v>
      </c>
      <c r="AA3968" s="47">
        <f t="shared" si="873"/>
        <v>1400</v>
      </c>
      <c r="AB3968" s="47"/>
      <c r="AC3968" s="47"/>
      <c r="AD3968" s="47"/>
      <c r="AE3968" s="47"/>
      <c r="AF3968" s="47"/>
      <c r="AG3968" s="47"/>
      <c r="AH3968" s="47" t="str">
        <f>IFERROR(_xlfn.XLOOKUP(Table6[[#This Row],[Suburb]],Table5[Travel Surcharge],Table5[$$]),"")</f>
        <v/>
      </c>
      <c r="AI3968" s="47"/>
      <c r="AJ3968" s="47"/>
    </row>
    <row r="3969" spans="1:36">
      <c r="A3969" s="374" t="s">
        <v>5824</v>
      </c>
      <c r="B3969" s="374">
        <v>14</v>
      </c>
      <c r="C3969" s="374" t="s">
        <v>428</v>
      </c>
      <c r="D3969" s="375" t="str">
        <f t="shared" si="868"/>
        <v>St Germain Estate14</v>
      </c>
      <c r="E3969" s="375" t="s">
        <v>5843</v>
      </c>
      <c r="F3969" s="375" t="s">
        <v>5826</v>
      </c>
      <c r="G3969" s="375" t="s">
        <v>5827</v>
      </c>
      <c r="H3969" s="375" t="s">
        <v>5828</v>
      </c>
      <c r="I3969" s="63" t="s">
        <v>5829</v>
      </c>
      <c r="J3969" s="47">
        <f t="shared" si="870"/>
        <v>3740</v>
      </c>
      <c r="K3969" s="46" t="s">
        <v>7938</v>
      </c>
      <c r="L3969" s="47"/>
      <c r="M3969" s="47">
        <f t="shared" si="875"/>
        <v>1430.0000000000002</v>
      </c>
      <c r="N3969" s="47" t="s">
        <v>5830</v>
      </c>
      <c r="O3969" s="47"/>
      <c r="P3969" s="47"/>
      <c r="Q3969" s="47">
        <f t="shared" si="876"/>
        <v>0</v>
      </c>
      <c r="R3969" s="47"/>
      <c r="S3969" s="47"/>
      <c r="T3969" s="47" t="s">
        <v>641</v>
      </c>
      <c r="U3969" s="47"/>
      <c r="V3969" s="47"/>
      <c r="W3969" s="47"/>
      <c r="X3969" s="47"/>
      <c r="Y3969" s="47"/>
      <c r="Z3969" s="47">
        <f t="shared" si="869"/>
        <v>4620</v>
      </c>
      <c r="AA3969" s="47">
        <f t="shared" si="873"/>
        <v>1400</v>
      </c>
      <c r="AB3969" s="47"/>
      <c r="AC3969" s="47"/>
      <c r="AD3969" s="47"/>
      <c r="AE3969" s="47"/>
      <c r="AF3969" s="47"/>
      <c r="AG3969" s="47"/>
      <c r="AH3969" s="47" t="str">
        <f>IFERROR(_xlfn.XLOOKUP(Table6[[#This Row],[Suburb]],Table5[Travel Surcharge],Table5[$$]),"")</f>
        <v/>
      </c>
      <c r="AI3969" s="47"/>
      <c r="AJ3969" s="47"/>
    </row>
    <row r="3970" spans="1:36">
      <c r="A3970" s="374" t="s">
        <v>5824</v>
      </c>
      <c r="B3970" s="374">
        <v>15</v>
      </c>
      <c r="C3970" s="374" t="s">
        <v>428</v>
      </c>
      <c r="D3970" s="375" t="str">
        <f t="shared" si="868"/>
        <v>St Germain Estate15</v>
      </c>
      <c r="E3970" s="375" t="s">
        <v>5844</v>
      </c>
      <c r="F3970" s="375" t="s">
        <v>5826</v>
      </c>
      <c r="G3970" s="375" t="s">
        <v>5827</v>
      </c>
      <c r="H3970" s="375" t="s">
        <v>5828</v>
      </c>
      <c r="I3970" s="63" t="s">
        <v>5829</v>
      </c>
      <c r="J3970" s="47">
        <f t="shared" si="870"/>
        <v>3740</v>
      </c>
      <c r="K3970" s="46" t="s">
        <v>7938</v>
      </c>
      <c r="L3970" s="47"/>
      <c r="M3970" s="47">
        <f t="shared" si="875"/>
        <v>1430.0000000000002</v>
      </c>
      <c r="N3970" s="47" t="s">
        <v>5830</v>
      </c>
      <c r="O3970" s="47"/>
      <c r="P3970" s="47"/>
      <c r="Q3970" s="47">
        <f t="shared" si="876"/>
        <v>0</v>
      </c>
      <c r="R3970" s="47"/>
      <c r="S3970" s="47"/>
      <c r="T3970" s="47" t="s">
        <v>641</v>
      </c>
      <c r="U3970" s="47"/>
      <c r="V3970" s="47"/>
      <c r="W3970" s="47"/>
      <c r="X3970" s="47"/>
      <c r="Y3970" s="47"/>
      <c r="Z3970" s="47">
        <f t="shared" si="869"/>
        <v>4620</v>
      </c>
      <c r="AA3970" s="47">
        <f t="shared" si="873"/>
        <v>1400</v>
      </c>
      <c r="AB3970" s="47"/>
      <c r="AC3970" s="47"/>
      <c r="AD3970" s="47"/>
      <c r="AE3970" s="47"/>
      <c r="AF3970" s="47"/>
      <c r="AG3970" s="47"/>
      <c r="AH3970" s="47" t="str">
        <f>IFERROR(_xlfn.XLOOKUP(Table6[[#This Row],[Suburb]],Table5[Travel Surcharge],Table5[$$]),"")</f>
        <v/>
      </c>
      <c r="AI3970" s="47"/>
      <c r="AJ3970" s="47"/>
    </row>
    <row r="3971" spans="1:36">
      <c r="A3971" s="374" t="s">
        <v>5824</v>
      </c>
      <c r="B3971" s="374">
        <v>16</v>
      </c>
      <c r="C3971" s="374" t="s">
        <v>428</v>
      </c>
      <c r="D3971" s="375" t="str">
        <f t="shared" si="868"/>
        <v>St Germain Estate16</v>
      </c>
      <c r="E3971" s="375" t="s">
        <v>5845</v>
      </c>
      <c r="F3971" s="375" t="s">
        <v>5826</v>
      </c>
      <c r="G3971" s="375" t="s">
        <v>5827</v>
      </c>
      <c r="H3971" s="375" t="s">
        <v>5828</v>
      </c>
      <c r="I3971" s="63" t="s">
        <v>5829</v>
      </c>
      <c r="J3971" s="47">
        <f t="shared" si="870"/>
        <v>3740</v>
      </c>
      <c r="K3971" s="46" t="s">
        <v>7938</v>
      </c>
      <c r="L3971" s="47"/>
      <c r="M3971" s="47">
        <f t="shared" si="875"/>
        <v>1430.0000000000002</v>
      </c>
      <c r="N3971" s="47" t="s">
        <v>5830</v>
      </c>
      <c r="O3971" s="47"/>
      <c r="P3971" s="47"/>
      <c r="Q3971" s="47">
        <f t="shared" si="876"/>
        <v>0</v>
      </c>
      <c r="R3971" s="47"/>
      <c r="S3971" s="47"/>
      <c r="T3971" s="47" t="s">
        <v>641</v>
      </c>
      <c r="U3971" s="47"/>
      <c r="V3971" s="47"/>
      <c r="W3971" s="47"/>
      <c r="X3971" s="47"/>
      <c r="Y3971" s="47"/>
      <c r="Z3971" s="47">
        <f t="shared" si="869"/>
        <v>4620</v>
      </c>
      <c r="AA3971" s="47">
        <f t="shared" si="873"/>
        <v>1400</v>
      </c>
      <c r="AB3971" s="47"/>
      <c r="AC3971" s="47"/>
      <c r="AD3971" s="47"/>
      <c r="AE3971" s="47"/>
      <c r="AF3971" s="47"/>
      <c r="AG3971" s="47"/>
      <c r="AH3971" s="47" t="str">
        <f>IFERROR(_xlfn.XLOOKUP(Table6[[#This Row],[Suburb]],Table5[Travel Surcharge],Table5[$$]),"")</f>
        <v/>
      </c>
      <c r="AI3971" s="47"/>
      <c r="AJ3971" s="47"/>
    </row>
    <row r="3972" spans="1:36">
      <c r="A3972" s="374" t="s">
        <v>5824</v>
      </c>
      <c r="B3972" s="374">
        <v>17</v>
      </c>
      <c r="C3972" s="374" t="s">
        <v>428</v>
      </c>
      <c r="D3972" s="375" t="str">
        <f t="shared" si="868"/>
        <v>St Germain Estate17</v>
      </c>
      <c r="E3972" s="375" t="s">
        <v>5846</v>
      </c>
      <c r="F3972" s="375" t="s">
        <v>5826</v>
      </c>
      <c r="G3972" s="375" t="s">
        <v>5827</v>
      </c>
      <c r="H3972" s="375" t="s">
        <v>5828</v>
      </c>
      <c r="I3972" s="63" t="s">
        <v>5829</v>
      </c>
      <c r="J3972" s="47">
        <f t="shared" si="870"/>
        <v>3740</v>
      </c>
      <c r="K3972" s="46" t="s">
        <v>7938</v>
      </c>
      <c r="L3972" s="47"/>
      <c r="M3972" s="47">
        <f t="shared" si="875"/>
        <v>1430.0000000000002</v>
      </c>
      <c r="N3972" s="47" t="s">
        <v>5830</v>
      </c>
      <c r="O3972" s="47"/>
      <c r="P3972" s="47"/>
      <c r="Q3972" s="47">
        <f t="shared" si="876"/>
        <v>0</v>
      </c>
      <c r="R3972" s="47"/>
      <c r="S3972" s="47"/>
      <c r="T3972" s="47" t="s">
        <v>641</v>
      </c>
      <c r="U3972" s="47"/>
      <c r="V3972" s="47"/>
      <c r="W3972" s="47"/>
      <c r="X3972" s="47"/>
      <c r="Y3972" s="47"/>
      <c r="Z3972" s="47">
        <f t="shared" si="869"/>
        <v>4620</v>
      </c>
      <c r="AA3972" s="47">
        <f t="shared" si="873"/>
        <v>1400</v>
      </c>
      <c r="AB3972" s="47"/>
      <c r="AC3972" s="47"/>
      <c r="AD3972" s="47"/>
      <c r="AE3972" s="47"/>
      <c r="AF3972" s="47"/>
      <c r="AG3972" s="47"/>
      <c r="AH3972" s="47" t="str">
        <f>IFERROR(_xlfn.XLOOKUP(Table6[[#This Row],[Suburb]],Table5[Travel Surcharge],Table5[$$]),"")</f>
        <v/>
      </c>
      <c r="AI3972" s="47"/>
      <c r="AJ3972" s="47"/>
    </row>
    <row r="3973" spans="1:36">
      <c r="A3973" s="374" t="s">
        <v>5824</v>
      </c>
      <c r="B3973" s="374">
        <v>18</v>
      </c>
      <c r="C3973" s="374" t="s">
        <v>428</v>
      </c>
      <c r="D3973" s="375" t="str">
        <f t="shared" si="868"/>
        <v>St Germain Estate18</v>
      </c>
      <c r="E3973" s="375" t="s">
        <v>5847</v>
      </c>
      <c r="F3973" s="375" t="s">
        <v>5826</v>
      </c>
      <c r="G3973" s="375" t="s">
        <v>5827</v>
      </c>
      <c r="H3973" s="375" t="s">
        <v>5828</v>
      </c>
      <c r="I3973" s="63" t="s">
        <v>5829</v>
      </c>
      <c r="J3973" s="47">
        <f t="shared" si="870"/>
        <v>3740</v>
      </c>
      <c r="K3973" s="46" t="s">
        <v>7938</v>
      </c>
      <c r="L3973" s="47"/>
      <c r="M3973" s="47">
        <f t="shared" si="875"/>
        <v>1430.0000000000002</v>
      </c>
      <c r="N3973" s="47" t="s">
        <v>5830</v>
      </c>
      <c r="O3973" s="47"/>
      <c r="P3973" s="47"/>
      <c r="Q3973" s="47">
        <f t="shared" si="876"/>
        <v>0</v>
      </c>
      <c r="R3973" s="47"/>
      <c r="S3973" s="47"/>
      <c r="T3973" s="47" t="s">
        <v>641</v>
      </c>
      <c r="U3973" s="47"/>
      <c r="V3973" s="47"/>
      <c r="W3973" s="47"/>
      <c r="X3973" s="47"/>
      <c r="Y3973" s="47"/>
      <c r="Z3973" s="47">
        <f t="shared" si="869"/>
        <v>4620</v>
      </c>
      <c r="AA3973" s="47">
        <f t="shared" si="873"/>
        <v>1400</v>
      </c>
      <c r="AB3973" s="47"/>
      <c r="AC3973" s="47"/>
      <c r="AD3973" s="47"/>
      <c r="AE3973" s="47"/>
      <c r="AF3973" s="47"/>
      <c r="AG3973" s="47"/>
      <c r="AH3973" s="47" t="str">
        <f>IFERROR(_xlfn.XLOOKUP(Table6[[#This Row],[Suburb]],Table5[Travel Surcharge],Table5[$$]),"")</f>
        <v/>
      </c>
      <c r="AI3973" s="47"/>
      <c r="AJ3973" s="47"/>
    </row>
    <row r="3974" spans="1:36">
      <c r="A3974" s="374" t="s">
        <v>5824</v>
      </c>
      <c r="B3974" s="374">
        <v>19</v>
      </c>
      <c r="C3974" s="374" t="s">
        <v>428</v>
      </c>
      <c r="D3974" s="375" t="str">
        <f t="shared" si="868"/>
        <v>St Germain Estate19</v>
      </c>
      <c r="E3974" s="375" t="s">
        <v>5848</v>
      </c>
      <c r="F3974" s="375" t="s">
        <v>5826</v>
      </c>
      <c r="G3974" s="375" t="s">
        <v>5827</v>
      </c>
      <c r="H3974" s="375" t="s">
        <v>5828</v>
      </c>
      <c r="I3974" s="63" t="s">
        <v>5829</v>
      </c>
      <c r="J3974" s="47">
        <f t="shared" si="870"/>
        <v>3740</v>
      </c>
      <c r="K3974" s="46" t="s">
        <v>7938</v>
      </c>
      <c r="L3974" s="47"/>
      <c r="M3974" s="47">
        <f t="shared" si="875"/>
        <v>1430.0000000000002</v>
      </c>
      <c r="N3974" s="47" t="s">
        <v>5830</v>
      </c>
      <c r="O3974" s="47"/>
      <c r="P3974" s="47"/>
      <c r="Q3974" s="47">
        <f t="shared" si="876"/>
        <v>0</v>
      </c>
      <c r="R3974" s="47"/>
      <c r="S3974" s="47"/>
      <c r="T3974" s="47" t="s">
        <v>641</v>
      </c>
      <c r="U3974" s="47"/>
      <c r="V3974" s="47"/>
      <c r="W3974" s="47"/>
      <c r="X3974" s="47"/>
      <c r="Y3974" s="47"/>
      <c r="Z3974" s="47">
        <f t="shared" si="869"/>
        <v>4620</v>
      </c>
      <c r="AA3974" s="47">
        <f t="shared" si="873"/>
        <v>1400</v>
      </c>
      <c r="AB3974" s="47"/>
      <c r="AC3974" s="47"/>
      <c r="AD3974" s="47"/>
      <c r="AE3974" s="47"/>
      <c r="AF3974" s="47"/>
      <c r="AG3974" s="47"/>
      <c r="AH3974" s="47" t="str">
        <f>IFERROR(_xlfn.XLOOKUP(Table6[[#This Row],[Suburb]],Table5[Travel Surcharge],Table5[$$]),"")</f>
        <v/>
      </c>
      <c r="AI3974" s="47"/>
      <c r="AJ3974" s="47"/>
    </row>
    <row r="3975" spans="1:36">
      <c r="A3975" s="374" t="s">
        <v>5824</v>
      </c>
      <c r="B3975" s="374">
        <v>20</v>
      </c>
      <c r="C3975" s="374" t="s">
        <v>428</v>
      </c>
      <c r="D3975" s="375" t="str">
        <f t="shared" si="868"/>
        <v>St Germain Estate20</v>
      </c>
      <c r="E3975" s="375" t="s">
        <v>5849</v>
      </c>
      <c r="F3975" s="375" t="s">
        <v>5826</v>
      </c>
      <c r="G3975" s="375" t="s">
        <v>5827</v>
      </c>
      <c r="H3975" s="375" t="s">
        <v>5828</v>
      </c>
      <c r="I3975" s="63" t="s">
        <v>5829</v>
      </c>
      <c r="J3975" s="47">
        <f t="shared" si="870"/>
        <v>3740</v>
      </c>
      <c r="K3975" s="46" t="s">
        <v>7938</v>
      </c>
      <c r="L3975" s="47"/>
      <c r="M3975" s="47">
        <f t="shared" si="875"/>
        <v>1430.0000000000002</v>
      </c>
      <c r="N3975" s="47" t="s">
        <v>5830</v>
      </c>
      <c r="O3975" s="47"/>
      <c r="P3975" s="47"/>
      <c r="Q3975" s="47">
        <f t="shared" si="876"/>
        <v>0</v>
      </c>
      <c r="R3975" s="47"/>
      <c r="S3975" s="47"/>
      <c r="T3975" s="47" t="s">
        <v>641</v>
      </c>
      <c r="U3975" s="47"/>
      <c r="V3975" s="47"/>
      <c r="W3975" s="47"/>
      <c r="X3975" s="47"/>
      <c r="Y3975" s="47"/>
      <c r="Z3975" s="47">
        <f t="shared" si="869"/>
        <v>4620</v>
      </c>
      <c r="AA3975" s="47">
        <f t="shared" si="873"/>
        <v>1400</v>
      </c>
      <c r="AB3975" s="47"/>
      <c r="AC3975" s="47"/>
      <c r="AD3975" s="47"/>
      <c r="AE3975" s="47"/>
      <c r="AF3975" s="47"/>
      <c r="AG3975" s="47"/>
      <c r="AH3975" s="47" t="str">
        <f>IFERROR(_xlfn.XLOOKUP(Table6[[#This Row],[Suburb]],Table5[Travel Surcharge],Table5[$$]),"")</f>
        <v/>
      </c>
      <c r="AI3975" s="47"/>
      <c r="AJ3975" s="47"/>
    </row>
    <row r="3976" spans="1:36">
      <c r="A3976" s="374" t="s">
        <v>5824</v>
      </c>
      <c r="B3976" s="374">
        <v>21</v>
      </c>
      <c r="C3976" s="374" t="s">
        <v>428</v>
      </c>
      <c r="D3976" s="375" t="str">
        <f t="shared" si="868"/>
        <v>St Germain Estate21</v>
      </c>
      <c r="E3976" s="375" t="s">
        <v>5850</v>
      </c>
      <c r="F3976" s="375" t="s">
        <v>5826</v>
      </c>
      <c r="G3976" s="375" t="s">
        <v>5827</v>
      </c>
      <c r="H3976" s="375" t="s">
        <v>5828</v>
      </c>
      <c r="I3976" s="63" t="s">
        <v>5829</v>
      </c>
      <c r="J3976" s="47">
        <f t="shared" si="870"/>
        <v>3740</v>
      </c>
      <c r="K3976" s="46" t="s">
        <v>7938</v>
      </c>
      <c r="L3976" s="47"/>
      <c r="M3976" s="47">
        <f t="shared" si="875"/>
        <v>1430.0000000000002</v>
      </c>
      <c r="N3976" s="47" t="s">
        <v>5830</v>
      </c>
      <c r="O3976" s="47"/>
      <c r="P3976" s="47"/>
      <c r="Q3976" s="47">
        <f t="shared" si="876"/>
        <v>0</v>
      </c>
      <c r="R3976" s="47"/>
      <c r="S3976" s="47"/>
      <c r="T3976" s="47" t="s">
        <v>641</v>
      </c>
      <c r="U3976" s="47"/>
      <c r="V3976" s="47"/>
      <c r="W3976" s="47"/>
      <c r="X3976" s="47"/>
      <c r="Y3976" s="47"/>
      <c r="Z3976" s="47">
        <f t="shared" si="869"/>
        <v>4620</v>
      </c>
      <c r="AA3976" s="47">
        <f t="shared" si="873"/>
        <v>1400</v>
      </c>
      <c r="AB3976" s="47"/>
      <c r="AC3976" s="47"/>
      <c r="AD3976" s="47"/>
      <c r="AE3976" s="47"/>
      <c r="AF3976" s="47"/>
      <c r="AG3976" s="47"/>
      <c r="AH3976" s="47" t="str">
        <f>IFERROR(_xlfn.XLOOKUP(Table6[[#This Row],[Suburb]],Table5[Travel Surcharge],Table5[$$]),"")</f>
        <v/>
      </c>
      <c r="AI3976" s="47"/>
      <c r="AJ3976" s="47"/>
    </row>
    <row r="3977" spans="1:36">
      <c r="A3977" s="374" t="s">
        <v>5824</v>
      </c>
      <c r="B3977" s="374">
        <v>22</v>
      </c>
      <c r="C3977" s="374" t="s">
        <v>428</v>
      </c>
      <c r="D3977" s="375" t="str">
        <f t="shared" si="868"/>
        <v>St Germain Estate22</v>
      </c>
      <c r="E3977" s="375" t="s">
        <v>5851</v>
      </c>
      <c r="F3977" s="375" t="s">
        <v>5826</v>
      </c>
      <c r="G3977" s="375" t="s">
        <v>5827</v>
      </c>
      <c r="H3977" s="375" t="s">
        <v>5828</v>
      </c>
      <c r="I3977" s="63" t="s">
        <v>5829</v>
      </c>
      <c r="J3977" s="47">
        <f t="shared" si="870"/>
        <v>3740</v>
      </c>
      <c r="K3977" s="46" t="s">
        <v>7938</v>
      </c>
      <c r="L3977" s="47"/>
      <c r="M3977" s="47">
        <f t="shared" si="875"/>
        <v>1430.0000000000002</v>
      </c>
      <c r="N3977" s="47" t="s">
        <v>5830</v>
      </c>
      <c r="O3977" s="47"/>
      <c r="P3977" s="47"/>
      <c r="Q3977" s="47">
        <f t="shared" si="876"/>
        <v>0</v>
      </c>
      <c r="R3977" s="47"/>
      <c r="S3977" s="47"/>
      <c r="T3977" s="47" t="s">
        <v>641</v>
      </c>
      <c r="U3977" s="47"/>
      <c r="V3977" s="47" t="s">
        <v>5852</v>
      </c>
      <c r="W3977" s="47"/>
      <c r="X3977" s="47"/>
      <c r="Y3977" s="47"/>
      <c r="Z3977" s="47">
        <f t="shared" si="869"/>
        <v>4620</v>
      </c>
      <c r="AA3977" s="47">
        <f t="shared" si="873"/>
        <v>1400</v>
      </c>
      <c r="AB3977" s="47"/>
      <c r="AC3977" s="47"/>
      <c r="AD3977" s="47"/>
      <c r="AE3977" s="47"/>
      <c r="AF3977" s="47"/>
      <c r="AG3977" s="47"/>
      <c r="AH3977" s="47" t="str">
        <f>IFERROR(_xlfn.XLOOKUP(Table6[[#This Row],[Suburb]],Table5[Travel Surcharge],Table5[$$]),"")</f>
        <v/>
      </c>
      <c r="AI3977" s="47"/>
      <c r="AJ3977" s="47"/>
    </row>
    <row r="3978" spans="1:36">
      <c r="A3978" s="374" t="s">
        <v>5824</v>
      </c>
      <c r="B3978" s="374">
        <v>23</v>
      </c>
      <c r="C3978" s="374" t="s">
        <v>428</v>
      </c>
      <c r="D3978" s="375" t="str">
        <f t="shared" si="868"/>
        <v>St Germain Estate23</v>
      </c>
      <c r="E3978" s="375" t="s">
        <v>5853</v>
      </c>
      <c r="F3978" s="375" t="s">
        <v>5826</v>
      </c>
      <c r="G3978" s="375" t="s">
        <v>5827</v>
      </c>
      <c r="H3978" s="375" t="s">
        <v>5828</v>
      </c>
      <c r="I3978" s="63" t="s">
        <v>5829</v>
      </c>
      <c r="J3978" s="47">
        <f t="shared" si="870"/>
        <v>3740</v>
      </c>
      <c r="K3978" s="46" t="s">
        <v>7938</v>
      </c>
      <c r="L3978" s="47"/>
      <c r="M3978" s="47">
        <f t="shared" si="875"/>
        <v>1430.0000000000002</v>
      </c>
      <c r="N3978" s="47" t="s">
        <v>5830</v>
      </c>
      <c r="O3978" s="47"/>
      <c r="P3978" s="47"/>
      <c r="Q3978" s="47">
        <f t="shared" si="876"/>
        <v>0</v>
      </c>
      <c r="R3978" s="47"/>
      <c r="S3978" s="47"/>
      <c r="T3978" s="47" t="s">
        <v>641</v>
      </c>
      <c r="U3978" s="47"/>
      <c r="V3978" s="47" t="s">
        <v>5852</v>
      </c>
      <c r="W3978" s="47"/>
      <c r="X3978" s="47"/>
      <c r="Y3978" s="47"/>
      <c r="Z3978" s="47">
        <f t="shared" si="869"/>
        <v>4620</v>
      </c>
      <c r="AA3978" s="47">
        <f t="shared" si="873"/>
        <v>1400</v>
      </c>
      <c r="AB3978" s="47"/>
      <c r="AC3978" s="47"/>
      <c r="AD3978" s="47"/>
      <c r="AE3978" s="47"/>
      <c r="AF3978" s="47"/>
      <c r="AG3978" s="47"/>
      <c r="AH3978" s="47" t="str">
        <f>IFERROR(_xlfn.XLOOKUP(Table6[[#This Row],[Suburb]],Table5[Travel Surcharge],Table5[$$]),"")</f>
        <v/>
      </c>
      <c r="AI3978" s="47"/>
      <c r="AJ3978" s="47"/>
    </row>
    <row r="3979" spans="1:36">
      <c r="A3979" s="374" t="s">
        <v>5824</v>
      </c>
      <c r="B3979" s="374">
        <v>24</v>
      </c>
      <c r="C3979" s="374" t="s">
        <v>428</v>
      </c>
      <c r="D3979" s="375" t="str">
        <f t="shared" si="868"/>
        <v>St Germain Estate24</v>
      </c>
      <c r="E3979" s="375" t="s">
        <v>5854</v>
      </c>
      <c r="F3979" s="375" t="s">
        <v>5826</v>
      </c>
      <c r="G3979" s="375" t="s">
        <v>5827</v>
      </c>
      <c r="H3979" s="375" t="s">
        <v>5828</v>
      </c>
      <c r="I3979" s="63" t="s">
        <v>5829</v>
      </c>
      <c r="J3979" s="47">
        <f t="shared" si="870"/>
        <v>3740</v>
      </c>
      <c r="K3979" s="46" t="s">
        <v>7938</v>
      </c>
      <c r="L3979" s="47"/>
      <c r="M3979" s="47">
        <f t="shared" si="875"/>
        <v>1430.0000000000002</v>
      </c>
      <c r="N3979" s="47" t="s">
        <v>5830</v>
      </c>
      <c r="O3979" s="47" t="s">
        <v>5855</v>
      </c>
      <c r="P3979" s="47"/>
      <c r="Q3979" s="47">
        <f t="shared" si="876"/>
        <v>0</v>
      </c>
      <c r="R3979" s="47"/>
      <c r="S3979" s="47"/>
      <c r="T3979" s="47" t="s">
        <v>641</v>
      </c>
      <c r="U3979" s="47"/>
      <c r="V3979" s="47"/>
      <c r="W3979" s="47"/>
      <c r="X3979" s="47"/>
      <c r="Y3979" s="47"/>
      <c r="Z3979" s="47">
        <f t="shared" si="869"/>
        <v>4620</v>
      </c>
      <c r="AA3979" s="47">
        <f t="shared" si="873"/>
        <v>1400</v>
      </c>
      <c r="AB3979" s="47"/>
      <c r="AC3979" s="47"/>
      <c r="AD3979" s="47"/>
      <c r="AE3979" s="47"/>
      <c r="AF3979" s="47"/>
      <c r="AG3979" s="47"/>
      <c r="AH3979" s="47" t="str">
        <f>IFERROR(_xlfn.XLOOKUP(Table6[[#This Row],[Suburb]],Table5[Travel Surcharge],Table5[$$]),"")</f>
        <v/>
      </c>
      <c r="AI3979" s="47"/>
      <c r="AJ3979" s="47"/>
    </row>
    <row r="3980" spans="1:36">
      <c r="A3980" s="374" t="s">
        <v>5824</v>
      </c>
      <c r="B3980" s="374">
        <v>25</v>
      </c>
      <c r="C3980" s="374" t="s">
        <v>428</v>
      </c>
      <c r="D3980" s="375" t="str">
        <f t="shared" si="868"/>
        <v>St Germain Estate25</v>
      </c>
      <c r="E3980" s="375" t="s">
        <v>5856</v>
      </c>
      <c r="F3980" s="375" t="s">
        <v>5826</v>
      </c>
      <c r="G3980" s="375" t="s">
        <v>5827</v>
      </c>
      <c r="H3980" s="375" t="s">
        <v>5828</v>
      </c>
      <c r="I3980" s="63" t="s">
        <v>5829</v>
      </c>
      <c r="J3980" s="47">
        <f t="shared" si="870"/>
        <v>3740</v>
      </c>
      <c r="K3980" s="46" t="s">
        <v>7938</v>
      </c>
      <c r="L3980" s="47"/>
      <c r="M3980" s="47">
        <f t="shared" si="875"/>
        <v>1430.0000000000002</v>
      </c>
      <c r="N3980" s="47" t="s">
        <v>5830</v>
      </c>
      <c r="O3980" s="47"/>
      <c r="P3980" s="47"/>
      <c r="Q3980" s="47">
        <f t="shared" si="876"/>
        <v>0</v>
      </c>
      <c r="R3980" s="47"/>
      <c r="S3980" s="47"/>
      <c r="T3980" s="47" t="s">
        <v>641</v>
      </c>
      <c r="U3980" s="47"/>
      <c r="V3980" s="47"/>
      <c r="W3980" s="47"/>
      <c r="X3980" s="47"/>
      <c r="Y3980" s="47"/>
      <c r="Z3980" s="47">
        <f t="shared" si="869"/>
        <v>4620</v>
      </c>
      <c r="AA3980" s="47">
        <f t="shared" si="873"/>
        <v>1400</v>
      </c>
      <c r="AB3980" s="47"/>
      <c r="AC3980" s="47"/>
      <c r="AD3980" s="47"/>
      <c r="AE3980" s="47"/>
      <c r="AF3980" s="47"/>
      <c r="AG3980" s="47"/>
      <c r="AH3980" s="47" t="str">
        <f>IFERROR(_xlfn.XLOOKUP(Table6[[#This Row],[Suburb]],Table5[Travel Surcharge],Table5[$$]),"")</f>
        <v/>
      </c>
      <c r="AI3980" s="47"/>
      <c r="AJ3980" s="47"/>
    </row>
    <row r="3981" spans="1:36">
      <c r="A3981" s="374" t="s">
        <v>10164</v>
      </c>
      <c r="B3981" s="374">
        <v>2</v>
      </c>
      <c r="C3981" s="374" t="s">
        <v>1721</v>
      </c>
      <c r="D3981" s="375" t="str">
        <f>CONCATENATE(A3981,B3981)</f>
        <v>St Ronan2</v>
      </c>
      <c r="E3981" s="375" t="s">
        <v>10165</v>
      </c>
      <c r="F3981" s="375" t="s">
        <v>10166</v>
      </c>
      <c r="G3981" s="375" t="s">
        <v>2361</v>
      </c>
      <c r="H3981" s="375"/>
      <c r="I3981" s="63" t="s">
        <v>10167</v>
      </c>
      <c r="J3981" s="47" t="s">
        <v>10169</v>
      </c>
      <c r="K3981" s="46" t="s">
        <v>10735</v>
      </c>
      <c r="L3981" s="47" t="s">
        <v>10172</v>
      </c>
      <c r="M3981" s="47"/>
      <c r="N3981" s="47" t="s">
        <v>10170</v>
      </c>
      <c r="O3981" s="47" t="s">
        <v>10168</v>
      </c>
      <c r="P3981" s="47" t="s">
        <v>10171</v>
      </c>
      <c r="Q3981" s="47"/>
      <c r="R3981" s="47"/>
      <c r="S3981" s="47"/>
      <c r="T3981" s="47">
        <v>1420</v>
      </c>
      <c r="U3981" s="47"/>
      <c r="V3981" s="47" t="s">
        <v>10173</v>
      </c>
      <c r="W3981" s="47" t="s">
        <v>5178</v>
      </c>
      <c r="X3981" s="47" t="s">
        <v>5180</v>
      </c>
      <c r="Y3981" s="47"/>
      <c r="Z3981" s="47">
        <f>Z$7</f>
        <v>4620</v>
      </c>
      <c r="AA3981" s="47"/>
      <c r="AB3981" s="47"/>
      <c r="AC3981" s="47"/>
      <c r="AD3981" s="47"/>
      <c r="AE3981" s="47"/>
      <c r="AF3981" s="47"/>
      <c r="AG3981" s="47"/>
      <c r="AH3981" s="47" t="e">
        <f>IF((COUNTIF(#REF!,C3981)&gt;0),(IF('Pricing Sheet'!$C$3&lt;&gt;"",(VLOOKUP(C3981,AQ:AQ,2,FALSE)),(VLOOKUP(C3981,AQ:AQ,3,FALSE)))),"")</f>
        <v>#REF!</v>
      </c>
      <c r="AI3981" s="47"/>
      <c r="AJ3981" s="47"/>
    </row>
    <row r="3982" spans="1:36">
      <c r="A3982" s="374" t="s">
        <v>5808</v>
      </c>
      <c r="B3982" s="374">
        <v>1</v>
      </c>
      <c r="C3982" s="374" t="s">
        <v>502</v>
      </c>
      <c r="D3982" s="375" t="str">
        <f t="shared" si="868"/>
        <v>Stadio United 1</v>
      </c>
      <c r="E3982" s="375" t="s">
        <v>5809</v>
      </c>
      <c r="F3982" s="375" t="s">
        <v>5746</v>
      </c>
      <c r="G3982" s="375" t="s">
        <v>494</v>
      </c>
      <c r="H3982" s="375" t="s">
        <v>1521</v>
      </c>
      <c r="I3982" s="63" t="s">
        <v>4016</v>
      </c>
      <c r="J3982" s="47">
        <f t="shared" si="870"/>
        <v>3740</v>
      </c>
      <c r="K3982" s="46" t="s">
        <v>10735</v>
      </c>
      <c r="L3982" s="47">
        <f>L$7</f>
        <v>1210</v>
      </c>
      <c r="M3982" s="47"/>
      <c r="N3982" s="47"/>
      <c r="O3982" s="47"/>
      <c r="P3982" s="47"/>
      <c r="Q3982" s="47"/>
      <c r="R3982" s="47"/>
      <c r="S3982" s="47"/>
      <c r="T3982" s="47">
        <v>1420</v>
      </c>
      <c r="U3982" s="47"/>
      <c r="V3982" s="47"/>
      <c r="W3982" s="47"/>
      <c r="X3982" s="47"/>
      <c r="Y3982" s="47"/>
      <c r="Z3982" s="47">
        <f t="shared" ref="Z3982:Z4017" si="877">Z$7</f>
        <v>4620</v>
      </c>
      <c r="AA3982" s="47">
        <f t="shared" si="873"/>
        <v>1400</v>
      </c>
      <c r="AB3982" s="47"/>
      <c r="AC3982" s="47"/>
      <c r="AD3982" s="47"/>
      <c r="AE3982" s="47"/>
      <c r="AF3982" s="47">
        <f>AF$7</f>
        <v>1485</v>
      </c>
      <c r="AG3982" s="47"/>
      <c r="AH3982" s="47" t="str">
        <f>IFERROR(_xlfn.XLOOKUP(Table6[[#This Row],[Suburb]],Table5[Travel Surcharge],Table5[$$]),"")</f>
        <v/>
      </c>
      <c r="AI3982" s="47"/>
      <c r="AJ3982" s="47"/>
    </row>
    <row r="3983" spans="1:36">
      <c r="A3983" s="374" t="s">
        <v>5808</v>
      </c>
      <c r="B3983" s="374">
        <v>2</v>
      </c>
      <c r="C3983" s="374" t="s">
        <v>502</v>
      </c>
      <c r="D3983" s="375" t="str">
        <f t="shared" si="868"/>
        <v>Stadio United 2</v>
      </c>
      <c r="E3983" s="375" t="s">
        <v>5810</v>
      </c>
      <c r="F3983" s="375" t="s">
        <v>5746</v>
      </c>
      <c r="G3983" s="375" t="s">
        <v>494</v>
      </c>
      <c r="H3983" s="375" t="s">
        <v>1521</v>
      </c>
      <c r="I3983" s="63" t="s">
        <v>4016</v>
      </c>
      <c r="J3983" s="47">
        <f t="shared" si="870"/>
        <v>3740</v>
      </c>
      <c r="K3983" s="46" t="s">
        <v>10735</v>
      </c>
      <c r="L3983" s="47">
        <f>L$7</f>
        <v>1210</v>
      </c>
      <c r="M3983" s="47"/>
      <c r="N3983" s="47"/>
      <c r="O3983" s="47"/>
      <c r="P3983" s="47"/>
      <c r="Q3983" s="47"/>
      <c r="R3983" s="47">
        <f>R$2</f>
        <v>540</v>
      </c>
      <c r="S3983" s="47"/>
      <c r="T3983" s="47"/>
      <c r="U3983" s="47"/>
      <c r="V3983" s="47"/>
      <c r="W3983" s="47"/>
      <c r="X3983" s="47"/>
      <c r="Y3983" s="47"/>
      <c r="Z3983" s="47">
        <f t="shared" si="877"/>
        <v>4620</v>
      </c>
      <c r="AA3983" s="47">
        <f t="shared" si="873"/>
        <v>1400</v>
      </c>
      <c r="AB3983" s="47"/>
      <c r="AC3983" s="47"/>
      <c r="AD3983" s="47"/>
      <c r="AE3983" s="47"/>
      <c r="AF3983" s="47">
        <f>AF$7</f>
        <v>1485</v>
      </c>
      <c r="AG3983" s="47"/>
      <c r="AH3983" s="47" t="str">
        <f>IFERROR(_xlfn.XLOOKUP(Table6[[#This Row],[Suburb]],Table5[Travel Surcharge],Table5[$$]),"")</f>
        <v/>
      </c>
      <c r="AI3983" s="47"/>
      <c r="AJ3983" s="47"/>
    </row>
    <row r="3984" spans="1:36">
      <c r="A3984" s="374" t="s">
        <v>5808</v>
      </c>
      <c r="B3984" s="374">
        <v>3</v>
      </c>
      <c r="C3984" s="374" t="s">
        <v>502</v>
      </c>
      <c r="D3984" s="375" t="str">
        <f t="shared" si="868"/>
        <v>Stadio United 3</v>
      </c>
      <c r="E3984" s="375" t="s">
        <v>5811</v>
      </c>
      <c r="F3984" s="375" t="s">
        <v>5746</v>
      </c>
      <c r="G3984" s="375" t="s">
        <v>494</v>
      </c>
      <c r="H3984" s="375" t="s">
        <v>1521</v>
      </c>
      <c r="I3984" s="63" t="s">
        <v>4016</v>
      </c>
      <c r="J3984" s="47">
        <f t="shared" si="870"/>
        <v>3740</v>
      </c>
      <c r="K3984" s="46" t="s">
        <v>10735</v>
      </c>
      <c r="L3984" s="47">
        <f>L$7</f>
        <v>1210</v>
      </c>
      <c r="M3984" s="47"/>
      <c r="N3984" s="47"/>
      <c r="O3984" s="47"/>
      <c r="P3984" s="47"/>
      <c r="Q3984" s="47"/>
      <c r="R3984" s="47">
        <f>R$2</f>
        <v>540</v>
      </c>
      <c r="S3984" s="47"/>
      <c r="T3984" s="47"/>
      <c r="U3984" s="47"/>
      <c r="V3984" s="47"/>
      <c r="W3984" s="47"/>
      <c r="X3984" s="47"/>
      <c r="Y3984" s="47"/>
      <c r="Z3984" s="47">
        <f t="shared" si="877"/>
        <v>4620</v>
      </c>
      <c r="AA3984" s="47">
        <f t="shared" si="873"/>
        <v>1400</v>
      </c>
      <c r="AB3984" s="47"/>
      <c r="AC3984" s="47"/>
      <c r="AD3984" s="47"/>
      <c r="AE3984" s="47"/>
      <c r="AF3984" s="47">
        <f>AF$7</f>
        <v>1485</v>
      </c>
      <c r="AG3984" s="47"/>
      <c r="AH3984" s="47" t="str">
        <f>IFERROR(_xlfn.XLOOKUP(Table6[[#This Row],[Suburb]],Table5[Travel Surcharge],Table5[$$]),"")</f>
        <v/>
      </c>
      <c r="AI3984" s="47"/>
      <c r="AJ3984" s="47"/>
    </row>
    <row r="3985" spans="1:36" ht="15.75">
      <c r="A3985" s="374" t="s">
        <v>5857</v>
      </c>
      <c r="B3985" s="374">
        <v>1</v>
      </c>
      <c r="C3985" s="374" t="s">
        <v>802</v>
      </c>
      <c r="D3985" s="375" t="str">
        <f t="shared" si="868"/>
        <v>Starling Estate1</v>
      </c>
      <c r="E3985" s="375" t="s">
        <v>9865</v>
      </c>
      <c r="F3985" s="375" t="s">
        <v>650</v>
      </c>
      <c r="G3985" s="375" t="s">
        <v>9868</v>
      </c>
      <c r="H3985" s="385" t="s">
        <v>9867</v>
      </c>
      <c r="I3985" s="338" t="s">
        <v>9866</v>
      </c>
      <c r="J3985" s="47">
        <f t="shared" si="870"/>
        <v>3740</v>
      </c>
      <c r="K3985" s="46" t="s">
        <v>10735</v>
      </c>
      <c r="L3985" s="47"/>
      <c r="M3985" s="47">
        <v>1430</v>
      </c>
      <c r="N3985" s="47" t="s">
        <v>9871</v>
      </c>
      <c r="O3985" s="47" t="s">
        <v>5860</v>
      </c>
      <c r="P3985" s="47" t="s">
        <v>9870</v>
      </c>
      <c r="Q3985" s="47" t="s">
        <v>9872</v>
      </c>
      <c r="R3985" s="47">
        <f>R64</f>
        <v>0</v>
      </c>
      <c r="S3985" s="47" t="s">
        <v>9873</v>
      </c>
      <c r="T3985" s="47" t="s">
        <v>9874</v>
      </c>
      <c r="U3985" s="47"/>
      <c r="V3985" s="47"/>
      <c r="W3985" s="47"/>
      <c r="X3985" s="47"/>
      <c r="Y3985" s="47"/>
      <c r="Z3985" s="47">
        <f t="shared" si="877"/>
        <v>4620</v>
      </c>
      <c r="AA3985" s="47"/>
      <c r="AB3985" s="47"/>
      <c r="AC3985" s="47"/>
      <c r="AD3985" s="47" t="s">
        <v>9869</v>
      </c>
      <c r="AE3985" s="47"/>
      <c r="AF3985" s="47">
        <f>AF$7</f>
        <v>1485</v>
      </c>
      <c r="AG3985" s="47"/>
      <c r="AH3985" s="47" t="str">
        <f>IFERROR(_xlfn.XLOOKUP(Table6[[#This Row],[Suburb]],Table5[Travel Surcharge],Table5[$$]),"")</f>
        <v/>
      </c>
      <c r="AI3985" s="47"/>
      <c r="AJ3985" s="47"/>
    </row>
    <row r="3986" spans="1:36" ht="15.75">
      <c r="A3986" s="374" t="s">
        <v>5857</v>
      </c>
      <c r="B3986" s="374">
        <v>2</v>
      </c>
      <c r="C3986" s="374" t="s">
        <v>802</v>
      </c>
      <c r="D3986" s="375" t="str">
        <f t="shared" si="868"/>
        <v>Starling Estate2</v>
      </c>
      <c r="E3986" s="375" t="s">
        <v>10181</v>
      </c>
      <c r="F3986" s="375" t="s">
        <v>650</v>
      </c>
      <c r="G3986" s="375" t="s">
        <v>9868</v>
      </c>
      <c r="H3986" s="386" t="s">
        <v>9867</v>
      </c>
      <c r="I3986" s="63" t="s">
        <v>9866</v>
      </c>
      <c r="J3986" s="47">
        <v>3740</v>
      </c>
      <c r="K3986" s="46" t="s">
        <v>10735</v>
      </c>
      <c r="L3986" s="47"/>
      <c r="M3986" s="47">
        <v>1430</v>
      </c>
      <c r="N3986" s="47" t="s">
        <v>9871</v>
      </c>
      <c r="O3986" s="47" t="s">
        <v>5860</v>
      </c>
      <c r="P3986" s="47" t="s">
        <v>9870</v>
      </c>
      <c r="Q3986" s="47" t="s">
        <v>9872</v>
      </c>
      <c r="R3986" s="47">
        <v>0</v>
      </c>
      <c r="S3986" s="47" t="s">
        <v>9873</v>
      </c>
      <c r="T3986" s="47" t="s">
        <v>9874</v>
      </c>
      <c r="U3986" s="47"/>
      <c r="V3986" s="47"/>
      <c r="W3986" s="47"/>
      <c r="X3986" s="47"/>
      <c r="Y3986" s="47"/>
      <c r="Z3986" s="47">
        <v>4620</v>
      </c>
      <c r="AA3986" s="47"/>
      <c r="AB3986" s="47"/>
      <c r="AC3986" s="47"/>
      <c r="AD3986" s="47" t="s">
        <v>9869</v>
      </c>
      <c r="AE3986" s="47"/>
      <c r="AF3986" s="47">
        <v>1485</v>
      </c>
      <c r="AG3986" s="47"/>
      <c r="AH3986" s="47" t="s">
        <v>9976</v>
      </c>
      <c r="AI3986" s="47"/>
      <c r="AJ3986" s="47"/>
    </row>
    <row r="3987" spans="1:36" ht="15.75">
      <c r="A3987" s="374" t="s">
        <v>5857</v>
      </c>
      <c r="B3987" s="374">
        <v>3</v>
      </c>
      <c r="C3987" s="374" t="s">
        <v>802</v>
      </c>
      <c r="D3987" s="375" t="str">
        <f t="shared" si="868"/>
        <v>Starling Estate3</v>
      </c>
      <c r="E3987" s="375" t="s">
        <v>10833</v>
      </c>
      <c r="F3987" s="375" t="s">
        <v>650</v>
      </c>
      <c r="G3987" s="375" t="s">
        <v>9868</v>
      </c>
      <c r="H3987" s="386" t="s">
        <v>9867</v>
      </c>
      <c r="I3987" s="63" t="s">
        <v>9866</v>
      </c>
      <c r="J3987" s="47">
        <v>3740</v>
      </c>
      <c r="K3987" s="46" t="s">
        <v>10735</v>
      </c>
      <c r="L3987" s="47"/>
      <c r="M3987" s="47">
        <v>1430</v>
      </c>
      <c r="N3987" s="47" t="s">
        <v>9871</v>
      </c>
      <c r="O3987" s="47" t="s">
        <v>5860</v>
      </c>
      <c r="P3987" s="47" t="s">
        <v>9870</v>
      </c>
      <c r="Q3987" s="47" t="s">
        <v>9872</v>
      </c>
      <c r="R3987" s="47">
        <v>0</v>
      </c>
      <c r="S3987" s="47" t="s">
        <v>9873</v>
      </c>
      <c r="T3987" s="47" t="s">
        <v>9874</v>
      </c>
      <c r="U3987" s="47"/>
      <c r="V3987" s="47"/>
      <c r="W3987" s="47"/>
      <c r="X3987" s="47"/>
      <c r="Y3987" s="47"/>
      <c r="Z3987" s="47">
        <v>4620</v>
      </c>
      <c r="AA3987" s="47"/>
      <c r="AB3987" s="47"/>
      <c r="AC3987" s="47"/>
      <c r="AD3987" s="47" t="s">
        <v>9869</v>
      </c>
      <c r="AE3987" s="47"/>
      <c r="AF3987" s="47">
        <v>1485</v>
      </c>
      <c r="AG3987" s="47"/>
      <c r="AH3987" s="47" t="s">
        <v>9976</v>
      </c>
      <c r="AI3987" s="47"/>
      <c r="AJ3987" s="47"/>
    </row>
    <row r="3988" spans="1:36">
      <c r="A3988" s="374" t="s">
        <v>5861</v>
      </c>
      <c r="B3988" s="374">
        <v>1</v>
      </c>
      <c r="C3988" s="374" t="s">
        <v>288</v>
      </c>
      <c r="D3988" s="375" t="str">
        <f t="shared" si="868"/>
        <v>Stockman Wood 1</v>
      </c>
      <c r="E3988" s="375" t="s">
        <v>5862</v>
      </c>
      <c r="F3988" s="375" t="s">
        <v>5863</v>
      </c>
      <c r="G3988" s="375" t="s">
        <v>5864</v>
      </c>
      <c r="H3988" s="375" t="s">
        <v>5865</v>
      </c>
      <c r="I3988" s="63"/>
      <c r="J3988" s="47"/>
      <c r="K3988" s="46" t="s">
        <v>10735</v>
      </c>
      <c r="L3988" s="47"/>
      <c r="M3988" s="47"/>
      <c r="N3988" s="47"/>
      <c r="O3988" s="47"/>
      <c r="P3988" s="47"/>
      <c r="Q3988" s="47">
        <f>Q$2</f>
        <v>0</v>
      </c>
      <c r="R3988" s="47"/>
      <c r="S3988" s="47"/>
      <c r="T3988" s="47" t="s">
        <v>641</v>
      </c>
      <c r="U3988" s="47"/>
      <c r="V3988" s="47"/>
      <c r="W3988" s="47"/>
      <c r="X3988" s="47"/>
      <c r="Y3988" s="47"/>
      <c r="Z3988" s="47">
        <f t="shared" si="877"/>
        <v>4620</v>
      </c>
      <c r="AA3988" s="47"/>
      <c r="AB3988" s="47"/>
      <c r="AC3988" s="47"/>
      <c r="AD3988" s="47"/>
      <c r="AE3988" s="47"/>
      <c r="AF3988" s="47"/>
      <c r="AG3988" s="47"/>
      <c r="AH3988" s="47">
        <f>IFERROR(_xlfn.XLOOKUP(Table6[[#This Row],[Suburb]],Table5[Travel Surcharge],Table5[$$]),"")</f>
        <v>7000</v>
      </c>
      <c r="AI3988" s="47"/>
      <c r="AJ3988" s="47"/>
    </row>
    <row r="3989" spans="1:36">
      <c r="A3989" s="374" t="s">
        <v>5866</v>
      </c>
      <c r="B3989" s="374">
        <v>2</v>
      </c>
      <c r="C3989" s="374" t="s">
        <v>455</v>
      </c>
      <c r="D3989" s="375" t="str">
        <f t="shared" si="868"/>
        <v>Stonefields Estate2</v>
      </c>
      <c r="E3989" s="375" t="s">
        <v>5867</v>
      </c>
      <c r="F3989" s="375" t="s">
        <v>3063</v>
      </c>
      <c r="G3989" s="375" t="s">
        <v>5868</v>
      </c>
      <c r="H3989" s="375" t="s">
        <v>5869</v>
      </c>
      <c r="I3989" s="63" t="s">
        <v>5870</v>
      </c>
      <c r="J3989" s="47">
        <f>J$7</f>
        <v>3740</v>
      </c>
      <c r="K3989" s="46" t="s">
        <v>10735</v>
      </c>
      <c r="L3989" s="47"/>
      <c r="M3989" s="47"/>
      <c r="N3989" s="47" t="s">
        <v>5871</v>
      </c>
      <c r="O3989" s="47" t="s">
        <v>5872</v>
      </c>
      <c r="P3989" s="47"/>
      <c r="Q3989" s="47"/>
      <c r="R3989" s="47"/>
      <c r="S3989" s="47" t="s">
        <v>5873</v>
      </c>
      <c r="T3989" s="47"/>
      <c r="U3989" s="47"/>
      <c r="V3989" s="47"/>
      <c r="W3989" s="47"/>
      <c r="X3989" s="47"/>
      <c r="Y3989" s="47"/>
      <c r="Z3989" s="47">
        <f t="shared" si="877"/>
        <v>4620</v>
      </c>
      <c r="AA3989" s="47"/>
      <c r="AB3989" s="47"/>
      <c r="AC3989" s="47"/>
      <c r="AD3989" s="47"/>
      <c r="AE3989" s="47"/>
      <c r="AF3989" s="47"/>
      <c r="AG3989" s="47" t="s">
        <v>464</v>
      </c>
      <c r="AH3989" s="47" t="str">
        <f>IFERROR(_xlfn.XLOOKUP(Table6[[#This Row],[Suburb]],Table5[Travel Surcharge],Table5[$$]),"")</f>
        <v/>
      </c>
      <c r="AI3989" s="47"/>
      <c r="AJ3989" s="47"/>
    </row>
    <row r="3990" spans="1:36">
      <c r="A3990" s="374" t="s">
        <v>5866</v>
      </c>
      <c r="B3990" s="374">
        <v>3</v>
      </c>
      <c r="C3990" s="374" t="s">
        <v>455</v>
      </c>
      <c r="D3990" s="375" t="str">
        <f t="shared" si="868"/>
        <v>Stonefields Estate3</v>
      </c>
      <c r="E3990" s="375" t="s">
        <v>5874</v>
      </c>
      <c r="F3990" s="375" t="s">
        <v>3063</v>
      </c>
      <c r="G3990" s="375" t="s">
        <v>5868</v>
      </c>
      <c r="H3990" s="375" t="s">
        <v>5869</v>
      </c>
      <c r="I3990" s="63" t="s">
        <v>5870</v>
      </c>
      <c r="J3990" s="47">
        <f>J$7</f>
        <v>3740</v>
      </c>
      <c r="K3990" s="46" t="s">
        <v>10735</v>
      </c>
      <c r="L3990" s="47"/>
      <c r="M3990" s="47"/>
      <c r="N3990" s="47" t="s">
        <v>5871</v>
      </c>
      <c r="O3990" s="47" t="s">
        <v>5872</v>
      </c>
      <c r="P3990" s="47"/>
      <c r="Q3990" s="47"/>
      <c r="R3990" s="47"/>
      <c r="S3990" s="47" t="s">
        <v>5873</v>
      </c>
      <c r="T3990" s="47"/>
      <c r="U3990" s="47"/>
      <c r="V3990" s="47"/>
      <c r="W3990" s="47"/>
      <c r="X3990" s="47"/>
      <c r="Y3990" s="47"/>
      <c r="Z3990" s="47">
        <f t="shared" si="877"/>
        <v>4620</v>
      </c>
      <c r="AA3990" s="47"/>
      <c r="AB3990" s="47"/>
      <c r="AC3990" s="47"/>
      <c r="AD3990" s="47"/>
      <c r="AE3990" s="47"/>
      <c r="AF3990" s="47"/>
      <c r="AG3990" s="47" t="s">
        <v>464</v>
      </c>
      <c r="AH3990" s="47" t="str">
        <f>IFERROR(_xlfn.XLOOKUP(Table6[[#This Row],[Suburb]],Table5[Travel Surcharge],Table5[$$]),"")</f>
        <v/>
      </c>
      <c r="AI3990" s="47"/>
      <c r="AJ3990" s="47"/>
    </row>
    <row r="3991" spans="1:36">
      <c r="A3991" s="157" t="s">
        <v>5866</v>
      </c>
      <c r="B3991" s="157">
        <v>4</v>
      </c>
      <c r="C3991" s="157" t="s">
        <v>455</v>
      </c>
      <c r="D3991" s="157" t="str">
        <f t="shared" si="868"/>
        <v>Stonefields Estate4</v>
      </c>
      <c r="E3991" s="157" t="s">
        <v>7925</v>
      </c>
      <c r="F3991" s="157" t="s">
        <v>3063</v>
      </c>
      <c r="G3991" s="157" t="s">
        <v>5868</v>
      </c>
      <c r="H3991" s="157" t="s">
        <v>5869</v>
      </c>
      <c r="I3991" s="158" t="s">
        <v>5870</v>
      </c>
      <c r="J3991" s="47">
        <f>J$7</f>
        <v>3740</v>
      </c>
      <c r="K3991" s="46" t="s">
        <v>10735</v>
      </c>
      <c r="L3991" s="47"/>
      <c r="M3991" s="47"/>
      <c r="N3991" s="47" t="s">
        <v>5871</v>
      </c>
      <c r="O3991" s="47" t="s">
        <v>5872</v>
      </c>
      <c r="P3991" s="47"/>
      <c r="Q3991" s="47"/>
      <c r="R3991" s="47"/>
      <c r="S3991" s="47" t="s">
        <v>5873</v>
      </c>
      <c r="T3991" s="47"/>
      <c r="U3991" s="47"/>
      <c r="V3991" s="47"/>
      <c r="W3991" s="47"/>
      <c r="X3991" s="47"/>
      <c r="Y3991" s="47"/>
      <c r="Z3991" s="47">
        <f t="shared" si="877"/>
        <v>4620</v>
      </c>
      <c r="AA3991" s="47"/>
      <c r="AB3991" s="47"/>
      <c r="AC3991" s="47"/>
      <c r="AD3991" s="47"/>
      <c r="AE3991" s="47"/>
      <c r="AF3991" s="47"/>
      <c r="AG3991" s="47" t="s">
        <v>464</v>
      </c>
      <c r="AH3991" s="47" t="str">
        <f>IFERROR(_xlfn.XLOOKUP(Table6[[#This Row],[Suburb]],Table5[Travel Surcharge],Table5[$$]),"")</f>
        <v/>
      </c>
      <c r="AI3991" s="47"/>
      <c r="AJ3991" s="47"/>
    </row>
    <row r="3992" spans="1:36">
      <c r="A3992" s="374" t="s">
        <v>5875</v>
      </c>
      <c r="B3992" s="374">
        <v>6</v>
      </c>
      <c r="C3992" s="374" t="s">
        <v>1261</v>
      </c>
      <c r="D3992" s="375" t="str">
        <f t="shared" si="868"/>
        <v>Stonehill Estate6</v>
      </c>
      <c r="E3992" s="375" t="s">
        <v>5876</v>
      </c>
      <c r="F3992" s="375" t="s">
        <v>2664</v>
      </c>
      <c r="G3992" s="375" t="s">
        <v>5877</v>
      </c>
      <c r="H3992" s="375" t="s">
        <v>5878</v>
      </c>
      <c r="I3992" s="63" t="s">
        <v>5879</v>
      </c>
      <c r="J3992" s="47"/>
      <c r="K3992" s="46" t="s">
        <v>10735</v>
      </c>
      <c r="L3992" s="47"/>
      <c r="M3992" s="47"/>
      <c r="N3992" s="47"/>
      <c r="O3992" s="47"/>
      <c r="P3992" s="47"/>
      <c r="Q3992" s="47"/>
      <c r="R3992" s="47"/>
      <c r="S3992" s="47" t="s">
        <v>5880</v>
      </c>
      <c r="T3992" s="47"/>
      <c r="U3992" s="47" t="s">
        <v>5881</v>
      </c>
      <c r="V3992" s="47"/>
      <c r="W3992" s="47"/>
      <c r="X3992" s="47">
        <f t="shared" ref="X3992:X4007" si="878">X$7</f>
        <v>3000</v>
      </c>
      <c r="Y3992" s="47"/>
      <c r="Z3992" s="47">
        <f t="shared" si="877"/>
        <v>4620</v>
      </c>
      <c r="AA3992" s="47"/>
      <c r="AB3992" s="47"/>
      <c r="AC3992" s="47"/>
      <c r="AD3992" s="47"/>
      <c r="AE3992" s="47"/>
      <c r="AF3992" s="47">
        <f t="shared" ref="AF3992:AF4005" si="879">AF$7</f>
        <v>1485</v>
      </c>
      <c r="AG3992" s="47"/>
      <c r="AH3992" s="47" t="str">
        <f>IFERROR(_xlfn.XLOOKUP(Table6[[#This Row],[Suburb]],Table5[Travel Surcharge],Table5[$$]),"")</f>
        <v/>
      </c>
      <c r="AI3992" s="47"/>
      <c r="AJ3992" s="47"/>
    </row>
    <row r="3993" spans="1:36">
      <c r="A3993" s="374" t="s">
        <v>5875</v>
      </c>
      <c r="B3993" s="374">
        <v>10</v>
      </c>
      <c r="C3993" s="374" t="s">
        <v>1261</v>
      </c>
      <c r="D3993" s="375" t="str">
        <f t="shared" si="868"/>
        <v>Stonehill Estate10</v>
      </c>
      <c r="E3993" s="375" t="s">
        <v>5882</v>
      </c>
      <c r="F3993" s="375" t="s">
        <v>2664</v>
      </c>
      <c r="G3993" s="375" t="s">
        <v>5877</v>
      </c>
      <c r="H3993" s="375" t="s">
        <v>5878</v>
      </c>
      <c r="I3993" s="63" t="s">
        <v>5879</v>
      </c>
      <c r="J3993" s="47"/>
      <c r="K3993" s="46" t="s">
        <v>10735</v>
      </c>
      <c r="L3993" s="47"/>
      <c r="M3993" s="47"/>
      <c r="N3993" s="47"/>
      <c r="O3993" s="47"/>
      <c r="P3993" s="47"/>
      <c r="Q3993" s="47"/>
      <c r="R3993" s="47"/>
      <c r="S3993" s="47" t="s">
        <v>5880</v>
      </c>
      <c r="T3993" s="47"/>
      <c r="U3993" s="47" t="s">
        <v>5881</v>
      </c>
      <c r="V3993" s="47"/>
      <c r="W3993" s="47"/>
      <c r="X3993" s="47">
        <f t="shared" si="878"/>
        <v>3000</v>
      </c>
      <c r="Y3993" s="47"/>
      <c r="Z3993" s="47">
        <f t="shared" si="877"/>
        <v>4620</v>
      </c>
      <c r="AA3993" s="47"/>
      <c r="AB3993" s="47"/>
      <c r="AC3993" s="47"/>
      <c r="AD3993" s="47"/>
      <c r="AE3993" s="47"/>
      <c r="AF3993" s="47">
        <f t="shared" si="879"/>
        <v>1485</v>
      </c>
      <c r="AG3993" s="47"/>
      <c r="AH3993" s="47" t="str">
        <f>IFERROR(_xlfn.XLOOKUP(Table6[[#This Row],[Suburb]],Table5[Travel Surcharge],Table5[$$]),"")</f>
        <v/>
      </c>
      <c r="AI3993" s="47"/>
      <c r="AJ3993" s="47"/>
    </row>
    <row r="3994" spans="1:36">
      <c r="A3994" s="374" t="s">
        <v>5875</v>
      </c>
      <c r="B3994" s="374">
        <v>15</v>
      </c>
      <c r="C3994" s="374" t="s">
        <v>1261</v>
      </c>
      <c r="D3994" s="375" t="str">
        <f t="shared" si="868"/>
        <v>Stonehill Estate15</v>
      </c>
      <c r="E3994" s="375" t="s">
        <v>5883</v>
      </c>
      <c r="F3994" s="375" t="s">
        <v>2664</v>
      </c>
      <c r="G3994" s="375" t="s">
        <v>5877</v>
      </c>
      <c r="H3994" s="375" t="s">
        <v>5878</v>
      </c>
      <c r="I3994" s="63" t="s">
        <v>5879</v>
      </c>
      <c r="J3994" s="47"/>
      <c r="K3994" s="46" t="s">
        <v>10735</v>
      </c>
      <c r="L3994" s="47"/>
      <c r="M3994" s="47"/>
      <c r="N3994" s="47"/>
      <c r="O3994" s="47"/>
      <c r="P3994" s="47"/>
      <c r="Q3994" s="47"/>
      <c r="R3994" s="47"/>
      <c r="S3994" s="47" t="s">
        <v>5880</v>
      </c>
      <c r="T3994" s="47"/>
      <c r="U3994" s="47" t="s">
        <v>5881</v>
      </c>
      <c r="V3994" s="47"/>
      <c r="W3994" s="47"/>
      <c r="X3994" s="47">
        <f t="shared" si="878"/>
        <v>3000</v>
      </c>
      <c r="Y3994" s="47"/>
      <c r="Z3994" s="47">
        <f t="shared" si="877"/>
        <v>4620</v>
      </c>
      <c r="AA3994" s="47"/>
      <c r="AB3994" s="47"/>
      <c r="AC3994" s="47"/>
      <c r="AD3994" s="47"/>
      <c r="AE3994" s="47"/>
      <c r="AF3994" s="47">
        <f t="shared" si="879"/>
        <v>1485</v>
      </c>
      <c r="AG3994" s="47"/>
      <c r="AH3994" s="47" t="str">
        <f>IFERROR(_xlfn.XLOOKUP(Table6[[#This Row],[Suburb]],Table5[Travel Surcharge],Table5[$$]),"")</f>
        <v/>
      </c>
      <c r="AI3994" s="47"/>
      <c r="AJ3994" s="47"/>
    </row>
    <row r="3995" spans="1:36">
      <c r="A3995" s="374" t="s">
        <v>5875</v>
      </c>
      <c r="B3995" s="374">
        <v>16</v>
      </c>
      <c r="C3995" s="374" t="s">
        <v>1261</v>
      </c>
      <c r="D3995" s="375" t="str">
        <f t="shared" si="868"/>
        <v>Stonehill Estate16</v>
      </c>
      <c r="E3995" s="375" t="s">
        <v>5884</v>
      </c>
      <c r="F3995" s="375" t="s">
        <v>2664</v>
      </c>
      <c r="G3995" s="375" t="s">
        <v>5877</v>
      </c>
      <c r="H3995" s="375" t="s">
        <v>5878</v>
      </c>
      <c r="I3995" s="63" t="s">
        <v>5879</v>
      </c>
      <c r="J3995" s="47"/>
      <c r="K3995" s="46" t="s">
        <v>10735</v>
      </c>
      <c r="L3995" s="47"/>
      <c r="M3995" s="47"/>
      <c r="N3995" s="47"/>
      <c r="O3995" s="47"/>
      <c r="P3995" s="47"/>
      <c r="Q3995" s="47"/>
      <c r="R3995" s="47"/>
      <c r="S3995" s="47" t="s">
        <v>5880</v>
      </c>
      <c r="T3995" s="47"/>
      <c r="U3995" s="47" t="s">
        <v>5881</v>
      </c>
      <c r="V3995" s="47"/>
      <c r="W3995" s="47"/>
      <c r="X3995" s="47">
        <f t="shared" si="878"/>
        <v>3000</v>
      </c>
      <c r="Y3995" s="47"/>
      <c r="Z3995" s="47">
        <f t="shared" si="877"/>
        <v>4620</v>
      </c>
      <c r="AA3995" s="47"/>
      <c r="AB3995" s="47"/>
      <c r="AC3995" s="47"/>
      <c r="AD3995" s="47"/>
      <c r="AE3995" s="47"/>
      <c r="AF3995" s="47">
        <f t="shared" si="879"/>
        <v>1485</v>
      </c>
      <c r="AG3995" s="47"/>
      <c r="AH3995" s="47" t="str">
        <f>IFERROR(_xlfn.XLOOKUP(Table6[[#This Row],[Suburb]],Table5[Travel Surcharge],Table5[$$]),"")</f>
        <v/>
      </c>
      <c r="AI3995" s="47"/>
      <c r="AJ3995" s="47"/>
    </row>
    <row r="3996" spans="1:36">
      <c r="A3996" s="374" t="s">
        <v>5875</v>
      </c>
      <c r="B3996" s="374">
        <v>17</v>
      </c>
      <c r="C3996" s="374" t="s">
        <v>1261</v>
      </c>
      <c r="D3996" s="375" t="str">
        <f t="shared" si="868"/>
        <v>Stonehill Estate17</v>
      </c>
      <c r="E3996" s="375" t="s">
        <v>5885</v>
      </c>
      <c r="F3996" s="375" t="s">
        <v>2664</v>
      </c>
      <c r="G3996" s="375" t="s">
        <v>5877</v>
      </c>
      <c r="H3996" s="375" t="s">
        <v>5878</v>
      </c>
      <c r="I3996" s="63" t="s">
        <v>5879</v>
      </c>
      <c r="J3996" s="47"/>
      <c r="K3996" s="46" t="s">
        <v>10735</v>
      </c>
      <c r="L3996" s="47"/>
      <c r="M3996" s="47"/>
      <c r="N3996" s="47"/>
      <c r="O3996" s="47"/>
      <c r="P3996" s="47"/>
      <c r="Q3996" s="47"/>
      <c r="R3996" s="47"/>
      <c r="S3996" s="47" t="s">
        <v>5880</v>
      </c>
      <c r="T3996" s="47"/>
      <c r="U3996" s="47" t="s">
        <v>5881</v>
      </c>
      <c r="V3996" s="47"/>
      <c r="W3996" s="47"/>
      <c r="X3996" s="47">
        <f t="shared" si="878"/>
        <v>3000</v>
      </c>
      <c r="Y3996" s="47"/>
      <c r="Z3996" s="47">
        <f t="shared" si="877"/>
        <v>4620</v>
      </c>
      <c r="AA3996" s="47"/>
      <c r="AB3996" s="47"/>
      <c r="AC3996" s="47"/>
      <c r="AD3996" s="47"/>
      <c r="AE3996" s="47"/>
      <c r="AF3996" s="47">
        <f t="shared" si="879"/>
        <v>1485</v>
      </c>
      <c r="AG3996" s="47"/>
      <c r="AH3996" s="47" t="str">
        <f>IFERROR(_xlfn.XLOOKUP(Table6[[#This Row],[Suburb]],Table5[Travel Surcharge],Table5[$$]),"")</f>
        <v/>
      </c>
      <c r="AI3996" s="47"/>
      <c r="AJ3996" s="47"/>
    </row>
    <row r="3997" spans="1:36">
      <c r="A3997" s="374" t="s">
        <v>5875</v>
      </c>
      <c r="B3997" s="374">
        <v>18</v>
      </c>
      <c r="C3997" s="374" t="s">
        <v>1261</v>
      </c>
      <c r="D3997" s="375" t="str">
        <f t="shared" si="868"/>
        <v>Stonehill Estate18</v>
      </c>
      <c r="E3997" s="375" t="s">
        <v>5886</v>
      </c>
      <c r="F3997" s="375" t="s">
        <v>2664</v>
      </c>
      <c r="G3997" s="375" t="s">
        <v>5877</v>
      </c>
      <c r="H3997" s="375" t="s">
        <v>5878</v>
      </c>
      <c r="I3997" s="63" t="s">
        <v>5879</v>
      </c>
      <c r="J3997" s="47"/>
      <c r="K3997" s="46" t="s">
        <v>10735</v>
      </c>
      <c r="L3997" s="47"/>
      <c r="M3997" s="47"/>
      <c r="N3997" s="47"/>
      <c r="O3997" s="47"/>
      <c r="P3997" s="47"/>
      <c r="Q3997" s="47"/>
      <c r="R3997" s="47"/>
      <c r="S3997" s="47" t="s">
        <v>5880</v>
      </c>
      <c r="T3997" s="47"/>
      <c r="U3997" s="47" t="s">
        <v>5881</v>
      </c>
      <c r="V3997" s="47"/>
      <c r="W3997" s="47"/>
      <c r="X3997" s="47">
        <f t="shared" si="878"/>
        <v>3000</v>
      </c>
      <c r="Y3997" s="47"/>
      <c r="Z3997" s="47">
        <f t="shared" si="877"/>
        <v>4620</v>
      </c>
      <c r="AA3997" s="47"/>
      <c r="AB3997" s="47"/>
      <c r="AC3997" s="47"/>
      <c r="AD3997" s="47"/>
      <c r="AE3997" s="47"/>
      <c r="AF3997" s="47">
        <f t="shared" si="879"/>
        <v>1485</v>
      </c>
      <c r="AG3997" s="47"/>
      <c r="AH3997" s="47" t="str">
        <f>IFERROR(_xlfn.XLOOKUP(Table6[[#This Row],[Suburb]],Table5[Travel Surcharge],Table5[$$]),"")</f>
        <v/>
      </c>
      <c r="AI3997" s="47"/>
      <c r="AJ3997" s="47"/>
    </row>
    <row r="3998" spans="1:36">
      <c r="A3998" s="374" t="s">
        <v>5875</v>
      </c>
      <c r="B3998" s="374">
        <v>19</v>
      </c>
      <c r="C3998" s="374" t="s">
        <v>1261</v>
      </c>
      <c r="D3998" s="375" t="str">
        <f t="shared" si="868"/>
        <v>Stonehill Estate19</v>
      </c>
      <c r="E3998" s="375" t="s">
        <v>5887</v>
      </c>
      <c r="F3998" s="375" t="s">
        <v>2664</v>
      </c>
      <c r="G3998" s="375" t="s">
        <v>5877</v>
      </c>
      <c r="H3998" s="375" t="s">
        <v>5878</v>
      </c>
      <c r="I3998" s="63" t="s">
        <v>5879</v>
      </c>
      <c r="J3998" s="47"/>
      <c r="K3998" s="46" t="s">
        <v>10735</v>
      </c>
      <c r="L3998" s="47"/>
      <c r="M3998" s="47"/>
      <c r="N3998" s="47"/>
      <c r="O3998" s="47"/>
      <c r="P3998" s="47"/>
      <c r="Q3998" s="47"/>
      <c r="R3998" s="47"/>
      <c r="S3998" s="47" t="s">
        <v>5880</v>
      </c>
      <c r="T3998" s="47"/>
      <c r="U3998" s="47" t="s">
        <v>5881</v>
      </c>
      <c r="V3998" s="47"/>
      <c r="W3998" s="47"/>
      <c r="X3998" s="47">
        <f t="shared" si="878"/>
        <v>3000</v>
      </c>
      <c r="Y3998" s="47"/>
      <c r="Z3998" s="47">
        <f t="shared" si="877"/>
        <v>4620</v>
      </c>
      <c r="AA3998" s="47"/>
      <c r="AB3998" s="47"/>
      <c r="AC3998" s="47"/>
      <c r="AD3998" s="47"/>
      <c r="AE3998" s="47"/>
      <c r="AF3998" s="47">
        <f t="shared" si="879"/>
        <v>1485</v>
      </c>
      <c r="AG3998" s="47"/>
      <c r="AH3998" s="47" t="str">
        <f>IFERROR(_xlfn.XLOOKUP(Table6[[#This Row],[Suburb]],Table5[Travel Surcharge],Table5[$$]),"")</f>
        <v/>
      </c>
      <c r="AI3998" s="47"/>
      <c r="AJ3998" s="47"/>
    </row>
    <row r="3999" spans="1:36">
      <c r="A3999" s="374" t="s">
        <v>5875</v>
      </c>
      <c r="B3999" s="374">
        <v>20</v>
      </c>
      <c r="C3999" s="374" t="s">
        <v>1261</v>
      </c>
      <c r="D3999" s="375" t="str">
        <f t="shared" si="868"/>
        <v>Stonehill Estate20</v>
      </c>
      <c r="E3999" s="375" t="s">
        <v>5888</v>
      </c>
      <c r="F3999" s="375" t="s">
        <v>2664</v>
      </c>
      <c r="G3999" s="375" t="s">
        <v>5877</v>
      </c>
      <c r="H3999" s="375" t="s">
        <v>5878</v>
      </c>
      <c r="I3999" s="63" t="s">
        <v>5879</v>
      </c>
      <c r="J3999" s="47"/>
      <c r="K3999" s="46" t="s">
        <v>10735</v>
      </c>
      <c r="L3999" s="47"/>
      <c r="M3999" s="47"/>
      <c r="N3999" s="47"/>
      <c r="O3999" s="47"/>
      <c r="P3999" s="47"/>
      <c r="Q3999" s="47"/>
      <c r="R3999" s="47"/>
      <c r="S3999" s="47" t="s">
        <v>5880</v>
      </c>
      <c r="T3999" s="47"/>
      <c r="U3999" s="47" t="s">
        <v>5881</v>
      </c>
      <c r="V3999" s="47"/>
      <c r="W3999" s="47"/>
      <c r="X3999" s="47">
        <f t="shared" si="878"/>
        <v>3000</v>
      </c>
      <c r="Y3999" s="47"/>
      <c r="Z3999" s="47">
        <f t="shared" si="877"/>
        <v>4620</v>
      </c>
      <c r="AA3999" s="47"/>
      <c r="AB3999" s="47"/>
      <c r="AC3999" s="47"/>
      <c r="AD3999" s="47"/>
      <c r="AE3999" s="47"/>
      <c r="AF3999" s="47">
        <f t="shared" si="879"/>
        <v>1485</v>
      </c>
      <c r="AG3999" s="47"/>
      <c r="AH3999" s="47" t="str">
        <f>IFERROR(_xlfn.XLOOKUP(Table6[[#This Row],[Suburb]],Table5[Travel Surcharge],Table5[$$]),"")</f>
        <v/>
      </c>
      <c r="AI3999" s="47"/>
      <c r="AJ3999" s="47"/>
    </row>
    <row r="4000" spans="1:36">
      <c r="A4000" s="374" t="s">
        <v>5875</v>
      </c>
      <c r="B4000" s="374">
        <v>21</v>
      </c>
      <c r="C4000" s="374" t="s">
        <v>1261</v>
      </c>
      <c r="D4000" s="375" t="str">
        <f t="shared" ref="D4000:D4051" si="880">CONCATENATE(A4000,B4000)</f>
        <v>Stonehill Estate21</v>
      </c>
      <c r="E4000" s="375" t="s">
        <v>5889</v>
      </c>
      <c r="F4000" s="375" t="s">
        <v>2664</v>
      </c>
      <c r="G4000" s="375" t="s">
        <v>5877</v>
      </c>
      <c r="H4000" s="375" t="s">
        <v>5878</v>
      </c>
      <c r="I4000" s="63" t="s">
        <v>5879</v>
      </c>
      <c r="J4000" s="47"/>
      <c r="K4000" s="46" t="s">
        <v>10735</v>
      </c>
      <c r="L4000" s="47"/>
      <c r="M4000" s="47"/>
      <c r="N4000" s="47"/>
      <c r="O4000" s="47"/>
      <c r="P4000" s="47"/>
      <c r="Q4000" s="47"/>
      <c r="R4000" s="47"/>
      <c r="S4000" s="47" t="s">
        <v>5880</v>
      </c>
      <c r="T4000" s="47"/>
      <c r="U4000" s="47" t="s">
        <v>5881</v>
      </c>
      <c r="V4000" s="47"/>
      <c r="W4000" s="47"/>
      <c r="X4000" s="47">
        <f t="shared" si="878"/>
        <v>3000</v>
      </c>
      <c r="Y4000" s="47"/>
      <c r="Z4000" s="47">
        <f t="shared" si="877"/>
        <v>4620</v>
      </c>
      <c r="AA4000" s="47"/>
      <c r="AB4000" s="47"/>
      <c r="AC4000" s="47"/>
      <c r="AD4000" s="47"/>
      <c r="AE4000" s="47"/>
      <c r="AF4000" s="47">
        <f t="shared" si="879"/>
        <v>1485</v>
      </c>
      <c r="AG4000" s="47"/>
      <c r="AH4000" s="47" t="str">
        <f>IFERROR(_xlfn.XLOOKUP(Table6[[#This Row],[Suburb]],Table5[Travel Surcharge],Table5[$$]),"")</f>
        <v/>
      </c>
      <c r="AI4000" s="47"/>
      <c r="AJ4000" s="47"/>
    </row>
    <row r="4001" spans="1:36">
      <c r="A4001" s="374" t="s">
        <v>5875</v>
      </c>
      <c r="B4001" s="374">
        <v>22</v>
      </c>
      <c r="C4001" s="374" t="s">
        <v>1261</v>
      </c>
      <c r="D4001" s="375" t="str">
        <f t="shared" si="880"/>
        <v>Stonehill Estate22</v>
      </c>
      <c r="E4001" s="375" t="s">
        <v>5889</v>
      </c>
      <c r="F4001" s="375" t="s">
        <v>2664</v>
      </c>
      <c r="G4001" s="375" t="s">
        <v>5877</v>
      </c>
      <c r="H4001" s="375" t="s">
        <v>5878</v>
      </c>
      <c r="I4001" s="63" t="s">
        <v>5879</v>
      </c>
      <c r="J4001" s="47"/>
      <c r="K4001" s="46" t="s">
        <v>10735</v>
      </c>
      <c r="L4001" s="47"/>
      <c r="M4001" s="47"/>
      <c r="N4001" s="47"/>
      <c r="O4001" s="47"/>
      <c r="P4001" s="47"/>
      <c r="Q4001" s="47"/>
      <c r="R4001" s="47"/>
      <c r="S4001" s="47" t="s">
        <v>5880</v>
      </c>
      <c r="T4001" s="47"/>
      <c r="U4001" s="47" t="s">
        <v>5881</v>
      </c>
      <c r="V4001" s="47"/>
      <c r="W4001" s="47"/>
      <c r="X4001" s="47">
        <f t="shared" si="878"/>
        <v>3000</v>
      </c>
      <c r="Y4001" s="47"/>
      <c r="Z4001" s="47">
        <f t="shared" si="877"/>
        <v>4620</v>
      </c>
      <c r="AA4001" s="47"/>
      <c r="AB4001" s="47"/>
      <c r="AC4001" s="47"/>
      <c r="AD4001" s="47"/>
      <c r="AE4001" s="47"/>
      <c r="AF4001" s="47">
        <f t="shared" si="879"/>
        <v>1485</v>
      </c>
      <c r="AG4001" s="47"/>
      <c r="AH4001" s="47" t="str">
        <f>IFERROR(_xlfn.XLOOKUP(Table6[[#This Row],[Suburb]],Table5[Travel Surcharge],Table5[$$]),"")</f>
        <v/>
      </c>
      <c r="AI4001" s="47"/>
      <c r="AJ4001" s="47"/>
    </row>
    <row r="4002" spans="1:36">
      <c r="A4002" s="374" t="s">
        <v>5875</v>
      </c>
      <c r="B4002" s="374">
        <v>26</v>
      </c>
      <c r="C4002" s="374" t="s">
        <v>1261</v>
      </c>
      <c r="D4002" s="375" t="str">
        <f t="shared" si="880"/>
        <v>Stonehill Estate26</v>
      </c>
      <c r="E4002" s="375" t="s">
        <v>5894</v>
      </c>
      <c r="F4002" s="375" t="s">
        <v>2664</v>
      </c>
      <c r="G4002" s="375" t="s">
        <v>5877</v>
      </c>
      <c r="H4002" s="375" t="s">
        <v>5878</v>
      </c>
      <c r="I4002" s="63" t="s">
        <v>5879</v>
      </c>
      <c r="J4002" s="47"/>
      <c r="K4002" s="46" t="s">
        <v>10735</v>
      </c>
      <c r="L4002" s="47"/>
      <c r="M4002" s="47"/>
      <c r="N4002" s="47"/>
      <c r="O4002" s="47"/>
      <c r="P4002" s="47"/>
      <c r="Q4002" s="47"/>
      <c r="R4002" s="47"/>
      <c r="S4002" s="47" t="s">
        <v>5880</v>
      </c>
      <c r="T4002" s="47"/>
      <c r="U4002" s="47" t="s">
        <v>5881</v>
      </c>
      <c r="V4002" s="47"/>
      <c r="W4002" s="47"/>
      <c r="X4002" s="47">
        <f t="shared" si="878"/>
        <v>3000</v>
      </c>
      <c r="Y4002" s="47"/>
      <c r="Z4002" s="47">
        <f t="shared" si="877"/>
        <v>4620</v>
      </c>
      <c r="AA4002" s="47"/>
      <c r="AB4002" s="47"/>
      <c r="AC4002" s="47"/>
      <c r="AD4002" s="47"/>
      <c r="AE4002" s="47"/>
      <c r="AF4002" s="47">
        <f t="shared" si="879"/>
        <v>1485</v>
      </c>
      <c r="AG4002" s="47"/>
      <c r="AH4002" s="47" t="str">
        <f>IFERROR(_xlfn.XLOOKUP(Table6[[#This Row],[Suburb]],Table5[Travel Surcharge],Table5[$$]),"")</f>
        <v/>
      </c>
      <c r="AI4002" s="47"/>
      <c r="AJ4002" s="47"/>
    </row>
    <row r="4003" spans="1:36">
      <c r="A4003" s="374" t="s">
        <v>5875</v>
      </c>
      <c r="B4003" s="374" t="s">
        <v>4084</v>
      </c>
      <c r="C4003" s="374" t="s">
        <v>1261</v>
      </c>
      <c r="D4003" s="375" t="str">
        <f t="shared" si="880"/>
        <v>Stonehill Estate23A</v>
      </c>
      <c r="E4003" s="375" t="s">
        <v>5890</v>
      </c>
      <c r="F4003" s="375" t="s">
        <v>2664</v>
      </c>
      <c r="G4003" s="375" t="s">
        <v>5877</v>
      </c>
      <c r="H4003" s="375" t="s">
        <v>5878</v>
      </c>
      <c r="I4003" s="63" t="s">
        <v>5879</v>
      </c>
      <c r="J4003" s="47"/>
      <c r="K4003" s="46" t="s">
        <v>10735</v>
      </c>
      <c r="L4003" s="47"/>
      <c r="M4003" s="47"/>
      <c r="N4003" s="47"/>
      <c r="O4003" s="47"/>
      <c r="P4003" s="47"/>
      <c r="Q4003" s="47"/>
      <c r="R4003" s="47"/>
      <c r="S4003" s="47" t="s">
        <v>5880</v>
      </c>
      <c r="T4003" s="47"/>
      <c r="U4003" s="47" t="s">
        <v>5881</v>
      </c>
      <c r="V4003" s="47"/>
      <c r="W4003" s="47"/>
      <c r="X4003" s="47">
        <f t="shared" si="878"/>
        <v>3000</v>
      </c>
      <c r="Y4003" s="47"/>
      <c r="Z4003" s="47">
        <f t="shared" si="877"/>
        <v>4620</v>
      </c>
      <c r="AA4003" s="47"/>
      <c r="AB4003" s="47"/>
      <c r="AC4003" s="47"/>
      <c r="AD4003" s="47"/>
      <c r="AE4003" s="47"/>
      <c r="AF4003" s="47">
        <f t="shared" si="879"/>
        <v>1485</v>
      </c>
      <c r="AG4003" s="47"/>
      <c r="AH4003" s="47" t="str">
        <f>IFERROR(_xlfn.XLOOKUP(Table6[[#This Row],[Suburb]],Table5[Travel Surcharge],Table5[$$]),"")</f>
        <v/>
      </c>
      <c r="AI4003" s="47"/>
      <c r="AJ4003" s="47"/>
    </row>
    <row r="4004" spans="1:36">
      <c r="A4004" s="374" t="s">
        <v>5875</v>
      </c>
      <c r="B4004" s="374" t="s">
        <v>5891</v>
      </c>
      <c r="C4004" s="374" t="s">
        <v>1261</v>
      </c>
      <c r="D4004" s="375" t="str">
        <f t="shared" si="880"/>
        <v>Stonehill Estate24A</v>
      </c>
      <c r="E4004" s="375" t="s">
        <v>5892</v>
      </c>
      <c r="F4004" s="375" t="s">
        <v>2664</v>
      </c>
      <c r="G4004" s="375" t="s">
        <v>5877</v>
      </c>
      <c r="H4004" s="375" t="s">
        <v>5878</v>
      </c>
      <c r="I4004" s="63" t="s">
        <v>5879</v>
      </c>
      <c r="J4004" s="47"/>
      <c r="K4004" s="46" t="s">
        <v>10735</v>
      </c>
      <c r="L4004" s="47"/>
      <c r="M4004" s="47"/>
      <c r="N4004" s="47"/>
      <c r="O4004" s="47"/>
      <c r="P4004" s="47"/>
      <c r="Q4004" s="47"/>
      <c r="R4004" s="47"/>
      <c r="S4004" s="47" t="s">
        <v>5880</v>
      </c>
      <c r="T4004" s="47"/>
      <c r="U4004" s="47" t="s">
        <v>5881</v>
      </c>
      <c r="V4004" s="47"/>
      <c r="W4004" s="47"/>
      <c r="X4004" s="47">
        <f t="shared" si="878"/>
        <v>3000</v>
      </c>
      <c r="Y4004" s="47"/>
      <c r="Z4004" s="47">
        <f t="shared" si="877"/>
        <v>4620</v>
      </c>
      <c r="AA4004" s="47"/>
      <c r="AB4004" s="47"/>
      <c r="AC4004" s="47"/>
      <c r="AD4004" s="47"/>
      <c r="AE4004" s="47"/>
      <c r="AF4004" s="47">
        <f t="shared" si="879"/>
        <v>1485</v>
      </c>
      <c r="AG4004" s="47"/>
      <c r="AH4004" s="47" t="str">
        <f>IFERROR(_xlfn.XLOOKUP(Table6[[#This Row],[Suburb]],Table5[Travel Surcharge],Table5[$$]),"")</f>
        <v/>
      </c>
      <c r="AI4004" s="47"/>
      <c r="AJ4004" s="47"/>
    </row>
    <row r="4005" spans="1:36">
      <c r="A4005" s="374" t="s">
        <v>5875</v>
      </c>
      <c r="B4005" s="374" t="s">
        <v>1657</v>
      </c>
      <c r="C4005" s="374" t="s">
        <v>1261</v>
      </c>
      <c r="D4005" s="375" t="str">
        <f t="shared" si="880"/>
        <v>Stonehill Estate24B</v>
      </c>
      <c r="E4005" s="375" t="s">
        <v>5893</v>
      </c>
      <c r="F4005" s="375" t="s">
        <v>2664</v>
      </c>
      <c r="G4005" s="375" t="s">
        <v>5877</v>
      </c>
      <c r="H4005" s="375" t="s">
        <v>5878</v>
      </c>
      <c r="I4005" s="63" t="s">
        <v>5879</v>
      </c>
      <c r="J4005" s="47"/>
      <c r="K4005" s="46" t="s">
        <v>10735</v>
      </c>
      <c r="L4005" s="47"/>
      <c r="M4005" s="47"/>
      <c r="N4005" s="47"/>
      <c r="O4005" s="47"/>
      <c r="P4005" s="47"/>
      <c r="Q4005" s="47"/>
      <c r="R4005" s="47"/>
      <c r="S4005" s="47" t="s">
        <v>5880</v>
      </c>
      <c r="T4005" s="47"/>
      <c r="U4005" s="47" t="s">
        <v>5881</v>
      </c>
      <c r="V4005" s="47"/>
      <c r="W4005" s="47"/>
      <c r="X4005" s="47">
        <f t="shared" si="878"/>
        <v>3000</v>
      </c>
      <c r="Y4005" s="47"/>
      <c r="Z4005" s="47">
        <f t="shared" si="877"/>
        <v>4620</v>
      </c>
      <c r="AA4005" s="47"/>
      <c r="AB4005" s="47"/>
      <c r="AC4005" s="47"/>
      <c r="AD4005" s="47"/>
      <c r="AE4005" s="47"/>
      <c r="AF4005" s="47">
        <f t="shared" si="879"/>
        <v>1485</v>
      </c>
      <c r="AG4005" s="47"/>
      <c r="AH4005" s="47" t="str">
        <f>IFERROR(_xlfn.XLOOKUP(Table6[[#This Row],[Suburb]],Table5[Travel Surcharge],Table5[$$]),"")</f>
        <v/>
      </c>
      <c r="AI4005" s="47"/>
      <c r="AJ4005" s="47"/>
    </row>
    <row r="4006" spans="1:36">
      <c r="A4006" s="374" t="s">
        <v>5895</v>
      </c>
      <c r="B4006" s="374">
        <v>1</v>
      </c>
      <c r="C4006" s="374" t="s">
        <v>5896</v>
      </c>
      <c r="D4006" s="375" t="str">
        <f t="shared" si="880"/>
        <v>Stonybrook Estate1</v>
      </c>
      <c r="E4006" s="375" t="s">
        <v>5897</v>
      </c>
      <c r="F4006" s="375" t="s">
        <v>5285</v>
      </c>
      <c r="G4006" s="375" t="s">
        <v>5898</v>
      </c>
      <c r="H4006" s="375" t="s">
        <v>5899</v>
      </c>
      <c r="I4006" s="63" t="s">
        <v>5900</v>
      </c>
      <c r="J4006" s="47"/>
      <c r="K4006" s="46" t="s">
        <v>7938</v>
      </c>
      <c r="L4006" s="47" t="s">
        <v>3890</v>
      </c>
      <c r="M4006" s="47"/>
      <c r="N4006" s="47"/>
      <c r="O4006" s="47"/>
      <c r="P4006" s="47"/>
      <c r="Q4006" s="47"/>
      <c r="R4006" s="47"/>
      <c r="S4006" s="47"/>
      <c r="T4006" s="47">
        <f>T$2</f>
        <v>780</v>
      </c>
      <c r="U4006" s="47"/>
      <c r="V4006" s="47"/>
      <c r="W4006" s="47"/>
      <c r="X4006" s="47">
        <f t="shared" si="878"/>
        <v>3000</v>
      </c>
      <c r="Y4006" s="47"/>
      <c r="Z4006" s="47">
        <f t="shared" si="877"/>
        <v>4620</v>
      </c>
      <c r="AA4006" s="47">
        <f>AA$7</f>
        <v>1400</v>
      </c>
      <c r="AB4006" s="47">
        <f>AB$7</f>
        <v>2800</v>
      </c>
      <c r="AC4006" s="47"/>
      <c r="AD4006" s="47"/>
      <c r="AE4006" s="47"/>
      <c r="AF4006" s="47"/>
      <c r="AG4006" s="47"/>
      <c r="AH4006" s="47" t="str">
        <f>IFERROR(_xlfn.XLOOKUP(Table6[[#This Row],[Suburb]],Table5[Travel Surcharge],Table5[$$]),"")</f>
        <v/>
      </c>
      <c r="AI4006" s="47"/>
      <c r="AJ4006" s="47"/>
    </row>
    <row r="4007" spans="1:36">
      <c r="A4007" s="374" t="s">
        <v>5895</v>
      </c>
      <c r="B4007" s="374">
        <v>2</v>
      </c>
      <c r="C4007" s="374" t="s">
        <v>5896</v>
      </c>
      <c r="D4007" s="375" t="str">
        <f t="shared" si="880"/>
        <v>Stonybrook Estate2</v>
      </c>
      <c r="E4007" s="375" t="s">
        <v>5901</v>
      </c>
      <c r="F4007" s="375" t="s">
        <v>5285</v>
      </c>
      <c r="G4007" s="375" t="s">
        <v>5898</v>
      </c>
      <c r="H4007" s="375" t="s">
        <v>5899</v>
      </c>
      <c r="I4007" s="63" t="s">
        <v>5900</v>
      </c>
      <c r="J4007" s="47"/>
      <c r="K4007" s="46" t="s">
        <v>7938</v>
      </c>
      <c r="L4007" s="47" t="s">
        <v>3890</v>
      </c>
      <c r="M4007" s="47"/>
      <c r="N4007" s="47"/>
      <c r="O4007" s="47"/>
      <c r="P4007" s="47"/>
      <c r="Q4007" s="47"/>
      <c r="R4007" s="47"/>
      <c r="S4007" s="47"/>
      <c r="T4007" s="47">
        <f>T$2</f>
        <v>780</v>
      </c>
      <c r="U4007" s="47"/>
      <c r="V4007" s="47"/>
      <c r="W4007" s="47"/>
      <c r="X4007" s="47">
        <f t="shared" si="878"/>
        <v>3000</v>
      </c>
      <c r="Y4007" s="47"/>
      <c r="Z4007" s="47">
        <f t="shared" si="877"/>
        <v>4620</v>
      </c>
      <c r="AA4007" s="47">
        <f>AA$7</f>
        <v>1400</v>
      </c>
      <c r="AB4007" s="47">
        <f>AB$7</f>
        <v>2800</v>
      </c>
      <c r="AC4007" s="47"/>
      <c r="AD4007" s="47"/>
      <c r="AE4007" s="47"/>
      <c r="AF4007" s="47"/>
      <c r="AG4007" s="47"/>
      <c r="AH4007" s="47" t="str">
        <f>IFERROR(_xlfn.XLOOKUP(Table6[[#This Row],[Suburb]],Table5[Travel Surcharge],Table5[$$]),"")</f>
        <v/>
      </c>
      <c r="AI4007" s="47"/>
      <c r="AJ4007" s="47"/>
    </row>
    <row r="4008" spans="1:36">
      <c r="A4008" s="374" t="s">
        <v>7370</v>
      </c>
      <c r="B4008" s="374">
        <v>1</v>
      </c>
      <c r="C4008" s="374" t="s">
        <v>7371</v>
      </c>
      <c r="D4008" s="375" t="str">
        <f t="shared" si="880"/>
        <v>Stotts Hill1</v>
      </c>
      <c r="E4008" s="375" t="s">
        <v>7391</v>
      </c>
      <c r="F4008" s="375"/>
      <c r="G4008" s="375"/>
      <c r="H4008" s="375"/>
      <c r="I4008" s="63"/>
      <c r="J4008" s="47"/>
      <c r="K4008" s="46" t="s">
        <v>10735</v>
      </c>
      <c r="L4008" s="47" t="s">
        <v>5911</v>
      </c>
      <c r="M4008" s="47" t="s">
        <v>1396</v>
      </c>
      <c r="N4008" s="47" t="s">
        <v>7401</v>
      </c>
      <c r="O4008" s="47" t="s">
        <v>7402</v>
      </c>
      <c r="P4008" s="47">
        <f>P$7</f>
        <v>8500</v>
      </c>
      <c r="Q4008" s="47"/>
      <c r="R4008" s="47">
        <f>R$2</f>
        <v>540</v>
      </c>
      <c r="S4008" s="47"/>
      <c r="T4008" s="47">
        <f>T$2</f>
        <v>780</v>
      </c>
      <c r="U4008" s="47" t="s">
        <v>7403</v>
      </c>
      <c r="V4008" s="47" t="s">
        <v>7404</v>
      </c>
      <c r="W4008" s="47"/>
      <c r="X4008" s="47" t="s">
        <v>7405</v>
      </c>
      <c r="Y4008" s="47"/>
      <c r="Z4008" s="47">
        <f t="shared" si="877"/>
        <v>4620</v>
      </c>
      <c r="AA4008" s="47"/>
      <c r="AB4008" s="47"/>
      <c r="AC4008" s="47"/>
      <c r="AD4008" s="47" t="s">
        <v>7406</v>
      </c>
      <c r="AE4008" s="47"/>
      <c r="AF4008" s="47"/>
      <c r="AG4008" s="47"/>
      <c r="AH4008" s="47" t="str">
        <f>IFERROR(_xlfn.XLOOKUP(Table6[[#This Row],[Suburb]],Table5[Travel Surcharge],Table5[$$]),"")</f>
        <v/>
      </c>
      <c r="AI4008" s="47"/>
      <c r="AJ4008" s="47"/>
    </row>
    <row r="4009" spans="1:36">
      <c r="A4009" s="374" t="s">
        <v>9950</v>
      </c>
      <c r="B4009" s="374">
        <v>7</v>
      </c>
      <c r="C4009" s="374" t="s">
        <v>280</v>
      </c>
      <c r="D4009" s="375" t="str">
        <f>CONCATENATE(A4009,B4009)</f>
        <v>Stretton Estate7</v>
      </c>
      <c r="E4009" s="375" t="s">
        <v>9951</v>
      </c>
      <c r="F4009" s="375"/>
      <c r="G4009" s="375"/>
      <c r="H4009" s="375"/>
      <c r="I4009" s="63"/>
      <c r="J4009" s="47">
        <v>3740</v>
      </c>
      <c r="K4009" s="46" t="s">
        <v>10735</v>
      </c>
      <c r="L4009" s="47" t="s">
        <v>7395</v>
      </c>
      <c r="M4009" s="47"/>
      <c r="N4009" s="47"/>
      <c r="O4009" s="47">
        <f>O$7</f>
        <v>4950</v>
      </c>
      <c r="P4009" s="47"/>
      <c r="Q4009" s="47"/>
      <c r="R4009" s="47"/>
      <c r="S4009" s="47">
        <f>S$2</f>
        <v>590</v>
      </c>
      <c r="T4009" s="47">
        <v>1420</v>
      </c>
      <c r="U4009" s="47"/>
      <c r="V4009" s="47"/>
      <c r="W4009" s="47"/>
      <c r="X4009" s="47" t="s">
        <v>9957</v>
      </c>
      <c r="Y4009" s="47"/>
      <c r="Z4009" s="47">
        <f>Z$7</f>
        <v>4620</v>
      </c>
      <c r="AA4009" s="47"/>
      <c r="AB4009" s="47"/>
      <c r="AC4009" s="47"/>
      <c r="AD4009" s="47" t="s">
        <v>9956</v>
      </c>
      <c r="AE4009" s="47" t="s">
        <v>9955</v>
      </c>
      <c r="AF4009" s="47" t="s">
        <v>9954</v>
      </c>
      <c r="AG4009" s="47" t="s">
        <v>9953</v>
      </c>
      <c r="AH4009" s="47">
        <f>IFERROR(_xlfn.XLOOKUP(Table6[[#This Row],[Suburb]],Table5[Travel Surcharge],Table5[$$]),"")</f>
        <v>1500</v>
      </c>
      <c r="AI4009" s="47" t="s">
        <v>9952</v>
      </c>
      <c r="AJ4009" s="47"/>
    </row>
    <row r="4010" spans="1:36">
      <c r="A4010" s="374" t="s">
        <v>9950</v>
      </c>
      <c r="B4010" s="374">
        <v>8</v>
      </c>
      <c r="C4010" s="374" t="s">
        <v>280</v>
      </c>
      <c r="D4010" s="375" t="str">
        <f>CONCATENATE(A4010,B4010)</f>
        <v>Stretton Estate8</v>
      </c>
      <c r="E4010" s="375" t="s">
        <v>9958</v>
      </c>
      <c r="F4010" s="375"/>
      <c r="G4010" s="375"/>
      <c r="H4010" s="375"/>
      <c r="I4010" s="63"/>
      <c r="J4010" s="47">
        <v>3740</v>
      </c>
      <c r="K4010" s="46" t="s">
        <v>10735</v>
      </c>
      <c r="L4010" s="47" t="s">
        <v>7395</v>
      </c>
      <c r="M4010" s="47"/>
      <c r="N4010" s="47"/>
      <c r="O4010" s="47">
        <v>4950</v>
      </c>
      <c r="P4010" s="47"/>
      <c r="Q4010" s="47"/>
      <c r="R4010" s="47"/>
      <c r="S4010" s="47">
        <v>590</v>
      </c>
      <c r="T4010" s="47">
        <v>1420</v>
      </c>
      <c r="U4010" s="47"/>
      <c r="V4010" s="47"/>
      <c r="W4010" s="47"/>
      <c r="X4010" s="47" t="s">
        <v>9957</v>
      </c>
      <c r="Y4010" s="47"/>
      <c r="Z4010" s="47">
        <v>4620</v>
      </c>
      <c r="AA4010" s="47"/>
      <c r="AB4010" s="47"/>
      <c r="AC4010" s="47"/>
      <c r="AD4010" s="47" t="s">
        <v>9956</v>
      </c>
      <c r="AE4010" s="47" t="s">
        <v>9955</v>
      </c>
      <c r="AF4010" s="47" t="s">
        <v>9954</v>
      </c>
      <c r="AG4010" s="47" t="s">
        <v>9953</v>
      </c>
      <c r="AH4010" s="47">
        <f>IFERROR(_xlfn.XLOOKUP(Table6[[#This Row],[Suburb]],Table5[Travel Surcharge],Table5[$$]),"")</f>
        <v>1500</v>
      </c>
      <c r="AI4010" s="47" t="s">
        <v>9952</v>
      </c>
      <c r="AJ4010" s="47"/>
    </row>
    <row r="4011" spans="1:36">
      <c r="A4011" s="374" t="s">
        <v>5905</v>
      </c>
      <c r="B4011" s="374">
        <v>5</v>
      </c>
      <c r="C4011" s="374" t="s">
        <v>290</v>
      </c>
      <c r="D4011" s="375" t="str">
        <f t="shared" si="880"/>
        <v>Summerfield5</v>
      </c>
      <c r="E4011" s="375" t="s">
        <v>5907</v>
      </c>
      <c r="F4011" s="375"/>
      <c r="G4011" s="375"/>
      <c r="H4011" s="375"/>
      <c r="I4011" s="63"/>
      <c r="J4011" s="47"/>
      <c r="K4011" s="46" t="s">
        <v>10735</v>
      </c>
      <c r="L4011" s="47"/>
      <c r="M4011" s="47"/>
      <c r="N4011" s="47"/>
      <c r="O4011" s="47"/>
      <c r="P4011" s="47"/>
      <c r="Q4011" s="47">
        <f>Q$2</f>
        <v>0</v>
      </c>
      <c r="R4011" s="47"/>
      <c r="S4011" s="47"/>
      <c r="T4011" s="47"/>
      <c r="U4011" s="47"/>
      <c r="V4011" s="47"/>
      <c r="W4011" s="47"/>
      <c r="X4011" s="47"/>
      <c r="Y4011" s="47"/>
      <c r="Z4011" s="47">
        <f t="shared" si="877"/>
        <v>4620</v>
      </c>
      <c r="AA4011" s="47"/>
      <c r="AB4011" s="47"/>
      <c r="AC4011" s="47"/>
      <c r="AD4011" s="47"/>
      <c r="AE4011" s="47"/>
      <c r="AF4011" s="47"/>
      <c r="AG4011" s="47"/>
      <c r="AH4011" s="47">
        <f>IFERROR(_xlfn.XLOOKUP(Table6[[#This Row],[Suburb]],Table5[Travel Surcharge],Table5[$$]),"")</f>
        <v>7000</v>
      </c>
      <c r="AI4011" s="47"/>
      <c r="AJ4011" s="47"/>
    </row>
    <row r="4012" spans="1:36">
      <c r="A4012" s="374" t="s">
        <v>5905</v>
      </c>
      <c r="B4012" s="374">
        <v>6</v>
      </c>
      <c r="C4012" s="374" t="s">
        <v>290</v>
      </c>
      <c r="D4012" s="375" t="str">
        <f t="shared" si="880"/>
        <v>Summerfield6</v>
      </c>
      <c r="E4012" s="375" t="s">
        <v>5908</v>
      </c>
      <c r="F4012" s="375"/>
      <c r="G4012" s="375"/>
      <c r="H4012" s="375"/>
      <c r="I4012" s="63"/>
      <c r="J4012" s="47"/>
      <c r="K4012" s="46" t="s">
        <v>10735</v>
      </c>
      <c r="L4012" s="47"/>
      <c r="M4012" s="47"/>
      <c r="N4012" s="47"/>
      <c r="O4012" s="47"/>
      <c r="P4012" s="47"/>
      <c r="Q4012" s="47">
        <f>Q$2</f>
        <v>0</v>
      </c>
      <c r="R4012" s="47"/>
      <c r="S4012" s="47"/>
      <c r="T4012" s="47"/>
      <c r="U4012" s="47"/>
      <c r="V4012" s="47"/>
      <c r="W4012" s="47"/>
      <c r="X4012" s="47"/>
      <c r="Y4012" s="47"/>
      <c r="Z4012" s="47">
        <f t="shared" si="877"/>
        <v>4620</v>
      </c>
      <c r="AA4012" s="47"/>
      <c r="AB4012" s="47"/>
      <c r="AC4012" s="47"/>
      <c r="AD4012" s="47"/>
      <c r="AE4012" s="47"/>
      <c r="AF4012" s="47"/>
      <c r="AG4012" s="47"/>
      <c r="AH4012" s="47">
        <f>IFERROR(_xlfn.XLOOKUP(Table6[[#This Row],[Suburb]],Table5[Travel Surcharge],Table5[$$]),"")</f>
        <v>7000</v>
      </c>
      <c r="AI4012" s="47"/>
      <c r="AJ4012" s="47"/>
    </row>
    <row r="4013" spans="1:36">
      <c r="A4013" s="374" t="s">
        <v>5905</v>
      </c>
      <c r="B4013" s="374" t="s">
        <v>604</v>
      </c>
      <c r="C4013" s="374" t="s">
        <v>290</v>
      </c>
      <c r="D4013" s="375" t="str">
        <f t="shared" si="880"/>
        <v>Summerfield2B</v>
      </c>
      <c r="E4013" s="375" t="s">
        <v>5906</v>
      </c>
      <c r="F4013" s="375"/>
      <c r="G4013" s="375"/>
      <c r="H4013" s="375"/>
      <c r="I4013" s="63"/>
      <c r="J4013" s="47"/>
      <c r="K4013" s="46" t="s">
        <v>10735</v>
      </c>
      <c r="L4013" s="47"/>
      <c r="M4013" s="47"/>
      <c r="N4013" s="47"/>
      <c r="O4013" s="47"/>
      <c r="P4013" s="47"/>
      <c r="Q4013" s="47">
        <f>Q$2</f>
        <v>0</v>
      </c>
      <c r="R4013" s="47"/>
      <c r="S4013" s="47"/>
      <c r="T4013" s="47"/>
      <c r="U4013" s="47"/>
      <c r="V4013" s="47"/>
      <c r="W4013" s="47"/>
      <c r="X4013" s="47"/>
      <c r="Y4013" s="47"/>
      <c r="Z4013" s="47">
        <f t="shared" si="877"/>
        <v>4620</v>
      </c>
      <c r="AA4013" s="47"/>
      <c r="AB4013" s="47"/>
      <c r="AC4013" s="47"/>
      <c r="AD4013" s="47"/>
      <c r="AE4013" s="47"/>
      <c r="AF4013" s="47"/>
      <c r="AG4013" s="47"/>
      <c r="AH4013" s="47">
        <f>IFERROR(_xlfn.XLOOKUP(Table6[[#This Row],[Suburb]],Table5[Travel Surcharge],Table5[$$]),"")</f>
        <v>7000</v>
      </c>
      <c r="AI4013" s="47"/>
      <c r="AJ4013" s="47"/>
    </row>
    <row r="4014" spans="1:36">
      <c r="A4014" s="374" t="s">
        <v>5902</v>
      </c>
      <c r="B4014" s="374">
        <v>5</v>
      </c>
      <c r="C4014" s="374" t="s">
        <v>1261</v>
      </c>
      <c r="D4014" s="375" t="str">
        <f t="shared" si="880"/>
        <v>Summerfields North5</v>
      </c>
      <c r="E4014" s="375" t="s">
        <v>5904</v>
      </c>
      <c r="F4014" s="375"/>
      <c r="G4014" s="375"/>
      <c r="H4014" s="375"/>
      <c r="I4014" s="63"/>
      <c r="J4014" s="47"/>
      <c r="K4014" s="46" t="s">
        <v>10735</v>
      </c>
      <c r="L4014" s="47"/>
      <c r="M4014" s="47"/>
      <c r="N4014" s="47"/>
      <c r="O4014" s="47"/>
      <c r="P4014" s="47"/>
      <c r="Q4014" s="47">
        <f>Q$2</f>
        <v>0</v>
      </c>
      <c r="R4014" s="47"/>
      <c r="S4014" s="47"/>
      <c r="T4014" s="47"/>
      <c r="U4014" s="47"/>
      <c r="V4014" s="47"/>
      <c r="W4014" s="47"/>
      <c r="X4014" s="47"/>
      <c r="Y4014" s="47"/>
      <c r="Z4014" s="47">
        <f t="shared" si="877"/>
        <v>4620</v>
      </c>
      <c r="AA4014" s="47"/>
      <c r="AB4014" s="47"/>
      <c r="AC4014" s="47"/>
      <c r="AD4014" s="47"/>
      <c r="AE4014" s="47"/>
      <c r="AF4014" s="47"/>
      <c r="AG4014" s="47"/>
      <c r="AH4014" s="47" t="str">
        <f>IFERROR(_xlfn.XLOOKUP(Table6[[#This Row],[Suburb]],Table5[Travel Surcharge],Table5[$$]),"")</f>
        <v/>
      </c>
      <c r="AI4014" s="47"/>
      <c r="AJ4014" s="47"/>
    </row>
    <row r="4015" spans="1:36">
      <c r="A4015" s="374" t="s">
        <v>5902</v>
      </c>
      <c r="B4015" s="374" t="s">
        <v>501</v>
      </c>
      <c r="C4015" s="374" t="s">
        <v>1261</v>
      </c>
      <c r="D4015" s="375" t="str">
        <f t="shared" si="880"/>
        <v>Summerfields North1A</v>
      </c>
      <c r="E4015" s="375" t="s">
        <v>5903</v>
      </c>
      <c r="F4015" s="375"/>
      <c r="G4015" s="375"/>
      <c r="H4015" s="375"/>
      <c r="I4015" s="63"/>
      <c r="J4015" s="47"/>
      <c r="K4015" s="46" t="s">
        <v>10735</v>
      </c>
      <c r="L4015" s="47"/>
      <c r="M4015" s="47"/>
      <c r="N4015" s="47"/>
      <c r="O4015" s="47"/>
      <c r="P4015" s="47"/>
      <c r="Q4015" s="47">
        <f>Q$2</f>
        <v>0</v>
      </c>
      <c r="R4015" s="47"/>
      <c r="S4015" s="47"/>
      <c r="T4015" s="47"/>
      <c r="U4015" s="47"/>
      <c r="V4015" s="47"/>
      <c r="W4015" s="47"/>
      <c r="X4015" s="47"/>
      <c r="Y4015" s="47"/>
      <c r="Z4015" s="47">
        <f t="shared" si="877"/>
        <v>4620</v>
      </c>
      <c r="AA4015" s="47"/>
      <c r="AB4015" s="47"/>
      <c r="AC4015" s="47"/>
      <c r="AD4015" s="47"/>
      <c r="AE4015" s="47"/>
      <c r="AF4015" s="47"/>
      <c r="AG4015" s="47"/>
      <c r="AH4015" s="47" t="str">
        <f>IFERROR(_xlfn.XLOOKUP(Table6[[#This Row],[Suburb]],Table5[Travel Surcharge],Table5[$$]),"")</f>
        <v/>
      </c>
      <c r="AI4015" s="47"/>
      <c r="AJ4015" s="47"/>
    </row>
    <row r="4016" spans="1:36">
      <c r="A4016" s="374" t="s">
        <v>5922</v>
      </c>
      <c r="B4016" s="374">
        <v>1</v>
      </c>
      <c r="C4016" s="374" t="s">
        <v>455</v>
      </c>
      <c r="D4016" s="375" t="str">
        <f t="shared" si="880"/>
        <v>SummerHill Estate1</v>
      </c>
      <c r="E4016" s="375" t="s">
        <v>5923</v>
      </c>
      <c r="F4016" s="375"/>
      <c r="G4016" s="375"/>
      <c r="H4016" s="375"/>
      <c r="I4016" s="63"/>
      <c r="J4016" s="47">
        <f t="shared" ref="J4016:J4021" si="881">J$7</f>
        <v>3740</v>
      </c>
      <c r="K4016" s="46" t="s">
        <v>10735</v>
      </c>
      <c r="L4016" s="47"/>
      <c r="M4016" s="47"/>
      <c r="N4016" s="47"/>
      <c r="O4016" s="47"/>
      <c r="P4016" s="47"/>
      <c r="Q4016" s="47" t="s">
        <v>5924</v>
      </c>
      <c r="R4016" s="47"/>
      <c r="S4016" s="47"/>
      <c r="T4016" s="47" t="s">
        <v>449</v>
      </c>
      <c r="U4016" s="47"/>
      <c r="V4016" s="47"/>
      <c r="W4016" s="47"/>
      <c r="X4016" s="47"/>
      <c r="Y4016" s="47"/>
      <c r="Z4016" s="47">
        <f t="shared" si="877"/>
        <v>4620</v>
      </c>
      <c r="AA4016" s="47"/>
      <c r="AB4016" s="47"/>
      <c r="AC4016" s="47"/>
      <c r="AD4016" s="47"/>
      <c r="AE4016" s="47"/>
      <c r="AF4016" s="47">
        <f t="shared" ref="AF4016:AF4021" si="882">AF$7</f>
        <v>1485</v>
      </c>
      <c r="AG4016" s="47" t="s">
        <v>464</v>
      </c>
      <c r="AH4016" s="47" t="str">
        <f>IFERROR(_xlfn.XLOOKUP(Table6[[#This Row],[Suburb]],Table5[Travel Surcharge],Table5[$$]),"")</f>
        <v/>
      </c>
      <c r="AI4016" s="47"/>
      <c r="AJ4016" s="47"/>
    </row>
    <row r="4017" spans="1:36">
      <c r="A4017" s="374" t="s">
        <v>5909</v>
      </c>
      <c r="B4017" s="374">
        <v>2</v>
      </c>
      <c r="C4017" s="374" t="s">
        <v>385</v>
      </c>
      <c r="D4017" s="375" t="str">
        <f t="shared" si="880"/>
        <v>Summerland2</v>
      </c>
      <c r="E4017" s="375" t="s">
        <v>5910</v>
      </c>
      <c r="F4017" s="375"/>
      <c r="G4017" s="375"/>
      <c r="H4017" s="375"/>
      <c r="I4017" s="63"/>
      <c r="J4017" s="47">
        <f t="shared" si="881"/>
        <v>3740</v>
      </c>
      <c r="K4017" s="46" t="s">
        <v>10735</v>
      </c>
      <c r="L4017" s="47" t="s">
        <v>5911</v>
      </c>
      <c r="M4017" s="47"/>
      <c r="N4017" s="47" t="s">
        <v>5912</v>
      </c>
      <c r="O4017" s="47" t="s">
        <v>5913</v>
      </c>
      <c r="P4017" s="47" t="s">
        <v>5914</v>
      </c>
      <c r="Q4017" s="47"/>
      <c r="R4017" s="47"/>
      <c r="S4017" s="47" t="s">
        <v>5915</v>
      </c>
      <c r="T4017" s="47">
        <f t="shared" ref="T4017:T4024" si="883">T$2</f>
        <v>780</v>
      </c>
      <c r="U4017" s="47"/>
      <c r="V4017" s="47"/>
      <c r="W4017" s="47" t="s">
        <v>5916</v>
      </c>
      <c r="X4017" s="47"/>
      <c r="Y4017" s="47"/>
      <c r="Z4017" s="47">
        <f t="shared" si="877"/>
        <v>4620</v>
      </c>
      <c r="AA4017" s="47">
        <f>AA$7</f>
        <v>1400</v>
      </c>
      <c r="AB4017" s="47" t="s">
        <v>5917</v>
      </c>
      <c r="AC4017" s="47"/>
      <c r="AD4017" s="47" t="s">
        <v>1</v>
      </c>
      <c r="AE4017" s="47"/>
      <c r="AF4017" s="47">
        <f t="shared" si="882"/>
        <v>1485</v>
      </c>
      <c r="AG4017" s="47" t="s">
        <v>5918</v>
      </c>
      <c r="AH4017" s="47" t="str">
        <f>IFERROR(_xlfn.XLOOKUP(Table6[[#This Row],[Suburb]],Table5[Travel Surcharge],Table5[$$]),"")</f>
        <v/>
      </c>
      <c r="AI4017" s="47" t="s">
        <v>5919</v>
      </c>
      <c r="AJ4017" s="47"/>
    </row>
    <row r="4018" spans="1:36">
      <c r="A4018" s="374" t="s">
        <v>5909</v>
      </c>
      <c r="B4018" s="374">
        <v>3</v>
      </c>
      <c r="C4018" s="374" t="s">
        <v>385</v>
      </c>
      <c r="D4018" s="375" t="str">
        <f t="shared" si="880"/>
        <v>Summerland3</v>
      </c>
      <c r="E4018" s="375" t="s">
        <v>5921</v>
      </c>
      <c r="F4018" s="375"/>
      <c r="G4018" s="375"/>
      <c r="H4018" s="375"/>
      <c r="I4018" s="63"/>
      <c r="J4018" s="47">
        <f t="shared" si="881"/>
        <v>3740</v>
      </c>
      <c r="K4018" s="46" t="s">
        <v>10735</v>
      </c>
      <c r="L4018" s="47" t="s">
        <v>5911</v>
      </c>
      <c r="M4018" s="47"/>
      <c r="N4018" s="47" t="s">
        <v>5912</v>
      </c>
      <c r="O4018" s="47" t="s">
        <v>5913</v>
      </c>
      <c r="P4018" s="47" t="s">
        <v>5914</v>
      </c>
      <c r="Q4018" s="47"/>
      <c r="R4018" s="47"/>
      <c r="S4018" s="47" t="s">
        <v>5915</v>
      </c>
      <c r="T4018" s="47">
        <f t="shared" si="883"/>
        <v>780</v>
      </c>
      <c r="U4018" s="47"/>
      <c r="V4018" s="47"/>
      <c r="W4018" s="47" t="s">
        <v>5916</v>
      </c>
      <c r="X4018" s="47"/>
      <c r="Y4018" s="47"/>
      <c r="Z4018" s="47">
        <f t="shared" ref="Z4018:Z4051" si="884">Z$7</f>
        <v>4620</v>
      </c>
      <c r="AA4018" s="47">
        <f>AA$7</f>
        <v>1400</v>
      </c>
      <c r="AB4018" s="47" t="s">
        <v>5917</v>
      </c>
      <c r="AC4018" s="47"/>
      <c r="AD4018" s="47" t="s">
        <v>1</v>
      </c>
      <c r="AE4018" s="47"/>
      <c r="AF4018" s="47">
        <f t="shared" si="882"/>
        <v>1485</v>
      </c>
      <c r="AG4018" s="47" t="s">
        <v>5918</v>
      </c>
      <c r="AH4018" s="47" t="str">
        <f>IFERROR(_xlfn.XLOOKUP(Table6[[#This Row],[Suburb]],Table5[Travel Surcharge],Table5[$$]),"")</f>
        <v/>
      </c>
      <c r="AI4018" s="47" t="s">
        <v>5919</v>
      </c>
      <c r="AJ4018" s="47"/>
    </row>
    <row r="4019" spans="1:36">
      <c r="A4019" s="374" t="s">
        <v>5909</v>
      </c>
      <c r="B4019" s="374" t="s">
        <v>718</v>
      </c>
      <c r="C4019" s="374" t="s">
        <v>385</v>
      </c>
      <c r="D4019" s="375" t="str">
        <f t="shared" si="880"/>
        <v>Summerland2A</v>
      </c>
      <c r="E4019" s="375" t="s">
        <v>5920</v>
      </c>
      <c r="F4019" s="375"/>
      <c r="G4019" s="375"/>
      <c r="H4019" s="375"/>
      <c r="I4019" s="63"/>
      <c r="J4019" s="47">
        <f t="shared" si="881"/>
        <v>3740</v>
      </c>
      <c r="K4019" s="46" t="s">
        <v>10735</v>
      </c>
      <c r="L4019" s="47" t="s">
        <v>5911</v>
      </c>
      <c r="M4019" s="47"/>
      <c r="N4019" s="47" t="s">
        <v>5912</v>
      </c>
      <c r="O4019" s="47" t="s">
        <v>5913</v>
      </c>
      <c r="P4019" s="47" t="s">
        <v>5914</v>
      </c>
      <c r="Q4019" s="47"/>
      <c r="R4019" s="47"/>
      <c r="S4019" s="47" t="s">
        <v>5915</v>
      </c>
      <c r="T4019" s="47">
        <f t="shared" si="883"/>
        <v>780</v>
      </c>
      <c r="U4019" s="47"/>
      <c r="V4019" s="47"/>
      <c r="W4019" s="47" t="s">
        <v>5916</v>
      </c>
      <c r="X4019" s="47"/>
      <c r="Y4019" s="47"/>
      <c r="Z4019" s="47">
        <f t="shared" si="884"/>
        <v>4620</v>
      </c>
      <c r="AA4019" s="47">
        <f>AA$7</f>
        <v>1400</v>
      </c>
      <c r="AB4019" s="47" t="s">
        <v>5917</v>
      </c>
      <c r="AC4019" s="47"/>
      <c r="AD4019" s="47" t="s">
        <v>1</v>
      </c>
      <c r="AE4019" s="47"/>
      <c r="AF4019" s="47">
        <f t="shared" si="882"/>
        <v>1485</v>
      </c>
      <c r="AG4019" s="47" t="s">
        <v>5918</v>
      </c>
      <c r="AH4019" s="47" t="str">
        <f>IFERROR(_xlfn.XLOOKUP(Table6[[#This Row],[Suburb]],Table5[Travel Surcharge],Table5[$$]),"")</f>
        <v/>
      </c>
      <c r="AI4019" s="47" t="s">
        <v>5919</v>
      </c>
      <c r="AJ4019" s="47"/>
    </row>
    <row r="4020" spans="1:36">
      <c r="A4020" s="374" t="s">
        <v>5909</v>
      </c>
      <c r="B4020" s="374" t="s">
        <v>606</v>
      </c>
      <c r="C4020" s="374" t="s">
        <v>385</v>
      </c>
      <c r="D4020" s="375" t="str">
        <f t="shared" si="880"/>
        <v>Summerland3A</v>
      </c>
      <c r="E4020" s="375" t="s">
        <v>5921</v>
      </c>
      <c r="F4020" s="375"/>
      <c r="G4020" s="375"/>
      <c r="H4020" s="375"/>
      <c r="I4020" s="63"/>
      <c r="J4020" s="47">
        <f t="shared" si="881"/>
        <v>3740</v>
      </c>
      <c r="K4020" s="46" t="s">
        <v>10735</v>
      </c>
      <c r="L4020" s="47" t="s">
        <v>1762</v>
      </c>
      <c r="M4020" s="47"/>
      <c r="N4020" s="47" t="s">
        <v>5912</v>
      </c>
      <c r="O4020" s="47" t="s">
        <v>5913</v>
      </c>
      <c r="P4020" s="47" t="s">
        <v>5914</v>
      </c>
      <c r="Q4020" s="47"/>
      <c r="R4020" s="47"/>
      <c r="S4020" s="47" t="s">
        <v>5915</v>
      </c>
      <c r="T4020" s="47">
        <f t="shared" si="883"/>
        <v>780</v>
      </c>
      <c r="U4020" s="47"/>
      <c r="V4020" s="47"/>
      <c r="W4020" s="47" t="s">
        <v>5916</v>
      </c>
      <c r="X4020" s="47"/>
      <c r="Y4020" s="47"/>
      <c r="Z4020" s="47">
        <f t="shared" si="884"/>
        <v>4620</v>
      </c>
      <c r="AA4020" s="47">
        <f>AA$7</f>
        <v>1400</v>
      </c>
      <c r="AB4020" s="47" t="s">
        <v>5917</v>
      </c>
      <c r="AC4020" s="47"/>
      <c r="AD4020" s="47" t="s">
        <v>1</v>
      </c>
      <c r="AE4020" s="47"/>
      <c r="AF4020" s="47">
        <f t="shared" si="882"/>
        <v>1485</v>
      </c>
      <c r="AG4020" s="47" t="s">
        <v>5918</v>
      </c>
      <c r="AH4020" s="47" t="str">
        <f>IFERROR(_xlfn.XLOOKUP(Table6[[#This Row],[Suburb]],Table5[Travel Surcharge],Table5[$$]),"")</f>
        <v/>
      </c>
      <c r="AI4020" s="47" t="s">
        <v>5919</v>
      </c>
      <c r="AJ4020" s="47"/>
    </row>
    <row r="4021" spans="1:36">
      <c r="A4021" s="374" t="s">
        <v>5909</v>
      </c>
      <c r="B4021" s="374" t="s">
        <v>608</v>
      </c>
      <c r="C4021" s="374" t="s">
        <v>385</v>
      </c>
      <c r="D4021" s="375" t="str">
        <f t="shared" si="880"/>
        <v>Summerland3B</v>
      </c>
      <c r="E4021" s="375" t="s">
        <v>7392</v>
      </c>
      <c r="F4021" s="375"/>
      <c r="G4021" s="375"/>
      <c r="H4021" s="375"/>
      <c r="I4021" s="63"/>
      <c r="J4021" s="47">
        <f t="shared" si="881"/>
        <v>3740</v>
      </c>
      <c r="K4021" s="46" t="s">
        <v>10735</v>
      </c>
      <c r="L4021" s="47"/>
      <c r="M4021" s="47"/>
      <c r="N4021" s="47" t="s">
        <v>5912</v>
      </c>
      <c r="O4021" s="47" t="s">
        <v>5913</v>
      </c>
      <c r="P4021" s="47" t="s">
        <v>5914</v>
      </c>
      <c r="Q4021" s="47"/>
      <c r="R4021" s="47"/>
      <c r="S4021" s="47" t="s">
        <v>5915</v>
      </c>
      <c r="T4021" s="47">
        <f t="shared" si="883"/>
        <v>780</v>
      </c>
      <c r="U4021" s="47"/>
      <c r="V4021" s="47"/>
      <c r="W4021" s="47" t="s">
        <v>5916</v>
      </c>
      <c r="X4021" s="47"/>
      <c r="Y4021" s="47"/>
      <c r="Z4021" s="47">
        <f t="shared" si="884"/>
        <v>4620</v>
      </c>
      <c r="AA4021" s="47">
        <f>AA$7</f>
        <v>1400</v>
      </c>
      <c r="AB4021" s="47" t="s">
        <v>5917</v>
      </c>
      <c r="AC4021" s="47"/>
      <c r="AD4021" s="47" t="s">
        <v>1</v>
      </c>
      <c r="AE4021" s="47"/>
      <c r="AF4021" s="47">
        <f t="shared" si="882"/>
        <v>1485</v>
      </c>
      <c r="AG4021" s="47" t="s">
        <v>5918</v>
      </c>
      <c r="AH4021" s="47" t="str">
        <f>IFERROR(_xlfn.XLOOKUP(Table6[[#This Row],[Suburb]],Table5[Travel Surcharge],Table5[$$]),"")</f>
        <v/>
      </c>
      <c r="AI4021" s="47" t="s">
        <v>5919</v>
      </c>
      <c r="AJ4021" s="47"/>
    </row>
    <row r="4022" spans="1:36">
      <c r="A4022" s="374" t="s">
        <v>5925</v>
      </c>
      <c r="B4022" s="374">
        <v>4</v>
      </c>
      <c r="C4022" s="374" t="s">
        <v>1721</v>
      </c>
      <c r="D4022" s="375" t="str">
        <f t="shared" si="880"/>
        <v>Sunbury Fields Estate4</v>
      </c>
      <c r="E4022" s="375" t="s">
        <v>5926</v>
      </c>
      <c r="F4022" s="375" t="s">
        <v>1095</v>
      </c>
      <c r="G4022" s="375" t="s">
        <v>5927</v>
      </c>
      <c r="H4022" s="375" t="s">
        <v>5928</v>
      </c>
      <c r="I4022" s="63" t="s">
        <v>5929</v>
      </c>
      <c r="J4022" s="47"/>
      <c r="K4022" s="46" t="s">
        <v>7938</v>
      </c>
      <c r="L4022" s="47"/>
      <c r="M4022" s="47"/>
      <c r="N4022" s="47"/>
      <c r="O4022" s="47">
        <f>O$7</f>
        <v>4950</v>
      </c>
      <c r="P4022" s="47"/>
      <c r="Q4022" s="47"/>
      <c r="R4022" s="47"/>
      <c r="S4022" s="47"/>
      <c r="T4022" s="47">
        <f t="shared" si="883"/>
        <v>780</v>
      </c>
      <c r="U4022" s="47"/>
      <c r="V4022" s="47"/>
      <c r="W4022" s="47"/>
      <c r="X4022" s="47"/>
      <c r="Y4022" s="47"/>
      <c r="Z4022" s="47">
        <f t="shared" si="884"/>
        <v>4620</v>
      </c>
      <c r="AA4022" s="47"/>
      <c r="AB4022" s="47"/>
      <c r="AC4022" s="47"/>
      <c r="AD4022" s="47"/>
      <c r="AE4022" s="47"/>
      <c r="AF4022" s="47"/>
      <c r="AG4022" s="47"/>
      <c r="AH4022" s="47" t="str">
        <f>IFERROR(_xlfn.XLOOKUP(Table6[[#This Row],[Suburb]],Table5[Travel Surcharge],Table5[$$]),"")</f>
        <v/>
      </c>
      <c r="AI4022" s="47"/>
      <c r="AJ4022" s="47"/>
    </row>
    <row r="4023" spans="1:36">
      <c r="A4023" s="374" t="s">
        <v>5925</v>
      </c>
      <c r="B4023" s="374">
        <v>6</v>
      </c>
      <c r="C4023" s="374" t="s">
        <v>1721</v>
      </c>
      <c r="D4023" s="375" t="str">
        <f t="shared" si="880"/>
        <v>Sunbury Fields Estate6</v>
      </c>
      <c r="E4023" s="375" t="s">
        <v>5930</v>
      </c>
      <c r="F4023" s="375" t="s">
        <v>1095</v>
      </c>
      <c r="G4023" s="375" t="s">
        <v>5927</v>
      </c>
      <c r="H4023" s="375" t="s">
        <v>5928</v>
      </c>
      <c r="I4023" s="63" t="s">
        <v>5929</v>
      </c>
      <c r="J4023" s="47"/>
      <c r="K4023" s="46" t="s">
        <v>7938</v>
      </c>
      <c r="L4023" s="47"/>
      <c r="M4023" s="47"/>
      <c r="N4023" s="47"/>
      <c r="O4023" s="47">
        <f>O$7</f>
        <v>4950</v>
      </c>
      <c r="P4023" s="47"/>
      <c r="Q4023" s="47"/>
      <c r="R4023" s="47"/>
      <c r="S4023" s="47"/>
      <c r="T4023" s="47">
        <f t="shared" si="883"/>
        <v>780</v>
      </c>
      <c r="U4023" s="47"/>
      <c r="V4023" s="47"/>
      <c r="W4023" s="47"/>
      <c r="X4023" s="47"/>
      <c r="Y4023" s="47"/>
      <c r="Z4023" s="47">
        <f t="shared" si="884"/>
        <v>4620</v>
      </c>
      <c r="AA4023" s="47"/>
      <c r="AB4023" s="47"/>
      <c r="AC4023" s="47"/>
      <c r="AD4023" s="47"/>
      <c r="AE4023" s="47"/>
      <c r="AF4023" s="47"/>
      <c r="AG4023" s="47"/>
      <c r="AH4023" s="47" t="str">
        <f>IFERROR(_xlfn.XLOOKUP(Table6[[#This Row],[Suburb]],Table5[Travel Surcharge],Table5[$$]),"")</f>
        <v/>
      </c>
      <c r="AI4023" s="47"/>
      <c r="AJ4023" s="47"/>
    </row>
    <row r="4024" spans="1:36">
      <c r="A4024" s="374" t="s">
        <v>5925</v>
      </c>
      <c r="B4024" s="374" t="s">
        <v>755</v>
      </c>
      <c r="C4024" s="374" t="s">
        <v>1721</v>
      </c>
      <c r="D4024" s="375" t="str">
        <f t="shared" si="880"/>
        <v>Sunbury Fields Estate10B</v>
      </c>
      <c r="E4024" s="375" t="s">
        <v>5931</v>
      </c>
      <c r="F4024" s="375" t="s">
        <v>1095</v>
      </c>
      <c r="G4024" s="375" t="s">
        <v>5927</v>
      </c>
      <c r="H4024" s="375" t="s">
        <v>5928</v>
      </c>
      <c r="I4024" s="63" t="s">
        <v>5929</v>
      </c>
      <c r="J4024" s="47"/>
      <c r="K4024" s="46" t="s">
        <v>7938</v>
      </c>
      <c r="L4024" s="47"/>
      <c r="M4024" s="47"/>
      <c r="N4024" s="47"/>
      <c r="O4024" s="47">
        <f>O$7</f>
        <v>4950</v>
      </c>
      <c r="P4024" s="47"/>
      <c r="Q4024" s="47"/>
      <c r="R4024" s="47"/>
      <c r="S4024" s="47"/>
      <c r="T4024" s="47">
        <f t="shared" si="883"/>
        <v>780</v>
      </c>
      <c r="U4024" s="47"/>
      <c r="V4024" s="47"/>
      <c r="W4024" s="47"/>
      <c r="X4024" s="47"/>
      <c r="Y4024" s="47"/>
      <c r="Z4024" s="47">
        <f t="shared" si="884"/>
        <v>4620</v>
      </c>
      <c r="AA4024" s="47"/>
      <c r="AB4024" s="47"/>
      <c r="AC4024" s="47"/>
      <c r="AD4024" s="47"/>
      <c r="AE4024" s="47"/>
      <c r="AF4024" s="47"/>
      <c r="AG4024" s="47"/>
      <c r="AH4024" s="47" t="str">
        <f>IFERROR(_xlfn.XLOOKUP(Table6[[#This Row],[Suburb]],Table5[Travel Surcharge],Table5[$$]),"")</f>
        <v/>
      </c>
      <c r="AI4024" s="47"/>
      <c r="AJ4024" s="47"/>
    </row>
    <row r="4025" spans="1:36">
      <c r="A4025" s="374" t="s">
        <v>10134</v>
      </c>
      <c r="B4025" s="374">
        <v>1</v>
      </c>
      <c r="C4025" s="374" t="s">
        <v>862</v>
      </c>
      <c r="D4025" s="375" t="str">
        <f>CONCATENATE(A4025,B4025)</f>
        <v>Sunrise Estate1</v>
      </c>
      <c r="E4025" s="375" t="s">
        <v>10135</v>
      </c>
      <c r="F4025" s="375"/>
      <c r="G4025" s="375"/>
      <c r="H4025" s="375"/>
      <c r="I4025" s="63"/>
      <c r="J4025" s="47"/>
      <c r="K4025" s="46" t="s">
        <v>10735</v>
      </c>
      <c r="L4025" s="47"/>
      <c r="M4025" s="47">
        <v>1430</v>
      </c>
      <c r="N4025" s="47" t="s">
        <v>10137</v>
      </c>
      <c r="O4025" s="47">
        <v>4950</v>
      </c>
      <c r="P4025" s="47" t="s">
        <v>10139</v>
      </c>
      <c r="Q4025" s="47" t="s">
        <v>10140</v>
      </c>
      <c r="R4025" s="47" t="s">
        <v>10138</v>
      </c>
      <c r="S4025" s="47"/>
      <c r="T4025" s="47">
        <v>1420</v>
      </c>
      <c r="U4025" s="47"/>
      <c r="V4025" s="47"/>
      <c r="W4025" s="47"/>
      <c r="X4025" s="47"/>
      <c r="Y4025" s="47"/>
      <c r="Z4025" s="47">
        <f>Z$7</f>
        <v>4620</v>
      </c>
      <c r="AA4025" s="47"/>
      <c r="AB4025" s="47"/>
      <c r="AC4025" s="47"/>
      <c r="AD4025" s="47"/>
      <c r="AE4025" s="47"/>
      <c r="AF4025" s="47">
        <v>1485</v>
      </c>
      <c r="AG4025" s="47"/>
      <c r="AH4025" s="47"/>
      <c r="AI4025" s="47"/>
      <c r="AJ4025" s="47"/>
    </row>
    <row r="4026" spans="1:36">
      <c r="A4026" s="374" t="s">
        <v>10134</v>
      </c>
      <c r="B4026" s="374">
        <v>2</v>
      </c>
      <c r="C4026" s="374" t="s">
        <v>862</v>
      </c>
      <c r="D4026" s="375" t="str">
        <f t="shared" ref="D4026:D4028" si="885">CONCATENATE(A4026,B4026)</f>
        <v>Sunrise Estate2</v>
      </c>
      <c r="E4026" s="375" t="s">
        <v>10141</v>
      </c>
      <c r="F4026" s="375"/>
      <c r="G4026" s="375"/>
      <c r="H4026" s="375"/>
      <c r="I4026" s="63"/>
      <c r="J4026" s="47"/>
      <c r="K4026" s="46" t="s">
        <v>10735</v>
      </c>
      <c r="L4026" s="47"/>
      <c r="M4026" s="47">
        <v>1430</v>
      </c>
      <c r="N4026" s="47" t="s">
        <v>10137</v>
      </c>
      <c r="O4026" s="47">
        <v>4950</v>
      </c>
      <c r="P4026" s="47" t="s">
        <v>10139</v>
      </c>
      <c r="Q4026" s="47" t="s">
        <v>10140</v>
      </c>
      <c r="R4026" s="47" t="s">
        <v>10138</v>
      </c>
      <c r="S4026" s="47"/>
      <c r="T4026" s="47">
        <v>1420</v>
      </c>
      <c r="U4026" s="47"/>
      <c r="V4026" s="47"/>
      <c r="W4026" s="47"/>
      <c r="X4026" s="47"/>
      <c r="Y4026" s="47"/>
      <c r="Z4026" s="47">
        <v>4620</v>
      </c>
      <c r="AA4026" s="47"/>
      <c r="AB4026" s="47"/>
      <c r="AC4026" s="47"/>
      <c r="AD4026" s="47"/>
      <c r="AE4026" s="47"/>
      <c r="AF4026" s="47">
        <v>1485</v>
      </c>
      <c r="AG4026" s="47"/>
      <c r="AH4026" s="47"/>
      <c r="AI4026" s="47"/>
      <c r="AJ4026" s="47"/>
    </row>
    <row r="4027" spans="1:36">
      <c r="A4027" s="374" t="s">
        <v>10134</v>
      </c>
      <c r="B4027" s="374">
        <v>4</v>
      </c>
      <c r="C4027" s="374" t="s">
        <v>862</v>
      </c>
      <c r="D4027" s="375" t="str">
        <f t="shared" si="885"/>
        <v>Sunrise Estate4</v>
      </c>
      <c r="E4027" s="375" t="s">
        <v>10142</v>
      </c>
      <c r="F4027" s="375"/>
      <c r="G4027" s="375"/>
      <c r="H4027" s="375"/>
      <c r="I4027" s="63"/>
      <c r="J4027" s="47"/>
      <c r="K4027" s="46" t="s">
        <v>10735</v>
      </c>
      <c r="L4027" s="47"/>
      <c r="M4027" s="47">
        <v>1430</v>
      </c>
      <c r="N4027" s="47" t="s">
        <v>10137</v>
      </c>
      <c r="O4027" s="47">
        <v>4950</v>
      </c>
      <c r="P4027" s="47" t="s">
        <v>10139</v>
      </c>
      <c r="Q4027" s="47" t="s">
        <v>10140</v>
      </c>
      <c r="R4027" s="47" t="s">
        <v>10138</v>
      </c>
      <c r="S4027" s="47"/>
      <c r="T4027" s="47">
        <v>1420</v>
      </c>
      <c r="U4027" s="47"/>
      <c r="V4027" s="47"/>
      <c r="W4027" s="47"/>
      <c r="X4027" s="47"/>
      <c r="Y4027" s="47"/>
      <c r="Z4027" s="47">
        <v>4620</v>
      </c>
      <c r="AA4027" s="47"/>
      <c r="AB4027" s="47"/>
      <c r="AC4027" s="47"/>
      <c r="AD4027" s="47"/>
      <c r="AE4027" s="47"/>
      <c r="AF4027" s="47">
        <v>1485</v>
      </c>
      <c r="AG4027" s="47"/>
      <c r="AH4027" s="47"/>
      <c r="AI4027" s="47"/>
      <c r="AJ4027" s="47"/>
    </row>
    <row r="4028" spans="1:36">
      <c r="A4028" s="374" t="s">
        <v>10134</v>
      </c>
      <c r="B4028" s="374">
        <v>5</v>
      </c>
      <c r="C4028" s="374" t="s">
        <v>862</v>
      </c>
      <c r="D4028" s="375" t="str">
        <f t="shared" si="885"/>
        <v>Sunrise Estate5</v>
      </c>
      <c r="E4028" s="375" t="s">
        <v>10143</v>
      </c>
      <c r="F4028" s="375"/>
      <c r="G4028" s="375"/>
      <c r="H4028" s="375"/>
      <c r="I4028" s="63"/>
      <c r="J4028" s="47"/>
      <c r="K4028" s="46" t="s">
        <v>10735</v>
      </c>
      <c r="L4028" s="47"/>
      <c r="M4028" s="47">
        <v>1430</v>
      </c>
      <c r="N4028" s="47" t="s">
        <v>10137</v>
      </c>
      <c r="O4028" s="47">
        <v>4950</v>
      </c>
      <c r="P4028" s="47" t="s">
        <v>10139</v>
      </c>
      <c r="Q4028" s="47" t="s">
        <v>10140</v>
      </c>
      <c r="R4028" s="47" t="s">
        <v>10138</v>
      </c>
      <c r="S4028" s="47"/>
      <c r="T4028" s="47">
        <v>1420</v>
      </c>
      <c r="U4028" s="47"/>
      <c r="V4028" s="47"/>
      <c r="W4028" s="47"/>
      <c r="X4028" s="47"/>
      <c r="Y4028" s="47"/>
      <c r="Z4028" s="47">
        <v>4620</v>
      </c>
      <c r="AA4028" s="47"/>
      <c r="AB4028" s="47"/>
      <c r="AC4028" s="47"/>
      <c r="AD4028" s="47"/>
      <c r="AE4028" s="47"/>
      <c r="AF4028" s="47">
        <v>1485</v>
      </c>
      <c r="AG4028" s="47"/>
      <c r="AH4028" s="47"/>
      <c r="AI4028" s="47"/>
      <c r="AJ4028" s="47"/>
    </row>
    <row r="4029" spans="1:36">
      <c r="A4029" s="374" t="s">
        <v>5932</v>
      </c>
      <c r="B4029" s="374">
        <v>1</v>
      </c>
      <c r="C4029" s="374" t="s">
        <v>2371</v>
      </c>
      <c r="D4029" s="375" t="str">
        <f t="shared" si="880"/>
        <v>Sunset Views1</v>
      </c>
      <c r="E4029" s="375" t="s">
        <v>5933</v>
      </c>
      <c r="F4029" s="375"/>
      <c r="G4029" s="375"/>
      <c r="H4029" s="375"/>
      <c r="I4029" s="63"/>
      <c r="J4029" s="47"/>
      <c r="K4029" s="46" t="s">
        <v>10735</v>
      </c>
      <c r="L4029" s="47">
        <f>L$7</f>
        <v>1210</v>
      </c>
      <c r="M4029" s="47"/>
      <c r="N4029" s="47"/>
      <c r="O4029" s="47">
        <f>O$7</f>
        <v>4950</v>
      </c>
      <c r="P4029" s="47"/>
      <c r="Q4029" s="47">
        <f>Q$2</f>
        <v>0</v>
      </c>
      <c r="R4029" s="47" t="s">
        <v>5934</v>
      </c>
      <c r="S4029" s="47"/>
      <c r="T4029" s="47"/>
      <c r="U4029" s="47"/>
      <c r="V4029" s="47"/>
      <c r="W4029" s="47"/>
      <c r="X4029" s="47"/>
      <c r="Y4029" s="47"/>
      <c r="Z4029" s="47">
        <f t="shared" si="884"/>
        <v>4620</v>
      </c>
      <c r="AA4029" s="47">
        <v>1400</v>
      </c>
      <c r="AB4029" s="47"/>
      <c r="AC4029" s="47"/>
      <c r="AD4029" s="47"/>
      <c r="AE4029" s="47"/>
      <c r="AF4029" s="47"/>
      <c r="AG4029" s="47"/>
      <c r="AH4029" s="47">
        <f>IFERROR(_xlfn.XLOOKUP(Table6[[#This Row],[Suburb]],Table5[Travel Surcharge],Table5[$$]),"")</f>
        <v>4000</v>
      </c>
      <c r="AI4029" s="47"/>
      <c r="AJ4029" s="47"/>
    </row>
    <row r="4030" spans="1:36">
      <c r="A4030" s="374" t="s">
        <v>5935</v>
      </c>
      <c r="B4030" s="374">
        <v>1</v>
      </c>
      <c r="C4030" s="374" t="s">
        <v>285</v>
      </c>
      <c r="D4030" s="375" t="str">
        <f t="shared" si="880"/>
        <v>Swan View Estate1</v>
      </c>
      <c r="E4030" s="375" t="s">
        <v>5936</v>
      </c>
      <c r="F4030" s="375" t="s">
        <v>5937</v>
      </c>
      <c r="G4030" s="375" t="s">
        <v>5938</v>
      </c>
      <c r="H4030" s="375" t="s">
        <v>5939</v>
      </c>
      <c r="I4030" s="63" t="s">
        <v>5940</v>
      </c>
      <c r="J4030" s="47"/>
      <c r="K4030" s="46" t="s">
        <v>10735</v>
      </c>
      <c r="L4030" s="47"/>
      <c r="M4030" s="47"/>
      <c r="N4030" s="47"/>
      <c r="O4030" s="47"/>
      <c r="P4030" s="47"/>
      <c r="Q4030" s="47">
        <f>Q$2</f>
        <v>0</v>
      </c>
      <c r="R4030" s="47"/>
      <c r="S4030" s="47"/>
      <c r="T4030" s="47"/>
      <c r="U4030" s="47"/>
      <c r="V4030" s="47"/>
      <c r="W4030" s="47"/>
      <c r="X4030" s="47"/>
      <c r="Y4030" s="47"/>
      <c r="Z4030" s="47">
        <f t="shared" si="884"/>
        <v>4620</v>
      </c>
      <c r="AA4030" s="47"/>
      <c r="AB4030" s="47"/>
      <c r="AC4030" s="47"/>
      <c r="AD4030" s="47"/>
      <c r="AE4030" s="47"/>
      <c r="AF4030" s="47"/>
      <c r="AG4030" s="47"/>
      <c r="AH4030" s="47" t="str">
        <f>IFERROR(_xlfn.XLOOKUP(Table6[[#This Row],[Suburb]],Table5[Travel Surcharge],Table5[$$]),"")</f>
        <v/>
      </c>
      <c r="AI4030" s="47"/>
      <c r="AJ4030" s="47"/>
    </row>
    <row r="4031" spans="1:36">
      <c r="A4031" s="374" t="s">
        <v>5935</v>
      </c>
      <c r="B4031" s="374">
        <v>2</v>
      </c>
      <c r="C4031" s="374" t="s">
        <v>285</v>
      </c>
      <c r="D4031" s="375" t="str">
        <f t="shared" si="880"/>
        <v>Swan View Estate2</v>
      </c>
      <c r="E4031" s="375" t="s">
        <v>5941</v>
      </c>
      <c r="F4031" s="375" t="s">
        <v>5937</v>
      </c>
      <c r="G4031" s="375" t="s">
        <v>5938</v>
      </c>
      <c r="H4031" s="375" t="s">
        <v>5939</v>
      </c>
      <c r="I4031" s="63" t="s">
        <v>5940</v>
      </c>
      <c r="J4031" s="47"/>
      <c r="K4031" s="46" t="s">
        <v>10735</v>
      </c>
      <c r="L4031" s="47"/>
      <c r="M4031" s="47"/>
      <c r="N4031" s="47"/>
      <c r="O4031" s="47"/>
      <c r="P4031" s="47"/>
      <c r="Q4031" s="47">
        <v>0</v>
      </c>
      <c r="R4031" s="47"/>
      <c r="S4031" s="47"/>
      <c r="T4031" s="47"/>
      <c r="U4031" s="47"/>
      <c r="V4031" s="47"/>
      <c r="W4031" s="47"/>
      <c r="X4031" s="47"/>
      <c r="Y4031" s="47"/>
      <c r="Z4031" s="47">
        <f t="shared" si="884"/>
        <v>4620</v>
      </c>
      <c r="AA4031" s="47"/>
      <c r="AB4031" s="47"/>
      <c r="AC4031" s="47"/>
      <c r="AD4031" s="47"/>
      <c r="AE4031" s="47"/>
      <c r="AF4031" s="47"/>
      <c r="AG4031" s="47"/>
      <c r="AH4031" s="47" t="str">
        <f>IFERROR(_xlfn.XLOOKUP(Table6[[#This Row],[Suburb]],Table5[Travel Surcharge],Table5[$$]),"")</f>
        <v/>
      </c>
      <c r="AI4031" s="47"/>
      <c r="AJ4031" s="47"/>
    </row>
    <row r="4032" spans="1:36">
      <c r="A4032" s="374" t="s">
        <v>5935</v>
      </c>
      <c r="B4032" s="374">
        <v>4</v>
      </c>
      <c r="C4032" s="374" t="s">
        <v>285</v>
      </c>
      <c r="D4032" s="375" t="str">
        <f t="shared" si="880"/>
        <v>Swan View Estate4</v>
      </c>
      <c r="E4032" s="375" t="s">
        <v>5942</v>
      </c>
      <c r="F4032" s="375" t="s">
        <v>5937</v>
      </c>
      <c r="G4032" s="375" t="s">
        <v>5938</v>
      </c>
      <c r="H4032" s="375" t="s">
        <v>5939</v>
      </c>
      <c r="I4032" s="63" t="s">
        <v>5940</v>
      </c>
      <c r="J4032" s="47"/>
      <c r="K4032" s="46" t="s">
        <v>10735</v>
      </c>
      <c r="L4032" s="47"/>
      <c r="M4032" s="47"/>
      <c r="N4032" s="47"/>
      <c r="O4032" s="47"/>
      <c r="P4032" s="47"/>
      <c r="Q4032" s="47">
        <v>0</v>
      </c>
      <c r="R4032" s="47"/>
      <c r="S4032" s="47"/>
      <c r="T4032" s="47"/>
      <c r="U4032" s="47"/>
      <c r="V4032" s="47"/>
      <c r="W4032" s="47"/>
      <c r="X4032" s="47"/>
      <c r="Y4032" s="47"/>
      <c r="Z4032" s="47">
        <f t="shared" si="884"/>
        <v>4620</v>
      </c>
      <c r="AA4032" s="47"/>
      <c r="AB4032" s="47"/>
      <c r="AC4032" s="47"/>
      <c r="AD4032" s="47"/>
      <c r="AE4032" s="47"/>
      <c r="AF4032" s="47"/>
      <c r="AG4032" s="47"/>
      <c r="AH4032" s="47" t="str">
        <f>IFERROR(_xlfn.XLOOKUP(Table6[[#This Row],[Suburb]],Table5[Travel Surcharge],Table5[$$]),"")</f>
        <v/>
      </c>
      <c r="AI4032" s="47"/>
      <c r="AJ4032" s="47"/>
    </row>
    <row r="4033" spans="1:36">
      <c r="A4033" s="374" t="s">
        <v>10846</v>
      </c>
      <c r="B4033" s="374">
        <v>1</v>
      </c>
      <c r="C4033" s="374" t="s">
        <v>1275</v>
      </c>
      <c r="D4033" s="375" t="str">
        <f>CONCATENATE(A4033,B4033)</f>
        <v>Swarna Estate1</v>
      </c>
      <c r="E4033" s="375" t="s">
        <v>10847</v>
      </c>
      <c r="F4033" s="375"/>
      <c r="G4033" s="375"/>
      <c r="H4033" s="375"/>
      <c r="I4033" s="63"/>
      <c r="J4033" s="47" t="s">
        <v>10848</v>
      </c>
      <c r="K4033" s="46"/>
      <c r="L4033" s="47" t="s">
        <v>10849</v>
      </c>
      <c r="M4033" s="47">
        <v>1430</v>
      </c>
      <c r="N4033" s="47" t="s">
        <v>10850</v>
      </c>
      <c r="O4033" s="47" t="s">
        <v>10851</v>
      </c>
      <c r="P4033" s="47"/>
      <c r="Q4033" s="47"/>
      <c r="R4033" s="47"/>
      <c r="S4033" s="47"/>
      <c r="T4033" s="47"/>
      <c r="U4033" s="47">
        <v>430</v>
      </c>
      <c r="V4033" s="47"/>
      <c r="W4033" s="47"/>
      <c r="X4033" s="47"/>
      <c r="Y4033" s="47"/>
      <c r="Z4033" s="47">
        <f>Z$7</f>
        <v>4620</v>
      </c>
      <c r="AA4033" s="47">
        <v>1400</v>
      </c>
      <c r="AB4033" s="47"/>
      <c r="AC4033" s="47"/>
      <c r="AD4033" s="47"/>
      <c r="AE4033" s="47"/>
      <c r="AF4033" s="47">
        <v>1485</v>
      </c>
      <c r="AG4033" s="47"/>
      <c r="AH4033" s="47">
        <v>0</v>
      </c>
      <c r="AI4033" s="47"/>
      <c r="AJ4033" s="47"/>
    </row>
    <row r="4034" spans="1:36">
      <c r="A4034" s="374" t="s">
        <v>5943</v>
      </c>
      <c r="B4034" s="374">
        <v>2</v>
      </c>
      <c r="C4034" s="374" t="s">
        <v>468</v>
      </c>
      <c r="D4034" s="375" t="str">
        <f t="shared" si="880"/>
        <v>Talia Estate2</v>
      </c>
      <c r="E4034" s="375" t="s">
        <v>5944</v>
      </c>
      <c r="F4034" s="375"/>
      <c r="G4034" s="375" t="s">
        <v>1759</v>
      </c>
      <c r="H4034" s="375" t="s">
        <v>1760</v>
      </c>
      <c r="I4034" s="63" t="s">
        <v>5945</v>
      </c>
      <c r="J4034" s="47">
        <f>J$7</f>
        <v>3740</v>
      </c>
      <c r="K4034" s="46" t="s">
        <v>7938</v>
      </c>
      <c r="L4034" s="47"/>
      <c r="M4034" s="47">
        <f>M$7</f>
        <v>1430.0000000000002</v>
      </c>
      <c r="N4034" s="47" t="s">
        <v>5946</v>
      </c>
      <c r="O4034" s="47" t="s">
        <v>5947</v>
      </c>
      <c r="P4034" s="47"/>
      <c r="Q4034" s="47"/>
      <c r="R4034" s="47"/>
      <c r="S4034" s="47"/>
      <c r="T4034" s="47"/>
      <c r="U4034" s="47">
        <f>U$2</f>
        <v>430</v>
      </c>
      <c r="V4034" s="47"/>
      <c r="W4034" s="47"/>
      <c r="X4034" s="47"/>
      <c r="Y4034" s="47"/>
      <c r="Z4034" s="47">
        <f t="shared" si="884"/>
        <v>4620</v>
      </c>
      <c r="AA4034" s="47"/>
      <c r="AB4034" s="47"/>
      <c r="AC4034" s="47"/>
      <c r="AD4034" s="47"/>
      <c r="AE4034" s="47"/>
      <c r="AF4034" s="47">
        <f>AF$7</f>
        <v>1485</v>
      </c>
      <c r="AG4034" s="47"/>
      <c r="AH4034" s="47" t="str">
        <f>IFERROR(_xlfn.XLOOKUP(Table6[[#This Row],[Suburb]],Table5[Travel Surcharge],Table5[$$]),"")</f>
        <v/>
      </c>
      <c r="AI4034" s="47"/>
      <c r="AJ4034" s="47"/>
    </row>
    <row r="4035" spans="1:36">
      <c r="A4035" s="374" t="s">
        <v>5943</v>
      </c>
      <c r="B4035" s="374">
        <v>3</v>
      </c>
      <c r="C4035" s="374" t="s">
        <v>468</v>
      </c>
      <c r="D4035" s="375" t="str">
        <f t="shared" si="880"/>
        <v>Talia Estate3</v>
      </c>
      <c r="E4035" s="375" t="s">
        <v>5948</v>
      </c>
      <c r="F4035" s="375"/>
      <c r="G4035" s="375" t="s">
        <v>1759</v>
      </c>
      <c r="H4035" s="375" t="s">
        <v>1760</v>
      </c>
      <c r="I4035" s="63" t="s">
        <v>5945</v>
      </c>
      <c r="J4035" s="47">
        <f>J$7</f>
        <v>3740</v>
      </c>
      <c r="K4035" s="46" t="s">
        <v>7938</v>
      </c>
      <c r="L4035" s="47"/>
      <c r="M4035" s="47">
        <f>M$7</f>
        <v>1430.0000000000002</v>
      </c>
      <c r="N4035" s="47" t="s">
        <v>5946</v>
      </c>
      <c r="O4035" s="47" t="s">
        <v>5947</v>
      </c>
      <c r="P4035" s="47"/>
      <c r="Q4035" s="47"/>
      <c r="R4035" s="47"/>
      <c r="S4035" s="47"/>
      <c r="T4035" s="47"/>
      <c r="U4035" s="47">
        <f>U$2</f>
        <v>430</v>
      </c>
      <c r="V4035" s="47"/>
      <c r="W4035" s="47"/>
      <c r="X4035" s="47"/>
      <c r="Y4035" s="47"/>
      <c r="Z4035" s="47">
        <f t="shared" si="884"/>
        <v>4620</v>
      </c>
      <c r="AA4035" s="47"/>
      <c r="AB4035" s="47"/>
      <c r="AC4035" s="47"/>
      <c r="AD4035" s="47"/>
      <c r="AE4035" s="47"/>
      <c r="AF4035" s="47">
        <f>AF$7</f>
        <v>1485</v>
      </c>
      <c r="AG4035" s="47"/>
      <c r="AH4035" s="47" t="str">
        <f>IFERROR(_xlfn.XLOOKUP(Table6[[#This Row],[Suburb]],Table5[Travel Surcharge],Table5[$$]),"")</f>
        <v/>
      </c>
      <c r="AI4035" s="47"/>
      <c r="AJ4035" s="47"/>
    </row>
    <row r="4036" spans="1:36">
      <c r="A4036" s="374" t="s">
        <v>9219</v>
      </c>
      <c r="B4036" s="374">
        <v>1</v>
      </c>
      <c r="C4036" s="374" t="s">
        <v>9220</v>
      </c>
      <c r="D4036" s="375" t="str">
        <f t="shared" si="880"/>
        <v>Tarneit Point1</v>
      </c>
      <c r="E4036" s="375" t="s">
        <v>9221</v>
      </c>
      <c r="F4036" s="375"/>
      <c r="G4036" s="207" t="s">
        <v>9222</v>
      </c>
      <c r="H4036" s="375"/>
      <c r="I4036" s="63"/>
      <c r="J4036" s="47"/>
      <c r="K4036" s="46" t="s">
        <v>10735</v>
      </c>
      <c r="L4036" s="47"/>
      <c r="M4036" s="47"/>
      <c r="N4036" s="47"/>
      <c r="O4036" s="47">
        <f>O$7</f>
        <v>4950</v>
      </c>
      <c r="P4036" s="47"/>
      <c r="Q4036" s="47"/>
      <c r="R4036" s="47"/>
      <c r="S4036" s="47">
        <f>S$2</f>
        <v>590</v>
      </c>
      <c r="T4036" s="47"/>
      <c r="U4036" s="47"/>
      <c r="V4036" s="47"/>
      <c r="W4036" s="47"/>
      <c r="X4036" s="47"/>
      <c r="Y4036" s="47"/>
      <c r="Z4036" s="47">
        <f t="shared" si="884"/>
        <v>4620</v>
      </c>
      <c r="AA4036" s="47"/>
      <c r="AB4036" s="47"/>
      <c r="AC4036" s="47"/>
      <c r="AD4036" s="47"/>
      <c r="AE4036" s="47"/>
      <c r="AF4036" s="47"/>
      <c r="AG4036" s="47"/>
      <c r="AH4036" s="47" t="str">
        <f>IFERROR(_xlfn.XLOOKUP(Table6[[#This Row],[Suburb]],Table5[Travel Surcharge],Table5[$$]),"")</f>
        <v/>
      </c>
      <c r="AI4036" s="47"/>
      <c r="AJ4036" s="47"/>
    </row>
    <row r="4037" spans="1:36">
      <c r="A4037" s="374" t="s">
        <v>5949</v>
      </c>
      <c r="B4037" s="374">
        <v>5</v>
      </c>
      <c r="C4037" s="374" t="s">
        <v>2060</v>
      </c>
      <c r="D4037" s="375" t="str">
        <f t="shared" si="880"/>
        <v>Tathra5</v>
      </c>
      <c r="E4037" s="375" t="s">
        <v>2064</v>
      </c>
      <c r="F4037" s="375"/>
      <c r="G4037" s="375"/>
      <c r="H4037" s="375"/>
      <c r="I4037" s="63" t="s">
        <v>5950</v>
      </c>
      <c r="J4037" s="47">
        <f t="shared" ref="J4037:J4043" si="886">J$7</f>
        <v>3740</v>
      </c>
      <c r="K4037" s="46" t="s">
        <v>10735</v>
      </c>
      <c r="L4037" s="47"/>
      <c r="M4037" s="47"/>
      <c r="N4037" s="47"/>
      <c r="O4037" s="47"/>
      <c r="P4037" s="47"/>
      <c r="Q4037" s="47">
        <v>0</v>
      </c>
      <c r="R4037" s="47"/>
      <c r="S4037" s="47"/>
      <c r="T4037" s="47"/>
      <c r="U4037" s="47"/>
      <c r="V4037" s="47"/>
      <c r="W4037" s="47"/>
      <c r="X4037" s="47"/>
      <c r="Y4037" s="47"/>
      <c r="Z4037" s="47">
        <f t="shared" si="884"/>
        <v>4620</v>
      </c>
      <c r="AA4037" s="47"/>
      <c r="AB4037" s="47"/>
      <c r="AC4037" s="47"/>
      <c r="AD4037" s="47"/>
      <c r="AE4037" s="47"/>
      <c r="AF4037" s="47"/>
      <c r="AG4037" s="47"/>
      <c r="AH4037" s="47" t="str">
        <f>IFERROR(_xlfn.XLOOKUP(Table6[[#This Row],[Suburb]],Table5[Travel Surcharge],Table5[$$]),"")</f>
        <v/>
      </c>
      <c r="AI4037" s="47"/>
      <c r="AJ4037" s="47"/>
    </row>
    <row r="4038" spans="1:36">
      <c r="A4038" s="157" t="s">
        <v>5951</v>
      </c>
      <c r="B4038" s="157">
        <v>2</v>
      </c>
      <c r="C4038" s="157" t="s">
        <v>550</v>
      </c>
      <c r="D4038" s="157" t="str">
        <f t="shared" si="880"/>
        <v>Taylors2</v>
      </c>
      <c r="E4038" s="157" t="s">
        <v>8023</v>
      </c>
      <c r="F4038" s="157"/>
      <c r="G4038" s="157" t="s">
        <v>1675</v>
      </c>
      <c r="H4038" s="157" t="s">
        <v>1676</v>
      </c>
      <c r="I4038" s="158" t="s">
        <v>1677</v>
      </c>
      <c r="J4038" s="47">
        <f t="shared" si="886"/>
        <v>3740</v>
      </c>
      <c r="K4038" s="46" t="s">
        <v>10735</v>
      </c>
      <c r="L4038" s="47" t="s">
        <v>2817</v>
      </c>
      <c r="M4038" s="47">
        <f>M$7</f>
        <v>1430.0000000000002</v>
      </c>
      <c r="N4038" s="47"/>
      <c r="O4038" s="47" t="s">
        <v>506</v>
      </c>
      <c r="P4038" s="47" t="s">
        <v>5953</v>
      </c>
      <c r="Q4038" s="47"/>
      <c r="R4038" s="47">
        <f>R$2</f>
        <v>540</v>
      </c>
      <c r="S4038" s="47"/>
      <c r="T4038" s="47"/>
      <c r="U4038" s="47" t="s">
        <v>1192</v>
      </c>
      <c r="V4038" s="47"/>
      <c r="W4038" s="47"/>
      <c r="X4038" s="47"/>
      <c r="Y4038" s="47"/>
      <c r="Z4038" s="47">
        <f t="shared" si="884"/>
        <v>4620</v>
      </c>
      <c r="AA4038" s="47">
        <f t="shared" ref="AA4038:AB4040" si="887">AA$7</f>
        <v>1400</v>
      </c>
      <c r="AB4038" s="47">
        <f t="shared" si="887"/>
        <v>2800</v>
      </c>
      <c r="AC4038" s="47"/>
      <c r="AD4038" s="47"/>
      <c r="AE4038" s="47"/>
      <c r="AF4038" s="47">
        <f>AF$7</f>
        <v>1485</v>
      </c>
      <c r="AG4038" s="47"/>
      <c r="AH4038" s="47" t="str">
        <f>IFERROR(_xlfn.XLOOKUP(Table6[[#This Row],[Suburb]],Table5[Travel Surcharge],Table5[$$]),"")</f>
        <v/>
      </c>
      <c r="AI4038" s="47"/>
      <c r="AJ4038" s="47"/>
    </row>
    <row r="4039" spans="1:36">
      <c r="A4039" s="374" t="s">
        <v>5951</v>
      </c>
      <c r="B4039" s="374">
        <v>3</v>
      </c>
      <c r="C4039" s="374" t="s">
        <v>550</v>
      </c>
      <c r="D4039" s="375" t="str">
        <f t="shared" si="880"/>
        <v>Taylors3</v>
      </c>
      <c r="E4039" s="375" t="s">
        <v>5952</v>
      </c>
      <c r="F4039" s="375"/>
      <c r="G4039" s="375" t="s">
        <v>1675</v>
      </c>
      <c r="H4039" s="375" t="s">
        <v>1676</v>
      </c>
      <c r="I4039" s="63" t="s">
        <v>1677</v>
      </c>
      <c r="J4039" s="47">
        <f t="shared" si="886"/>
        <v>3740</v>
      </c>
      <c r="K4039" s="46" t="s">
        <v>10735</v>
      </c>
      <c r="L4039" s="47" t="s">
        <v>2817</v>
      </c>
      <c r="M4039" s="47">
        <f>M$7</f>
        <v>1430.0000000000002</v>
      </c>
      <c r="N4039" s="47"/>
      <c r="O4039" s="47" t="s">
        <v>506</v>
      </c>
      <c r="P4039" s="47" t="s">
        <v>5953</v>
      </c>
      <c r="Q4039" s="47"/>
      <c r="R4039" s="47">
        <f>R$2</f>
        <v>540</v>
      </c>
      <c r="S4039" s="47"/>
      <c r="T4039" s="47"/>
      <c r="U4039" s="47" t="s">
        <v>1192</v>
      </c>
      <c r="V4039" s="47"/>
      <c r="W4039" s="47"/>
      <c r="X4039" s="47"/>
      <c r="Y4039" s="47"/>
      <c r="Z4039" s="47">
        <f t="shared" si="884"/>
        <v>4620</v>
      </c>
      <c r="AA4039" s="47">
        <f t="shared" si="887"/>
        <v>1400</v>
      </c>
      <c r="AB4039" s="47">
        <f t="shared" si="887"/>
        <v>2800</v>
      </c>
      <c r="AC4039" s="47"/>
      <c r="AD4039" s="47"/>
      <c r="AE4039" s="47"/>
      <c r="AF4039" s="47">
        <f>AF$7</f>
        <v>1485</v>
      </c>
      <c r="AG4039" s="47"/>
      <c r="AH4039" s="47" t="str">
        <f>IFERROR(_xlfn.XLOOKUP(Table6[[#This Row],[Suburb]],Table5[Travel Surcharge],Table5[$$]),"")</f>
        <v/>
      </c>
      <c r="AI4039" s="47"/>
      <c r="AJ4039" s="47"/>
    </row>
    <row r="4040" spans="1:36">
      <c r="A4040" s="157" t="s">
        <v>5951</v>
      </c>
      <c r="B4040" s="157">
        <v>22</v>
      </c>
      <c r="C4040" s="157" t="s">
        <v>550</v>
      </c>
      <c r="D4040" s="157" t="str">
        <f t="shared" si="880"/>
        <v>Taylors22</v>
      </c>
      <c r="E4040" s="157" t="s">
        <v>8530</v>
      </c>
      <c r="F4040" s="157"/>
      <c r="G4040" s="157" t="s">
        <v>1675</v>
      </c>
      <c r="H4040" s="157" t="s">
        <v>1676</v>
      </c>
      <c r="I4040" s="158" t="s">
        <v>1677</v>
      </c>
      <c r="J4040" s="47">
        <f t="shared" si="886"/>
        <v>3740</v>
      </c>
      <c r="K4040" s="46" t="s">
        <v>10735</v>
      </c>
      <c r="L4040" s="47" t="s">
        <v>2817</v>
      </c>
      <c r="M4040" s="47">
        <f>M$7</f>
        <v>1430.0000000000002</v>
      </c>
      <c r="N4040" s="47"/>
      <c r="O4040" s="47" t="s">
        <v>506</v>
      </c>
      <c r="P4040" s="47" t="s">
        <v>5953</v>
      </c>
      <c r="Q4040" s="47"/>
      <c r="R4040" s="47">
        <f>R$2</f>
        <v>540</v>
      </c>
      <c r="S4040" s="47"/>
      <c r="T4040" s="47"/>
      <c r="U4040" s="47" t="s">
        <v>1192</v>
      </c>
      <c r="V4040" s="47"/>
      <c r="W4040" s="47"/>
      <c r="X4040" s="47"/>
      <c r="Y4040" s="47"/>
      <c r="Z4040" s="47">
        <f t="shared" si="884"/>
        <v>4620</v>
      </c>
      <c r="AA4040" s="47">
        <f t="shared" si="887"/>
        <v>1400</v>
      </c>
      <c r="AB4040" s="47">
        <f t="shared" si="887"/>
        <v>2800</v>
      </c>
      <c r="AC4040" s="47"/>
      <c r="AD4040" s="47"/>
      <c r="AE4040" s="47"/>
      <c r="AF4040" s="47">
        <f>AF$7</f>
        <v>1485</v>
      </c>
      <c r="AG4040" s="47"/>
      <c r="AH4040" s="47" t="str">
        <f>IFERROR(_xlfn.XLOOKUP(Table6[[#This Row],[Suburb]],Table5[Travel Surcharge],Table5[$$]),"")</f>
        <v/>
      </c>
      <c r="AI4040" s="47"/>
      <c r="AJ4040" s="47"/>
    </row>
    <row r="4041" spans="1:36">
      <c r="A4041" s="374" t="s">
        <v>5954</v>
      </c>
      <c r="B4041" s="374">
        <v>1</v>
      </c>
      <c r="C4041" s="374" t="s">
        <v>5955</v>
      </c>
      <c r="D4041" s="375" t="str">
        <f t="shared" si="880"/>
        <v>Taylors Hill Estate1</v>
      </c>
      <c r="E4041" s="375" t="s">
        <v>5956</v>
      </c>
      <c r="F4041" s="375"/>
      <c r="G4041" s="375"/>
      <c r="H4041" s="375"/>
      <c r="I4041" s="63"/>
      <c r="J4041" s="47">
        <f t="shared" si="886"/>
        <v>3740</v>
      </c>
      <c r="K4041" s="46" t="s">
        <v>10735</v>
      </c>
      <c r="L4041" s="47"/>
      <c r="M4041" s="47"/>
      <c r="N4041" s="47"/>
      <c r="O4041" s="47"/>
      <c r="P4041" s="47"/>
      <c r="Q4041" s="47">
        <v>0</v>
      </c>
      <c r="R4041" s="47"/>
      <c r="S4041" s="47"/>
      <c r="T4041" s="47"/>
      <c r="U4041" s="47"/>
      <c r="V4041" s="47"/>
      <c r="W4041" s="47"/>
      <c r="X4041" s="47"/>
      <c r="Y4041" s="47"/>
      <c r="Z4041" s="47">
        <f t="shared" si="884"/>
        <v>4620</v>
      </c>
      <c r="AA4041" s="47"/>
      <c r="AB4041" s="47"/>
      <c r="AC4041" s="47"/>
      <c r="AD4041" s="47"/>
      <c r="AE4041" s="47"/>
      <c r="AF4041" s="47"/>
      <c r="AG4041" s="47"/>
      <c r="AH4041" s="47" t="str">
        <f>IFERROR(_xlfn.XLOOKUP(Table6[[#This Row],[Suburb]],Table5[Travel Surcharge],Table5[$$]),"")</f>
        <v/>
      </c>
      <c r="AI4041" s="47"/>
      <c r="AJ4041" s="47"/>
    </row>
    <row r="4042" spans="1:36">
      <c r="A4042" s="374" t="s">
        <v>5957</v>
      </c>
      <c r="B4042" s="374">
        <v>2</v>
      </c>
      <c r="C4042" s="374" t="s">
        <v>5958</v>
      </c>
      <c r="D4042" s="375" t="str">
        <f t="shared" si="880"/>
        <v>Taylors Quarter2</v>
      </c>
      <c r="E4042" s="375" t="s">
        <v>5959</v>
      </c>
      <c r="F4042" s="375" t="s">
        <v>5960</v>
      </c>
      <c r="G4042" s="375"/>
      <c r="H4042" s="375" t="s">
        <v>5961</v>
      </c>
      <c r="I4042" s="63"/>
      <c r="J4042" s="47">
        <f t="shared" si="886"/>
        <v>3740</v>
      </c>
      <c r="K4042" s="46" t="s">
        <v>10735</v>
      </c>
      <c r="L4042" s="47"/>
      <c r="M4042" s="47">
        <f>M$7</f>
        <v>1430.0000000000002</v>
      </c>
      <c r="N4042" s="47" t="s">
        <v>5962</v>
      </c>
      <c r="O4042" s="47" t="s">
        <v>5963</v>
      </c>
      <c r="P4042" s="47" t="s">
        <v>5625</v>
      </c>
      <c r="Q4042" s="47">
        <v>0</v>
      </c>
      <c r="R4042" s="47" t="s">
        <v>4960</v>
      </c>
      <c r="S4042" s="47"/>
      <c r="T4042" s="47"/>
      <c r="U4042" s="47"/>
      <c r="V4042" s="47" t="s">
        <v>5964</v>
      </c>
      <c r="W4042" s="47"/>
      <c r="X4042" s="47"/>
      <c r="Y4042" s="47"/>
      <c r="Z4042" s="47">
        <f t="shared" si="884"/>
        <v>4620</v>
      </c>
      <c r="AA4042" s="47"/>
      <c r="AB4042" s="47"/>
      <c r="AC4042" s="47"/>
      <c r="AD4042" s="47"/>
      <c r="AE4042" s="47">
        <f>AE$7</f>
        <v>5000</v>
      </c>
      <c r="AF4042" s="47">
        <f>AF$7</f>
        <v>1485</v>
      </c>
      <c r="AG4042" s="47"/>
      <c r="AH4042" s="47" t="str">
        <f>IFERROR(_xlfn.XLOOKUP(Table6[[#This Row],[Suburb]],Table5[Travel Surcharge],Table5[$$]),"")</f>
        <v/>
      </c>
      <c r="AI4042" s="47"/>
      <c r="AJ4042" s="47"/>
    </row>
    <row r="4043" spans="1:36">
      <c r="A4043" s="374" t="s">
        <v>9539</v>
      </c>
      <c r="B4043" s="374">
        <v>1</v>
      </c>
      <c r="C4043" s="374" t="s">
        <v>1660</v>
      </c>
      <c r="D4043" s="375" t="str">
        <f t="shared" si="880"/>
        <v>Taylors Rise1</v>
      </c>
      <c r="E4043" s="375" t="s">
        <v>9540</v>
      </c>
      <c r="F4043" s="375"/>
      <c r="G4043" s="375"/>
      <c r="H4043" s="375"/>
      <c r="I4043" s="63"/>
      <c r="J4043" s="47">
        <f t="shared" si="886"/>
        <v>3740</v>
      </c>
      <c r="K4043" s="46" t="s">
        <v>10735</v>
      </c>
      <c r="L4043" s="47"/>
      <c r="M4043" s="47"/>
      <c r="N4043" s="47"/>
      <c r="O4043" s="47"/>
      <c r="P4043" s="47"/>
      <c r="Q4043" s="47">
        <f>Q$2</f>
        <v>0</v>
      </c>
      <c r="R4043" s="47"/>
      <c r="S4043" s="47"/>
      <c r="T4043" s="47"/>
      <c r="U4043" s="47"/>
      <c r="V4043" s="47"/>
      <c r="W4043" s="47"/>
      <c r="X4043" s="47"/>
      <c r="Y4043" s="47"/>
      <c r="Z4043" s="47">
        <f t="shared" si="884"/>
        <v>4620</v>
      </c>
      <c r="AA4043" s="47"/>
      <c r="AB4043" s="47"/>
      <c r="AC4043" s="47"/>
      <c r="AD4043" s="47"/>
      <c r="AE4043" s="47" t="s">
        <v>9542</v>
      </c>
      <c r="AF4043" s="47">
        <f>AF$7</f>
        <v>1485</v>
      </c>
      <c r="AG4043" s="47" t="s">
        <v>9541</v>
      </c>
      <c r="AH4043" s="47" t="str">
        <f>IFERROR(_xlfn.XLOOKUP(Table6[[#This Row],[Suburb]],Table5[Travel Surcharge],Table5[$$]),"")</f>
        <v/>
      </c>
      <c r="AI4043" s="47"/>
      <c r="AJ4043" s="47"/>
    </row>
    <row r="4044" spans="1:36">
      <c r="A4044" s="374" t="s">
        <v>9539</v>
      </c>
      <c r="B4044" s="374">
        <v>3</v>
      </c>
      <c r="C4044" s="374" t="s">
        <v>1660</v>
      </c>
      <c r="D4044" s="375" t="str">
        <f t="shared" si="880"/>
        <v>Taylors Rise3</v>
      </c>
      <c r="E4044" s="375" t="s">
        <v>10254</v>
      </c>
      <c r="F4044" s="375"/>
      <c r="G4044" s="375"/>
      <c r="H4044" s="375"/>
      <c r="I4044" s="63"/>
      <c r="J4044" s="47">
        <v>3740</v>
      </c>
      <c r="K4044" s="46" t="s">
        <v>10735</v>
      </c>
      <c r="L4044" s="47"/>
      <c r="M4044" s="47"/>
      <c r="N4044" s="47"/>
      <c r="O4044" s="47"/>
      <c r="P4044" s="47"/>
      <c r="Q4044" s="47">
        <v>0</v>
      </c>
      <c r="R4044" s="47"/>
      <c r="S4044" s="47"/>
      <c r="T4044" s="47"/>
      <c r="U4044" s="47"/>
      <c r="V4044" s="47"/>
      <c r="W4044" s="47"/>
      <c r="X4044" s="47"/>
      <c r="Y4044" s="47"/>
      <c r="Z4044" s="47">
        <v>4620</v>
      </c>
      <c r="AA4044" s="47"/>
      <c r="AB4044" s="47"/>
      <c r="AC4044" s="47"/>
      <c r="AD4044" s="47"/>
      <c r="AE4044" s="47" t="s">
        <v>9542</v>
      </c>
      <c r="AF4044" s="47">
        <v>1485</v>
      </c>
      <c r="AG4044" s="47" t="s">
        <v>9541</v>
      </c>
      <c r="AH4044" s="47" t="s">
        <v>9976</v>
      </c>
      <c r="AI4044" s="47"/>
      <c r="AJ4044" s="47"/>
    </row>
    <row r="4045" spans="1:36">
      <c r="A4045" s="374" t="s">
        <v>5965</v>
      </c>
      <c r="B4045" s="374">
        <v>2</v>
      </c>
      <c r="C4045" s="374" t="s">
        <v>550</v>
      </c>
      <c r="D4045" s="375" t="str">
        <f t="shared" si="880"/>
        <v>Taylors Run2</v>
      </c>
      <c r="E4045" s="375" t="s">
        <v>5972</v>
      </c>
      <c r="F4045" s="375" t="s">
        <v>493</v>
      </c>
      <c r="G4045" s="375" t="s">
        <v>2287</v>
      </c>
      <c r="H4045" s="375" t="s">
        <v>5967</v>
      </c>
      <c r="I4045" s="63" t="s">
        <v>5968</v>
      </c>
      <c r="J4045" s="47"/>
      <c r="K4045" s="46" t="s">
        <v>7938</v>
      </c>
      <c r="L4045" s="47" t="s">
        <v>5969</v>
      </c>
      <c r="M4045" s="47" t="s">
        <v>5970</v>
      </c>
      <c r="N4045" s="47"/>
      <c r="O4045" s="47">
        <v>4950</v>
      </c>
      <c r="P4045" s="47"/>
      <c r="Q4045" s="47"/>
      <c r="R4045" s="47"/>
      <c r="S4045" s="47"/>
      <c r="T4045" s="47"/>
      <c r="U4045" s="47">
        <f t="shared" ref="U4045:U4051" si="888">U$2</f>
        <v>430</v>
      </c>
      <c r="V4045" s="47"/>
      <c r="W4045" s="47"/>
      <c r="X4045" s="47"/>
      <c r="Y4045" s="47" t="s">
        <v>5971</v>
      </c>
      <c r="Z4045" s="47">
        <f t="shared" si="884"/>
        <v>4620</v>
      </c>
      <c r="AA4045" s="47">
        <f t="shared" ref="AA4045:AC4053" si="889">AA$7</f>
        <v>1400</v>
      </c>
      <c r="AB4045" s="47">
        <f t="shared" si="889"/>
        <v>2800</v>
      </c>
      <c r="AC4045" s="47">
        <f t="shared" si="889"/>
        <v>5200</v>
      </c>
      <c r="AD4045" s="47"/>
      <c r="AE4045" s="47"/>
      <c r="AF4045" s="47"/>
      <c r="AG4045" s="47">
        <f t="shared" ref="AG4045:AG4053" si="890">$AG$7</f>
        <v>3300.0000000000005</v>
      </c>
      <c r="AH4045" s="47" t="str">
        <f>IFERROR(_xlfn.XLOOKUP(Table6[[#This Row],[Suburb]],Table5[Travel Surcharge],Table5[$$]),"")</f>
        <v/>
      </c>
      <c r="AI4045" s="47">
        <f t="shared" ref="AI4045:AI4051" si="891">AI$7</f>
        <v>1650.0000000000002</v>
      </c>
      <c r="AJ4045" s="47"/>
    </row>
    <row r="4046" spans="1:36">
      <c r="A4046" s="374" t="s">
        <v>5965</v>
      </c>
      <c r="B4046" s="374">
        <v>3</v>
      </c>
      <c r="C4046" s="374" t="s">
        <v>550</v>
      </c>
      <c r="D4046" s="375" t="str">
        <f t="shared" si="880"/>
        <v>Taylors Run3</v>
      </c>
      <c r="E4046" s="375" t="s">
        <v>5973</v>
      </c>
      <c r="F4046" s="375" t="s">
        <v>493</v>
      </c>
      <c r="G4046" s="375" t="s">
        <v>2287</v>
      </c>
      <c r="H4046" s="375" t="s">
        <v>5967</v>
      </c>
      <c r="I4046" s="63" t="s">
        <v>5968</v>
      </c>
      <c r="J4046" s="47"/>
      <c r="K4046" s="46" t="s">
        <v>7938</v>
      </c>
      <c r="L4046" s="47" t="s">
        <v>5969</v>
      </c>
      <c r="M4046" s="47" t="s">
        <v>5970</v>
      </c>
      <c r="N4046" s="47"/>
      <c r="O4046" s="47">
        <v>4950</v>
      </c>
      <c r="P4046" s="47"/>
      <c r="Q4046" s="47"/>
      <c r="R4046" s="47"/>
      <c r="S4046" s="47"/>
      <c r="T4046" s="47"/>
      <c r="U4046" s="47">
        <f t="shared" si="888"/>
        <v>430</v>
      </c>
      <c r="V4046" s="47"/>
      <c r="W4046" s="47"/>
      <c r="X4046" s="47"/>
      <c r="Y4046" s="47" t="s">
        <v>5971</v>
      </c>
      <c r="Z4046" s="47">
        <f t="shared" si="884"/>
        <v>4620</v>
      </c>
      <c r="AA4046" s="47">
        <f t="shared" si="889"/>
        <v>1400</v>
      </c>
      <c r="AB4046" s="47">
        <f t="shared" si="889"/>
        <v>2800</v>
      </c>
      <c r="AC4046" s="47">
        <f t="shared" si="889"/>
        <v>5200</v>
      </c>
      <c r="AD4046" s="47"/>
      <c r="AE4046" s="47"/>
      <c r="AF4046" s="47"/>
      <c r="AG4046" s="47">
        <f t="shared" si="890"/>
        <v>3300.0000000000005</v>
      </c>
      <c r="AH4046" s="47" t="str">
        <f>IFERROR(_xlfn.XLOOKUP(Table6[[#This Row],[Suburb]],Table5[Travel Surcharge],Table5[$$]),"")</f>
        <v/>
      </c>
      <c r="AI4046" s="47">
        <f t="shared" si="891"/>
        <v>1650.0000000000002</v>
      </c>
      <c r="AJ4046" s="47"/>
    </row>
    <row r="4047" spans="1:36">
      <c r="A4047" s="374" t="s">
        <v>5965</v>
      </c>
      <c r="B4047" s="374">
        <v>4</v>
      </c>
      <c r="C4047" s="374" t="s">
        <v>550</v>
      </c>
      <c r="D4047" s="375" t="str">
        <f t="shared" si="880"/>
        <v>Taylors Run4</v>
      </c>
      <c r="E4047" s="375" t="s">
        <v>5974</v>
      </c>
      <c r="F4047" s="375" t="s">
        <v>493</v>
      </c>
      <c r="G4047" s="375" t="s">
        <v>2287</v>
      </c>
      <c r="H4047" s="375" t="s">
        <v>5967</v>
      </c>
      <c r="I4047" s="63" t="s">
        <v>5968</v>
      </c>
      <c r="J4047" s="47"/>
      <c r="K4047" s="46" t="s">
        <v>7938</v>
      </c>
      <c r="L4047" s="47" t="s">
        <v>5969</v>
      </c>
      <c r="M4047" s="47" t="s">
        <v>5970</v>
      </c>
      <c r="N4047" s="47"/>
      <c r="O4047" s="47">
        <v>4950</v>
      </c>
      <c r="P4047" s="47"/>
      <c r="Q4047" s="47"/>
      <c r="R4047" s="47"/>
      <c r="S4047" s="47"/>
      <c r="T4047" s="47"/>
      <c r="U4047" s="47">
        <f t="shared" si="888"/>
        <v>430</v>
      </c>
      <c r="V4047" s="47"/>
      <c r="W4047" s="47"/>
      <c r="X4047" s="47"/>
      <c r="Y4047" s="47" t="s">
        <v>5971</v>
      </c>
      <c r="Z4047" s="47">
        <f t="shared" si="884"/>
        <v>4620</v>
      </c>
      <c r="AA4047" s="47">
        <f t="shared" si="889"/>
        <v>1400</v>
      </c>
      <c r="AB4047" s="47">
        <f t="shared" si="889"/>
        <v>2800</v>
      </c>
      <c r="AC4047" s="47">
        <f t="shared" si="889"/>
        <v>5200</v>
      </c>
      <c r="AD4047" s="47"/>
      <c r="AE4047" s="47"/>
      <c r="AF4047" s="47"/>
      <c r="AG4047" s="47">
        <f t="shared" si="890"/>
        <v>3300.0000000000005</v>
      </c>
      <c r="AH4047" s="47" t="str">
        <f>IFERROR(_xlfn.XLOOKUP(Table6[[#This Row],[Suburb]],Table5[Travel Surcharge],Table5[$$]),"")</f>
        <v/>
      </c>
      <c r="AI4047" s="47">
        <f t="shared" si="891"/>
        <v>1650.0000000000002</v>
      </c>
      <c r="AJ4047" s="47"/>
    </row>
    <row r="4048" spans="1:36">
      <c r="A4048" s="374" t="s">
        <v>5965</v>
      </c>
      <c r="B4048" s="374">
        <v>5</v>
      </c>
      <c r="C4048" s="374" t="s">
        <v>550</v>
      </c>
      <c r="D4048" s="375" t="str">
        <f t="shared" si="880"/>
        <v>Taylors Run5</v>
      </c>
      <c r="E4048" s="375" t="s">
        <v>5975</v>
      </c>
      <c r="F4048" s="375" t="s">
        <v>493</v>
      </c>
      <c r="G4048" s="375" t="s">
        <v>2287</v>
      </c>
      <c r="H4048" s="375" t="s">
        <v>5967</v>
      </c>
      <c r="I4048" s="63" t="s">
        <v>5968</v>
      </c>
      <c r="J4048" s="47"/>
      <c r="K4048" s="46" t="s">
        <v>7938</v>
      </c>
      <c r="L4048" s="47" t="s">
        <v>5969</v>
      </c>
      <c r="M4048" s="47" t="s">
        <v>5970</v>
      </c>
      <c r="N4048" s="47"/>
      <c r="O4048" s="47">
        <v>4950</v>
      </c>
      <c r="P4048" s="47"/>
      <c r="Q4048" s="47"/>
      <c r="R4048" s="47"/>
      <c r="S4048" s="47"/>
      <c r="T4048" s="47"/>
      <c r="U4048" s="47">
        <f t="shared" si="888"/>
        <v>430</v>
      </c>
      <c r="V4048" s="47"/>
      <c r="W4048" s="47"/>
      <c r="X4048" s="47"/>
      <c r="Y4048" s="47" t="s">
        <v>5971</v>
      </c>
      <c r="Z4048" s="47">
        <f t="shared" si="884"/>
        <v>4620</v>
      </c>
      <c r="AA4048" s="47">
        <f t="shared" si="889"/>
        <v>1400</v>
      </c>
      <c r="AB4048" s="47">
        <f t="shared" si="889"/>
        <v>2800</v>
      </c>
      <c r="AC4048" s="47">
        <f t="shared" si="889"/>
        <v>5200</v>
      </c>
      <c r="AD4048" s="47"/>
      <c r="AE4048" s="47"/>
      <c r="AF4048" s="47"/>
      <c r="AG4048" s="47">
        <f t="shared" si="890"/>
        <v>3300.0000000000005</v>
      </c>
      <c r="AH4048" s="47" t="str">
        <f>IFERROR(_xlfn.XLOOKUP(Table6[[#This Row],[Suburb]],Table5[Travel Surcharge],Table5[$$]),"")</f>
        <v/>
      </c>
      <c r="AI4048" s="47">
        <f t="shared" si="891"/>
        <v>1650.0000000000002</v>
      </c>
      <c r="AJ4048" s="47"/>
    </row>
    <row r="4049" spans="1:36">
      <c r="A4049" s="374" t="s">
        <v>5965</v>
      </c>
      <c r="B4049" s="374">
        <v>6</v>
      </c>
      <c r="C4049" s="374" t="s">
        <v>550</v>
      </c>
      <c r="D4049" s="375" t="str">
        <f t="shared" si="880"/>
        <v>Taylors Run6</v>
      </c>
      <c r="E4049" s="375" t="s">
        <v>5977</v>
      </c>
      <c r="F4049" s="375" t="s">
        <v>493</v>
      </c>
      <c r="G4049" s="375" t="s">
        <v>2287</v>
      </c>
      <c r="H4049" s="375" t="s">
        <v>5967</v>
      </c>
      <c r="I4049" s="63" t="s">
        <v>5968</v>
      </c>
      <c r="J4049" s="47"/>
      <c r="K4049" s="46" t="s">
        <v>7938</v>
      </c>
      <c r="L4049" s="47" t="s">
        <v>5969</v>
      </c>
      <c r="M4049" s="47" t="s">
        <v>5970</v>
      </c>
      <c r="N4049" s="47"/>
      <c r="O4049" s="47">
        <v>4950</v>
      </c>
      <c r="P4049" s="47" t="s">
        <v>5978</v>
      </c>
      <c r="Q4049" s="47"/>
      <c r="R4049" s="47"/>
      <c r="S4049" s="47"/>
      <c r="T4049" s="47"/>
      <c r="U4049" s="47">
        <f t="shared" si="888"/>
        <v>430</v>
      </c>
      <c r="V4049" s="47"/>
      <c r="W4049" s="47"/>
      <c r="X4049" s="47"/>
      <c r="Y4049" s="47" t="s">
        <v>5971</v>
      </c>
      <c r="Z4049" s="47">
        <f t="shared" si="884"/>
        <v>4620</v>
      </c>
      <c r="AA4049" s="47">
        <f t="shared" si="889"/>
        <v>1400</v>
      </c>
      <c r="AB4049" s="47">
        <f t="shared" si="889"/>
        <v>2800</v>
      </c>
      <c r="AC4049" s="47">
        <f t="shared" si="889"/>
        <v>5200</v>
      </c>
      <c r="AD4049" s="47"/>
      <c r="AE4049" s="47"/>
      <c r="AF4049" s="47"/>
      <c r="AG4049" s="47">
        <f t="shared" si="890"/>
        <v>3300.0000000000005</v>
      </c>
      <c r="AH4049" s="47" t="str">
        <f>IFERROR(_xlfn.XLOOKUP(Table6[[#This Row],[Suburb]],Table5[Travel Surcharge],Table5[$$]),"")</f>
        <v/>
      </c>
      <c r="AI4049" s="47">
        <f t="shared" si="891"/>
        <v>1650.0000000000002</v>
      </c>
      <c r="AJ4049" s="47"/>
    </row>
    <row r="4050" spans="1:36">
      <c r="A4050" s="374" t="s">
        <v>5965</v>
      </c>
      <c r="B4050" s="374">
        <v>7</v>
      </c>
      <c r="C4050" s="374" t="s">
        <v>550</v>
      </c>
      <c r="D4050" s="375" t="str">
        <f t="shared" si="880"/>
        <v>Taylors Run7</v>
      </c>
      <c r="E4050" s="375" t="s">
        <v>5979</v>
      </c>
      <c r="F4050" s="375" t="s">
        <v>493</v>
      </c>
      <c r="G4050" s="375" t="s">
        <v>2287</v>
      </c>
      <c r="H4050" s="375" t="s">
        <v>5967</v>
      </c>
      <c r="I4050" s="63" t="s">
        <v>5968</v>
      </c>
      <c r="J4050" s="47"/>
      <c r="K4050" s="46" t="s">
        <v>7938</v>
      </c>
      <c r="L4050" s="47" t="s">
        <v>5969</v>
      </c>
      <c r="M4050" s="47" t="s">
        <v>5970</v>
      </c>
      <c r="N4050" s="47"/>
      <c r="O4050" s="47">
        <v>4950</v>
      </c>
      <c r="P4050" s="47" t="s">
        <v>5980</v>
      </c>
      <c r="Q4050" s="47"/>
      <c r="R4050" s="47"/>
      <c r="S4050" s="47"/>
      <c r="T4050" s="47"/>
      <c r="U4050" s="47">
        <f t="shared" si="888"/>
        <v>430</v>
      </c>
      <c r="V4050" s="47"/>
      <c r="W4050" s="47"/>
      <c r="X4050" s="47"/>
      <c r="Y4050" s="47" t="s">
        <v>5971</v>
      </c>
      <c r="Z4050" s="47">
        <f t="shared" si="884"/>
        <v>4620</v>
      </c>
      <c r="AA4050" s="47">
        <f t="shared" si="889"/>
        <v>1400</v>
      </c>
      <c r="AB4050" s="47">
        <f t="shared" si="889"/>
        <v>2800</v>
      </c>
      <c r="AC4050" s="47">
        <f t="shared" si="889"/>
        <v>5200</v>
      </c>
      <c r="AD4050" s="47"/>
      <c r="AE4050" s="47"/>
      <c r="AF4050" s="47"/>
      <c r="AG4050" s="47">
        <f t="shared" si="890"/>
        <v>3300.0000000000005</v>
      </c>
      <c r="AH4050" s="47" t="str">
        <f>IFERROR(_xlfn.XLOOKUP(Table6[[#This Row],[Suburb]],Table5[Travel Surcharge],Table5[$$]),"")</f>
        <v/>
      </c>
      <c r="AI4050" s="47">
        <f t="shared" si="891"/>
        <v>1650.0000000000002</v>
      </c>
      <c r="AJ4050" s="47"/>
    </row>
    <row r="4051" spans="1:36">
      <c r="A4051" s="157" t="s">
        <v>5965</v>
      </c>
      <c r="B4051" s="157">
        <v>8</v>
      </c>
      <c r="C4051" s="157" t="s">
        <v>550</v>
      </c>
      <c r="D4051" s="157" t="str">
        <f t="shared" si="880"/>
        <v>Taylors Run8</v>
      </c>
      <c r="E4051" s="157" t="s">
        <v>7916</v>
      </c>
      <c r="F4051" s="157" t="s">
        <v>493</v>
      </c>
      <c r="G4051" s="157" t="s">
        <v>2287</v>
      </c>
      <c r="H4051" s="157" t="s">
        <v>5967</v>
      </c>
      <c r="I4051" s="158" t="s">
        <v>5968</v>
      </c>
      <c r="J4051" s="47"/>
      <c r="K4051" s="46" t="s">
        <v>7938</v>
      </c>
      <c r="L4051" s="47" t="s">
        <v>5969</v>
      </c>
      <c r="M4051" s="47" t="s">
        <v>5970</v>
      </c>
      <c r="N4051" s="47"/>
      <c r="O4051" s="47">
        <v>4950</v>
      </c>
      <c r="P4051" s="47" t="s">
        <v>5980</v>
      </c>
      <c r="Q4051" s="47"/>
      <c r="R4051" s="47"/>
      <c r="S4051" s="47"/>
      <c r="T4051" s="47"/>
      <c r="U4051" s="47">
        <f t="shared" si="888"/>
        <v>430</v>
      </c>
      <c r="V4051" s="47"/>
      <c r="W4051" s="47"/>
      <c r="X4051" s="47"/>
      <c r="Y4051" s="47" t="s">
        <v>5971</v>
      </c>
      <c r="Z4051" s="47">
        <f t="shared" si="884"/>
        <v>4620</v>
      </c>
      <c r="AA4051" s="47">
        <f t="shared" si="889"/>
        <v>1400</v>
      </c>
      <c r="AB4051" s="47">
        <f t="shared" si="889"/>
        <v>2800</v>
      </c>
      <c r="AC4051" s="47">
        <f>AC$7</f>
        <v>5200</v>
      </c>
      <c r="AD4051" s="47"/>
      <c r="AE4051" s="47"/>
      <c r="AF4051" s="47"/>
      <c r="AG4051" s="47">
        <f t="shared" si="890"/>
        <v>3300.0000000000005</v>
      </c>
      <c r="AH4051" s="47" t="str">
        <f>IFERROR(_xlfn.XLOOKUP(Table6[[#This Row],[Suburb]],Table5[Travel Surcharge],Table5[$$]),"")</f>
        <v/>
      </c>
      <c r="AI4051" s="47">
        <f t="shared" si="891"/>
        <v>1650.0000000000002</v>
      </c>
      <c r="AJ4051" s="47"/>
    </row>
    <row r="4052" spans="1:36">
      <c r="A4052" s="374" t="s">
        <v>5965</v>
      </c>
      <c r="B4052" s="374">
        <v>10</v>
      </c>
      <c r="C4052" s="374" t="s">
        <v>550</v>
      </c>
      <c r="D4052" s="375" t="s">
        <v>9465</v>
      </c>
      <c r="E4052" s="375" t="s">
        <v>9466</v>
      </c>
      <c r="F4052" s="375" t="s">
        <v>493</v>
      </c>
      <c r="G4052" s="375" t="s">
        <v>2287</v>
      </c>
      <c r="H4052" s="375" t="s">
        <v>5967</v>
      </c>
      <c r="I4052" s="63" t="s">
        <v>5968</v>
      </c>
      <c r="J4052" s="47"/>
      <c r="K4052" s="46" t="s">
        <v>7938</v>
      </c>
      <c r="L4052" s="47" t="s">
        <v>5969</v>
      </c>
      <c r="M4052" s="47" t="s">
        <v>5970</v>
      </c>
      <c r="N4052" s="47"/>
      <c r="O4052" s="47">
        <v>4950</v>
      </c>
      <c r="P4052" s="47" t="s">
        <v>5980</v>
      </c>
      <c r="Q4052" s="47"/>
      <c r="R4052" s="47"/>
      <c r="S4052" s="47"/>
      <c r="T4052" s="47"/>
      <c r="U4052" s="47">
        <v>540</v>
      </c>
      <c r="V4052" s="47"/>
      <c r="W4052" s="47"/>
      <c r="X4052" s="47"/>
      <c r="Y4052" s="47" t="s">
        <v>5971</v>
      </c>
      <c r="Z4052" s="47">
        <v>4620</v>
      </c>
      <c r="AA4052" s="47">
        <f t="shared" si="889"/>
        <v>1400</v>
      </c>
      <c r="AB4052" s="47">
        <f t="shared" si="889"/>
        <v>2800</v>
      </c>
      <c r="AC4052" s="47">
        <v>5200</v>
      </c>
      <c r="AD4052" s="47"/>
      <c r="AE4052" s="47"/>
      <c r="AF4052" s="47"/>
      <c r="AG4052" s="47">
        <f t="shared" si="890"/>
        <v>3300.0000000000005</v>
      </c>
      <c r="AH4052" s="47" t="str">
        <f>IFERROR(_xlfn.XLOOKUP(Table6[[#This Row],[Suburb]],Table5[Travel Surcharge],Table5[$$]),"")</f>
        <v/>
      </c>
      <c r="AI4052" s="47">
        <v>1650.0000000000002</v>
      </c>
      <c r="AJ4052" s="47"/>
    </row>
    <row r="4053" spans="1:36">
      <c r="A4053" s="157" t="s">
        <v>5965</v>
      </c>
      <c r="B4053" s="157">
        <v>9</v>
      </c>
      <c r="C4053" s="157" t="s">
        <v>550</v>
      </c>
      <c r="D4053" s="157" t="str">
        <f t="shared" ref="D4053:D4086" si="892">CONCATENATE(A4053,B4053)</f>
        <v>Taylors Run9</v>
      </c>
      <c r="E4053" s="157" t="s">
        <v>7943</v>
      </c>
      <c r="F4053" s="157" t="s">
        <v>493</v>
      </c>
      <c r="G4053" s="157" t="s">
        <v>2287</v>
      </c>
      <c r="H4053" s="157" t="s">
        <v>5967</v>
      </c>
      <c r="I4053" s="158" t="s">
        <v>5968</v>
      </c>
      <c r="J4053" s="47"/>
      <c r="K4053" s="46" t="s">
        <v>7938</v>
      </c>
      <c r="L4053" s="47" t="s">
        <v>5969</v>
      </c>
      <c r="M4053" s="47" t="s">
        <v>5970</v>
      </c>
      <c r="N4053" s="47"/>
      <c r="O4053" s="47">
        <v>4950</v>
      </c>
      <c r="P4053" s="47" t="s">
        <v>5980</v>
      </c>
      <c r="Q4053" s="47"/>
      <c r="R4053" s="47"/>
      <c r="S4053" s="47"/>
      <c r="T4053" s="47"/>
      <c r="U4053" s="47">
        <f>U$2</f>
        <v>430</v>
      </c>
      <c r="V4053" s="47"/>
      <c r="W4053" s="47"/>
      <c r="X4053" s="47"/>
      <c r="Y4053" s="47" t="s">
        <v>5971</v>
      </c>
      <c r="Z4053" s="47">
        <f t="shared" ref="Z4053:Z4086" si="893">Z$7</f>
        <v>4620</v>
      </c>
      <c r="AA4053" s="47">
        <f t="shared" si="889"/>
        <v>1400</v>
      </c>
      <c r="AB4053" s="47">
        <f t="shared" si="889"/>
        <v>2800</v>
      </c>
      <c r="AC4053" s="47">
        <f>AC$7</f>
        <v>5200</v>
      </c>
      <c r="AD4053" s="47"/>
      <c r="AE4053" s="47"/>
      <c r="AF4053" s="47"/>
      <c r="AG4053" s="47">
        <f t="shared" si="890"/>
        <v>3300.0000000000005</v>
      </c>
      <c r="AH4053" s="47" t="str">
        <f>IFERROR(_xlfn.XLOOKUP(Table6[[#This Row],[Suburb]],Table5[Travel Surcharge],Table5[$$]),"")</f>
        <v/>
      </c>
      <c r="AI4053" s="47">
        <f>AI$7</f>
        <v>1650.0000000000002</v>
      </c>
      <c r="AJ4053" s="47"/>
    </row>
    <row r="4054" spans="1:36">
      <c r="A4054" s="374" t="s">
        <v>5965</v>
      </c>
      <c r="B4054" s="374" t="s">
        <v>501</v>
      </c>
      <c r="C4054" s="374" t="s">
        <v>550</v>
      </c>
      <c r="D4054" s="375" t="str">
        <f t="shared" si="892"/>
        <v>Taylors Run1A</v>
      </c>
      <c r="E4054" s="375" t="s">
        <v>5966</v>
      </c>
      <c r="F4054" s="375" t="s">
        <v>493</v>
      </c>
      <c r="G4054" s="375" t="s">
        <v>2287</v>
      </c>
      <c r="H4054" s="375" t="s">
        <v>5967</v>
      </c>
      <c r="I4054" s="63" t="s">
        <v>5968</v>
      </c>
      <c r="J4054" s="47"/>
      <c r="K4054" s="46" t="s">
        <v>7938</v>
      </c>
      <c r="L4054" s="47" t="s">
        <v>5969</v>
      </c>
      <c r="M4054" s="47" t="s">
        <v>5970</v>
      </c>
      <c r="N4054" s="47"/>
      <c r="O4054" s="47">
        <v>4950</v>
      </c>
      <c r="P4054" s="47"/>
      <c r="Q4054" s="47"/>
      <c r="R4054" s="47"/>
      <c r="S4054" s="47"/>
      <c r="T4054" s="47"/>
      <c r="U4054" s="47">
        <f>U$2</f>
        <v>430</v>
      </c>
      <c r="V4054" s="47"/>
      <c r="W4054" s="47"/>
      <c r="X4054" s="47"/>
      <c r="Y4054" s="47" t="s">
        <v>5971</v>
      </c>
      <c r="Z4054" s="47">
        <f t="shared" si="893"/>
        <v>4620</v>
      </c>
      <c r="AA4054" s="47">
        <f>AA$7</f>
        <v>1400</v>
      </c>
      <c r="AB4054" s="47">
        <f>AB$7</f>
        <v>2800</v>
      </c>
      <c r="AC4054" s="47">
        <f>AC$7</f>
        <v>5200</v>
      </c>
      <c r="AD4054" s="47"/>
      <c r="AE4054" s="47"/>
      <c r="AF4054" s="47"/>
      <c r="AG4054" s="47">
        <f>$AG$7</f>
        <v>3300.0000000000005</v>
      </c>
      <c r="AH4054" s="47" t="str">
        <f>IFERROR(_xlfn.XLOOKUP(Table6[[#This Row],[Suburb]],Table5[Travel Surcharge],Table5[$$]),"")</f>
        <v/>
      </c>
      <c r="AI4054" s="47">
        <f>AI$7</f>
        <v>1650.0000000000002</v>
      </c>
      <c r="AJ4054" s="47"/>
    </row>
    <row r="4055" spans="1:36">
      <c r="A4055" s="374" t="s">
        <v>5965</v>
      </c>
      <c r="B4055" s="374" t="s">
        <v>617</v>
      </c>
      <c r="C4055" s="374" t="s">
        <v>550</v>
      </c>
      <c r="D4055" s="375" t="str">
        <f t="shared" si="892"/>
        <v>Taylors Run5A</v>
      </c>
      <c r="E4055" s="375" t="s">
        <v>5976</v>
      </c>
      <c r="F4055" s="375" t="s">
        <v>493</v>
      </c>
      <c r="G4055" s="375" t="s">
        <v>2287</v>
      </c>
      <c r="H4055" s="375" t="s">
        <v>5967</v>
      </c>
      <c r="I4055" s="63" t="s">
        <v>5968</v>
      </c>
      <c r="J4055" s="47"/>
      <c r="K4055" s="46" t="s">
        <v>7938</v>
      </c>
      <c r="L4055" s="47" t="s">
        <v>5969</v>
      </c>
      <c r="M4055" s="47" t="s">
        <v>5970</v>
      </c>
      <c r="N4055" s="47"/>
      <c r="O4055" s="47">
        <v>4950</v>
      </c>
      <c r="P4055" s="47"/>
      <c r="Q4055" s="47"/>
      <c r="R4055" s="47"/>
      <c r="S4055" s="47"/>
      <c r="T4055" s="47"/>
      <c r="U4055" s="47">
        <f>U$2</f>
        <v>430</v>
      </c>
      <c r="V4055" s="47"/>
      <c r="W4055" s="47"/>
      <c r="X4055" s="47"/>
      <c r="Y4055" s="47" t="s">
        <v>5971</v>
      </c>
      <c r="Z4055" s="47">
        <f t="shared" si="893"/>
        <v>4620</v>
      </c>
      <c r="AA4055" s="47">
        <f>AA$7</f>
        <v>1400</v>
      </c>
      <c r="AB4055" s="47">
        <f>AB$7</f>
        <v>2800</v>
      </c>
      <c r="AC4055" s="47">
        <f>AC$7</f>
        <v>5200</v>
      </c>
      <c r="AD4055" s="47"/>
      <c r="AE4055" s="47"/>
      <c r="AF4055" s="47"/>
      <c r="AG4055" s="47">
        <f>$AG$7</f>
        <v>3300.0000000000005</v>
      </c>
      <c r="AH4055" s="47" t="str">
        <f>IFERROR(_xlfn.XLOOKUP(Table6[[#This Row],[Suburb]],Table5[Travel Surcharge],Table5[$$]),"")</f>
        <v/>
      </c>
      <c r="AI4055" s="47">
        <f>AI$7</f>
        <v>1650.0000000000002</v>
      </c>
      <c r="AJ4055" s="47"/>
    </row>
    <row r="4056" spans="1:36">
      <c r="A4056" s="374" t="s">
        <v>10650</v>
      </c>
      <c r="B4056" s="374">
        <v>1</v>
      </c>
      <c r="C4056" s="374" t="s">
        <v>1660</v>
      </c>
      <c r="D4056" s="375" t="str">
        <f>CONCATENATE(A4056,B4056)</f>
        <v>Temple Views1</v>
      </c>
      <c r="E4056" s="375" t="s">
        <v>10651</v>
      </c>
      <c r="F4056" s="375"/>
      <c r="G4056" s="375"/>
      <c r="H4056" s="375"/>
      <c r="I4056" s="63"/>
      <c r="J4056" s="47"/>
      <c r="K4056" s="46"/>
      <c r="L4056" s="47" t="s">
        <v>10652</v>
      </c>
      <c r="M4056" s="47">
        <v>1430</v>
      </c>
      <c r="N4056" s="47" t="s">
        <v>10020</v>
      </c>
      <c r="O4056" s="47">
        <f>O$7</f>
        <v>4950</v>
      </c>
      <c r="P4056" s="47" t="s">
        <v>10653</v>
      </c>
      <c r="Q4056" s="47" t="s">
        <v>10654</v>
      </c>
      <c r="R4056" s="47" t="s">
        <v>10655</v>
      </c>
      <c r="S4056" s="47">
        <v>590</v>
      </c>
      <c r="T4056" s="47" t="s">
        <v>10656</v>
      </c>
      <c r="U4056" s="47" t="s">
        <v>10657</v>
      </c>
      <c r="V4056" s="47"/>
      <c r="W4056" s="47"/>
      <c r="X4056" s="47"/>
      <c r="Y4056" s="47"/>
      <c r="Z4056" s="47">
        <f>Z$7</f>
        <v>4620</v>
      </c>
      <c r="AA4056" s="47">
        <v>1400</v>
      </c>
      <c r="AB4056" s="47"/>
      <c r="AC4056" s="47"/>
      <c r="AD4056" s="47"/>
      <c r="AE4056" s="47"/>
      <c r="AF4056" s="47">
        <v>1485</v>
      </c>
      <c r="AG4056" s="47"/>
      <c r="AH4056" s="47"/>
      <c r="AI4056" s="47">
        <v>1650</v>
      </c>
      <c r="AJ4056" s="47"/>
    </row>
    <row r="4057" spans="1:36">
      <c r="A4057" s="374" t="s">
        <v>5981</v>
      </c>
      <c r="B4057" s="374">
        <v>8</v>
      </c>
      <c r="C4057" s="374" t="s">
        <v>5982</v>
      </c>
      <c r="D4057" s="375" t="str">
        <f t="shared" si="892"/>
        <v>Tesoro Estate8</v>
      </c>
      <c r="E4057" s="375" t="s">
        <v>5983</v>
      </c>
      <c r="F4057" s="375" t="s">
        <v>5984</v>
      </c>
      <c r="G4057" s="375" t="s">
        <v>5985</v>
      </c>
      <c r="H4057" s="375" t="s">
        <v>5986</v>
      </c>
      <c r="I4057" s="63" t="s">
        <v>5987</v>
      </c>
      <c r="J4057" s="47"/>
      <c r="K4057" s="46" t="s">
        <v>10735</v>
      </c>
      <c r="L4057" s="47"/>
      <c r="M4057" s="47"/>
      <c r="N4057" s="47"/>
      <c r="O4057" s="47"/>
      <c r="P4057" s="47"/>
      <c r="Q4057" s="47"/>
      <c r="R4057" s="47" t="s">
        <v>5988</v>
      </c>
      <c r="S4057" s="47"/>
      <c r="T4057" s="47"/>
      <c r="U4057" s="47"/>
      <c r="V4057" s="47"/>
      <c r="W4057" s="47"/>
      <c r="X4057" s="47"/>
      <c r="Y4057" s="47"/>
      <c r="Z4057" s="47">
        <f t="shared" si="893"/>
        <v>4620</v>
      </c>
      <c r="AA4057" s="47"/>
      <c r="AB4057" s="47"/>
      <c r="AC4057" s="47"/>
      <c r="AD4057" s="47"/>
      <c r="AE4057" s="47"/>
      <c r="AF4057" s="47"/>
      <c r="AG4057" s="47"/>
      <c r="AH4057" s="47" t="str">
        <f>IFERROR(_xlfn.XLOOKUP(Table6[[#This Row],[Suburb]],Table5[Travel Surcharge],Table5[$$]),"")</f>
        <v/>
      </c>
      <c r="AI4057" s="47"/>
      <c r="AJ4057" s="47"/>
    </row>
    <row r="4058" spans="1:36">
      <c r="A4058" s="374" t="s">
        <v>5981</v>
      </c>
      <c r="B4058" s="374">
        <v>9</v>
      </c>
      <c r="C4058" s="374" t="s">
        <v>5982</v>
      </c>
      <c r="D4058" s="375" t="str">
        <f t="shared" si="892"/>
        <v>Tesoro Estate9</v>
      </c>
      <c r="E4058" s="375" t="s">
        <v>5989</v>
      </c>
      <c r="F4058" s="375" t="s">
        <v>5984</v>
      </c>
      <c r="G4058" s="375" t="s">
        <v>5985</v>
      </c>
      <c r="H4058" s="375" t="s">
        <v>5986</v>
      </c>
      <c r="I4058" s="63" t="s">
        <v>5987</v>
      </c>
      <c r="J4058" s="47"/>
      <c r="K4058" s="46" t="s">
        <v>10735</v>
      </c>
      <c r="L4058" s="47"/>
      <c r="M4058" s="47"/>
      <c r="N4058" s="47"/>
      <c r="O4058" s="47"/>
      <c r="P4058" s="47"/>
      <c r="Q4058" s="47"/>
      <c r="R4058" s="47" t="s">
        <v>5988</v>
      </c>
      <c r="S4058" s="47"/>
      <c r="T4058" s="47"/>
      <c r="U4058" s="47"/>
      <c r="V4058" s="47"/>
      <c r="W4058" s="47"/>
      <c r="X4058" s="47"/>
      <c r="Y4058" s="47"/>
      <c r="Z4058" s="47">
        <f t="shared" si="893"/>
        <v>4620</v>
      </c>
      <c r="AA4058" s="47"/>
      <c r="AB4058" s="47"/>
      <c r="AC4058" s="47"/>
      <c r="AD4058" s="47"/>
      <c r="AE4058" s="47"/>
      <c r="AF4058" s="47"/>
      <c r="AG4058" s="47"/>
      <c r="AH4058" s="47" t="str">
        <f>IFERROR(_xlfn.XLOOKUP(Table6[[#This Row],[Suburb]],Table5[Travel Surcharge],Table5[$$]),"")</f>
        <v/>
      </c>
      <c r="AI4058" s="47"/>
      <c r="AJ4058" s="47"/>
    </row>
    <row r="4059" spans="1:36">
      <c r="A4059" s="374" t="s">
        <v>5990</v>
      </c>
      <c r="B4059" s="374">
        <v>2</v>
      </c>
      <c r="C4059" s="374" t="s">
        <v>1590</v>
      </c>
      <c r="D4059" s="375" t="str">
        <f t="shared" si="892"/>
        <v>The Address Estate2</v>
      </c>
      <c r="E4059" s="375" t="s">
        <v>5991</v>
      </c>
      <c r="F4059" s="375" t="s">
        <v>650</v>
      </c>
      <c r="G4059" s="375" t="s">
        <v>5992</v>
      </c>
      <c r="H4059" s="375" t="s">
        <v>5993</v>
      </c>
      <c r="I4059" s="63" t="s">
        <v>5994</v>
      </c>
      <c r="J4059" s="47">
        <f t="shared" ref="J4059:J4072" si="894">J$7</f>
        <v>3740</v>
      </c>
      <c r="K4059" s="46" t="s">
        <v>7938</v>
      </c>
      <c r="L4059" s="47">
        <f t="shared" ref="L4059:L4064" si="895">L$7</f>
        <v>1210</v>
      </c>
      <c r="M4059" s="47"/>
      <c r="N4059" s="47"/>
      <c r="O4059" s="47"/>
      <c r="P4059" s="47"/>
      <c r="Q4059" s="47"/>
      <c r="R4059" s="47"/>
      <c r="S4059" s="47"/>
      <c r="T4059" s="47">
        <f t="shared" ref="T4059:T4064" si="896">T$2</f>
        <v>780</v>
      </c>
      <c r="U4059" s="47"/>
      <c r="V4059" s="47"/>
      <c r="W4059" s="47"/>
      <c r="X4059" s="47"/>
      <c r="Y4059" s="47"/>
      <c r="Z4059" s="47">
        <f t="shared" si="893"/>
        <v>4620</v>
      </c>
      <c r="AA4059" s="47">
        <f t="shared" ref="AA4059:AA4064" si="897">AA$7</f>
        <v>1400</v>
      </c>
      <c r="AB4059" s="47"/>
      <c r="AC4059" s="47"/>
      <c r="AD4059" s="47" t="s">
        <v>1</v>
      </c>
      <c r="AE4059" s="47"/>
      <c r="AF4059" s="47"/>
      <c r="AG4059" s="47"/>
      <c r="AH4059" s="47" t="str">
        <f>IFERROR(_xlfn.XLOOKUP(Table6[[#This Row],[Suburb]],Table5[Travel Surcharge],Table5[$$]),"")</f>
        <v/>
      </c>
      <c r="AI4059" s="47"/>
      <c r="AJ4059" s="47"/>
    </row>
    <row r="4060" spans="1:36">
      <c r="A4060" s="374" t="s">
        <v>5990</v>
      </c>
      <c r="B4060" s="374">
        <v>5</v>
      </c>
      <c r="C4060" s="374" t="s">
        <v>1590</v>
      </c>
      <c r="D4060" s="375" t="str">
        <f t="shared" si="892"/>
        <v>The Address Estate5</v>
      </c>
      <c r="E4060" s="375" t="s">
        <v>5995</v>
      </c>
      <c r="F4060" s="375" t="s">
        <v>650</v>
      </c>
      <c r="G4060" s="375" t="s">
        <v>5992</v>
      </c>
      <c r="H4060" s="375" t="s">
        <v>5993</v>
      </c>
      <c r="I4060" s="63" t="s">
        <v>5994</v>
      </c>
      <c r="J4060" s="47">
        <f t="shared" si="894"/>
        <v>3740</v>
      </c>
      <c r="K4060" s="46" t="s">
        <v>7938</v>
      </c>
      <c r="L4060" s="47">
        <f t="shared" si="895"/>
        <v>1210</v>
      </c>
      <c r="M4060" s="47"/>
      <c r="N4060" s="47"/>
      <c r="O4060" s="47"/>
      <c r="P4060" s="47"/>
      <c r="Q4060" s="47"/>
      <c r="R4060" s="47"/>
      <c r="S4060" s="47"/>
      <c r="T4060" s="47">
        <f t="shared" si="896"/>
        <v>780</v>
      </c>
      <c r="U4060" s="47"/>
      <c r="V4060" s="47"/>
      <c r="W4060" s="47"/>
      <c r="X4060" s="47"/>
      <c r="Y4060" s="47"/>
      <c r="Z4060" s="47">
        <f t="shared" si="893"/>
        <v>4620</v>
      </c>
      <c r="AA4060" s="47">
        <f t="shared" si="897"/>
        <v>1400</v>
      </c>
      <c r="AB4060" s="47"/>
      <c r="AC4060" s="47"/>
      <c r="AD4060" s="47" t="s">
        <v>1</v>
      </c>
      <c r="AE4060" s="47"/>
      <c r="AF4060" s="47"/>
      <c r="AG4060" s="47"/>
      <c r="AH4060" s="47" t="str">
        <f>IFERROR(_xlfn.XLOOKUP(Table6[[#This Row],[Suburb]],Table5[Travel Surcharge],Table5[$$]),"")</f>
        <v/>
      </c>
      <c r="AI4060" s="47"/>
      <c r="AJ4060" s="47"/>
    </row>
    <row r="4061" spans="1:36">
      <c r="A4061" s="374" t="s">
        <v>5990</v>
      </c>
      <c r="B4061" s="374">
        <v>6</v>
      </c>
      <c r="C4061" s="374" t="s">
        <v>1590</v>
      </c>
      <c r="D4061" s="375" t="str">
        <f t="shared" si="892"/>
        <v>The Address Estate6</v>
      </c>
      <c r="E4061" s="375" t="s">
        <v>5996</v>
      </c>
      <c r="F4061" s="375" t="s">
        <v>650</v>
      </c>
      <c r="G4061" s="375" t="s">
        <v>5992</v>
      </c>
      <c r="H4061" s="375" t="s">
        <v>5993</v>
      </c>
      <c r="I4061" s="63" t="s">
        <v>5994</v>
      </c>
      <c r="J4061" s="47">
        <f t="shared" si="894"/>
        <v>3740</v>
      </c>
      <c r="K4061" s="46" t="s">
        <v>7938</v>
      </c>
      <c r="L4061" s="47">
        <f t="shared" si="895"/>
        <v>1210</v>
      </c>
      <c r="M4061" s="47"/>
      <c r="N4061" s="47"/>
      <c r="O4061" s="47"/>
      <c r="P4061" s="47"/>
      <c r="Q4061" s="47"/>
      <c r="R4061" s="47"/>
      <c r="S4061" s="47"/>
      <c r="T4061" s="47">
        <f t="shared" si="896"/>
        <v>780</v>
      </c>
      <c r="U4061" s="47"/>
      <c r="V4061" s="47"/>
      <c r="W4061" s="47"/>
      <c r="X4061" s="47"/>
      <c r="Y4061" s="47"/>
      <c r="Z4061" s="47">
        <f t="shared" si="893"/>
        <v>4620</v>
      </c>
      <c r="AA4061" s="47">
        <f t="shared" si="897"/>
        <v>1400</v>
      </c>
      <c r="AB4061" s="47"/>
      <c r="AC4061" s="47"/>
      <c r="AD4061" s="47" t="s">
        <v>1</v>
      </c>
      <c r="AE4061" s="47"/>
      <c r="AF4061" s="47"/>
      <c r="AG4061" s="47"/>
      <c r="AH4061" s="47" t="str">
        <f>IFERROR(_xlfn.XLOOKUP(Table6[[#This Row],[Suburb]],Table5[Travel Surcharge],Table5[$$]),"")</f>
        <v/>
      </c>
      <c r="AI4061" s="47"/>
      <c r="AJ4061" s="47"/>
    </row>
    <row r="4062" spans="1:36">
      <c r="A4062" s="374" t="s">
        <v>5990</v>
      </c>
      <c r="B4062" s="374">
        <v>7</v>
      </c>
      <c r="C4062" s="374" t="s">
        <v>1590</v>
      </c>
      <c r="D4062" s="375" t="str">
        <f t="shared" si="892"/>
        <v>The Address Estate7</v>
      </c>
      <c r="E4062" s="375" t="s">
        <v>5997</v>
      </c>
      <c r="F4062" s="375" t="s">
        <v>650</v>
      </c>
      <c r="G4062" s="375" t="s">
        <v>5992</v>
      </c>
      <c r="H4062" s="375" t="s">
        <v>5993</v>
      </c>
      <c r="I4062" s="63" t="s">
        <v>5994</v>
      </c>
      <c r="J4062" s="47">
        <f t="shared" si="894"/>
        <v>3740</v>
      </c>
      <c r="K4062" s="46" t="s">
        <v>7938</v>
      </c>
      <c r="L4062" s="47">
        <f t="shared" si="895"/>
        <v>1210</v>
      </c>
      <c r="M4062" s="47"/>
      <c r="N4062" s="47"/>
      <c r="O4062" s="47"/>
      <c r="P4062" s="47"/>
      <c r="Q4062" s="47"/>
      <c r="R4062" s="47"/>
      <c r="S4062" s="47"/>
      <c r="T4062" s="47">
        <f t="shared" si="896"/>
        <v>780</v>
      </c>
      <c r="U4062" s="47"/>
      <c r="V4062" s="47"/>
      <c r="W4062" s="47"/>
      <c r="X4062" s="47"/>
      <c r="Y4062" s="47"/>
      <c r="Z4062" s="47">
        <f t="shared" si="893"/>
        <v>4620</v>
      </c>
      <c r="AA4062" s="47">
        <f t="shared" si="897"/>
        <v>1400</v>
      </c>
      <c r="AB4062" s="47"/>
      <c r="AC4062" s="47"/>
      <c r="AD4062" s="47" t="s">
        <v>1</v>
      </c>
      <c r="AE4062" s="47"/>
      <c r="AF4062" s="47"/>
      <c r="AG4062" s="47"/>
      <c r="AH4062" s="47" t="str">
        <f>IFERROR(_xlfn.XLOOKUP(Table6[[#This Row],[Suburb]],Table5[Travel Surcharge],Table5[$$]),"")</f>
        <v/>
      </c>
      <c r="AI4062" s="47"/>
      <c r="AJ4062" s="47"/>
    </row>
    <row r="4063" spans="1:36">
      <c r="A4063" s="374" t="s">
        <v>5990</v>
      </c>
      <c r="B4063" s="374">
        <v>8</v>
      </c>
      <c r="C4063" s="374" t="s">
        <v>1590</v>
      </c>
      <c r="D4063" s="375" t="str">
        <f t="shared" si="892"/>
        <v>The Address Estate8</v>
      </c>
      <c r="E4063" s="375" t="s">
        <v>5998</v>
      </c>
      <c r="F4063" s="375" t="s">
        <v>650</v>
      </c>
      <c r="G4063" s="375" t="s">
        <v>5992</v>
      </c>
      <c r="H4063" s="375" t="s">
        <v>5993</v>
      </c>
      <c r="I4063" s="63" t="s">
        <v>5994</v>
      </c>
      <c r="J4063" s="47">
        <f t="shared" si="894"/>
        <v>3740</v>
      </c>
      <c r="K4063" s="46" t="s">
        <v>7938</v>
      </c>
      <c r="L4063" s="47">
        <f t="shared" si="895"/>
        <v>1210</v>
      </c>
      <c r="M4063" s="47"/>
      <c r="N4063" s="47"/>
      <c r="O4063" s="47"/>
      <c r="P4063" s="47"/>
      <c r="Q4063" s="47"/>
      <c r="R4063" s="47"/>
      <c r="S4063" s="47"/>
      <c r="T4063" s="47">
        <f t="shared" si="896"/>
        <v>780</v>
      </c>
      <c r="U4063" s="47"/>
      <c r="V4063" s="47"/>
      <c r="W4063" s="47"/>
      <c r="X4063" s="47"/>
      <c r="Y4063" s="47"/>
      <c r="Z4063" s="47">
        <f t="shared" si="893"/>
        <v>4620</v>
      </c>
      <c r="AA4063" s="47">
        <f t="shared" si="897"/>
        <v>1400</v>
      </c>
      <c r="AB4063" s="47"/>
      <c r="AC4063" s="47"/>
      <c r="AD4063" s="47" t="s">
        <v>1</v>
      </c>
      <c r="AE4063" s="47"/>
      <c r="AF4063" s="47"/>
      <c r="AG4063" s="47"/>
      <c r="AH4063" s="47" t="str">
        <f>IFERROR(_xlfn.XLOOKUP(Table6[[#This Row],[Suburb]],Table5[Travel Surcharge],Table5[$$]),"")</f>
        <v/>
      </c>
      <c r="AI4063" s="47"/>
      <c r="AJ4063" s="47"/>
    </row>
    <row r="4064" spans="1:36">
      <c r="A4064" s="374" t="s">
        <v>5990</v>
      </c>
      <c r="B4064" s="374">
        <v>9</v>
      </c>
      <c r="C4064" s="374" t="s">
        <v>1590</v>
      </c>
      <c r="D4064" s="375" t="str">
        <f t="shared" si="892"/>
        <v>The Address Estate9</v>
      </c>
      <c r="E4064" s="375" t="s">
        <v>5999</v>
      </c>
      <c r="F4064" s="375" t="s">
        <v>650</v>
      </c>
      <c r="G4064" s="375" t="s">
        <v>5992</v>
      </c>
      <c r="H4064" s="375" t="s">
        <v>5993</v>
      </c>
      <c r="I4064" s="63" t="s">
        <v>5994</v>
      </c>
      <c r="J4064" s="47">
        <f t="shared" si="894"/>
        <v>3740</v>
      </c>
      <c r="K4064" s="46" t="s">
        <v>7938</v>
      </c>
      <c r="L4064" s="47">
        <f t="shared" si="895"/>
        <v>1210</v>
      </c>
      <c r="M4064" s="47"/>
      <c r="N4064" s="47"/>
      <c r="O4064" s="47"/>
      <c r="P4064" s="47"/>
      <c r="Q4064" s="47"/>
      <c r="R4064" s="47"/>
      <c r="S4064" s="47"/>
      <c r="T4064" s="47">
        <f t="shared" si="896"/>
        <v>780</v>
      </c>
      <c r="U4064" s="47"/>
      <c r="V4064" s="47"/>
      <c r="W4064" s="47"/>
      <c r="X4064" s="47"/>
      <c r="Y4064" s="47"/>
      <c r="Z4064" s="47">
        <f t="shared" si="893"/>
        <v>4620</v>
      </c>
      <c r="AA4064" s="47">
        <f t="shared" si="897"/>
        <v>1400</v>
      </c>
      <c r="AB4064" s="47"/>
      <c r="AC4064" s="47"/>
      <c r="AD4064" s="47" t="s">
        <v>1</v>
      </c>
      <c r="AE4064" s="47"/>
      <c r="AF4064" s="47"/>
      <c r="AG4064" s="47"/>
      <c r="AH4064" s="47" t="str">
        <f>IFERROR(_xlfn.XLOOKUP(Table6[[#This Row],[Suburb]],Table5[Travel Surcharge],Table5[$$]),"")</f>
        <v/>
      </c>
      <c r="AI4064" s="47"/>
      <c r="AJ4064" s="47"/>
    </row>
    <row r="4065" spans="1:36">
      <c r="A4065" s="374" t="s">
        <v>6000</v>
      </c>
      <c r="B4065" s="374">
        <v>1</v>
      </c>
      <c r="C4065" s="374" t="s">
        <v>631</v>
      </c>
      <c r="D4065" s="375" t="str">
        <f t="shared" si="892"/>
        <v>The Clan 1</v>
      </c>
      <c r="E4065" s="375" t="s">
        <v>6001</v>
      </c>
      <c r="F4065" s="375"/>
      <c r="G4065" s="375"/>
      <c r="H4065" s="375"/>
      <c r="I4065" s="63"/>
      <c r="J4065" s="47">
        <f t="shared" si="894"/>
        <v>3740</v>
      </c>
      <c r="K4065" s="46" t="s">
        <v>10735</v>
      </c>
      <c r="L4065" s="47"/>
      <c r="M4065" s="47"/>
      <c r="N4065" s="47"/>
      <c r="O4065" s="47"/>
      <c r="P4065" s="47"/>
      <c r="Q4065" s="47">
        <f>Q$2</f>
        <v>0</v>
      </c>
      <c r="R4065" s="47"/>
      <c r="S4065" s="47"/>
      <c r="T4065" s="47"/>
      <c r="U4065" s="47" t="s">
        <v>6002</v>
      </c>
      <c r="V4065" s="47"/>
      <c r="W4065" s="47"/>
      <c r="X4065" s="47"/>
      <c r="Y4065" s="47"/>
      <c r="Z4065" s="47">
        <f t="shared" si="893"/>
        <v>4620</v>
      </c>
      <c r="AA4065" s="47"/>
      <c r="AB4065" s="47"/>
      <c r="AC4065" s="47"/>
      <c r="AD4065" s="47"/>
      <c r="AE4065" s="47"/>
      <c r="AF4065" s="47"/>
      <c r="AG4065" s="47"/>
      <c r="AH4065" s="47" t="str">
        <f>IFERROR(_xlfn.XLOOKUP(Table6[[#This Row],[Suburb]],Table5[Travel Surcharge],Table5[$$]),"")</f>
        <v/>
      </c>
      <c r="AI4065" s="47"/>
      <c r="AJ4065" s="47"/>
    </row>
    <row r="4066" spans="1:36">
      <c r="A4066" s="374" t="s">
        <v>6003</v>
      </c>
      <c r="B4066" s="374">
        <v>6</v>
      </c>
      <c r="C4066" s="374" t="s">
        <v>280</v>
      </c>
      <c r="D4066" s="375" t="str">
        <f t="shared" si="892"/>
        <v>The Dunes Estate6</v>
      </c>
      <c r="E4066" s="375" t="s">
        <v>6004</v>
      </c>
      <c r="F4066" s="375"/>
      <c r="G4066" s="375" t="s">
        <v>6005</v>
      </c>
      <c r="H4066" s="375" t="s">
        <v>6006</v>
      </c>
      <c r="I4066" s="63"/>
      <c r="J4066" s="47">
        <f t="shared" si="894"/>
        <v>3740</v>
      </c>
      <c r="K4066" s="46" t="s">
        <v>10735</v>
      </c>
      <c r="L4066" s="47"/>
      <c r="M4066" s="47"/>
      <c r="N4066" s="47"/>
      <c r="O4066" s="47"/>
      <c r="P4066" s="47"/>
      <c r="Q4066" s="47"/>
      <c r="R4066" s="47"/>
      <c r="S4066" s="47"/>
      <c r="T4066" s="47">
        <f>T$2</f>
        <v>780</v>
      </c>
      <c r="U4066" s="47"/>
      <c r="V4066" s="47"/>
      <c r="W4066" s="47"/>
      <c r="X4066" s="47"/>
      <c r="Y4066" s="47"/>
      <c r="Z4066" s="47">
        <f t="shared" si="893"/>
        <v>4620</v>
      </c>
      <c r="AA4066" s="47"/>
      <c r="AB4066" s="47"/>
      <c r="AC4066" s="47">
        <f>AC$7</f>
        <v>5200</v>
      </c>
      <c r="AD4066" s="47"/>
      <c r="AE4066" s="47"/>
      <c r="AF4066" s="47"/>
      <c r="AG4066" s="47" t="s">
        <v>1904</v>
      </c>
      <c r="AH4066" s="47">
        <f>IFERROR(_xlfn.XLOOKUP(Table6[[#This Row],[Suburb]],Table5[Travel Surcharge],Table5[$$]),"")</f>
        <v>1500</v>
      </c>
      <c r="AI4066" s="47"/>
      <c r="AJ4066" s="47"/>
    </row>
    <row r="4067" spans="1:36">
      <c r="A4067" s="374" t="s">
        <v>6003</v>
      </c>
      <c r="B4067" s="374" t="s">
        <v>501</v>
      </c>
      <c r="C4067" s="374" t="s">
        <v>280</v>
      </c>
      <c r="D4067" s="375" t="str">
        <f t="shared" si="892"/>
        <v>The Dunes Estate1A</v>
      </c>
      <c r="E4067" s="375" t="s">
        <v>6007</v>
      </c>
      <c r="F4067" s="375"/>
      <c r="G4067" s="375" t="s">
        <v>6005</v>
      </c>
      <c r="H4067" s="375" t="s">
        <v>6006</v>
      </c>
      <c r="I4067" s="63"/>
      <c r="J4067" s="47">
        <f t="shared" si="894"/>
        <v>3740</v>
      </c>
      <c r="K4067" s="46" t="s">
        <v>10735</v>
      </c>
      <c r="L4067" s="47"/>
      <c r="M4067" s="47"/>
      <c r="N4067" s="47"/>
      <c r="O4067" s="47"/>
      <c r="P4067" s="47"/>
      <c r="Q4067" s="47"/>
      <c r="R4067" s="47"/>
      <c r="S4067" s="47"/>
      <c r="T4067" s="47">
        <f>T$2</f>
        <v>780</v>
      </c>
      <c r="U4067" s="47"/>
      <c r="V4067" s="47"/>
      <c r="W4067" s="47"/>
      <c r="X4067" s="47"/>
      <c r="Y4067" s="47"/>
      <c r="Z4067" s="47">
        <f t="shared" si="893"/>
        <v>4620</v>
      </c>
      <c r="AA4067" s="47"/>
      <c r="AB4067" s="47"/>
      <c r="AC4067" s="47">
        <f>AC$7</f>
        <v>5200</v>
      </c>
      <c r="AD4067" s="47"/>
      <c r="AE4067" s="47"/>
      <c r="AF4067" s="47"/>
      <c r="AG4067" s="47" t="s">
        <v>1904</v>
      </c>
      <c r="AH4067" s="47">
        <f>IFERROR(_xlfn.XLOOKUP(Table6[[#This Row],[Suburb]],Table5[Travel Surcharge],Table5[$$]),"")</f>
        <v>1500</v>
      </c>
      <c r="AI4067" s="47"/>
      <c r="AJ4067" s="47"/>
    </row>
    <row r="4068" spans="1:36">
      <c r="A4068" s="374" t="s">
        <v>6003</v>
      </c>
      <c r="B4068" s="374" t="s">
        <v>617</v>
      </c>
      <c r="C4068" s="374" t="s">
        <v>280</v>
      </c>
      <c r="D4068" s="375" t="str">
        <f t="shared" si="892"/>
        <v>The Dunes Estate5A</v>
      </c>
      <c r="E4068" s="375" t="s">
        <v>6008</v>
      </c>
      <c r="F4068" s="375"/>
      <c r="G4068" s="375" t="s">
        <v>6005</v>
      </c>
      <c r="H4068" s="375" t="s">
        <v>6006</v>
      </c>
      <c r="I4068" s="63"/>
      <c r="J4068" s="47">
        <f t="shared" si="894"/>
        <v>3740</v>
      </c>
      <c r="K4068" s="46" t="s">
        <v>10735</v>
      </c>
      <c r="L4068" s="47"/>
      <c r="M4068" s="47"/>
      <c r="N4068" s="47"/>
      <c r="O4068" s="47"/>
      <c r="P4068" s="47"/>
      <c r="Q4068" s="47"/>
      <c r="R4068" s="47"/>
      <c r="S4068" s="47"/>
      <c r="T4068" s="47">
        <f>T$2</f>
        <v>780</v>
      </c>
      <c r="U4068" s="47"/>
      <c r="V4068" s="47"/>
      <c r="W4068" s="47"/>
      <c r="X4068" s="47"/>
      <c r="Y4068" s="47"/>
      <c r="Z4068" s="47">
        <f t="shared" si="893"/>
        <v>4620</v>
      </c>
      <c r="AA4068" s="47"/>
      <c r="AB4068" s="47"/>
      <c r="AC4068" s="47">
        <f>AC$7</f>
        <v>5200</v>
      </c>
      <c r="AD4068" s="47"/>
      <c r="AE4068" s="47"/>
      <c r="AF4068" s="47"/>
      <c r="AG4068" s="47" t="s">
        <v>1904</v>
      </c>
      <c r="AH4068" s="47">
        <f>IFERROR(_xlfn.XLOOKUP(Table6[[#This Row],[Suburb]],Table5[Travel Surcharge],Table5[$$]),"")</f>
        <v>1500</v>
      </c>
      <c r="AI4068" s="47"/>
      <c r="AJ4068" s="47"/>
    </row>
    <row r="4069" spans="1:36">
      <c r="A4069" s="374" t="s">
        <v>6003</v>
      </c>
      <c r="B4069" s="374" t="s">
        <v>1466</v>
      </c>
      <c r="C4069" s="374" t="s">
        <v>280</v>
      </c>
      <c r="D4069" s="375" t="str">
        <f t="shared" si="892"/>
        <v>The Dunes Estate5B</v>
      </c>
      <c r="E4069" s="375" t="s">
        <v>6008</v>
      </c>
      <c r="F4069" s="375"/>
      <c r="G4069" s="375" t="s">
        <v>6005</v>
      </c>
      <c r="H4069" s="375" t="s">
        <v>6006</v>
      </c>
      <c r="I4069" s="63"/>
      <c r="J4069" s="47">
        <f t="shared" si="894"/>
        <v>3740</v>
      </c>
      <c r="K4069" s="46" t="s">
        <v>10735</v>
      </c>
      <c r="L4069" s="47"/>
      <c r="M4069" s="47"/>
      <c r="N4069" s="47"/>
      <c r="O4069" s="47"/>
      <c r="P4069" s="47"/>
      <c r="Q4069" s="47"/>
      <c r="R4069" s="47"/>
      <c r="S4069" s="47"/>
      <c r="T4069" s="47">
        <f>T$2</f>
        <v>780</v>
      </c>
      <c r="U4069" s="47"/>
      <c r="V4069" s="47"/>
      <c r="W4069" s="47"/>
      <c r="X4069" s="47"/>
      <c r="Y4069" s="47"/>
      <c r="Z4069" s="47">
        <f t="shared" si="893"/>
        <v>4620</v>
      </c>
      <c r="AA4069" s="47"/>
      <c r="AB4069" s="47"/>
      <c r="AC4069" s="47">
        <f>AC$7</f>
        <v>5200</v>
      </c>
      <c r="AD4069" s="47"/>
      <c r="AE4069" s="47"/>
      <c r="AF4069" s="47"/>
      <c r="AG4069" s="47" t="s">
        <v>1904</v>
      </c>
      <c r="AH4069" s="47">
        <f>IFERROR(_xlfn.XLOOKUP(Table6[[#This Row],[Suburb]],Table5[Travel Surcharge],Table5[$$]),"")</f>
        <v>1500</v>
      </c>
      <c r="AI4069" s="47"/>
      <c r="AJ4069" s="47"/>
    </row>
    <row r="4070" spans="1:36">
      <c r="A4070" s="374" t="s">
        <v>6009</v>
      </c>
      <c r="B4070" s="374">
        <v>1</v>
      </c>
      <c r="C4070" s="374" t="s">
        <v>2060</v>
      </c>
      <c r="D4070" s="375" t="str">
        <f t="shared" si="892"/>
        <v>The Enclave Estate1</v>
      </c>
      <c r="E4070" s="375" t="s">
        <v>6010</v>
      </c>
      <c r="F4070" s="375" t="s">
        <v>6011</v>
      </c>
      <c r="G4070" s="375"/>
      <c r="H4070" s="375"/>
      <c r="I4070" s="63"/>
      <c r="J4070" s="47">
        <f t="shared" si="894"/>
        <v>3740</v>
      </c>
      <c r="K4070" s="46" t="s">
        <v>10735</v>
      </c>
      <c r="L4070" s="47" t="s">
        <v>6012</v>
      </c>
      <c r="M4070" s="47"/>
      <c r="N4070" s="47"/>
      <c r="O4070" s="47"/>
      <c r="P4070" s="47"/>
      <c r="Q4070" s="47">
        <f>Q$2</f>
        <v>0</v>
      </c>
      <c r="R4070" s="47"/>
      <c r="S4070" s="47"/>
      <c r="T4070" s="47"/>
      <c r="U4070" s="47"/>
      <c r="V4070" s="47" t="s">
        <v>6013</v>
      </c>
      <c r="W4070" s="47"/>
      <c r="X4070" s="47"/>
      <c r="Y4070" s="47"/>
      <c r="Z4070" s="47">
        <f t="shared" si="893"/>
        <v>4620</v>
      </c>
      <c r="AA4070" s="47"/>
      <c r="AB4070" s="47"/>
      <c r="AC4070" s="47"/>
      <c r="AD4070" s="47"/>
      <c r="AE4070" s="47"/>
      <c r="AF4070" s="47">
        <f t="shared" ref="AF4070:AF4077" si="898">AF$7</f>
        <v>1485</v>
      </c>
      <c r="AG4070" s="47"/>
      <c r="AH4070" s="47" t="str">
        <f>IFERROR(_xlfn.XLOOKUP(Table6[[#This Row],[Suburb]],Table5[Travel Surcharge],Table5[$$]),"")</f>
        <v/>
      </c>
      <c r="AI4070" s="47"/>
      <c r="AJ4070" s="47"/>
    </row>
    <row r="4071" spans="1:36">
      <c r="A4071" s="157" t="s">
        <v>6009</v>
      </c>
      <c r="B4071" s="157">
        <v>2</v>
      </c>
      <c r="C4071" s="157" t="s">
        <v>7462</v>
      </c>
      <c r="D4071" s="157" t="str">
        <f t="shared" si="892"/>
        <v>The Enclave Estate2</v>
      </c>
      <c r="E4071" s="157" t="s">
        <v>8386</v>
      </c>
      <c r="F4071" s="157" t="s">
        <v>6011</v>
      </c>
      <c r="G4071" s="157"/>
      <c r="H4071" s="157"/>
      <c r="I4071" s="158"/>
      <c r="J4071" s="47">
        <f t="shared" si="894"/>
        <v>3740</v>
      </c>
      <c r="K4071" s="46" t="s">
        <v>10735</v>
      </c>
      <c r="L4071" s="47" t="s">
        <v>6012</v>
      </c>
      <c r="M4071" s="47"/>
      <c r="N4071" s="47"/>
      <c r="O4071" s="47"/>
      <c r="P4071" s="47"/>
      <c r="Q4071" s="47">
        <f>Q$2</f>
        <v>0</v>
      </c>
      <c r="R4071" s="47"/>
      <c r="S4071" s="47"/>
      <c r="T4071" s="47"/>
      <c r="U4071" s="47"/>
      <c r="V4071" s="47" t="s">
        <v>6013</v>
      </c>
      <c r="W4071" s="47"/>
      <c r="X4071" s="47"/>
      <c r="Y4071" s="47"/>
      <c r="Z4071" s="47">
        <f t="shared" si="893"/>
        <v>4620</v>
      </c>
      <c r="AA4071" s="47"/>
      <c r="AB4071" s="47"/>
      <c r="AC4071" s="47"/>
      <c r="AD4071" s="47"/>
      <c r="AE4071" s="47"/>
      <c r="AF4071" s="47">
        <f t="shared" si="898"/>
        <v>1485</v>
      </c>
      <c r="AG4071" s="47"/>
      <c r="AH4071" s="47" t="str">
        <f>IFERROR(_xlfn.XLOOKUP(Table6[[#This Row],[Suburb]],Table5[Travel Surcharge],Table5[$$]),"")</f>
        <v/>
      </c>
      <c r="AI4071" s="47"/>
      <c r="AJ4071" s="47"/>
    </row>
    <row r="4072" spans="1:36">
      <c r="A4072" s="157" t="s">
        <v>6009</v>
      </c>
      <c r="B4072" s="157">
        <v>3</v>
      </c>
      <c r="C4072" s="157" t="s">
        <v>7462</v>
      </c>
      <c r="D4072" s="157" t="str">
        <f t="shared" si="892"/>
        <v>The Enclave Estate3</v>
      </c>
      <c r="E4072" s="157" t="s">
        <v>8257</v>
      </c>
      <c r="F4072" s="157" t="s">
        <v>6011</v>
      </c>
      <c r="G4072" s="157"/>
      <c r="H4072" s="157"/>
      <c r="I4072" s="158"/>
      <c r="J4072" s="47">
        <f t="shared" si="894"/>
        <v>3740</v>
      </c>
      <c r="K4072" s="46" t="s">
        <v>10735</v>
      </c>
      <c r="L4072" s="47" t="s">
        <v>6012</v>
      </c>
      <c r="M4072" s="47"/>
      <c r="N4072" s="47"/>
      <c r="O4072" s="47"/>
      <c r="P4072" s="47"/>
      <c r="Q4072" s="47">
        <f>Q$2</f>
        <v>0</v>
      </c>
      <c r="R4072" s="47"/>
      <c r="S4072" s="47"/>
      <c r="T4072" s="47"/>
      <c r="U4072" s="47"/>
      <c r="V4072" s="47" t="s">
        <v>6013</v>
      </c>
      <c r="W4072" s="47"/>
      <c r="X4072" s="47"/>
      <c r="Y4072" s="47"/>
      <c r="Z4072" s="47">
        <f t="shared" si="893"/>
        <v>4620</v>
      </c>
      <c r="AA4072" s="47"/>
      <c r="AB4072" s="47"/>
      <c r="AC4072" s="47"/>
      <c r="AD4072" s="47"/>
      <c r="AE4072" s="47"/>
      <c r="AF4072" s="47">
        <f t="shared" si="898"/>
        <v>1485</v>
      </c>
      <c r="AG4072" s="47"/>
      <c r="AH4072" s="47" t="str">
        <f>IFERROR(_xlfn.XLOOKUP(Table6[[#This Row],[Suburb]],Table5[Travel Surcharge],Table5[$$]),"")</f>
        <v/>
      </c>
      <c r="AI4072" s="47"/>
      <c r="AJ4072" s="47"/>
    </row>
    <row r="4073" spans="1:36">
      <c r="A4073" s="374" t="s">
        <v>6014</v>
      </c>
      <c r="B4073" s="374">
        <v>1</v>
      </c>
      <c r="C4073" s="374" t="s">
        <v>289</v>
      </c>
      <c r="D4073" s="375" t="str">
        <f t="shared" si="892"/>
        <v>The Fairways1</v>
      </c>
      <c r="E4073" s="375" t="s">
        <v>6015</v>
      </c>
      <c r="F4073" s="375"/>
      <c r="G4073" s="375" t="s">
        <v>725</v>
      </c>
      <c r="H4073" s="375" t="s">
        <v>726</v>
      </c>
      <c r="I4073" s="63"/>
      <c r="J4073" s="47"/>
      <c r="K4073" s="46" t="s">
        <v>10735</v>
      </c>
      <c r="L4073" s="47" t="s">
        <v>2646</v>
      </c>
      <c r="M4073" s="47">
        <f>M$7</f>
        <v>1430.0000000000002</v>
      </c>
      <c r="N4073" s="47" t="s">
        <v>6016</v>
      </c>
      <c r="O4073" s="47"/>
      <c r="P4073" s="47"/>
      <c r="Q4073" s="47"/>
      <c r="R4073" s="47"/>
      <c r="S4073" s="47"/>
      <c r="T4073" s="47"/>
      <c r="U4073" s="47">
        <f>U$2</f>
        <v>430</v>
      </c>
      <c r="V4073" s="47"/>
      <c r="W4073" s="47"/>
      <c r="X4073" s="47"/>
      <c r="Y4073" s="47"/>
      <c r="Z4073" s="47">
        <f t="shared" si="893"/>
        <v>4620</v>
      </c>
      <c r="AA4073" s="47"/>
      <c r="AB4073" s="47"/>
      <c r="AC4073" s="47"/>
      <c r="AD4073" s="47"/>
      <c r="AE4073" s="47"/>
      <c r="AF4073" s="47">
        <f t="shared" si="898"/>
        <v>1485</v>
      </c>
      <c r="AG4073" s="47"/>
      <c r="AH4073" s="47">
        <f>IFERROR(_xlfn.XLOOKUP(Table6[[#This Row],[Suburb]],Table5[Travel Surcharge],Table5[$$]),"")</f>
        <v>7000</v>
      </c>
      <c r="AI4073" s="47"/>
      <c r="AJ4073" s="47"/>
    </row>
    <row r="4074" spans="1:36">
      <c r="A4074" s="374" t="s">
        <v>6014</v>
      </c>
      <c r="B4074" s="374">
        <v>2</v>
      </c>
      <c r="C4074" s="374" t="s">
        <v>289</v>
      </c>
      <c r="D4074" s="375" t="str">
        <f t="shared" si="892"/>
        <v>The Fairways2</v>
      </c>
      <c r="E4074" s="375" t="s">
        <v>6017</v>
      </c>
      <c r="F4074" s="375"/>
      <c r="G4074" s="375" t="s">
        <v>725</v>
      </c>
      <c r="H4074" s="375" t="s">
        <v>726</v>
      </c>
      <c r="I4074" s="63"/>
      <c r="J4074" s="47"/>
      <c r="K4074" s="46" t="s">
        <v>10735</v>
      </c>
      <c r="L4074" s="47" t="s">
        <v>2646</v>
      </c>
      <c r="M4074" s="47">
        <f>M$7</f>
        <v>1430.0000000000002</v>
      </c>
      <c r="N4074" s="47" t="s">
        <v>6016</v>
      </c>
      <c r="O4074" s="47"/>
      <c r="P4074" s="47"/>
      <c r="Q4074" s="47"/>
      <c r="R4074" s="47"/>
      <c r="S4074" s="47"/>
      <c r="T4074" s="47"/>
      <c r="U4074" s="47">
        <f>U$2</f>
        <v>430</v>
      </c>
      <c r="V4074" s="47"/>
      <c r="W4074" s="47"/>
      <c r="X4074" s="47"/>
      <c r="Y4074" s="47"/>
      <c r="Z4074" s="47">
        <f t="shared" si="893"/>
        <v>4620</v>
      </c>
      <c r="AA4074" s="47"/>
      <c r="AB4074" s="47"/>
      <c r="AC4074" s="47"/>
      <c r="AD4074" s="47"/>
      <c r="AE4074" s="47"/>
      <c r="AF4074" s="47">
        <f t="shared" si="898"/>
        <v>1485</v>
      </c>
      <c r="AG4074" s="47"/>
      <c r="AH4074" s="47">
        <f>IFERROR(_xlfn.XLOOKUP(Table6[[#This Row],[Suburb]],Table5[Travel Surcharge],Table5[$$]),"")</f>
        <v>7000</v>
      </c>
      <c r="AI4074" s="47"/>
      <c r="AJ4074" s="47"/>
    </row>
    <row r="4075" spans="1:36">
      <c r="A4075" s="374" t="s">
        <v>6014</v>
      </c>
      <c r="B4075" s="374">
        <v>3</v>
      </c>
      <c r="C4075" s="374" t="s">
        <v>289</v>
      </c>
      <c r="D4075" s="375" t="str">
        <f t="shared" si="892"/>
        <v>The Fairways3</v>
      </c>
      <c r="E4075" s="375" t="s">
        <v>6018</v>
      </c>
      <c r="F4075" s="375"/>
      <c r="G4075" s="375" t="s">
        <v>725</v>
      </c>
      <c r="H4075" s="375" t="s">
        <v>726</v>
      </c>
      <c r="I4075" s="63"/>
      <c r="J4075" s="47"/>
      <c r="K4075" s="46" t="s">
        <v>10735</v>
      </c>
      <c r="L4075" s="47" t="s">
        <v>2646</v>
      </c>
      <c r="M4075" s="47">
        <f>M$7</f>
        <v>1430.0000000000002</v>
      </c>
      <c r="N4075" s="47" t="s">
        <v>6016</v>
      </c>
      <c r="O4075" s="47"/>
      <c r="P4075" s="47"/>
      <c r="Q4075" s="47"/>
      <c r="R4075" s="47"/>
      <c r="S4075" s="47"/>
      <c r="T4075" s="47"/>
      <c r="U4075" s="47">
        <f>U$2</f>
        <v>430</v>
      </c>
      <c r="V4075" s="47"/>
      <c r="W4075" s="47"/>
      <c r="X4075" s="47"/>
      <c r="Y4075" s="47"/>
      <c r="Z4075" s="47">
        <f t="shared" si="893"/>
        <v>4620</v>
      </c>
      <c r="AA4075" s="47"/>
      <c r="AB4075" s="47"/>
      <c r="AC4075" s="47"/>
      <c r="AD4075" s="47"/>
      <c r="AE4075" s="47"/>
      <c r="AF4075" s="47">
        <f t="shared" si="898"/>
        <v>1485</v>
      </c>
      <c r="AG4075" s="47"/>
      <c r="AH4075" s="47">
        <f>IFERROR(_xlfn.XLOOKUP(Table6[[#This Row],[Suburb]],Table5[Travel Surcharge],Table5[$$]),"")</f>
        <v>7000</v>
      </c>
      <c r="AI4075" s="47"/>
      <c r="AJ4075" s="47"/>
    </row>
    <row r="4076" spans="1:36">
      <c r="A4076" s="374" t="s">
        <v>6014</v>
      </c>
      <c r="B4076" s="374">
        <v>4</v>
      </c>
      <c r="C4076" s="374" t="s">
        <v>289</v>
      </c>
      <c r="D4076" s="375" t="str">
        <f t="shared" si="892"/>
        <v>The Fairways4</v>
      </c>
      <c r="E4076" s="375" t="s">
        <v>10255</v>
      </c>
      <c r="F4076" s="375"/>
      <c r="G4076" s="375" t="s">
        <v>725</v>
      </c>
      <c r="H4076" s="375" t="s">
        <v>726</v>
      </c>
      <c r="I4076" s="63"/>
      <c r="J4076" s="47"/>
      <c r="K4076" s="46" t="s">
        <v>10735</v>
      </c>
      <c r="L4076" s="47" t="s">
        <v>2646</v>
      </c>
      <c r="M4076" s="47">
        <v>1430.0000000000002</v>
      </c>
      <c r="N4076" s="47" t="s">
        <v>6016</v>
      </c>
      <c r="O4076" s="47"/>
      <c r="P4076" s="47"/>
      <c r="Q4076" s="47"/>
      <c r="R4076" s="47"/>
      <c r="S4076" s="47"/>
      <c r="T4076" s="47"/>
      <c r="U4076" s="47">
        <v>540</v>
      </c>
      <c r="V4076" s="47"/>
      <c r="W4076" s="47"/>
      <c r="X4076" s="47"/>
      <c r="Y4076" s="47"/>
      <c r="Z4076" s="47">
        <v>4620</v>
      </c>
      <c r="AA4076" s="47"/>
      <c r="AB4076" s="47"/>
      <c r="AC4076" s="47"/>
      <c r="AD4076" s="47"/>
      <c r="AE4076" s="47"/>
      <c r="AF4076" s="47">
        <v>1485</v>
      </c>
      <c r="AG4076" s="47"/>
      <c r="AH4076" s="47">
        <v>7000</v>
      </c>
      <c r="AI4076" s="47"/>
      <c r="AJ4076" s="47"/>
    </row>
    <row r="4077" spans="1:36">
      <c r="A4077" s="374" t="s">
        <v>6014</v>
      </c>
      <c r="B4077" s="374">
        <v>5</v>
      </c>
      <c r="C4077" s="374" t="s">
        <v>289</v>
      </c>
      <c r="D4077" s="375" t="str">
        <f t="shared" si="892"/>
        <v>The Fairways5</v>
      </c>
      <c r="E4077" s="375" t="s">
        <v>8514</v>
      </c>
      <c r="F4077" s="375"/>
      <c r="G4077" s="375" t="s">
        <v>725</v>
      </c>
      <c r="H4077" s="375" t="s">
        <v>726</v>
      </c>
      <c r="I4077" s="63"/>
      <c r="J4077" s="47"/>
      <c r="K4077" s="46" t="s">
        <v>10735</v>
      </c>
      <c r="L4077" s="47" t="s">
        <v>2646</v>
      </c>
      <c r="M4077" s="47">
        <f>M$7</f>
        <v>1430.0000000000002</v>
      </c>
      <c r="N4077" s="47" t="s">
        <v>6016</v>
      </c>
      <c r="O4077" s="47"/>
      <c r="P4077" s="47"/>
      <c r="Q4077" s="47"/>
      <c r="R4077" s="47"/>
      <c r="S4077" s="47"/>
      <c r="T4077" s="47"/>
      <c r="U4077" s="47">
        <f>U$2</f>
        <v>430</v>
      </c>
      <c r="V4077" s="47"/>
      <c r="W4077" s="47"/>
      <c r="X4077" s="47"/>
      <c r="Y4077" s="47"/>
      <c r="Z4077" s="47">
        <f t="shared" si="893"/>
        <v>4620</v>
      </c>
      <c r="AA4077" s="47"/>
      <c r="AB4077" s="47"/>
      <c r="AC4077" s="47"/>
      <c r="AD4077" s="47"/>
      <c r="AE4077" s="47"/>
      <c r="AF4077" s="47">
        <f t="shared" si="898"/>
        <v>1485</v>
      </c>
      <c r="AG4077" s="47"/>
      <c r="AH4077" s="47">
        <f>IFERROR(_xlfn.XLOOKUP(Table6[[#This Row],[Suburb]],Table5[Travel Surcharge],Table5[$$]),"")</f>
        <v>7000</v>
      </c>
      <c r="AI4077" s="47"/>
      <c r="AJ4077" s="47"/>
    </row>
    <row r="4078" spans="1:36">
      <c r="A4078" s="374" t="s">
        <v>6029</v>
      </c>
      <c r="B4078" s="374">
        <v>1</v>
      </c>
      <c r="C4078" s="374" t="s">
        <v>394</v>
      </c>
      <c r="D4078" s="375" t="str">
        <f t="shared" si="892"/>
        <v>The Garden Residences1</v>
      </c>
      <c r="E4078" s="375" t="s">
        <v>6030</v>
      </c>
      <c r="F4078" s="375"/>
      <c r="G4078" s="375"/>
      <c r="H4078" s="375"/>
      <c r="I4078" s="63"/>
      <c r="J4078" s="47"/>
      <c r="K4078" s="46" t="s">
        <v>10735</v>
      </c>
      <c r="L4078" s="47"/>
      <c r="M4078" s="47"/>
      <c r="N4078" s="47"/>
      <c r="O4078" s="47"/>
      <c r="P4078" s="47"/>
      <c r="Q4078" s="47"/>
      <c r="R4078" s="47"/>
      <c r="S4078" s="47"/>
      <c r="T4078" s="47"/>
      <c r="U4078" s="47"/>
      <c r="V4078" s="47"/>
      <c r="W4078" s="47"/>
      <c r="X4078" s="47"/>
      <c r="Y4078" s="47"/>
      <c r="Z4078" s="47">
        <f t="shared" si="893"/>
        <v>4620</v>
      </c>
      <c r="AA4078" s="47"/>
      <c r="AB4078" s="47"/>
      <c r="AC4078" s="47"/>
      <c r="AD4078" s="47"/>
      <c r="AE4078" s="47"/>
      <c r="AF4078" s="47"/>
      <c r="AG4078" s="47"/>
      <c r="AH4078" s="47" t="str">
        <f>IFERROR(_xlfn.XLOOKUP(Table6[[#This Row],[Suburb]],Table5[Travel Surcharge],Table5[$$]),"")</f>
        <v/>
      </c>
      <c r="AI4078" s="47"/>
      <c r="AJ4078" s="47"/>
    </row>
    <row r="4079" spans="1:36">
      <c r="A4079" s="374" t="s">
        <v>6031</v>
      </c>
      <c r="B4079" s="374">
        <v>1</v>
      </c>
      <c r="C4079" s="374" t="s">
        <v>2371</v>
      </c>
      <c r="D4079" s="375" t="str">
        <f t="shared" si="892"/>
        <v>The Gardens1</v>
      </c>
      <c r="E4079" s="375" t="s">
        <v>6032</v>
      </c>
      <c r="F4079" s="375" t="s">
        <v>2314</v>
      </c>
      <c r="G4079" s="375" t="s">
        <v>3294</v>
      </c>
      <c r="H4079" s="375" t="s">
        <v>3295</v>
      </c>
      <c r="I4079" s="63" t="s">
        <v>6033</v>
      </c>
      <c r="J4079" s="47"/>
      <c r="K4079" s="46" t="s">
        <v>10735</v>
      </c>
      <c r="L4079" s="47"/>
      <c r="M4079" s="47"/>
      <c r="N4079" s="47"/>
      <c r="O4079" s="47"/>
      <c r="P4079" s="47" t="s">
        <v>6034</v>
      </c>
      <c r="Q4079" s="47">
        <f t="shared" ref="Q4079:Q4086" si="899">Q$2</f>
        <v>0</v>
      </c>
      <c r="R4079" s="47"/>
      <c r="S4079" s="47"/>
      <c r="T4079" s="47"/>
      <c r="U4079" s="47"/>
      <c r="V4079" s="47"/>
      <c r="W4079" s="47"/>
      <c r="X4079" s="47"/>
      <c r="Y4079" s="47"/>
      <c r="Z4079" s="47">
        <f t="shared" si="893"/>
        <v>4620</v>
      </c>
      <c r="AA4079" s="47"/>
      <c r="AB4079" s="47"/>
      <c r="AC4079" s="47"/>
      <c r="AD4079" s="47"/>
      <c r="AE4079" s="47"/>
      <c r="AF4079" s="47">
        <f>AF$7</f>
        <v>1485</v>
      </c>
      <c r="AG4079" s="47"/>
      <c r="AH4079" s="47">
        <f>IFERROR(_xlfn.XLOOKUP(Table6[[#This Row],[Suburb]],Table5[Travel Surcharge],Table5[$$]),"")</f>
        <v>4000</v>
      </c>
      <c r="AI4079" s="47"/>
      <c r="AJ4079" s="47"/>
    </row>
    <row r="4080" spans="1:36">
      <c r="A4080" s="374" t="s">
        <v>6019</v>
      </c>
      <c r="B4080" s="374">
        <v>1</v>
      </c>
      <c r="C4080" s="374" t="s">
        <v>688</v>
      </c>
      <c r="D4080" s="375" t="str">
        <f t="shared" si="892"/>
        <v>The Glen  Estate1</v>
      </c>
      <c r="E4080" s="375" t="s">
        <v>6020</v>
      </c>
      <c r="F4080" s="375" t="s">
        <v>6011</v>
      </c>
      <c r="G4080" s="375" t="s">
        <v>1011</v>
      </c>
      <c r="H4080" s="375" t="s">
        <v>6021</v>
      </c>
      <c r="I4080" s="63" t="s">
        <v>1013</v>
      </c>
      <c r="J4080" s="47">
        <f t="shared" ref="J4080:J4086" si="900">J$7</f>
        <v>3740</v>
      </c>
      <c r="K4080" s="46" t="s">
        <v>10735</v>
      </c>
      <c r="L4080" s="47" t="s">
        <v>6022</v>
      </c>
      <c r="M4080" s="47"/>
      <c r="N4080" s="47"/>
      <c r="O4080" s="47"/>
      <c r="P4080" s="47"/>
      <c r="Q4080" s="47">
        <f t="shared" si="899"/>
        <v>0</v>
      </c>
      <c r="R4080" s="47"/>
      <c r="S4080" s="47"/>
      <c r="T4080" s="47"/>
      <c r="U4080" s="47"/>
      <c r="V4080" s="47"/>
      <c r="W4080" s="47"/>
      <c r="X4080" s="47"/>
      <c r="Y4080" s="47"/>
      <c r="Z4080" s="47">
        <f t="shared" si="893"/>
        <v>4620</v>
      </c>
      <c r="AA4080" s="47"/>
      <c r="AB4080" s="47"/>
      <c r="AC4080" s="47"/>
      <c r="AD4080" s="47"/>
      <c r="AE4080" s="47"/>
      <c r="AF4080" s="47"/>
      <c r="AG4080" s="47"/>
      <c r="AH4080" s="47" t="str">
        <f>IFERROR(_xlfn.XLOOKUP(Table6[[#This Row],[Suburb]],Table5[Travel Surcharge],Table5[$$]),"")</f>
        <v/>
      </c>
      <c r="AI4080" s="47"/>
      <c r="AJ4080" s="47"/>
    </row>
    <row r="4081" spans="1:36">
      <c r="A4081" s="374" t="s">
        <v>6019</v>
      </c>
      <c r="B4081" s="374">
        <v>2</v>
      </c>
      <c r="C4081" s="374" t="s">
        <v>688</v>
      </c>
      <c r="D4081" s="375" t="str">
        <f t="shared" si="892"/>
        <v>The Glen  Estate2</v>
      </c>
      <c r="E4081" s="375" t="s">
        <v>6023</v>
      </c>
      <c r="F4081" s="375" t="s">
        <v>6011</v>
      </c>
      <c r="G4081" s="375" t="s">
        <v>1011</v>
      </c>
      <c r="H4081" s="375" t="s">
        <v>6021</v>
      </c>
      <c r="I4081" s="63" t="s">
        <v>1013</v>
      </c>
      <c r="J4081" s="47">
        <f t="shared" si="900"/>
        <v>3740</v>
      </c>
      <c r="K4081" s="46" t="s">
        <v>10735</v>
      </c>
      <c r="L4081" s="47" t="s">
        <v>6022</v>
      </c>
      <c r="M4081" s="47"/>
      <c r="N4081" s="47"/>
      <c r="O4081" s="47"/>
      <c r="P4081" s="47"/>
      <c r="Q4081" s="47">
        <f t="shared" si="899"/>
        <v>0</v>
      </c>
      <c r="R4081" s="47"/>
      <c r="S4081" s="47"/>
      <c r="T4081" s="47"/>
      <c r="U4081" s="47"/>
      <c r="V4081" s="47"/>
      <c r="W4081" s="47"/>
      <c r="X4081" s="47"/>
      <c r="Y4081" s="47"/>
      <c r="Z4081" s="47">
        <f t="shared" si="893"/>
        <v>4620</v>
      </c>
      <c r="AA4081" s="47"/>
      <c r="AB4081" s="47"/>
      <c r="AC4081" s="47"/>
      <c r="AD4081" s="47"/>
      <c r="AE4081" s="47"/>
      <c r="AF4081" s="47"/>
      <c r="AG4081" s="47"/>
      <c r="AH4081" s="47" t="str">
        <f>IFERROR(_xlfn.XLOOKUP(Table6[[#This Row],[Suburb]],Table5[Travel Surcharge],Table5[$$]),"")</f>
        <v/>
      </c>
      <c r="AI4081" s="47"/>
      <c r="AJ4081" s="47"/>
    </row>
    <row r="4082" spans="1:36">
      <c r="A4082" s="374" t="s">
        <v>6019</v>
      </c>
      <c r="B4082" s="374">
        <v>3</v>
      </c>
      <c r="C4082" s="374" t="s">
        <v>688</v>
      </c>
      <c r="D4082" s="375" t="str">
        <f t="shared" si="892"/>
        <v>The Glen  Estate3</v>
      </c>
      <c r="E4082" s="375" t="s">
        <v>6024</v>
      </c>
      <c r="F4082" s="375" t="s">
        <v>6011</v>
      </c>
      <c r="G4082" s="375" t="s">
        <v>1011</v>
      </c>
      <c r="H4082" s="375" t="s">
        <v>6021</v>
      </c>
      <c r="I4082" s="63" t="s">
        <v>1013</v>
      </c>
      <c r="J4082" s="47">
        <f t="shared" si="900"/>
        <v>3740</v>
      </c>
      <c r="K4082" s="46" t="s">
        <v>10735</v>
      </c>
      <c r="L4082" s="47" t="s">
        <v>6022</v>
      </c>
      <c r="M4082" s="47"/>
      <c r="N4082" s="47"/>
      <c r="O4082" s="47"/>
      <c r="P4082" s="47"/>
      <c r="Q4082" s="47">
        <f t="shared" si="899"/>
        <v>0</v>
      </c>
      <c r="R4082" s="47"/>
      <c r="S4082" s="47"/>
      <c r="T4082" s="47"/>
      <c r="U4082" s="47"/>
      <c r="V4082" s="47"/>
      <c r="W4082" s="47"/>
      <c r="X4082" s="47"/>
      <c r="Y4082" s="47"/>
      <c r="Z4082" s="47">
        <f t="shared" si="893"/>
        <v>4620</v>
      </c>
      <c r="AA4082" s="47"/>
      <c r="AB4082" s="47"/>
      <c r="AC4082" s="47"/>
      <c r="AD4082" s="47"/>
      <c r="AE4082" s="47"/>
      <c r="AF4082" s="47"/>
      <c r="AG4082" s="47"/>
      <c r="AH4082" s="47" t="str">
        <f>IFERROR(_xlfn.XLOOKUP(Table6[[#This Row],[Suburb]],Table5[Travel Surcharge],Table5[$$]),"")</f>
        <v/>
      </c>
      <c r="AI4082" s="47"/>
      <c r="AJ4082" s="47"/>
    </row>
    <row r="4083" spans="1:36">
      <c r="A4083" s="374" t="s">
        <v>6019</v>
      </c>
      <c r="B4083" s="374">
        <v>4</v>
      </c>
      <c r="C4083" s="374" t="s">
        <v>688</v>
      </c>
      <c r="D4083" s="375" t="str">
        <f t="shared" si="892"/>
        <v>The Glen  Estate4</v>
      </c>
      <c r="E4083" s="375" t="s">
        <v>6025</v>
      </c>
      <c r="F4083" s="375" t="s">
        <v>6011</v>
      </c>
      <c r="G4083" s="375" t="s">
        <v>1011</v>
      </c>
      <c r="H4083" s="375" t="s">
        <v>6021</v>
      </c>
      <c r="I4083" s="63" t="s">
        <v>1013</v>
      </c>
      <c r="J4083" s="47">
        <f t="shared" si="900"/>
        <v>3740</v>
      </c>
      <c r="K4083" s="46" t="s">
        <v>10735</v>
      </c>
      <c r="L4083" s="47" t="s">
        <v>6022</v>
      </c>
      <c r="M4083" s="47"/>
      <c r="N4083" s="47"/>
      <c r="O4083" s="47"/>
      <c r="P4083" s="47"/>
      <c r="Q4083" s="47">
        <f t="shared" si="899"/>
        <v>0</v>
      </c>
      <c r="R4083" s="47"/>
      <c r="S4083" s="47"/>
      <c r="T4083" s="47"/>
      <c r="U4083" s="47"/>
      <c r="V4083" s="47"/>
      <c r="W4083" s="47"/>
      <c r="X4083" s="47"/>
      <c r="Y4083" s="47"/>
      <c r="Z4083" s="47">
        <f t="shared" si="893"/>
        <v>4620</v>
      </c>
      <c r="AA4083" s="47"/>
      <c r="AB4083" s="47"/>
      <c r="AC4083" s="47"/>
      <c r="AD4083" s="47"/>
      <c r="AE4083" s="47"/>
      <c r="AF4083" s="47"/>
      <c r="AG4083" s="47"/>
      <c r="AH4083" s="47" t="str">
        <f>IFERROR(_xlfn.XLOOKUP(Table6[[#This Row],[Suburb]],Table5[Travel Surcharge],Table5[$$]),"")</f>
        <v/>
      </c>
      <c r="AI4083" s="47"/>
      <c r="AJ4083" s="47"/>
    </row>
    <row r="4084" spans="1:36">
      <c r="A4084" s="374" t="s">
        <v>6019</v>
      </c>
      <c r="B4084" s="374">
        <v>5</v>
      </c>
      <c r="C4084" s="374" t="s">
        <v>688</v>
      </c>
      <c r="D4084" s="375" t="str">
        <f t="shared" si="892"/>
        <v>The Glen  Estate5</v>
      </c>
      <c r="E4084" s="375" t="s">
        <v>6026</v>
      </c>
      <c r="F4084" s="375" t="s">
        <v>6011</v>
      </c>
      <c r="G4084" s="375" t="s">
        <v>1011</v>
      </c>
      <c r="H4084" s="375" t="s">
        <v>6021</v>
      </c>
      <c r="I4084" s="63" t="s">
        <v>1013</v>
      </c>
      <c r="J4084" s="47">
        <f t="shared" si="900"/>
        <v>3740</v>
      </c>
      <c r="K4084" s="46" t="s">
        <v>10735</v>
      </c>
      <c r="L4084" s="47" t="s">
        <v>6022</v>
      </c>
      <c r="M4084" s="47"/>
      <c r="N4084" s="47"/>
      <c r="O4084" s="47"/>
      <c r="P4084" s="47"/>
      <c r="Q4084" s="47">
        <f t="shared" si="899"/>
        <v>0</v>
      </c>
      <c r="R4084" s="47"/>
      <c r="S4084" s="47"/>
      <c r="T4084" s="47"/>
      <c r="U4084" s="47"/>
      <c r="V4084" s="47"/>
      <c r="W4084" s="47"/>
      <c r="X4084" s="47"/>
      <c r="Y4084" s="47"/>
      <c r="Z4084" s="47">
        <f t="shared" si="893"/>
        <v>4620</v>
      </c>
      <c r="AA4084" s="47"/>
      <c r="AB4084" s="47"/>
      <c r="AC4084" s="47"/>
      <c r="AD4084" s="47"/>
      <c r="AE4084" s="47"/>
      <c r="AF4084" s="47"/>
      <c r="AG4084" s="47"/>
      <c r="AH4084" s="47" t="str">
        <f>IFERROR(_xlfn.XLOOKUP(Table6[[#This Row],[Suburb]],Table5[Travel Surcharge],Table5[$$]),"")</f>
        <v/>
      </c>
      <c r="AI4084" s="47"/>
      <c r="AJ4084" s="47"/>
    </row>
    <row r="4085" spans="1:36">
      <c r="A4085" s="374" t="s">
        <v>6019</v>
      </c>
      <c r="B4085" s="374">
        <v>6</v>
      </c>
      <c r="C4085" s="374" t="s">
        <v>688</v>
      </c>
      <c r="D4085" s="375" t="str">
        <f t="shared" si="892"/>
        <v>The Glen  Estate6</v>
      </c>
      <c r="E4085" s="375" t="s">
        <v>6027</v>
      </c>
      <c r="F4085" s="375" t="s">
        <v>6011</v>
      </c>
      <c r="G4085" s="375" t="s">
        <v>1011</v>
      </c>
      <c r="H4085" s="375" t="s">
        <v>6021</v>
      </c>
      <c r="I4085" s="63" t="s">
        <v>1013</v>
      </c>
      <c r="J4085" s="47">
        <f t="shared" si="900"/>
        <v>3740</v>
      </c>
      <c r="K4085" s="46" t="s">
        <v>10735</v>
      </c>
      <c r="L4085" s="47" t="s">
        <v>6022</v>
      </c>
      <c r="M4085" s="47"/>
      <c r="N4085" s="47"/>
      <c r="O4085" s="47"/>
      <c r="P4085" s="47"/>
      <c r="Q4085" s="47">
        <f t="shared" si="899"/>
        <v>0</v>
      </c>
      <c r="R4085" s="47"/>
      <c r="S4085" s="47"/>
      <c r="T4085" s="47"/>
      <c r="U4085" s="47"/>
      <c r="V4085" s="47"/>
      <c r="W4085" s="47"/>
      <c r="X4085" s="47"/>
      <c r="Y4085" s="47"/>
      <c r="Z4085" s="47">
        <f t="shared" si="893"/>
        <v>4620</v>
      </c>
      <c r="AA4085" s="47"/>
      <c r="AB4085" s="47"/>
      <c r="AC4085" s="47"/>
      <c r="AD4085" s="47"/>
      <c r="AE4085" s="47"/>
      <c r="AF4085" s="47"/>
      <c r="AG4085" s="47"/>
      <c r="AH4085" s="47" t="str">
        <f>IFERROR(_xlfn.XLOOKUP(Table6[[#This Row],[Suburb]],Table5[Travel Surcharge],Table5[$$]),"")</f>
        <v/>
      </c>
      <c r="AI4085" s="47"/>
      <c r="AJ4085" s="47"/>
    </row>
    <row r="4086" spans="1:36">
      <c r="A4086" s="374" t="s">
        <v>6019</v>
      </c>
      <c r="B4086" s="374">
        <v>7</v>
      </c>
      <c r="C4086" s="374" t="s">
        <v>688</v>
      </c>
      <c r="D4086" s="375" t="str">
        <f t="shared" si="892"/>
        <v>The Glen  Estate7</v>
      </c>
      <c r="E4086" s="375" t="s">
        <v>6028</v>
      </c>
      <c r="F4086" s="375" t="s">
        <v>6011</v>
      </c>
      <c r="G4086" s="375" t="s">
        <v>1011</v>
      </c>
      <c r="H4086" s="375" t="s">
        <v>6021</v>
      </c>
      <c r="I4086" s="63" t="s">
        <v>1013</v>
      </c>
      <c r="J4086" s="47">
        <f t="shared" si="900"/>
        <v>3740</v>
      </c>
      <c r="K4086" s="46" t="s">
        <v>10735</v>
      </c>
      <c r="L4086" s="47" t="s">
        <v>6022</v>
      </c>
      <c r="M4086" s="47"/>
      <c r="N4086" s="47"/>
      <c r="O4086" s="47"/>
      <c r="P4086" s="47"/>
      <c r="Q4086" s="47">
        <f t="shared" si="899"/>
        <v>0</v>
      </c>
      <c r="R4086" s="47"/>
      <c r="S4086" s="47"/>
      <c r="T4086" s="47"/>
      <c r="U4086" s="47"/>
      <c r="V4086" s="47"/>
      <c r="W4086" s="47"/>
      <c r="X4086" s="47"/>
      <c r="Y4086" s="47"/>
      <c r="Z4086" s="47">
        <f t="shared" si="893"/>
        <v>4620</v>
      </c>
      <c r="AA4086" s="47"/>
      <c r="AB4086" s="47"/>
      <c r="AC4086" s="47"/>
      <c r="AD4086" s="47"/>
      <c r="AE4086" s="47"/>
      <c r="AF4086" s="47"/>
      <c r="AG4086" s="47"/>
      <c r="AH4086" s="47" t="str">
        <f>IFERROR(_xlfn.XLOOKUP(Table6[[#This Row],[Suburb]],Table5[Travel Surcharge],Table5[$$]),"")</f>
        <v/>
      </c>
      <c r="AI4086" s="47"/>
      <c r="AJ4086" s="47"/>
    </row>
    <row r="4087" spans="1:36">
      <c r="A4087" s="374" t="s">
        <v>9548</v>
      </c>
      <c r="B4087" s="374">
        <v>1</v>
      </c>
      <c r="C4087" s="374" t="s">
        <v>8400</v>
      </c>
      <c r="D4087" s="375" t="str">
        <f t="shared" ref="D4087:D4116" si="901">CONCATENATE(A4087,B4087)</f>
        <v>The Grange1</v>
      </c>
      <c r="E4087" s="375" t="s">
        <v>9549</v>
      </c>
      <c r="F4087" s="375"/>
      <c r="G4087" s="375"/>
      <c r="H4087" s="375"/>
      <c r="I4087" s="63"/>
      <c r="J4087" s="47"/>
      <c r="K4087" s="46" t="s">
        <v>10735</v>
      </c>
      <c r="L4087" s="47" t="s">
        <v>9553</v>
      </c>
      <c r="M4087" s="47">
        <f>M$7</f>
        <v>1430.0000000000002</v>
      </c>
      <c r="N4087" s="47" t="s">
        <v>9554</v>
      </c>
      <c r="O4087" s="47">
        <f>O$7</f>
        <v>4950</v>
      </c>
      <c r="P4087" s="47" t="s">
        <v>9556</v>
      </c>
      <c r="Q4087" s="47"/>
      <c r="R4087" s="47" t="s">
        <v>9550</v>
      </c>
      <c r="S4087" s="47" t="s">
        <v>9555</v>
      </c>
      <c r="T4087" s="47" t="str">
        <f>T$10</f>
        <v>Provide approx. 1800mm high timber fencing with capping and 125x125 exposed posts in lieu of timber palings. Includes wing fence and Gate.</v>
      </c>
      <c r="U4087" s="47"/>
      <c r="V4087" s="47"/>
      <c r="W4087" s="47"/>
      <c r="X4087" s="47">
        <f>X$7</f>
        <v>3000</v>
      </c>
      <c r="Y4087" s="47"/>
      <c r="Z4087" s="47" t="s">
        <v>9552</v>
      </c>
      <c r="AA4087" s="47">
        <f>AA$7</f>
        <v>1400</v>
      </c>
      <c r="AB4087" s="47"/>
      <c r="AC4087" s="47"/>
      <c r="AD4087" s="47"/>
      <c r="AE4087" s="47"/>
      <c r="AF4087" s="47">
        <f>AF$7</f>
        <v>1485</v>
      </c>
      <c r="AG4087" s="47"/>
      <c r="AH4087" s="47" t="str">
        <f>IFERROR(_xlfn.XLOOKUP(Table6[[#This Row],[Suburb]],Table5[Travel Surcharge],Table5[$$]),"")</f>
        <v/>
      </c>
      <c r="AI4087" s="47"/>
      <c r="AJ4087" s="47"/>
    </row>
    <row r="4088" spans="1:36">
      <c r="A4088" s="374" t="s">
        <v>6035</v>
      </c>
      <c r="B4088" s="374">
        <v>1</v>
      </c>
      <c r="C4088" s="374" t="s">
        <v>1024</v>
      </c>
      <c r="D4088" s="375" t="str">
        <f t="shared" si="901"/>
        <v>The Greens1</v>
      </c>
      <c r="E4088" s="375" t="s">
        <v>6036</v>
      </c>
      <c r="F4088" s="375"/>
      <c r="G4088" s="375"/>
      <c r="H4088" s="375"/>
      <c r="I4088" s="63"/>
      <c r="J4088" s="47">
        <f t="shared" ref="J4088:J4116" si="902">J$7</f>
        <v>3740</v>
      </c>
      <c r="K4088" s="46" t="s">
        <v>10735</v>
      </c>
      <c r="L4088" s="47"/>
      <c r="M4088" s="47"/>
      <c r="N4088" s="47"/>
      <c r="O4088" s="47"/>
      <c r="P4088" s="47"/>
      <c r="Q4088" s="47">
        <f>Q$2</f>
        <v>0</v>
      </c>
      <c r="R4088" s="47"/>
      <c r="S4088" s="47"/>
      <c r="T4088" s="47"/>
      <c r="U4088" s="47"/>
      <c r="V4088" s="47"/>
      <c r="W4088" s="47"/>
      <c r="X4088" s="47"/>
      <c r="Y4088" s="47"/>
      <c r="Z4088" s="47">
        <f t="shared" ref="Z4088:Z4116" si="903">Z$7</f>
        <v>4620</v>
      </c>
      <c r="AA4088" s="47"/>
      <c r="AB4088" s="47"/>
      <c r="AC4088" s="47"/>
      <c r="AD4088" s="47" t="s">
        <v>1</v>
      </c>
      <c r="AE4088" s="47"/>
      <c r="AF4088" s="47"/>
      <c r="AG4088" s="47"/>
      <c r="AH4088" s="47" t="str">
        <f>IFERROR(_xlfn.XLOOKUP(Table6[[#This Row],[Suburb]],Table5[Travel Surcharge],Table5[$$]),"")</f>
        <v/>
      </c>
      <c r="AI4088" s="47"/>
      <c r="AJ4088" s="47"/>
    </row>
    <row r="4089" spans="1:36">
      <c r="A4089" s="374" t="s">
        <v>6037</v>
      </c>
      <c r="B4089" s="374">
        <v>1</v>
      </c>
      <c r="C4089" s="374" t="s">
        <v>502</v>
      </c>
      <c r="D4089" s="375" t="str">
        <f t="shared" si="901"/>
        <v>The Grove Estate1</v>
      </c>
      <c r="E4089" s="375" t="s">
        <v>6038</v>
      </c>
      <c r="F4089" s="375" t="s">
        <v>650</v>
      </c>
      <c r="G4089" s="375" t="s">
        <v>6039</v>
      </c>
      <c r="H4089" s="375" t="s">
        <v>6040</v>
      </c>
      <c r="I4089" s="63" t="s">
        <v>6041</v>
      </c>
      <c r="J4089" s="47">
        <f t="shared" si="902"/>
        <v>3740</v>
      </c>
      <c r="K4089" s="46" t="s">
        <v>10735</v>
      </c>
      <c r="L4089" s="47"/>
      <c r="M4089" s="47">
        <f t="shared" ref="M4089:M4116" si="904">M$7</f>
        <v>1430.0000000000002</v>
      </c>
      <c r="N4089" s="47"/>
      <c r="O4089" s="47"/>
      <c r="P4089" s="47"/>
      <c r="Q4089" s="47"/>
      <c r="R4089" s="47"/>
      <c r="S4089" s="47" t="s">
        <v>463</v>
      </c>
      <c r="T4089" s="47" t="s">
        <v>6042</v>
      </c>
      <c r="U4089" s="47"/>
      <c r="V4089" s="47"/>
      <c r="W4089" s="47"/>
      <c r="X4089" s="47"/>
      <c r="Y4089" s="47"/>
      <c r="Z4089" s="47">
        <f t="shared" si="903"/>
        <v>4620</v>
      </c>
      <c r="AA4089" s="47"/>
      <c r="AB4089" s="47"/>
      <c r="AC4089" s="47"/>
      <c r="AD4089" s="47" t="s">
        <v>1</v>
      </c>
      <c r="AE4089" s="47"/>
      <c r="AF4089" s="47"/>
      <c r="AG4089" s="47"/>
      <c r="AH4089" s="47" t="str">
        <f>IFERROR(_xlfn.XLOOKUP(Table6[[#This Row],[Suburb]],Table5[Travel Surcharge],Table5[$$]),"")</f>
        <v/>
      </c>
      <c r="AI4089" s="47"/>
      <c r="AJ4089" s="47"/>
    </row>
    <row r="4090" spans="1:36">
      <c r="A4090" s="374" t="s">
        <v>6037</v>
      </c>
      <c r="B4090" s="374">
        <v>5</v>
      </c>
      <c r="C4090" s="374" t="s">
        <v>502</v>
      </c>
      <c r="D4090" s="375" t="str">
        <f t="shared" si="901"/>
        <v>The Grove Estate5</v>
      </c>
      <c r="E4090" s="375" t="s">
        <v>6043</v>
      </c>
      <c r="F4090" s="375" t="s">
        <v>650</v>
      </c>
      <c r="G4090" s="375" t="s">
        <v>6039</v>
      </c>
      <c r="H4090" s="375" t="s">
        <v>6040</v>
      </c>
      <c r="I4090" s="63" t="s">
        <v>6041</v>
      </c>
      <c r="J4090" s="47">
        <f t="shared" si="902"/>
        <v>3740</v>
      </c>
      <c r="K4090" s="46" t="s">
        <v>10735</v>
      </c>
      <c r="L4090" s="47"/>
      <c r="M4090" s="47">
        <f t="shared" si="904"/>
        <v>1430.0000000000002</v>
      </c>
      <c r="N4090" s="47"/>
      <c r="O4090" s="47"/>
      <c r="P4090" s="47"/>
      <c r="Q4090" s="47"/>
      <c r="R4090" s="47"/>
      <c r="S4090" s="47" t="s">
        <v>463</v>
      </c>
      <c r="T4090" s="47" t="s">
        <v>6042</v>
      </c>
      <c r="U4090" s="47"/>
      <c r="V4090" s="47"/>
      <c r="W4090" s="47"/>
      <c r="X4090" s="47"/>
      <c r="Y4090" s="47"/>
      <c r="Z4090" s="47">
        <f t="shared" si="903"/>
        <v>4620</v>
      </c>
      <c r="AA4090" s="47"/>
      <c r="AB4090" s="47"/>
      <c r="AC4090" s="47"/>
      <c r="AD4090" s="47" t="s">
        <v>1</v>
      </c>
      <c r="AE4090" s="47"/>
      <c r="AF4090" s="47"/>
      <c r="AG4090" s="47"/>
      <c r="AH4090" s="47" t="str">
        <f>IFERROR(_xlfn.XLOOKUP(Table6[[#This Row],[Suburb]],Table5[Travel Surcharge],Table5[$$]),"")</f>
        <v/>
      </c>
      <c r="AI4090" s="47"/>
      <c r="AJ4090" s="47"/>
    </row>
    <row r="4091" spans="1:36">
      <c r="A4091" s="374" t="s">
        <v>6037</v>
      </c>
      <c r="B4091" s="374">
        <v>6</v>
      </c>
      <c r="C4091" s="374" t="s">
        <v>502</v>
      </c>
      <c r="D4091" s="375" t="str">
        <f t="shared" si="901"/>
        <v>The Grove Estate6</v>
      </c>
      <c r="E4091" s="375" t="s">
        <v>6044</v>
      </c>
      <c r="F4091" s="375" t="s">
        <v>650</v>
      </c>
      <c r="G4091" s="375" t="s">
        <v>6039</v>
      </c>
      <c r="H4091" s="375" t="s">
        <v>6040</v>
      </c>
      <c r="I4091" s="63" t="s">
        <v>6041</v>
      </c>
      <c r="J4091" s="47">
        <f t="shared" si="902"/>
        <v>3740</v>
      </c>
      <c r="K4091" s="46" t="s">
        <v>10735</v>
      </c>
      <c r="L4091" s="47"/>
      <c r="M4091" s="47">
        <f t="shared" si="904"/>
        <v>1430.0000000000002</v>
      </c>
      <c r="N4091" s="47"/>
      <c r="O4091" s="47"/>
      <c r="P4091" s="47"/>
      <c r="Q4091" s="47"/>
      <c r="R4091" s="47"/>
      <c r="S4091" s="47" t="s">
        <v>463</v>
      </c>
      <c r="T4091" s="47" t="s">
        <v>6042</v>
      </c>
      <c r="U4091" s="47"/>
      <c r="V4091" s="47"/>
      <c r="W4091" s="47"/>
      <c r="X4091" s="47"/>
      <c r="Y4091" s="47"/>
      <c r="Z4091" s="47">
        <f t="shared" si="903"/>
        <v>4620</v>
      </c>
      <c r="AA4091" s="47"/>
      <c r="AB4091" s="47"/>
      <c r="AC4091" s="47"/>
      <c r="AD4091" s="47" t="s">
        <v>1</v>
      </c>
      <c r="AE4091" s="47"/>
      <c r="AF4091" s="47"/>
      <c r="AG4091" s="47"/>
      <c r="AH4091" s="47" t="str">
        <f>IFERROR(_xlfn.XLOOKUP(Table6[[#This Row],[Suburb]],Table5[Travel Surcharge],Table5[$$]),"")</f>
        <v/>
      </c>
      <c r="AI4091" s="47"/>
      <c r="AJ4091" s="47"/>
    </row>
    <row r="4092" spans="1:36">
      <c r="A4092" s="374" t="s">
        <v>6037</v>
      </c>
      <c r="B4092" s="374">
        <v>7</v>
      </c>
      <c r="C4092" s="374" t="s">
        <v>502</v>
      </c>
      <c r="D4092" s="375" t="str">
        <f t="shared" si="901"/>
        <v>The Grove Estate7</v>
      </c>
      <c r="E4092" s="375" t="s">
        <v>6045</v>
      </c>
      <c r="F4092" s="375" t="s">
        <v>650</v>
      </c>
      <c r="G4092" s="375" t="s">
        <v>6039</v>
      </c>
      <c r="H4092" s="375" t="s">
        <v>6040</v>
      </c>
      <c r="I4092" s="63" t="s">
        <v>6041</v>
      </c>
      <c r="J4092" s="47">
        <f t="shared" si="902"/>
        <v>3740</v>
      </c>
      <c r="K4092" s="46" t="s">
        <v>10735</v>
      </c>
      <c r="L4092" s="47"/>
      <c r="M4092" s="47">
        <f t="shared" si="904"/>
        <v>1430.0000000000002</v>
      </c>
      <c r="N4092" s="47"/>
      <c r="O4092" s="47"/>
      <c r="P4092" s="47"/>
      <c r="Q4092" s="47"/>
      <c r="R4092" s="47"/>
      <c r="S4092" s="47" t="s">
        <v>463</v>
      </c>
      <c r="T4092" s="47" t="s">
        <v>6042</v>
      </c>
      <c r="U4092" s="47"/>
      <c r="V4092" s="47"/>
      <c r="W4092" s="47"/>
      <c r="X4092" s="47"/>
      <c r="Y4092" s="47"/>
      <c r="Z4092" s="47">
        <f t="shared" si="903"/>
        <v>4620</v>
      </c>
      <c r="AA4092" s="47"/>
      <c r="AB4092" s="47"/>
      <c r="AC4092" s="47"/>
      <c r="AD4092" s="47" t="s">
        <v>1</v>
      </c>
      <c r="AE4092" s="47"/>
      <c r="AF4092" s="47"/>
      <c r="AG4092" s="47"/>
      <c r="AH4092" s="47" t="str">
        <f>IFERROR(_xlfn.XLOOKUP(Table6[[#This Row],[Suburb]],Table5[Travel Surcharge],Table5[$$]),"")</f>
        <v/>
      </c>
      <c r="AI4092" s="47"/>
      <c r="AJ4092" s="47"/>
    </row>
    <row r="4093" spans="1:36">
      <c r="A4093" s="374" t="s">
        <v>6037</v>
      </c>
      <c r="B4093" s="374">
        <v>9</v>
      </c>
      <c r="C4093" s="374" t="s">
        <v>502</v>
      </c>
      <c r="D4093" s="375" t="str">
        <f t="shared" si="901"/>
        <v>The Grove Estate9</v>
      </c>
      <c r="E4093" s="375" t="s">
        <v>6046</v>
      </c>
      <c r="F4093" s="375" t="s">
        <v>650</v>
      </c>
      <c r="G4093" s="375" t="s">
        <v>6039</v>
      </c>
      <c r="H4093" s="375" t="s">
        <v>6040</v>
      </c>
      <c r="I4093" s="63" t="s">
        <v>6041</v>
      </c>
      <c r="J4093" s="47">
        <f t="shared" si="902"/>
        <v>3740</v>
      </c>
      <c r="K4093" s="46" t="s">
        <v>10735</v>
      </c>
      <c r="L4093" s="47"/>
      <c r="M4093" s="47">
        <f t="shared" si="904"/>
        <v>1430.0000000000002</v>
      </c>
      <c r="N4093" s="47"/>
      <c r="O4093" s="47"/>
      <c r="P4093" s="47"/>
      <c r="Q4093" s="47"/>
      <c r="R4093" s="47"/>
      <c r="S4093" s="47" t="s">
        <v>463</v>
      </c>
      <c r="T4093" s="47" t="s">
        <v>6042</v>
      </c>
      <c r="U4093" s="47"/>
      <c r="V4093" s="47"/>
      <c r="W4093" s="47"/>
      <c r="X4093" s="47"/>
      <c r="Y4093" s="47"/>
      <c r="Z4093" s="47">
        <f t="shared" si="903"/>
        <v>4620</v>
      </c>
      <c r="AA4093" s="47"/>
      <c r="AB4093" s="47"/>
      <c r="AC4093" s="47"/>
      <c r="AD4093" s="47" t="s">
        <v>1</v>
      </c>
      <c r="AE4093" s="47"/>
      <c r="AF4093" s="47"/>
      <c r="AG4093" s="47"/>
      <c r="AH4093" s="47" t="str">
        <f>IFERROR(_xlfn.XLOOKUP(Table6[[#This Row],[Suburb]],Table5[Travel Surcharge],Table5[$$]),"")</f>
        <v/>
      </c>
      <c r="AI4093" s="47"/>
      <c r="AJ4093" s="47"/>
    </row>
    <row r="4094" spans="1:36">
      <c r="A4094" s="374" t="s">
        <v>6037</v>
      </c>
      <c r="B4094" s="374">
        <v>10</v>
      </c>
      <c r="C4094" s="374" t="s">
        <v>502</v>
      </c>
      <c r="D4094" s="375" t="str">
        <f t="shared" si="901"/>
        <v>The Grove Estate10</v>
      </c>
      <c r="E4094" s="375" t="s">
        <v>6047</v>
      </c>
      <c r="F4094" s="375" t="s">
        <v>650</v>
      </c>
      <c r="G4094" s="375" t="s">
        <v>6039</v>
      </c>
      <c r="H4094" s="375" t="s">
        <v>6040</v>
      </c>
      <c r="I4094" s="63" t="s">
        <v>6041</v>
      </c>
      <c r="J4094" s="47">
        <f t="shared" si="902"/>
        <v>3740</v>
      </c>
      <c r="K4094" s="46" t="s">
        <v>10735</v>
      </c>
      <c r="L4094" s="47"/>
      <c r="M4094" s="47">
        <f t="shared" si="904"/>
        <v>1430.0000000000002</v>
      </c>
      <c r="N4094" s="47"/>
      <c r="O4094" s="47"/>
      <c r="P4094" s="47"/>
      <c r="Q4094" s="47"/>
      <c r="R4094" s="47"/>
      <c r="S4094" s="47" t="s">
        <v>463</v>
      </c>
      <c r="T4094" s="47" t="s">
        <v>6042</v>
      </c>
      <c r="U4094" s="47"/>
      <c r="V4094" s="47"/>
      <c r="W4094" s="47"/>
      <c r="X4094" s="47"/>
      <c r="Y4094" s="47"/>
      <c r="Z4094" s="47">
        <f t="shared" si="903"/>
        <v>4620</v>
      </c>
      <c r="AA4094" s="47"/>
      <c r="AB4094" s="47"/>
      <c r="AC4094" s="47"/>
      <c r="AD4094" s="47" t="s">
        <v>1</v>
      </c>
      <c r="AE4094" s="47"/>
      <c r="AF4094" s="47"/>
      <c r="AG4094" s="47"/>
      <c r="AH4094" s="47" t="str">
        <f>IFERROR(_xlfn.XLOOKUP(Table6[[#This Row],[Suburb]],Table5[Travel Surcharge],Table5[$$]),"")</f>
        <v/>
      </c>
      <c r="AI4094" s="47"/>
      <c r="AJ4094" s="47"/>
    </row>
    <row r="4095" spans="1:36">
      <c r="A4095" s="374" t="s">
        <v>6037</v>
      </c>
      <c r="B4095" s="374">
        <v>11</v>
      </c>
      <c r="C4095" s="374" t="s">
        <v>502</v>
      </c>
      <c r="D4095" s="375" t="str">
        <f t="shared" si="901"/>
        <v>The Grove Estate11</v>
      </c>
      <c r="E4095" s="375" t="s">
        <v>6048</v>
      </c>
      <c r="F4095" s="375" t="s">
        <v>650</v>
      </c>
      <c r="G4095" s="375" t="s">
        <v>6039</v>
      </c>
      <c r="H4095" s="375" t="s">
        <v>6040</v>
      </c>
      <c r="I4095" s="63" t="s">
        <v>6041</v>
      </c>
      <c r="J4095" s="47">
        <f t="shared" si="902"/>
        <v>3740</v>
      </c>
      <c r="K4095" s="46" t="s">
        <v>10735</v>
      </c>
      <c r="L4095" s="47"/>
      <c r="M4095" s="47">
        <f t="shared" si="904"/>
        <v>1430.0000000000002</v>
      </c>
      <c r="N4095" s="47"/>
      <c r="O4095" s="47"/>
      <c r="P4095" s="47"/>
      <c r="Q4095" s="47"/>
      <c r="R4095" s="47"/>
      <c r="S4095" s="47" t="s">
        <v>463</v>
      </c>
      <c r="T4095" s="47" t="s">
        <v>6042</v>
      </c>
      <c r="U4095" s="47"/>
      <c r="V4095" s="47"/>
      <c r="W4095" s="47"/>
      <c r="X4095" s="47"/>
      <c r="Y4095" s="47"/>
      <c r="Z4095" s="47">
        <f t="shared" si="903"/>
        <v>4620</v>
      </c>
      <c r="AA4095" s="47"/>
      <c r="AB4095" s="47"/>
      <c r="AC4095" s="47"/>
      <c r="AD4095" s="47" t="s">
        <v>1</v>
      </c>
      <c r="AE4095" s="47"/>
      <c r="AF4095" s="47"/>
      <c r="AG4095" s="47"/>
      <c r="AH4095" s="47" t="str">
        <f>IFERROR(_xlfn.XLOOKUP(Table6[[#This Row],[Suburb]],Table5[Travel Surcharge],Table5[$$]),"")</f>
        <v/>
      </c>
      <c r="AI4095" s="47"/>
      <c r="AJ4095" s="47"/>
    </row>
    <row r="4096" spans="1:36">
      <c r="A4096" s="374" t="s">
        <v>6037</v>
      </c>
      <c r="B4096" s="374">
        <v>12</v>
      </c>
      <c r="C4096" s="374" t="s">
        <v>502</v>
      </c>
      <c r="D4096" s="375" t="str">
        <f t="shared" si="901"/>
        <v>The Grove Estate12</v>
      </c>
      <c r="E4096" s="375" t="s">
        <v>6049</v>
      </c>
      <c r="F4096" s="375" t="s">
        <v>650</v>
      </c>
      <c r="G4096" s="375" t="s">
        <v>6039</v>
      </c>
      <c r="H4096" s="375" t="s">
        <v>6040</v>
      </c>
      <c r="I4096" s="63" t="s">
        <v>6041</v>
      </c>
      <c r="J4096" s="47">
        <f t="shared" si="902"/>
        <v>3740</v>
      </c>
      <c r="K4096" s="46" t="s">
        <v>10735</v>
      </c>
      <c r="L4096" s="47"/>
      <c r="M4096" s="47">
        <f t="shared" si="904"/>
        <v>1430.0000000000002</v>
      </c>
      <c r="N4096" s="47"/>
      <c r="O4096" s="47"/>
      <c r="P4096" s="47"/>
      <c r="Q4096" s="47"/>
      <c r="R4096" s="47"/>
      <c r="S4096" s="47" t="s">
        <v>463</v>
      </c>
      <c r="T4096" s="47" t="s">
        <v>6042</v>
      </c>
      <c r="U4096" s="47"/>
      <c r="V4096" s="47"/>
      <c r="W4096" s="47"/>
      <c r="X4096" s="47"/>
      <c r="Y4096" s="47"/>
      <c r="Z4096" s="47">
        <f t="shared" si="903"/>
        <v>4620</v>
      </c>
      <c r="AA4096" s="47"/>
      <c r="AB4096" s="47"/>
      <c r="AC4096" s="47"/>
      <c r="AD4096" s="47" t="s">
        <v>1</v>
      </c>
      <c r="AE4096" s="47"/>
      <c r="AF4096" s="47"/>
      <c r="AG4096" s="47"/>
      <c r="AH4096" s="47" t="str">
        <f>IFERROR(_xlfn.XLOOKUP(Table6[[#This Row],[Suburb]],Table5[Travel Surcharge],Table5[$$]),"")</f>
        <v/>
      </c>
      <c r="AI4096" s="47"/>
      <c r="AJ4096" s="47"/>
    </row>
    <row r="4097" spans="1:36">
      <c r="A4097" s="374" t="s">
        <v>6037</v>
      </c>
      <c r="B4097" s="374">
        <v>14</v>
      </c>
      <c r="C4097" s="374" t="s">
        <v>502</v>
      </c>
      <c r="D4097" s="375" t="str">
        <f t="shared" si="901"/>
        <v>The Grove Estate14</v>
      </c>
      <c r="E4097" s="375" t="s">
        <v>6050</v>
      </c>
      <c r="F4097" s="375" t="s">
        <v>650</v>
      </c>
      <c r="G4097" s="375" t="s">
        <v>6039</v>
      </c>
      <c r="H4097" s="375" t="s">
        <v>6040</v>
      </c>
      <c r="I4097" s="63" t="s">
        <v>6041</v>
      </c>
      <c r="J4097" s="47">
        <f t="shared" si="902"/>
        <v>3740</v>
      </c>
      <c r="K4097" s="46" t="s">
        <v>10735</v>
      </c>
      <c r="L4097" s="47"/>
      <c r="M4097" s="47">
        <f t="shared" si="904"/>
        <v>1430.0000000000002</v>
      </c>
      <c r="N4097" s="47"/>
      <c r="O4097" s="47"/>
      <c r="P4097" s="47"/>
      <c r="Q4097" s="47"/>
      <c r="R4097" s="47"/>
      <c r="S4097" s="47" t="s">
        <v>463</v>
      </c>
      <c r="T4097" s="47" t="s">
        <v>6042</v>
      </c>
      <c r="U4097" s="47"/>
      <c r="V4097" s="47"/>
      <c r="W4097" s="47"/>
      <c r="X4097" s="47"/>
      <c r="Y4097" s="47"/>
      <c r="Z4097" s="47">
        <f t="shared" si="903"/>
        <v>4620</v>
      </c>
      <c r="AA4097" s="47"/>
      <c r="AB4097" s="47"/>
      <c r="AC4097" s="47"/>
      <c r="AD4097" s="47" t="s">
        <v>1</v>
      </c>
      <c r="AE4097" s="47"/>
      <c r="AF4097" s="47"/>
      <c r="AG4097" s="47"/>
      <c r="AH4097" s="47" t="str">
        <f>IFERROR(_xlfn.XLOOKUP(Table6[[#This Row],[Suburb]],Table5[Travel Surcharge],Table5[$$]),"")</f>
        <v/>
      </c>
      <c r="AI4097" s="47"/>
      <c r="AJ4097" s="47"/>
    </row>
    <row r="4098" spans="1:36">
      <c r="A4098" s="374" t="s">
        <v>6037</v>
      </c>
      <c r="B4098" s="374">
        <v>20</v>
      </c>
      <c r="C4098" s="374" t="s">
        <v>502</v>
      </c>
      <c r="D4098" s="375" t="str">
        <f t="shared" si="901"/>
        <v>The Grove Estate20</v>
      </c>
      <c r="E4098" s="375" t="s">
        <v>6051</v>
      </c>
      <c r="F4098" s="375" t="s">
        <v>650</v>
      </c>
      <c r="G4098" s="375" t="s">
        <v>6039</v>
      </c>
      <c r="H4098" s="375" t="s">
        <v>6040</v>
      </c>
      <c r="I4098" s="63" t="s">
        <v>6041</v>
      </c>
      <c r="J4098" s="47">
        <f t="shared" si="902"/>
        <v>3740</v>
      </c>
      <c r="K4098" s="46" t="s">
        <v>10735</v>
      </c>
      <c r="L4098" s="47"/>
      <c r="M4098" s="47">
        <f t="shared" si="904"/>
        <v>1430.0000000000002</v>
      </c>
      <c r="N4098" s="47"/>
      <c r="O4098" s="47"/>
      <c r="P4098" s="47"/>
      <c r="Q4098" s="47"/>
      <c r="R4098" s="47"/>
      <c r="S4098" s="47" t="s">
        <v>463</v>
      </c>
      <c r="T4098" s="47" t="s">
        <v>6042</v>
      </c>
      <c r="U4098" s="47"/>
      <c r="V4098" s="47"/>
      <c r="W4098" s="47"/>
      <c r="X4098" s="47"/>
      <c r="Y4098" s="47"/>
      <c r="Z4098" s="47">
        <f t="shared" si="903"/>
        <v>4620</v>
      </c>
      <c r="AA4098" s="47"/>
      <c r="AB4098" s="47"/>
      <c r="AC4098" s="47"/>
      <c r="AD4098" s="47" t="s">
        <v>1</v>
      </c>
      <c r="AE4098" s="47"/>
      <c r="AF4098" s="47"/>
      <c r="AG4098" s="47"/>
      <c r="AH4098" s="47" t="str">
        <f>IFERROR(_xlfn.XLOOKUP(Table6[[#This Row],[Suburb]],Table5[Travel Surcharge],Table5[$$]),"")</f>
        <v/>
      </c>
      <c r="AI4098" s="47"/>
      <c r="AJ4098" s="47"/>
    </row>
    <row r="4099" spans="1:36">
      <c r="A4099" s="374" t="s">
        <v>6037</v>
      </c>
      <c r="B4099" s="374">
        <v>21</v>
      </c>
      <c r="C4099" s="374" t="s">
        <v>502</v>
      </c>
      <c r="D4099" s="375" t="str">
        <f t="shared" si="901"/>
        <v>The Grove Estate21</v>
      </c>
      <c r="E4099" s="375" t="s">
        <v>6052</v>
      </c>
      <c r="F4099" s="375" t="s">
        <v>650</v>
      </c>
      <c r="G4099" s="375" t="s">
        <v>6039</v>
      </c>
      <c r="H4099" s="375" t="s">
        <v>6040</v>
      </c>
      <c r="I4099" s="63" t="s">
        <v>6041</v>
      </c>
      <c r="J4099" s="47">
        <f t="shared" si="902"/>
        <v>3740</v>
      </c>
      <c r="K4099" s="46" t="s">
        <v>10735</v>
      </c>
      <c r="L4099" s="47"/>
      <c r="M4099" s="47">
        <f t="shared" si="904"/>
        <v>1430.0000000000002</v>
      </c>
      <c r="N4099" s="47"/>
      <c r="O4099" s="47"/>
      <c r="P4099" s="47"/>
      <c r="Q4099" s="47"/>
      <c r="R4099" s="47"/>
      <c r="S4099" s="47" t="s">
        <v>463</v>
      </c>
      <c r="T4099" s="47" t="s">
        <v>6042</v>
      </c>
      <c r="U4099" s="47"/>
      <c r="V4099" s="47"/>
      <c r="W4099" s="47"/>
      <c r="X4099" s="47"/>
      <c r="Y4099" s="47"/>
      <c r="Z4099" s="47">
        <f t="shared" si="903"/>
        <v>4620</v>
      </c>
      <c r="AA4099" s="47"/>
      <c r="AB4099" s="47"/>
      <c r="AC4099" s="47"/>
      <c r="AD4099" s="47" t="s">
        <v>1</v>
      </c>
      <c r="AE4099" s="47"/>
      <c r="AF4099" s="47"/>
      <c r="AG4099" s="47"/>
      <c r="AH4099" s="47" t="str">
        <f>IFERROR(_xlfn.XLOOKUP(Table6[[#This Row],[Suburb]],Table5[Travel Surcharge],Table5[$$]),"")</f>
        <v/>
      </c>
      <c r="AI4099" s="47"/>
      <c r="AJ4099" s="47"/>
    </row>
    <row r="4100" spans="1:36">
      <c r="A4100" s="374" t="s">
        <v>6037</v>
      </c>
      <c r="B4100" s="374">
        <v>26</v>
      </c>
      <c r="C4100" s="374" t="s">
        <v>502</v>
      </c>
      <c r="D4100" s="375" t="str">
        <f t="shared" si="901"/>
        <v>The Grove Estate26</v>
      </c>
      <c r="E4100" s="375" t="s">
        <v>6053</v>
      </c>
      <c r="F4100" s="375" t="s">
        <v>650</v>
      </c>
      <c r="G4100" s="375" t="s">
        <v>6039</v>
      </c>
      <c r="H4100" s="375" t="s">
        <v>6040</v>
      </c>
      <c r="I4100" s="63" t="s">
        <v>6041</v>
      </c>
      <c r="J4100" s="47">
        <f t="shared" si="902"/>
        <v>3740</v>
      </c>
      <c r="K4100" s="46" t="s">
        <v>10735</v>
      </c>
      <c r="L4100" s="47"/>
      <c r="M4100" s="47">
        <f t="shared" si="904"/>
        <v>1430.0000000000002</v>
      </c>
      <c r="N4100" s="47"/>
      <c r="O4100" s="47"/>
      <c r="P4100" s="47"/>
      <c r="Q4100" s="47"/>
      <c r="R4100" s="47"/>
      <c r="S4100" s="47" t="s">
        <v>463</v>
      </c>
      <c r="T4100" s="47" t="s">
        <v>6042</v>
      </c>
      <c r="U4100" s="47"/>
      <c r="V4100" s="47"/>
      <c r="W4100" s="47"/>
      <c r="X4100" s="47"/>
      <c r="Y4100" s="47"/>
      <c r="Z4100" s="47">
        <f t="shared" si="903"/>
        <v>4620</v>
      </c>
      <c r="AA4100" s="47"/>
      <c r="AB4100" s="47"/>
      <c r="AC4100" s="47"/>
      <c r="AD4100" s="47" t="s">
        <v>1</v>
      </c>
      <c r="AE4100" s="47"/>
      <c r="AF4100" s="47"/>
      <c r="AG4100" s="47"/>
      <c r="AH4100" s="47" t="str">
        <f>IFERROR(_xlfn.XLOOKUP(Table6[[#This Row],[Suburb]],Table5[Travel Surcharge],Table5[$$]),"")</f>
        <v/>
      </c>
      <c r="AI4100" s="47"/>
      <c r="AJ4100" s="47"/>
    </row>
    <row r="4101" spans="1:36">
      <c r="A4101" s="374" t="s">
        <v>6037</v>
      </c>
      <c r="B4101" s="374">
        <v>28</v>
      </c>
      <c r="C4101" s="374" t="s">
        <v>502</v>
      </c>
      <c r="D4101" s="375" t="str">
        <f t="shared" si="901"/>
        <v>The Grove Estate28</v>
      </c>
      <c r="E4101" s="375" t="s">
        <v>6054</v>
      </c>
      <c r="F4101" s="375" t="s">
        <v>650</v>
      </c>
      <c r="G4101" s="375" t="s">
        <v>6039</v>
      </c>
      <c r="H4101" s="375" t="s">
        <v>6040</v>
      </c>
      <c r="I4101" s="63" t="s">
        <v>6041</v>
      </c>
      <c r="J4101" s="47">
        <f t="shared" si="902"/>
        <v>3740</v>
      </c>
      <c r="K4101" s="46" t="s">
        <v>10735</v>
      </c>
      <c r="L4101" s="47"/>
      <c r="M4101" s="47">
        <f t="shared" si="904"/>
        <v>1430.0000000000002</v>
      </c>
      <c r="N4101" s="47"/>
      <c r="O4101" s="47"/>
      <c r="P4101" s="47"/>
      <c r="Q4101" s="47"/>
      <c r="R4101" s="47"/>
      <c r="S4101" s="47" t="s">
        <v>463</v>
      </c>
      <c r="T4101" s="47" t="s">
        <v>6042</v>
      </c>
      <c r="U4101" s="47"/>
      <c r="V4101" s="47"/>
      <c r="W4101" s="47"/>
      <c r="X4101" s="47"/>
      <c r="Y4101" s="47"/>
      <c r="Z4101" s="47">
        <f t="shared" si="903"/>
        <v>4620</v>
      </c>
      <c r="AA4101" s="47"/>
      <c r="AB4101" s="47"/>
      <c r="AC4101" s="47"/>
      <c r="AD4101" s="47" t="s">
        <v>1</v>
      </c>
      <c r="AE4101" s="47"/>
      <c r="AF4101" s="47"/>
      <c r="AG4101" s="47"/>
      <c r="AH4101" s="47" t="str">
        <f>IFERROR(_xlfn.XLOOKUP(Table6[[#This Row],[Suburb]],Table5[Travel Surcharge],Table5[$$]),"")</f>
        <v/>
      </c>
      <c r="AI4101" s="47"/>
      <c r="AJ4101" s="47"/>
    </row>
    <row r="4102" spans="1:36">
      <c r="A4102" s="374" t="s">
        <v>6037</v>
      </c>
      <c r="B4102" s="374">
        <v>30</v>
      </c>
      <c r="C4102" s="374" t="s">
        <v>502</v>
      </c>
      <c r="D4102" s="375" t="str">
        <f t="shared" si="901"/>
        <v>The Grove Estate30</v>
      </c>
      <c r="E4102" s="375" t="s">
        <v>6055</v>
      </c>
      <c r="F4102" s="375" t="s">
        <v>650</v>
      </c>
      <c r="G4102" s="375" t="s">
        <v>6039</v>
      </c>
      <c r="H4102" s="375" t="s">
        <v>6040</v>
      </c>
      <c r="I4102" s="63" t="s">
        <v>6041</v>
      </c>
      <c r="J4102" s="47">
        <f t="shared" si="902"/>
        <v>3740</v>
      </c>
      <c r="K4102" s="46" t="s">
        <v>10735</v>
      </c>
      <c r="L4102" s="47"/>
      <c r="M4102" s="47">
        <f t="shared" si="904"/>
        <v>1430.0000000000002</v>
      </c>
      <c r="N4102" s="47"/>
      <c r="O4102" s="47"/>
      <c r="P4102" s="47"/>
      <c r="Q4102" s="47"/>
      <c r="R4102" s="47"/>
      <c r="S4102" s="47" t="s">
        <v>463</v>
      </c>
      <c r="T4102" s="47" t="s">
        <v>6042</v>
      </c>
      <c r="U4102" s="47"/>
      <c r="V4102" s="47"/>
      <c r="W4102" s="47"/>
      <c r="X4102" s="47"/>
      <c r="Y4102" s="47"/>
      <c r="Z4102" s="47">
        <f t="shared" si="903"/>
        <v>4620</v>
      </c>
      <c r="AA4102" s="47"/>
      <c r="AB4102" s="47"/>
      <c r="AC4102" s="47"/>
      <c r="AD4102" s="47" t="s">
        <v>1</v>
      </c>
      <c r="AE4102" s="47"/>
      <c r="AF4102" s="47"/>
      <c r="AG4102" s="47"/>
      <c r="AH4102" s="47" t="str">
        <f>IFERROR(_xlfn.XLOOKUP(Table6[[#This Row],[Suburb]],Table5[Travel Surcharge],Table5[$$]),"")</f>
        <v/>
      </c>
      <c r="AI4102" s="47"/>
      <c r="AJ4102" s="47"/>
    </row>
    <row r="4103" spans="1:36">
      <c r="A4103" s="374" t="s">
        <v>6037</v>
      </c>
      <c r="B4103" s="374">
        <v>31</v>
      </c>
      <c r="C4103" s="374" t="s">
        <v>502</v>
      </c>
      <c r="D4103" s="375" t="str">
        <f t="shared" si="901"/>
        <v>The Grove Estate31</v>
      </c>
      <c r="E4103" s="375" t="s">
        <v>6056</v>
      </c>
      <c r="F4103" s="375" t="s">
        <v>650</v>
      </c>
      <c r="G4103" s="375" t="s">
        <v>6039</v>
      </c>
      <c r="H4103" s="375" t="s">
        <v>6040</v>
      </c>
      <c r="I4103" s="63" t="s">
        <v>6041</v>
      </c>
      <c r="J4103" s="47">
        <f t="shared" si="902"/>
        <v>3740</v>
      </c>
      <c r="K4103" s="46" t="s">
        <v>10735</v>
      </c>
      <c r="L4103" s="47"/>
      <c r="M4103" s="47">
        <f t="shared" si="904"/>
        <v>1430.0000000000002</v>
      </c>
      <c r="N4103" s="47"/>
      <c r="O4103" s="47"/>
      <c r="P4103" s="47"/>
      <c r="Q4103" s="47"/>
      <c r="R4103" s="47"/>
      <c r="S4103" s="47" t="s">
        <v>463</v>
      </c>
      <c r="T4103" s="47" t="s">
        <v>6042</v>
      </c>
      <c r="U4103" s="47"/>
      <c r="V4103" s="47"/>
      <c r="W4103" s="47"/>
      <c r="X4103" s="47"/>
      <c r="Y4103" s="47"/>
      <c r="Z4103" s="47">
        <f t="shared" si="903"/>
        <v>4620</v>
      </c>
      <c r="AA4103" s="47"/>
      <c r="AB4103" s="47"/>
      <c r="AC4103" s="47"/>
      <c r="AD4103" s="47" t="s">
        <v>1</v>
      </c>
      <c r="AE4103" s="47"/>
      <c r="AF4103" s="47"/>
      <c r="AG4103" s="47"/>
      <c r="AH4103" s="47" t="str">
        <f>IFERROR(_xlfn.XLOOKUP(Table6[[#This Row],[Suburb]],Table5[Travel Surcharge],Table5[$$]),"")</f>
        <v/>
      </c>
      <c r="AI4103" s="47"/>
      <c r="AJ4103" s="47"/>
    </row>
    <row r="4104" spans="1:36">
      <c r="A4104" s="374" t="s">
        <v>6037</v>
      </c>
      <c r="B4104" s="374">
        <v>32</v>
      </c>
      <c r="C4104" s="374" t="s">
        <v>502</v>
      </c>
      <c r="D4104" s="375" t="str">
        <f t="shared" si="901"/>
        <v>The Grove Estate32</v>
      </c>
      <c r="E4104" s="375" t="s">
        <v>6057</v>
      </c>
      <c r="F4104" s="375" t="s">
        <v>650</v>
      </c>
      <c r="G4104" s="375" t="s">
        <v>6039</v>
      </c>
      <c r="H4104" s="375" t="s">
        <v>6040</v>
      </c>
      <c r="I4104" s="63" t="s">
        <v>6041</v>
      </c>
      <c r="J4104" s="47">
        <f t="shared" si="902"/>
        <v>3740</v>
      </c>
      <c r="K4104" s="46" t="s">
        <v>10735</v>
      </c>
      <c r="L4104" s="47"/>
      <c r="M4104" s="47">
        <f t="shared" si="904"/>
        <v>1430.0000000000002</v>
      </c>
      <c r="N4104" s="47"/>
      <c r="O4104" s="47"/>
      <c r="P4104" s="47"/>
      <c r="Q4104" s="47"/>
      <c r="R4104" s="47"/>
      <c r="S4104" s="47" t="s">
        <v>463</v>
      </c>
      <c r="T4104" s="47" t="s">
        <v>6042</v>
      </c>
      <c r="U4104" s="47"/>
      <c r="V4104" s="47"/>
      <c r="W4104" s="47"/>
      <c r="X4104" s="47"/>
      <c r="Y4104" s="47"/>
      <c r="Z4104" s="47">
        <f t="shared" si="903"/>
        <v>4620</v>
      </c>
      <c r="AA4104" s="47"/>
      <c r="AB4104" s="47"/>
      <c r="AC4104" s="47"/>
      <c r="AD4104" s="47" t="s">
        <v>1</v>
      </c>
      <c r="AE4104" s="47"/>
      <c r="AF4104" s="47"/>
      <c r="AG4104" s="47"/>
      <c r="AH4104" s="47" t="str">
        <f>IFERROR(_xlfn.XLOOKUP(Table6[[#This Row],[Suburb]],Table5[Travel Surcharge],Table5[$$]),"")</f>
        <v/>
      </c>
      <c r="AI4104" s="47"/>
      <c r="AJ4104" s="47"/>
    </row>
    <row r="4105" spans="1:36">
      <c r="A4105" s="374" t="s">
        <v>6037</v>
      </c>
      <c r="B4105" s="374">
        <v>35</v>
      </c>
      <c r="C4105" s="374" t="s">
        <v>502</v>
      </c>
      <c r="D4105" s="375" t="str">
        <f t="shared" si="901"/>
        <v>The Grove Estate35</v>
      </c>
      <c r="E4105" s="375" t="s">
        <v>6058</v>
      </c>
      <c r="F4105" s="375" t="s">
        <v>650</v>
      </c>
      <c r="G4105" s="375" t="s">
        <v>6039</v>
      </c>
      <c r="H4105" s="375" t="s">
        <v>6040</v>
      </c>
      <c r="I4105" s="63" t="s">
        <v>6041</v>
      </c>
      <c r="J4105" s="47">
        <f t="shared" si="902"/>
        <v>3740</v>
      </c>
      <c r="K4105" s="46" t="s">
        <v>10735</v>
      </c>
      <c r="L4105" s="47"/>
      <c r="M4105" s="47">
        <f t="shared" si="904"/>
        <v>1430.0000000000002</v>
      </c>
      <c r="N4105" s="47"/>
      <c r="O4105" s="47"/>
      <c r="P4105" s="47"/>
      <c r="Q4105" s="47"/>
      <c r="R4105" s="47"/>
      <c r="S4105" s="47" t="s">
        <v>463</v>
      </c>
      <c r="T4105" s="47" t="s">
        <v>6042</v>
      </c>
      <c r="U4105" s="47"/>
      <c r="V4105" s="47"/>
      <c r="W4105" s="47"/>
      <c r="X4105" s="47"/>
      <c r="Y4105" s="47"/>
      <c r="Z4105" s="47">
        <f t="shared" si="903"/>
        <v>4620</v>
      </c>
      <c r="AA4105" s="47"/>
      <c r="AB4105" s="47"/>
      <c r="AC4105" s="47"/>
      <c r="AD4105" s="47" t="s">
        <v>1</v>
      </c>
      <c r="AE4105" s="47"/>
      <c r="AF4105" s="47"/>
      <c r="AG4105" s="47"/>
      <c r="AH4105" s="47" t="str">
        <f>IFERROR(_xlfn.XLOOKUP(Table6[[#This Row],[Suburb]],Table5[Travel Surcharge],Table5[$$]),"")</f>
        <v/>
      </c>
      <c r="AI4105" s="47"/>
      <c r="AJ4105" s="47"/>
    </row>
    <row r="4106" spans="1:36">
      <c r="A4106" s="374" t="s">
        <v>6037</v>
      </c>
      <c r="B4106" s="374">
        <v>36</v>
      </c>
      <c r="C4106" s="374" t="s">
        <v>502</v>
      </c>
      <c r="D4106" s="375" t="str">
        <f t="shared" si="901"/>
        <v>The Grove Estate36</v>
      </c>
      <c r="E4106" s="375" t="s">
        <v>6059</v>
      </c>
      <c r="F4106" s="375" t="s">
        <v>650</v>
      </c>
      <c r="G4106" s="375" t="s">
        <v>6039</v>
      </c>
      <c r="H4106" s="375" t="s">
        <v>6040</v>
      </c>
      <c r="I4106" s="63" t="s">
        <v>6041</v>
      </c>
      <c r="J4106" s="47">
        <f t="shared" si="902"/>
        <v>3740</v>
      </c>
      <c r="K4106" s="46" t="s">
        <v>10735</v>
      </c>
      <c r="L4106" s="47"/>
      <c r="M4106" s="47">
        <f t="shared" si="904"/>
        <v>1430.0000000000002</v>
      </c>
      <c r="N4106" s="47"/>
      <c r="O4106" s="47"/>
      <c r="P4106" s="47"/>
      <c r="Q4106" s="47"/>
      <c r="R4106" s="47"/>
      <c r="S4106" s="47" t="s">
        <v>463</v>
      </c>
      <c r="T4106" s="47" t="s">
        <v>6042</v>
      </c>
      <c r="U4106" s="47"/>
      <c r="V4106" s="47"/>
      <c r="W4106" s="47"/>
      <c r="X4106" s="47"/>
      <c r="Y4106" s="47"/>
      <c r="Z4106" s="47">
        <f t="shared" si="903"/>
        <v>4620</v>
      </c>
      <c r="AA4106" s="47"/>
      <c r="AB4106" s="47"/>
      <c r="AC4106" s="47"/>
      <c r="AD4106" s="47" t="s">
        <v>1</v>
      </c>
      <c r="AE4106" s="47"/>
      <c r="AF4106" s="47"/>
      <c r="AG4106" s="47"/>
      <c r="AH4106" s="47" t="str">
        <f>IFERROR(_xlfn.XLOOKUP(Table6[[#This Row],[Suburb]],Table5[Travel Surcharge],Table5[$$]),"")</f>
        <v/>
      </c>
      <c r="AI4106" s="47"/>
      <c r="AJ4106" s="47"/>
    </row>
    <row r="4107" spans="1:36">
      <c r="A4107" s="374" t="s">
        <v>6037</v>
      </c>
      <c r="B4107" s="374">
        <v>37</v>
      </c>
      <c r="C4107" s="374" t="s">
        <v>502</v>
      </c>
      <c r="D4107" s="375" t="str">
        <f t="shared" si="901"/>
        <v>The Grove Estate37</v>
      </c>
      <c r="E4107" s="375" t="s">
        <v>6060</v>
      </c>
      <c r="F4107" s="375" t="s">
        <v>650</v>
      </c>
      <c r="G4107" s="375" t="s">
        <v>6039</v>
      </c>
      <c r="H4107" s="375" t="s">
        <v>6040</v>
      </c>
      <c r="I4107" s="63" t="s">
        <v>6041</v>
      </c>
      <c r="J4107" s="47">
        <f t="shared" si="902"/>
        <v>3740</v>
      </c>
      <c r="K4107" s="46" t="s">
        <v>10735</v>
      </c>
      <c r="L4107" s="47"/>
      <c r="M4107" s="47">
        <f t="shared" si="904"/>
        <v>1430.0000000000002</v>
      </c>
      <c r="N4107" s="47"/>
      <c r="O4107" s="47"/>
      <c r="P4107" s="47"/>
      <c r="Q4107" s="47"/>
      <c r="R4107" s="47"/>
      <c r="S4107" s="47" t="s">
        <v>463</v>
      </c>
      <c r="T4107" s="47" t="s">
        <v>6042</v>
      </c>
      <c r="U4107" s="47"/>
      <c r="V4107" s="47"/>
      <c r="W4107" s="47"/>
      <c r="X4107" s="47"/>
      <c r="Y4107" s="47"/>
      <c r="Z4107" s="47">
        <f t="shared" si="903"/>
        <v>4620</v>
      </c>
      <c r="AA4107" s="47"/>
      <c r="AB4107" s="47"/>
      <c r="AC4107" s="47"/>
      <c r="AD4107" s="47" t="s">
        <v>1</v>
      </c>
      <c r="AE4107" s="47"/>
      <c r="AF4107" s="47"/>
      <c r="AG4107" s="47"/>
      <c r="AH4107" s="47" t="str">
        <f>IFERROR(_xlfn.XLOOKUP(Table6[[#This Row],[Suburb]],Table5[Travel Surcharge],Table5[$$]),"")</f>
        <v/>
      </c>
      <c r="AI4107" s="47"/>
      <c r="AJ4107" s="47"/>
    </row>
    <row r="4108" spans="1:36">
      <c r="A4108" s="374" t="s">
        <v>6037</v>
      </c>
      <c r="B4108" s="374">
        <v>38</v>
      </c>
      <c r="C4108" s="374" t="s">
        <v>502</v>
      </c>
      <c r="D4108" s="375" t="str">
        <f t="shared" si="901"/>
        <v>The Grove Estate38</v>
      </c>
      <c r="E4108" s="375" t="s">
        <v>6063</v>
      </c>
      <c r="F4108" s="375" t="s">
        <v>650</v>
      </c>
      <c r="G4108" s="375" t="s">
        <v>6039</v>
      </c>
      <c r="H4108" s="375" t="s">
        <v>6040</v>
      </c>
      <c r="I4108" s="63" t="s">
        <v>6041</v>
      </c>
      <c r="J4108" s="47">
        <f t="shared" si="902"/>
        <v>3740</v>
      </c>
      <c r="K4108" s="46" t="s">
        <v>10735</v>
      </c>
      <c r="L4108" s="47"/>
      <c r="M4108" s="47">
        <f t="shared" si="904"/>
        <v>1430.0000000000002</v>
      </c>
      <c r="N4108" s="47"/>
      <c r="O4108" s="47"/>
      <c r="P4108" s="47"/>
      <c r="Q4108" s="47"/>
      <c r="R4108" s="47"/>
      <c r="S4108" s="47" t="s">
        <v>463</v>
      </c>
      <c r="T4108" s="47" t="s">
        <v>6042</v>
      </c>
      <c r="U4108" s="47"/>
      <c r="V4108" s="47"/>
      <c r="W4108" s="47"/>
      <c r="X4108" s="47"/>
      <c r="Y4108" s="47"/>
      <c r="Z4108" s="47">
        <f t="shared" si="903"/>
        <v>4620</v>
      </c>
      <c r="AA4108" s="47"/>
      <c r="AB4108" s="47"/>
      <c r="AC4108" s="47"/>
      <c r="AD4108" s="47" t="s">
        <v>1</v>
      </c>
      <c r="AE4108" s="47"/>
      <c r="AF4108" s="47"/>
      <c r="AG4108" s="47"/>
      <c r="AH4108" s="47" t="str">
        <f>IFERROR(_xlfn.XLOOKUP(Table6[[#This Row],[Suburb]],Table5[Travel Surcharge],Table5[$$]),"")</f>
        <v/>
      </c>
      <c r="AI4108" s="47"/>
      <c r="AJ4108" s="47"/>
    </row>
    <row r="4109" spans="1:36">
      <c r="A4109" s="374" t="s">
        <v>6037</v>
      </c>
      <c r="B4109" s="374">
        <v>45</v>
      </c>
      <c r="C4109" s="374" t="s">
        <v>502</v>
      </c>
      <c r="D4109" s="375" t="str">
        <f t="shared" si="901"/>
        <v>The Grove Estate45</v>
      </c>
      <c r="E4109" s="375" t="s">
        <v>6064</v>
      </c>
      <c r="F4109" s="375" t="s">
        <v>650</v>
      </c>
      <c r="G4109" s="375" t="s">
        <v>6039</v>
      </c>
      <c r="H4109" s="375" t="s">
        <v>6040</v>
      </c>
      <c r="I4109" s="63" t="s">
        <v>6041</v>
      </c>
      <c r="J4109" s="47">
        <f t="shared" si="902"/>
        <v>3740</v>
      </c>
      <c r="K4109" s="46" t="s">
        <v>10735</v>
      </c>
      <c r="L4109" s="47"/>
      <c r="M4109" s="47">
        <f t="shared" si="904"/>
        <v>1430.0000000000002</v>
      </c>
      <c r="N4109" s="47"/>
      <c r="O4109" s="47"/>
      <c r="P4109" s="47"/>
      <c r="Q4109" s="47"/>
      <c r="R4109" s="47"/>
      <c r="S4109" s="47" t="s">
        <v>463</v>
      </c>
      <c r="T4109" s="47" t="s">
        <v>6042</v>
      </c>
      <c r="U4109" s="47"/>
      <c r="V4109" s="47"/>
      <c r="W4109" s="47"/>
      <c r="X4109" s="47"/>
      <c r="Y4109" s="47"/>
      <c r="Z4109" s="47">
        <f t="shared" si="903"/>
        <v>4620</v>
      </c>
      <c r="AA4109" s="47"/>
      <c r="AB4109" s="47"/>
      <c r="AC4109" s="47"/>
      <c r="AD4109" s="47" t="s">
        <v>1</v>
      </c>
      <c r="AE4109" s="47"/>
      <c r="AF4109" s="47"/>
      <c r="AG4109" s="47"/>
      <c r="AH4109" s="47" t="str">
        <f>IFERROR(_xlfn.XLOOKUP(Table6[[#This Row],[Suburb]],Table5[Travel Surcharge],Table5[$$]),"")</f>
        <v/>
      </c>
      <c r="AI4109" s="47"/>
      <c r="AJ4109" s="47"/>
    </row>
    <row r="4110" spans="1:36">
      <c r="A4110" s="374" t="s">
        <v>6037</v>
      </c>
      <c r="B4110" s="374">
        <v>46</v>
      </c>
      <c r="C4110" s="374" t="s">
        <v>502</v>
      </c>
      <c r="D4110" s="375" t="str">
        <f t="shared" si="901"/>
        <v>The Grove Estate46</v>
      </c>
      <c r="E4110" s="375" t="s">
        <v>7914</v>
      </c>
      <c r="F4110" s="375" t="s">
        <v>650</v>
      </c>
      <c r="G4110" s="375" t="s">
        <v>6039</v>
      </c>
      <c r="H4110" s="375" t="s">
        <v>6040</v>
      </c>
      <c r="I4110" s="63" t="s">
        <v>6041</v>
      </c>
      <c r="J4110" s="47">
        <f t="shared" si="902"/>
        <v>3740</v>
      </c>
      <c r="K4110" s="46" t="s">
        <v>10735</v>
      </c>
      <c r="L4110" s="47"/>
      <c r="M4110" s="47">
        <f t="shared" si="904"/>
        <v>1430.0000000000002</v>
      </c>
      <c r="N4110" s="47"/>
      <c r="O4110" s="47"/>
      <c r="P4110" s="47"/>
      <c r="Q4110" s="47"/>
      <c r="R4110" s="47"/>
      <c r="S4110" s="47" t="s">
        <v>463</v>
      </c>
      <c r="T4110" s="47" t="s">
        <v>6042</v>
      </c>
      <c r="U4110" s="47"/>
      <c r="V4110" s="47"/>
      <c r="W4110" s="47"/>
      <c r="X4110" s="47"/>
      <c r="Y4110" s="47"/>
      <c r="Z4110" s="47">
        <f t="shared" si="903"/>
        <v>4620</v>
      </c>
      <c r="AA4110" s="47"/>
      <c r="AB4110" s="47"/>
      <c r="AC4110" s="47"/>
      <c r="AD4110" s="47" t="s">
        <v>1</v>
      </c>
      <c r="AE4110" s="47"/>
      <c r="AF4110" s="47"/>
      <c r="AG4110" s="47"/>
      <c r="AH4110" s="47" t="str">
        <f>IFERROR(_xlfn.XLOOKUP(Table6[[#This Row],[Suburb]],Table5[Travel Surcharge],Table5[$$]),"")</f>
        <v/>
      </c>
      <c r="AI4110" s="47"/>
      <c r="AJ4110" s="47"/>
    </row>
    <row r="4111" spans="1:36">
      <c r="A4111" s="157" t="s">
        <v>6037</v>
      </c>
      <c r="B4111" s="157">
        <v>47</v>
      </c>
      <c r="C4111" s="157" t="s">
        <v>8090</v>
      </c>
      <c r="D4111" s="157" t="str">
        <f t="shared" si="901"/>
        <v>The Grove Estate47</v>
      </c>
      <c r="E4111" s="157" t="s">
        <v>8464</v>
      </c>
      <c r="F4111" s="157" t="s">
        <v>650</v>
      </c>
      <c r="G4111" s="157" t="s">
        <v>6039</v>
      </c>
      <c r="H4111" s="157" t="s">
        <v>8259</v>
      </c>
      <c r="I4111" s="158" t="s">
        <v>6041</v>
      </c>
      <c r="J4111" s="47">
        <f t="shared" si="902"/>
        <v>3740</v>
      </c>
      <c r="K4111" s="46" t="s">
        <v>10735</v>
      </c>
      <c r="L4111" s="47"/>
      <c r="M4111" s="47">
        <f t="shared" si="904"/>
        <v>1430.0000000000002</v>
      </c>
      <c r="N4111" s="47"/>
      <c r="O4111" s="47"/>
      <c r="P4111" s="47"/>
      <c r="Q4111" s="47"/>
      <c r="R4111" s="47"/>
      <c r="S4111" s="47" t="s">
        <v>463</v>
      </c>
      <c r="T4111" s="47" t="s">
        <v>6042</v>
      </c>
      <c r="U4111" s="47"/>
      <c r="V4111" s="47"/>
      <c r="W4111" s="47"/>
      <c r="X4111" s="47"/>
      <c r="Y4111" s="47"/>
      <c r="Z4111" s="47">
        <f t="shared" si="903"/>
        <v>4620</v>
      </c>
      <c r="AA4111" s="47"/>
      <c r="AB4111" s="47"/>
      <c r="AC4111" s="47"/>
      <c r="AD4111" s="47" t="s">
        <v>1</v>
      </c>
      <c r="AE4111" s="47"/>
      <c r="AF4111" s="47"/>
      <c r="AG4111" s="47"/>
      <c r="AH4111" s="47" t="str">
        <f>IFERROR(_xlfn.XLOOKUP(Table6[[#This Row],[Suburb]],Table5[Travel Surcharge],Table5[$$]),"")</f>
        <v/>
      </c>
      <c r="AI4111" s="47"/>
      <c r="AJ4111" s="47"/>
    </row>
    <row r="4112" spans="1:36">
      <c r="A4112" s="374" t="s">
        <v>6037</v>
      </c>
      <c r="B4112" s="374">
        <v>48</v>
      </c>
      <c r="C4112" s="374" t="s">
        <v>502</v>
      </c>
      <c r="D4112" s="375" t="str">
        <f t="shared" si="901"/>
        <v>The Grove Estate48</v>
      </c>
      <c r="E4112" s="375" t="s">
        <v>6065</v>
      </c>
      <c r="F4112" s="375" t="s">
        <v>650</v>
      </c>
      <c r="G4112" s="375" t="s">
        <v>6039</v>
      </c>
      <c r="H4112" s="375" t="s">
        <v>6040</v>
      </c>
      <c r="I4112" s="63" t="s">
        <v>6041</v>
      </c>
      <c r="J4112" s="47">
        <f t="shared" si="902"/>
        <v>3740</v>
      </c>
      <c r="K4112" s="46" t="s">
        <v>10735</v>
      </c>
      <c r="L4112" s="47"/>
      <c r="M4112" s="47">
        <f t="shared" si="904"/>
        <v>1430.0000000000002</v>
      </c>
      <c r="N4112" s="47"/>
      <c r="O4112" s="47"/>
      <c r="P4112" s="47"/>
      <c r="Q4112" s="47"/>
      <c r="R4112" s="47"/>
      <c r="S4112" s="47" t="s">
        <v>463</v>
      </c>
      <c r="T4112" s="47" t="s">
        <v>6042</v>
      </c>
      <c r="U4112" s="47"/>
      <c r="V4112" s="47"/>
      <c r="W4112" s="47"/>
      <c r="X4112" s="47"/>
      <c r="Y4112" s="47"/>
      <c r="Z4112" s="47">
        <f t="shared" si="903"/>
        <v>4620</v>
      </c>
      <c r="AA4112" s="47"/>
      <c r="AB4112" s="47"/>
      <c r="AC4112" s="47"/>
      <c r="AD4112" s="47" t="s">
        <v>1</v>
      </c>
      <c r="AE4112" s="47"/>
      <c r="AF4112" s="47"/>
      <c r="AG4112" s="47"/>
      <c r="AH4112" s="47" t="str">
        <f>IFERROR(_xlfn.XLOOKUP(Table6[[#This Row],[Suburb]],Table5[Travel Surcharge],Table5[$$]),"")</f>
        <v/>
      </c>
      <c r="AI4112" s="47"/>
      <c r="AJ4112" s="47"/>
    </row>
    <row r="4113" spans="1:36">
      <c r="A4113" s="374" t="s">
        <v>6037</v>
      </c>
      <c r="B4113" s="374">
        <v>49</v>
      </c>
      <c r="C4113" s="374" t="s">
        <v>502</v>
      </c>
      <c r="D4113" s="375" t="str">
        <f t="shared" si="901"/>
        <v>The Grove Estate49</v>
      </c>
      <c r="E4113" s="375" t="s">
        <v>6066</v>
      </c>
      <c r="F4113" s="375" t="s">
        <v>650</v>
      </c>
      <c r="G4113" s="375" t="s">
        <v>6039</v>
      </c>
      <c r="H4113" s="375" t="s">
        <v>6040</v>
      </c>
      <c r="I4113" s="63" t="s">
        <v>6041</v>
      </c>
      <c r="J4113" s="47">
        <f t="shared" si="902"/>
        <v>3740</v>
      </c>
      <c r="K4113" s="46" t="s">
        <v>10735</v>
      </c>
      <c r="L4113" s="47"/>
      <c r="M4113" s="47">
        <f t="shared" si="904"/>
        <v>1430.0000000000002</v>
      </c>
      <c r="N4113" s="47"/>
      <c r="O4113" s="47"/>
      <c r="P4113" s="47"/>
      <c r="Q4113" s="47"/>
      <c r="R4113" s="47"/>
      <c r="S4113" s="47" t="s">
        <v>463</v>
      </c>
      <c r="T4113" s="47" t="s">
        <v>6042</v>
      </c>
      <c r="U4113" s="47"/>
      <c r="V4113" s="47"/>
      <c r="W4113" s="47"/>
      <c r="X4113" s="47"/>
      <c r="Y4113" s="47"/>
      <c r="Z4113" s="47">
        <f t="shared" si="903"/>
        <v>4620</v>
      </c>
      <c r="AA4113" s="47"/>
      <c r="AB4113" s="47"/>
      <c r="AC4113" s="47"/>
      <c r="AD4113" s="47" t="s">
        <v>1</v>
      </c>
      <c r="AE4113" s="47"/>
      <c r="AF4113" s="47"/>
      <c r="AG4113" s="47"/>
      <c r="AH4113" s="47" t="str">
        <f>IFERROR(_xlfn.XLOOKUP(Table6[[#This Row],[Suburb]],Table5[Travel Surcharge],Table5[$$]),"")</f>
        <v/>
      </c>
      <c r="AI4113" s="47"/>
      <c r="AJ4113" s="47"/>
    </row>
    <row r="4114" spans="1:36">
      <c r="A4114" s="374" t="s">
        <v>6037</v>
      </c>
      <c r="B4114" s="374">
        <v>50</v>
      </c>
      <c r="C4114" s="374" t="s">
        <v>502</v>
      </c>
      <c r="D4114" s="375" t="str">
        <f t="shared" si="901"/>
        <v>The Grove Estate50</v>
      </c>
      <c r="E4114" s="375" t="s">
        <v>6067</v>
      </c>
      <c r="F4114" s="375" t="s">
        <v>650</v>
      </c>
      <c r="G4114" s="375" t="s">
        <v>6039</v>
      </c>
      <c r="H4114" s="375" t="s">
        <v>6040</v>
      </c>
      <c r="I4114" s="63" t="s">
        <v>6041</v>
      </c>
      <c r="J4114" s="47">
        <f t="shared" si="902"/>
        <v>3740</v>
      </c>
      <c r="K4114" s="46" t="s">
        <v>10735</v>
      </c>
      <c r="L4114" s="47"/>
      <c r="M4114" s="47">
        <f t="shared" si="904"/>
        <v>1430.0000000000002</v>
      </c>
      <c r="N4114" s="47"/>
      <c r="O4114" s="47"/>
      <c r="P4114" s="47"/>
      <c r="Q4114" s="47"/>
      <c r="R4114" s="47"/>
      <c r="S4114" s="47" t="s">
        <v>463</v>
      </c>
      <c r="T4114" s="47" t="s">
        <v>6042</v>
      </c>
      <c r="U4114" s="47"/>
      <c r="V4114" s="47"/>
      <c r="W4114" s="47"/>
      <c r="X4114" s="47"/>
      <c r="Y4114" s="47"/>
      <c r="Z4114" s="47">
        <f t="shared" si="903"/>
        <v>4620</v>
      </c>
      <c r="AA4114" s="47"/>
      <c r="AB4114" s="47"/>
      <c r="AC4114" s="47"/>
      <c r="AD4114" s="47" t="s">
        <v>1</v>
      </c>
      <c r="AE4114" s="47"/>
      <c r="AF4114" s="47"/>
      <c r="AG4114" s="47"/>
      <c r="AH4114" s="47" t="str">
        <f>IFERROR(_xlfn.XLOOKUP(Table6[[#This Row],[Suburb]],Table5[Travel Surcharge],Table5[$$]),"")</f>
        <v/>
      </c>
      <c r="AI4114" s="47"/>
      <c r="AJ4114" s="47"/>
    </row>
    <row r="4115" spans="1:36">
      <c r="A4115" s="157" t="s">
        <v>6037</v>
      </c>
      <c r="B4115" s="157">
        <v>51</v>
      </c>
      <c r="C4115" s="157" t="s">
        <v>8090</v>
      </c>
      <c r="D4115" s="157" t="str">
        <f t="shared" si="901"/>
        <v>The Grove Estate51</v>
      </c>
      <c r="E4115" s="157" t="s">
        <v>8260</v>
      </c>
      <c r="F4115" s="157" t="s">
        <v>650</v>
      </c>
      <c r="G4115" s="157" t="s">
        <v>6039</v>
      </c>
      <c r="H4115" s="157" t="s">
        <v>8259</v>
      </c>
      <c r="I4115" s="158" t="s">
        <v>6041</v>
      </c>
      <c r="J4115" s="47">
        <f t="shared" si="902"/>
        <v>3740</v>
      </c>
      <c r="K4115" s="46" t="s">
        <v>10735</v>
      </c>
      <c r="L4115" s="47"/>
      <c r="M4115" s="47">
        <f t="shared" si="904"/>
        <v>1430.0000000000002</v>
      </c>
      <c r="N4115" s="47"/>
      <c r="O4115" s="47"/>
      <c r="P4115" s="47"/>
      <c r="Q4115" s="47"/>
      <c r="R4115" s="47"/>
      <c r="S4115" s="47" t="s">
        <v>463</v>
      </c>
      <c r="T4115" s="47" t="s">
        <v>6042</v>
      </c>
      <c r="U4115" s="47"/>
      <c r="V4115" s="47"/>
      <c r="W4115" s="47"/>
      <c r="X4115" s="47"/>
      <c r="Y4115" s="47"/>
      <c r="Z4115" s="47">
        <f t="shared" si="903"/>
        <v>4620</v>
      </c>
      <c r="AA4115" s="47"/>
      <c r="AB4115" s="47"/>
      <c r="AC4115" s="47"/>
      <c r="AD4115" s="47" t="s">
        <v>1</v>
      </c>
      <c r="AE4115" s="47"/>
      <c r="AF4115" s="47"/>
      <c r="AG4115" s="47"/>
      <c r="AH4115" s="47" t="str">
        <f>IFERROR(_xlfn.XLOOKUP(Table6[[#This Row],[Suburb]],Table5[Travel Surcharge],Table5[$$]),"")</f>
        <v/>
      </c>
      <c r="AI4115" s="47"/>
      <c r="AJ4115" s="47"/>
    </row>
    <row r="4116" spans="1:36">
      <c r="A4116" s="157" t="s">
        <v>6037</v>
      </c>
      <c r="B4116" s="157">
        <v>52</v>
      </c>
      <c r="C4116" s="157" t="s">
        <v>8090</v>
      </c>
      <c r="D4116" s="157" t="str">
        <f t="shared" si="901"/>
        <v>The Grove Estate52</v>
      </c>
      <c r="E4116" s="157" t="s">
        <v>9413</v>
      </c>
      <c r="F4116" s="157" t="s">
        <v>650</v>
      </c>
      <c r="G4116" s="157" t="s">
        <v>6039</v>
      </c>
      <c r="H4116" s="157" t="s">
        <v>8259</v>
      </c>
      <c r="I4116" s="158" t="s">
        <v>6041</v>
      </c>
      <c r="J4116" s="47">
        <f t="shared" si="902"/>
        <v>3740</v>
      </c>
      <c r="K4116" s="46" t="s">
        <v>10735</v>
      </c>
      <c r="L4116" s="47"/>
      <c r="M4116" s="47">
        <f t="shared" si="904"/>
        <v>1430.0000000000002</v>
      </c>
      <c r="N4116" s="47"/>
      <c r="O4116" s="47"/>
      <c r="P4116" s="47"/>
      <c r="Q4116" s="47"/>
      <c r="R4116" s="47"/>
      <c r="S4116" s="47" t="s">
        <v>463</v>
      </c>
      <c r="T4116" s="47" t="s">
        <v>6042</v>
      </c>
      <c r="U4116" s="47"/>
      <c r="V4116" s="47"/>
      <c r="W4116" s="47"/>
      <c r="X4116" s="47"/>
      <c r="Y4116" s="47"/>
      <c r="Z4116" s="47">
        <f t="shared" si="903"/>
        <v>4620</v>
      </c>
      <c r="AA4116" s="47"/>
      <c r="AB4116" s="47"/>
      <c r="AC4116" s="47"/>
      <c r="AD4116" s="47" t="s">
        <v>1</v>
      </c>
      <c r="AE4116" s="47"/>
      <c r="AF4116" s="47"/>
      <c r="AG4116" s="47"/>
      <c r="AH4116" s="47" t="str">
        <f>IFERROR(_xlfn.XLOOKUP(Table6[[#This Row],[Suburb]],Table5[Travel Surcharge],Table5[$$]),"")</f>
        <v/>
      </c>
      <c r="AI4116" s="47"/>
      <c r="AJ4116" s="47"/>
    </row>
    <row r="4117" spans="1:36">
      <c r="A4117" s="374" t="s">
        <v>6037</v>
      </c>
      <c r="B4117" s="374">
        <v>53</v>
      </c>
      <c r="C4117" s="374" t="s">
        <v>502</v>
      </c>
      <c r="D4117" s="375" t="s">
        <v>9262</v>
      </c>
      <c r="E4117" s="375" t="s">
        <v>9261</v>
      </c>
      <c r="F4117" s="375" t="s">
        <v>650</v>
      </c>
      <c r="G4117" s="375" t="s">
        <v>6039</v>
      </c>
      <c r="H4117" s="375" t="s">
        <v>6040</v>
      </c>
      <c r="I4117" s="63" t="s">
        <v>6041</v>
      </c>
      <c r="J4117" s="47">
        <v>3740</v>
      </c>
      <c r="K4117" s="46" t="s">
        <v>10735</v>
      </c>
      <c r="L4117" s="47"/>
      <c r="M4117" s="47">
        <v>1430.0000000000002</v>
      </c>
      <c r="N4117" s="47"/>
      <c r="O4117" s="47"/>
      <c r="P4117" s="47"/>
      <c r="Q4117" s="47"/>
      <c r="R4117" s="47"/>
      <c r="S4117" s="47" t="s">
        <v>463</v>
      </c>
      <c r="T4117" s="47" t="s">
        <v>6042</v>
      </c>
      <c r="U4117" s="47"/>
      <c r="V4117" s="47"/>
      <c r="W4117" s="47"/>
      <c r="X4117" s="47"/>
      <c r="Y4117" s="47"/>
      <c r="Z4117" s="47">
        <v>4620</v>
      </c>
      <c r="AA4117" s="47"/>
      <c r="AB4117" s="47"/>
      <c r="AC4117" s="47"/>
      <c r="AD4117" s="47" t="s">
        <v>1</v>
      </c>
      <c r="AE4117" s="47"/>
      <c r="AF4117" s="47"/>
      <c r="AG4117" s="47"/>
      <c r="AH4117" s="47" t="str">
        <f>IFERROR(_xlfn.XLOOKUP(Table6[[#This Row],[Suburb]],Table5[Travel Surcharge],Table5[$$]),"")</f>
        <v/>
      </c>
      <c r="AI4117" s="47"/>
      <c r="AJ4117" s="47"/>
    </row>
    <row r="4118" spans="1:36">
      <c r="A4118" s="374" t="s">
        <v>6037</v>
      </c>
      <c r="B4118" s="374">
        <v>54</v>
      </c>
      <c r="C4118" s="374" t="s">
        <v>502</v>
      </c>
      <c r="D4118" s="375" t="s">
        <v>9773</v>
      </c>
      <c r="E4118" s="375" t="s">
        <v>9772</v>
      </c>
      <c r="F4118" s="375" t="s">
        <v>650</v>
      </c>
      <c r="G4118" s="375" t="s">
        <v>6039</v>
      </c>
      <c r="H4118" s="375" t="s">
        <v>6040</v>
      </c>
      <c r="I4118" s="63" t="s">
        <v>6041</v>
      </c>
      <c r="J4118" s="47">
        <v>3740</v>
      </c>
      <c r="K4118" s="46" t="s">
        <v>10735</v>
      </c>
      <c r="L4118" s="47"/>
      <c r="M4118" s="47">
        <v>1430.0000000000002</v>
      </c>
      <c r="N4118" s="47"/>
      <c r="O4118" s="47"/>
      <c r="P4118" s="47"/>
      <c r="Q4118" s="47"/>
      <c r="R4118" s="47"/>
      <c r="S4118" s="47" t="s">
        <v>463</v>
      </c>
      <c r="T4118" s="47" t="s">
        <v>6042</v>
      </c>
      <c r="U4118" s="47"/>
      <c r="V4118" s="47"/>
      <c r="W4118" s="47"/>
      <c r="X4118" s="47"/>
      <c r="Y4118" s="47"/>
      <c r="Z4118" s="47">
        <v>4620</v>
      </c>
      <c r="AA4118" s="47"/>
      <c r="AB4118" s="47"/>
      <c r="AC4118" s="47"/>
      <c r="AD4118" s="47" t="s">
        <v>1</v>
      </c>
      <c r="AE4118" s="47"/>
      <c r="AF4118" s="47"/>
      <c r="AG4118" s="47"/>
      <c r="AH4118" s="47" t="str">
        <f>IFERROR(_xlfn.XLOOKUP(Table6[[#This Row],[Suburb]],Table5[Travel Surcharge],Table5[$$]),"")</f>
        <v/>
      </c>
      <c r="AI4118" s="47"/>
      <c r="AJ4118" s="47"/>
    </row>
    <row r="4119" spans="1:36">
      <c r="A4119" s="374" t="s">
        <v>6037</v>
      </c>
      <c r="B4119" s="374">
        <v>55</v>
      </c>
      <c r="C4119" s="374" t="s">
        <v>502</v>
      </c>
      <c r="D4119" s="375" t="s">
        <v>10360</v>
      </c>
      <c r="E4119" s="375" t="s">
        <v>10361</v>
      </c>
      <c r="F4119" s="375" t="s">
        <v>650</v>
      </c>
      <c r="G4119" s="375" t="s">
        <v>6039</v>
      </c>
      <c r="H4119" s="375" t="s">
        <v>6040</v>
      </c>
      <c r="I4119" s="63" t="s">
        <v>6041</v>
      </c>
      <c r="J4119" s="47">
        <v>3740</v>
      </c>
      <c r="K4119" s="46" t="s">
        <v>10735</v>
      </c>
      <c r="L4119" s="47"/>
      <c r="M4119" s="47">
        <v>1430.0000000000002</v>
      </c>
      <c r="N4119" s="47"/>
      <c r="O4119" s="47"/>
      <c r="P4119" s="47"/>
      <c r="Q4119" s="47"/>
      <c r="R4119" s="47"/>
      <c r="S4119" s="47" t="s">
        <v>463</v>
      </c>
      <c r="T4119" s="47" t="s">
        <v>6042</v>
      </c>
      <c r="U4119" s="47"/>
      <c r="V4119" s="47"/>
      <c r="W4119" s="47"/>
      <c r="X4119" s="47"/>
      <c r="Y4119" s="47"/>
      <c r="Z4119" s="47">
        <v>4620</v>
      </c>
      <c r="AA4119" s="47"/>
      <c r="AB4119" s="47"/>
      <c r="AC4119" s="47"/>
      <c r="AD4119" s="47" t="s">
        <v>1</v>
      </c>
      <c r="AE4119" s="47"/>
      <c r="AF4119" s="47"/>
      <c r="AG4119" s="47"/>
      <c r="AH4119" s="47" t="str">
        <f>IFERROR(_xlfn.XLOOKUP(Table6[[#This Row],[Suburb]],Table5[Travel Surcharge],Table5[$$]),"")</f>
        <v/>
      </c>
      <c r="AI4119" s="47"/>
      <c r="AJ4119" s="47"/>
    </row>
    <row r="4120" spans="1:36">
      <c r="A4120" s="374" t="s">
        <v>6037</v>
      </c>
      <c r="B4120" s="374">
        <v>61</v>
      </c>
      <c r="C4120" s="374" t="s">
        <v>502</v>
      </c>
      <c r="D4120" s="375" t="str">
        <f t="shared" ref="D4120:D4154" si="905">CONCATENATE(A4120,B4120)</f>
        <v>The Grove Estate61</v>
      </c>
      <c r="E4120" s="375" t="s">
        <v>6068</v>
      </c>
      <c r="F4120" s="375" t="s">
        <v>650</v>
      </c>
      <c r="G4120" s="375" t="s">
        <v>6039</v>
      </c>
      <c r="H4120" s="375" t="s">
        <v>6040</v>
      </c>
      <c r="I4120" s="63" t="s">
        <v>6041</v>
      </c>
      <c r="J4120" s="47">
        <f t="shared" ref="J4120:J4126" si="906">J$7</f>
        <v>3740</v>
      </c>
      <c r="K4120" s="46" t="s">
        <v>10735</v>
      </c>
      <c r="L4120" s="47"/>
      <c r="M4120" s="47">
        <f t="shared" ref="M4120:M4133" si="907">M$7</f>
        <v>1430.0000000000002</v>
      </c>
      <c r="N4120" s="47"/>
      <c r="O4120" s="47"/>
      <c r="P4120" s="47"/>
      <c r="Q4120" s="47"/>
      <c r="R4120" s="47"/>
      <c r="S4120" s="47" t="s">
        <v>463</v>
      </c>
      <c r="T4120" s="47" t="s">
        <v>6042</v>
      </c>
      <c r="U4120" s="47"/>
      <c r="V4120" s="47"/>
      <c r="W4120" s="47"/>
      <c r="X4120" s="47"/>
      <c r="Y4120" s="47"/>
      <c r="Z4120" s="47">
        <f t="shared" ref="Z4120:Z4139" si="908">Z$7</f>
        <v>4620</v>
      </c>
      <c r="AA4120" s="47"/>
      <c r="AB4120" s="47"/>
      <c r="AC4120" s="47"/>
      <c r="AD4120" s="47" t="s">
        <v>1</v>
      </c>
      <c r="AE4120" s="47"/>
      <c r="AF4120" s="47"/>
      <c r="AG4120" s="47"/>
      <c r="AH4120" s="47" t="str">
        <f>IFERROR(_xlfn.XLOOKUP(Table6[[#This Row],[Suburb]],Table5[Travel Surcharge],Table5[$$]),"")</f>
        <v/>
      </c>
      <c r="AI4120" s="47"/>
      <c r="AJ4120" s="47"/>
    </row>
    <row r="4121" spans="1:36">
      <c r="A4121" s="374" t="s">
        <v>6037</v>
      </c>
      <c r="B4121" s="374">
        <v>62</v>
      </c>
      <c r="C4121" s="374" t="s">
        <v>502</v>
      </c>
      <c r="D4121" s="375" t="str">
        <f t="shared" si="905"/>
        <v>The Grove Estate62</v>
      </c>
      <c r="E4121" s="375" t="s">
        <v>6069</v>
      </c>
      <c r="F4121" s="375" t="s">
        <v>650</v>
      </c>
      <c r="G4121" s="375" t="s">
        <v>6039</v>
      </c>
      <c r="H4121" s="375" t="s">
        <v>6040</v>
      </c>
      <c r="I4121" s="63" t="s">
        <v>6041</v>
      </c>
      <c r="J4121" s="47">
        <f t="shared" si="906"/>
        <v>3740</v>
      </c>
      <c r="K4121" s="46" t="s">
        <v>10735</v>
      </c>
      <c r="L4121" s="47"/>
      <c r="M4121" s="47">
        <f t="shared" si="907"/>
        <v>1430.0000000000002</v>
      </c>
      <c r="N4121" s="47"/>
      <c r="O4121" s="47"/>
      <c r="P4121" s="47"/>
      <c r="Q4121" s="47"/>
      <c r="R4121" s="47"/>
      <c r="S4121" s="47" t="s">
        <v>463</v>
      </c>
      <c r="T4121" s="47" t="s">
        <v>6042</v>
      </c>
      <c r="U4121" s="47"/>
      <c r="V4121" s="47"/>
      <c r="W4121" s="47"/>
      <c r="X4121" s="47"/>
      <c r="Y4121" s="47"/>
      <c r="Z4121" s="47">
        <f t="shared" si="908"/>
        <v>4620</v>
      </c>
      <c r="AA4121" s="47"/>
      <c r="AB4121" s="47"/>
      <c r="AC4121" s="47"/>
      <c r="AD4121" s="47" t="s">
        <v>1</v>
      </c>
      <c r="AE4121" s="47"/>
      <c r="AF4121" s="47"/>
      <c r="AG4121" s="47"/>
      <c r="AH4121" s="47" t="str">
        <f>IFERROR(_xlfn.XLOOKUP(Table6[[#This Row],[Suburb]],Table5[Travel Surcharge],Table5[$$]),"")</f>
        <v/>
      </c>
      <c r="AI4121" s="47"/>
      <c r="AJ4121" s="47"/>
    </row>
    <row r="4122" spans="1:36">
      <c r="A4122" s="374" t="s">
        <v>6037</v>
      </c>
      <c r="B4122" s="374">
        <v>63</v>
      </c>
      <c r="C4122" s="374" t="s">
        <v>502</v>
      </c>
      <c r="D4122" s="375" t="str">
        <f t="shared" si="905"/>
        <v>The Grove Estate63</v>
      </c>
      <c r="E4122" s="375" t="s">
        <v>6070</v>
      </c>
      <c r="F4122" s="375" t="s">
        <v>650</v>
      </c>
      <c r="G4122" s="375" t="s">
        <v>6039</v>
      </c>
      <c r="H4122" s="375" t="s">
        <v>6040</v>
      </c>
      <c r="I4122" s="63" t="s">
        <v>6041</v>
      </c>
      <c r="J4122" s="47">
        <f t="shared" si="906"/>
        <v>3740</v>
      </c>
      <c r="K4122" s="46" t="s">
        <v>10735</v>
      </c>
      <c r="L4122" s="47"/>
      <c r="M4122" s="47">
        <f t="shared" si="907"/>
        <v>1430.0000000000002</v>
      </c>
      <c r="N4122" s="47"/>
      <c r="O4122" s="47"/>
      <c r="P4122" s="47"/>
      <c r="Q4122" s="47"/>
      <c r="R4122" s="47"/>
      <c r="S4122" s="47" t="s">
        <v>463</v>
      </c>
      <c r="T4122" s="47" t="s">
        <v>6042</v>
      </c>
      <c r="U4122" s="47"/>
      <c r="V4122" s="47"/>
      <c r="W4122" s="47"/>
      <c r="X4122" s="47"/>
      <c r="Y4122" s="47"/>
      <c r="Z4122" s="47">
        <f t="shared" si="908"/>
        <v>4620</v>
      </c>
      <c r="AA4122" s="47"/>
      <c r="AB4122" s="47"/>
      <c r="AC4122" s="47"/>
      <c r="AD4122" s="47" t="s">
        <v>1</v>
      </c>
      <c r="AE4122" s="47"/>
      <c r="AF4122" s="47"/>
      <c r="AG4122" s="47"/>
      <c r="AH4122" s="47" t="str">
        <f>IFERROR(_xlfn.XLOOKUP(Table6[[#This Row],[Suburb]],Table5[Travel Surcharge],Table5[$$]),"")</f>
        <v/>
      </c>
      <c r="AI4122" s="47"/>
      <c r="AJ4122" s="47"/>
    </row>
    <row r="4123" spans="1:36">
      <c r="A4123" s="374" t="s">
        <v>6037</v>
      </c>
      <c r="B4123" s="374">
        <v>64</v>
      </c>
      <c r="C4123" s="374" t="s">
        <v>502</v>
      </c>
      <c r="D4123" s="375" t="str">
        <f t="shared" si="905"/>
        <v>The Grove Estate64</v>
      </c>
      <c r="E4123" s="375" t="s">
        <v>6071</v>
      </c>
      <c r="F4123" s="375" t="s">
        <v>650</v>
      </c>
      <c r="G4123" s="375" t="s">
        <v>6039</v>
      </c>
      <c r="H4123" s="375" t="s">
        <v>6040</v>
      </c>
      <c r="I4123" s="63" t="s">
        <v>6041</v>
      </c>
      <c r="J4123" s="47">
        <f t="shared" si="906"/>
        <v>3740</v>
      </c>
      <c r="K4123" s="46" t="s">
        <v>10735</v>
      </c>
      <c r="L4123" s="47"/>
      <c r="M4123" s="47">
        <f t="shared" si="907"/>
        <v>1430.0000000000002</v>
      </c>
      <c r="N4123" s="47"/>
      <c r="O4123" s="47"/>
      <c r="P4123" s="47"/>
      <c r="Q4123" s="47"/>
      <c r="R4123" s="47"/>
      <c r="S4123" s="47" t="s">
        <v>463</v>
      </c>
      <c r="T4123" s="47" t="s">
        <v>6042</v>
      </c>
      <c r="U4123" s="47"/>
      <c r="V4123" s="47"/>
      <c r="W4123" s="47"/>
      <c r="X4123" s="47"/>
      <c r="Y4123" s="47"/>
      <c r="Z4123" s="47">
        <f t="shared" si="908"/>
        <v>4620</v>
      </c>
      <c r="AA4123" s="47"/>
      <c r="AB4123" s="47"/>
      <c r="AC4123" s="47"/>
      <c r="AD4123" s="47" t="s">
        <v>1</v>
      </c>
      <c r="AE4123" s="47"/>
      <c r="AF4123" s="47"/>
      <c r="AG4123" s="47"/>
      <c r="AH4123" s="47" t="str">
        <f>IFERROR(_xlfn.XLOOKUP(Table6[[#This Row],[Suburb]],Table5[Travel Surcharge],Table5[$$]),"")</f>
        <v/>
      </c>
      <c r="AI4123" s="47"/>
      <c r="AJ4123" s="47"/>
    </row>
    <row r="4124" spans="1:36">
      <c r="A4124" s="374" t="s">
        <v>6037</v>
      </c>
      <c r="B4124" s="374">
        <v>65</v>
      </c>
      <c r="C4124" s="374" t="s">
        <v>502</v>
      </c>
      <c r="D4124" s="375" t="str">
        <f t="shared" si="905"/>
        <v>The Grove Estate65</v>
      </c>
      <c r="E4124" s="375" t="s">
        <v>6072</v>
      </c>
      <c r="F4124" s="375" t="s">
        <v>650</v>
      </c>
      <c r="G4124" s="375" t="s">
        <v>6039</v>
      </c>
      <c r="H4124" s="375" t="s">
        <v>6040</v>
      </c>
      <c r="I4124" s="63" t="s">
        <v>6041</v>
      </c>
      <c r="J4124" s="47">
        <f t="shared" si="906"/>
        <v>3740</v>
      </c>
      <c r="K4124" s="46" t="s">
        <v>10735</v>
      </c>
      <c r="L4124" s="47"/>
      <c r="M4124" s="47">
        <f t="shared" si="907"/>
        <v>1430.0000000000002</v>
      </c>
      <c r="N4124" s="47"/>
      <c r="O4124" s="47"/>
      <c r="P4124" s="47"/>
      <c r="Q4124" s="47"/>
      <c r="R4124" s="47"/>
      <c r="S4124" s="47" t="s">
        <v>463</v>
      </c>
      <c r="T4124" s="47" t="s">
        <v>6042</v>
      </c>
      <c r="U4124" s="47"/>
      <c r="V4124" s="47"/>
      <c r="W4124" s="47"/>
      <c r="X4124" s="47"/>
      <c r="Y4124" s="47"/>
      <c r="Z4124" s="47">
        <f t="shared" si="908"/>
        <v>4620</v>
      </c>
      <c r="AA4124" s="47"/>
      <c r="AB4124" s="47"/>
      <c r="AC4124" s="47"/>
      <c r="AD4124" s="47" t="s">
        <v>1</v>
      </c>
      <c r="AE4124" s="47"/>
      <c r="AF4124" s="47"/>
      <c r="AG4124" s="47"/>
      <c r="AH4124" s="47" t="str">
        <f>IFERROR(_xlfn.XLOOKUP(Table6[[#This Row],[Suburb]],Table5[Travel Surcharge],Table5[$$]),"")</f>
        <v/>
      </c>
      <c r="AI4124" s="47"/>
      <c r="AJ4124" s="47"/>
    </row>
    <row r="4125" spans="1:36">
      <c r="A4125" s="374" t="s">
        <v>6037</v>
      </c>
      <c r="B4125" s="374">
        <v>66</v>
      </c>
      <c r="C4125" s="374" t="s">
        <v>502</v>
      </c>
      <c r="D4125" s="375" t="str">
        <f t="shared" si="905"/>
        <v>The Grove Estate66</v>
      </c>
      <c r="E4125" s="375" t="s">
        <v>6073</v>
      </c>
      <c r="F4125" s="375" t="s">
        <v>650</v>
      </c>
      <c r="G4125" s="375" t="s">
        <v>6039</v>
      </c>
      <c r="H4125" s="375" t="s">
        <v>6040</v>
      </c>
      <c r="I4125" s="63" t="s">
        <v>6041</v>
      </c>
      <c r="J4125" s="47">
        <f t="shared" si="906"/>
        <v>3740</v>
      </c>
      <c r="K4125" s="46" t="s">
        <v>10735</v>
      </c>
      <c r="L4125" s="47"/>
      <c r="M4125" s="47">
        <f t="shared" si="907"/>
        <v>1430.0000000000002</v>
      </c>
      <c r="N4125" s="47"/>
      <c r="O4125" s="47"/>
      <c r="P4125" s="47"/>
      <c r="Q4125" s="47"/>
      <c r="R4125" s="47"/>
      <c r="S4125" s="47" t="s">
        <v>463</v>
      </c>
      <c r="T4125" s="47" t="s">
        <v>6042</v>
      </c>
      <c r="U4125" s="47"/>
      <c r="V4125" s="47"/>
      <c r="W4125" s="47"/>
      <c r="X4125" s="47"/>
      <c r="Y4125" s="47"/>
      <c r="Z4125" s="47">
        <f t="shared" si="908"/>
        <v>4620</v>
      </c>
      <c r="AA4125" s="47"/>
      <c r="AB4125" s="47"/>
      <c r="AC4125" s="47"/>
      <c r="AD4125" s="47" t="s">
        <v>1</v>
      </c>
      <c r="AE4125" s="47"/>
      <c r="AF4125" s="47"/>
      <c r="AG4125" s="47"/>
      <c r="AH4125" s="47" t="str">
        <f>IFERROR(_xlfn.XLOOKUP(Table6[[#This Row],[Suburb]],Table5[Travel Surcharge],Table5[$$]),"")</f>
        <v/>
      </c>
      <c r="AI4125" s="47"/>
      <c r="AJ4125" s="47"/>
    </row>
    <row r="4126" spans="1:36">
      <c r="A4126" s="374" t="s">
        <v>6037</v>
      </c>
      <c r="B4126" s="374" t="s">
        <v>6061</v>
      </c>
      <c r="C4126" s="374" t="s">
        <v>502</v>
      </c>
      <c r="D4126" s="375" t="str">
        <f t="shared" si="905"/>
        <v>The Grove Estate37B</v>
      </c>
      <c r="E4126" s="375" t="s">
        <v>6062</v>
      </c>
      <c r="F4126" s="375" t="s">
        <v>650</v>
      </c>
      <c r="G4126" s="375" t="s">
        <v>6039</v>
      </c>
      <c r="H4126" s="375" t="s">
        <v>6040</v>
      </c>
      <c r="I4126" s="63" t="s">
        <v>6041</v>
      </c>
      <c r="J4126" s="47">
        <f t="shared" si="906"/>
        <v>3740</v>
      </c>
      <c r="K4126" s="46" t="s">
        <v>10735</v>
      </c>
      <c r="L4126" s="47"/>
      <c r="M4126" s="47">
        <f t="shared" si="907"/>
        <v>1430.0000000000002</v>
      </c>
      <c r="N4126" s="47"/>
      <c r="O4126" s="47"/>
      <c r="P4126" s="47"/>
      <c r="Q4126" s="47"/>
      <c r="R4126" s="47"/>
      <c r="S4126" s="47" t="s">
        <v>463</v>
      </c>
      <c r="T4126" s="47" t="s">
        <v>6042</v>
      </c>
      <c r="U4126" s="47"/>
      <c r="V4126" s="47"/>
      <c r="W4126" s="47"/>
      <c r="X4126" s="47"/>
      <c r="Y4126" s="47"/>
      <c r="Z4126" s="47">
        <f t="shared" si="908"/>
        <v>4620</v>
      </c>
      <c r="AA4126" s="47"/>
      <c r="AB4126" s="47"/>
      <c r="AC4126" s="47"/>
      <c r="AD4126" s="47" t="s">
        <v>1</v>
      </c>
      <c r="AE4126" s="47"/>
      <c r="AF4126" s="47"/>
      <c r="AG4126" s="47"/>
      <c r="AH4126" s="47" t="str">
        <f>IFERROR(_xlfn.XLOOKUP(Table6[[#This Row],[Suburb]],Table5[Travel Surcharge],Table5[$$]),"")</f>
        <v/>
      </c>
      <c r="AI4126" s="47"/>
      <c r="AJ4126" s="47"/>
    </row>
    <row r="4127" spans="1:36">
      <c r="A4127" s="374" t="s">
        <v>6074</v>
      </c>
      <c r="B4127" s="374">
        <v>3</v>
      </c>
      <c r="C4127" s="374" t="s">
        <v>3373</v>
      </c>
      <c r="D4127" s="375" t="str">
        <f t="shared" si="905"/>
        <v>The Heights Estate3</v>
      </c>
      <c r="E4127" s="375" t="s">
        <v>6075</v>
      </c>
      <c r="F4127" s="375" t="s">
        <v>1155</v>
      </c>
      <c r="G4127" s="375" t="s">
        <v>6076</v>
      </c>
      <c r="H4127" s="375" t="s">
        <v>6077</v>
      </c>
      <c r="I4127" s="63" t="s">
        <v>6078</v>
      </c>
      <c r="J4127" s="47"/>
      <c r="K4127" s="46" t="s">
        <v>10735</v>
      </c>
      <c r="L4127" s="47"/>
      <c r="M4127" s="47">
        <f t="shared" si="907"/>
        <v>1430.0000000000002</v>
      </c>
      <c r="N4127" s="47"/>
      <c r="O4127" s="47"/>
      <c r="P4127" s="47"/>
      <c r="Q4127" s="47"/>
      <c r="R4127" s="47"/>
      <c r="S4127" s="47"/>
      <c r="T4127" s="47">
        <f t="shared" ref="T4127:T4133" si="909">T$2</f>
        <v>780</v>
      </c>
      <c r="U4127" s="47"/>
      <c r="V4127" s="47"/>
      <c r="W4127" s="47"/>
      <c r="X4127" s="47"/>
      <c r="Y4127" s="47"/>
      <c r="Z4127" s="47">
        <f t="shared" si="908"/>
        <v>4620</v>
      </c>
      <c r="AA4127" s="47"/>
      <c r="AB4127" s="47"/>
      <c r="AC4127" s="47" t="s">
        <v>2867</v>
      </c>
      <c r="AD4127" s="47"/>
      <c r="AE4127" s="47">
        <f>AE$7</f>
        <v>5000</v>
      </c>
      <c r="AF4127" s="47"/>
      <c r="AG4127" s="47"/>
      <c r="AH4127" s="47" t="str">
        <f>IFERROR(_xlfn.XLOOKUP(Table6[[#This Row],[Suburb]],Table5[Travel Surcharge],Table5[$$]),"")</f>
        <v/>
      </c>
      <c r="AI4127" s="47"/>
      <c r="AJ4127" s="47"/>
    </row>
    <row r="4128" spans="1:36">
      <c r="A4128" s="374" t="s">
        <v>6079</v>
      </c>
      <c r="B4128" s="374">
        <v>1</v>
      </c>
      <c r="C4128" s="374" t="s">
        <v>394</v>
      </c>
      <c r="D4128" s="375" t="str">
        <f t="shared" si="905"/>
        <v>The Ivy Estate1</v>
      </c>
      <c r="E4128" s="375" t="s">
        <v>6080</v>
      </c>
      <c r="F4128" s="375" t="s">
        <v>6081</v>
      </c>
      <c r="G4128" s="375" t="s">
        <v>5582</v>
      </c>
      <c r="H4128" s="375" t="s">
        <v>6082</v>
      </c>
      <c r="I4128" s="63" t="s">
        <v>6083</v>
      </c>
      <c r="J4128" s="47"/>
      <c r="K4128" s="46" t="s">
        <v>10735</v>
      </c>
      <c r="L4128" s="47"/>
      <c r="M4128" s="47">
        <f t="shared" si="907"/>
        <v>1430.0000000000002</v>
      </c>
      <c r="N4128" s="47"/>
      <c r="O4128" s="47"/>
      <c r="P4128" s="47"/>
      <c r="Q4128" s="47" t="s">
        <v>6084</v>
      </c>
      <c r="R4128" s="47"/>
      <c r="S4128" s="47"/>
      <c r="T4128" s="47">
        <f t="shared" si="909"/>
        <v>780</v>
      </c>
      <c r="U4128" s="47"/>
      <c r="V4128" s="47"/>
      <c r="W4128" s="47"/>
      <c r="X4128" s="47">
        <f t="shared" ref="X4128:X4133" si="910">X$7</f>
        <v>3000</v>
      </c>
      <c r="Y4128" s="47"/>
      <c r="Z4128" s="47">
        <f t="shared" si="908"/>
        <v>4620</v>
      </c>
      <c r="AA4128" s="47"/>
      <c r="AB4128" s="47"/>
      <c r="AC4128" s="47"/>
      <c r="AD4128" s="47"/>
      <c r="AE4128" s="47"/>
      <c r="AF4128" s="47">
        <f t="shared" ref="AF4128:AF4139" si="911">AF$7</f>
        <v>1485</v>
      </c>
      <c r="AG4128" s="47"/>
      <c r="AH4128" s="47" t="str">
        <f>IFERROR(_xlfn.XLOOKUP(Table6[[#This Row],[Suburb]],Table5[Travel Surcharge],Table5[$$]),"")</f>
        <v/>
      </c>
      <c r="AI4128" s="47"/>
      <c r="AJ4128" s="47"/>
    </row>
    <row r="4129" spans="1:36">
      <c r="A4129" s="374" t="s">
        <v>6079</v>
      </c>
      <c r="B4129" s="374">
        <v>2</v>
      </c>
      <c r="C4129" s="374" t="s">
        <v>394</v>
      </c>
      <c r="D4129" s="375" t="str">
        <f t="shared" si="905"/>
        <v>The Ivy Estate2</v>
      </c>
      <c r="E4129" s="375" t="s">
        <v>6085</v>
      </c>
      <c r="F4129" s="375" t="s">
        <v>6081</v>
      </c>
      <c r="G4129" s="375" t="s">
        <v>5582</v>
      </c>
      <c r="H4129" s="375" t="s">
        <v>6082</v>
      </c>
      <c r="I4129" s="63" t="s">
        <v>6083</v>
      </c>
      <c r="J4129" s="47"/>
      <c r="K4129" s="46" t="s">
        <v>10735</v>
      </c>
      <c r="L4129" s="47"/>
      <c r="M4129" s="47">
        <f t="shared" si="907"/>
        <v>1430.0000000000002</v>
      </c>
      <c r="N4129" s="47"/>
      <c r="O4129" s="47"/>
      <c r="P4129" s="47"/>
      <c r="Q4129" s="47" t="s">
        <v>6084</v>
      </c>
      <c r="R4129" s="47"/>
      <c r="S4129" s="47"/>
      <c r="T4129" s="47">
        <f t="shared" si="909"/>
        <v>780</v>
      </c>
      <c r="U4129" s="47"/>
      <c r="V4129" s="47"/>
      <c r="W4129" s="47"/>
      <c r="X4129" s="47">
        <f t="shared" si="910"/>
        <v>3000</v>
      </c>
      <c r="Y4129" s="47"/>
      <c r="Z4129" s="47">
        <f t="shared" si="908"/>
        <v>4620</v>
      </c>
      <c r="AA4129" s="47"/>
      <c r="AB4129" s="47"/>
      <c r="AC4129" s="47"/>
      <c r="AD4129" s="47"/>
      <c r="AE4129" s="47"/>
      <c r="AF4129" s="47">
        <f t="shared" si="911"/>
        <v>1485</v>
      </c>
      <c r="AG4129" s="47"/>
      <c r="AH4129" s="47" t="str">
        <f>IFERROR(_xlfn.XLOOKUP(Table6[[#This Row],[Suburb]],Table5[Travel Surcharge],Table5[$$]),"")</f>
        <v/>
      </c>
      <c r="AI4129" s="47"/>
      <c r="AJ4129" s="47"/>
    </row>
    <row r="4130" spans="1:36">
      <c r="A4130" s="374" t="s">
        <v>6079</v>
      </c>
      <c r="B4130" s="374">
        <v>3</v>
      </c>
      <c r="C4130" s="374" t="s">
        <v>394</v>
      </c>
      <c r="D4130" s="375" t="str">
        <f t="shared" si="905"/>
        <v>The Ivy Estate3</v>
      </c>
      <c r="E4130" s="375" t="s">
        <v>6086</v>
      </c>
      <c r="F4130" s="375" t="s">
        <v>6081</v>
      </c>
      <c r="G4130" s="375" t="s">
        <v>5582</v>
      </c>
      <c r="H4130" s="375" t="s">
        <v>6082</v>
      </c>
      <c r="I4130" s="63" t="s">
        <v>6083</v>
      </c>
      <c r="J4130" s="47"/>
      <c r="K4130" s="46" t="s">
        <v>10735</v>
      </c>
      <c r="L4130" s="47"/>
      <c r="M4130" s="47">
        <f t="shared" si="907"/>
        <v>1430.0000000000002</v>
      </c>
      <c r="N4130" s="47"/>
      <c r="O4130" s="47"/>
      <c r="P4130" s="47"/>
      <c r="Q4130" s="47" t="s">
        <v>6084</v>
      </c>
      <c r="R4130" s="47"/>
      <c r="S4130" s="47"/>
      <c r="T4130" s="47">
        <f t="shared" si="909"/>
        <v>780</v>
      </c>
      <c r="U4130" s="47"/>
      <c r="V4130" s="47"/>
      <c r="W4130" s="47"/>
      <c r="X4130" s="47">
        <f t="shared" si="910"/>
        <v>3000</v>
      </c>
      <c r="Y4130" s="47"/>
      <c r="Z4130" s="47">
        <f t="shared" si="908"/>
        <v>4620</v>
      </c>
      <c r="AA4130" s="47"/>
      <c r="AB4130" s="47"/>
      <c r="AC4130" s="47"/>
      <c r="AD4130" s="47"/>
      <c r="AE4130" s="47"/>
      <c r="AF4130" s="47">
        <f t="shared" si="911"/>
        <v>1485</v>
      </c>
      <c r="AG4130" s="47"/>
      <c r="AH4130" s="47" t="str">
        <f>IFERROR(_xlfn.XLOOKUP(Table6[[#This Row],[Suburb]],Table5[Travel Surcharge],Table5[$$]),"")</f>
        <v/>
      </c>
      <c r="AI4130" s="47"/>
      <c r="AJ4130" s="47"/>
    </row>
    <row r="4131" spans="1:36">
      <c r="A4131" s="374" t="s">
        <v>6079</v>
      </c>
      <c r="B4131" s="374">
        <v>4</v>
      </c>
      <c r="C4131" s="374" t="s">
        <v>394</v>
      </c>
      <c r="D4131" s="375" t="str">
        <f t="shared" si="905"/>
        <v>The Ivy Estate4</v>
      </c>
      <c r="E4131" s="375" t="s">
        <v>6087</v>
      </c>
      <c r="F4131" s="375" t="s">
        <v>6081</v>
      </c>
      <c r="G4131" s="375" t="s">
        <v>5582</v>
      </c>
      <c r="H4131" s="375" t="s">
        <v>6082</v>
      </c>
      <c r="I4131" s="63" t="s">
        <v>6083</v>
      </c>
      <c r="J4131" s="47"/>
      <c r="K4131" s="46" t="s">
        <v>10735</v>
      </c>
      <c r="L4131" s="47"/>
      <c r="M4131" s="47">
        <f t="shared" si="907"/>
        <v>1430.0000000000002</v>
      </c>
      <c r="N4131" s="47"/>
      <c r="O4131" s="47"/>
      <c r="P4131" s="47"/>
      <c r="Q4131" s="47" t="s">
        <v>6084</v>
      </c>
      <c r="R4131" s="47"/>
      <c r="S4131" s="47"/>
      <c r="T4131" s="47">
        <f t="shared" si="909"/>
        <v>780</v>
      </c>
      <c r="U4131" s="47"/>
      <c r="V4131" s="47"/>
      <c r="W4131" s="47"/>
      <c r="X4131" s="47">
        <f t="shared" si="910"/>
        <v>3000</v>
      </c>
      <c r="Y4131" s="47"/>
      <c r="Z4131" s="47">
        <f t="shared" si="908"/>
        <v>4620</v>
      </c>
      <c r="AA4131" s="47"/>
      <c r="AB4131" s="47"/>
      <c r="AC4131" s="47"/>
      <c r="AD4131" s="47"/>
      <c r="AE4131" s="47"/>
      <c r="AF4131" s="47">
        <f t="shared" si="911"/>
        <v>1485</v>
      </c>
      <c r="AG4131" s="47"/>
      <c r="AH4131" s="47" t="str">
        <f>IFERROR(_xlfn.XLOOKUP(Table6[[#This Row],[Suburb]],Table5[Travel Surcharge],Table5[$$]),"")</f>
        <v/>
      </c>
      <c r="AI4131" s="47"/>
      <c r="AJ4131" s="47"/>
    </row>
    <row r="4132" spans="1:36">
      <c r="A4132" s="374" t="s">
        <v>6079</v>
      </c>
      <c r="B4132" s="374">
        <v>5</v>
      </c>
      <c r="C4132" s="374" t="s">
        <v>394</v>
      </c>
      <c r="D4132" s="375" t="str">
        <f t="shared" si="905"/>
        <v>The Ivy Estate5</v>
      </c>
      <c r="E4132" s="375" t="s">
        <v>6088</v>
      </c>
      <c r="F4132" s="375" t="s">
        <v>6081</v>
      </c>
      <c r="G4132" s="375" t="s">
        <v>5582</v>
      </c>
      <c r="H4132" s="375" t="s">
        <v>6082</v>
      </c>
      <c r="I4132" s="63" t="s">
        <v>6083</v>
      </c>
      <c r="J4132" s="47"/>
      <c r="K4132" s="46" t="s">
        <v>10735</v>
      </c>
      <c r="L4132" s="47"/>
      <c r="M4132" s="47">
        <f t="shared" si="907"/>
        <v>1430.0000000000002</v>
      </c>
      <c r="N4132" s="47"/>
      <c r="O4132" s="47"/>
      <c r="P4132" s="47"/>
      <c r="Q4132" s="47" t="s">
        <v>6084</v>
      </c>
      <c r="R4132" s="47"/>
      <c r="S4132" s="47"/>
      <c r="T4132" s="47">
        <f t="shared" si="909"/>
        <v>780</v>
      </c>
      <c r="U4132" s="47"/>
      <c r="V4132" s="47"/>
      <c r="W4132" s="47"/>
      <c r="X4132" s="47">
        <f t="shared" si="910"/>
        <v>3000</v>
      </c>
      <c r="Y4132" s="47"/>
      <c r="Z4132" s="47">
        <f t="shared" si="908"/>
        <v>4620</v>
      </c>
      <c r="AA4132" s="47"/>
      <c r="AB4132" s="47"/>
      <c r="AC4132" s="47"/>
      <c r="AD4132" s="47"/>
      <c r="AE4132" s="47"/>
      <c r="AF4132" s="47">
        <f t="shared" si="911"/>
        <v>1485</v>
      </c>
      <c r="AG4132" s="47"/>
      <c r="AH4132" s="47" t="str">
        <f>IFERROR(_xlfn.XLOOKUP(Table6[[#This Row],[Suburb]],Table5[Travel Surcharge],Table5[$$]),"")</f>
        <v/>
      </c>
      <c r="AI4132" s="47"/>
      <c r="AJ4132" s="47"/>
    </row>
    <row r="4133" spans="1:36">
      <c r="A4133" s="374" t="s">
        <v>6079</v>
      </c>
      <c r="B4133" s="374">
        <v>6</v>
      </c>
      <c r="C4133" s="374" t="s">
        <v>394</v>
      </c>
      <c r="D4133" s="375" t="str">
        <f t="shared" si="905"/>
        <v>The Ivy Estate6</v>
      </c>
      <c r="E4133" s="375" t="s">
        <v>6089</v>
      </c>
      <c r="F4133" s="375" t="s">
        <v>6081</v>
      </c>
      <c r="G4133" s="375" t="s">
        <v>5582</v>
      </c>
      <c r="H4133" s="375" t="s">
        <v>6082</v>
      </c>
      <c r="I4133" s="63" t="s">
        <v>6083</v>
      </c>
      <c r="J4133" s="47"/>
      <c r="K4133" s="46" t="s">
        <v>10735</v>
      </c>
      <c r="L4133" s="47"/>
      <c r="M4133" s="47">
        <f t="shared" si="907"/>
        <v>1430.0000000000002</v>
      </c>
      <c r="N4133" s="47"/>
      <c r="O4133" s="47"/>
      <c r="P4133" s="47"/>
      <c r="Q4133" s="47" t="s">
        <v>6084</v>
      </c>
      <c r="R4133" s="47"/>
      <c r="S4133" s="47"/>
      <c r="T4133" s="47">
        <f t="shared" si="909"/>
        <v>780</v>
      </c>
      <c r="U4133" s="47"/>
      <c r="V4133" s="47"/>
      <c r="W4133" s="47"/>
      <c r="X4133" s="47">
        <f t="shared" si="910"/>
        <v>3000</v>
      </c>
      <c r="Y4133" s="47"/>
      <c r="Z4133" s="47">
        <f t="shared" si="908"/>
        <v>4620</v>
      </c>
      <c r="AA4133" s="47"/>
      <c r="AB4133" s="47"/>
      <c r="AC4133" s="47"/>
      <c r="AD4133" s="47"/>
      <c r="AE4133" s="47"/>
      <c r="AF4133" s="47">
        <f t="shared" si="911"/>
        <v>1485</v>
      </c>
      <c r="AG4133" s="47"/>
      <c r="AH4133" s="47" t="str">
        <f>IFERROR(_xlfn.XLOOKUP(Table6[[#This Row],[Suburb]],Table5[Travel Surcharge],Table5[$$]),"")</f>
        <v/>
      </c>
      <c r="AI4133" s="47"/>
      <c r="AJ4133" s="47"/>
    </row>
    <row r="4134" spans="1:36">
      <c r="A4134" s="374" t="s">
        <v>6090</v>
      </c>
      <c r="B4134" s="374">
        <v>1</v>
      </c>
      <c r="C4134" s="374" t="s">
        <v>442</v>
      </c>
      <c r="D4134" s="375" t="str">
        <f t="shared" si="905"/>
        <v>The Junction1</v>
      </c>
      <c r="E4134" s="375" t="s">
        <v>6091</v>
      </c>
      <c r="F4134" s="375"/>
      <c r="G4134" s="375" t="s">
        <v>4431</v>
      </c>
      <c r="H4134" s="375" t="s">
        <v>4432</v>
      </c>
      <c r="I4134" s="63" t="s">
        <v>4872</v>
      </c>
      <c r="J4134" s="47">
        <f t="shared" ref="J4134:J4139" si="912">J$7</f>
        <v>3740</v>
      </c>
      <c r="K4134" s="46" t="s">
        <v>7938</v>
      </c>
      <c r="L4134" s="47"/>
      <c r="M4134" s="47"/>
      <c r="N4134" s="47" t="s">
        <v>6092</v>
      </c>
      <c r="O4134" s="47" t="s">
        <v>6093</v>
      </c>
      <c r="P4134" s="47"/>
      <c r="Q4134" s="47"/>
      <c r="R4134" s="47"/>
      <c r="S4134" s="47"/>
      <c r="T4134" s="47"/>
      <c r="U4134" s="47">
        <f t="shared" ref="U4134:U4139" si="913">U$2</f>
        <v>430</v>
      </c>
      <c r="V4134" s="47"/>
      <c r="W4134" s="47"/>
      <c r="X4134" s="47"/>
      <c r="Y4134" s="47"/>
      <c r="Z4134" s="47">
        <f t="shared" si="908"/>
        <v>4620</v>
      </c>
      <c r="AA4134" s="47"/>
      <c r="AB4134" s="47"/>
      <c r="AC4134" s="47"/>
      <c r="AD4134" s="47"/>
      <c r="AE4134" s="47" t="s">
        <v>6094</v>
      </c>
      <c r="AF4134" s="47">
        <f t="shared" si="911"/>
        <v>1485</v>
      </c>
      <c r="AG4134" s="47"/>
      <c r="AH4134" s="47" t="str">
        <f>IFERROR(_xlfn.XLOOKUP(Table6[[#This Row],[Suburb]],Table5[Travel Surcharge],Table5[$$]),"")</f>
        <v/>
      </c>
      <c r="AI4134" s="47"/>
      <c r="AJ4134" s="47"/>
    </row>
    <row r="4135" spans="1:36">
      <c r="A4135" s="374" t="s">
        <v>6090</v>
      </c>
      <c r="B4135" s="374">
        <v>2</v>
      </c>
      <c r="C4135" s="374" t="s">
        <v>442</v>
      </c>
      <c r="D4135" s="375" t="str">
        <f t="shared" si="905"/>
        <v>The Junction2</v>
      </c>
      <c r="E4135" s="375" t="s">
        <v>6095</v>
      </c>
      <c r="F4135" s="375"/>
      <c r="G4135" s="375" t="s">
        <v>4431</v>
      </c>
      <c r="H4135" s="375" t="s">
        <v>4432</v>
      </c>
      <c r="I4135" s="63" t="s">
        <v>4872</v>
      </c>
      <c r="J4135" s="47">
        <f t="shared" si="912"/>
        <v>3740</v>
      </c>
      <c r="K4135" s="46" t="s">
        <v>7938</v>
      </c>
      <c r="L4135" s="47"/>
      <c r="M4135" s="47"/>
      <c r="N4135" s="47" t="s">
        <v>6092</v>
      </c>
      <c r="O4135" s="47" t="s">
        <v>6093</v>
      </c>
      <c r="P4135" s="47"/>
      <c r="Q4135" s="47"/>
      <c r="R4135" s="47"/>
      <c r="S4135" s="47"/>
      <c r="T4135" s="47"/>
      <c r="U4135" s="47">
        <f t="shared" si="913"/>
        <v>430</v>
      </c>
      <c r="V4135" s="47"/>
      <c r="W4135" s="47"/>
      <c r="X4135" s="47"/>
      <c r="Y4135" s="47"/>
      <c r="Z4135" s="47">
        <f t="shared" si="908"/>
        <v>4620</v>
      </c>
      <c r="AA4135" s="47"/>
      <c r="AB4135" s="47"/>
      <c r="AC4135" s="47"/>
      <c r="AD4135" s="47"/>
      <c r="AE4135" s="47" t="s">
        <v>6094</v>
      </c>
      <c r="AF4135" s="47">
        <f t="shared" si="911"/>
        <v>1485</v>
      </c>
      <c r="AG4135" s="47"/>
      <c r="AH4135" s="47" t="str">
        <f>IFERROR(_xlfn.XLOOKUP(Table6[[#This Row],[Suburb]],Table5[Travel Surcharge],Table5[$$]),"")</f>
        <v/>
      </c>
      <c r="AI4135" s="47"/>
      <c r="AJ4135" s="47"/>
    </row>
    <row r="4136" spans="1:36">
      <c r="A4136" s="374" t="s">
        <v>6090</v>
      </c>
      <c r="B4136" s="374">
        <v>3</v>
      </c>
      <c r="C4136" s="374" t="s">
        <v>442</v>
      </c>
      <c r="D4136" s="375" t="str">
        <f t="shared" si="905"/>
        <v>The Junction3</v>
      </c>
      <c r="E4136" s="375" t="s">
        <v>6096</v>
      </c>
      <c r="F4136" s="375"/>
      <c r="G4136" s="375" t="s">
        <v>4431</v>
      </c>
      <c r="H4136" s="375" t="s">
        <v>4432</v>
      </c>
      <c r="I4136" s="63" t="s">
        <v>4872</v>
      </c>
      <c r="J4136" s="47">
        <f t="shared" si="912"/>
        <v>3740</v>
      </c>
      <c r="K4136" s="46" t="s">
        <v>7938</v>
      </c>
      <c r="L4136" s="47"/>
      <c r="M4136" s="47"/>
      <c r="N4136" s="47" t="s">
        <v>6092</v>
      </c>
      <c r="O4136" s="47" t="s">
        <v>6093</v>
      </c>
      <c r="P4136" s="47"/>
      <c r="Q4136" s="47"/>
      <c r="R4136" s="47"/>
      <c r="S4136" s="47"/>
      <c r="T4136" s="47"/>
      <c r="U4136" s="47">
        <f t="shared" si="913"/>
        <v>430</v>
      </c>
      <c r="V4136" s="47"/>
      <c r="W4136" s="47"/>
      <c r="X4136" s="47"/>
      <c r="Y4136" s="47"/>
      <c r="Z4136" s="47">
        <f t="shared" si="908"/>
        <v>4620</v>
      </c>
      <c r="AA4136" s="47"/>
      <c r="AB4136" s="47"/>
      <c r="AC4136" s="47"/>
      <c r="AD4136" s="47"/>
      <c r="AE4136" s="47" t="s">
        <v>6094</v>
      </c>
      <c r="AF4136" s="47">
        <f t="shared" si="911"/>
        <v>1485</v>
      </c>
      <c r="AG4136" s="47"/>
      <c r="AH4136" s="47" t="str">
        <f>IFERROR(_xlfn.XLOOKUP(Table6[[#This Row],[Suburb]],Table5[Travel Surcharge],Table5[$$]),"")</f>
        <v/>
      </c>
      <c r="AI4136" s="47"/>
      <c r="AJ4136" s="47"/>
    </row>
    <row r="4137" spans="1:36">
      <c r="A4137" s="374" t="s">
        <v>6090</v>
      </c>
      <c r="B4137" s="374">
        <v>4</v>
      </c>
      <c r="C4137" s="374" t="s">
        <v>442</v>
      </c>
      <c r="D4137" s="375" t="str">
        <f t="shared" si="905"/>
        <v>The Junction4</v>
      </c>
      <c r="E4137" s="375" t="s">
        <v>6097</v>
      </c>
      <c r="F4137" s="375"/>
      <c r="G4137" s="375" t="s">
        <v>4431</v>
      </c>
      <c r="H4137" s="375" t="s">
        <v>4432</v>
      </c>
      <c r="I4137" s="63" t="s">
        <v>4872</v>
      </c>
      <c r="J4137" s="47">
        <f t="shared" si="912"/>
        <v>3740</v>
      </c>
      <c r="K4137" s="46" t="s">
        <v>7938</v>
      </c>
      <c r="L4137" s="47"/>
      <c r="M4137" s="47"/>
      <c r="N4137" s="47" t="s">
        <v>6092</v>
      </c>
      <c r="O4137" s="47" t="s">
        <v>6093</v>
      </c>
      <c r="P4137" s="47"/>
      <c r="Q4137" s="47"/>
      <c r="R4137" s="47"/>
      <c r="S4137" s="47"/>
      <c r="T4137" s="47"/>
      <c r="U4137" s="47">
        <f t="shared" si="913"/>
        <v>430</v>
      </c>
      <c r="V4137" s="47"/>
      <c r="W4137" s="47"/>
      <c r="X4137" s="47"/>
      <c r="Y4137" s="47"/>
      <c r="Z4137" s="47">
        <f t="shared" si="908"/>
        <v>4620</v>
      </c>
      <c r="AA4137" s="47"/>
      <c r="AB4137" s="47"/>
      <c r="AC4137" s="47"/>
      <c r="AD4137" s="47"/>
      <c r="AE4137" s="47" t="s">
        <v>6094</v>
      </c>
      <c r="AF4137" s="47">
        <f t="shared" si="911"/>
        <v>1485</v>
      </c>
      <c r="AG4137" s="47"/>
      <c r="AH4137" s="47" t="str">
        <f>IFERROR(_xlfn.XLOOKUP(Table6[[#This Row],[Suburb]],Table5[Travel Surcharge],Table5[$$]),"")</f>
        <v/>
      </c>
      <c r="AI4137" s="47"/>
      <c r="AJ4137" s="47"/>
    </row>
    <row r="4138" spans="1:36">
      <c r="A4138" s="374" t="s">
        <v>6090</v>
      </c>
      <c r="B4138" s="374">
        <v>5</v>
      </c>
      <c r="C4138" s="374" t="s">
        <v>442</v>
      </c>
      <c r="D4138" s="375" t="str">
        <f t="shared" si="905"/>
        <v>The Junction5</v>
      </c>
      <c r="E4138" s="375" t="s">
        <v>6098</v>
      </c>
      <c r="F4138" s="375"/>
      <c r="G4138" s="375" t="s">
        <v>4431</v>
      </c>
      <c r="H4138" s="375" t="s">
        <v>4432</v>
      </c>
      <c r="I4138" s="63" t="s">
        <v>4872</v>
      </c>
      <c r="J4138" s="47">
        <f t="shared" si="912"/>
        <v>3740</v>
      </c>
      <c r="K4138" s="46" t="s">
        <v>7938</v>
      </c>
      <c r="L4138" s="47"/>
      <c r="M4138" s="47"/>
      <c r="N4138" s="47" t="s">
        <v>6092</v>
      </c>
      <c r="O4138" s="47" t="s">
        <v>6093</v>
      </c>
      <c r="P4138" s="47"/>
      <c r="Q4138" s="47"/>
      <c r="R4138" s="47"/>
      <c r="S4138" s="47"/>
      <c r="T4138" s="47"/>
      <c r="U4138" s="47">
        <f t="shared" si="913"/>
        <v>430</v>
      </c>
      <c r="V4138" s="47"/>
      <c r="W4138" s="47"/>
      <c r="X4138" s="47"/>
      <c r="Y4138" s="47"/>
      <c r="Z4138" s="47">
        <f t="shared" si="908"/>
        <v>4620</v>
      </c>
      <c r="AA4138" s="47"/>
      <c r="AB4138" s="47"/>
      <c r="AC4138" s="47"/>
      <c r="AD4138" s="47"/>
      <c r="AE4138" s="47" t="s">
        <v>6094</v>
      </c>
      <c r="AF4138" s="47">
        <f t="shared" si="911"/>
        <v>1485</v>
      </c>
      <c r="AG4138" s="47"/>
      <c r="AH4138" s="47" t="str">
        <f>IFERROR(_xlfn.XLOOKUP(Table6[[#This Row],[Suburb]],Table5[Travel Surcharge],Table5[$$]),"")</f>
        <v/>
      </c>
      <c r="AI4138" s="47"/>
      <c r="AJ4138" s="47"/>
    </row>
    <row r="4139" spans="1:36">
      <c r="A4139" s="374" t="s">
        <v>6090</v>
      </c>
      <c r="B4139" s="374">
        <v>6</v>
      </c>
      <c r="C4139" s="374" t="s">
        <v>442</v>
      </c>
      <c r="D4139" s="375" t="str">
        <f t="shared" si="905"/>
        <v>The Junction6</v>
      </c>
      <c r="E4139" s="375" t="s">
        <v>6099</v>
      </c>
      <c r="F4139" s="375"/>
      <c r="G4139" s="375" t="s">
        <v>4431</v>
      </c>
      <c r="H4139" s="375" t="s">
        <v>4432</v>
      </c>
      <c r="I4139" s="63" t="s">
        <v>4872</v>
      </c>
      <c r="J4139" s="47">
        <f t="shared" si="912"/>
        <v>3740</v>
      </c>
      <c r="K4139" s="46" t="s">
        <v>7938</v>
      </c>
      <c r="L4139" s="47"/>
      <c r="M4139" s="47"/>
      <c r="N4139" s="47" t="s">
        <v>6092</v>
      </c>
      <c r="O4139" s="47" t="s">
        <v>6093</v>
      </c>
      <c r="P4139" s="47"/>
      <c r="Q4139" s="47"/>
      <c r="R4139" s="47"/>
      <c r="S4139" s="47"/>
      <c r="T4139" s="47"/>
      <c r="U4139" s="47">
        <f t="shared" si="913"/>
        <v>430</v>
      </c>
      <c r="V4139" s="47"/>
      <c r="W4139" s="47"/>
      <c r="X4139" s="47"/>
      <c r="Y4139" s="47"/>
      <c r="Z4139" s="47">
        <f t="shared" si="908"/>
        <v>4620</v>
      </c>
      <c r="AA4139" s="47"/>
      <c r="AB4139" s="47"/>
      <c r="AC4139" s="47"/>
      <c r="AD4139" s="47"/>
      <c r="AE4139" s="47" t="s">
        <v>6094</v>
      </c>
      <c r="AF4139" s="47">
        <f t="shared" si="911"/>
        <v>1485</v>
      </c>
      <c r="AG4139" s="47"/>
      <c r="AH4139" s="47" t="str">
        <f>IFERROR(_xlfn.XLOOKUP(Table6[[#This Row],[Suburb]],Table5[Travel Surcharge],Table5[$$]),"")</f>
        <v/>
      </c>
      <c r="AI4139" s="47"/>
      <c r="AJ4139" s="47"/>
    </row>
    <row r="4140" spans="1:36">
      <c r="A4140" s="374" t="s">
        <v>6100</v>
      </c>
      <c r="B4140" s="374">
        <v>1</v>
      </c>
      <c r="C4140" s="374" t="s">
        <v>1024</v>
      </c>
      <c r="D4140" s="375" t="str">
        <f t="shared" si="905"/>
        <v>The Lakeside Land 1</v>
      </c>
      <c r="E4140" s="375" t="s">
        <v>6101</v>
      </c>
      <c r="F4140" s="375"/>
      <c r="G4140" s="375"/>
      <c r="H4140" s="375"/>
      <c r="I4140" s="63"/>
      <c r="J4140" s="47"/>
      <c r="K4140" s="46" t="s">
        <v>10735</v>
      </c>
      <c r="L4140" s="47"/>
      <c r="M4140" s="47"/>
      <c r="N4140" s="47"/>
      <c r="O4140" s="47"/>
      <c r="P4140" s="47"/>
      <c r="Q4140" s="47" t="s">
        <v>335</v>
      </c>
      <c r="R4140" s="47"/>
      <c r="S4140" s="47"/>
      <c r="T4140" s="47"/>
      <c r="U4140" s="47"/>
      <c r="V4140" s="47"/>
      <c r="W4140" s="47"/>
      <c r="X4140" s="47"/>
      <c r="Y4140" s="47"/>
      <c r="Z4140" s="47"/>
      <c r="AA4140" s="47"/>
      <c r="AB4140" s="47"/>
      <c r="AC4140" s="47"/>
      <c r="AD4140" s="47"/>
      <c r="AE4140" s="47"/>
      <c r="AF4140" s="47"/>
      <c r="AG4140" s="47"/>
      <c r="AH4140" s="47" t="str">
        <f>IFERROR(_xlfn.XLOOKUP(Table6[[#This Row],[Suburb]],Table5[Travel Surcharge],Table5[$$]),"")</f>
        <v/>
      </c>
      <c r="AI4140" s="47"/>
      <c r="AJ4140" s="47"/>
    </row>
    <row r="4141" spans="1:36">
      <c r="A4141" s="374" t="s">
        <v>6100</v>
      </c>
      <c r="B4141" s="374">
        <v>3</v>
      </c>
      <c r="C4141" s="374" t="s">
        <v>1024</v>
      </c>
      <c r="D4141" s="375" t="str">
        <f t="shared" si="905"/>
        <v>The Lakeside Land 3</v>
      </c>
      <c r="E4141" s="375" t="s">
        <v>10101</v>
      </c>
      <c r="F4141" s="375"/>
      <c r="G4141" s="375"/>
      <c r="H4141" s="375"/>
      <c r="I4141" s="63"/>
      <c r="J4141" s="47"/>
      <c r="K4141" s="46" t="s">
        <v>10735</v>
      </c>
      <c r="L4141" s="47"/>
      <c r="M4141" s="47"/>
      <c r="N4141" s="47"/>
      <c r="O4141" s="47"/>
      <c r="P4141" s="47"/>
      <c r="Q4141" s="47" t="s">
        <v>335</v>
      </c>
      <c r="R4141" s="47"/>
      <c r="S4141" s="47"/>
      <c r="T4141" s="47"/>
      <c r="U4141" s="47"/>
      <c r="V4141" s="47"/>
      <c r="W4141" s="47"/>
      <c r="X4141" s="47"/>
      <c r="Y4141" s="47"/>
      <c r="Z4141" s="47"/>
      <c r="AA4141" s="47"/>
      <c r="AB4141" s="47"/>
      <c r="AC4141" s="47"/>
      <c r="AD4141" s="47"/>
      <c r="AE4141" s="47"/>
      <c r="AF4141" s="47"/>
      <c r="AG4141" s="47"/>
      <c r="AH4141" s="47" t="s">
        <v>9976</v>
      </c>
      <c r="AI4141" s="47"/>
      <c r="AJ4141" s="47"/>
    </row>
    <row r="4142" spans="1:36">
      <c r="A4142" s="374" t="s">
        <v>10011</v>
      </c>
      <c r="B4142" s="374">
        <v>1</v>
      </c>
      <c r="C4142" s="374" t="s">
        <v>10012</v>
      </c>
      <c r="D4142" s="375" t="str">
        <f>CONCATENATE(A4142,B4142)</f>
        <v>The Lookout1</v>
      </c>
      <c r="E4142" s="375" t="s">
        <v>10013</v>
      </c>
      <c r="F4142" s="375"/>
      <c r="G4142" s="375" t="s">
        <v>6535</v>
      </c>
      <c r="H4142" s="375" t="s">
        <v>10014</v>
      </c>
      <c r="I4142" s="63"/>
      <c r="J4142" s="47"/>
      <c r="K4142" s="46" t="s">
        <v>10735</v>
      </c>
      <c r="L4142" s="47" t="s">
        <v>10017</v>
      </c>
      <c r="M4142" s="47" t="s">
        <v>10016</v>
      </c>
      <c r="N4142" s="47" t="s">
        <v>10020</v>
      </c>
      <c r="O4142" s="47"/>
      <c r="P4142" s="47"/>
      <c r="Q4142" s="47" t="s">
        <v>10018</v>
      </c>
      <c r="R4142" s="47" t="s">
        <v>10015</v>
      </c>
      <c r="S4142" s="47">
        <f>S$2</f>
        <v>590</v>
      </c>
      <c r="T4142" s="47">
        <v>1420</v>
      </c>
      <c r="U4142" s="47" t="s">
        <v>10019</v>
      </c>
      <c r="V4142" s="47"/>
      <c r="W4142" s="47"/>
      <c r="X4142" s="47"/>
      <c r="Y4142" s="47"/>
      <c r="Z4142" s="47">
        <f>Z$7</f>
        <v>4620</v>
      </c>
      <c r="AA4142" s="47"/>
      <c r="AB4142" s="47"/>
      <c r="AC4142" s="47"/>
      <c r="AD4142" s="47"/>
      <c r="AE4142" s="47"/>
      <c r="AF4142" s="47"/>
      <c r="AG4142" s="47"/>
      <c r="AH4142" s="47">
        <v>8000</v>
      </c>
      <c r="AI4142" s="47"/>
      <c r="AJ4142" s="47"/>
    </row>
    <row r="4143" spans="1:36">
      <c r="A4143" s="374" t="s">
        <v>6102</v>
      </c>
      <c r="B4143" s="374">
        <v>4</v>
      </c>
      <c r="C4143" s="374" t="s">
        <v>1024</v>
      </c>
      <c r="D4143" s="375" t="str">
        <f t="shared" si="905"/>
        <v>The Maples Estate4</v>
      </c>
      <c r="E4143" s="375" t="s">
        <v>6103</v>
      </c>
      <c r="F4143" s="375" t="s">
        <v>1428</v>
      </c>
      <c r="G4143" s="375" t="s">
        <v>2110</v>
      </c>
      <c r="H4143" s="375" t="s">
        <v>2111</v>
      </c>
      <c r="I4143" s="63" t="s">
        <v>4167</v>
      </c>
      <c r="J4143" s="47">
        <f t="shared" ref="J4143:J4150" si="914">J$7</f>
        <v>3740</v>
      </c>
      <c r="K4143" s="46" t="s">
        <v>10735</v>
      </c>
      <c r="L4143" s="47"/>
      <c r="M4143" s="47">
        <f t="shared" ref="M4143:M4150" si="915">M$7</f>
        <v>1430.0000000000002</v>
      </c>
      <c r="N4143" s="47"/>
      <c r="O4143" s="47"/>
      <c r="P4143" s="47"/>
      <c r="Q4143" s="47">
        <f t="shared" ref="Q4143:Q4153" si="916">Q$2</f>
        <v>0</v>
      </c>
      <c r="R4143" s="47"/>
      <c r="S4143" s="47"/>
      <c r="T4143" s="47"/>
      <c r="U4143" s="47"/>
      <c r="V4143" s="47"/>
      <c r="W4143" s="47" t="s">
        <v>6104</v>
      </c>
      <c r="X4143" s="47" t="s">
        <v>6105</v>
      </c>
      <c r="Y4143" s="47" t="s">
        <v>6106</v>
      </c>
      <c r="Z4143" s="47">
        <f t="shared" ref="Z4143:Z4176" si="917">Z$7</f>
        <v>4620</v>
      </c>
      <c r="AA4143" s="47" t="s">
        <v>6107</v>
      </c>
      <c r="AB4143" s="47"/>
      <c r="AC4143" s="47"/>
      <c r="AD4143" s="47"/>
      <c r="AE4143" s="47" t="s">
        <v>6108</v>
      </c>
      <c r="AF4143" s="47">
        <f t="shared" ref="AF4143:AF4150" si="918">AF$7</f>
        <v>1485</v>
      </c>
      <c r="AG4143" s="47"/>
      <c r="AH4143" s="47" t="str">
        <f>IFERROR(_xlfn.XLOOKUP(Table6[[#This Row],[Suburb]],Table5[Travel Surcharge],Table5[$$]),"")</f>
        <v/>
      </c>
      <c r="AI4143" s="47">
        <f t="shared" ref="AI4143:AI4150" si="919">AI$7</f>
        <v>1650.0000000000002</v>
      </c>
      <c r="AJ4143" s="47"/>
    </row>
    <row r="4144" spans="1:36">
      <c r="A4144" s="374" t="s">
        <v>6102</v>
      </c>
      <c r="B4144" s="374">
        <v>6</v>
      </c>
      <c r="C4144" s="374" t="s">
        <v>1024</v>
      </c>
      <c r="D4144" s="375" t="str">
        <f t="shared" si="905"/>
        <v>The Maples Estate6</v>
      </c>
      <c r="E4144" s="375" t="s">
        <v>6115</v>
      </c>
      <c r="F4144" s="375" t="s">
        <v>1428</v>
      </c>
      <c r="G4144" s="375" t="s">
        <v>2110</v>
      </c>
      <c r="H4144" s="375" t="s">
        <v>2111</v>
      </c>
      <c r="I4144" s="63" t="s">
        <v>4167</v>
      </c>
      <c r="J4144" s="47">
        <f t="shared" si="914"/>
        <v>3740</v>
      </c>
      <c r="K4144" s="46" t="s">
        <v>10735</v>
      </c>
      <c r="L4144" s="47"/>
      <c r="M4144" s="47">
        <f t="shared" si="915"/>
        <v>1430.0000000000002</v>
      </c>
      <c r="N4144" s="47"/>
      <c r="O4144" s="47"/>
      <c r="P4144" s="47"/>
      <c r="Q4144" s="47">
        <f t="shared" si="916"/>
        <v>0</v>
      </c>
      <c r="R4144" s="47"/>
      <c r="S4144" s="47"/>
      <c r="T4144" s="47"/>
      <c r="U4144" s="47"/>
      <c r="V4144" s="47"/>
      <c r="W4144" s="47" t="s">
        <v>6104</v>
      </c>
      <c r="X4144" s="47" t="s">
        <v>6105</v>
      </c>
      <c r="Y4144" s="47" t="s">
        <v>6106</v>
      </c>
      <c r="Z4144" s="47">
        <f t="shared" si="917"/>
        <v>4620</v>
      </c>
      <c r="AA4144" s="47" t="s">
        <v>6113</v>
      </c>
      <c r="AB4144" s="47"/>
      <c r="AC4144" s="47"/>
      <c r="AD4144" s="47"/>
      <c r="AE4144" s="47" t="s">
        <v>6114</v>
      </c>
      <c r="AF4144" s="47">
        <f t="shared" si="918"/>
        <v>1485</v>
      </c>
      <c r="AG4144" s="47"/>
      <c r="AH4144" s="47" t="str">
        <f>IFERROR(_xlfn.XLOOKUP(Table6[[#This Row],[Suburb]],Table5[Travel Surcharge],Table5[$$]),"")</f>
        <v/>
      </c>
      <c r="AI4144" s="47">
        <f t="shared" si="919"/>
        <v>1650.0000000000002</v>
      </c>
      <c r="AJ4144" s="47"/>
    </row>
    <row r="4145" spans="1:36">
      <c r="A4145" s="374" t="s">
        <v>6102</v>
      </c>
      <c r="B4145" s="374" t="s">
        <v>608</v>
      </c>
      <c r="C4145" s="374" t="s">
        <v>1024</v>
      </c>
      <c r="D4145" s="375" t="str">
        <f t="shared" si="905"/>
        <v>The Maples Estate3B</v>
      </c>
      <c r="E4145" s="375" t="s">
        <v>6109</v>
      </c>
      <c r="F4145" s="375" t="s">
        <v>1428</v>
      </c>
      <c r="G4145" s="375" t="s">
        <v>2110</v>
      </c>
      <c r="H4145" s="375" t="s">
        <v>2111</v>
      </c>
      <c r="I4145" s="63" t="s">
        <v>4167</v>
      </c>
      <c r="J4145" s="47">
        <f t="shared" si="914"/>
        <v>3740</v>
      </c>
      <c r="K4145" s="46" t="s">
        <v>10735</v>
      </c>
      <c r="L4145" s="47"/>
      <c r="M4145" s="47">
        <f t="shared" si="915"/>
        <v>1430.0000000000002</v>
      </c>
      <c r="N4145" s="47"/>
      <c r="O4145" s="47"/>
      <c r="P4145" s="47"/>
      <c r="Q4145" s="47">
        <f t="shared" si="916"/>
        <v>0</v>
      </c>
      <c r="R4145" s="47"/>
      <c r="S4145" s="47"/>
      <c r="T4145" s="47"/>
      <c r="U4145" s="47"/>
      <c r="V4145" s="47"/>
      <c r="W4145" s="47" t="s">
        <v>6104</v>
      </c>
      <c r="X4145" s="47" t="s">
        <v>6105</v>
      </c>
      <c r="Y4145" s="47" t="s">
        <v>6106</v>
      </c>
      <c r="Z4145" s="47">
        <f t="shared" si="917"/>
        <v>4620</v>
      </c>
      <c r="AA4145" s="47" t="s">
        <v>6110</v>
      </c>
      <c r="AB4145" s="47"/>
      <c r="AC4145" s="47"/>
      <c r="AD4145" s="47"/>
      <c r="AE4145" s="47" t="s">
        <v>6111</v>
      </c>
      <c r="AF4145" s="47">
        <f t="shared" si="918"/>
        <v>1485</v>
      </c>
      <c r="AG4145" s="47"/>
      <c r="AH4145" s="47" t="str">
        <f>IFERROR(_xlfn.XLOOKUP(Table6[[#This Row],[Suburb]],Table5[Travel Surcharge],Table5[$$]),"")</f>
        <v/>
      </c>
      <c r="AI4145" s="47">
        <f t="shared" si="919"/>
        <v>1650.0000000000002</v>
      </c>
      <c r="AJ4145" s="47"/>
    </row>
    <row r="4146" spans="1:36">
      <c r="A4146" s="374" t="s">
        <v>6102</v>
      </c>
      <c r="B4146" s="374" t="s">
        <v>1466</v>
      </c>
      <c r="C4146" s="374" t="s">
        <v>1024</v>
      </c>
      <c r="D4146" s="375" t="str">
        <f t="shared" si="905"/>
        <v>The Maples Estate5B</v>
      </c>
      <c r="E4146" s="375" t="s">
        <v>6112</v>
      </c>
      <c r="F4146" s="375" t="s">
        <v>1428</v>
      </c>
      <c r="G4146" s="375" t="s">
        <v>2110</v>
      </c>
      <c r="H4146" s="375" t="s">
        <v>2111</v>
      </c>
      <c r="I4146" s="63" t="s">
        <v>4167</v>
      </c>
      <c r="J4146" s="47">
        <f t="shared" si="914"/>
        <v>3740</v>
      </c>
      <c r="K4146" s="46" t="s">
        <v>10735</v>
      </c>
      <c r="L4146" s="47"/>
      <c r="M4146" s="47">
        <f t="shared" si="915"/>
        <v>1430.0000000000002</v>
      </c>
      <c r="N4146" s="47"/>
      <c r="O4146" s="47"/>
      <c r="P4146" s="47"/>
      <c r="Q4146" s="47">
        <f t="shared" si="916"/>
        <v>0</v>
      </c>
      <c r="R4146" s="47"/>
      <c r="S4146" s="47"/>
      <c r="T4146" s="47"/>
      <c r="U4146" s="47"/>
      <c r="V4146" s="47"/>
      <c r="W4146" s="47" t="s">
        <v>6104</v>
      </c>
      <c r="X4146" s="47" t="s">
        <v>6105</v>
      </c>
      <c r="Y4146" s="47" t="s">
        <v>6106</v>
      </c>
      <c r="Z4146" s="47">
        <f t="shared" si="917"/>
        <v>4620</v>
      </c>
      <c r="AA4146" s="47" t="s">
        <v>6113</v>
      </c>
      <c r="AB4146" s="47"/>
      <c r="AC4146" s="47"/>
      <c r="AD4146" s="47"/>
      <c r="AE4146" s="47" t="s">
        <v>6114</v>
      </c>
      <c r="AF4146" s="47">
        <f t="shared" si="918"/>
        <v>1485</v>
      </c>
      <c r="AG4146" s="47"/>
      <c r="AH4146" s="47" t="str">
        <f>IFERROR(_xlfn.XLOOKUP(Table6[[#This Row],[Suburb]],Table5[Travel Surcharge],Table5[$$]),"")</f>
        <v/>
      </c>
      <c r="AI4146" s="47">
        <f t="shared" si="919"/>
        <v>1650.0000000000002</v>
      </c>
      <c r="AJ4146" s="47"/>
    </row>
    <row r="4147" spans="1:36">
      <c r="A4147" s="157" t="s">
        <v>6102</v>
      </c>
      <c r="B4147" s="157" t="s">
        <v>620</v>
      </c>
      <c r="C4147" s="157" t="s">
        <v>1024</v>
      </c>
      <c r="D4147" s="157" t="str">
        <f t="shared" si="905"/>
        <v>The Maples Estate5D</v>
      </c>
      <c r="E4147" s="157" t="s">
        <v>6112</v>
      </c>
      <c r="F4147" s="157" t="s">
        <v>1428</v>
      </c>
      <c r="G4147" s="157" t="s">
        <v>2110</v>
      </c>
      <c r="H4147" s="157" t="s">
        <v>2111</v>
      </c>
      <c r="I4147" s="158" t="s">
        <v>4167</v>
      </c>
      <c r="J4147" s="47">
        <f t="shared" si="914"/>
        <v>3740</v>
      </c>
      <c r="K4147" s="46" t="s">
        <v>10735</v>
      </c>
      <c r="L4147" s="47"/>
      <c r="M4147" s="47">
        <f t="shared" si="915"/>
        <v>1430.0000000000002</v>
      </c>
      <c r="N4147" s="47"/>
      <c r="O4147" s="47"/>
      <c r="P4147" s="47"/>
      <c r="Q4147" s="47">
        <f t="shared" si="916"/>
        <v>0</v>
      </c>
      <c r="R4147" s="47"/>
      <c r="S4147" s="47"/>
      <c r="T4147" s="47"/>
      <c r="U4147" s="47"/>
      <c r="V4147" s="47"/>
      <c r="W4147" s="47" t="s">
        <v>6104</v>
      </c>
      <c r="X4147" s="47" t="s">
        <v>6105</v>
      </c>
      <c r="Y4147" s="47" t="s">
        <v>6106</v>
      </c>
      <c r="Z4147" s="47">
        <f t="shared" si="917"/>
        <v>4620</v>
      </c>
      <c r="AA4147" s="47" t="s">
        <v>6113</v>
      </c>
      <c r="AB4147" s="47"/>
      <c r="AC4147" s="47"/>
      <c r="AD4147" s="47"/>
      <c r="AE4147" s="47" t="s">
        <v>6114</v>
      </c>
      <c r="AF4147" s="47">
        <f t="shared" si="918"/>
        <v>1485</v>
      </c>
      <c r="AG4147" s="47"/>
      <c r="AH4147" s="47" t="str">
        <f>IFERROR(_xlfn.XLOOKUP(Table6[[#This Row],[Suburb]],Table5[Travel Surcharge],Table5[$$]),"")</f>
        <v/>
      </c>
      <c r="AI4147" s="47">
        <f t="shared" si="919"/>
        <v>1650.0000000000002</v>
      </c>
      <c r="AJ4147" s="47"/>
    </row>
    <row r="4148" spans="1:36">
      <c r="A4148" s="157" t="s">
        <v>6102</v>
      </c>
      <c r="B4148" s="157">
        <v>8</v>
      </c>
      <c r="C4148" s="157" t="s">
        <v>1024</v>
      </c>
      <c r="D4148" s="157" t="str">
        <f t="shared" si="905"/>
        <v>The Maples Estate8</v>
      </c>
      <c r="E4148" s="157" t="s">
        <v>9176</v>
      </c>
      <c r="F4148" s="157" t="s">
        <v>1428</v>
      </c>
      <c r="G4148" s="157" t="s">
        <v>2110</v>
      </c>
      <c r="H4148" s="157" t="s">
        <v>2111</v>
      </c>
      <c r="I4148" s="158" t="s">
        <v>4167</v>
      </c>
      <c r="J4148" s="47">
        <f t="shared" si="914"/>
        <v>3740</v>
      </c>
      <c r="K4148" s="46" t="s">
        <v>10735</v>
      </c>
      <c r="L4148" s="47"/>
      <c r="M4148" s="47">
        <f t="shared" si="915"/>
        <v>1430.0000000000002</v>
      </c>
      <c r="N4148" s="47"/>
      <c r="O4148" s="47"/>
      <c r="P4148" s="47"/>
      <c r="Q4148" s="47">
        <f t="shared" si="916"/>
        <v>0</v>
      </c>
      <c r="R4148" s="47"/>
      <c r="S4148" s="47"/>
      <c r="T4148" s="47"/>
      <c r="U4148" s="47"/>
      <c r="V4148" s="47"/>
      <c r="W4148" s="47" t="s">
        <v>6104</v>
      </c>
      <c r="X4148" s="47" t="s">
        <v>6105</v>
      </c>
      <c r="Y4148" s="47" t="s">
        <v>6106</v>
      </c>
      <c r="Z4148" s="47">
        <f t="shared" si="917"/>
        <v>4620</v>
      </c>
      <c r="AA4148" s="47" t="s">
        <v>6113</v>
      </c>
      <c r="AB4148" s="47"/>
      <c r="AC4148" s="47"/>
      <c r="AD4148" s="47"/>
      <c r="AE4148" s="47" t="s">
        <v>6114</v>
      </c>
      <c r="AF4148" s="47">
        <f t="shared" si="918"/>
        <v>1485</v>
      </c>
      <c r="AG4148" s="47"/>
      <c r="AH4148" s="47" t="str">
        <f>IFERROR(_xlfn.XLOOKUP(Table6[[#This Row],[Suburb]],Table5[Travel Surcharge],Table5[$$]),"")</f>
        <v/>
      </c>
      <c r="AI4148" s="47">
        <f t="shared" si="919"/>
        <v>1650.0000000000002</v>
      </c>
      <c r="AJ4148" s="47"/>
    </row>
    <row r="4149" spans="1:36">
      <c r="A4149" s="157" t="s">
        <v>6102</v>
      </c>
      <c r="B4149" s="157">
        <v>9</v>
      </c>
      <c r="C4149" s="157" t="s">
        <v>1024</v>
      </c>
      <c r="D4149" s="157" t="str">
        <f t="shared" si="905"/>
        <v>The Maples Estate9</v>
      </c>
      <c r="E4149" s="157" t="s">
        <v>7778</v>
      </c>
      <c r="F4149" s="157" t="s">
        <v>1428</v>
      </c>
      <c r="G4149" s="157" t="s">
        <v>2110</v>
      </c>
      <c r="H4149" s="157" t="s">
        <v>2111</v>
      </c>
      <c r="I4149" s="158" t="s">
        <v>4167</v>
      </c>
      <c r="J4149" s="47">
        <f t="shared" si="914"/>
        <v>3740</v>
      </c>
      <c r="K4149" s="46" t="s">
        <v>10735</v>
      </c>
      <c r="L4149" s="47"/>
      <c r="M4149" s="47">
        <f t="shared" si="915"/>
        <v>1430.0000000000002</v>
      </c>
      <c r="N4149" s="47"/>
      <c r="O4149" s="47"/>
      <c r="P4149" s="47"/>
      <c r="Q4149" s="47">
        <f t="shared" si="916"/>
        <v>0</v>
      </c>
      <c r="R4149" s="47"/>
      <c r="S4149" s="47"/>
      <c r="T4149" s="47"/>
      <c r="U4149" s="47"/>
      <c r="V4149" s="47"/>
      <c r="W4149" s="47" t="s">
        <v>6104</v>
      </c>
      <c r="X4149" s="47" t="s">
        <v>6105</v>
      </c>
      <c r="Y4149" s="47" t="s">
        <v>6106</v>
      </c>
      <c r="Z4149" s="47">
        <f t="shared" si="917"/>
        <v>4620</v>
      </c>
      <c r="AA4149" s="47" t="s">
        <v>6113</v>
      </c>
      <c r="AB4149" s="47"/>
      <c r="AC4149" s="47"/>
      <c r="AD4149" s="47"/>
      <c r="AE4149" s="47" t="s">
        <v>6114</v>
      </c>
      <c r="AF4149" s="47">
        <f t="shared" si="918"/>
        <v>1485</v>
      </c>
      <c r="AG4149" s="47"/>
      <c r="AH4149" s="47" t="str">
        <f>IFERROR(_xlfn.XLOOKUP(Table6[[#This Row],[Suburb]],Table5[Travel Surcharge],Table5[$$]),"")</f>
        <v/>
      </c>
      <c r="AI4149" s="47">
        <f t="shared" si="919"/>
        <v>1650.0000000000002</v>
      </c>
      <c r="AJ4149" s="47"/>
    </row>
    <row r="4150" spans="1:36">
      <c r="A4150" s="157" t="s">
        <v>6102</v>
      </c>
      <c r="B4150" s="157">
        <v>11</v>
      </c>
      <c r="C4150" s="157" t="s">
        <v>1024</v>
      </c>
      <c r="D4150" s="157" t="str">
        <f t="shared" si="905"/>
        <v>The Maples Estate11</v>
      </c>
      <c r="E4150" s="157" t="s">
        <v>9523</v>
      </c>
      <c r="F4150" s="157" t="s">
        <v>1428</v>
      </c>
      <c r="G4150" s="157" t="s">
        <v>2110</v>
      </c>
      <c r="H4150" s="157" t="s">
        <v>2111</v>
      </c>
      <c r="I4150" s="158" t="s">
        <v>4167</v>
      </c>
      <c r="J4150" s="47">
        <f t="shared" si="914"/>
        <v>3740</v>
      </c>
      <c r="K4150" s="46" t="s">
        <v>10735</v>
      </c>
      <c r="L4150" s="47"/>
      <c r="M4150" s="47">
        <f t="shared" si="915"/>
        <v>1430.0000000000002</v>
      </c>
      <c r="N4150" s="47"/>
      <c r="O4150" s="47"/>
      <c r="P4150" s="47"/>
      <c r="Q4150" s="47">
        <f t="shared" si="916"/>
        <v>0</v>
      </c>
      <c r="R4150" s="47"/>
      <c r="S4150" s="47"/>
      <c r="T4150" s="47"/>
      <c r="U4150" s="47"/>
      <c r="V4150" s="47"/>
      <c r="W4150" s="47" t="s">
        <v>6104</v>
      </c>
      <c r="X4150" s="47" t="s">
        <v>6105</v>
      </c>
      <c r="Y4150" s="47" t="s">
        <v>6106</v>
      </c>
      <c r="Z4150" s="47">
        <f t="shared" si="917"/>
        <v>4620</v>
      </c>
      <c r="AA4150" s="47" t="s">
        <v>6113</v>
      </c>
      <c r="AB4150" s="47"/>
      <c r="AC4150" s="47"/>
      <c r="AD4150" s="47"/>
      <c r="AE4150" s="47" t="s">
        <v>6114</v>
      </c>
      <c r="AF4150" s="47">
        <f t="shared" si="918"/>
        <v>1485</v>
      </c>
      <c r="AG4150" s="47"/>
      <c r="AH4150" s="47" t="str">
        <f>IFERROR(_xlfn.XLOOKUP(Table6[[#This Row],[Suburb]],Table5[Travel Surcharge],Table5[$$]),"")</f>
        <v/>
      </c>
      <c r="AI4150" s="47">
        <f t="shared" si="919"/>
        <v>1650.0000000000002</v>
      </c>
      <c r="AJ4150" s="47"/>
    </row>
    <row r="4151" spans="1:36">
      <c r="A4151" s="374" t="s">
        <v>9432</v>
      </c>
      <c r="B4151" s="374">
        <v>1</v>
      </c>
      <c r="C4151" s="374" t="s">
        <v>293</v>
      </c>
      <c r="D4151" s="375" t="str">
        <f t="shared" si="905"/>
        <v>The Meadows on Eureka1</v>
      </c>
      <c r="E4151" s="375" t="s">
        <v>9433</v>
      </c>
      <c r="F4151" s="375"/>
      <c r="G4151" s="375"/>
      <c r="H4151" s="375"/>
      <c r="I4151" s="63"/>
      <c r="J4151" s="47"/>
      <c r="K4151" s="46" t="s">
        <v>10735</v>
      </c>
      <c r="L4151" s="47" t="s">
        <v>9434</v>
      </c>
      <c r="M4151" s="47" t="s">
        <v>9435</v>
      </c>
      <c r="N4151" s="47" t="s">
        <v>9436</v>
      </c>
      <c r="O4151" s="47"/>
      <c r="P4151" s="47"/>
      <c r="Q4151" s="47">
        <f t="shared" si="916"/>
        <v>0</v>
      </c>
      <c r="R4151" s="47"/>
      <c r="S4151" s="47"/>
      <c r="T4151" s="47"/>
      <c r="U4151" s="47"/>
      <c r="V4151" s="47"/>
      <c r="W4151" s="47"/>
      <c r="X4151" s="47"/>
      <c r="Y4151" s="47"/>
      <c r="Z4151" s="47">
        <f t="shared" si="917"/>
        <v>4620</v>
      </c>
      <c r="AA4151" s="47"/>
      <c r="AB4151" s="47"/>
      <c r="AC4151" s="47"/>
      <c r="AD4151" s="47"/>
      <c r="AE4151" s="47"/>
      <c r="AF4151" s="47"/>
      <c r="AG4151" s="47"/>
      <c r="AH4151" s="47">
        <f>IFERROR(_xlfn.XLOOKUP(Table6[[#This Row],[Suburb]],Table5[Travel Surcharge],Table5[$$]),"")</f>
        <v>8000</v>
      </c>
      <c r="AI4151" s="47"/>
      <c r="AJ4151" s="47"/>
    </row>
    <row r="4152" spans="1:36">
      <c r="A4152" s="374" t="s">
        <v>10146</v>
      </c>
      <c r="B4152" s="374">
        <v>1</v>
      </c>
      <c r="C4152" s="374" t="s">
        <v>286</v>
      </c>
      <c r="D4152" s="375" t="str">
        <f>CONCATENATE(A4152,B4152)</f>
        <v>The Mount - Mount Duneed1</v>
      </c>
      <c r="E4152" s="375" t="s">
        <v>10149</v>
      </c>
      <c r="F4152" s="375"/>
      <c r="G4152" s="375" t="s">
        <v>10147</v>
      </c>
      <c r="H4152" s="375" t="s">
        <v>10148</v>
      </c>
      <c r="I4152" s="63"/>
      <c r="J4152" s="47">
        <v>3740</v>
      </c>
      <c r="K4152" s="46" t="s">
        <v>10735</v>
      </c>
      <c r="L4152" s="47" t="s">
        <v>10151</v>
      </c>
      <c r="M4152" s="47" t="s">
        <v>10150</v>
      </c>
      <c r="N4152" s="47" t="s">
        <v>10152</v>
      </c>
      <c r="O4152" s="47"/>
      <c r="P4152" s="47"/>
      <c r="Q4152" s="47" t="s">
        <v>10153</v>
      </c>
      <c r="R4152" s="47">
        <v>540</v>
      </c>
      <c r="S4152" s="47"/>
      <c r="T4152" s="47"/>
      <c r="U4152" s="47"/>
      <c r="V4152" s="47"/>
      <c r="W4152" s="47"/>
      <c r="X4152" s="47"/>
      <c r="Y4152" s="47"/>
      <c r="Z4152" s="47">
        <f>Z$7</f>
        <v>4620</v>
      </c>
      <c r="AA4152" s="47"/>
      <c r="AB4152" s="47"/>
      <c r="AC4152" s="47"/>
      <c r="AD4152" s="47"/>
      <c r="AE4152" s="47"/>
      <c r="AF4152" s="47"/>
      <c r="AG4152" s="47"/>
      <c r="AH4152" s="47" t="e">
        <f>IF((COUNTIF(#REF!,C4152)&gt;0),(IF('Pricing Sheet'!$C$3&lt;&gt;"",(VLOOKUP(C4152,AQ:AQ,2,FALSE)),(VLOOKUP(C4152,AQ:AQ,3,FALSE)))),"")</f>
        <v>#REF!</v>
      </c>
      <c r="AI4152" s="47"/>
      <c r="AJ4152" s="47"/>
    </row>
    <row r="4153" spans="1:36">
      <c r="A4153" s="157" t="s">
        <v>8048</v>
      </c>
      <c r="B4153" s="157">
        <v>1</v>
      </c>
      <c r="C4153" s="157" t="s">
        <v>3617</v>
      </c>
      <c r="D4153" s="157" t="str">
        <f t="shared" si="905"/>
        <v>The Murray1</v>
      </c>
      <c r="E4153" s="157" t="s">
        <v>8049</v>
      </c>
      <c r="F4153" s="157"/>
      <c r="G4153" s="157"/>
      <c r="H4153" s="157"/>
      <c r="I4153" s="158"/>
      <c r="J4153" s="47">
        <f>J$7</f>
        <v>3740</v>
      </c>
      <c r="K4153" s="46" t="s">
        <v>10735</v>
      </c>
      <c r="L4153" s="47"/>
      <c r="M4153" s="47">
        <f t="shared" ref="M4153:M4164" si="920">M$7</f>
        <v>1430.0000000000002</v>
      </c>
      <c r="N4153" s="47" t="s">
        <v>8051</v>
      </c>
      <c r="O4153" s="47"/>
      <c r="P4153" s="47"/>
      <c r="Q4153" s="47">
        <f t="shared" si="916"/>
        <v>0</v>
      </c>
      <c r="R4153" s="47"/>
      <c r="S4153" s="47" t="s">
        <v>8052</v>
      </c>
      <c r="T4153" s="47"/>
      <c r="U4153" s="47" t="s">
        <v>8053</v>
      </c>
      <c r="V4153" s="47"/>
      <c r="W4153" s="47"/>
      <c r="X4153" s="47" t="s">
        <v>8050</v>
      </c>
      <c r="Y4153" s="47"/>
      <c r="Z4153" s="47">
        <f t="shared" si="917"/>
        <v>4620</v>
      </c>
      <c r="AA4153" s="47">
        <f>$AA$7</f>
        <v>1400</v>
      </c>
      <c r="AB4153" s="47"/>
      <c r="AC4153" s="47"/>
      <c r="AD4153" s="47"/>
      <c r="AE4153" s="47"/>
      <c r="AF4153" s="47">
        <f>AF$7</f>
        <v>1485</v>
      </c>
      <c r="AG4153" s="47"/>
      <c r="AH4153" s="47" t="str">
        <f>IFERROR(_xlfn.XLOOKUP(Table6[[#This Row],[Suburb]],Table5[Travel Surcharge],Table5[$$]),"")</f>
        <v/>
      </c>
      <c r="AI4153" s="47"/>
      <c r="AJ4153" s="47"/>
    </row>
    <row r="4154" spans="1:36">
      <c r="A4154" s="374" t="s">
        <v>6116</v>
      </c>
      <c r="B4154" s="374">
        <v>1</v>
      </c>
      <c r="C4154" s="374" t="s">
        <v>428</v>
      </c>
      <c r="D4154" s="375" t="str">
        <f t="shared" si="905"/>
        <v>The New Bloom Estate1</v>
      </c>
      <c r="E4154" s="375" t="s">
        <v>6117</v>
      </c>
      <c r="F4154" s="375" t="s">
        <v>3746</v>
      </c>
      <c r="G4154" s="375" t="s">
        <v>1585</v>
      </c>
      <c r="H4154" s="375" t="s">
        <v>6118</v>
      </c>
      <c r="I4154" s="63" t="s">
        <v>1587</v>
      </c>
      <c r="J4154" s="47" t="s">
        <v>3018</v>
      </c>
      <c r="K4154" s="46" t="s">
        <v>10735</v>
      </c>
      <c r="L4154" s="47"/>
      <c r="M4154" s="47">
        <f t="shared" si="920"/>
        <v>1430.0000000000002</v>
      </c>
      <c r="N4154" s="47" t="s">
        <v>6119</v>
      </c>
      <c r="O4154" s="47" t="s">
        <v>6120</v>
      </c>
      <c r="P4154" s="47" t="s">
        <v>6121</v>
      </c>
      <c r="Q4154" s="47"/>
      <c r="R4154" s="47"/>
      <c r="S4154" s="47"/>
      <c r="T4154" s="47">
        <f t="shared" ref="T4154:T4164" si="921">T$2</f>
        <v>780</v>
      </c>
      <c r="U4154" s="47"/>
      <c r="V4154" s="47"/>
      <c r="W4154" s="47"/>
      <c r="X4154" s="47">
        <f t="shared" ref="X4154:X4164" si="922">X$7</f>
        <v>3000</v>
      </c>
      <c r="Y4154" s="47"/>
      <c r="Z4154" s="47">
        <f t="shared" si="917"/>
        <v>4620</v>
      </c>
      <c r="AA4154" s="47">
        <f t="shared" ref="AA4154:AA4164" si="923">AA$7</f>
        <v>1400</v>
      </c>
      <c r="AB4154" s="47"/>
      <c r="AC4154" s="47"/>
      <c r="AD4154" s="47" t="s">
        <v>1</v>
      </c>
      <c r="AE4154" s="47" t="s">
        <v>6122</v>
      </c>
      <c r="AF4154" s="47"/>
      <c r="AG4154" s="47"/>
      <c r="AH4154" s="47" t="str">
        <f>IFERROR(_xlfn.XLOOKUP(Table6[[#This Row],[Suburb]],Table5[Travel Surcharge],Table5[$$]),"")</f>
        <v/>
      </c>
      <c r="AI4154" s="47"/>
      <c r="AJ4154" s="47"/>
    </row>
    <row r="4155" spans="1:36">
      <c r="A4155" s="374" t="s">
        <v>6116</v>
      </c>
      <c r="B4155" s="374">
        <v>2</v>
      </c>
      <c r="C4155" s="374" t="s">
        <v>428</v>
      </c>
      <c r="D4155" s="375" t="str">
        <f t="shared" ref="D4155:D4187" si="924">CONCATENATE(A4155,B4155)</f>
        <v>The New Bloom Estate2</v>
      </c>
      <c r="E4155" s="375" t="s">
        <v>6123</v>
      </c>
      <c r="F4155" s="375" t="s">
        <v>3746</v>
      </c>
      <c r="G4155" s="375" t="s">
        <v>1585</v>
      </c>
      <c r="H4155" s="375" t="s">
        <v>6118</v>
      </c>
      <c r="I4155" s="63" t="s">
        <v>1587</v>
      </c>
      <c r="J4155" s="47" t="s">
        <v>3018</v>
      </c>
      <c r="K4155" s="46" t="s">
        <v>10735</v>
      </c>
      <c r="L4155" s="47"/>
      <c r="M4155" s="47">
        <f t="shared" si="920"/>
        <v>1430.0000000000002</v>
      </c>
      <c r="N4155" s="47" t="s">
        <v>6119</v>
      </c>
      <c r="O4155" s="47" t="s">
        <v>6120</v>
      </c>
      <c r="P4155" s="47" t="s">
        <v>6121</v>
      </c>
      <c r="Q4155" s="47"/>
      <c r="R4155" s="47"/>
      <c r="S4155" s="47"/>
      <c r="T4155" s="47">
        <f t="shared" si="921"/>
        <v>780</v>
      </c>
      <c r="U4155" s="47"/>
      <c r="V4155" s="47"/>
      <c r="W4155" s="47"/>
      <c r="X4155" s="47">
        <f t="shared" si="922"/>
        <v>3000</v>
      </c>
      <c r="Y4155" s="47"/>
      <c r="Z4155" s="47">
        <f t="shared" si="917"/>
        <v>4620</v>
      </c>
      <c r="AA4155" s="47">
        <f t="shared" si="923"/>
        <v>1400</v>
      </c>
      <c r="AB4155" s="47"/>
      <c r="AC4155" s="47"/>
      <c r="AD4155" s="47" t="s">
        <v>1</v>
      </c>
      <c r="AE4155" s="47"/>
      <c r="AF4155" s="47"/>
      <c r="AG4155" s="47"/>
      <c r="AH4155" s="47" t="str">
        <f>IFERROR(_xlfn.XLOOKUP(Table6[[#This Row],[Suburb]],Table5[Travel Surcharge],Table5[$$]),"")</f>
        <v/>
      </c>
      <c r="AI4155" s="47"/>
      <c r="AJ4155" s="47"/>
    </row>
    <row r="4156" spans="1:36">
      <c r="A4156" s="374" t="s">
        <v>6116</v>
      </c>
      <c r="B4156" s="374">
        <v>3</v>
      </c>
      <c r="C4156" s="374" t="s">
        <v>428</v>
      </c>
      <c r="D4156" s="375" t="str">
        <f t="shared" si="924"/>
        <v>The New Bloom Estate3</v>
      </c>
      <c r="E4156" s="375" t="s">
        <v>6124</v>
      </c>
      <c r="F4156" s="375" t="s">
        <v>3746</v>
      </c>
      <c r="G4156" s="375" t="s">
        <v>1585</v>
      </c>
      <c r="H4156" s="375" t="s">
        <v>6118</v>
      </c>
      <c r="I4156" s="63" t="s">
        <v>1587</v>
      </c>
      <c r="J4156" s="47" t="s">
        <v>3018</v>
      </c>
      <c r="K4156" s="46" t="s">
        <v>10735</v>
      </c>
      <c r="L4156" s="47"/>
      <c r="M4156" s="47">
        <f t="shared" si="920"/>
        <v>1430.0000000000002</v>
      </c>
      <c r="N4156" s="47" t="s">
        <v>6119</v>
      </c>
      <c r="O4156" s="47" t="s">
        <v>6120</v>
      </c>
      <c r="P4156" s="47" t="s">
        <v>6121</v>
      </c>
      <c r="Q4156" s="47"/>
      <c r="R4156" s="47"/>
      <c r="S4156" s="47"/>
      <c r="T4156" s="47">
        <f t="shared" si="921"/>
        <v>780</v>
      </c>
      <c r="U4156" s="47"/>
      <c r="V4156" s="47"/>
      <c r="W4156" s="47"/>
      <c r="X4156" s="47">
        <f t="shared" si="922"/>
        <v>3000</v>
      </c>
      <c r="Y4156" s="47"/>
      <c r="Z4156" s="47">
        <f t="shared" si="917"/>
        <v>4620</v>
      </c>
      <c r="AA4156" s="47">
        <f t="shared" si="923"/>
        <v>1400</v>
      </c>
      <c r="AB4156" s="47"/>
      <c r="AC4156" s="47"/>
      <c r="AD4156" s="47" t="s">
        <v>1</v>
      </c>
      <c r="AE4156" s="47"/>
      <c r="AF4156" s="47"/>
      <c r="AG4156" s="47"/>
      <c r="AH4156" s="47" t="str">
        <f>IFERROR(_xlfn.XLOOKUP(Table6[[#This Row],[Suburb]],Table5[Travel Surcharge],Table5[$$]),"")</f>
        <v/>
      </c>
      <c r="AI4156" s="47"/>
      <c r="AJ4156" s="47"/>
    </row>
    <row r="4157" spans="1:36">
      <c r="A4157" s="374" t="s">
        <v>6116</v>
      </c>
      <c r="B4157" s="374">
        <v>4</v>
      </c>
      <c r="C4157" s="374" t="s">
        <v>428</v>
      </c>
      <c r="D4157" s="375" t="str">
        <f t="shared" si="924"/>
        <v>The New Bloom Estate4</v>
      </c>
      <c r="E4157" s="375" t="s">
        <v>6125</v>
      </c>
      <c r="F4157" s="375" t="s">
        <v>3746</v>
      </c>
      <c r="G4157" s="375" t="s">
        <v>1585</v>
      </c>
      <c r="H4157" s="375" t="s">
        <v>6118</v>
      </c>
      <c r="I4157" s="63" t="s">
        <v>1587</v>
      </c>
      <c r="J4157" s="47" t="s">
        <v>3018</v>
      </c>
      <c r="K4157" s="46" t="s">
        <v>10735</v>
      </c>
      <c r="L4157" s="47"/>
      <c r="M4157" s="47">
        <f t="shared" si="920"/>
        <v>1430.0000000000002</v>
      </c>
      <c r="N4157" s="47" t="s">
        <v>6119</v>
      </c>
      <c r="O4157" s="47" t="s">
        <v>6120</v>
      </c>
      <c r="P4157" s="47" t="s">
        <v>6121</v>
      </c>
      <c r="Q4157" s="47"/>
      <c r="R4157" s="47"/>
      <c r="S4157" s="47"/>
      <c r="T4157" s="47">
        <f t="shared" si="921"/>
        <v>780</v>
      </c>
      <c r="U4157" s="47"/>
      <c r="V4157" s="47"/>
      <c r="W4157" s="47"/>
      <c r="X4157" s="47">
        <f t="shared" si="922"/>
        <v>3000</v>
      </c>
      <c r="Y4157" s="47"/>
      <c r="Z4157" s="47">
        <f t="shared" si="917"/>
        <v>4620</v>
      </c>
      <c r="AA4157" s="47">
        <f t="shared" si="923"/>
        <v>1400</v>
      </c>
      <c r="AB4157" s="47"/>
      <c r="AC4157" s="47"/>
      <c r="AD4157" s="47" t="s">
        <v>1</v>
      </c>
      <c r="AE4157" s="47"/>
      <c r="AF4157" s="47"/>
      <c r="AG4157" s="47"/>
      <c r="AH4157" s="47" t="str">
        <f>IFERROR(_xlfn.XLOOKUP(Table6[[#This Row],[Suburb]],Table5[Travel Surcharge],Table5[$$]),"")</f>
        <v/>
      </c>
      <c r="AI4157" s="47"/>
      <c r="AJ4157" s="47"/>
    </row>
    <row r="4158" spans="1:36">
      <c r="A4158" s="374" t="s">
        <v>6116</v>
      </c>
      <c r="B4158" s="374">
        <v>5</v>
      </c>
      <c r="C4158" s="374" t="s">
        <v>428</v>
      </c>
      <c r="D4158" s="375" t="str">
        <f t="shared" si="924"/>
        <v>The New Bloom Estate5</v>
      </c>
      <c r="E4158" s="375" t="s">
        <v>6126</v>
      </c>
      <c r="F4158" s="375" t="s">
        <v>3746</v>
      </c>
      <c r="G4158" s="375" t="s">
        <v>1585</v>
      </c>
      <c r="H4158" s="375" t="s">
        <v>6118</v>
      </c>
      <c r="I4158" s="63" t="s">
        <v>1587</v>
      </c>
      <c r="J4158" s="47" t="s">
        <v>3018</v>
      </c>
      <c r="K4158" s="46" t="s">
        <v>10735</v>
      </c>
      <c r="L4158" s="47"/>
      <c r="M4158" s="47">
        <f t="shared" si="920"/>
        <v>1430.0000000000002</v>
      </c>
      <c r="N4158" s="47" t="s">
        <v>6119</v>
      </c>
      <c r="O4158" s="47" t="s">
        <v>6120</v>
      </c>
      <c r="P4158" s="47" t="s">
        <v>6121</v>
      </c>
      <c r="Q4158" s="47"/>
      <c r="R4158" s="47"/>
      <c r="S4158" s="47"/>
      <c r="T4158" s="47">
        <f t="shared" si="921"/>
        <v>780</v>
      </c>
      <c r="U4158" s="47"/>
      <c r="V4158" s="47"/>
      <c r="W4158" s="47"/>
      <c r="X4158" s="47">
        <f t="shared" si="922"/>
        <v>3000</v>
      </c>
      <c r="Y4158" s="47"/>
      <c r="Z4158" s="47">
        <f t="shared" si="917"/>
        <v>4620</v>
      </c>
      <c r="AA4158" s="47">
        <f t="shared" si="923"/>
        <v>1400</v>
      </c>
      <c r="AB4158" s="47"/>
      <c r="AC4158" s="47"/>
      <c r="AD4158" s="47" t="s">
        <v>1</v>
      </c>
      <c r="AE4158" s="47"/>
      <c r="AF4158" s="47"/>
      <c r="AG4158" s="47"/>
      <c r="AH4158" s="47" t="str">
        <f>IFERROR(_xlfn.XLOOKUP(Table6[[#This Row],[Suburb]],Table5[Travel Surcharge],Table5[$$]),"")</f>
        <v/>
      </c>
      <c r="AI4158" s="47"/>
      <c r="AJ4158" s="47"/>
    </row>
    <row r="4159" spans="1:36">
      <c r="A4159" s="157" t="s">
        <v>6116</v>
      </c>
      <c r="B4159" s="157">
        <v>6</v>
      </c>
      <c r="C4159" s="157" t="s">
        <v>428</v>
      </c>
      <c r="D4159" s="157" t="str">
        <f t="shared" si="924"/>
        <v>The New Bloom Estate6</v>
      </c>
      <c r="E4159" s="157" t="s">
        <v>7765</v>
      </c>
      <c r="F4159" s="157" t="s">
        <v>3746</v>
      </c>
      <c r="G4159" s="157" t="s">
        <v>1585</v>
      </c>
      <c r="H4159" s="157" t="s">
        <v>6118</v>
      </c>
      <c r="I4159" s="158" t="s">
        <v>1587</v>
      </c>
      <c r="J4159" s="47" t="s">
        <v>3018</v>
      </c>
      <c r="K4159" s="46" t="s">
        <v>10735</v>
      </c>
      <c r="L4159" s="47"/>
      <c r="M4159" s="47">
        <f t="shared" si="920"/>
        <v>1430.0000000000002</v>
      </c>
      <c r="N4159" s="47" t="s">
        <v>6119</v>
      </c>
      <c r="O4159" s="47" t="s">
        <v>6120</v>
      </c>
      <c r="P4159" s="47" t="s">
        <v>6121</v>
      </c>
      <c r="Q4159" s="47"/>
      <c r="R4159" s="47"/>
      <c r="S4159" s="47"/>
      <c r="T4159" s="47">
        <f t="shared" si="921"/>
        <v>780</v>
      </c>
      <c r="U4159" s="47"/>
      <c r="V4159" s="47"/>
      <c r="W4159" s="47"/>
      <c r="X4159" s="47">
        <f t="shared" si="922"/>
        <v>3000</v>
      </c>
      <c r="Y4159" s="47"/>
      <c r="Z4159" s="47">
        <f t="shared" si="917"/>
        <v>4620</v>
      </c>
      <c r="AA4159" s="47">
        <f t="shared" si="923"/>
        <v>1400</v>
      </c>
      <c r="AB4159" s="47"/>
      <c r="AC4159" s="47"/>
      <c r="AD4159" s="47" t="s">
        <v>1</v>
      </c>
      <c r="AE4159" s="47"/>
      <c r="AF4159" s="47"/>
      <c r="AG4159" s="47"/>
      <c r="AH4159" s="47" t="str">
        <f>IFERROR(_xlfn.XLOOKUP(Table6[[#This Row],[Suburb]],Table5[Travel Surcharge],Table5[$$]),"")</f>
        <v/>
      </c>
      <c r="AI4159" s="47"/>
      <c r="AJ4159" s="47"/>
    </row>
    <row r="4160" spans="1:36">
      <c r="A4160" s="374" t="s">
        <v>6116</v>
      </c>
      <c r="B4160" s="374">
        <v>7</v>
      </c>
      <c r="C4160" s="374" t="s">
        <v>428</v>
      </c>
      <c r="D4160" s="375" t="str">
        <f t="shared" si="924"/>
        <v>The New Bloom Estate7</v>
      </c>
      <c r="E4160" s="375" t="s">
        <v>6127</v>
      </c>
      <c r="F4160" s="375" t="s">
        <v>3746</v>
      </c>
      <c r="G4160" s="375" t="s">
        <v>1585</v>
      </c>
      <c r="H4160" s="375" t="s">
        <v>6118</v>
      </c>
      <c r="I4160" s="63" t="s">
        <v>1587</v>
      </c>
      <c r="J4160" s="47" t="s">
        <v>3018</v>
      </c>
      <c r="K4160" s="46" t="s">
        <v>10735</v>
      </c>
      <c r="L4160" s="47"/>
      <c r="M4160" s="47">
        <f t="shared" si="920"/>
        <v>1430.0000000000002</v>
      </c>
      <c r="N4160" s="47" t="s">
        <v>6119</v>
      </c>
      <c r="O4160" s="47" t="s">
        <v>6120</v>
      </c>
      <c r="P4160" s="47" t="s">
        <v>6121</v>
      </c>
      <c r="Q4160" s="47"/>
      <c r="R4160" s="47"/>
      <c r="S4160" s="47"/>
      <c r="T4160" s="47">
        <f t="shared" si="921"/>
        <v>780</v>
      </c>
      <c r="U4160" s="47"/>
      <c r="V4160" s="47"/>
      <c r="W4160" s="47"/>
      <c r="X4160" s="47">
        <f t="shared" si="922"/>
        <v>3000</v>
      </c>
      <c r="Y4160" s="47"/>
      <c r="Z4160" s="47">
        <f t="shared" si="917"/>
        <v>4620</v>
      </c>
      <c r="AA4160" s="47">
        <f t="shared" si="923"/>
        <v>1400</v>
      </c>
      <c r="AB4160" s="47"/>
      <c r="AC4160" s="47"/>
      <c r="AD4160" s="47" t="s">
        <v>1</v>
      </c>
      <c r="AE4160" s="47"/>
      <c r="AF4160" s="47"/>
      <c r="AG4160" s="47"/>
      <c r="AH4160" s="47" t="str">
        <f>IFERROR(_xlfn.XLOOKUP(Table6[[#This Row],[Suburb]],Table5[Travel Surcharge],Table5[$$]),"")</f>
        <v/>
      </c>
      <c r="AI4160" s="47"/>
      <c r="AJ4160" s="47"/>
    </row>
    <row r="4161" spans="1:36">
      <c r="A4161" s="374" t="s">
        <v>6116</v>
      </c>
      <c r="B4161" s="374">
        <v>8</v>
      </c>
      <c r="C4161" s="374" t="s">
        <v>428</v>
      </c>
      <c r="D4161" s="375" t="str">
        <f t="shared" si="924"/>
        <v>The New Bloom Estate8</v>
      </c>
      <c r="E4161" s="375" t="s">
        <v>1545</v>
      </c>
      <c r="F4161" s="375" t="s">
        <v>3746</v>
      </c>
      <c r="G4161" s="375" t="s">
        <v>1585</v>
      </c>
      <c r="H4161" s="375" t="s">
        <v>6118</v>
      </c>
      <c r="I4161" s="63" t="s">
        <v>1587</v>
      </c>
      <c r="J4161" s="47" t="s">
        <v>3018</v>
      </c>
      <c r="K4161" s="46" t="s">
        <v>10735</v>
      </c>
      <c r="L4161" s="47"/>
      <c r="M4161" s="47">
        <f t="shared" si="920"/>
        <v>1430.0000000000002</v>
      </c>
      <c r="N4161" s="47" t="s">
        <v>6119</v>
      </c>
      <c r="O4161" s="47" t="s">
        <v>6120</v>
      </c>
      <c r="P4161" s="47" t="s">
        <v>6121</v>
      </c>
      <c r="Q4161" s="47"/>
      <c r="R4161" s="47"/>
      <c r="S4161" s="47"/>
      <c r="T4161" s="47">
        <f t="shared" si="921"/>
        <v>780</v>
      </c>
      <c r="U4161" s="47"/>
      <c r="V4161" s="47"/>
      <c r="W4161" s="47"/>
      <c r="X4161" s="47">
        <f t="shared" si="922"/>
        <v>3000</v>
      </c>
      <c r="Y4161" s="47"/>
      <c r="Z4161" s="47">
        <f t="shared" si="917"/>
        <v>4620</v>
      </c>
      <c r="AA4161" s="47">
        <f t="shared" si="923"/>
        <v>1400</v>
      </c>
      <c r="AB4161" s="47"/>
      <c r="AC4161" s="47"/>
      <c r="AD4161" s="47" t="s">
        <v>1</v>
      </c>
      <c r="AE4161" s="47"/>
      <c r="AF4161" s="47"/>
      <c r="AG4161" s="47"/>
      <c r="AH4161" s="47" t="str">
        <f>IFERROR(_xlfn.XLOOKUP(Table6[[#This Row],[Suburb]],Table5[Travel Surcharge],Table5[$$]),"")</f>
        <v/>
      </c>
      <c r="AI4161" s="47"/>
      <c r="AJ4161" s="47"/>
    </row>
    <row r="4162" spans="1:36">
      <c r="A4162" s="374" t="s">
        <v>6116</v>
      </c>
      <c r="B4162" s="374">
        <v>9</v>
      </c>
      <c r="C4162" s="374" t="s">
        <v>428</v>
      </c>
      <c r="D4162" s="375" t="str">
        <f t="shared" si="924"/>
        <v>The New Bloom Estate9</v>
      </c>
      <c r="E4162" s="375" t="s">
        <v>6128</v>
      </c>
      <c r="F4162" s="375" t="s">
        <v>3746</v>
      </c>
      <c r="G4162" s="375" t="s">
        <v>1585</v>
      </c>
      <c r="H4162" s="375" t="s">
        <v>6118</v>
      </c>
      <c r="I4162" s="63" t="s">
        <v>1587</v>
      </c>
      <c r="J4162" s="47" t="s">
        <v>3018</v>
      </c>
      <c r="K4162" s="46" t="s">
        <v>10735</v>
      </c>
      <c r="L4162" s="47"/>
      <c r="M4162" s="47">
        <f t="shared" si="920"/>
        <v>1430.0000000000002</v>
      </c>
      <c r="N4162" s="47" t="s">
        <v>6119</v>
      </c>
      <c r="O4162" s="47" t="s">
        <v>6120</v>
      </c>
      <c r="P4162" s="47" t="s">
        <v>6121</v>
      </c>
      <c r="Q4162" s="47"/>
      <c r="R4162" s="47"/>
      <c r="S4162" s="47"/>
      <c r="T4162" s="47">
        <f t="shared" si="921"/>
        <v>780</v>
      </c>
      <c r="U4162" s="47"/>
      <c r="V4162" s="47"/>
      <c r="W4162" s="47"/>
      <c r="X4162" s="47">
        <f t="shared" si="922"/>
        <v>3000</v>
      </c>
      <c r="Y4162" s="47"/>
      <c r="Z4162" s="47">
        <f t="shared" si="917"/>
        <v>4620</v>
      </c>
      <c r="AA4162" s="47">
        <f t="shared" si="923"/>
        <v>1400</v>
      </c>
      <c r="AB4162" s="47"/>
      <c r="AC4162" s="47"/>
      <c r="AD4162" s="47" t="s">
        <v>1</v>
      </c>
      <c r="AE4162" s="47"/>
      <c r="AF4162" s="47"/>
      <c r="AG4162" s="47"/>
      <c r="AH4162" s="47" t="str">
        <f>IFERROR(_xlfn.XLOOKUP(Table6[[#This Row],[Suburb]],Table5[Travel Surcharge],Table5[$$]),"")</f>
        <v/>
      </c>
      <c r="AI4162" s="47"/>
      <c r="AJ4162" s="47"/>
    </row>
    <row r="4163" spans="1:36">
      <c r="A4163" s="374" t="s">
        <v>6116</v>
      </c>
      <c r="B4163" s="374">
        <v>10</v>
      </c>
      <c r="C4163" s="374" t="s">
        <v>428</v>
      </c>
      <c r="D4163" s="375" t="str">
        <f t="shared" si="924"/>
        <v>The New Bloom Estate10</v>
      </c>
      <c r="E4163" s="375" t="s">
        <v>6129</v>
      </c>
      <c r="F4163" s="375" t="s">
        <v>3746</v>
      </c>
      <c r="G4163" s="375" t="s">
        <v>1585</v>
      </c>
      <c r="H4163" s="375" t="s">
        <v>6118</v>
      </c>
      <c r="I4163" s="63" t="s">
        <v>1587</v>
      </c>
      <c r="J4163" s="47" t="s">
        <v>3018</v>
      </c>
      <c r="K4163" s="46" t="s">
        <v>10735</v>
      </c>
      <c r="L4163" s="47"/>
      <c r="M4163" s="47">
        <f t="shared" si="920"/>
        <v>1430.0000000000002</v>
      </c>
      <c r="N4163" s="47" t="s">
        <v>6119</v>
      </c>
      <c r="O4163" s="47" t="s">
        <v>6120</v>
      </c>
      <c r="P4163" s="47" t="s">
        <v>6121</v>
      </c>
      <c r="Q4163" s="47"/>
      <c r="R4163" s="47"/>
      <c r="S4163" s="47"/>
      <c r="T4163" s="47">
        <f t="shared" si="921"/>
        <v>780</v>
      </c>
      <c r="U4163" s="47"/>
      <c r="V4163" s="47"/>
      <c r="W4163" s="47"/>
      <c r="X4163" s="47">
        <f t="shared" si="922"/>
        <v>3000</v>
      </c>
      <c r="Y4163" s="47"/>
      <c r="Z4163" s="47">
        <f t="shared" si="917"/>
        <v>4620</v>
      </c>
      <c r="AA4163" s="47">
        <f t="shared" si="923"/>
        <v>1400</v>
      </c>
      <c r="AB4163" s="47"/>
      <c r="AC4163" s="47"/>
      <c r="AD4163" s="47" t="s">
        <v>1</v>
      </c>
      <c r="AE4163" s="47"/>
      <c r="AF4163" s="47"/>
      <c r="AG4163" s="47"/>
      <c r="AH4163" s="47" t="str">
        <f>IFERROR(_xlfn.XLOOKUP(Table6[[#This Row],[Suburb]],Table5[Travel Surcharge],Table5[$$]),"")</f>
        <v/>
      </c>
      <c r="AI4163" s="47"/>
      <c r="AJ4163" s="47"/>
    </row>
    <row r="4164" spans="1:36">
      <c r="A4164" s="374" t="s">
        <v>6116</v>
      </c>
      <c r="B4164" s="374">
        <v>11</v>
      </c>
      <c r="C4164" s="374" t="s">
        <v>428</v>
      </c>
      <c r="D4164" s="375" t="str">
        <f t="shared" si="924"/>
        <v>The New Bloom Estate11</v>
      </c>
      <c r="E4164" s="375" t="s">
        <v>6130</v>
      </c>
      <c r="F4164" s="375" t="s">
        <v>3746</v>
      </c>
      <c r="G4164" s="375" t="s">
        <v>1585</v>
      </c>
      <c r="H4164" s="375" t="s">
        <v>6118</v>
      </c>
      <c r="I4164" s="63" t="s">
        <v>1587</v>
      </c>
      <c r="J4164" s="47" t="s">
        <v>3018</v>
      </c>
      <c r="K4164" s="46" t="s">
        <v>10735</v>
      </c>
      <c r="L4164" s="47"/>
      <c r="M4164" s="47">
        <f t="shared" si="920"/>
        <v>1430.0000000000002</v>
      </c>
      <c r="N4164" s="47" t="s">
        <v>6119</v>
      </c>
      <c r="O4164" s="47" t="s">
        <v>6120</v>
      </c>
      <c r="P4164" s="47" t="s">
        <v>6121</v>
      </c>
      <c r="Q4164" s="47"/>
      <c r="R4164" s="47"/>
      <c r="S4164" s="47"/>
      <c r="T4164" s="47">
        <f t="shared" si="921"/>
        <v>780</v>
      </c>
      <c r="U4164" s="47"/>
      <c r="V4164" s="47"/>
      <c r="W4164" s="47"/>
      <c r="X4164" s="47">
        <f t="shared" si="922"/>
        <v>3000</v>
      </c>
      <c r="Y4164" s="47"/>
      <c r="Z4164" s="47">
        <f t="shared" si="917"/>
        <v>4620</v>
      </c>
      <c r="AA4164" s="47">
        <f t="shared" si="923"/>
        <v>1400</v>
      </c>
      <c r="AB4164" s="47"/>
      <c r="AC4164" s="47"/>
      <c r="AD4164" s="47" t="s">
        <v>1</v>
      </c>
      <c r="AE4164" s="47"/>
      <c r="AF4164" s="47"/>
      <c r="AG4164" s="47"/>
      <c r="AH4164" s="47" t="str">
        <f>IFERROR(_xlfn.XLOOKUP(Table6[[#This Row],[Suburb]],Table5[Travel Surcharge],Table5[$$]),"")</f>
        <v/>
      </c>
      <c r="AI4164" s="47"/>
      <c r="AJ4164" s="47"/>
    </row>
    <row r="4165" spans="1:36">
      <c r="A4165" s="374" t="s">
        <v>10719</v>
      </c>
      <c r="B4165" s="374">
        <v>1</v>
      </c>
      <c r="C4165" s="374" t="s">
        <v>9558</v>
      </c>
      <c r="D4165" s="375" t="str">
        <f>CONCATENATE(A4165,B4165)</f>
        <v>The Nook1</v>
      </c>
      <c r="E4165" s="375" t="s">
        <v>10720</v>
      </c>
      <c r="F4165" s="375" t="s">
        <v>1428</v>
      </c>
      <c r="G4165" s="375" t="s">
        <v>2110</v>
      </c>
      <c r="H4165" s="375" t="s">
        <v>2111</v>
      </c>
      <c r="I4165" s="63" t="s">
        <v>10721</v>
      </c>
      <c r="J4165" s="47" t="s">
        <v>10722</v>
      </c>
      <c r="K4165" s="46" t="s">
        <v>10735</v>
      </c>
      <c r="L4165" s="47">
        <v>1210</v>
      </c>
      <c r="M4165" s="47" t="s">
        <v>10723</v>
      </c>
      <c r="N4165" s="47" t="s">
        <v>10724</v>
      </c>
      <c r="O4165" s="47" t="s">
        <v>10726</v>
      </c>
      <c r="P4165" s="47"/>
      <c r="Q4165" s="47"/>
      <c r="R4165" s="47"/>
      <c r="S4165" s="47"/>
      <c r="T4165" s="47"/>
      <c r="U4165" s="47">
        <v>540</v>
      </c>
      <c r="V4165" s="47"/>
      <c r="W4165" s="47"/>
      <c r="X4165" s="47"/>
      <c r="Y4165" s="47"/>
      <c r="Z4165" s="47">
        <f>Z$7</f>
        <v>4620</v>
      </c>
      <c r="AA4165" s="47"/>
      <c r="AB4165" s="47"/>
      <c r="AC4165" s="47"/>
      <c r="AD4165" s="47"/>
      <c r="AE4165" s="47"/>
      <c r="AF4165" s="47">
        <v>1485</v>
      </c>
      <c r="AG4165" s="47" t="s">
        <v>10725</v>
      </c>
      <c r="AH4165" s="47">
        <v>18000</v>
      </c>
      <c r="AI4165" s="47"/>
      <c r="AJ4165" s="47"/>
    </row>
    <row r="4166" spans="1:36">
      <c r="A4166" s="374" t="s">
        <v>6131</v>
      </c>
      <c r="B4166" s="374">
        <v>2</v>
      </c>
      <c r="C4166" s="374" t="s">
        <v>428</v>
      </c>
      <c r="D4166" s="375" t="str">
        <f t="shared" si="924"/>
        <v>The Orchards2</v>
      </c>
      <c r="E4166" s="375" t="s">
        <v>6132</v>
      </c>
      <c r="F4166" s="375"/>
      <c r="G4166" s="375" t="s">
        <v>397</v>
      </c>
      <c r="H4166" s="375" t="s">
        <v>398</v>
      </c>
      <c r="I4166" s="63" t="s">
        <v>6133</v>
      </c>
      <c r="J4166" s="47">
        <f t="shared" ref="J4166:J4180" si="925">J$7</f>
        <v>3740</v>
      </c>
      <c r="K4166" s="46" t="s">
        <v>10735</v>
      </c>
      <c r="L4166" s="47"/>
      <c r="M4166" s="47"/>
      <c r="N4166" s="47"/>
      <c r="O4166" s="47"/>
      <c r="P4166" s="47"/>
      <c r="Q4166" s="47">
        <f t="shared" ref="Q4166:Q4180" si="926">Q$2</f>
        <v>0</v>
      </c>
      <c r="R4166" s="47"/>
      <c r="S4166" s="47"/>
      <c r="T4166" s="47"/>
      <c r="U4166" s="47"/>
      <c r="V4166" s="47"/>
      <c r="W4166" s="47"/>
      <c r="X4166" s="47"/>
      <c r="Y4166" s="47"/>
      <c r="Z4166" s="47">
        <f t="shared" si="917"/>
        <v>4620</v>
      </c>
      <c r="AA4166" s="47"/>
      <c r="AB4166" s="47"/>
      <c r="AC4166" s="47"/>
      <c r="AD4166" s="47"/>
      <c r="AE4166" s="47"/>
      <c r="AF4166" s="47"/>
      <c r="AG4166" s="47"/>
      <c r="AH4166" s="47" t="str">
        <f>IFERROR(_xlfn.XLOOKUP(Table6[[#This Row],[Suburb]],Table5[Travel Surcharge],Table5[$$]),"")</f>
        <v/>
      </c>
      <c r="AI4166" s="47"/>
      <c r="AJ4166" s="47"/>
    </row>
    <row r="4167" spans="1:36">
      <c r="A4167" s="374" t="s">
        <v>6131</v>
      </c>
      <c r="B4167" s="374">
        <v>3</v>
      </c>
      <c r="C4167" s="374" t="s">
        <v>428</v>
      </c>
      <c r="D4167" s="375" t="str">
        <f t="shared" si="924"/>
        <v>The Orchards3</v>
      </c>
      <c r="E4167" s="375" t="s">
        <v>6134</v>
      </c>
      <c r="F4167" s="375"/>
      <c r="G4167" s="375" t="s">
        <v>397</v>
      </c>
      <c r="H4167" s="375" t="s">
        <v>398</v>
      </c>
      <c r="I4167" s="63" t="s">
        <v>6133</v>
      </c>
      <c r="J4167" s="47">
        <f t="shared" si="925"/>
        <v>3740</v>
      </c>
      <c r="K4167" s="46" t="s">
        <v>10735</v>
      </c>
      <c r="L4167" s="47"/>
      <c r="M4167" s="47"/>
      <c r="N4167" s="47"/>
      <c r="O4167" s="47"/>
      <c r="P4167" s="47"/>
      <c r="Q4167" s="47">
        <f t="shared" si="926"/>
        <v>0</v>
      </c>
      <c r="R4167" s="47"/>
      <c r="S4167" s="47"/>
      <c r="T4167" s="47"/>
      <c r="U4167" s="47"/>
      <c r="V4167" s="47"/>
      <c r="W4167" s="47"/>
      <c r="X4167" s="47"/>
      <c r="Y4167" s="47"/>
      <c r="Z4167" s="47">
        <f t="shared" si="917"/>
        <v>4620</v>
      </c>
      <c r="AA4167" s="47"/>
      <c r="AB4167" s="47"/>
      <c r="AC4167" s="47"/>
      <c r="AD4167" s="47"/>
      <c r="AE4167" s="47"/>
      <c r="AF4167" s="47"/>
      <c r="AG4167" s="47"/>
      <c r="AH4167" s="47" t="str">
        <f>IFERROR(_xlfn.XLOOKUP(Table6[[#This Row],[Suburb]],Table5[Travel Surcharge],Table5[$$]),"")</f>
        <v/>
      </c>
      <c r="AI4167" s="47"/>
      <c r="AJ4167" s="47"/>
    </row>
    <row r="4168" spans="1:36">
      <c r="A4168" s="374" t="s">
        <v>6131</v>
      </c>
      <c r="B4168" s="374">
        <v>4</v>
      </c>
      <c r="C4168" s="374" t="s">
        <v>428</v>
      </c>
      <c r="D4168" s="375" t="str">
        <f t="shared" si="924"/>
        <v>The Orchards4</v>
      </c>
      <c r="E4168" s="375" t="s">
        <v>6135</v>
      </c>
      <c r="F4168" s="375"/>
      <c r="G4168" s="375" t="s">
        <v>397</v>
      </c>
      <c r="H4168" s="375" t="s">
        <v>398</v>
      </c>
      <c r="I4168" s="63" t="s">
        <v>6133</v>
      </c>
      <c r="J4168" s="47">
        <f t="shared" si="925"/>
        <v>3740</v>
      </c>
      <c r="K4168" s="46" t="s">
        <v>10735</v>
      </c>
      <c r="L4168" s="47"/>
      <c r="M4168" s="47"/>
      <c r="N4168" s="47"/>
      <c r="O4168" s="47"/>
      <c r="P4168" s="47"/>
      <c r="Q4168" s="47">
        <f t="shared" si="926"/>
        <v>0</v>
      </c>
      <c r="R4168" s="47"/>
      <c r="S4168" s="47"/>
      <c r="T4168" s="47"/>
      <c r="U4168" s="47"/>
      <c r="V4168" s="47"/>
      <c r="W4168" s="47"/>
      <c r="X4168" s="47"/>
      <c r="Y4168" s="47"/>
      <c r="Z4168" s="47">
        <f t="shared" si="917"/>
        <v>4620</v>
      </c>
      <c r="AA4168" s="47"/>
      <c r="AB4168" s="47"/>
      <c r="AC4168" s="47"/>
      <c r="AD4168" s="47"/>
      <c r="AE4168" s="47"/>
      <c r="AF4168" s="47"/>
      <c r="AG4168" s="47"/>
      <c r="AH4168" s="47" t="str">
        <f>IFERROR(_xlfn.XLOOKUP(Table6[[#This Row],[Suburb]],Table5[Travel Surcharge],Table5[$$]),"")</f>
        <v/>
      </c>
      <c r="AI4168" s="47"/>
      <c r="AJ4168" s="47"/>
    </row>
    <row r="4169" spans="1:36">
      <c r="A4169" s="374" t="s">
        <v>6131</v>
      </c>
      <c r="B4169" s="374">
        <v>5</v>
      </c>
      <c r="C4169" s="374" t="s">
        <v>428</v>
      </c>
      <c r="D4169" s="375" t="str">
        <f t="shared" si="924"/>
        <v>The Orchards5</v>
      </c>
      <c r="E4169" s="375" t="s">
        <v>6136</v>
      </c>
      <c r="F4169" s="375"/>
      <c r="G4169" s="375" t="s">
        <v>397</v>
      </c>
      <c r="H4169" s="375" t="s">
        <v>398</v>
      </c>
      <c r="I4169" s="63" t="s">
        <v>6133</v>
      </c>
      <c r="J4169" s="47">
        <f t="shared" si="925"/>
        <v>3740</v>
      </c>
      <c r="K4169" s="46" t="s">
        <v>10735</v>
      </c>
      <c r="L4169" s="47"/>
      <c r="M4169" s="47"/>
      <c r="N4169" s="47" t="s">
        <v>6137</v>
      </c>
      <c r="O4169" s="47" t="s">
        <v>6138</v>
      </c>
      <c r="P4169" s="47"/>
      <c r="Q4169" s="47">
        <f t="shared" si="926"/>
        <v>0</v>
      </c>
      <c r="R4169" s="47"/>
      <c r="S4169" s="47"/>
      <c r="T4169" s="47"/>
      <c r="U4169" s="47"/>
      <c r="V4169" s="47"/>
      <c r="W4169" s="47"/>
      <c r="X4169" s="47"/>
      <c r="Y4169" s="47"/>
      <c r="Z4169" s="47">
        <f t="shared" si="917"/>
        <v>4620</v>
      </c>
      <c r="AA4169" s="47"/>
      <c r="AB4169" s="47"/>
      <c r="AC4169" s="47"/>
      <c r="AD4169" s="47"/>
      <c r="AE4169" s="47"/>
      <c r="AF4169" s="47"/>
      <c r="AG4169" s="47"/>
      <c r="AH4169" s="47" t="str">
        <f>IFERROR(_xlfn.XLOOKUP(Table6[[#This Row],[Suburb]],Table5[Travel Surcharge],Table5[$$]),"")</f>
        <v/>
      </c>
      <c r="AI4169" s="47"/>
      <c r="AJ4169" s="47"/>
    </row>
    <row r="4170" spans="1:36">
      <c r="A4170" s="374" t="s">
        <v>6131</v>
      </c>
      <c r="B4170" s="374">
        <v>6</v>
      </c>
      <c r="C4170" s="374" t="s">
        <v>428</v>
      </c>
      <c r="D4170" s="375" t="str">
        <f t="shared" si="924"/>
        <v>The Orchards6</v>
      </c>
      <c r="E4170" s="375" t="s">
        <v>6139</v>
      </c>
      <c r="F4170" s="375"/>
      <c r="G4170" s="375" t="s">
        <v>397</v>
      </c>
      <c r="H4170" s="375" t="s">
        <v>398</v>
      </c>
      <c r="I4170" s="63" t="s">
        <v>6133</v>
      </c>
      <c r="J4170" s="47">
        <f t="shared" si="925"/>
        <v>3740</v>
      </c>
      <c r="K4170" s="46" t="s">
        <v>10735</v>
      </c>
      <c r="L4170" s="47"/>
      <c r="M4170" s="47"/>
      <c r="N4170" s="47" t="s">
        <v>6137</v>
      </c>
      <c r="O4170" s="47" t="s">
        <v>6138</v>
      </c>
      <c r="P4170" s="47"/>
      <c r="Q4170" s="47">
        <f t="shared" si="926"/>
        <v>0</v>
      </c>
      <c r="R4170" s="47"/>
      <c r="S4170" s="47"/>
      <c r="T4170" s="47"/>
      <c r="U4170" s="47"/>
      <c r="V4170" s="47"/>
      <c r="W4170" s="47"/>
      <c r="X4170" s="47"/>
      <c r="Y4170" s="47"/>
      <c r="Z4170" s="47">
        <f t="shared" si="917"/>
        <v>4620</v>
      </c>
      <c r="AA4170" s="47"/>
      <c r="AB4170" s="47"/>
      <c r="AC4170" s="47"/>
      <c r="AD4170" s="47"/>
      <c r="AE4170" s="47"/>
      <c r="AF4170" s="47"/>
      <c r="AG4170" s="47"/>
      <c r="AH4170" s="47" t="str">
        <f>IFERROR(_xlfn.XLOOKUP(Table6[[#This Row],[Suburb]],Table5[Travel Surcharge],Table5[$$]),"")</f>
        <v/>
      </c>
      <c r="AI4170" s="47"/>
      <c r="AJ4170" s="47"/>
    </row>
    <row r="4171" spans="1:36">
      <c r="A4171" s="374" t="s">
        <v>6131</v>
      </c>
      <c r="B4171" s="374">
        <v>7</v>
      </c>
      <c r="C4171" s="374" t="s">
        <v>428</v>
      </c>
      <c r="D4171" s="375" t="str">
        <f t="shared" si="924"/>
        <v>The Orchards7</v>
      </c>
      <c r="E4171" s="375" t="s">
        <v>6140</v>
      </c>
      <c r="F4171" s="375"/>
      <c r="G4171" s="375" t="s">
        <v>397</v>
      </c>
      <c r="H4171" s="375" t="s">
        <v>398</v>
      </c>
      <c r="I4171" s="63" t="s">
        <v>6133</v>
      </c>
      <c r="J4171" s="47">
        <f t="shared" si="925"/>
        <v>3740</v>
      </c>
      <c r="K4171" s="46" t="s">
        <v>10735</v>
      </c>
      <c r="L4171" s="47"/>
      <c r="M4171" s="47"/>
      <c r="N4171" s="47" t="s">
        <v>6137</v>
      </c>
      <c r="O4171" s="47" t="s">
        <v>6138</v>
      </c>
      <c r="P4171" s="47"/>
      <c r="Q4171" s="47">
        <f t="shared" si="926"/>
        <v>0</v>
      </c>
      <c r="R4171" s="47"/>
      <c r="S4171" s="47"/>
      <c r="T4171" s="47"/>
      <c r="U4171" s="47"/>
      <c r="V4171" s="47"/>
      <c r="W4171" s="47"/>
      <c r="X4171" s="47"/>
      <c r="Y4171" s="47"/>
      <c r="Z4171" s="47">
        <f t="shared" si="917"/>
        <v>4620</v>
      </c>
      <c r="AA4171" s="47"/>
      <c r="AB4171" s="47"/>
      <c r="AC4171" s="47"/>
      <c r="AD4171" s="47"/>
      <c r="AE4171" s="47"/>
      <c r="AF4171" s="47"/>
      <c r="AG4171" s="47"/>
      <c r="AH4171" s="47" t="str">
        <f>IFERROR(_xlfn.XLOOKUP(Table6[[#This Row],[Suburb]],Table5[Travel Surcharge],Table5[$$]),"")</f>
        <v/>
      </c>
      <c r="AI4171" s="47"/>
      <c r="AJ4171" s="47"/>
    </row>
    <row r="4172" spans="1:36">
      <c r="A4172" s="374" t="s">
        <v>6141</v>
      </c>
      <c r="B4172" s="374">
        <v>1</v>
      </c>
      <c r="C4172" s="374" t="s">
        <v>455</v>
      </c>
      <c r="D4172" s="375" t="str">
        <f t="shared" si="924"/>
        <v>The Patch Estate1</v>
      </c>
      <c r="E4172" s="375" t="s">
        <v>6142</v>
      </c>
      <c r="F4172" s="375" t="s">
        <v>6143</v>
      </c>
      <c r="G4172" s="375"/>
      <c r="H4172" s="375" t="s">
        <v>6144</v>
      </c>
      <c r="I4172" s="63" t="s">
        <v>6145</v>
      </c>
      <c r="J4172" s="47">
        <f t="shared" si="925"/>
        <v>3740</v>
      </c>
      <c r="K4172" s="46" t="s">
        <v>10735</v>
      </c>
      <c r="L4172" s="47" t="s">
        <v>6146</v>
      </c>
      <c r="M4172" s="47">
        <f t="shared" ref="M4172:M4187" si="927">M$7</f>
        <v>1430.0000000000002</v>
      </c>
      <c r="N4172" s="47" t="s">
        <v>2646</v>
      </c>
      <c r="O4172" s="47" t="s">
        <v>6147</v>
      </c>
      <c r="P4172" s="47" t="s">
        <v>6148</v>
      </c>
      <c r="Q4172" s="47">
        <f t="shared" si="926"/>
        <v>0</v>
      </c>
      <c r="R4172" s="47"/>
      <c r="S4172" s="47"/>
      <c r="T4172" s="47"/>
      <c r="U4172" s="47"/>
      <c r="V4172" s="47" t="str">
        <f t="shared" ref="V4172:V4187" si="928">V$7</f>
        <v>$6/m2</v>
      </c>
      <c r="W4172" s="47" t="s">
        <v>6149</v>
      </c>
      <c r="X4172" s="47">
        <f t="shared" ref="X4172:X4187" si="929">X$7</f>
        <v>3000</v>
      </c>
      <c r="Y4172" s="47" t="s">
        <v>6150</v>
      </c>
      <c r="Z4172" s="47">
        <f t="shared" si="917"/>
        <v>4620</v>
      </c>
      <c r="AA4172" s="47"/>
      <c r="AB4172" s="47"/>
      <c r="AC4172" s="47"/>
      <c r="AD4172" s="47"/>
      <c r="AE4172" s="47">
        <f t="shared" ref="AE4172:AF4180" si="930">AE$7</f>
        <v>5000</v>
      </c>
      <c r="AF4172" s="47">
        <f t="shared" si="930"/>
        <v>1485</v>
      </c>
      <c r="AG4172" s="47" t="s">
        <v>464</v>
      </c>
      <c r="AH4172" s="47" t="str">
        <f>IFERROR(_xlfn.XLOOKUP(Table6[[#This Row],[Suburb]],Table5[Travel Surcharge],Table5[$$]),"")</f>
        <v/>
      </c>
      <c r="AI4172" s="47">
        <f t="shared" ref="AI4172:AI4180" si="931">AI$7</f>
        <v>1650.0000000000002</v>
      </c>
      <c r="AJ4172" s="47"/>
    </row>
    <row r="4173" spans="1:36">
      <c r="A4173" s="374" t="s">
        <v>6141</v>
      </c>
      <c r="B4173" s="374">
        <v>2</v>
      </c>
      <c r="C4173" s="374" t="s">
        <v>455</v>
      </c>
      <c r="D4173" s="375" t="str">
        <f t="shared" si="924"/>
        <v>The Patch Estate2</v>
      </c>
      <c r="E4173" s="375" t="s">
        <v>6151</v>
      </c>
      <c r="F4173" s="375" t="s">
        <v>6143</v>
      </c>
      <c r="G4173" s="375"/>
      <c r="H4173" s="375" t="s">
        <v>6144</v>
      </c>
      <c r="I4173" s="63" t="s">
        <v>6145</v>
      </c>
      <c r="J4173" s="47">
        <f t="shared" si="925"/>
        <v>3740</v>
      </c>
      <c r="K4173" s="46" t="s">
        <v>10735</v>
      </c>
      <c r="L4173" s="47" t="s">
        <v>6146</v>
      </c>
      <c r="M4173" s="47">
        <f t="shared" si="927"/>
        <v>1430.0000000000002</v>
      </c>
      <c r="N4173" s="47" t="s">
        <v>2646</v>
      </c>
      <c r="O4173" s="47" t="s">
        <v>6147</v>
      </c>
      <c r="P4173" s="47" t="s">
        <v>6148</v>
      </c>
      <c r="Q4173" s="47">
        <f t="shared" si="926"/>
        <v>0</v>
      </c>
      <c r="R4173" s="47"/>
      <c r="S4173" s="47"/>
      <c r="T4173" s="47"/>
      <c r="U4173" s="47"/>
      <c r="V4173" s="47" t="str">
        <f t="shared" si="928"/>
        <v>$6/m2</v>
      </c>
      <c r="W4173" s="47" t="s">
        <v>6149</v>
      </c>
      <c r="X4173" s="47">
        <f t="shared" si="929"/>
        <v>3000</v>
      </c>
      <c r="Y4173" s="47" t="s">
        <v>6150</v>
      </c>
      <c r="Z4173" s="47">
        <f t="shared" si="917"/>
        <v>4620</v>
      </c>
      <c r="AA4173" s="47"/>
      <c r="AB4173" s="47"/>
      <c r="AC4173" s="47"/>
      <c r="AD4173" s="47"/>
      <c r="AE4173" s="47">
        <f t="shared" si="930"/>
        <v>5000</v>
      </c>
      <c r="AF4173" s="47">
        <f t="shared" si="930"/>
        <v>1485</v>
      </c>
      <c r="AG4173" s="47" t="s">
        <v>464</v>
      </c>
      <c r="AH4173" s="47" t="str">
        <f>IFERROR(_xlfn.XLOOKUP(Table6[[#This Row],[Suburb]],Table5[Travel Surcharge],Table5[$$]),"")</f>
        <v/>
      </c>
      <c r="AI4173" s="47">
        <f t="shared" si="931"/>
        <v>1650.0000000000002</v>
      </c>
      <c r="AJ4173" s="47"/>
    </row>
    <row r="4174" spans="1:36">
      <c r="A4174" s="374" t="s">
        <v>6141</v>
      </c>
      <c r="B4174" s="374">
        <v>3</v>
      </c>
      <c r="C4174" s="374" t="s">
        <v>455</v>
      </c>
      <c r="D4174" s="375" t="str">
        <f t="shared" si="924"/>
        <v>The Patch Estate3</v>
      </c>
      <c r="E4174" s="375" t="s">
        <v>6152</v>
      </c>
      <c r="F4174" s="375" t="s">
        <v>6143</v>
      </c>
      <c r="G4174" s="375"/>
      <c r="H4174" s="375" t="s">
        <v>6144</v>
      </c>
      <c r="I4174" s="63" t="s">
        <v>6145</v>
      </c>
      <c r="J4174" s="47">
        <f t="shared" si="925"/>
        <v>3740</v>
      </c>
      <c r="K4174" s="46" t="s">
        <v>10735</v>
      </c>
      <c r="L4174" s="47" t="s">
        <v>6146</v>
      </c>
      <c r="M4174" s="47">
        <f t="shared" si="927"/>
        <v>1430.0000000000002</v>
      </c>
      <c r="N4174" s="47" t="s">
        <v>2646</v>
      </c>
      <c r="O4174" s="47" t="s">
        <v>6147</v>
      </c>
      <c r="P4174" s="47" t="s">
        <v>6148</v>
      </c>
      <c r="Q4174" s="47">
        <f t="shared" si="926"/>
        <v>0</v>
      </c>
      <c r="R4174" s="47"/>
      <c r="S4174" s="47"/>
      <c r="T4174" s="47"/>
      <c r="U4174" s="47"/>
      <c r="V4174" s="47" t="str">
        <f t="shared" si="928"/>
        <v>$6/m2</v>
      </c>
      <c r="W4174" s="47" t="s">
        <v>6149</v>
      </c>
      <c r="X4174" s="47">
        <f t="shared" si="929"/>
        <v>3000</v>
      </c>
      <c r="Y4174" s="47" t="s">
        <v>6150</v>
      </c>
      <c r="Z4174" s="47">
        <f t="shared" si="917"/>
        <v>4620</v>
      </c>
      <c r="AA4174" s="47"/>
      <c r="AB4174" s="47"/>
      <c r="AC4174" s="47"/>
      <c r="AD4174" s="47"/>
      <c r="AE4174" s="47">
        <f t="shared" si="930"/>
        <v>5000</v>
      </c>
      <c r="AF4174" s="47">
        <f t="shared" si="930"/>
        <v>1485</v>
      </c>
      <c r="AG4174" s="47" t="s">
        <v>464</v>
      </c>
      <c r="AH4174" s="47" t="str">
        <f>IFERROR(_xlfn.XLOOKUP(Table6[[#This Row],[Suburb]],Table5[Travel Surcharge],Table5[$$]),"")</f>
        <v/>
      </c>
      <c r="AI4174" s="47">
        <f t="shared" si="931"/>
        <v>1650.0000000000002</v>
      </c>
      <c r="AJ4174" s="47"/>
    </row>
    <row r="4175" spans="1:36">
      <c r="A4175" s="374" t="s">
        <v>6141</v>
      </c>
      <c r="B4175" s="374">
        <v>4</v>
      </c>
      <c r="C4175" s="374" t="s">
        <v>455</v>
      </c>
      <c r="D4175" s="375" t="str">
        <f t="shared" si="924"/>
        <v>The Patch Estate4</v>
      </c>
      <c r="E4175" s="375" t="s">
        <v>6153</v>
      </c>
      <c r="F4175" s="375" t="s">
        <v>6143</v>
      </c>
      <c r="G4175" s="375"/>
      <c r="H4175" s="375" t="s">
        <v>6144</v>
      </c>
      <c r="I4175" s="63" t="s">
        <v>6145</v>
      </c>
      <c r="J4175" s="47">
        <f t="shared" si="925"/>
        <v>3740</v>
      </c>
      <c r="K4175" s="46" t="s">
        <v>10735</v>
      </c>
      <c r="L4175" s="47" t="s">
        <v>6146</v>
      </c>
      <c r="M4175" s="47">
        <f t="shared" si="927"/>
        <v>1430.0000000000002</v>
      </c>
      <c r="N4175" s="47" t="s">
        <v>2646</v>
      </c>
      <c r="O4175" s="47" t="s">
        <v>6147</v>
      </c>
      <c r="P4175" s="47" t="s">
        <v>6148</v>
      </c>
      <c r="Q4175" s="47">
        <f t="shared" si="926"/>
        <v>0</v>
      </c>
      <c r="R4175" s="47"/>
      <c r="S4175" s="47"/>
      <c r="T4175" s="47"/>
      <c r="U4175" s="47"/>
      <c r="V4175" s="47" t="str">
        <f t="shared" si="928"/>
        <v>$6/m2</v>
      </c>
      <c r="W4175" s="47" t="s">
        <v>6149</v>
      </c>
      <c r="X4175" s="47">
        <f t="shared" si="929"/>
        <v>3000</v>
      </c>
      <c r="Y4175" s="47" t="s">
        <v>6150</v>
      </c>
      <c r="Z4175" s="47">
        <f t="shared" si="917"/>
        <v>4620</v>
      </c>
      <c r="AA4175" s="47"/>
      <c r="AB4175" s="47"/>
      <c r="AC4175" s="47"/>
      <c r="AD4175" s="47"/>
      <c r="AE4175" s="47">
        <f t="shared" si="930"/>
        <v>5000</v>
      </c>
      <c r="AF4175" s="47">
        <f t="shared" si="930"/>
        <v>1485</v>
      </c>
      <c r="AG4175" s="47" t="s">
        <v>464</v>
      </c>
      <c r="AH4175" s="47" t="str">
        <f>IFERROR(_xlfn.XLOOKUP(Table6[[#This Row],[Suburb]],Table5[Travel Surcharge],Table5[$$]),"")</f>
        <v/>
      </c>
      <c r="AI4175" s="47">
        <f t="shared" si="931"/>
        <v>1650.0000000000002</v>
      </c>
      <c r="AJ4175" s="47"/>
    </row>
    <row r="4176" spans="1:36">
      <c r="A4176" s="374" t="s">
        <v>6141</v>
      </c>
      <c r="B4176" s="374">
        <v>5</v>
      </c>
      <c r="C4176" s="374" t="s">
        <v>455</v>
      </c>
      <c r="D4176" s="375" t="str">
        <f t="shared" si="924"/>
        <v>The Patch Estate5</v>
      </c>
      <c r="E4176" s="375" t="s">
        <v>6154</v>
      </c>
      <c r="F4176" s="375" t="s">
        <v>6143</v>
      </c>
      <c r="G4176" s="375"/>
      <c r="H4176" s="375" t="s">
        <v>6144</v>
      </c>
      <c r="I4176" s="63" t="s">
        <v>6145</v>
      </c>
      <c r="J4176" s="47">
        <f t="shared" si="925"/>
        <v>3740</v>
      </c>
      <c r="K4176" s="46" t="s">
        <v>10735</v>
      </c>
      <c r="L4176" s="47" t="s">
        <v>6146</v>
      </c>
      <c r="M4176" s="47">
        <f t="shared" si="927"/>
        <v>1430.0000000000002</v>
      </c>
      <c r="N4176" s="47" t="s">
        <v>2646</v>
      </c>
      <c r="O4176" s="47" t="s">
        <v>6147</v>
      </c>
      <c r="P4176" s="47" t="s">
        <v>6148</v>
      </c>
      <c r="Q4176" s="47">
        <f t="shared" si="926"/>
        <v>0</v>
      </c>
      <c r="R4176" s="47"/>
      <c r="S4176" s="47"/>
      <c r="T4176" s="47"/>
      <c r="U4176" s="47"/>
      <c r="V4176" s="47" t="str">
        <f t="shared" si="928"/>
        <v>$6/m2</v>
      </c>
      <c r="W4176" s="47" t="s">
        <v>6149</v>
      </c>
      <c r="X4176" s="47">
        <f t="shared" si="929"/>
        <v>3000</v>
      </c>
      <c r="Y4176" s="47" t="s">
        <v>6150</v>
      </c>
      <c r="Z4176" s="47">
        <f t="shared" si="917"/>
        <v>4620</v>
      </c>
      <c r="AA4176" s="47"/>
      <c r="AB4176" s="47"/>
      <c r="AC4176" s="47"/>
      <c r="AD4176" s="47"/>
      <c r="AE4176" s="47">
        <f t="shared" si="930"/>
        <v>5000</v>
      </c>
      <c r="AF4176" s="47">
        <f t="shared" si="930"/>
        <v>1485</v>
      </c>
      <c r="AG4176" s="47" t="s">
        <v>464</v>
      </c>
      <c r="AH4176" s="47" t="str">
        <f>IFERROR(_xlfn.XLOOKUP(Table6[[#This Row],[Suburb]],Table5[Travel Surcharge],Table5[$$]),"")</f>
        <v/>
      </c>
      <c r="AI4176" s="47">
        <f t="shared" si="931"/>
        <v>1650.0000000000002</v>
      </c>
      <c r="AJ4176" s="47"/>
    </row>
    <row r="4177" spans="1:36">
      <c r="A4177" s="374" t="s">
        <v>6141</v>
      </c>
      <c r="B4177" s="374">
        <v>6</v>
      </c>
      <c r="C4177" s="374" t="s">
        <v>455</v>
      </c>
      <c r="D4177" s="375" t="str">
        <f t="shared" si="924"/>
        <v>The Patch Estate6</v>
      </c>
      <c r="E4177" s="375" t="s">
        <v>6155</v>
      </c>
      <c r="F4177" s="375" t="s">
        <v>6143</v>
      </c>
      <c r="G4177" s="375"/>
      <c r="H4177" s="375" t="s">
        <v>6144</v>
      </c>
      <c r="I4177" s="63" t="s">
        <v>6145</v>
      </c>
      <c r="J4177" s="47">
        <f t="shared" si="925"/>
        <v>3740</v>
      </c>
      <c r="K4177" s="46" t="s">
        <v>10735</v>
      </c>
      <c r="L4177" s="47" t="s">
        <v>6146</v>
      </c>
      <c r="M4177" s="47">
        <f t="shared" si="927"/>
        <v>1430.0000000000002</v>
      </c>
      <c r="N4177" s="47" t="s">
        <v>2646</v>
      </c>
      <c r="O4177" s="47" t="s">
        <v>6147</v>
      </c>
      <c r="P4177" s="47" t="s">
        <v>6148</v>
      </c>
      <c r="Q4177" s="47">
        <f t="shared" si="926"/>
        <v>0</v>
      </c>
      <c r="R4177" s="47"/>
      <c r="S4177" s="47"/>
      <c r="T4177" s="47"/>
      <c r="U4177" s="47"/>
      <c r="V4177" s="47" t="str">
        <f t="shared" si="928"/>
        <v>$6/m2</v>
      </c>
      <c r="W4177" s="47" t="s">
        <v>6149</v>
      </c>
      <c r="X4177" s="47">
        <f t="shared" si="929"/>
        <v>3000</v>
      </c>
      <c r="Y4177" s="47" t="s">
        <v>6150</v>
      </c>
      <c r="Z4177" s="47">
        <f t="shared" ref="Z4177:Z4217" si="932">Z$7</f>
        <v>4620</v>
      </c>
      <c r="AA4177" s="47"/>
      <c r="AB4177" s="47"/>
      <c r="AC4177" s="47"/>
      <c r="AD4177" s="47"/>
      <c r="AE4177" s="47">
        <f t="shared" si="930"/>
        <v>5000</v>
      </c>
      <c r="AF4177" s="47">
        <f t="shared" si="930"/>
        <v>1485</v>
      </c>
      <c r="AG4177" s="47" t="s">
        <v>464</v>
      </c>
      <c r="AH4177" s="47" t="str">
        <f>IFERROR(_xlfn.XLOOKUP(Table6[[#This Row],[Suburb]],Table5[Travel Surcharge],Table5[$$]),"")</f>
        <v/>
      </c>
      <c r="AI4177" s="47">
        <f t="shared" si="931"/>
        <v>1650.0000000000002</v>
      </c>
      <c r="AJ4177" s="47"/>
    </row>
    <row r="4178" spans="1:36">
      <c r="A4178" s="374" t="s">
        <v>6141</v>
      </c>
      <c r="B4178" s="374">
        <v>9</v>
      </c>
      <c r="C4178" s="374" t="s">
        <v>455</v>
      </c>
      <c r="D4178" s="375" t="str">
        <f t="shared" si="924"/>
        <v>The Patch Estate9</v>
      </c>
      <c r="E4178" s="375" t="s">
        <v>6157</v>
      </c>
      <c r="F4178" s="375" t="s">
        <v>6143</v>
      </c>
      <c r="G4178" s="375"/>
      <c r="H4178" s="375" t="s">
        <v>6144</v>
      </c>
      <c r="I4178" s="63" t="s">
        <v>6145</v>
      </c>
      <c r="J4178" s="47">
        <f t="shared" si="925"/>
        <v>3740</v>
      </c>
      <c r="K4178" s="46" t="s">
        <v>10735</v>
      </c>
      <c r="L4178" s="47" t="s">
        <v>6146</v>
      </c>
      <c r="M4178" s="47">
        <f t="shared" si="927"/>
        <v>1430.0000000000002</v>
      </c>
      <c r="N4178" s="47" t="s">
        <v>2646</v>
      </c>
      <c r="O4178" s="47" t="s">
        <v>6147</v>
      </c>
      <c r="P4178" s="47" t="s">
        <v>6148</v>
      </c>
      <c r="Q4178" s="47">
        <f t="shared" si="926"/>
        <v>0</v>
      </c>
      <c r="R4178" s="47"/>
      <c r="S4178" s="47"/>
      <c r="T4178" s="47"/>
      <c r="U4178" s="47"/>
      <c r="V4178" s="47" t="str">
        <f t="shared" si="928"/>
        <v>$6/m2</v>
      </c>
      <c r="W4178" s="47" t="s">
        <v>6149</v>
      </c>
      <c r="X4178" s="47">
        <f t="shared" si="929"/>
        <v>3000</v>
      </c>
      <c r="Y4178" s="47" t="s">
        <v>6150</v>
      </c>
      <c r="Z4178" s="47">
        <f t="shared" si="932"/>
        <v>4620</v>
      </c>
      <c r="AA4178" s="47"/>
      <c r="AB4178" s="47"/>
      <c r="AC4178" s="47"/>
      <c r="AD4178" s="47"/>
      <c r="AE4178" s="47">
        <f t="shared" si="930"/>
        <v>5000</v>
      </c>
      <c r="AF4178" s="47">
        <f t="shared" si="930"/>
        <v>1485</v>
      </c>
      <c r="AG4178" s="47" t="s">
        <v>464</v>
      </c>
      <c r="AH4178" s="47" t="str">
        <f>IFERROR(_xlfn.XLOOKUP(Table6[[#This Row],[Suburb]],Table5[Travel Surcharge],Table5[$$]),"")</f>
        <v/>
      </c>
      <c r="AI4178" s="47">
        <f t="shared" si="931"/>
        <v>1650.0000000000002</v>
      </c>
      <c r="AJ4178" s="47"/>
    </row>
    <row r="4179" spans="1:36">
      <c r="A4179" s="374" t="s">
        <v>6141</v>
      </c>
      <c r="B4179" s="374">
        <v>10</v>
      </c>
      <c r="C4179" s="374" t="s">
        <v>455</v>
      </c>
      <c r="D4179" s="375" t="str">
        <f t="shared" si="924"/>
        <v>The Patch Estate10</v>
      </c>
      <c r="E4179" s="375" t="s">
        <v>6158</v>
      </c>
      <c r="F4179" s="375" t="s">
        <v>6143</v>
      </c>
      <c r="G4179" s="375"/>
      <c r="H4179" s="375" t="s">
        <v>6144</v>
      </c>
      <c r="I4179" s="63" t="s">
        <v>6145</v>
      </c>
      <c r="J4179" s="47">
        <f t="shared" si="925"/>
        <v>3740</v>
      </c>
      <c r="K4179" s="46" t="s">
        <v>10735</v>
      </c>
      <c r="L4179" s="47" t="s">
        <v>6146</v>
      </c>
      <c r="M4179" s="47">
        <f t="shared" si="927"/>
        <v>1430.0000000000002</v>
      </c>
      <c r="N4179" s="47" t="s">
        <v>2646</v>
      </c>
      <c r="O4179" s="47" t="s">
        <v>6147</v>
      </c>
      <c r="P4179" s="47" t="s">
        <v>6148</v>
      </c>
      <c r="Q4179" s="47">
        <f t="shared" si="926"/>
        <v>0</v>
      </c>
      <c r="R4179" s="47"/>
      <c r="S4179" s="47"/>
      <c r="T4179" s="47"/>
      <c r="U4179" s="47"/>
      <c r="V4179" s="47" t="str">
        <f t="shared" si="928"/>
        <v>$6/m2</v>
      </c>
      <c r="W4179" s="47" t="s">
        <v>6149</v>
      </c>
      <c r="X4179" s="47">
        <f t="shared" si="929"/>
        <v>3000</v>
      </c>
      <c r="Y4179" s="47" t="s">
        <v>6150</v>
      </c>
      <c r="Z4179" s="47">
        <f t="shared" si="932"/>
        <v>4620</v>
      </c>
      <c r="AA4179" s="47"/>
      <c r="AB4179" s="47"/>
      <c r="AC4179" s="47"/>
      <c r="AD4179" s="47"/>
      <c r="AE4179" s="47">
        <f t="shared" si="930"/>
        <v>5000</v>
      </c>
      <c r="AF4179" s="47">
        <f t="shared" si="930"/>
        <v>1485</v>
      </c>
      <c r="AG4179" s="47" t="s">
        <v>464</v>
      </c>
      <c r="AH4179" s="47" t="str">
        <f>IFERROR(_xlfn.XLOOKUP(Table6[[#This Row],[Suburb]],Table5[Travel Surcharge],Table5[$$]),"")</f>
        <v/>
      </c>
      <c r="AI4179" s="47">
        <f t="shared" si="931"/>
        <v>1650.0000000000002</v>
      </c>
      <c r="AJ4179" s="47"/>
    </row>
    <row r="4180" spans="1:36">
      <c r="A4180" s="374" t="s">
        <v>6141</v>
      </c>
      <c r="B4180" s="374" t="s">
        <v>748</v>
      </c>
      <c r="C4180" s="374" t="s">
        <v>455</v>
      </c>
      <c r="D4180" s="375" t="str">
        <f t="shared" si="924"/>
        <v>The Patch Estate8A</v>
      </c>
      <c r="E4180" s="375" t="s">
        <v>6156</v>
      </c>
      <c r="F4180" s="375" t="s">
        <v>6143</v>
      </c>
      <c r="G4180" s="375"/>
      <c r="H4180" s="375" t="s">
        <v>6144</v>
      </c>
      <c r="I4180" s="63" t="s">
        <v>6145</v>
      </c>
      <c r="J4180" s="47">
        <f t="shared" si="925"/>
        <v>3740</v>
      </c>
      <c r="K4180" s="46" t="s">
        <v>10735</v>
      </c>
      <c r="L4180" s="47" t="s">
        <v>6146</v>
      </c>
      <c r="M4180" s="47">
        <f t="shared" si="927"/>
        <v>1430.0000000000002</v>
      </c>
      <c r="N4180" s="47" t="s">
        <v>2646</v>
      </c>
      <c r="O4180" s="47" t="s">
        <v>6147</v>
      </c>
      <c r="P4180" s="47" t="s">
        <v>6148</v>
      </c>
      <c r="Q4180" s="47">
        <f t="shared" si="926"/>
        <v>0</v>
      </c>
      <c r="R4180" s="47"/>
      <c r="S4180" s="47"/>
      <c r="T4180" s="47"/>
      <c r="U4180" s="47"/>
      <c r="V4180" s="47" t="str">
        <f t="shared" si="928"/>
        <v>$6/m2</v>
      </c>
      <c r="W4180" s="47" t="s">
        <v>6149</v>
      </c>
      <c r="X4180" s="47">
        <f t="shared" si="929"/>
        <v>3000</v>
      </c>
      <c r="Y4180" s="47" t="s">
        <v>6150</v>
      </c>
      <c r="Z4180" s="47">
        <f t="shared" si="932"/>
        <v>4620</v>
      </c>
      <c r="AA4180" s="47"/>
      <c r="AB4180" s="47"/>
      <c r="AC4180" s="47"/>
      <c r="AD4180" s="47"/>
      <c r="AE4180" s="47">
        <f t="shared" si="930"/>
        <v>5000</v>
      </c>
      <c r="AF4180" s="47">
        <f t="shared" si="930"/>
        <v>1485</v>
      </c>
      <c r="AG4180" s="47" t="s">
        <v>464</v>
      </c>
      <c r="AH4180" s="47" t="str">
        <f>IFERROR(_xlfn.XLOOKUP(Table6[[#This Row],[Suburb]],Table5[Travel Surcharge],Table5[$$]),"")</f>
        <v/>
      </c>
      <c r="AI4180" s="47">
        <f t="shared" si="931"/>
        <v>1650.0000000000002</v>
      </c>
      <c r="AJ4180" s="47"/>
    </row>
    <row r="4181" spans="1:36">
      <c r="A4181" s="374" t="s">
        <v>6159</v>
      </c>
      <c r="B4181" s="374">
        <v>8</v>
      </c>
      <c r="C4181" s="374" t="s">
        <v>297</v>
      </c>
      <c r="D4181" s="375" t="str">
        <f t="shared" si="924"/>
        <v>The Point Estate8</v>
      </c>
      <c r="E4181" s="375" t="s">
        <v>6160</v>
      </c>
      <c r="F4181" s="375"/>
      <c r="G4181" s="375" t="s">
        <v>6076</v>
      </c>
      <c r="H4181" s="375" t="s">
        <v>6161</v>
      </c>
      <c r="I4181" s="63"/>
      <c r="J4181" s="47"/>
      <c r="K4181" s="46" t="s">
        <v>10735</v>
      </c>
      <c r="L4181" s="47" t="s">
        <v>6146</v>
      </c>
      <c r="M4181" s="47">
        <f t="shared" si="927"/>
        <v>1430.0000000000002</v>
      </c>
      <c r="N4181" s="47"/>
      <c r="O4181" s="47">
        <f t="shared" ref="O4181:O4187" si="933">O$7</f>
        <v>4950</v>
      </c>
      <c r="P4181" s="47"/>
      <c r="Q4181" s="47"/>
      <c r="R4181" s="47"/>
      <c r="S4181" s="47" t="s">
        <v>2878</v>
      </c>
      <c r="T4181" s="47"/>
      <c r="U4181" s="47">
        <f t="shared" ref="U4181:U4187" si="934">U$2</f>
        <v>430</v>
      </c>
      <c r="V4181" s="47" t="str">
        <f t="shared" si="928"/>
        <v>$6/m2</v>
      </c>
      <c r="W4181" s="47"/>
      <c r="X4181" s="47">
        <f t="shared" si="929"/>
        <v>3000</v>
      </c>
      <c r="Y4181" s="47" t="s">
        <v>6162</v>
      </c>
      <c r="Z4181" s="47">
        <f t="shared" si="932"/>
        <v>4620</v>
      </c>
      <c r="AA4181" s="47"/>
      <c r="AB4181" s="47"/>
      <c r="AC4181" s="47" t="s">
        <v>6163</v>
      </c>
      <c r="AD4181" s="47"/>
      <c r="AE4181" s="47"/>
      <c r="AF4181" s="47"/>
      <c r="AG4181" s="47"/>
      <c r="AH4181" s="47">
        <f>IFERROR(_xlfn.XLOOKUP(Table6[[#This Row],[Suburb]],Table5[Travel Surcharge],Table5[$$]),"")</f>
        <v>1500</v>
      </c>
      <c r="AI4181" s="47"/>
      <c r="AJ4181" s="47"/>
    </row>
    <row r="4182" spans="1:36">
      <c r="A4182" s="374" t="s">
        <v>6159</v>
      </c>
      <c r="B4182" s="374">
        <v>10</v>
      </c>
      <c r="C4182" s="374" t="s">
        <v>297</v>
      </c>
      <c r="D4182" s="375" t="str">
        <f t="shared" si="924"/>
        <v>The Point Estate10</v>
      </c>
      <c r="E4182" s="375" t="s">
        <v>6164</v>
      </c>
      <c r="F4182" s="375"/>
      <c r="G4182" s="375" t="s">
        <v>6076</v>
      </c>
      <c r="H4182" s="375" t="s">
        <v>6161</v>
      </c>
      <c r="I4182" s="63"/>
      <c r="J4182" s="47"/>
      <c r="K4182" s="46" t="s">
        <v>10735</v>
      </c>
      <c r="L4182" s="47" t="s">
        <v>6146</v>
      </c>
      <c r="M4182" s="47">
        <f t="shared" si="927"/>
        <v>1430.0000000000002</v>
      </c>
      <c r="N4182" s="47"/>
      <c r="O4182" s="47">
        <f t="shared" si="933"/>
        <v>4950</v>
      </c>
      <c r="P4182" s="47"/>
      <c r="Q4182" s="47"/>
      <c r="R4182" s="47"/>
      <c r="S4182" s="47" t="s">
        <v>2878</v>
      </c>
      <c r="T4182" s="47"/>
      <c r="U4182" s="47">
        <f t="shared" si="934"/>
        <v>430</v>
      </c>
      <c r="V4182" s="47" t="str">
        <f t="shared" si="928"/>
        <v>$6/m2</v>
      </c>
      <c r="W4182" s="47"/>
      <c r="X4182" s="47">
        <f t="shared" si="929"/>
        <v>3000</v>
      </c>
      <c r="Y4182" s="47" t="s">
        <v>6162</v>
      </c>
      <c r="Z4182" s="47">
        <f t="shared" si="932"/>
        <v>4620</v>
      </c>
      <c r="AA4182" s="47"/>
      <c r="AB4182" s="47"/>
      <c r="AC4182" s="47" t="s">
        <v>6163</v>
      </c>
      <c r="AD4182" s="47"/>
      <c r="AE4182" s="47"/>
      <c r="AF4182" s="47"/>
      <c r="AG4182" s="47"/>
      <c r="AH4182" s="47">
        <f>IFERROR(_xlfn.XLOOKUP(Table6[[#This Row],[Suburb]],Table5[Travel Surcharge],Table5[$$]),"")</f>
        <v>1500</v>
      </c>
      <c r="AI4182" s="47"/>
      <c r="AJ4182" s="47"/>
    </row>
    <row r="4183" spans="1:36">
      <c r="A4183" s="374" t="s">
        <v>6159</v>
      </c>
      <c r="B4183" s="374">
        <v>11</v>
      </c>
      <c r="C4183" s="374" t="s">
        <v>297</v>
      </c>
      <c r="D4183" s="375" t="str">
        <f t="shared" si="924"/>
        <v>The Point Estate11</v>
      </c>
      <c r="E4183" s="375" t="s">
        <v>6165</v>
      </c>
      <c r="F4183" s="375"/>
      <c r="G4183" s="375" t="s">
        <v>6076</v>
      </c>
      <c r="H4183" s="375" t="s">
        <v>6161</v>
      </c>
      <c r="I4183" s="63"/>
      <c r="J4183" s="47"/>
      <c r="K4183" s="46" t="s">
        <v>10735</v>
      </c>
      <c r="L4183" s="47" t="s">
        <v>6146</v>
      </c>
      <c r="M4183" s="47">
        <f t="shared" si="927"/>
        <v>1430.0000000000002</v>
      </c>
      <c r="N4183" s="47"/>
      <c r="O4183" s="47">
        <f t="shared" si="933"/>
        <v>4950</v>
      </c>
      <c r="P4183" s="47"/>
      <c r="Q4183" s="47"/>
      <c r="R4183" s="47"/>
      <c r="S4183" s="47" t="s">
        <v>2878</v>
      </c>
      <c r="T4183" s="47"/>
      <c r="U4183" s="47">
        <f t="shared" si="934"/>
        <v>430</v>
      </c>
      <c r="V4183" s="47" t="str">
        <f t="shared" si="928"/>
        <v>$6/m2</v>
      </c>
      <c r="W4183" s="47"/>
      <c r="X4183" s="47">
        <f t="shared" si="929"/>
        <v>3000</v>
      </c>
      <c r="Y4183" s="47" t="s">
        <v>6162</v>
      </c>
      <c r="Z4183" s="47">
        <f t="shared" si="932"/>
        <v>4620</v>
      </c>
      <c r="AA4183" s="47"/>
      <c r="AB4183" s="47"/>
      <c r="AC4183" s="47" t="s">
        <v>6163</v>
      </c>
      <c r="AD4183" s="47"/>
      <c r="AE4183" s="47"/>
      <c r="AF4183" s="47"/>
      <c r="AG4183" s="47"/>
      <c r="AH4183" s="47">
        <f>IFERROR(_xlfn.XLOOKUP(Table6[[#This Row],[Suburb]],Table5[Travel Surcharge],Table5[$$]),"")</f>
        <v>1500</v>
      </c>
      <c r="AI4183" s="47"/>
      <c r="AJ4183" s="47"/>
    </row>
    <row r="4184" spans="1:36">
      <c r="A4184" s="374" t="s">
        <v>6159</v>
      </c>
      <c r="B4184" s="374">
        <v>16</v>
      </c>
      <c r="C4184" s="374" t="s">
        <v>297</v>
      </c>
      <c r="D4184" s="375" t="str">
        <f t="shared" si="924"/>
        <v>The Point Estate16</v>
      </c>
      <c r="E4184" s="375" t="s">
        <v>6166</v>
      </c>
      <c r="F4184" s="375"/>
      <c r="G4184" s="375" t="s">
        <v>6076</v>
      </c>
      <c r="H4184" s="375" t="s">
        <v>6161</v>
      </c>
      <c r="I4184" s="63"/>
      <c r="J4184" s="47"/>
      <c r="K4184" s="46" t="s">
        <v>10735</v>
      </c>
      <c r="L4184" s="47" t="s">
        <v>6146</v>
      </c>
      <c r="M4184" s="47">
        <f t="shared" si="927"/>
        <v>1430.0000000000002</v>
      </c>
      <c r="N4184" s="47"/>
      <c r="O4184" s="47">
        <f t="shared" si="933"/>
        <v>4950</v>
      </c>
      <c r="P4184" s="47"/>
      <c r="Q4184" s="47"/>
      <c r="R4184" s="47"/>
      <c r="S4184" s="47" t="s">
        <v>2878</v>
      </c>
      <c r="T4184" s="47"/>
      <c r="U4184" s="47">
        <f t="shared" si="934"/>
        <v>430</v>
      </c>
      <c r="V4184" s="47" t="str">
        <f t="shared" si="928"/>
        <v>$6/m2</v>
      </c>
      <c r="W4184" s="47"/>
      <c r="X4184" s="47">
        <f t="shared" si="929"/>
        <v>3000</v>
      </c>
      <c r="Y4184" s="47" t="s">
        <v>6162</v>
      </c>
      <c r="Z4184" s="47">
        <f t="shared" si="932"/>
        <v>4620</v>
      </c>
      <c r="AA4184" s="47"/>
      <c r="AB4184" s="47"/>
      <c r="AC4184" s="47" t="s">
        <v>6163</v>
      </c>
      <c r="AD4184" s="47"/>
      <c r="AE4184" s="47"/>
      <c r="AF4184" s="47"/>
      <c r="AG4184" s="47"/>
      <c r="AH4184" s="47">
        <f>IFERROR(_xlfn.XLOOKUP(Table6[[#This Row],[Suburb]],Table5[Travel Surcharge],Table5[$$]),"")</f>
        <v>1500</v>
      </c>
      <c r="AI4184" s="47"/>
      <c r="AJ4184" s="47"/>
    </row>
    <row r="4185" spans="1:36">
      <c r="A4185" s="374" t="s">
        <v>6159</v>
      </c>
      <c r="B4185" s="374">
        <v>18</v>
      </c>
      <c r="C4185" s="374" t="s">
        <v>297</v>
      </c>
      <c r="D4185" s="375" t="str">
        <f t="shared" si="924"/>
        <v>The Point Estate18</v>
      </c>
      <c r="E4185" s="375" t="s">
        <v>6167</v>
      </c>
      <c r="F4185" s="375"/>
      <c r="G4185" s="375" t="s">
        <v>6076</v>
      </c>
      <c r="H4185" s="375" t="s">
        <v>6161</v>
      </c>
      <c r="I4185" s="63"/>
      <c r="J4185" s="47"/>
      <c r="K4185" s="46" t="s">
        <v>10735</v>
      </c>
      <c r="L4185" s="47" t="s">
        <v>6146</v>
      </c>
      <c r="M4185" s="47">
        <f t="shared" si="927"/>
        <v>1430.0000000000002</v>
      </c>
      <c r="N4185" s="47"/>
      <c r="O4185" s="47">
        <f t="shared" si="933"/>
        <v>4950</v>
      </c>
      <c r="P4185" s="47"/>
      <c r="Q4185" s="47"/>
      <c r="R4185" s="47"/>
      <c r="S4185" s="47" t="s">
        <v>2878</v>
      </c>
      <c r="T4185" s="47"/>
      <c r="U4185" s="47">
        <f t="shared" si="934"/>
        <v>430</v>
      </c>
      <c r="V4185" s="47" t="str">
        <f t="shared" si="928"/>
        <v>$6/m2</v>
      </c>
      <c r="W4185" s="47"/>
      <c r="X4185" s="47">
        <f t="shared" si="929"/>
        <v>3000</v>
      </c>
      <c r="Y4185" s="47" t="s">
        <v>6162</v>
      </c>
      <c r="Z4185" s="47">
        <f t="shared" si="932"/>
        <v>4620</v>
      </c>
      <c r="AA4185" s="47"/>
      <c r="AB4185" s="47"/>
      <c r="AC4185" s="47" t="s">
        <v>6163</v>
      </c>
      <c r="AD4185" s="47"/>
      <c r="AE4185" s="47"/>
      <c r="AF4185" s="47"/>
      <c r="AG4185" s="47"/>
      <c r="AH4185" s="47">
        <f>IFERROR(_xlfn.XLOOKUP(Table6[[#This Row],[Suburb]],Table5[Travel Surcharge],Table5[$$]),"")</f>
        <v>1500</v>
      </c>
      <c r="AI4185" s="47"/>
      <c r="AJ4185" s="47"/>
    </row>
    <row r="4186" spans="1:36">
      <c r="A4186" s="374" t="s">
        <v>6159</v>
      </c>
      <c r="B4186" s="374">
        <v>19</v>
      </c>
      <c r="C4186" s="374" t="s">
        <v>297</v>
      </c>
      <c r="D4186" s="375" t="str">
        <f t="shared" si="924"/>
        <v>The Point Estate19</v>
      </c>
      <c r="E4186" s="375" t="s">
        <v>6168</v>
      </c>
      <c r="F4186" s="375"/>
      <c r="G4186" s="375" t="s">
        <v>6076</v>
      </c>
      <c r="H4186" s="375" t="s">
        <v>6161</v>
      </c>
      <c r="I4186" s="63"/>
      <c r="J4186" s="47"/>
      <c r="K4186" s="46" t="s">
        <v>10735</v>
      </c>
      <c r="L4186" s="47" t="s">
        <v>6146</v>
      </c>
      <c r="M4186" s="47">
        <f t="shared" si="927"/>
        <v>1430.0000000000002</v>
      </c>
      <c r="N4186" s="47"/>
      <c r="O4186" s="47">
        <f t="shared" si="933"/>
        <v>4950</v>
      </c>
      <c r="P4186" s="47"/>
      <c r="Q4186" s="47"/>
      <c r="R4186" s="47"/>
      <c r="S4186" s="47" t="s">
        <v>2878</v>
      </c>
      <c r="T4186" s="47"/>
      <c r="U4186" s="47">
        <f t="shared" si="934"/>
        <v>430</v>
      </c>
      <c r="V4186" s="47" t="str">
        <f t="shared" si="928"/>
        <v>$6/m2</v>
      </c>
      <c r="W4186" s="47"/>
      <c r="X4186" s="47">
        <f t="shared" si="929"/>
        <v>3000</v>
      </c>
      <c r="Y4186" s="47" t="s">
        <v>6162</v>
      </c>
      <c r="Z4186" s="47">
        <f t="shared" si="932"/>
        <v>4620</v>
      </c>
      <c r="AA4186" s="47"/>
      <c r="AB4186" s="47"/>
      <c r="AC4186" s="47" t="s">
        <v>6163</v>
      </c>
      <c r="AD4186" s="47"/>
      <c r="AE4186" s="47"/>
      <c r="AF4186" s="47"/>
      <c r="AG4186" s="47"/>
      <c r="AH4186" s="47">
        <f>IFERROR(_xlfn.XLOOKUP(Table6[[#This Row],[Suburb]],Table5[Travel Surcharge],Table5[$$]),"")</f>
        <v>1500</v>
      </c>
      <c r="AI4186" s="47"/>
      <c r="AJ4186" s="47"/>
    </row>
    <row r="4187" spans="1:36">
      <c r="A4187" s="374" t="s">
        <v>6159</v>
      </c>
      <c r="B4187" s="374">
        <v>20</v>
      </c>
      <c r="C4187" s="374" t="s">
        <v>297</v>
      </c>
      <c r="D4187" s="375" t="str">
        <f t="shared" si="924"/>
        <v>The Point Estate20</v>
      </c>
      <c r="E4187" s="375" t="s">
        <v>6169</v>
      </c>
      <c r="F4187" s="375"/>
      <c r="G4187" s="375" t="s">
        <v>6076</v>
      </c>
      <c r="H4187" s="375" t="s">
        <v>6161</v>
      </c>
      <c r="I4187" s="63"/>
      <c r="J4187" s="47"/>
      <c r="K4187" s="46" t="s">
        <v>10735</v>
      </c>
      <c r="L4187" s="47" t="s">
        <v>6146</v>
      </c>
      <c r="M4187" s="47">
        <f t="shared" si="927"/>
        <v>1430.0000000000002</v>
      </c>
      <c r="N4187" s="47"/>
      <c r="O4187" s="47">
        <f t="shared" si="933"/>
        <v>4950</v>
      </c>
      <c r="P4187" s="47"/>
      <c r="Q4187" s="47"/>
      <c r="R4187" s="47"/>
      <c r="S4187" s="47" t="s">
        <v>2878</v>
      </c>
      <c r="T4187" s="47"/>
      <c r="U4187" s="47">
        <f t="shared" si="934"/>
        <v>430</v>
      </c>
      <c r="V4187" s="47" t="str">
        <f t="shared" si="928"/>
        <v>$6/m2</v>
      </c>
      <c r="W4187" s="47"/>
      <c r="X4187" s="47">
        <f t="shared" si="929"/>
        <v>3000</v>
      </c>
      <c r="Y4187" s="47" t="s">
        <v>6162</v>
      </c>
      <c r="Z4187" s="47">
        <f t="shared" si="932"/>
        <v>4620</v>
      </c>
      <c r="AA4187" s="47"/>
      <c r="AB4187" s="47"/>
      <c r="AC4187" s="47" t="s">
        <v>6163</v>
      </c>
      <c r="AD4187" s="47"/>
      <c r="AE4187" s="47"/>
      <c r="AF4187" s="47"/>
      <c r="AG4187" s="47"/>
      <c r="AH4187" s="47">
        <f>IFERROR(_xlfn.XLOOKUP(Table6[[#This Row],[Suburb]],Table5[Travel Surcharge],Table5[$$]),"")</f>
        <v>1500</v>
      </c>
      <c r="AI4187" s="47"/>
      <c r="AJ4187" s="47"/>
    </row>
    <row r="4188" spans="1:36">
      <c r="A4188" s="374" t="s">
        <v>10401</v>
      </c>
      <c r="B4188" s="374">
        <v>1</v>
      </c>
      <c r="C4188" s="374" t="s">
        <v>10258</v>
      </c>
      <c r="D4188" s="375" t="str">
        <f>CONCATENATE(A4188,B4188)</f>
        <v>The Precinct Winchelsea1</v>
      </c>
      <c r="E4188" s="375" t="s">
        <v>10402</v>
      </c>
      <c r="F4188" s="375"/>
      <c r="G4188" s="375"/>
      <c r="H4188" s="375"/>
      <c r="I4188" s="63"/>
      <c r="J4188" s="47"/>
      <c r="K4188" s="46" t="s">
        <v>10735</v>
      </c>
      <c r="L4188" s="47"/>
      <c r="M4188" s="47"/>
      <c r="N4188" s="47"/>
      <c r="O4188" s="47"/>
      <c r="P4188" s="47"/>
      <c r="Q4188" s="47">
        <v>0</v>
      </c>
      <c r="R4188" s="47"/>
      <c r="S4188" s="47"/>
      <c r="T4188" s="47"/>
      <c r="U4188" s="47"/>
      <c r="V4188" s="47"/>
      <c r="W4188" s="47"/>
      <c r="X4188" s="47"/>
      <c r="Y4188" s="47"/>
      <c r="Z4188" s="47">
        <f>Z$7</f>
        <v>4620</v>
      </c>
      <c r="AA4188" s="47"/>
      <c r="AB4188" s="47"/>
      <c r="AC4188" s="47"/>
      <c r="AD4188" s="47"/>
      <c r="AE4188" s="47"/>
      <c r="AF4188" s="47"/>
      <c r="AG4188" s="47"/>
      <c r="AH4188" s="47">
        <v>7000</v>
      </c>
      <c r="AI4188" s="47"/>
      <c r="AJ4188" s="47"/>
    </row>
    <row r="4189" spans="1:36">
      <c r="A4189" s="374" t="s">
        <v>10401</v>
      </c>
      <c r="B4189" s="374">
        <v>2</v>
      </c>
      <c r="C4189" s="374" t="s">
        <v>10258</v>
      </c>
      <c r="D4189" s="375" t="str">
        <f>CONCATENATE(A4189,B4189)</f>
        <v>The Precinct Winchelsea2</v>
      </c>
      <c r="E4189" s="375" t="s">
        <v>10782</v>
      </c>
      <c r="F4189" s="375"/>
      <c r="G4189" s="375"/>
      <c r="H4189" s="375"/>
      <c r="I4189" s="63"/>
      <c r="J4189" s="47"/>
      <c r="K4189" s="46" t="s">
        <v>10735</v>
      </c>
      <c r="L4189" s="47"/>
      <c r="M4189" s="47"/>
      <c r="N4189" s="47"/>
      <c r="O4189" s="47"/>
      <c r="P4189" s="47"/>
      <c r="Q4189" s="47">
        <v>0</v>
      </c>
      <c r="R4189" s="47"/>
      <c r="S4189" s="47"/>
      <c r="T4189" s="47"/>
      <c r="U4189" s="47"/>
      <c r="V4189" s="47"/>
      <c r="W4189" s="47"/>
      <c r="X4189" s="47"/>
      <c r="Y4189" s="47"/>
      <c r="Z4189" s="47">
        <v>4620</v>
      </c>
      <c r="AA4189" s="47"/>
      <c r="AB4189" s="47"/>
      <c r="AC4189" s="47"/>
      <c r="AD4189" s="47"/>
      <c r="AE4189" s="47"/>
      <c r="AF4189" s="47"/>
      <c r="AG4189" s="47"/>
      <c r="AH4189" s="47">
        <v>7000</v>
      </c>
      <c r="AI4189" s="47"/>
      <c r="AJ4189" s="47"/>
    </row>
    <row r="4190" spans="1:36">
      <c r="A4190" s="374" t="s">
        <v>10401</v>
      </c>
      <c r="B4190" s="374">
        <v>3</v>
      </c>
      <c r="C4190" s="374" t="s">
        <v>10258</v>
      </c>
      <c r="D4190" s="375" t="str">
        <f>CONCATENATE(A4190,B4190)</f>
        <v>The Precinct Winchelsea3</v>
      </c>
      <c r="E4190" s="375" t="s">
        <v>10675</v>
      </c>
      <c r="F4190" s="375"/>
      <c r="G4190" s="375"/>
      <c r="H4190" s="375"/>
      <c r="I4190" s="63"/>
      <c r="J4190" s="47"/>
      <c r="K4190" s="46" t="s">
        <v>10735</v>
      </c>
      <c r="L4190" s="47"/>
      <c r="M4190" s="47"/>
      <c r="N4190" s="47"/>
      <c r="O4190" s="47"/>
      <c r="P4190" s="47"/>
      <c r="Q4190" s="47">
        <v>0</v>
      </c>
      <c r="R4190" s="47"/>
      <c r="S4190" s="47"/>
      <c r="T4190" s="47"/>
      <c r="U4190" s="47"/>
      <c r="V4190" s="47"/>
      <c r="W4190" s="47"/>
      <c r="X4190" s="47"/>
      <c r="Y4190" s="47"/>
      <c r="Z4190" s="47">
        <f>Z$7</f>
        <v>4620</v>
      </c>
      <c r="AA4190" s="47"/>
      <c r="AB4190" s="47"/>
      <c r="AC4190" s="47"/>
      <c r="AD4190" s="47"/>
      <c r="AE4190" s="47"/>
      <c r="AF4190" s="47"/>
      <c r="AG4190" s="47"/>
      <c r="AH4190" s="47">
        <v>7000</v>
      </c>
      <c r="AI4190" s="47"/>
      <c r="AJ4190" s="47"/>
    </row>
    <row r="4191" spans="1:36">
      <c r="A4191" s="374" t="s">
        <v>6170</v>
      </c>
      <c r="B4191" s="374">
        <v>1</v>
      </c>
      <c r="C4191" s="374" t="s">
        <v>300</v>
      </c>
      <c r="D4191" s="375" t="str">
        <f t="shared" ref="D4191:D4217" si="935">CONCATENATE(A4191,B4191)</f>
        <v>The Range Estate1</v>
      </c>
      <c r="E4191" s="375" t="s">
        <v>6171</v>
      </c>
      <c r="F4191" s="375"/>
      <c r="G4191" s="375"/>
      <c r="H4191" s="375"/>
      <c r="I4191" s="63"/>
      <c r="J4191" s="47">
        <f t="shared" ref="J4191:J4201" si="936">J$7</f>
        <v>3740</v>
      </c>
      <c r="K4191" s="46" t="s">
        <v>10735</v>
      </c>
      <c r="L4191" s="47"/>
      <c r="M4191" s="47"/>
      <c r="N4191" s="47"/>
      <c r="O4191" s="47"/>
      <c r="P4191" s="47"/>
      <c r="Q4191" s="47">
        <f>Q$2</f>
        <v>0</v>
      </c>
      <c r="R4191" s="47"/>
      <c r="S4191" s="47"/>
      <c r="T4191" s="47"/>
      <c r="U4191" s="47"/>
      <c r="V4191" s="47"/>
      <c r="W4191" s="47"/>
      <c r="X4191" s="47"/>
      <c r="Y4191" s="47"/>
      <c r="Z4191" s="47">
        <f t="shared" si="932"/>
        <v>4620</v>
      </c>
      <c r="AA4191" s="47"/>
      <c r="AB4191" s="47"/>
      <c r="AC4191" s="47"/>
      <c r="AD4191" s="47"/>
      <c r="AE4191" s="47"/>
      <c r="AF4191" s="47"/>
      <c r="AG4191" s="47"/>
      <c r="AH4191" s="47">
        <f>IFERROR(_xlfn.XLOOKUP(Table6[[#This Row],[Suburb]],Table5[Travel Surcharge],Table5[$$]),"")</f>
        <v>12000</v>
      </c>
      <c r="AI4191" s="47"/>
      <c r="AJ4191" s="47"/>
    </row>
    <row r="4192" spans="1:36">
      <c r="A4192" s="374" t="s">
        <v>6170</v>
      </c>
      <c r="B4192" s="374">
        <v>2</v>
      </c>
      <c r="C4192" s="374" t="s">
        <v>300</v>
      </c>
      <c r="D4192" s="375" t="str">
        <f t="shared" si="935"/>
        <v>The Range Estate2</v>
      </c>
      <c r="E4192" s="375" t="s">
        <v>6172</v>
      </c>
      <c r="F4192" s="375"/>
      <c r="G4192" s="375"/>
      <c r="H4192" s="375"/>
      <c r="I4192" s="63"/>
      <c r="J4192" s="47">
        <f t="shared" si="936"/>
        <v>3740</v>
      </c>
      <c r="K4192" s="46" t="s">
        <v>10735</v>
      </c>
      <c r="L4192" s="47"/>
      <c r="M4192" s="47"/>
      <c r="N4192" s="47"/>
      <c r="O4192" s="47"/>
      <c r="P4192" s="47"/>
      <c r="Q4192" s="47">
        <f>Q$2</f>
        <v>0</v>
      </c>
      <c r="R4192" s="47"/>
      <c r="S4192" s="47"/>
      <c r="T4192" s="47"/>
      <c r="U4192" s="47"/>
      <c r="V4192" s="47"/>
      <c r="W4192" s="47"/>
      <c r="X4192" s="47"/>
      <c r="Y4192" s="47"/>
      <c r="Z4192" s="47">
        <f t="shared" si="932"/>
        <v>4620</v>
      </c>
      <c r="AA4192" s="47"/>
      <c r="AB4192" s="47"/>
      <c r="AC4192" s="47"/>
      <c r="AD4192" s="47"/>
      <c r="AE4192" s="47"/>
      <c r="AF4192" s="47"/>
      <c r="AG4192" s="47"/>
      <c r="AH4192" s="47">
        <f>IFERROR(_xlfn.XLOOKUP(Table6[[#This Row],[Suburb]],Table5[Travel Surcharge],Table5[$$]),"")</f>
        <v>12000</v>
      </c>
      <c r="AI4192" s="47"/>
      <c r="AJ4192" s="47"/>
    </row>
    <row r="4193" spans="1:36">
      <c r="A4193" s="374" t="s">
        <v>6170</v>
      </c>
      <c r="B4193" s="374">
        <v>4</v>
      </c>
      <c r="C4193" s="374" t="s">
        <v>300</v>
      </c>
      <c r="D4193" s="375" t="str">
        <f t="shared" si="935"/>
        <v>The Range Estate4</v>
      </c>
      <c r="E4193" s="375" t="s">
        <v>6173</v>
      </c>
      <c r="F4193" s="375"/>
      <c r="G4193" s="375"/>
      <c r="H4193" s="375"/>
      <c r="I4193" s="63"/>
      <c r="J4193" s="47">
        <f t="shared" si="936"/>
        <v>3740</v>
      </c>
      <c r="K4193" s="46" t="s">
        <v>10735</v>
      </c>
      <c r="L4193" s="47"/>
      <c r="M4193" s="47"/>
      <c r="N4193" s="47"/>
      <c r="O4193" s="47"/>
      <c r="P4193" s="47"/>
      <c r="Q4193" s="47">
        <f>Q$2</f>
        <v>0</v>
      </c>
      <c r="R4193" s="47"/>
      <c r="S4193" s="47"/>
      <c r="T4193" s="47"/>
      <c r="U4193" s="47"/>
      <c r="V4193" s="47"/>
      <c r="W4193" s="47"/>
      <c r="X4193" s="47"/>
      <c r="Y4193" s="47"/>
      <c r="Z4193" s="47">
        <f t="shared" si="932"/>
        <v>4620</v>
      </c>
      <c r="AA4193" s="47"/>
      <c r="AB4193" s="47"/>
      <c r="AC4193" s="47"/>
      <c r="AD4193" s="47"/>
      <c r="AE4193" s="47"/>
      <c r="AF4193" s="47"/>
      <c r="AG4193" s="47"/>
      <c r="AH4193" s="47">
        <f>IFERROR(_xlfn.XLOOKUP(Table6[[#This Row],[Suburb]],Table5[Travel Surcharge],Table5[$$]),"")</f>
        <v>12000</v>
      </c>
      <c r="AI4193" s="47"/>
      <c r="AJ4193" s="47"/>
    </row>
    <row r="4194" spans="1:36">
      <c r="A4194" s="374" t="s">
        <v>6170</v>
      </c>
      <c r="B4194" s="374">
        <v>5</v>
      </c>
      <c r="C4194" s="374" t="s">
        <v>300</v>
      </c>
      <c r="D4194" s="375" t="str">
        <f t="shared" si="935"/>
        <v>The Range Estate5</v>
      </c>
      <c r="E4194" s="375" t="s">
        <v>6174</v>
      </c>
      <c r="F4194" s="375"/>
      <c r="G4194" s="375"/>
      <c r="H4194" s="375"/>
      <c r="I4194" s="63"/>
      <c r="J4194" s="47">
        <f t="shared" si="936"/>
        <v>3740</v>
      </c>
      <c r="K4194" s="46" t="s">
        <v>10735</v>
      </c>
      <c r="L4194" s="47"/>
      <c r="M4194" s="47"/>
      <c r="N4194" s="47"/>
      <c r="O4194" s="47"/>
      <c r="P4194" s="47"/>
      <c r="Q4194" s="47">
        <f>Q$2</f>
        <v>0</v>
      </c>
      <c r="R4194" s="47"/>
      <c r="S4194" s="47"/>
      <c r="T4194" s="47"/>
      <c r="U4194" s="47"/>
      <c r="V4194" s="47"/>
      <c r="W4194" s="47"/>
      <c r="X4194" s="47"/>
      <c r="Y4194" s="47"/>
      <c r="Z4194" s="47">
        <f t="shared" si="932"/>
        <v>4620</v>
      </c>
      <c r="AA4194" s="47"/>
      <c r="AB4194" s="47"/>
      <c r="AC4194" s="47"/>
      <c r="AD4194" s="47"/>
      <c r="AE4194" s="47"/>
      <c r="AF4194" s="47"/>
      <c r="AG4194" s="47"/>
      <c r="AH4194" s="47">
        <f>IFERROR(_xlfn.XLOOKUP(Table6[[#This Row],[Suburb]],Table5[Travel Surcharge],Table5[$$]),"")</f>
        <v>12000</v>
      </c>
      <c r="AI4194" s="47"/>
      <c r="AJ4194" s="47"/>
    </row>
    <row r="4195" spans="1:36">
      <c r="A4195" s="374" t="s">
        <v>6175</v>
      </c>
      <c r="B4195" s="374">
        <v>1</v>
      </c>
      <c r="C4195" s="374" t="s">
        <v>281</v>
      </c>
      <c r="D4195" s="375" t="str">
        <f t="shared" si="935"/>
        <v>The Reserve Estate - Armstrong Creek1</v>
      </c>
      <c r="E4195" s="375" t="s">
        <v>6176</v>
      </c>
      <c r="F4195" s="375" t="s">
        <v>2664</v>
      </c>
      <c r="G4195" s="375" t="s">
        <v>2814</v>
      </c>
      <c r="H4195" s="375" t="s">
        <v>6177</v>
      </c>
      <c r="I4195" s="63" t="s">
        <v>6178</v>
      </c>
      <c r="J4195" s="47">
        <f t="shared" si="936"/>
        <v>3740</v>
      </c>
      <c r="K4195" s="46" t="s">
        <v>10735</v>
      </c>
      <c r="L4195" s="47">
        <f t="shared" ref="L4195:L4201" si="937">L$7</f>
        <v>1210</v>
      </c>
      <c r="M4195" s="47" t="s">
        <v>6179</v>
      </c>
      <c r="N4195" s="47" t="s">
        <v>6180</v>
      </c>
      <c r="O4195" s="47" t="s">
        <v>6181</v>
      </c>
      <c r="P4195" s="47" t="s">
        <v>10129</v>
      </c>
      <c r="Q4195" s="47"/>
      <c r="R4195" s="47"/>
      <c r="S4195" s="47"/>
      <c r="T4195" s="47"/>
      <c r="U4195" s="47">
        <f t="shared" ref="U4195:U4201" si="938">U$2</f>
        <v>430</v>
      </c>
      <c r="V4195" s="47"/>
      <c r="W4195" s="47"/>
      <c r="X4195" s="47"/>
      <c r="Y4195" s="47"/>
      <c r="Z4195" s="47">
        <f t="shared" si="932"/>
        <v>4620</v>
      </c>
      <c r="AA4195" s="47"/>
      <c r="AB4195" s="47"/>
      <c r="AC4195" s="47"/>
      <c r="AD4195" s="47"/>
      <c r="AE4195" s="47"/>
      <c r="AF4195" s="47">
        <f t="shared" ref="AF4195:AF4201" si="939">AF$7</f>
        <v>1485</v>
      </c>
      <c r="AG4195" s="47"/>
      <c r="AH4195" s="47">
        <f>IFERROR(_xlfn.XLOOKUP(Table6[[#This Row],[Suburb]],Table5[Travel Surcharge],Table5[$$]),"")</f>
        <v>1500</v>
      </c>
      <c r="AI4195" s="47"/>
      <c r="AJ4195" s="47"/>
    </row>
    <row r="4196" spans="1:36">
      <c r="A4196" s="374" t="s">
        <v>6175</v>
      </c>
      <c r="B4196" s="374">
        <v>2</v>
      </c>
      <c r="C4196" s="374" t="s">
        <v>281</v>
      </c>
      <c r="D4196" s="375" t="str">
        <f t="shared" si="935"/>
        <v>The Reserve Estate - Armstrong Creek2</v>
      </c>
      <c r="E4196" s="375" t="s">
        <v>6182</v>
      </c>
      <c r="F4196" s="375" t="s">
        <v>2664</v>
      </c>
      <c r="G4196" s="375" t="s">
        <v>2814</v>
      </c>
      <c r="H4196" s="375" t="s">
        <v>6177</v>
      </c>
      <c r="I4196" s="63" t="s">
        <v>6178</v>
      </c>
      <c r="J4196" s="47">
        <f t="shared" si="936"/>
        <v>3740</v>
      </c>
      <c r="K4196" s="46" t="s">
        <v>10735</v>
      </c>
      <c r="L4196" s="47">
        <f t="shared" si="937"/>
        <v>1210</v>
      </c>
      <c r="M4196" s="47" t="s">
        <v>6179</v>
      </c>
      <c r="N4196" s="47" t="s">
        <v>6180</v>
      </c>
      <c r="O4196" s="47" t="s">
        <v>6181</v>
      </c>
      <c r="P4196" s="47" t="s">
        <v>10129</v>
      </c>
      <c r="Q4196" s="47"/>
      <c r="R4196" s="47"/>
      <c r="S4196" s="47"/>
      <c r="T4196" s="47"/>
      <c r="U4196" s="47">
        <f t="shared" si="938"/>
        <v>430</v>
      </c>
      <c r="V4196" s="47"/>
      <c r="W4196" s="47"/>
      <c r="X4196" s="47"/>
      <c r="Y4196" s="47"/>
      <c r="Z4196" s="47">
        <f t="shared" si="932"/>
        <v>4620</v>
      </c>
      <c r="AA4196" s="47"/>
      <c r="AB4196" s="47"/>
      <c r="AC4196" s="47"/>
      <c r="AD4196" s="47"/>
      <c r="AE4196" s="47"/>
      <c r="AF4196" s="47">
        <f t="shared" si="939"/>
        <v>1485</v>
      </c>
      <c r="AG4196" s="47"/>
      <c r="AH4196" s="47">
        <f>IFERROR(_xlfn.XLOOKUP(Table6[[#This Row],[Suburb]],Table5[Travel Surcharge],Table5[$$]),"")</f>
        <v>1500</v>
      </c>
      <c r="AI4196" s="47"/>
      <c r="AJ4196" s="47"/>
    </row>
    <row r="4197" spans="1:36">
      <c r="A4197" s="374" t="s">
        <v>6175</v>
      </c>
      <c r="B4197" s="374">
        <v>3</v>
      </c>
      <c r="C4197" s="374" t="s">
        <v>281</v>
      </c>
      <c r="D4197" s="375" t="str">
        <f t="shared" si="935"/>
        <v>The Reserve Estate - Armstrong Creek3</v>
      </c>
      <c r="E4197" s="375" t="s">
        <v>6183</v>
      </c>
      <c r="F4197" s="375" t="s">
        <v>2664</v>
      </c>
      <c r="G4197" s="375" t="s">
        <v>2814</v>
      </c>
      <c r="H4197" s="375" t="s">
        <v>6177</v>
      </c>
      <c r="I4197" s="63" t="s">
        <v>6178</v>
      </c>
      <c r="J4197" s="47">
        <f t="shared" si="936"/>
        <v>3740</v>
      </c>
      <c r="K4197" s="46" t="s">
        <v>10735</v>
      </c>
      <c r="L4197" s="47">
        <f t="shared" si="937"/>
        <v>1210</v>
      </c>
      <c r="M4197" s="47" t="s">
        <v>6179</v>
      </c>
      <c r="N4197" s="47" t="s">
        <v>6180</v>
      </c>
      <c r="O4197" s="47" t="s">
        <v>6181</v>
      </c>
      <c r="P4197" s="47" t="s">
        <v>10129</v>
      </c>
      <c r="Q4197" s="47"/>
      <c r="R4197" s="47"/>
      <c r="S4197" s="47"/>
      <c r="T4197" s="47"/>
      <c r="U4197" s="47">
        <f t="shared" si="938"/>
        <v>430</v>
      </c>
      <c r="V4197" s="47"/>
      <c r="W4197" s="47"/>
      <c r="X4197" s="47"/>
      <c r="Y4197" s="47"/>
      <c r="Z4197" s="47">
        <f t="shared" si="932"/>
        <v>4620</v>
      </c>
      <c r="AA4197" s="47"/>
      <c r="AB4197" s="47"/>
      <c r="AC4197" s="47"/>
      <c r="AD4197" s="47"/>
      <c r="AE4197" s="47"/>
      <c r="AF4197" s="47">
        <f t="shared" si="939"/>
        <v>1485</v>
      </c>
      <c r="AG4197" s="47"/>
      <c r="AH4197" s="47">
        <f>IFERROR(_xlfn.XLOOKUP(Table6[[#This Row],[Suburb]],Table5[Travel Surcharge],Table5[$$]),"")</f>
        <v>1500</v>
      </c>
      <c r="AI4197" s="47"/>
      <c r="AJ4197" s="47"/>
    </row>
    <row r="4198" spans="1:36">
      <c r="A4198" s="374" t="s">
        <v>6175</v>
      </c>
      <c r="B4198" s="276" t="s">
        <v>606</v>
      </c>
      <c r="C4198" s="374" t="s">
        <v>281</v>
      </c>
      <c r="D4198" s="375" t="str">
        <f t="shared" si="935"/>
        <v>The Reserve Estate - Armstrong Creek3A</v>
      </c>
      <c r="E4198" s="375" t="s">
        <v>9739</v>
      </c>
      <c r="F4198" s="375" t="s">
        <v>2664</v>
      </c>
      <c r="G4198" s="375" t="s">
        <v>2814</v>
      </c>
      <c r="H4198" s="375" t="s">
        <v>6177</v>
      </c>
      <c r="I4198" s="63" t="s">
        <v>6178</v>
      </c>
      <c r="J4198" s="47">
        <f t="shared" si="936"/>
        <v>3740</v>
      </c>
      <c r="K4198" s="46" t="s">
        <v>10735</v>
      </c>
      <c r="L4198" s="47">
        <f t="shared" si="937"/>
        <v>1210</v>
      </c>
      <c r="M4198" s="47" t="s">
        <v>6179</v>
      </c>
      <c r="N4198" s="47" t="s">
        <v>6180</v>
      </c>
      <c r="O4198" s="47" t="s">
        <v>6181</v>
      </c>
      <c r="P4198" s="47" t="s">
        <v>10129</v>
      </c>
      <c r="Q4198" s="47"/>
      <c r="R4198" s="47"/>
      <c r="S4198" s="47"/>
      <c r="T4198" s="47"/>
      <c r="U4198" s="47">
        <f t="shared" si="938"/>
        <v>430</v>
      </c>
      <c r="V4198" s="47"/>
      <c r="W4198" s="47"/>
      <c r="X4198" s="47"/>
      <c r="Y4198" s="47"/>
      <c r="Z4198" s="47">
        <f t="shared" si="932"/>
        <v>4620</v>
      </c>
      <c r="AA4198" s="47"/>
      <c r="AB4198" s="47"/>
      <c r="AC4198" s="47"/>
      <c r="AD4198" s="47"/>
      <c r="AE4198" s="47"/>
      <c r="AF4198" s="47">
        <f t="shared" si="939"/>
        <v>1485</v>
      </c>
      <c r="AG4198" s="47"/>
      <c r="AH4198" s="47">
        <f>IFERROR(_xlfn.XLOOKUP(Table6[[#This Row],[Suburb]],Table5[Travel Surcharge],Table5[$$]),"")</f>
        <v>1500</v>
      </c>
      <c r="AI4198" s="47"/>
      <c r="AJ4198" s="47"/>
    </row>
    <row r="4199" spans="1:36">
      <c r="A4199" s="374" t="s">
        <v>6175</v>
      </c>
      <c r="B4199" s="374">
        <v>4</v>
      </c>
      <c r="C4199" s="374" t="s">
        <v>281</v>
      </c>
      <c r="D4199" s="375" t="str">
        <f t="shared" si="935"/>
        <v>The Reserve Estate - Armstrong Creek4</v>
      </c>
      <c r="E4199" s="375" t="s">
        <v>9939</v>
      </c>
      <c r="F4199" s="375" t="s">
        <v>2664</v>
      </c>
      <c r="G4199" s="375" t="s">
        <v>2814</v>
      </c>
      <c r="H4199" s="375" t="s">
        <v>6177</v>
      </c>
      <c r="I4199" s="63" t="s">
        <v>6178</v>
      </c>
      <c r="J4199" s="47">
        <v>3740</v>
      </c>
      <c r="K4199" s="46" t="s">
        <v>10735</v>
      </c>
      <c r="L4199" s="47">
        <v>1210</v>
      </c>
      <c r="M4199" s="47" t="s">
        <v>6179</v>
      </c>
      <c r="N4199" s="47" t="s">
        <v>6180</v>
      </c>
      <c r="O4199" s="47" t="s">
        <v>6181</v>
      </c>
      <c r="P4199" s="47" t="s">
        <v>10129</v>
      </c>
      <c r="Q4199" s="47"/>
      <c r="R4199" s="47"/>
      <c r="S4199" s="47"/>
      <c r="T4199" s="47"/>
      <c r="U4199" s="47">
        <v>540</v>
      </c>
      <c r="V4199" s="47" t="s">
        <v>6185</v>
      </c>
      <c r="W4199" s="47"/>
      <c r="X4199" s="47"/>
      <c r="Y4199" s="47"/>
      <c r="Z4199" s="47">
        <v>4620</v>
      </c>
      <c r="AA4199" s="47"/>
      <c r="AB4199" s="47"/>
      <c r="AC4199" s="47"/>
      <c r="AD4199" s="47"/>
      <c r="AE4199" s="47"/>
      <c r="AF4199" s="47">
        <v>1485</v>
      </c>
      <c r="AG4199" s="47"/>
      <c r="AH4199" s="47">
        <f>IFERROR(_xlfn.XLOOKUP(Table6[[#This Row],[Suburb]],Table5[Travel Surcharge],Table5[$$]),"")</f>
        <v>1500</v>
      </c>
      <c r="AI4199" s="47"/>
      <c r="AJ4199" s="47"/>
    </row>
    <row r="4200" spans="1:36">
      <c r="A4200" s="374" t="s">
        <v>6175</v>
      </c>
      <c r="B4200" s="374">
        <v>5</v>
      </c>
      <c r="C4200" s="374" t="s">
        <v>281</v>
      </c>
      <c r="D4200" s="375" t="str">
        <f t="shared" si="935"/>
        <v>The Reserve Estate - Armstrong Creek5</v>
      </c>
      <c r="E4200" s="375" t="s">
        <v>6184</v>
      </c>
      <c r="F4200" s="375" t="s">
        <v>2664</v>
      </c>
      <c r="G4200" s="375" t="s">
        <v>2814</v>
      </c>
      <c r="H4200" s="375" t="s">
        <v>6177</v>
      </c>
      <c r="I4200" s="63" t="s">
        <v>6178</v>
      </c>
      <c r="J4200" s="47">
        <f t="shared" si="936"/>
        <v>3740</v>
      </c>
      <c r="K4200" s="46" t="s">
        <v>10735</v>
      </c>
      <c r="L4200" s="47">
        <f t="shared" si="937"/>
        <v>1210</v>
      </c>
      <c r="M4200" s="47" t="s">
        <v>6179</v>
      </c>
      <c r="N4200" s="47" t="s">
        <v>6180</v>
      </c>
      <c r="O4200" s="47" t="s">
        <v>6181</v>
      </c>
      <c r="P4200" s="47" t="s">
        <v>10129</v>
      </c>
      <c r="Q4200" s="47"/>
      <c r="R4200" s="47"/>
      <c r="S4200" s="47"/>
      <c r="T4200" s="47"/>
      <c r="U4200" s="47">
        <f t="shared" si="938"/>
        <v>430</v>
      </c>
      <c r="V4200" s="47" t="s">
        <v>6185</v>
      </c>
      <c r="W4200" s="47"/>
      <c r="X4200" s="47"/>
      <c r="Y4200" s="47"/>
      <c r="Z4200" s="47">
        <f t="shared" si="932"/>
        <v>4620</v>
      </c>
      <c r="AA4200" s="47"/>
      <c r="AB4200" s="47"/>
      <c r="AC4200" s="47"/>
      <c r="AD4200" s="47"/>
      <c r="AE4200" s="47"/>
      <c r="AF4200" s="47">
        <f t="shared" si="939"/>
        <v>1485</v>
      </c>
      <c r="AG4200" s="47"/>
      <c r="AH4200" s="47">
        <f>IFERROR(_xlfn.XLOOKUP(Table6[[#This Row],[Suburb]],Table5[Travel Surcharge],Table5[$$]),"")</f>
        <v>1500</v>
      </c>
      <c r="AI4200" s="47"/>
      <c r="AJ4200" s="47"/>
    </row>
    <row r="4201" spans="1:36">
      <c r="A4201" s="374" t="s">
        <v>6175</v>
      </c>
      <c r="B4201" s="374">
        <v>6</v>
      </c>
      <c r="C4201" s="374" t="s">
        <v>281</v>
      </c>
      <c r="D4201" s="375" t="str">
        <f t="shared" si="935"/>
        <v>The Reserve Estate - Armstrong Creek6</v>
      </c>
      <c r="E4201" s="375" t="s">
        <v>6186</v>
      </c>
      <c r="F4201" s="375" t="s">
        <v>2664</v>
      </c>
      <c r="G4201" s="375" t="s">
        <v>2814</v>
      </c>
      <c r="H4201" s="375" t="s">
        <v>6177</v>
      </c>
      <c r="I4201" s="63" t="s">
        <v>6178</v>
      </c>
      <c r="J4201" s="47">
        <f t="shared" si="936"/>
        <v>3740</v>
      </c>
      <c r="K4201" s="46" t="s">
        <v>10735</v>
      </c>
      <c r="L4201" s="47">
        <f t="shared" si="937"/>
        <v>1210</v>
      </c>
      <c r="M4201" s="47" t="s">
        <v>6179</v>
      </c>
      <c r="N4201" s="47" t="s">
        <v>6180</v>
      </c>
      <c r="O4201" s="47" t="s">
        <v>6181</v>
      </c>
      <c r="P4201" s="47" t="s">
        <v>10129</v>
      </c>
      <c r="Q4201" s="47"/>
      <c r="R4201" s="47"/>
      <c r="S4201" s="47"/>
      <c r="T4201" s="47"/>
      <c r="U4201" s="47">
        <f t="shared" si="938"/>
        <v>430</v>
      </c>
      <c r="V4201" s="47" t="s">
        <v>6185</v>
      </c>
      <c r="W4201" s="47"/>
      <c r="X4201" s="47"/>
      <c r="Y4201" s="47"/>
      <c r="Z4201" s="47">
        <f t="shared" si="932"/>
        <v>4620</v>
      </c>
      <c r="AA4201" s="47"/>
      <c r="AB4201" s="47"/>
      <c r="AC4201" s="47"/>
      <c r="AD4201" s="47"/>
      <c r="AE4201" s="47"/>
      <c r="AF4201" s="47">
        <f t="shared" si="939"/>
        <v>1485</v>
      </c>
      <c r="AG4201" s="47"/>
      <c r="AH4201" s="47">
        <f>IFERROR(_xlfn.XLOOKUP(Table6[[#This Row],[Suburb]],Table5[Travel Surcharge],Table5[$$]),"")</f>
        <v>1500</v>
      </c>
      <c r="AI4201" s="47"/>
      <c r="AJ4201" s="47"/>
    </row>
    <row r="4202" spans="1:36">
      <c r="A4202" s="374" t="s">
        <v>6175</v>
      </c>
      <c r="B4202" s="374">
        <v>7</v>
      </c>
      <c r="C4202" s="374" t="s">
        <v>281</v>
      </c>
      <c r="D4202" s="375" t="str">
        <f t="shared" si="935"/>
        <v>The Reserve Estate - Armstrong Creek7</v>
      </c>
      <c r="E4202" s="375" t="s">
        <v>10285</v>
      </c>
      <c r="F4202" s="375" t="s">
        <v>2664</v>
      </c>
      <c r="G4202" s="375" t="s">
        <v>2814</v>
      </c>
      <c r="H4202" s="375" t="s">
        <v>6177</v>
      </c>
      <c r="I4202" s="63" t="s">
        <v>6178</v>
      </c>
      <c r="J4202" s="47">
        <v>3740</v>
      </c>
      <c r="K4202" s="46" t="s">
        <v>10735</v>
      </c>
      <c r="L4202" s="47">
        <v>1210</v>
      </c>
      <c r="M4202" s="47" t="s">
        <v>6179</v>
      </c>
      <c r="N4202" s="47" t="s">
        <v>6180</v>
      </c>
      <c r="O4202" s="47" t="s">
        <v>6181</v>
      </c>
      <c r="P4202" s="47" t="s">
        <v>10129</v>
      </c>
      <c r="Q4202" s="47"/>
      <c r="R4202" s="47"/>
      <c r="S4202" s="47"/>
      <c r="T4202" s="47"/>
      <c r="U4202" s="47">
        <v>540</v>
      </c>
      <c r="V4202" s="47" t="s">
        <v>6185</v>
      </c>
      <c r="W4202" s="47"/>
      <c r="X4202" s="47"/>
      <c r="Y4202" s="47"/>
      <c r="Z4202" s="47">
        <v>4620</v>
      </c>
      <c r="AA4202" s="47"/>
      <c r="AB4202" s="47"/>
      <c r="AC4202" s="47"/>
      <c r="AD4202" s="47"/>
      <c r="AE4202" s="47"/>
      <c r="AF4202" s="47">
        <v>1485</v>
      </c>
      <c r="AG4202" s="47"/>
      <c r="AH4202" s="47">
        <v>1500</v>
      </c>
      <c r="AI4202" s="47"/>
      <c r="AJ4202" s="47"/>
    </row>
    <row r="4203" spans="1:36">
      <c r="A4203" s="374" t="s">
        <v>6175</v>
      </c>
      <c r="B4203" s="374">
        <v>8</v>
      </c>
      <c r="C4203" s="374" t="s">
        <v>281</v>
      </c>
      <c r="D4203" s="375" t="str">
        <f t="shared" si="935"/>
        <v>The Reserve Estate - Armstrong Creek8</v>
      </c>
      <c r="E4203" s="375" t="s">
        <v>10301</v>
      </c>
      <c r="F4203" s="375" t="s">
        <v>2664</v>
      </c>
      <c r="G4203" s="375" t="s">
        <v>2814</v>
      </c>
      <c r="H4203" s="375" t="s">
        <v>6177</v>
      </c>
      <c r="I4203" s="63" t="s">
        <v>6178</v>
      </c>
      <c r="J4203" s="47">
        <v>3740</v>
      </c>
      <c r="K4203" s="46" t="s">
        <v>10735</v>
      </c>
      <c r="L4203" s="47">
        <v>1210</v>
      </c>
      <c r="M4203" s="47" t="s">
        <v>6179</v>
      </c>
      <c r="N4203" s="47" t="s">
        <v>6180</v>
      </c>
      <c r="O4203" s="47" t="s">
        <v>6181</v>
      </c>
      <c r="P4203" s="47" t="s">
        <v>10129</v>
      </c>
      <c r="Q4203" s="47"/>
      <c r="R4203" s="47"/>
      <c r="S4203" s="47"/>
      <c r="T4203" s="47"/>
      <c r="U4203" s="47">
        <v>540</v>
      </c>
      <c r="V4203" s="47" t="s">
        <v>6185</v>
      </c>
      <c r="W4203" s="47"/>
      <c r="X4203" s="47"/>
      <c r="Y4203" s="47"/>
      <c r="Z4203" s="47">
        <v>4620</v>
      </c>
      <c r="AA4203" s="47"/>
      <c r="AB4203" s="47"/>
      <c r="AC4203" s="47"/>
      <c r="AD4203" s="47"/>
      <c r="AE4203" s="47"/>
      <c r="AF4203" s="47">
        <v>1485</v>
      </c>
      <c r="AG4203" s="47"/>
      <c r="AH4203" s="47">
        <v>1500</v>
      </c>
      <c r="AI4203" s="47"/>
      <c r="AJ4203" s="47"/>
    </row>
    <row r="4204" spans="1:36">
      <c r="A4204" s="374" t="s">
        <v>6187</v>
      </c>
      <c r="B4204" s="374">
        <v>32</v>
      </c>
      <c r="C4204" s="374" t="s">
        <v>502</v>
      </c>
      <c r="D4204" s="375" t="str">
        <f t="shared" si="935"/>
        <v>The Reserve Estate - Tarneit32</v>
      </c>
      <c r="E4204" s="375" t="s">
        <v>6188</v>
      </c>
      <c r="F4204" s="375" t="s">
        <v>2664</v>
      </c>
      <c r="G4204" s="375" t="s">
        <v>6189</v>
      </c>
      <c r="H4204" s="375" t="s">
        <v>6190</v>
      </c>
      <c r="I4204" s="63"/>
      <c r="J4204" s="47" t="s">
        <v>3018</v>
      </c>
      <c r="K4204" s="46" t="s">
        <v>10735</v>
      </c>
      <c r="L4204" s="47"/>
      <c r="M4204" s="47"/>
      <c r="N4204" s="47" t="s">
        <v>6191</v>
      </c>
      <c r="O4204" s="47"/>
      <c r="P4204" s="47"/>
      <c r="Q4204" s="47"/>
      <c r="R4204" s="47"/>
      <c r="S4204" s="47" t="s">
        <v>463</v>
      </c>
      <c r="T4204" s="47"/>
      <c r="U4204" s="47"/>
      <c r="V4204" s="47"/>
      <c r="W4204" s="47"/>
      <c r="X4204" s="47"/>
      <c r="Y4204" s="47"/>
      <c r="Z4204" s="47">
        <f t="shared" si="932"/>
        <v>4620</v>
      </c>
      <c r="AA4204" s="47"/>
      <c r="AB4204" s="47"/>
      <c r="AC4204" s="47"/>
      <c r="AD4204" s="47"/>
      <c r="AE4204" s="47"/>
      <c r="AF4204" s="47"/>
      <c r="AG4204" s="47"/>
      <c r="AH4204" s="47" t="str">
        <f>IFERROR(_xlfn.XLOOKUP(Table6[[#This Row],[Suburb]],Table5[Travel Surcharge],Table5[$$]),"")</f>
        <v/>
      </c>
      <c r="AI4204" s="47"/>
      <c r="AJ4204" s="47"/>
    </row>
    <row r="4205" spans="1:36">
      <c r="A4205" s="374" t="s">
        <v>10283</v>
      </c>
      <c r="B4205" s="374">
        <v>1</v>
      </c>
      <c r="C4205" s="374" t="s">
        <v>289</v>
      </c>
      <c r="D4205" s="375" t="str">
        <f>CONCATENATE(A4205,B4205)</f>
        <v>The Reserve - Drouin1</v>
      </c>
      <c r="E4205" s="375" t="s">
        <v>10284</v>
      </c>
      <c r="F4205" s="375"/>
      <c r="G4205" s="375"/>
      <c r="H4205" s="375"/>
      <c r="I4205" s="63"/>
      <c r="J4205" s="47"/>
      <c r="K4205" s="46" t="s">
        <v>10735</v>
      </c>
      <c r="L4205" s="47"/>
      <c r="M4205" s="47"/>
      <c r="N4205" s="47"/>
      <c r="O4205" s="47"/>
      <c r="P4205" s="47"/>
      <c r="Q4205" s="47">
        <v>0</v>
      </c>
      <c r="R4205" s="47"/>
      <c r="S4205" s="47"/>
      <c r="T4205" s="47"/>
      <c r="U4205" s="47"/>
      <c r="V4205" s="47"/>
      <c r="W4205" s="47"/>
      <c r="X4205" s="47"/>
      <c r="Y4205" s="47"/>
      <c r="Z4205" s="47"/>
      <c r="AA4205" s="47"/>
      <c r="AB4205" s="47"/>
      <c r="AC4205" s="47"/>
      <c r="AD4205" s="47"/>
      <c r="AE4205" s="47"/>
      <c r="AF4205" s="47"/>
      <c r="AG4205" s="47"/>
      <c r="AH4205" s="47">
        <v>7000</v>
      </c>
      <c r="AI4205" s="47"/>
      <c r="AJ4205" s="47"/>
    </row>
    <row r="4206" spans="1:36">
      <c r="A4206" s="157" t="s">
        <v>6192</v>
      </c>
      <c r="B4206" s="157">
        <v>1</v>
      </c>
      <c r="C4206" s="157" t="s">
        <v>675</v>
      </c>
      <c r="D4206" s="157" t="str">
        <f t="shared" si="935"/>
        <v>The Rise Estate1</v>
      </c>
      <c r="E4206" s="157" t="s">
        <v>6193</v>
      </c>
      <c r="F4206" s="157"/>
      <c r="G4206" s="157"/>
      <c r="H4206" s="157"/>
      <c r="I4206" s="158"/>
      <c r="J4206" s="47">
        <f>J$7</f>
        <v>3740</v>
      </c>
      <c r="K4206" s="46" t="s">
        <v>10735</v>
      </c>
      <c r="L4206" s="47">
        <f t="shared" ref="L4206:L4213" si="940">L$7</f>
        <v>1210</v>
      </c>
      <c r="M4206" s="47" t="s">
        <v>6194</v>
      </c>
      <c r="N4206" s="47" t="s">
        <v>10378</v>
      </c>
      <c r="O4206" s="47" t="s">
        <v>10379</v>
      </c>
      <c r="P4206" s="47" t="s">
        <v>10380</v>
      </c>
      <c r="Q4206" s="47" t="s">
        <v>7945</v>
      </c>
      <c r="R4206" s="47">
        <f t="shared" ref="R4206:R4213" si="941">R$2</f>
        <v>540</v>
      </c>
      <c r="S4206" s="47" t="s">
        <v>6195</v>
      </c>
      <c r="T4206" s="47" t="s">
        <v>1705</v>
      </c>
      <c r="U4206" s="47">
        <f>U$2</f>
        <v>430</v>
      </c>
      <c r="V4206" s="47" t="s">
        <v>6196</v>
      </c>
      <c r="W4206" s="47" t="s">
        <v>6197</v>
      </c>
      <c r="X4206" s="47" t="s">
        <v>10389</v>
      </c>
      <c r="Y4206" s="47"/>
      <c r="Z4206" s="47">
        <f t="shared" si="932"/>
        <v>4620</v>
      </c>
      <c r="AA4206" s="47"/>
      <c r="AB4206" s="47"/>
      <c r="AC4206" s="47"/>
      <c r="AD4206" s="47"/>
      <c r="AE4206" s="47"/>
      <c r="AF4206" s="47"/>
      <c r="AG4206" s="47"/>
      <c r="AH4206" s="47" t="str">
        <f>IFERROR(_xlfn.XLOOKUP(Table6[[#This Row],[Suburb]],Table5[Travel Surcharge],Table5[$$]),"")</f>
        <v/>
      </c>
      <c r="AI4206" s="47"/>
      <c r="AJ4206" s="47"/>
    </row>
    <row r="4207" spans="1:36">
      <c r="A4207" s="157" t="s">
        <v>6192</v>
      </c>
      <c r="B4207" s="157">
        <v>2</v>
      </c>
      <c r="C4207" s="157" t="s">
        <v>675</v>
      </c>
      <c r="D4207" s="157" t="str">
        <f t="shared" si="935"/>
        <v>The Rise Estate2</v>
      </c>
      <c r="E4207" s="157" t="s">
        <v>7453</v>
      </c>
      <c r="F4207" s="157"/>
      <c r="G4207" s="157"/>
      <c r="H4207" s="157"/>
      <c r="I4207" s="158"/>
      <c r="J4207" s="47">
        <f>J$7</f>
        <v>3740</v>
      </c>
      <c r="K4207" s="46" t="s">
        <v>7938</v>
      </c>
      <c r="L4207" s="47">
        <f t="shared" si="940"/>
        <v>1210</v>
      </c>
      <c r="M4207" s="47" t="s">
        <v>6194</v>
      </c>
      <c r="N4207" s="47" t="s">
        <v>10381</v>
      </c>
      <c r="O4207" s="47" t="s">
        <v>10382</v>
      </c>
      <c r="P4207" s="47" t="s">
        <v>10380</v>
      </c>
      <c r="Q4207" s="47" t="s">
        <v>7945</v>
      </c>
      <c r="R4207" s="47">
        <f t="shared" si="941"/>
        <v>540</v>
      </c>
      <c r="S4207" s="47" t="s">
        <v>6195</v>
      </c>
      <c r="T4207" s="47" t="s">
        <v>1705</v>
      </c>
      <c r="U4207" s="47">
        <f>U$2</f>
        <v>430</v>
      </c>
      <c r="V4207" s="47" t="s">
        <v>6196</v>
      </c>
      <c r="W4207" s="47" t="s">
        <v>6197</v>
      </c>
      <c r="X4207" s="47" t="s">
        <v>10390</v>
      </c>
      <c r="Y4207" s="47"/>
      <c r="Z4207" s="47">
        <f t="shared" si="932"/>
        <v>4620</v>
      </c>
      <c r="AA4207" s="47"/>
      <c r="AB4207" s="47"/>
      <c r="AC4207" s="47"/>
      <c r="AD4207" s="47"/>
      <c r="AE4207" s="47"/>
      <c r="AF4207" s="47"/>
      <c r="AG4207" s="47"/>
      <c r="AH4207" s="47" t="str">
        <f>IFERROR(_xlfn.XLOOKUP(Table6[[#This Row],[Suburb]],Table5[Travel Surcharge],Table5[$$]),"")</f>
        <v/>
      </c>
      <c r="AI4207" s="47"/>
      <c r="AJ4207" s="47"/>
    </row>
    <row r="4208" spans="1:36">
      <c r="A4208" s="157" t="s">
        <v>6192</v>
      </c>
      <c r="B4208" s="157">
        <v>3</v>
      </c>
      <c r="C4208" s="157" t="s">
        <v>675</v>
      </c>
      <c r="D4208" s="157" t="str">
        <f t="shared" si="935"/>
        <v>The Rise Estate3</v>
      </c>
      <c r="E4208" s="157" t="s">
        <v>7511</v>
      </c>
      <c r="F4208" s="157"/>
      <c r="G4208" s="157"/>
      <c r="H4208" s="157"/>
      <c r="I4208" s="158"/>
      <c r="J4208" s="47">
        <f>J$7</f>
        <v>3740</v>
      </c>
      <c r="K4208" s="46" t="s">
        <v>7938</v>
      </c>
      <c r="L4208" s="47">
        <f t="shared" si="940"/>
        <v>1210</v>
      </c>
      <c r="M4208" s="47" t="s">
        <v>6194</v>
      </c>
      <c r="N4208" s="47" t="s">
        <v>10383</v>
      </c>
      <c r="O4208" s="47" t="s">
        <v>10384</v>
      </c>
      <c r="P4208" s="47" t="s">
        <v>10380</v>
      </c>
      <c r="Q4208" s="47" t="s">
        <v>7945</v>
      </c>
      <c r="R4208" s="47">
        <f t="shared" si="941"/>
        <v>540</v>
      </c>
      <c r="S4208" s="47" t="s">
        <v>6195</v>
      </c>
      <c r="T4208" s="47" t="s">
        <v>1705</v>
      </c>
      <c r="U4208" s="47">
        <f>U$2</f>
        <v>430</v>
      </c>
      <c r="V4208" s="47" t="s">
        <v>6196</v>
      </c>
      <c r="W4208" s="47" t="s">
        <v>6197</v>
      </c>
      <c r="X4208" s="47" t="s">
        <v>10391</v>
      </c>
      <c r="Y4208" s="47"/>
      <c r="Z4208" s="47">
        <f t="shared" si="932"/>
        <v>4620</v>
      </c>
      <c r="AA4208" s="47"/>
      <c r="AB4208" s="47"/>
      <c r="AC4208" s="47"/>
      <c r="AD4208" s="47"/>
      <c r="AE4208" s="47"/>
      <c r="AF4208" s="47"/>
      <c r="AG4208" s="47"/>
      <c r="AH4208" s="47" t="str">
        <f>IFERROR(_xlfn.XLOOKUP(Table6[[#This Row],[Suburb]],Table5[Travel Surcharge],Table5[$$]),"")</f>
        <v/>
      </c>
      <c r="AI4208" s="47"/>
      <c r="AJ4208" s="47"/>
    </row>
    <row r="4209" spans="1:36">
      <c r="A4209" s="157" t="s">
        <v>6192</v>
      </c>
      <c r="B4209" s="157">
        <v>4</v>
      </c>
      <c r="C4209" s="157" t="s">
        <v>675</v>
      </c>
      <c r="D4209" s="157" t="str">
        <f t="shared" si="935"/>
        <v>The Rise Estate4</v>
      </c>
      <c r="E4209" s="157" t="s">
        <v>7627</v>
      </c>
      <c r="F4209" s="157"/>
      <c r="G4209" s="157"/>
      <c r="H4209" s="157"/>
      <c r="I4209" s="158"/>
      <c r="J4209" s="47">
        <f>J$7</f>
        <v>3740</v>
      </c>
      <c r="K4209" s="46" t="s">
        <v>7938</v>
      </c>
      <c r="L4209" s="47">
        <f t="shared" si="940"/>
        <v>1210</v>
      </c>
      <c r="M4209" s="47" t="s">
        <v>6194</v>
      </c>
      <c r="N4209" s="47" t="s">
        <v>10385</v>
      </c>
      <c r="O4209" s="47" t="s">
        <v>10386</v>
      </c>
      <c r="P4209" s="47" t="s">
        <v>10380</v>
      </c>
      <c r="Q4209" s="47" t="s">
        <v>7945</v>
      </c>
      <c r="R4209" s="47">
        <f t="shared" si="941"/>
        <v>540</v>
      </c>
      <c r="S4209" s="47" t="s">
        <v>6195</v>
      </c>
      <c r="T4209" s="47" t="s">
        <v>1705</v>
      </c>
      <c r="U4209" s="47">
        <f>U$2</f>
        <v>430</v>
      </c>
      <c r="V4209" s="47" t="s">
        <v>6196</v>
      </c>
      <c r="W4209" s="47" t="s">
        <v>6197</v>
      </c>
      <c r="X4209" s="47" t="s">
        <v>10392</v>
      </c>
      <c r="Y4209" s="47"/>
      <c r="Z4209" s="47">
        <f t="shared" si="932"/>
        <v>4620</v>
      </c>
      <c r="AA4209" s="47"/>
      <c r="AB4209" s="47"/>
      <c r="AC4209" s="47"/>
      <c r="AD4209" s="47"/>
      <c r="AE4209" s="47"/>
      <c r="AF4209" s="47"/>
      <c r="AG4209" s="47"/>
      <c r="AH4209" s="47" t="str">
        <f>IFERROR(_xlfn.XLOOKUP(Table6[[#This Row],[Suburb]],Table5[Travel Surcharge],Table5[$$]),"")</f>
        <v/>
      </c>
      <c r="AI4209" s="47"/>
      <c r="AJ4209" s="47"/>
    </row>
    <row r="4210" spans="1:36">
      <c r="A4210" s="157" t="s">
        <v>6192</v>
      </c>
      <c r="B4210" s="157">
        <v>5</v>
      </c>
      <c r="C4210" s="157" t="s">
        <v>8300</v>
      </c>
      <c r="D4210" s="157" t="str">
        <f t="shared" si="935"/>
        <v>The Rise Estate5</v>
      </c>
      <c r="E4210" s="157" t="s">
        <v>8302</v>
      </c>
      <c r="F4210" s="157"/>
      <c r="G4210" s="157"/>
      <c r="H4210" s="157"/>
      <c r="I4210" s="158"/>
      <c r="J4210" s="47">
        <f>J$7</f>
        <v>3740</v>
      </c>
      <c r="K4210" s="46" t="s">
        <v>7938</v>
      </c>
      <c r="L4210" s="47">
        <f t="shared" si="940"/>
        <v>1210</v>
      </c>
      <c r="M4210" s="47" t="s">
        <v>6194</v>
      </c>
      <c r="N4210" s="47" t="s">
        <v>10387</v>
      </c>
      <c r="O4210" s="47" t="s">
        <v>10388</v>
      </c>
      <c r="P4210" s="47" t="s">
        <v>10380</v>
      </c>
      <c r="Q4210" s="47" t="s">
        <v>7945</v>
      </c>
      <c r="R4210" s="47">
        <f t="shared" si="941"/>
        <v>540</v>
      </c>
      <c r="S4210" s="47" t="s">
        <v>6195</v>
      </c>
      <c r="T4210" s="47" t="s">
        <v>8301</v>
      </c>
      <c r="U4210" s="47">
        <f>U$2</f>
        <v>430</v>
      </c>
      <c r="V4210" s="47" t="s">
        <v>6196</v>
      </c>
      <c r="W4210" s="47" t="s">
        <v>6197</v>
      </c>
      <c r="X4210" s="47" t="s">
        <v>10393</v>
      </c>
      <c r="Y4210" s="47"/>
      <c r="Z4210" s="47">
        <f t="shared" si="932"/>
        <v>4620</v>
      </c>
      <c r="AA4210" s="47"/>
      <c r="AB4210" s="47"/>
      <c r="AC4210" s="47"/>
      <c r="AD4210" s="47"/>
      <c r="AE4210" s="47"/>
      <c r="AF4210" s="47"/>
      <c r="AG4210" s="47"/>
      <c r="AH4210" s="47" t="str">
        <f>IFERROR(_xlfn.XLOOKUP(Table6[[#This Row],[Suburb]],Table5[Travel Surcharge],Table5[$$]),"")</f>
        <v/>
      </c>
      <c r="AI4210" s="47"/>
      <c r="AJ4210" s="47"/>
    </row>
    <row r="4211" spans="1:36">
      <c r="A4211" s="374" t="s">
        <v>10079</v>
      </c>
      <c r="B4211" s="374">
        <v>1</v>
      </c>
      <c r="C4211" s="374" t="s">
        <v>302</v>
      </c>
      <c r="D4211" s="375" t="str">
        <f>CONCATENATE(A4211,B4211)</f>
        <v>The Rise Traralgon1</v>
      </c>
      <c r="E4211" s="375" t="s">
        <v>10080</v>
      </c>
      <c r="F4211" s="375"/>
      <c r="G4211" s="375"/>
      <c r="H4211" s="375"/>
      <c r="I4211" s="63"/>
      <c r="J4211" s="47" t="s">
        <v>10082</v>
      </c>
      <c r="K4211" s="46" t="s">
        <v>10735</v>
      </c>
      <c r="L4211" s="47"/>
      <c r="M4211" s="47"/>
      <c r="N4211" s="47"/>
      <c r="O4211" s="47"/>
      <c r="P4211" s="47"/>
      <c r="Q4211" s="47"/>
      <c r="R4211" s="47"/>
      <c r="S4211" s="47">
        <f>S$2</f>
        <v>590</v>
      </c>
      <c r="T4211" s="47"/>
      <c r="U4211" s="47">
        <v>540</v>
      </c>
      <c r="V4211" s="47"/>
      <c r="W4211" s="47"/>
      <c r="X4211" s="47"/>
      <c r="Y4211" s="47"/>
      <c r="Z4211" s="47">
        <f>Z$7</f>
        <v>4620</v>
      </c>
      <c r="AA4211" s="47" t="s">
        <v>10081</v>
      </c>
      <c r="AB4211" s="47"/>
      <c r="AC4211" s="47"/>
      <c r="AD4211" s="47"/>
      <c r="AE4211" s="47"/>
      <c r="AF4211" s="47"/>
      <c r="AG4211" s="47"/>
      <c r="AH4211" s="47">
        <v>7000</v>
      </c>
      <c r="AI4211" s="47"/>
      <c r="AJ4211" s="47">
        <v>4400</v>
      </c>
    </row>
    <row r="4212" spans="1:36">
      <c r="A4212" s="157" t="s">
        <v>8211</v>
      </c>
      <c r="B4212" s="157">
        <v>1</v>
      </c>
      <c r="C4212" s="157" t="s">
        <v>8212</v>
      </c>
      <c r="D4212" s="157" t="str">
        <f t="shared" si="935"/>
        <v>The Roads1</v>
      </c>
      <c r="E4212" s="157" t="s">
        <v>8213</v>
      </c>
      <c r="F4212" s="157"/>
      <c r="G4212" s="157"/>
      <c r="H4212" s="157"/>
      <c r="I4212" s="158"/>
      <c r="J4212" s="47"/>
      <c r="K4212" s="46" t="s">
        <v>10735</v>
      </c>
      <c r="L4212" s="47">
        <f t="shared" si="940"/>
        <v>1210</v>
      </c>
      <c r="M4212" s="47" t="s">
        <v>8215</v>
      </c>
      <c r="N4212" s="47" t="s">
        <v>8214</v>
      </c>
      <c r="O4212" s="47"/>
      <c r="P4212" s="47"/>
      <c r="Q4212" s="47"/>
      <c r="R4212" s="47">
        <f t="shared" si="941"/>
        <v>540</v>
      </c>
      <c r="S4212" s="47"/>
      <c r="T4212" s="47"/>
      <c r="U4212" s="47"/>
      <c r="V4212" s="47"/>
      <c r="W4212" s="47">
        <f>$W$7</f>
        <v>5990</v>
      </c>
      <c r="X4212" s="47"/>
      <c r="Y4212" s="47"/>
      <c r="Z4212" s="47">
        <f t="shared" si="932"/>
        <v>4620</v>
      </c>
      <c r="AA4212" s="47"/>
      <c r="AB4212" s="47"/>
      <c r="AC4212" s="47"/>
      <c r="AD4212" s="47"/>
      <c r="AE4212" s="47"/>
      <c r="AF4212" s="47">
        <f t="shared" ref="AF4212:AF4217" si="942">AF$7</f>
        <v>1485</v>
      </c>
      <c r="AG4212" s="47"/>
      <c r="AH4212" s="47">
        <f>IFERROR(_xlfn.XLOOKUP(Table6[[#This Row],[Suburb]],Table5[Travel Surcharge],Table5[$$]),"")</f>
        <v>8000</v>
      </c>
      <c r="AI4212" s="47"/>
      <c r="AJ4212" s="47"/>
    </row>
    <row r="4213" spans="1:36">
      <c r="A4213" s="157" t="s">
        <v>8211</v>
      </c>
      <c r="B4213" s="157">
        <v>2</v>
      </c>
      <c r="C4213" s="157" t="s">
        <v>8212</v>
      </c>
      <c r="D4213" s="157" t="str">
        <f t="shared" si="935"/>
        <v>The Roads2</v>
      </c>
      <c r="E4213" s="157" t="s">
        <v>9636</v>
      </c>
      <c r="F4213" s="157"/>
      <c r="G4213" s="157"/>
      <c r="H4213" s="157"/>
      <c r="I4213" s="158"/>
      <c r="J4213" s="47"/>
      <c r="K4213" s="46" t="s">
        <v>10735</v>
      </c>
      <c r="L4213" s="47">
        <f t="shared" si="940"/>
        <v>1210</v>
      </c>
      <c r="M4213" s="47" t="s">
        <v>8215</v>
      </c>
      <c r="N4213" s="47" t="s">
        <v>8214</v>
      </c>
      <c r="O4213" s="47"/>
      <c r="P4213" s="47"/>
      <c r="Q4213" s="47"/>
      <c r="R4213" s="47">
        <f t="shared" si="941"/>
        <v>540</v>
      </c>
      <c r="S4213" s="47"/>
      <c r="T4213" s="47"/>
      <c r="U4213" s="47"/>
      <c r="V4213" s="47"/>
      <c r="W4213" s="47">
        <f>$W$7</f>
        <v>5990</v>
      </c>
      <c r="X4213" s="47"/>
      <c r="Y4213" s="47"/>
      <c r="Z4213" s="47">
        <f t="shared" si="932"/>
        <v>4620</v>
      </c>
      <c r="AA4213" s="47"/>
      <c r="AB4213" s="47"/>
      <c r="AC4213" s="47"/>
      <c r="AD4213" s="47"/>
      <c r="AE4213" s="47"/>
      <c r="AF4213" s="47">
        <f t="shared" si="942"/>
        <v>1485</v>
      </c>
      <c r="AG4213" s="47"/>
      <c r="AH4213" s="47">
        <f>IFERROR(_xlfn.XLOOKUP(Table6[[#This Row],[Suburb]],Table5[Travel Surcharge],Table5[$$]),"")</f>
        <v>8000</v>
      </c>
      <c r="AI4213" s="47"/>
      <c r="AJ4213" s="47"/>
    </row>
    <row r="4214" spans="1:36">
      <c r="A4214" s="374" t="s">
        <v>6198</v>
      </c>
      <c r="B4214" s="374">
        <v>1</v>
      </c>
      <c r="C4214" s="374" t="s">
        <v>502</v>
      </c>
      <c r="D4214" s="375" t="str">
        <f t="shared" si="935"/>
        <v>The Tarneit Place1</v>
      </c>
      <c r="E4214" s="375" t="s">
        <v>6199</v>
      </c>
      <c r="F4214" s="375"/>
      <c r="G4214" s="375"/>
      <c r="H4214" s="375"/>
      <c r="I4214" s="63"/>
      <c r="J4214" s="47">
        <f>J$7</f>
        <v>3740</v>
      </c>
      <c r="K4214" s="46" t="s">
        <v>6200</v>
      </c>
      <c r="L4214" s="47" t="s">
        <v>6201</v>
      </c>
      <c r="M4214" s="47"/>
      <c r="N4214" s="47" t="s">
        <v>5651</v>
      </c>
      <c r="O4214" s="47" t="s">
        <v>6202</v>
      </c>
      <c r="P4214" s="47"/>
      <c r="Q4214" s="47">
        <f>Q$2</f>
        <v>0</v>
      </c>
      <c r="R4214" s="47"/>
      <c r="S4214" s="47"/>
      <c r="T4214" s="47"/>
      <c r="U4214" s="47" t="s">
        <v>4649</v>
      </c>
      <c r="V4214" s="47"/>
      <c r="W4214" s="47"/>
      <c r="X4214" s="47"/>
      <c r="Y4214" s="47"/>
      <c r="Z4214" s="47">
        <f t="shared" si="932"/>
        <v>4620</v>
      </c>
      <c r="AA4214" s="47">
        <f>AA$7</f>
        <v>1400</v>
      </c>
      <c r="AB4214" s="47"/>
      <c r="AC4214" s="47"/>
      <c r="AD4214" s="47"/>
      <c r="AE4214" s="47"/>
      <c r="AF4214" s="47">
        <f t="shared" si="942"/>
        <v>1485</v>
      </c>
      <c r="AG4214" s="47"/>
      <c r="AH4214" s="47" t="str">
        <f>IFERROR(_xlfn.XLOOKUP(Table6[[#This Row],[Suburb]],Table5[Travel Surcharge],Table5[$$]),"")</f>
        <v/>
      </c>
      <c r="AI4214" s="47">
        <f>AI$7</f>
        <v>1650.0000000000002</v>
      </c>
      <c r="AJ4214" s="47"/>
    </row>
    <row r="4215" spans="1:36">
      <c r="A4215" s="374" t="s">
        <v>6198</v>
      </c>
      <c r="B4215" s="374">
        <v>2</v>
      </c>
      <c r="C4215" s="374" t="s">
        <v>502</v>
      </c>
      <c r="D4215" s="375" t="str">
        <f t="shared" si="935"/>
        <v>The Tarneit Place2</v>
      </c>
      <c r="E4215" s="375" t="s">
        <v>6203</v>
      </c>
      <c r="F4215" s="375"/>
      <c r="G4215" s="375"/>
      <c r="H4215" s="375"/>
      <c r="I4215" s="63"/>
      <c r="J4215" s="47">
        <f>J$7</f>
        <v>3740</v>
      </c>
      <c r="K4215" s="46" t="s">
        <v>6200</v>
      </c>
      <c r="L4215" s="47" t="s">
        <v>6201</v>
      </c>
      <c r="M4215" s="47"/>
      <c r="N4215" s="47" t="s">
        <v>5651</v>
      </c>
      <c r="O4215" s="47" t="s">
        <v>6202</v>
      </c>
      <c r="P4215" s="47"/>
      <c r="Q4215" s="47">
        <f>Q$2</f>
        <v>0</v>
      </c>
      <c r="R4215" s="47"/>
      <c r="S4215" s="47"/>
      <c r="T4215" s="47"/>
      <c r="U4215" s="47" t="s">
        <v>4649</v>
      </c>
      <c r="V4215" s="47"/>
      <c r="W4215" s="47"/>
      <c r="X4215" s="47"/>
      <c r="Y4215" s="47"/>
      <c r="Z4215" s="47">
        <f t="shared" si="932"/>
        <v>4620</v>
      </c>
      <c r="AA4215" s="47">
        <f>AA$7</f>
        <v>1400</v>
      </c>
      <c r="AB4215" s="47"/>
      <c r="AC4215" s="47"/>
      <c r="AD4215" s="47"/>
      <c r="AE4215" s="47"/>
      <c r="AF4215" s="47">
        <f t="shared" si="942"/>
        <v>1485</v>
      </c>
      <c r="AG4215" s="47"/>
      <c r="AH4215" s="47" t="str">
        <f>IFERROR(_xlfn.XLOOKUP(Table6[[#This Row],[Suburb]],Table5[Travel Surcharge],Table5[$$]),"")</f>
        <v/>
      </c>
      <c r="AI4215" s="47">
        <f>AI$7</f>
        <v>1650.0000000000002</v>
      </c>
      <c r="AJ4215" s="47"/>
    </row>
    <row r="4216" spans="1:36">
      <c r="A4216" s="157" t="s">
        <v>6198</v>
      </c>
      <c r="B4216" s="157">
        <v>4</v>
      </c>
      <c r="C4216" s="157" t="s">
        <v>502</v>
      </c>
      <c r="D4216" s="157" t="str">
        <f t="shared" si="935"/>
        <v>The Tarneit Place4</v>
      </c>
      <c r="E4216" s="157" t="s">
        <v>6204</v>
      </c>
      <c r="F4216" s="157"/>
      <c r="G4216" s="157"/>
      <c r="H4216" s="157"/>
      <c r="I4216" s="158"/>
      <c r="J4216" s="47">
        <f>J$7</f>
        <v>3740</v>
      </c>
      <c r="K4216" s="46" t="s">
        <v>6200</v>
      </c>
      <c r="L4216" s="47" t="s">
        <v>6201</v>
      </c>
      <c r="M4216" s="47"/>
      <c r="N4216" s="47" t="s">
        <v>5651</v>
      </c>
      <c r="O4216" s="47" t="s">
        <v>6202</v>
      </c>
      <c r="P4216" s="47"/>
      <c r="Q4216" s="47">
        <f>Q$2</f>
        <v>0</v>
      </c>
      <c r="R4216" s="47"/>
      <c r="S4216" s="47"/>
      <c r="T4216" s="47"/>
      <c r="U4216" s="47" t="s">
        <v>4649</v>
      </c>
      <c r="V4216" s="47"/>
      <c r="W4216" s="47"/>
      <c r="X4216" s="47"/>
      <c r="Y4216" s="47"/>
      <c r="Z4216" s="47">
        <f t="shared" si="932"/>
        <v>4620</v>
      </c>
      <c r="AA4216" s="47">
        <f>AA$7</f>
        <v>1400</v>
      </c>
      <c r="AB4216" s="47"/>
      <c r="AC4216" s="47"/>
      <c r="AD4216" s="47"/>
      <c r="AE4216" s="47"/>
      <c r="AF4216" s="47">
        <f t="shared" si="942"/>
        <v>1485</v>
      </c>
      <c r="AG4216" s="47"/>
      <c r="AH4216" s="47" t="str">
        <f>IFERROR(_xlfn.XLOOKUP(Table6[[#This Row],[Suburb]],Table5[Travel Surcharge],Table5[$$]),"")</f>
        <v/>
      </c>
      <c r="AI4216" s="47">
        <f>AI$7</f>
        <v>1650.0000000000002</v>
      </c>
      <c r="AJ4216" s="47"/>
    </row>
    <row r="4217" spans="1:36">
      <c r="A4217" s="374" t="s">
        <v>6198</v>
      </c>
      <c r="B4217" s="374">
        <v>5</v>
      </c>
      <c r="C4217" s="374" t="s">
        <v>502</v>
      </c>
      <c r="D4217" s="375" t="str">
        <f t="shared" si="935"/>
        <v>The Tarneit Place5</v>
      </c>
      <c r="E4217" s="375" t="s">
        <v>6205</v>
      </c>
      <c r="F4217" s="375"/>
      <c r="G4217" s="375"/>
      <c r="H4217" s="375"/>
      <c r="I4217" s="63"/>
      <c r="J4217" s="47">
        <f>J$7</f>
        <v>3740</v>
      </c>
      <c r="K4217" s="46" t="s">
        <v>6200</v>
      </c>
      <c r="L4217" s="47" t="s">
        <v>6201</v>
      </c>
      <c r="M4217" s="47"/>
      <c r="N4217" s="47" t="s">
        <v>5651</v>
      </c>
      <c r="O4217" s="47" t="s">
        <v>6202</v>
      </c>
      <c r="P4217" s="47"/>
      <c r="Q4217" s="47">
        <f>Q$2</f>
        <v>0</v>
      </c>
      <c r="R4217" s="47"/>
      <c r="S4217" s="47"/>
      <c r="T4217" s="47"/>
      <c r="U4217" s="47" t="s">
        <v>4649</v>
      </c>
      <c r="V4217" s="47"/>
      <c r="W4217" s="47"/>
      <c r="X4217" s="47"/>
      <c r="Y4217" s="47"/>
      <c r="Z4217" s="47">
        <f t="shared" si="932"/>
        <v>4620</v>
      </c>
      <c r="AA4217" s="47">
        <f>AA$7</f>
        <v>1400</v>
      </c>
      <c r="AB4217" s="47"/>
      <c r="AC4217" s="47"/>
      <c r="AD4217" s="47"/>
      <c r="AE4217" s="47"/>
      <c r="AF4217" s="47">
        <f t="shared" si="942"/>
        <v>1485</v>
      </c>
      <c r="AG4217" s="47"/>
      <c r="AH4217" s="47" t="str">
        <f>IFERROR(_xlfn.XLOOKUP(Table6[[#This Row],[Suburb]],Table5[Travel Surcharge],Table5[$$]),"")</f>
        <v/>
      </c>
      <c r="AI4217" s="47">
        <f>AI$7</f>
        <v>1650.0000000000002</v>
      </c>
      <c r="AJ4217" s="47"/>
    </row>
    <row r="4218" spans="1:36">
      <c r="A4218" s="374" t="s">
        <v>6198</v>
      </c>
      <c r="B4218" s="374">
        <v>8</v>
      </c>
      <c r="C4218" s="374" t="s">
        <v>502</v>
      </c>
      <c r="D4218" s="375" t="s">
        <v>9339</v>
      </c>
      <c r="E4218" s="375" t="s">
        <v>9340</v>
      </c>
      <c r="F4218" s="375"/>
      <c r="G4218" s="375"/>
      <c r="H4218" s="375"/>
      <c r="I4218" s="63"/>
      <c r="J4218" s="47">
        <v>3740</v>
      </c>
      <c r="K4218" s="46" t="s">
        <v>6200</v>
      </c>
      <c r="L4218" s="47" t="s">
        <v>6201</v>
      </c>
      <c r="M4218" s="47"/>
      <c r="N4218" s="47" t="s">
        <v>5651</v>
      </c>
      <c r="O4218" s="47" t="s">
        <v>6202</v>
      </c>
      <c r="P4218" s="47"/>
      <c r="Q4218" s="47">
        <v>0</v>
      </c>
      <c r="R4218" s="47"/>
      <c r="S4218" s="47"/>
      <c r="T4218" s="47"/>
      <c r="U4218" s="47" t="s">
        <v>4649</v>
      </c>
      <c r="V4218" s="47"/>
      <c r="W4218" s="47"/>
      <c r="X4218" s="47"/>
      <c r="Y4218" s="47"/>
      <c r="Z4218" s="47">
        <v>4620</v>
      </c>
      <c r="AA4218" s="47">
        <v>1400</v>
      </c>
      <c r="AB4218" s="47"/>
      <c r="AC4218" s="47"/>
      <c r="AD4218" s="47"/>
      <c r="AE4218" s="47"/>
      <c r="AF4218" s="47">
        <v>1650.0000000000002</v>
      </c>
      <c r="AG4218" s="47"/>
      <c r="AH4218" s="47" t="str">
        <f>IFERROR(_xlfn.XLOOKUP(Table6[[#This Row],[Suburb]],Table5[Travel Surcharge],Table5[$$]),"")</f>
        <v/>
      </c>
      <c r="AI4218" s="47">
        <v>1650.0000000000002</v>
      </c>
      <c r="AJ4218" s="47"/>
    </row>
    <row r="4219" spans="1:36">
      <c r="A4219" s="157" t="s">
        <v>6198</v>
      </c>
      <c r="B4219" s="157">
        <v>6</v>
      </c>
      <c r="C4219" s="157" t="s">
        <v>502</v>
      </c>
      <c r="D4219" s="157" t="str">
        <f t="shared" ref="D4219:D4269" si="943">CONCATENATE(A4219,B4219)</f>
        <v>The Tarneit Place6</v>
      </c>
      <c r="E4219" s="157" t="s">
        <v>7912</v>
      </c>
      <c r="F4219" s="157"/>
      <c r="G4219" s="157"/>
      <c r="H4219" s="157"/>
      <c r="I4219" s="158"/>
      <c r="J4219" s="47">
        <f t="shared" ref="J4219:J4228" si="944">J$7</f>
        <v>3740</v>
      </c>
      <c r="K4219" s="46" t="s">
        <v>6200</v>
      </c>
      <c r="L4219" s="47" t="s">
        <v>6201</v>
      </c>
      <c r="M4219" s="47"/>
      <c r="N4219" s="47" t="s">
        <v>5651</v>
      </c>
      <c r="O4219" s="47" t="s">
        <v>6202</v>
      </c>
      <c r="P4219" s="47"/>
      <c r="Q4219" s="47">
        <f>Q$2</f>
        <v>0</v>
      </c>
      <c r="R4219" s="47"/>
      <c r="S4219" s="47"/>
      <c r="T4219" s="47"/>
      <c r="U4219" s="47" t="s">
        <v>4649</v>
      </c>
      <c r="V4219" s="47"/>
      <c r="W4219" s="47"/>
      <c r="X4219" s="47"/>
      <c r="Y4219" s="47"/>
      <c r="Z4219" s="47">
        <f>Z$7</f>
        <v>4620</v>
      </c>
      <c r="AA4219" s="47">
        <f>AA$7</f>
        <v>1400</v>
      </c>
      <c r="AB4219" s="47"/>
      <c r="AC4219" s="47"/>
      <c r="AD4219" s="47"/>
      <c r="AE4219" s="47"/>
      <c r="AF4219" s="47">
        <f t="shared" ref="AF4219:AF4231" si="945">AF$7</f>
        <v>1485</v>
      </c>
      <c r="AG4219" s="47"/>
      <c r="AH4219" s="47" t="str">
        <f>IFERROR(_xlfn.XLOOKUP(Table6[[#This Row],[Suburb]],Table5[Travel Surcharge],Table5[$$]),"")</f>
        <v/>
      </c>
      <c r="AI4219" s="47">
        <f>AI$7</f>
        <v>1650.0000000000002</v>
      </c>
      <c r="AJ4219" s="47"/>
    </row>
    <row r="4220" spans="1:36">
      <c r="A4220" s="374" t="s">
        <v>6206</v>
      </c>
      <c r="B4220" s="374">
        <v>2</v>
      </c>
      <c r="C4220" s="374" t="s">
        <v>3617</v>
      </c>
      <c r="D4220" s="375" t="str">
        <f t="shared" si="943"/>
        <v>The Village2</v>
      </c>
      <c r="E4220" s="375" t="s">
        <v>6207</v>
      </c>
      <c r="F4220" s="375"/>
      <c r="G4220" s="375"/>
      <c r="H4220" s="375"/>
      <c r="I4220" s="63"/>
      <c r="J4220" s="47">
        <f t="shared" si="944"/>
        <v>3740</v>
      </c>
      <c r="K4220" s="46" t="s">
        <v>10735</v>
      </c>
      <c r="L4220" s="47">
        <f>L$7</f>
        <v>1210</v>
      </c>
      <c r="M4220" s="47" t="s">
        <v>8214</v>
      </c>
      <c r="N4220" s="47" t="s">
        <v>6208</v>
      </c>
      <c r="O4220" s="47" t="s">
        <v>6209</v>
      </c>
      <c r="P4220" s="47"/>
      <c r="Q4220" s="47"/>
      <c r="R4220" s="47" t="s">
        <v>6210</v>
      </c>
      <c r="S4220" s="47"/>
      <c r="T4220" s="47">
        <f>T$2</f>
        <v>780</v>
      </c>
      <c r="U4220" s="47"/>
      <c r="V4220" s="47"/>
      <c r="W4220" s="47" t="s">
        <v>5651</v>
      </c>
      <c r="X4220" s="47"/>
      <c r="Y4220" s="47"/>
      <c r="Z4220" s="47">
        <f t="shared" ref="Z4220:Z4269" si="946">Z$7</f>
        <v>4620</v>
      </c>
      <c r="AA4220" s="47"/>
      <c r="AB4220" s="47"/>
      <c r="AC4220" s="47"/>
      <c r="AD4220" s="47"/>
      <c r="AE4220" s="47"/>
      <c r="AF4220" s="47">
        <f t="shared" si="945"/>
        <v>1485</v>
      </c>
      <c r="AG4220" s="47"/>
      <c r="AH4220" s="47" t="str">
        <f>IFERROR(_xlfn.XLOOKUP(Table6[[#This Row],[Suburb]],Table5[Travel Surcharge],Table5[$$]),"")</f>
        <v/>
      </c>
      <c r="AI4220" s="47"/>
      <c r="AJ4220" s="47"/>
    </row>
    <row r="4221" spans="1:36">
      <c r="A4221" s="374" t="s">
        <v>10223</v>
      </c>
      <c r="B4221" s="374">
        <v>2</v>
      </c>
      <c r="C4221" s="374" t="s">
        <v>1336</v>
      </c>
      <c r="D4221" s="375" t="str">
        <f>CONCATENATE(A4221,B4221)</f>
        <v>The Waves2</v>
      </c>
      <c r="E4221" s="375" t="s">
        <v>10224</v>
      </c>
      <c r="F4221" s="375"/>
      <c r="G4221" s="375"/>
      <c r="H4221" s="375"/>
      <c r="I4221" s="63"/>
      <c r="J4221" s="47"/>
      <c r="K4221" s="46" t="s">
        <v>10735</v>
      </c>
      <c r="L4221" s="47"/>
      <c r="M4221" s="47"/>
      <c r="N4221" s="47"/>
      <c r="O4221" s="47"/>
      <c r="P4221" s="47"/>
      <c r="Q4221" s="47">
        <v>0</v>
      </c>
      <c r="R4221" s="47"/>
      <c r="S4221" s="47"/>
      <c r="T4221" s="47"/>
      <c r="U4221" s="47"/>
      <c r="V4221" s="47"/>
      <c r="W4221" s="47"/>
      <c r="X4221" s="47"/>
      <c r="Y4221" s="47"/>
      <c r="Z4221" s="47"/>
      <c r="AA4221" s="47"/>
      <c r="AB4221" s="47"/>
      <c r="AC4221" s="47"/>
      <c r="AD4221" s="47"/>
      <c r="AE4221" s="47"/>
      <c r="AF4221" s="47"/>
      <c r="AG4221" s="47"/>
      <c r="AH4221" s="47">
        <v>1500</v>
      </c>
      <c r="AI4221" s="47"/>
      <c r="AJ4221" s="47"/>
    </row>
    <row r="4222" spans="1:36">
      <c r="A4222" s="374" t="s">
        <v>10736</v>
      </c>
      <c r="B4222" s="374">
        <v>30</v>
      </c>
      <c r="C4222" s="374" t="s">
        <v>764</v>
      </c>
      <c r="D4222" s="375" t="str">
        <f>CONCATENATE(A4222,B4222)</f>
        <v>The Willows at Botanical30</v>
      </c>
      <c r="E4222" s="375" t="s">
        <v>10732</v>
      </c>
      <c r="F4222" s="375"/>
      <c r="G4222" s="375" t="s">
        <v>1575</v>
      </c>
      <c r="H4222" s="375" t="s">
        <v>860</v>
      </c>
      <c r="I4222" s="63" t="s">
        <v>1576</v>
      </c>
      <c r="J4222" s="47">
        <v>3740</v>
      </c>
      <c r="K4222" s="46" t="s">
        <v>7938</v>
      </c>
      <c r="L4222" s="47" t="s">
        <v>10737</v>
      </c>
      <c r="M4222" s="47" t="s">
        <v>10410</v>
      </c>
      <c r="N4222" s="47"/>
      <c r="O4222" s="47">
        <f>O$7</f>
        <v>4950</v>
      </c>
      <c r="P4222" s="47"/>
      <c r="Q4222" s="47">
        <v>0</v>
      </c>
      <c r="R4222" s="47"/>
      <c r="S4222" s="47"/>
      <c r="T4222" s="47" t="s">
        <v>10738</v>
      </c>
      <c r="U4222" s="47"/>
      <c r="V4222" s="47"/>
      <c r="W4222" s="47"/>
      <c r="X4222" s="47"/>
      <c r="Y4222" s="47"/>
      <c r="Z4222" s="47">
        <f>Z$7</f>
        <v>4620</v>
      </c>
      <c r="AA4222" s="47"/>
      <c r="AB4222" s="47"/>
      <c r="AC4222" s="47"/>
      <c r="AD4222" s="47"/>
      <c r="AE4222" s="47"/>
      <c r="AF4222" s="47">
        <v>1485</v>
      </c>
      <c r="AG4222" s="47"/>
      <c r="AH4222" s="47" t="e">
        <f>IF((COUNTIF(#REF!,C4222)&gt;0),(IF('Pricing Sheet'!$C$3&lt;&gt;"",(VLOOKUP(C4222,AQ:AQ,2,FALSE)),(VLOOKUP(C4222,AQ:AQ,3,FALSE)))),"")</f>
        <v>#REF!</v>
      </c>
      <c r="AI4222" s="47"/>
      <c r="AJ4222" s="47"/>
    </row>
    <row r="4223" spans="1:36">
      <c r="A4223" s="374" t="s">
        <v>6211</v>
      </c>
      <c r="B4223" s="374">
        <v>1</v>
      </c>
      <c r="C4223" s="374" t="s">
        <v>764</v>
      </c>
      <c r="D4223" s="375" t="str">
        <f t="shared" si="943"/>
        <v>The Woods Estate1</v>
      </c>
      <c r="E4223" s="375" t="s">
        <v>6212</v>
      </c>
      <c r="F4223" s="375" t="s">
        <v>766</v>
      </c>
      <c r="G4223" s="375" t="s">
        <v>6213</v>
      </c>
      <c r="H4223" s="375" t="s">
        <v>6214</v>
      </c>
      <c r="I4223" s="63" t="s">
        <v>6215</v>
      </c>
      <c r="J4223" s="47">
        <f t="shared" si="944"/>
        <v>3740</v>
      </c>
      <c r="K4223" s="46" t="s">
        <v>10735</v>
      </c>
      <c r="L4223" s="47"/>
      <c r="M4223" s="47"/>
      <c r="N4223" s="47" t="s">
        <v>6216</v>
      </c>
      <c r="O4223" s="47"/>
      <c r="P4223" s="47"/>
      <c r="Q4223" s="47"/>
      <c r="R4223" s="47"/>
      <c r="S4223" s="47"/>
      <c r="T4223" s="47" t="s">
        <v>770</v>
      </c>
      <c r="U4223" s="47"/>
      <c r="V4223" s="47"/>
      <c r="W4223" s="47"/>
      <c r="X4223" s="47"/>
      <c r="Y4223" s="47"/>
      <c r="Z4223" s="47">
        <f t="shared" si="946"/>
        <v>4620</v>
      </c>
      <c r="AA4223" s="47"/>
      <c r="AB4223" s="47"/>
      <c r="AC4223" s="47"/>
      <c r="AD4223" s="47"/>
      <c r="AE4223" s="47"/>
      <c r="AF4223" s="47">
        <f t="shared" si="945"/>
        <v>1485</v>
      </c>
      <c r="AG4223" s="47"/>
      <c r="AH4223" s="47" t="str">
        <f>IFERROR(_xlfn.XLOOKUP(Table6[[#This Row],[Suburb]],Table5[Travel Surcharge],Table5[$$]),"")</f>
        <v/>
      </c>
      <c r="AI4223" s="47"/>
      <c r="AJ4223" s="47"/>
    </row>
    <row r="4224" spans="1:36">
      <c r="A4224" s="374" t="s">
        <v>6211</v>
      </c>
      <c r="B4224" s="374">
        <v>4</v>
      </c>
      <c r="C4224" s="374" t="s">
        <v>764</v>
      </c>
      <c r="D4224" s="375" t="str">
        <f t="shared" si="943"/>
        <v>The Woods Estate4</v>
      </c>
      <c r="E4224" s="375" t="s">
        <v>6217</v>
      </c>
      <c r="F4224" s="375" t="s">
        <v>766</v>
      </c>
      <c r="G4224" s="375" t="s">
        <v>6213</v>
      </c>
      <c r="H4224" s="375" t="s">
        <v>6214</v>
      </c>
      <c r="I4224" s="63" t="s">
        <v>6215</v>
      </c>
      <c r="J4224" s="47">
        <f t="shared" si="944"/>
        <v>3740</v>
      </c>
      <c r="K4224" s="46" t="s">
        <v>10735</v>
      </c>
      <c r="L4224" s="47"/>
      <c r="M4224" s="47"/>
      <c r="N4224" s="47" t="s">
        <v>6216</v>
      </c>
      <c r="O4224" s="47"/>
      <c r="P4224" s="47"/>
      <c r="Q4224" s="47"/>
      <c r="R4224" s="47"/>
      <c r="S4224" s="47"/>
      <c r="T4224" s="47" t="s">
        <v>770</v>
      </c>
      <c r="U4224" s="47"/>
      <c r="V4224" s="47"/>
      <c r="W4224" s="47"/>
      <c r="X4224" s="47"/>
      <c r="Y4224" s="47"/>
      <c r="Z4224" s="47">
        <f t="shared" si="946"/>
        <v>4620</v>
      </c>
      <c r="AA4224" s="47"/>
      <c r="AB4224" s="47"/>
      <c r="AC4224" s="47"/>
      <c r="AD4224" s="47"/>
      <c r="AE4224" s="47"/>
      <c r="AF4224" s="47">
        <f t="shared" si="945"/>
        <v>1485</v>
      </c>
      <c r="AG4224" s="47"/>
      <c r="AH4224" s="47" t="str">
        <f>IFERROR(_xlfn.XLOOKUP(Table6[[#This Row],[Suburb]],Table5[Travel Surcharge],Table5[$$]),"")</f>
        <v/>
      </c>
      <c r="AI4224" s="47"/>
      <c r="AJ4224" s="47"/>
    </row>
    <row r="4225" spans="1:36">
      <c r="A4225" s="374" t="s">
        <v>6211</v>
      </c>
      <c r="B4225" s="374">
        <v>8</v>
      </c>
      <c r="C4225" s="374" t="s">
        <v>764</v>
      </c>
      <c r="D4225" s="375" t="str">
        <f t="shared" si="943"/>
        <v>The Woods Estate8</v>
      </c>
      <c r="E4225" s="375" t="s">
        <v>6218</v>
      </c>
      <c r="F4225" s="375" t="s">
        <v>766</v>
      </c>
      <c r="G4225" s="375" t="s">
        <v>6213</v>
      </c>
      <c r="H4225" s="375" t="s">
        <v>6214</v>
      </c>
      <c r="I4225" s="63" t="s">
        <v>6215</v>
      </c>
      <c r="J4225" s="47">
        <f t="shared" si="944"/>
        <v>3740</v>
      </c>
      <c r="K4225" s="46" t="s">
        <v>10735</v>
      </c>
      <c r="L4225" s="47"/>
      <c r="M4225" s="47"/>
      <c r="N4225" s="47" t="s">
        <v>6216</v>
      </c>
      <c r="O4225" s="47"/>
      <c r="P4225" s="47"/>
      <c r="Q4225" s="47"/>
      <c r="R4225" s="47"/>
      <c r="S4225" s="47"/>
      <c r="T4225" s="47" t="s">
        <v>770</v>
      </c>
      <c r="U4225" s="47"/>
      <c r="V4225" s="47"/>
      <c r="W4225" s="47"/>
      <c r="X4225" s="47"/>
      <c r="Y4225" s="47"/>
      <c r="Z4225" s="47">
        <f t="shared" si="946"/>
        <v>4620</v>
      </c>
      <c r="AA4225" s="47"/>
      <c r="AB4225" s="47"/>
      <c r="AC4225" s="47"/>
      <c r="AD4225" s="47"/>
      <c r="AE4225" s="47"/>
      <c r="AF4225" s="47">
        <f t="shared" si="945"/>
        <v>1485</v>
      </c>
      <c r="AG4225" s="47"/>
      <c r="AH4225" s="47" t="str">
        <f>IFERROR(_xlfn.XLOOKUP(Table6[[#This Row],[Suburb]],Table5[Travel Surcharge],Table5[$$]),"")</f>
        <v/>
      </c>
      <c r="AI4225" s="47"/>
      <c r="AJ4225" s="47"/>
    </row>
    <row r="4226" spans="1:36">
      <c r="A4226" s="374" t="s">
        <v>6211</v>
      </c>
      <c r="B4226" s="374">
        <v>10</v>
      </c>
      <c r="C4226" s="374" t="s">
        <v>764</v>
      </c>
      <c r="D4226" s="375" t="str">
        <f t="shared" si="943"/>
        <v>The Woods Estate10</v>
      </c>
      <c r="E4226" s="375" t="s">
        <v>6219</v>
      </c>
      <c r="F4226" s="375" t="s">
        <v>766</v>
      </c>
      <c r="G4226" s="375" t="s">
        <v>6213</v>
      </c>
      <c r="H4226" s="375" t="s">
        <v>6214</v>
      </c>
      <c r="I4226" s="63" t="s">
        <v>6215</v>
      </c>
      <c r="J4226" s="47">
        <f t="shared" si="944"/>
        <v>3740</v>
      </c>
      <c r="K4226" s="46" t="s">
        <v>10735</v>
      </c>
      <c r="L4226" s="47"/>
      <c r="M4226" s="47"/>
      <c r="N4226" s="47" t="s">
        <v>6216</v>
      </c>
      <c r="O4226" s="47"/>
      <c r="P4226" s="47"/>
      <c r="Q4226" s="47"/>
      <c r="R4226" s="47"/>
      <c r="S4226" s="47"/>
      <c r="T4226" s="47" t="s">
        <v>770</v>
      </c>
      <c r="U4226" s="47"/>
      <c r="V4226" s="47"/>
      <c r="W4226" s="47"/>
      <c r="X4226" s="47"/>
      <c r="Y4226" s="47"/>
      <c r="Z4226" s="47">
        <f t="shared" si="946"/>
        <v>4620</v>
      </c>
      <c r="AA4226" s="47"/>
      <c r="AB4226" s="47"/>
      <c r="AC4226" s="47"/>
      <c r="AD4226" s="47"/>
      <c r="AE4226" s="47"/>
      <c r="AF4226" s="47">
        <f t="shared" si="945"/>
        <v>1485</v>
      </c>
      <c r="AG4226" s="47"/>
      <c r="AH4226" s="47" t="str">
        <f>IFERROR(_xlfn.XLOOKUP(Table6[[#This Row],[Suburb]],Table5[Travel Surcharge],Table5[$$]),"")</f>
        <v/>
      </c>
      <c r="AI4226" s="47"/>
      <c r="AJ4226" s="47"/>
    </row>
    <row r="4227" spans="1:36">
      <c r="A4227" s="374" t="s">
        <v>6211</v>
      </c>
      <c r="B4227" s="374">
        <v>12</v>
      </c>
      <c r="C4227" s="374" t="s">
        <v>764</v>
      </c>
      <c r="D4227" s="375" t="str">
        <f t="shared" si="943"/>
        <v>The Woods Estate12</v>
      </c>
      <c r="E4227" s="375" t="s">
        <v>6220</v>
      </c>
      <c r="F4227" s="375" t="s">
        <v>766</v>
      </c>
      <c r="G4227" s="375" t="s">
        <v>6213</v>
      </c>
      <c r="H4227" s="375" t="s">
        <v>6214</v>
      </c>
      <c r="I4227" s="63" t="s">
        <v>6215</v>
      </c>
      <c r="J4227" s="47">
        <f t="shared" si="944"/>
        <v>3740</v>
      </c>
      <c r="K4227" s="46" t="s">
        <v>10735</v>
      </c>
      <c r="L4227" s="47"/>
      <c r="M4227" s="47"/>
      <c r="N4227" s="47" t="s">
        <v>6216</v>
      </c>
      <c r="O4227" s="47"/>
      <c r="P4227" s="47"/>
      <c r="Q4227" s="47"/>
      <c r="R4227" s="47"/>
      <c r="S4227" s="47"/>
      <c r="T4227" s="47" t="s">
        <v>770</v>
      </c>
      <c r="U4227" s="47"/>
      <c r="V4227" s="47"/>
      <c r="W4227" s="47"/>
      <c r="X4227" s="47"/>
      <c r="Y4227" s="47"/>
      <c r="Z4227" s="47">
        <f t="shared" si="946"/>
        <v>4620</v>
      </c>
      <c r="AA4227" s="47"/>
      <c r="AB4227" s="47"/>
      <c r="AC4227" s="47"/>
      <c r="AD4227" s="47"/>
      <c r="AE4227" s="47"/>
      <c r="AF4227" s="47">
        <f t="shared" si="945"/>
        <v>1485</v>
      </c>
      <c r="AG4227" s="47"/>
      <c r="AH4227" s="47" t="str">
        <f>IFERROR(_xlfn.XLOOKUP(Table6[[#This Row],[Suburb]],Table5[Travel Surcharge],Table5[$$]),"")</f>
        <v/>
      </c>
      <c r="AI4227" s="47"/>
      <c r="AJ4227" s="47"/>
    </row>
    <row r="4228" spans="1:36">
      <c r="A4228" s="374" t="s">
        <v>6221</v>
      </c>
      <c r="B4228" s="374">
        <v>2</v>
      </c>
      <c r="C4228" s="374" t="s">
        <v>1042</v>
      </c>
      <c r="D4228" s="375" t="str">
        <f t="shared" si="943"/>
        <v>Thompsons Run Estate2</v>
      </c>
      <c r="E4228" s="375" t="s">
        <v>6222</v>
      </c>
      <c r="F4228" s="375"/>
      <c r="G4228" s="375" t="s">
        <v>397</v>
      </c>
      <c r="H4228" s="375" t="s">
        <v>398</v>
      </c>
      <c r="I4228" s="63" t="s">
        <v>6133</v>
      </c>
      <c r="J4228" s="47">
        <f t="shared" si="944"/>
        <v>3740</v>
      </c>
      <c r="K4228" s="46" t="s">
        <v>10735</v>
      </c>
      <c r="L4228" s="47"/>
      <c r="M4228" s="47"/>
      <c r="N4228" s="47"/>
      <c r="O4228" s="47"/>
      <c r="P4228" s="47"/>
      <c r="Q4228" s="47"/>
      <c r="R4228" s="47"/>
      <c r="S4228" s="47"/>
      <c r="T4228" s="47"/>
      <c r="U4228" s="47">
        <f>U$2</f>
        <v>430</v>
      </c>
      <c r="V4228" s="47" t="s">
        <v>6223</v>
      </c>
      <c r="W4228" s="47" t="s">
        <v>6224</v>
      </c>
      <c r="X4228" s="47"/>
      <c r="Y4228" s="47"/>
      <c r="Z4228" s="47">
        <f t="shared" si="946"/>
        <v>4620</v>
      </c>
      <c r="AA4228" s="47">
        <f t="shared" ref="AA4228:AA4267" si="947">AA$7</f>
        <v>1400</v>
      </c>
      <c r="AB4228" s="47"/>
      <c r="AC4228" s="47"/>
      <c r="AD4228" s="47"/>
      <c r="AE4228" s="47"/>
      <c r="AF4228" s="47">
        <f t="shared" si="945"/>
        <v>1485</v>
      </c>
      <c r="AG4228" s="47"/>
      <c r="AH4228" s="47" t="str">
        <f>IFERROR(_xlfn.XLOOKUP(Table6[[#This Row],[Suburb]],Table5[Travel Surcharge],Table5[$$]),"")</f>
        <v/>
      </c>
      <c r="AI4228" s="47"/>
      <c r="AJ4228" s="47"/>
    </row>
    <row r="4229" spans="1:36">
      <c r="A4229" s="157" t="s">
        <v>6225</v>
      </c>
      <c r="B4229" s="157">
        <v>1</v>
      </c>
      <c r="C4229" s="157" t="s">
        <v>3617</v>
      </c>
      <c r="D4229" s="157" t="str">
        <f t="shared" si="943"/>
        <v>Thornhill Central1</v>
      </c>
      <c r="E4229" s="157" t="s">
        <v>8095</v>
      </c>
      <c r="F4229" s="157"/>
      <c r="G4229" s="157"/>
      <c r="H4229" s="157"/>
      <c r="I4229" s="158"/>
      <c r="J4229" s="47"/>
      <c r="K4229" s="46" t="s">
        <v>10735</v>
      </c>
      <c r="L4229" s="47" t="s">
        <v>6227</v>
      </c>
      <c r="M4229" s="47">
        <f t="shared" ref="M4229:M4267" si="948">M$7</f>
        <v>1430.0000000000002</v>
      </c>
      <c r="N4229" s="47" t="s">
        <v>6228</v>
      </c>
      <c r="O4229" s="47" t="s">
        <v>1846</v>
      </c>
      <c r="P4229" s="47" t="s">
        <v>6229</v>
      </c>
      <c r="Q4229" s="47">
        <f>Q$2</f>
        <v>0</v>
      </c>
      <c r="R4229" s="47"/>
      <c r="S4229" s="47"/>
      <c r="T4229" s="47" t="s">
        <v>1686</v>
      </c>
      <c r="U4229" s="47" t="s">
        <v>6230</v>
      </c>
      <c r="V4229" s="47"/>
      <c r="W4229" s="47"/>
      <c r="X4229" s="47"/>
      <c r="Y4229" s="47"/>
      <c r="Z4229" s="47">
        <f t="shared" si="946"/>
        <v>4620</v>
      </c>
      <c r="AA4229" s="47">
        <f t="shared" si="947"/>
        <v>1400</v>
      </c>
      <c r="AB4229" s="47"/>
      <c r="AC4229" s="47"/>
      <c r="AD4229" s="47"/>
      <c r="AE4229" s="47">
        <f>AE$7</f>
        <v>5000</v>
      </c>
      <c r="AF4229" s="47">
        <f t="shared" si="945"/>
        <v>1485</v>
      </c>
      <c r="AG4229" s="47"/>
      <c r="AH4229" s="47" t="str">
        <f>IFERROR(_xlfn.XLOOKUP(Table6[[#This Row],[Suburb]],Table5[Travel Surcharge],Table5[$$]),"")</f>
        <v/>
      </c>
      <c r="AI4229" s="47" t="s">
        <v>6231</v>
      </c>
      <c r="AJ4229" s="47"/>
    </row>
    <row r="4230" spans="1:36">
      <c r="A4230" s="157" t="s">
        <v>6225</v>
      </c>
      <c r="B4230" s="157">
        <v>2</v>
      </c>
      <c r="C4230" s="157" t="s">
        <v>3617</v>
      </c>
      <c r="D4230" s="157" t="str">
        <f t="shared" si="943"/>
        <v>Thornhill Central2</v>
      </c>
      <c r="E4230" s="157" t="s">
        <v>6226</v>
      </c>
      <c r="F4230" s="157"/>
      <c r="G4230" s="157"/>
      <c r="H4230" s="157"/>
      <c r="I4230" s="158"/>
      <c r="J4230" s="47"/>
      <c r="K4230" s="46" t="s">
        <v>10735</v>
      </c>
      <c r="L4230" s="47" t="s">
        <v>6227</v>
      </c>
      <c r="M4230" s="47">
        <f t="shared" si="948"/>
        <v>1430.0000000000002</v>
      </c>
      <c r="N4230" s="47" t="s">
        <v>6228</v>
      </c>
      <c r="O4230" s="47" t="s">
        <v>1846</v>
      </c>
      <c r="P4230" s="47" t="s">
        <v>6229</v>
      </c>
      <c r="Q4230" s="47">
        <f>Q$2</f>
        <v>0</v>
      </c>
      <c r="R4230" s="47"/>
      <c r="S4230" s="47"/>
      <c r="T4230" s="47" t="s">
        <v>1686</v>
      </c>
      <c r="U4230" s="47" t="s">
        <v>6230</v>
      </c>
      <c r="V4230" s="47"/>
      <c r="W4230" s="47"/>
      <c r="X4230" s="47"/>
      <c r="Y4230" s="47"/>
      <c r="Z4230" s="47">
        <f t="shared" si="946"/>
        <v>4620</v>
      </c>
      <c r="AA4230" s="47">
        <f t="shared" si="947"/>
        <v>1400</v>
      </c>
      <c r="AB4230" s="47"/>
      <c r="AC4230" s="47"/>
      <c r="AD4230" s="47"/>
      <c r="AE4230" s="47">
        <f>AE$7</f>
        <v>5000</v>
      </c>
      <c r="AF4230" s="47">
        <f t="shared" si="945"/>
        <v>1485</v>
      </c>
      <c r="AG4230" s="47"/>
      <c r="AH4230" s="47" t="str">
        <f>IFERROR(_xlfn.XLOOKUP(Table6[[#This Row],[Suburb]],Table5[Travel Surcharge],Table5[$$]),"")</f>
        <v/>
      </c>
      <c r="AI4230" s="47" t="s">
        <v>6231</v>
      </c>
      <c r="AJ4230" s="47"/>
    </row>
    <row r="4231" spans="1:36">
      <c r="A4231" s="374" t="s">
        <v>6225</v>
      </c>
      <c r="B4231" s="374">
        <v>3</v>
      </c>
      <c r="C4231" s="374" t="s">
        <v>3617</v>
      </c>
      <c r="D4231" s="375" t="str">
        <f t="shared" si="943"/>
        <v>Thornhill Central3</v>
      </c>
      <c r="E4231" s="375" t="s">
        <v>6226</v>
      </c>
      <c r="F4231" s="375"/>
      <c r="G4231" s="375"/>
      <c r="H4231" s="375"/>
      <c r="I4231" s="63"/>
      <c r="J4231" s="47"/>
      <c r="K4231" s="46" t="s">
        <v>10735</v>
      </c>
      <c r="L4231" s="47" t="s">
        <v>6227</v>
      </c>
      <c r="M4231" s="47">
        <f t="shared" si="948"/>
        <v>1430.0000000000002</v>
      </c>
      <c r="N4231" s="47" t="s">
        <v>6228</v>
      </c>
      <c r="O4231" s="47" t="s">
        <v>1846</v>
      </c>
      <c r="P4231" s="47" t="s">
        <v>6229</v>
      </c>
      <c r="Q4231" s="47">
        <f>Q$2</f>
        <v>0</v>
      </c>
      <c r="R4231" s="47"/>
      <c r="S4231" s="47"/>
      <c r="T4231" s="47" t="s">
        <v>1686</v>
      </c>
      <c r="U4231" s="47" t="s">
        <v>6230</v>
      </c>
      <c r="V4231" s="47"/>
      <c r="W4231" s="47"/>
      <c r="X4231" s="47"/>
      <c r="Y4231" s="47"/>
      <c r="Z4231" s="47">
        <f t="shared" si="946"/>
        <v>4620</v>
      </c>
      <c r="AA4231" s="47">
        <f t="shared" si="947"/>
        <v>1400</v>
      </c>
      <c r="AB4231" s="47"/>
      <c r="AC4231" s="47"/>
      <c r="AD4231" s="47"/>
      <c r="AE4231" s="47">
        <f>AE$7</f>
        <v>5000</v>
      </c>
      <c r="AF4231" s="47">
        <f t="shared" si="945"/>
        <v>1485</v>
      </c>
      <c r="AG4231" s="47"/>
      <c r="AH4231" s="47" t="str">
        <f>IFERROR(_xlfn.XLOOKUP(Table6[[#This Row],[Suburb]],Table5[Travel Surcharge],Table5[$$]),"")</f>
        <v/>
      </c>
      <c r="AI4231" s="47" t="s">
        <v>6231</v>
      </c>
      <c r="AJ4231" s="47"/>
    </row>
    <row r="4232" spans="1:36">
      <c r="A4232" s="374" t="s">
        <v>10347</v>
      </c>
      <c r="B4232" s="374">
        <v>1</v>
      </c>
      <c r="C4232" s="374" t="s">
        <v>3617</v>
      </c>
      <c r="D4232" s="375" t="str">
        <f t="shared" si="943"/>
        <v>Thornhill Gardens1</v>
      </c>
      <c r="E4232" s="375" t="s">
        <v>10348</v>
      </c>
      <c r="F4232" s="375"/>
      <c r="G4232" s="375" t="s">
        <v>10349</v>
      </c>
      <c r="H4232" s="375" t="s">
        <v>10350</v>
      </c>
      <c r="I4232" s="63" t="s">
        <v>10351</v>
      </c>
      <c r="J4232" s="47">
        <v>3740</v>
      </c>
      <c r="K4232" s="46" t="s">
        <v>7938</v>
      </c>
      <c r="L4232" s="47"/>
      <c r="M4232" s="47">
        <v>1430</v>
      </c>
      <c r="N4232" s="47" t="s">
        <v>10352</v>
      </c>
      <c r="O4232" s="47" t="s">
        <v>10353</v>
      </c>
      <c r="P4232" s="47"/>
      <c r="Q4232" s="47">
        <v>0</v>
      </c>
      <c r="R4232" s="47"/>
      <c r="S4232" s="47">
        <f>S$2</f>
        <v>590</v>
      </c>
      <c r="T4232" s="47"/>
      <c r="U4232" s="47" t="s">
        <v>641</v>
      </c>
      <c r="V4232" s="47"/>
      <c r="W4232" s="47"/>
      <c r="X4232" s="47"/>
      <c r="Y4232" s="47"/>
      <c r="Z4232" s="47">
        <f>Z$7</f>
        <v>4620</v>
      </c>
      <c r="AA4232" s="47">
        <v>1400</v>
      </c>
      <c r="AB4232" s="47">
        <v>2800</v>
      </c>
      <c r="AC4232" s="47"/>
      <c r="AD4232" s="47"/>
      <c r="AE4232" s="47"/>
      <c r="AF4232" s="47">
        <v>1485</v>
      </c>
      <c r="AG4232" s="47"/>
      <c r="AH4232" s="47"/>
      <c r="AI4232" s="47"/>
      <c r="AJ4232" s="47"/>
    </row>
    <row r="4233" spans="1:36">
      <c r="A4233" s="374" t="s">
        <v>10347</v>
      </c>
      <c r="B4233" s="374">
        <v>2</v>
      </c>
      <c r="C4233" s="374" t="s">
        <v>3617</v>
      </c>
      <c r="D4233" s="375" t="str">
        <f t="shared" si="943"/>
        <v>Thornhill Gardens2</v>
      </c>
      <c r="E4233" s="375" t="s">
        <v>4635</v>
      </c>
      <c r="F4233" s="375"/>
      <c r="G4233" s="375" t="s">
        <v>10349</v>
      </c>
      <c r="H4233" s="375" t="s">
        <v>10350</v>
      </c>
      <c r="I4233" s="63" t="s">
        <v>10351</v>
      </c>
      <c r="J4233" s="47">
        <v>3740</v>
      </c>
      <c r="K4233" s="46" t="s">
        <v>7938</v>
      </c>
      <c r="L4233" s="47"/>
      <c r="M4233" s="47">
        <v>1430</v>
      </c>
      <c r="N4233" s="47" t="s">
        <v>10352</v>
      </c>
      <c r="O4233" s="47" t="s">
        <v>10353</v>
      </c>
      <c r="P4233" s="47"/>
      <c r="Q4233" s="47">
        <v>0</v>
      </c>
      <c r="R4233" s="47"/>
      <c r="S4233" s="47">
        <v>590</v>
      </c>
      <c r="T4233" s="47"/>
      <c r="U4233" s="47" t="s">
        <v>641</v>
      </c>
      <c r="V4233" s="47"/>
      <c r="W4233" s="47"/>
      <c r="X4233" s="47"/>
      <c r="Y4233" s="47"/>
      <c r="Z4233" s="47">
        <v>4620</v>
      </c>
      <c r="AA4233" s="47">
        <v>1400</v>
      </c>
      <c r="AB4233" s="47">
        <v>2800</v>
      </c>
      <c r="AC4233" s="47"/>
      <c r="AD4233" s="47"/>
      <c r="AE4233" s="47"/>
      <c r="AF4233" s="47">
        <v>1485</v>
      </c>
      <c r="AG4233" s="47"/>
      <c r="AH4233" s="47"/>
      <c r="AI4233" s="47"/>
      <c r="AJ4233" s="47"/>
    </row>
    <row r="4234" spans="1:36">
      <c r="A4234" s="374" t="s">
        <v>10347</v>
      </c>
      <c r="B4234" s="374">
        <v>3</v>
      </c>
      <c r="C4234" s="374" t="s">
        <v>3617</v>
      </c>
      <c r="D4234" s="375" t="str">
        <f t="shared" si="943"/>
        <v>Thornhill Gardens3</v>
      </c>
      <c r="E4234" s="375" t="s">
        <v>4640</v>
      </c>
      <c r="F4234" s="375"/>
      <c r="G4234" s="375" t="s">
        <v>10349</v>
      </c>
      <c r="H4234" s="375" t="s">
        <v>10350</v>
      </c>
      <c r="I4234" s="63" t="s">
        <v>10351</v>
      </c>
      <c r="J4234" s="47">
        <v>3740</v>
      </c>
      <c r="K4234" s="46" t="s">
        <v>7938</v>
      </c>
      <c r="L4234" s="47"/>
      <c r="M4234" s="47">
        <v>1430</v>
      </c>
      <c r="N4234" s="47" t="s">
        <v>10352</v>
      </c>
      <c r="O4234" s="47" t="s">
        <v>10353</v>
      </c>
      <c r="P4234" s="47"/>
      <c r="Q4234" s="47">
        <v>0</v>
      </c>
      <c r="R4234" s="47"/>
      <c r="S4234" s="47">
        <v>590</v>
      </c>
      <c r="T4234" s="47"/>
      <c r="U4234" s="47" t="s">
        <v>641</v>
      </c>
      <c r="V4234" s="47"/>
      <c r="W4234" s="47"/>
      <c r="X4234" s="47"/>
      <c r="Y4234" s="47"/>
      <c r="Z4234" s="47">
        <v>4620</v>
      </c>
      <c r="AA4234" s="47">
        <v>1400</v>
      </c>
      <c r="AB4234" s="47">
        <v>2800</v>
      </c>
      <c r="AC4234" s="47"/>
      <c r="AD4234" s="47"/>
      <c r="AE4234" s="47"/>
      <c r="AF4234" s="47">
        <v>1485</v>
      </c>
      <c r="AG4234" s="47"/>
      <c r="AH4234" s="47"/>
      <c r="AI4234" s="47"/>
      <c r="AJ4234" s="47"/>
    </row>
    <row r="4235" spans="1:36">
      <c r="A4235" s="374" t="s">
        <v>10347</v>
      </c>
      <c r="B4235" s="374">
        <v>4</v>
      </c>
      <c r="C4235" s="374" t="s">
        <v>3617</v>
      </c>
      <c r="D4235" s="375" t="str">
        <f t="shared" si="943"/>
        <v>Thornhill Gardens4</v>
      </c>
      <c r="E4235" s="375" t="s">
        <v>10354</v>
      </c>
      <c r="F4235" s="375"/>
      <c r="G4235" s="375" t="s">
        <v>10349</v>
      </c>
      <c r="H4235" s="375" t="s">
        <v>10350</v>
      </c>
      <c r="I4235" s="63" t="s">
        <v>10351</v>
      </c>
      <c r="J4235" s="47">
        <v>3740</v>
      </c>
      <c r="K4235" s="46" t="s">
        <v>7938</v>
      </c>
      <c r="L4235" s="47"/>
      <c r="M4235" s="47">
        <v>1430</v>
      </c>
      <c r="N4235" s="47" t="s">
        <v>10352</v>
      </c>
      <c r="O4235" s="47" t="s">
        <v>10353</v>
      </c>
      <c r="P4235" s="47"/>
      <c r="Q4235" s="47">
        <v>0</v>
      </c>
      <c r="R4235" s="47"/>
      <c r="S4235" s="47">
        <v>590</v>
      </c>
      <c r="T4235" s="47"/>
      <c r="U4235" s="47" t="s">
        <v>641</v>
      </c>
      <c r="V4235" s="47"/>
      <c r="W4235" s="47"/>
      <c r="X4235" s="47"/>
      <c r="Y4235" s="47"/>
      <c r="Z4235" s="47">
        <v>4620</v>
      </c>
      <c r="AA4235" s="47">
        <v>1400</v>
      </c>
      <c r="AB4235" s="47">
        <v>2800</v>
      </c>
      <c r="AC4235" s="47"/>
      <c r="AD4235" s="47"/>
      <c r="AE4235" s="47"/>
      <c r="AF4235" s="47">
        <v>1485</v>
      </c>
      <c r="AG4235" s="47"/>
      <c r="AH4235" s="47"/>
      <c r="AI4235" s="47"/>
      <c r="AJ4235" s="47"/>
    </row>
    <row r="4236" spans="1:36">
      <c r="A4236" s="374" t="s">
        <v>10347</v>
      </c>
      <c r="B4236" s="374">
        <v>5</v>
      </c>
      <c r="C4236" s="374" t="s">
        <v>3617</v>
      </c>
      <c r="D4236" s="375" t="str">
        <f t="shared" si="943"/>
        <v>Thornhill Gardens5</v>
      </c>
      <c r="E4236" s="375" t="s">
        <v>10471</v>
      </c>
      <c r="F4236" s="375"/>
      <c r="G4236" s="375" t="s">
        <v>10349</v>
      </c>
      <c r="H4236" s="375" t="s">
        <v>10350</v>
      </c>
      <c r="I4236" s="63" t="s">
        <v>10351</v>
      </c>
      <c r="J4236" s="47">
        <v>3740</v>
      </c>
      <c r="K4236" s="46" t="s">
        <v>7938</v>
      </c>
      <c r="L4236" s="47"/>
      <c r="M4236" s="47">
        <v>1430</v>
      </c>
      <c r="N4236" s="47" t="s">
        <v>10352</v>
      </c>
      <c r="O4236" s="47" t="s">
        <v>10353</v>
      </c>
      <c r="P4236" s="47"/>
      <c r="Q4236" s="47">
        <v>0</v>
      </c>
      <c r="R4236" s="47"/>
      <c r="S4236" s="47">
        <v>590</v>
      </c>
      <c r="T4236" s="47"/>
      <c r="U4236" s="47" t="s">
        <v>641</v>
      </c>
      <c r="V4236" s="47"/>
      <c r="W4236" s="47"/>
      <c r="X4236" s="47"/>
      <c r="Y4236" s="47"/>
      <c r="Z4236" s="47">
        <v>4620</v>
      </c>
      <c r="AA4236" s="47">
        <v>1400</v>
      </c>
      <c r="AB4236" s="47">
        <v>2800</v>
      </c>
      <c r="AC4236" s="47"/>
      <c r="AD4236" s="47"/>
      <c r="AE4236" s="47"/>
      <c r="AF4236" s="47">
        <v>1485</v>
      </c>
      <c r="AG4236" s="47"/>
      <c r="AH4236" s="47"/>
      <c r="AI4236" s="47"/>
      <c r="AJ4236" s="47"/>
    </row>
    <row r="4237" spans="1:36">
      <c r="A4237" s="374" t="s">
        <v>6232</v>
      </c>
      <c r="B4237" s="374">
        <v>2</v>
      </c>
      <c r="C4237" s="374" t="s">
        <v>468</v>
      </c>
      <c r="D4237" s="375" t="str">
        <f t="shared" si="943"/>
        <v>Thornhill Park Estate2</v>
      </c>
      <c r="E4237" s="375" t="s">
        <v>6233</v>
      </c>
      <c r="F4237" s="375" t="s">
        <v>1662</v>
      </c>
      <c r="G4237" s="375" t="s">
        <v>6234</v>
      </c>
      <c r="H4237" s="375" t="s">
        <v>6235</v>
      </c>
      <c r="I4237" s="63" t="s">
        <v>6236</v>
      </c>
      <c r="J4237" s="47">
        <f t="shared" ref="J4237:J4267" si="949">J$7</f>
        <v>3740</v>
      </c>
      <c r="K4237" s="46" t="s">
        <v>7938</v>
      </c>
      <c r="L4237" s="47"/>
      <c r="M4237" s="47">
        <f t="shared" si="948"/>
        <v>1430.0000000000002</v>
      </c>
      <c r="N4237" s="47"/>
      <c r="O4237" s="47" t="s">
        <v>1846</v>
      </c>
      <c r="P4237" s="47"/>
      <c r="Q4237" s="47"/>
      <c r="R4237" s="47"/>
      <c r="S4237" s="47"/>
      <c r="T4237" s="47">
        <f t="shared" ref="T4237:T4267" si="950">T$2</f>
        <v>780</v>
      </c>
      <c r="U4237" s="47"/>
      <c r="V4237" s="47"/>
      <c r="W4237" s="47"/>
      <c r="X4237" s="47"/>
      <c r="Y4237" s="47"/>
      <c r="Z4237" s="47">
        <f t="shared" si="946"/>
        <v>4620</v>
      </c>
      <c r="AA4237" s="47">
        <f t="shared" si="947"/>
        <v>1400</v>
      </c>
      <c r="AB4237" s="47"/>
      <c r="AC4237" s="47"/>
      <c r="AD4237" s="47"/>
      <c r="AE4237" s="47"/>
      <c r="AF4237" s="47"/>
      <c r="AG4237" s="47"/>
      <c r="AH4237" s="47" t="str">
        <f>IFERROR(_xlfn.XLOOKUP(Table6[[#This Row],[Suburb]],Table5[Travel Surcharge],Table5[$$]),"")</f>
        <v/>
      </c>
      <c r="AI4237" s="47">
        <f t="shared" ref="AI4237:AI4267" si="951">AI$7</f>
        <v>1650.0000000000002</v>
      </c>
      <c r="AJ4237" s="47"/>
    </row>
    <row r="4238" spans="1:36">
      <c r="A4238" s="374" t="s">
        <v>6232</v>
      </c>
      <c r="B4238" s="374">
        <v>3</v>
      </c>
      <c r="C4238" s="374" t="s">
        <v>468</v>
      </c>
      <c r="D4238" s="375" t="str">
        <f t="shared" si="943"/>
        <v>Thornhill Park Estate3</v>
      </c>
      <c r="E4238" s="375" t="s">
        <v>6237</v>
      </c>
      <c r="F4238" s="375" t="s">
        <v>1662</v>
      </c>
      <c r="G4238" s="375" t="s">
        <v>6234</v>
      </c>
      <c r="H4238" s="375" t="s">
        <v>6235</v>
      </c>
      <c r="I4238" s="63" t="s">
        <v>6236</v>
      </c>
      <c r="J4238" s="47">
        <f t="shared" si="949"/>
        <v>3740</v>
      </c>
      <c r="K4238" s="46" t="s">
        <v>7938</v>
      </c>
      <c r="L4238" s="47"/>
      <c r="M4238" s="47">
        <f t="shared" si="948"/>
        <v>1430.0000000000002</v>
      </c>
      <c r="N4238" s="47"/>
      <c r="O4238" s="47" t="s">
        <v>1846</v>
      </c>
      <c r="P4238" s="47"/>
      <c r="Q4238" s="47"/>
      <c r="R4238" s="47"/>
      <c r="S4238" s="47"/>
      <c r="T4238" s="47">
        <f t="shared" si="950"/>
        <v>780</v>
      </c>
      <c r="U4238" s="47"/>
      <c r="V4238" s="47"/>
      <c r="W4238" s="47"/>
      <c r="X4238" s="47"/>
      <c r="Y4238" s="47"/>
      <c r="Z4238" s="47">
        <f t="shared" si="946"/>
        <v>4620</v>
      </c>
      <c r="AA4238" s="47">
        <f t="shared" si="947"/>
        <v>1400</v>
      </c>
      <c r="AB4238" s="47"/>
      <c r="AC4238" s="47"/>
      <c r="AD4238" s="47"/>
      <c r="AE4238" s="47"/>
      <c r="AF4238" s="47"/>
      <c r="AG4238" s="47"/>
      <c r="AH4238" s="47" t="str">
        <f>IFERROR(_xlfn.XLOOKUP(Table6[[#This Row],[Suburb]],Table5[Travel Surcharge],Table5[$$]),"")</f>
        <v/>
      </c>
      <c r="AI4238" s="47">
        <f t="shared" si="951"/>
        <v>1650.0000000000002</v>
      </c>
      <c r="AJ4238" s="47"/>
    </row>
    <row r="4239" spans="1:36">
      <c r="A4239" s="374" t="s">
        <v>6232</v>
      </c>
      <c r="B4239" s="374">
        <v>4</v>
      </c>
      <c r="C4239" s="374" t="s">
        <v>468</v>
      </c>
      <c r="D4239" s="375" t="str">
        <f t="shared" si="943"/>
        <v>Thornhill Park Estate4</v>
      </c>
      <c r="E4239" s="375" t="s">
        <v>6238</v>
      </c>
      <c r="F4239" s="375" t="s">
        <v>1662</v>
      </c>
      <c r="G4239" s="375" t="s">
        <v>6234</v>
      </c>
      <c r="H4239" s="375" t="s">
        <v>6235</v>
      </c>
      <c r="I4239" s="63" t="s">
        <v>6236</v>
      </c>
      <c r="J4239" s="47">
        <f t="shared" si="949"/>
        <v>3740</v>
      </c>
      <c r="K4239" s="46" t="s">
        <v>7938</v>
      </c>
      <c r="L4239" s="47"/>
      <c r="M4239" s="47">
        <f t="shared" si="948"/>
        <v>1430.0000000000002</v>
      </c>
      <c r="N4239" s="47"/>
      <c r="O4239" s="47" t="s">
        <v>1846</v>
      </c>
      <c r="P4239" s="47"/>
      <c r="Q4239" s="47"/>
      <c r="R4239" s="47"/>
      <c r="S4239" s="47"/>
      <c r="T4239" s="47">
        <f t="shared" si="950"/>
        <v>780</v>
      </c>
      <c r="U4239" s="47"/>
      <c r="V4239" s="47"/>
      <c r="W4239" s="47"/>
      <c r="X4239" s="47"/>
      <c r="Y4239" s="47"/>
      <c r="Z4239" s="47">
        <f t="shared" si="946"/>
        <v>4620</v>
      </c>
      <c r="AA4239" s="47">
        <f t="shared" si="947"/>
        <v>1400</v>
      </c>
      <c r="AB4239" s="47"/>
      <c r="AC4239" s="47"/>
      <c r="AD4239" s="47"/>
      <c r="AE4239" s="47"/>
      <c r="AF4239" s="47"/>
      <c r="AG4239" s="47"/>
      <c r="AH4239" s="47" t="str">
        <f>IFERROR(_xlfn.XLOOKUP(Table6[[#This Row],[Suburb]],Table5[Travel Surcharge],Table5[$$]),"")</f>
        <v/>
      </c>
      <c r="AI4239" s="47">
        <f t="shared" si="951"/>
        <v>1650.0000000000002</v>
      </c>
      <c r="AJ4239" s="47"/>
    </row>
    <row r="4240" spans="1:36">
      <c r="A4240" s="374" t="s">
        <v>6232</v>
      </c>
      <c r="B4240" s="374">
        <v>5</v>
      </c>
      <c r="C4240" s="374" t="s">
        <v>468</v>
      </c>
      <c r="D4240" s="375" t="str">
        <f t="shared" si="943"/>
        <v>Thornhill Park Estate5</v>
      </c>
      <c r="E4240" s="375" t="s">
        <v>6239</v>
      </c>
      <c r="F4240" s="375" t="s">
        <v>1662</v>
      </c>
      <c r="G4240" s="375" t="s">
        <v>6234</v>
      </c>
      <c r="H4240" s="375" t="s">
        <v>6235</v>
      </c>
      <c r="I4240" s="63" t="s">
        <v>6236</v>
      </c>
      <c r="J4240" s="47">
        <f t="shared" si="949"/>
        <v>3740</v>
      </c>
      <c r="K4240" s="46" t="s">
        <v>7938</v>
      </c>
      <c r="L4240" s="47"/>
      <c r="M4240" s="47">
        <f t="shared" si="948"/>
        <v>1430.0000000000002</v>
      </c>
      <c r="N4240" s="47"/>
      <c r="O4240" s="47" t="s">
        <v>1846</v>
      </c>
      <c r="P4240" s="47"/>
      <c r="Q4240" s="47"/>
      <c r="R4240" s="47"/>
      <c r="S4240" s="47"/>
      <c r="T4240" s="47">
        <f t="shared" si="950"/>
        <v>780</v>
      </c>
      <c r="U4240" s="47"/>
      <c r="V4240" s="47"/>
      <c r="W4240" s="47"/>
      <c r="X4240" s="47"/>
      <c r="Y4240" s="47"/>
      <c r="Z4240" s="47">
        <f t="shared" si="946"/>
        <v>4620</v>
      </c>
      <c r="AA4240" s="47">
        <f t="shared" si="947"/>
        <v>1400</v>
      </c>
      <c r="AB4240" s="47"/>
      <c r="AC4240" s="47"/>
      <c r="AD4240" s="47"/>
      <c r="AE4240" s="47"/>
      <c r="AF4240" s="47"/>
      <c r="AG4240" s="47"/>
      <c r="AH4240" s="47" t="str">
        <f>IFERROR(_xlfn.XLOOKUP(Table6[[#This Row],[Suburb]],Table5[Travel Surcharge],Table5[$$]),"")</f>
        <v/>
      </c>
      <c r="AI4240" s="47">
        <f t="shared" si="951"/>
        <v>1650.0000000000002</v>
      </c>
      <c r="AJ4240" s="47"/>
    </row>
    <row r="4241" spans="1:36">
      <c r="A4241" s="374" t="s">
        <v>6232</v>
      </c>
      <c r="B4241" s="374">
        <v>6</v>
      </c>
      <c r="C4241" s="374" t="s">
        <v>468</v>
      </c>
      <c r="D4241" s="375" t="str">
        <f t="shared" si="943"/>
        <v>Thornhill Park Estate6</v>
      </c>
      <c r="E4241" s="375" t="s">
        <v>6240</v>
      </c>
      <c r="F4241" s="375" t="s">
        <v>1662</v>
      </c>
      <c r="G4241" s="375" t="s">
        <v>6234</v>
      </c>
      <c r="H4241" s="375" t="s">
        <v>6235</v>
      </c>
      <c r="I4241" s="63" t="s">
        <v>6236</v>
      </c>
      <c r="J4241" s="47">
        <f t="shared" si="949"/>
        <v>3740</v>
      </c>
      <c r="K4241" s="46" t="s">
        <v>7938</v>
      </c>
      <c r="L4241" s="47"/>
      <c r="M4241" s="47">
        <f t="shared" si="948"/>
        <v>1430.0000000000002</v>
      </c>
      <c r="N4241" s="47"/>
      <c r="O4241" s="47" t="s">
        <v>1846</v>
      </c>
      <c r="P4241" s="47"/>
      <c r="Q4241" s="47"/>
      <c r="R4241" s="47"/>
      <c r="S4241" s="47"/>
      <c r="T4241" s="47">
        <f t="shared" si="950"/>
        <v>780</v>
      </c>
      <c r="U4241" s="47"/>
      <c r="V4241" s="47"/>
      <c r="W4241" s="47"/>
      <c r="X4241" s="47"/>
      <c r="Y4241" s="47"/>
      <c r="Z4241" s="47">
        <f t="shared" si="946"/>
        <v>4620</v>
      </c>
      <c r="AA4241" s="47">
        <f t="shared" si="947"/>
        <v>1400</v>
      </c>
      <c r="AB4241" s="47"/>
      <c r="AC4241" s="47"/>
      <c r="AD4241" s="47"/>
      <c r="AE4241" s="47"/>
      <c r="AF4241" s="47"/>
      <c r="AG4241" s="47"/>
      <c r="AH4241" s="47" t="str">
        <f>IFERROR(_xlfn.XLOOKUP(Table6[[#This Row],[Suburb]],Table5[Travel Surcharge],Table5[$$]),"")</f>
        <v/>
      </c>
      <c r="AI4241" s="47">
        <f t="shared" si="951"/>
        <v>1650.0000000000002</v>
      </c>
      <c r="AJ4241" s="47"/>
    </row>
    <row r="4242" spans="1:36">
      <c r="A4242" s="374" t="s">
        <v>6232</v>
      </c>
      <c r="B4242" s="374">
        <v>7</v>
      </c>
      <c r="C4242" s="374" t="s">
        <v>468</v>
      </c>
      <c r="D4242" s="375" t="str">
        <f t="shared" si="943"/>
        <v>Thornhill Park Estate7</v>
      </c>
      <c r="E4242" s="375" t="s">
        <v>6241</v>
      </c>
      <c r="F4242" s="375" t="s">
        <v>1662</v>
      </c>
      <c r="G4242" s="375" t="s">
        <v>6234</v>
      </c>
      <c r="H4242" s="375" t="s">
        <v>6235</v>
      </c>
      <c r="I4242" s="63" t="s">
        <v>6236</v>
      </c>
      <c r="J4242" s="47">
        <f t="shared" si="949"/>
        <v>3740</v>
      </c>
      <c r="K4242" s="46" t="s">
        <v>7938</v>
      </c>
      <c r="L4242" s="47"/>
      <c r="M4242" s="47">
        <f t="shared" si="948"/>
        <v>1430.0000000000002</v>
      </c>
      <c r="N4242" s="47"/>
      <c r="O4242" s="47" t="s">
        <v>1846</v>
      </c>
      <c r="P4242" s="47"/>
      <c r="Q4242" s="47"/>
      <c r="R4242" s="47"/>
      <c r="S4242" s="47"/>
      <c r="T4242" s="47">
        <f t="shared" si="950"/>
        <v>780</v>
      </c>
      <c r="U4242" s="47"/>
      <c r="V4242" s="47"/>
      <c r="W4242" s="47"/>
      <c r="X4242" s="47"/>
      <c r="Y4242" s="47"/>
      <c r="Z4242" s="47">
        <f t="shared" si="946"/>
        <v>4620</v>
      </c>
      <c r="AA4242" s="47">
        <f t="shared" si="947"/>
        <v>1400</v>
      </c>
      <c r="AB4242" s="47"/>
      <c r="AC4242" s="47"/>
      <c r="AD4242" s="47"/>
      <c r="AE4242" s="47"/>
      <c r="AF4242" s="47"/>
      <c r="AG4242" s="47"/>
      <c r="AH4242" s="47" t="str">
        <f>IFERROR(_xlfn.XLOOKUP(Table6[[#This Row],[Suburb]],Table5[Travel Surcharge],Table5[$$]),"")</f>
        <v/>
      </c>
      <c r="AI4242" s="47">
        <f t="shared" si="951"/>
        <v>1650.0000000000002</v>
      </c>
      <c r="AJ4242" s="47"/>
    </row>
    <row r="4243" spans="1:36">
      <c r="A4243" s="374" t="s">
        <v>6232</v>
      </c>
      <c r="B4243" s="374">
        <v>8</v>
      </c>
      <c r="C4243" s="374" t="s">
        <v>468</v>
      </c>
      <c r="D4243" s="375" t="str">
        <f t="shared" si="943"/>
        <v>Thornhill Park Estate8</v>
      </c>
      <c r="E4243" s="375" t="s">
        <v>6242</v>
      </c>
      <c r="F4243" s="375" t="s">
        <v>1662</v>
      </c>
      <c r="G4243" s="375" t="s">
        <v>6234</v>
      </c>
      <c r="H4243" s="375" t="s">
        <v>6235</v>
      </c>
      <c r="I4243" s="63" t="s">
        <v>6236</v>
      </c>
      <c r="J4243" s="47">
        <f t="shared" si="949"/>
        <v>3740</v>
      </c>
      <c r="K4243" s="46" t="s">
        <v>7938</v>
      </c>
      <c r="L4243" s="47"/>
      <c r="M4243" s="47">
        <f t="shared" si="948"/>
        <v>1430.0000000000002</v>
      </c>
      <c r="N4243" s="47"/>
      <c r="O4243" s="47" t="s">
        <v>1846</v>
      </c>
      <c r="P4243" s="47"/>
      <c r="Q4243" s="47"/>
      <c r="R4243" s="47"/>
      <c r="S4243" s="47"/>
      <c r="T4243" s="47">
        <f t="shared" si="950"/>
        <v>780</v>
      </c>
      <c r="U4243" s="47"/>
      <c r="V4243" s="47"/>
      <c r="W4243" s="47"/>
      <c r="X4243" s="47"/>
      <c r="Y4243" s="47"/>
      <c r="Z4243" s="47">
        <f t="shared" si="946"/>
        <v>4620</v>
      </c>
      <c r="AA4243" s="47">
        <f t="shared" si="947"/>
        <v>1400</v>
      </c>
      <c r="AB4243" s="47"/>
      <c r="AC4243" s="47"/>
      <c r="AD4243" s="47"/>
      <c r="AE4243" s="47"/>
      <c r="AF4243" s="47"/>
      <c r="AG4243" s="47"/>
      <c r="AH4243" s="47" t="str">
        <f>IFERROR(_xlfn.XLOOKUP(Table6[[#This Row],[Suburb]],Table5[Travel Surcharge],Table5[$$]),"")</f>
        <v/>
      </c>
      <c r="AI4243" s="47">
        <f t="shared" si="951"/>
        <v>1650.0000000000002</v>
      </c>
      <c r="AJ4243" s="47"/>
    </row>
    <row r="4244" spans="1:36">
      <c r="A4244" s="374" t="s">
        <v>6232</v>
      </c>
      <c r="B4244" s="374">
        <v>10</v>
      </c>
      <c r="C4244" s="374" t="s">
        <v>468</v>
      </c>
      <c r="D4244" s="375" t="str">
        <f t="shared" si="943"/>
        <v>Thornhill Park Estate10</v>
      </c>
      <c r="E4244" s="375" t="s">
        <v>6243</v>
      </c>
      <c r="F4244" s="375" t="s">
        <v>1662</v>
      </c>
      <c r="G4244" s="375" t="s">
        <v>6234</v>
      </c>
      <c r="H4244" s="375" t="s">
        <v>6235</v>
      </c>
      <c r="I4244" s="63" t="s">
        <v>6236</v>
      </c>
      <c r="J4244" s="47">
        <f t="shared" si="949"/>
        <v>3740</v>
      </c>
      <c r="K4244" s="46" t="s">
        <v>7938</v>
      </c>
      <c r="L4244" s="47"/>
      <c r="M4244" s="47">
        <f t="shared" si="948"/>
        <v>1430.0000000000002</v>
      </c>
      <c r="N4244" s="47"/>
      <c r="O4244" s="47" t="s">
        <v>1846</v>
      </c>
      <c r="P4244" s="47"/>
      <c r="Q4244" s="47"/>
      <c r="R4244" s="47"/>
      <c r="S4244" s="47"/>
      <c r="T4244" s="47">
        <f t="shared" si="950"/>
        <v>780</v>
      </c>
      <c r="U4244" s="47"/>
      <c r="V4244" s="47"/>
      <c r="W4244" s="47"/>
      <c r="X4244" s="47"/>
      <c r="Y4244" s="47"/>
      <c r="Z4244" s="47">
        <f t="shared" si="946"/>
        <v>4620</v>
      </c>
      <c r="AA4244" s="47">
        <f t="shared" si="947"/>
        <v>1400</v>
      </c>
      <c r="AB4244" s="47"/>
      <c r="AC4244" s="47"/>
      <c r="AD4244" s="47"/>
      <c r="AE4244" s="47"/>
      <c r="AF4244" s="47"/>
      <c r="AG4244" s="47"/>
      <c r="AH4244" s="47" t="str">
        <f>IFERROR(_xlfn.XLOOKUP(Table6[[#This Row],[Suburb]],Table5[Travel Surcharge],Table5[$$]),"")</f>
        <v/>
      </c>
      <c r="AI4244" s="47">
        <f t="shared" si="951"/>
        <v>1650.0000000000002</v>
      </c>
      <c r="AJ4244" s="47"/>
    </row>
    <row r="4245" spans="1:36">
      <c r="A4245" s="374" t="s">
        <v>6232</v>
      </c>
      <c r="B4245" s="374">
        <v>11</v>
      </c>
      <c r="C4245" s="374" t="s">
        <v>468</v>
      </c>
      <c r="D4245" s="375" t="str">
        <f t="shared" si="943"/>
        <v>Thornhill Park Estate11</v>
      </c>
      <c r="E4245" s="375" t="s">
        <v>6244</v>
      </c>
      <c r="F4245" s="375" t="s">
        <v>1662</v>
      </c>
      <c r="G4245" s="375" t="s">
        <v>6234</v>
      </c>
      <c r="H4245" s="375" t="s">
        <v>6235</v>
      </c>
      <c r="I4245" s="63" t="s">
        <v>6236</v>
      </c>
      <c r="J4245" s="47">
        <f t="shared" si="949"/>
        <v>3740</v>
      </c>
      <c r="K4245" s="46" t="s">
        <v>7938</v>
      </c>
      <c r="L4245" s="47"/>
      <c r="M4245" s="47">
        <f t="shared" si="948"/>
        <v>1430.0000000000002</v>
      </c>
      <c r="N4245" s="47"/>
      <c r="O4245" s="47" t="s">
        <v>1846</v>
      </c>
      <c r="P4245" s="47"/>
      <c r="Q4245" s="47"/>
      <c r="R4245" s="47"/>
      <c r="S4245" s="47"/>
      <c r="T4245" s="47">
        <f t="shared" si="950"/>
        <v>780</v>
      </c>
      <c r="U4245" s="47"/>
      <c r="V4245" s="47"/>
      <c r="W4245" s="47"/>
      <c r="X4245" s="47"/>
      <c r="Y4245" s="47"/>
      <c r="Z4245" s="47">
        <f t="shared" si="946"/>
        <v>4620</v>
      </c>
      <c r="AA4245" s="47">
        <f t="shared" si="947"/>
        <v>1400</v>
      </c>
      <c r="AB4245" s="47"/>
      <c r="AC4245" s="47"/>
      <c r="AD4245" s="47"/>
      <c r="AE4245" s="47"/>
      <c r="AF4245" s="47"/>
      <c r="AG4245" s="47"/>
      <c r="AH4245" s="47" t="str">
        <f>IFERROR(_xlfn.XLOOKUP(Table6[[#This Row],[Suburb]],Table5[Travel Surcharge],Table5[$$]),"")</f>
        <v/>
      </c>
      <c r="AI4245" s="47">
        <f t="shared" si="951"/>
        <v>1650.0000000000002</v>
      </c>
      <c r="AJ4245" s="47"/>
    </row>
    <row r="4246" spans="1:36">
      <c r="A4246" s="374" t="s">
        <v>6232</v>
      </c>
      <c r="B4246" s="374">
        <v>12</v>
      </c>
      <c r="C4246" s="374" t="s">
        <v>468</v>
      </c>
      <c r="D4246" s="375" t="str">
        <f t="shared" si="943"/>
        <v>Thornhill Park Estate12</v>
      </c>
      <c r="E4246" s="375" t="s">
        <v>6245</v>
      </c>
      <c r="F4246" s="375" t="s">
        <v>1662</v>
      </c>
      <c r="G4246" s="375" t="s">
        <v>6234</v>
      </c>
      <c r="H4246" s="375" t="s">
        <v>6235</v>
      </c>
      <c r="I4246" s="63" t="s">
        <v>6236</v>
      </c>
      <c r="J4246" s="47">
        <f t="shared" si="949"/>
        <v>3740</v>
      </c>
      <c r="K4246" s="46" t="s">
        <v>7938</v>
      </c>
      <c r="L4246" s="47"/>
      <c r="M4246" s="47">
        <f t="shared" si="948"/>
        <v>1430.0000000000002</v>
      </c>
      <c r="N4246" s="47"/>
      <c r="O4246" s="47" t="s">
        <v>1846</v>
      </c>
      <c r="P4246" s="47"/>
      <c r="Q4246" s="47"/>
      <c r="R4246" s="47"/>
      <c r="S4246" s="47"/>
      <c r="T4246" s="47">
        <f t="shared" si="950"/>
        <v>780</v>
      </c>
      <c r="U4246" s="47"/>
      <c r="V4246" s="47"/>
      <c r="W4246" s="47"/>
      <c r="X4246" s="47"/>
      <c r="Y4246" s="47"/>
      <c r="Z4246" s="47">
        <f t="shared" si="946"/>
        <v>4620</v>
      </c>
      <c r="AA4246" s="47">
        <f t="shared" si="947"/>
        <v>1400</v>
      </c>
      <c r="AB4246" s="47"/>
      <c r="AC4246" s="47"/>
      <c r="AD4246" s="47"/>
      <c r="AE4246" s="47"/>
      <c r="AF4246" s="47"/>
      <c r="AG4246" s="47"/>
      <c r="AH4246" s="47" t="str">
        <f>IFERROR(_xlfn.XLOOKUP(Table6[[#This Row],[Suburb]],Table5[Travel Surcharge],Table5[$$]),"")</f>
        <v/>
      </c>
      <c r="AI4246" s="47">
        <f t="shared" si="951"/>
        <v>1650.0000000000002</v>
      </c>
      <c r="AJ4246" s="47"/>
    </row>
    <row r="4247" spans="1:36">
      <c r="A4247" s="374" t="s">
        <v>6232</v>
      </c>
      <c r="B4247" s="374">
        <v>13</v>
      </c>
      <c r="C4247" s="374" t="s">
        <v>468</v>
      </c>
      <c r="D4247" s="375" t="str">
        <f t="shared" si="943"/>
        <v>Thornhill Park Estate13</v>
      </c>
      <c r="E4247" s="375" t="s">
        <v>6246</v>
      </c>
      <c r="F4247" s="375" t="s">
        <v>1662</v>
      </c>
      <c r="G4247" s="375" t="s">
        <v>6234</v>
      </c>
      <c r="H4247" s="375" t="s">
        <v>6235</v>
      </c>
      <c r="I4247" s="63" t="s">
        <v>6236</v>
      </c>
      <c r="J4247" s="47">
        <f t="shared" si="949"/>
        <v>3740</v>
      </c>
      <c r="K4247" s="46" t="s">
        <v>7938</v>
      </c>
      <c r="L4247" s="47"/>
      <c r="M4247" s="47">
        <f t="shared" si="948"/>
        <v>1430.0000000000002</v>
      </c>
      <c r="N4247" s="47"/>
      <c r="O4247" s="47" t="s">
        <v>1846</v>
      </c>
      <c r="P4247" s="47"/>
      <c r="Q4247" s="47"/>
      <c r="R4247" s="47"/>
      <c r="S4247" s="47"/>
      <c r="T4247" s="47">
        <f t="shared" si="950"/>
        <v>780</v>
      </c>
      <c r="U4247" s="47"/>
      <c r="V4247" s="47"/>
      <c r="W4247" s="47"/>
      <c r="X4247" s="47"/>
      <c r="Y4247" s="47"/>
      <c r="Z4247" s="47">
        <f t="shared" si="946"/>
        <v>4620</v>
      </c>
      <c r="AA4247" s="47">
        <f t="shared" si="947"/>
        <v>1400</v>
      </c>
      <c r="AB4247" s="47"/>
      <c r="AC4247" s="47"/>
      <c r="AD4247" s="47"/>
      <c r="AE4247" s="47"/>
      <c r="AF4247" s="47"/>
      <c r="AG4247" s="47"/>
      <c r="AH4247" s="47" t="str">
        <f>IFERROR(_xlfn.XLOOKUP(Table6[[#This Row],[Suburb]],Table5[Travel Surcharge],Table5[$$]),"")</f>
        <v/>
      </c>
      <c r="AI4247" s="47">
        <f t="shared" si="951"/>
        <v>1650.0000000000002</v>
      </c>
      <c r="AJ4247" s="47"/>
    </row>
    <row r="4248" spans="1:36">
      <c r="A4248" s="374" t="s">
        <v>6232</v>
      </c>
      <c r="B4248" s="374">
        <v>14</v>
      </c>
      <c r="C4248" s="374" t="s">
        <v>468</v>
      </c>
      <c r="D4248" s="375" t="str">
        <f t="shared" si="943"/>
        <v>Thornhill Park Estate14</v>
      </c>
      <c r="E4248" s="375" t="s">
        <v>6247</v>
      </c>
      <c r="F4248" s="375" t="s">
        <v>1662</v>
      </c>
      <c r="G4248" s="375" t="s">
        <v>6234</v>
      </c>
      <c r="H4248" s="375" t="s">
        <v>6235</v>
      </c>
      <c r="I4248" s="63" t="s">
        <v>6236</v>
      </c>
      <c r="J4248" s="47">
        <f t="shared" si="949"/>
        <v>3740</v>
      </c>
      <c r="K4248" s="46" t="s">
        <v>7938</v>
      </c>
      <c r="L4248" s="47"/>
      <c r="M4248" s="47">
        <f t="shared" si="948"/>
        <v>1430.0000000000002</v>
      </c>
      <c r="N4248" s="47"/>
      <c r="O4248" s="47" t="s">
        <v>1846</v>
      </c>
      <c r="P4248" s="47"/>
      <c r="Q4248" s="47"/>
      <c r="R4248" s="47"/>
      <c r="S4248" s="47"/>
      <c r="T4248" s="47">
        <f t="shared" si="950"/>
        <v>780</v>
      </c>
      <c r="U4248" s="47"/>
      <c r="V4248" s="47"/>
      <c r="W4248" s="47"/>
      <c r="X4248" s="47"/>
      <c r="Y4248" s="47"/>
      <c r="Z4248" s="47">
        <f t="shared" si="946"/>
        <v>4620</v>
      </c>
      <c r="AA4248" s="47">
        <f t="shared" si="947"/>
        <v>1400</v>
      </c>
      <c r="AB4248" s="47"/>
      <c r="AC4248" s="47"/>
      <c r="AD4248" s="47"/>
      <c r="AE4248" s="47"/>
      <c r="AF4248" s="47"/>
      <c r="AG4248" s="47"/>
      <c r="AH4248" s="47" t="str">
        <f>IFERROR(_xlfn.XLOOKUP(Table6[[#This Row],[Suburb]],Table5[Travel Surcharge],Table5[$$]),"")</f>
        <v/>
      </c>
      <c r="AI4248" s="47">
        <f t="shared" si="951"/>
        <v>1650.0000000000002</v>
      </c>
      <c r="AJ4248" s="47"/>
    </row>
    <row r="4249" spans="1:36">
      <c r="A4249" s="374" t="s">
        <v>6232</v>
      </c>
      <c r="B4249" s="374">
        <v>15</v>
      </c>
      <c r="C4249" s="374" t="s">
        <v>468</v>
      </c>
      <c r="D4249" s="375" t="str">
        <f t="shared" si="943"/>
        <v>Thornhill Park Estate15</v>
      </c>
      <c r="E4249" s="375" t="s">
        <v>6248</v>
      </c>
      <c r="F4249" s="375" t="s">
        <v>1662</v>
      </c>
      <c r="G4249" s="375" t="s">
        <v>6234</v>
      </c>
      <c r="H4249" s="375" t="s">
        <v>6235</v>
      </c>
      <c r="I4249" s="63" t="s">
        <v>6236</v>
      </c>
      <c r="J4249" s="47">
        <f t="shared" si="949"/>
        <v>3740</v>
      </c>
      <c r="K4249" s="46" t="s">
        <v>7938</v>
      </c>
      <c r="L4249" s="47"/>
      <c r="M4249" s="47">
        <f t="shared" si="948"/>
        <v>1430.0000000000002</v>
      </c>
      <c r="N4249" s="47"/>
      <c r="O4249" s="47" t="s">
        <v>1846</v>
      </c>
      <c r="P4249" s="47"/>
      <c r="Q4249" s="47"/>
      <c r="R4249" s="47"/>
      <c r="S4249" s="47"/>
      <c r="T4249" s="47">
        <f t="shared" si="950"/>
        <v>780</v>
      </c>
      <c r="U4249" s="47"/>
      <c r="V4249" s="47"/>
      <c r="W4249" s="47"/>
      <c r="X4249" s="47"/>
      <c r="Y4249" s="47"/>
      <c r="Z4249" s="47">
        <f t="shared" si="946"/>
        <v>4620</v>
      </c>
      <c r="AA4249" s="47">
        <f t="shared" si="947"/>
        <v>1400</v>
      </c>
      <c r="AB4249" s="47"/>
      <c r="AC4249" s="47"/>
      <c r="AD4249" s="47"/>
      <c r="AE4249" s="47"/>
      <c r="AF4249" s="47"/>
      <c r="AG4249" s="47"/>
      <c r="AH4249" s="47" t="str">
        <f>IFERROR(_xlfn.XLOOKUP(Table6[[#This Row],[Suburb]],Table5[Travel Surcharge],Table5[$$]),"")</f>
        <v/>
      </c>
      <c r="AI4249" s="47">
        <f t="shared" si="951"/>
        <v>1650.0000000000002</v>
      </c>
      <c r="AJ4249" s="47"/>
    </row>
    <row r="4250" spans="1:36">
      <c r="A4250" s="374" t="s">
        <v>6232</v>
      </c>
      <c r="B4250" s="374">
        <v>16</v>
      </c>
      <c r="C4250" s="374" t="s">
        <v>468</v>
      </c>
      <c r="D4250" s="375" t="str">
        <f t="shared" si="943"/>
        <v>Thornhill Park Estate16</v>
      </c>
      <c r="E4250" s="375" t="s">
        <v>6249</v>
      </c>
      <c r="F4250" s="375" t="s">
        <v>1662</v>
      </c>
      <c r="G4250" s="375" t="s">
        <v>6234</v>
      </c>
      <c r="H4250" s="375" t="s">
        <v>6235</v>
      </c>
      <c r="I4250" s="63" t="s">
        <v>6236</v>
      </c>
      <c r="J4250" s="47">
        <f t="shared" si="949"/>
        <v>3740</v>
      </c>
      <c r="K4250" s="46" t="s">
        <v>7938</v>
      </c>
      <c r="L4250" s="47"/>
      <c r="M4250" s="47">
        <f t="shared" si="948"/>
        <v>1430.0000000000002</v>
      </c>
      <c r="N4250" s="47"/>
      <c r="O4250" s="47" t="s">
        <v>1846</v>
      </c>
      <c r="P4250" s="47"/>
      <c r="Q4250" s="47"/>
      <c r="R4250" s="47"/>
      <c r="S4250" s="47"/>
      <c r="T4250" s="47">
        <f t="shared" si="950"/>
        <v>780</v>
      </c>
      <c r="U4250" s="47"/>
      <c r="V4250" s="47"/>
      <c r="W4250" s="47"/>
      <c r="X4250" s="47"/>
      <c r="Y4250" s="47"/>
      <c r="Z4250" s="47">
        <f t="shared" si="946"/>
        <v>4620</v>
      </c>
      <c r="AA4250" s="47">
        <f t="shared" si="947"/>
        <v>1400</v>
      </c>
      <c r="AB4250" s="47"/>
      <c r="AC4250" s="47"/>
      <c r="AD4250" s="47"/>
      <c r="AE4250" s="47"/>
      <c r="AF4250" s="47"/>
      <c r="AG4250" s="47"/>
      <c r="AH4250" s="47" t="str">
        <f>IFERROR(_xlfn.XLOOKUP(Table6[[#This Row],[Suburb]],Table5[Travel Surcharge],Table5[$$]),"")</f>
        <v/>
      </c>
      <c r="AI4250" s="47">
        <f t="shared" si="951"/>
        <v>1650.0000000000002</v>
      </c>
      <c r="AJ4250" s="47"/>
    </row>
    <row r="4251" spans="1:36">
      <c r="A4251" s="374" t="s">
        <v>6232</v>
      </c>
      <c r="B4251" s="374">
        <v>17</v>
      </c>
      <c r="C4251" s="374" t="s">
        <v>468</v>
      </c>
      <c r="D4251" s="375" t="str">
        <f t="shared" si="943"/>
        <v>Thornhill Park Estate17</v>
      </c>
      <c r="E4251" s="375" t="s">
        <v>6250</v>
      </c>
      <c r="F4251" s="375" t="s">
        <v>1662</v>
      </c>
      <c r="G4251" s="375" t="s">
        <v>6234</v>
      </c>
      <c r="H4251" s="375" t="s">
        <v>6235</v>
      </c>
      <c r="I4251" s="63" t="s">
        <v>6236</v>
      </c>
      <c r="J4251" s="47">
        <f t="shared" si="949"/>
        <v>3740</v>
      </c>
      <c r="K4251" s="46" t="s">
        <v>7938</v>
      </c>
      <c r="L4251" s="47"/>
      <c r="M4251" s="47">
        <f t="shared" si="948"/>
        <v>1430.0000000000002</v>
      </c>
      <c r="N4251" s="47"/>
      <c r="O4251" s="47" t="s">
        <v>1846</v>
      </c>
      <c r="P4251" s="47"/>
      <c r="Q4251" s="47"/>
      <c r="R4251" s="47"/>
      <c r="S4251" s="47"/>
      <c r="T4251" s="47">
        <f t="shared" si="950"/>
        <v>780</v>
      </c>
      <c r="U4251" s="47"/>
      <c r="V4251" s="47"/>
      <c r="W4251" s="47"/>
      <c r="X4251" s="47"/>
      <c r="Y4251" s="47"/>
      <c r="Z4251" s="47">
        <f t="shared" si="946"/>
        <v>4620</v>
      </c>
      <c r="AA4251" s="47">
        <f t="shared" si="947"/>
        <v>1400</v>
      </c>
      <c r="AB4251" s="47"/>
      <c r="AC4251" s="47"/>
      <c r="AD4251" s="47"/>
      <c r="AE4251" s="47"/>
      <c r="AF4251" s="47"/>
      <c r="AG4251" s="47"/>
      <c r="AH4251" s="47" t="str">
        <f>IFERROR(_xlfn.XLOOKUP(Table6[[#This Row],[Suburb]],Table5[Travel Surcharge],Table5[$$]),"")</f>
        <v/>
      </c>
      <c r="AI4251" s="47">
        <f t="shared" si="951"/>
        <v>1650.0000000000002</v>
      </c>
      <c r="AJ4251" s="47"/>
    </row>
    <row r="4252" spans="1:36">
      <c r="A4252" s="374" t="s">
        <v>6232</v>
      </c>
      <c r="B4252" s="374">
        <v>18</v>
      </c>
      <c r="C4252" s="374" t="s">
        <v>468</v>
      </c>
      <c r="D4252" s="375" t="str">
        <f t="shared" si="943"/>
        <v>Thornhill Park Estate18</v>
      </c>
      <c r="E4252" s="375" t="s">
        <v>6251</v>
      </c>
      <c r="F4252" s="375" t="s">
        <v>1662</v>
      </c>
      <c r="G4252" s="375" t="s">
        <v>6234</v>
      </c>
      <c r="H4252" s="375" t="s">
        <v>6235</v>
      </c>
      <c r="I4252" s="63" t="s">
        <v>6236</v>
      </c>
      <c r="J4252" s="47">
        <f t="shared" si="949"/>
        <v>3740</v>
      </c>
      <c r="K4252" s="46" t="s">
        <v>7938</v>
      </c>
      <c r="L4252" s="47"/>
      <c r="M4252" s="47">
        <f t="shared" si="948"/>
        <v>1430.0000000000002</v>
      </c>
      <c r="N4252" s="47"/>
      <c r="O4252" s="47" t="s">
        <v>1846</v>
      </c>
      <c r="P4252" s="47"/>
      <c r="Q4252" s="47"/>
      <c r="R4252" s="47"/>
      <c r="S4252" s="47"/>
      <c r="T4252" s="47">
        <f t="shared" si="950"/>
        <v>780</v>
      </c>
      <c r="U4252" s="47"/>
      <c r="V4252" s="47"/>
      <c r="W4252" s="47"/>
      <c r="X4252" s="47"/>
      <c r="Y4252" s="47"/>
      <c r="Z4252" s="47">
        <f t="shared" si="946"/>
        <v>4620</v>
      </c>
      <c r="AA4252" s="47">
        <f t="shared" si="947"/>
        <v>1400</v>
      </c>
      <c r="AB4252" s="47"/>
      <c r="AC4252" s="47"/>
      <c r="AD4252" s="47"/>
      <c r="AE4252" s="47"/>
      <c r="AF4252" s="47"/>
      <c r="AG4252" s="47"/>
      <c r="AH4252" s="47" t="str">
        <f>IFERROR(_xlfn.XLOOKUP(Table6[[#This Row],[Suburb]],Table5[Travel Surcharge],Table5[$$]),"")</f>
        <v/>
      </c>
      <c r="AI4252" s="47">
        <f t="shared" si="951"/>
        <v>1650.0000000000002</v>
      </c>
      <c r="AJ4252" s="47"/>
    </row>
    <row r="4253" spans="1:36">
      <c r="A4253" s="374" t="s">
        <v>6232</v>
      </c>
      <c r="B4253" s="374">
        <v>20</v>
      </c>
      <c r="C4253" s="374" t="s">
        <v>468</v>
      </c>
      <c r="D4253" s="375" t="str">
        <f t="shared" si="943"/>
        <v>Thornhill Park Estate20</v>
      </c>
      <c r="E4253" s="375" t="s">
        <v>6252</v>
      </c>
      <c r="F4253" s="375" t="s">
        <v>1662</v>
      </c>
      <c r="G4253" s="375" t="s">
        <v>6234</v>
      </c>
      <c r="H4253" s="375" t="s">
        <v>6235</v>
      </c>
      <c r="I4253" s="63" t="s">
        <v>6236</v>
      </c>
      <c r="J4253" s="47">
        <f t="shared" si="949"/>
        <v>3740</v>
      </c>
      <c r="K4253" s="46" t="s">
        <v>7938</v>
      </c>
      <c r="L4253" s="47"/>
      <c r="M4253" s="47">
        <f t="shared" si="948"/>
        <v>1430.0000000000002</v>
      </c>
      <c r="N4253" s="47"/>
      <c r="O4253" s="47" t="s">
        <v>1846</v>
      </c>
      <c r="P4253" s="47"/>
      <c r="Q4253" s="47"/>
      <c r="R4253" s="47"/>
      <c r="S4253" s="47"/>
      <c r="T4253" s="47">
        <f t="shared" si="950"/>
        <v>780</v>
      </c>
      <c r="U4253" s="47"/>
      <c r="V4253" s="47"/>
      <c r="W4253" s="47"/>
      <c r="X4253" s="47"/>
      <c r="Y4253" s="47"/>
      <c r="Z4253" s="47">
        <f t="shared" si="946"/>
        <v>4620</v>
      </c>
      <c r="AA4253" s="47">
        <f t="shared" si="947"/>
        <v>1400</v>
      </c>
      <c r="AB4253" s="47"/>
      <c r="AC4253" s="47"/>
      <c r="AD4253" s="47"/>
      <c r="AE4253" s="47"/>
      <c r="AF4253" s="47"/>
      <c r="AG4253" s="47"/>
      <c r="AH4253" s="47" t="str">
        <f>IFERROR(_xlfn.XLOOKUP(Table6[[#This Row],[Suburb]],Table5[Travel Surcharge],Table5[$$]),"")</f>
        <v/>
      </c>
      <c r="AI4253" s="47">
        <f t="shared" si="951"/>
        <v>1650.0000000000002</v>
      </c>
      <c r="AJ4253" s="47"/>
    </row>
    <row r="4254" spans="1:36">
      <c r="A4254" s="374" t="s">
        <v>6232</v>
      </c>
      <c r="B4254" s="374">
        <v>21</v>
      </c>
      <c r="C4254" s="374" t="s">
        <v>468</v>
      </c>
      <c r="D4254" s="375" t="str">
        <f t="shared" si="943"/>
        <v>Thornhill Park Estate21</v>
      </c>
      <c r="E4254" s="375" t="s">
        <v>6253</v>
      </c>
      <c r="F4254" s="375" t="s">
        <v>1662</v>
      </c>
      <c r="G4254" s="375" t="s">
        <v>6234</v>
      </c>
      <c r="H4254" s="375" t="s">
        <v>6235</v>
      </c>
      <c r="I4254" s="63" t="s">
        <v>6236</v>
      </c>
      <c r="J4254" s="47">
        <f t="shared" si="949"/>
        <v>3740</v>
      </c>
      <c r="K4254" s="46" t="s">
        <v>7938</v>
      </c>
      <c r="L4254" s="47"/>
      <c r="M4254" s="47">
        <f t="shared" si="948"/>
        <v>1430.0000000000002</v>
      </c>
      <c r="N4254" s="47"/>
      <c r="O4254" s="47" t="s">
        <v>1846</v>
      </c>
      <c r="P4254" s="47"/>
      <c r="Q4254" s="47"/>
      <c r="R4254" s="47"/>
      <c r="S4254" s="47"/>
      <c r="T4254" s="47">
        <f t="shared" si="950"/>
        <v>780</v>
      </c>
      <c r="U4254" s="47"/>
      <c r="V4254" s="47"/>
      <c r="W4254" s="47"/>
      <c r="X4254" s="47"/>
      <c r="Y4254" s="47"/>
      <c r="Z4254" s="47">
        <f t="shared" si="946"/>
        <v>4620</v>
      </c>
      <c r="AA4254" s="47">
        <f t="shared" si="947"/>
        <v>1400</v>
      </c>
      <c r="AB4254" s="47"/>
      <c r="AC4254" s="47"/>
      <c r="AD4254" s="47"/>
      <c r="AE4254" s="47"/>
      <c r="AF4254" s="47"/>
      <c r="AG4254" s="47"/>
      <c r="AH4254" s="47" t="str">
        <f>IFERROR(_xlfn.XLOOKUP(Table6[[#This Row],[Suburb]],Table5[Travel Surcharge],Table5[$$]),"")</f>
        <v/>
      </c>
      <c r="AI4254" s="47">
        <f t="shared" si="951"/>
        <v>1650.0000000000002</v>
      </c>
      <c r="AJ4254" s="47"/>
    </row>
    <row r="4255" spans="1:36">
      <c r="A4255" s="374" t="s">
        <v>6232</v>
      </c>
      <c r="B4255" s="374">
        <v>22</v>
      </c>
      <c r="C4255" s="374" t="s">
        <v>468</v>
      </c>
      <c r="D4255" s="375" t="str">
        <f t="shared" si="943"/>
        <v>Thornhill Park Estate22</v>
      </c>
      <c r="E4255" s="375" t="s">
        <v>6254</v>
      </c>
      <c r="F4255" s="375" t="s">
        <v>1662</v>
      </c>
      <c r="G4255" s="375" t="s">
        <v>6234</v>
      </c>
      <c r="H4255" s="375" t="s">
        <v>6235</v>
      </c>
      <c r="I4255" s="63" t="s">
        <v>6236</v>
      </c>
      <c r="J4255" s="47">
        <f t="shared" si="949"/>
        <v>3740</v>
      </c>
      <c r="K4255" s="46" t="s">
        <v>7938</v>
      </c>
      <c r="L4255" s="47"/>
      <c r="M4255" s="47">
        <f t="shared" si="948"/>
        <v>1430.0000000000002</v>
      </c>
      <c r="N4255" s="47"/>
      <c r="O4255" s="47" t="s">
        <v>1846</v>
      </c>
      <c r="P4255" s="47"/>
      <c r="Q4255" s="47"/>
      <c r="R4255" s="47"/>
      <c r="S4255" s="47"/>
      <c r="T4255" s="47">
        <f t="shared" si="950"/>
        <v>780</v>
      </c>
      <c r="U4255" s="47"/>
      <c r="V4255" s="47"/>
      <c r="W4255" s="47"/>
      <c r="X4255" s="47"/>
      <c r="Y4255" s="47"/>
      <c r="Z4255" s="47">
        <f t="shared" si="946"/>
        <v>4620</v>
      </c>
      <c r="AA4255" s="47">
        <f t="shared" si="947"/>
        <v>1400</v>
      </c>
      <c r="AB4255" s="47"/>
      <c r="AC4255" s="47"/>
      <c r="AD4255" s="47"/>
      <c r="AE4255" s="47"/>
      <c r="AF4255" s="47"/>
      <c r="AG4255" s="47"/>
      <c r="AH4255" s="47" t="str">
        <f>IFERROR(_xlfn.XLOOKUP(Table6[[#This Row],[Suburb]],Table5[Travel Surcharge],Table5[$$]),"")</f>
        <v/>
      </c>
      <c r="AI4255" s="47">
        <f t="shared" si="951"/>
        <v>1650.0000000000002</v>
      </c>
      <c r="AJ4255" s="47"/>
    </row>
    <row r="4256" spans="1:36">
      <c r="A4256" s="374" t="s">
        <v>6232</v>
      </c>
      <c r="B4256" s="374">
        <v>23</v>
      </c>
      <c r="C4256" s="374" t="s">
        <v>468</v>
      </c>
      <c r="D4256" s="375" t="str">
        <f t="shared" si="943"/>
        <v>Thornhill Park Estate23</v>
      </c>
      <c r="E4256" s="375" t="s">
        <v>6255</v>
      </c>
      <c r="F4256" s="375" t="s">
        <v>1662</v>
      </c>
      <c r="G4256" s="375" t="s">
        <v>6234</v>
      </c>
      <c r="H4256" s="375" t="s">
        <v>6235</v>
      </c>
      <c r="I4256" s="63" t="s">
        <v>6236</v>
      </c>
      <c r="J4256" s="47">
        <f t="shared" si="949"/>
        <v>3740</v>
      </c>
      <c r="K4256" s="46" t="s">
        <v>7938</v>
      </c>
      <c r="L4256" s="47"/>
      <c r="M4256" s="47">
        <f t="shared" si="948"/>
        <v>1430.0000000000002</v>
      </c>
      <c r="N4256" s="47"/>
      <c r="O4256" s="47" t="s">
        <v>1846</v>
      </c>
      <c r="P4256" s="47"/>
      <c r="Q4256" s="47"/>
      <c r="R4256" s="47"/>
      <c r="S4256" s="47"/>
      <c r="T4256" s="47">
        <f t="shared" si="950"/>
        <v>780</v>
      </c>
      <c r="U4256" s="47"/>
      <c r="V4256" s="47"/>
      <c r="W4256" s="47"/>
      <c r="X4256" s="47"/>
      <c r="Y4256" s="47"/>
      <c r="Z4256" s="47">
        <f t="shared" si="946"/>
        <v>4620</v>
      </c>
      <c r="AA4256" s="47">
        <f t="shared" si="947"/>
        <v>1400</v>
      </c>
      <c r="AB4256" s="47"/>
      <c r="AC4256" s="47"/>
      <c r="AD4256" s="47"/>
      <c r="AE4256" s="47"/>
      <c r="AF4256" s="47"/>
      <c r="AG4256" s="47"/>
      <c r="AH4256" s="47" t="str">
        <f>IFERROR(_xlfn.XLOOKUP(Table6[[#This Row],[Suburb]],Table5[Travel Surcharge],Table5[$$]),"")</f>
        <v/>
      </c>
      <c r="AI4256" s="47">
        <f t="shared" si="951"/>
        <v>1650.0000000000002</v>
      </c>
      <c r="AJ4256" s="47"/>
    </row>
    <row r="4257" spans="1:36">
      <c r="A4257" s="374" t="s">
        <v>6232</v>
      </c>
      <c r="B4257" s="374">
        <v>24</v>
      </c>
      <c r="C4257" s="374" t="s">
        <v>468</v>
      </c>
      <c r="D4257" s="375" t="str">
        <f t="shared" si="943"/>
        <v>Thornhill Park Estate24</v>
      </c>
      <c r="E4257" s="375" t="s">
        <v>6256</v>
      </c>
      <c r="F4257" s="375" t="s">
        <v>1662</v>
      </c>
      <c r="G4257" s="375" t="s">
        <v>6234</v>
      </c>
      <c r="H4257" s="375" t="s">
        <v>6235</v>
      </c>
      <c r="I4257" s="63" t="s">
        <v>6236</v>
      </c>
      <c r="J4257" s="47">
        <f t="shared" si="949"/>
        <v>3740</v>
      </c>
      <c r="K4257" s="46" t="s">
        <v>7938</v>
      </c>
      <c r="L4257" s="47"/>
      <c r="M4257" s="47">
        <f t="shared" si="948"/>
        <v>1430.0000000000002</v>
      </c>
      <c r="N4257" s="47"/>
      <c r="O4257" s="47" t="s">
        <v>1846</v>
      </c>
      <c r="P4257" s="47"/>
      <c r="Q4257" s="47"/>
      <c r="R4257" s="47"/>
      <c r="S4257" s="47"/>
      <c r="T4257" s="47">
        <f t="shared" si="950"/>
        <v>780</v>
      </c>
      <c r="U4257" s="47"/>
      <c r="V4257" s="47"/>
      <c r="W4257" s="47"/>
      <c r="X4257" s="47"/>
      <c r="Y4257" s="47"/>
      <c r="Z4257" s="47">
        <f t="shared" si="946"/>
        <v>4620</v>
      </c>
      <c r="AA4257" s="47">
        <f t="shared" si="947"/>
        <v>1400</v>
      </c>
      <c r="AB4257" s="47"/>
      <c r="AC4257" s="47"/>
      <c r="AD4257" s="47"/>
      <c r="AE4257" s="47"/>
      <c r="AF4257" s="47"/>
      <c r="AG4257" s="47"/>
      <c r="AH4257" s="47" t="str">
        <f>IFERROR(_xlfn.XLOOKUP(Table6[[#This Row],[Suburb]],Table5[Travel Surcharge],Table5[$$]),"")</f>
        <v/>
      </c>
      <c r="AI4257" s="47">
        <f t="shared" si="951"/>
        <v>1650.0000000000002</v>
      </c>
      <c r="AJ4257" s="47"/>
    </row>
    <row r="4258" spans="1:36">
      <c r="A4258" s="374" t="s">
        <v>6232</v>
      </c>
      <c r="B4258" s="374">
        <v>25</v>
      </c>
      <c r="C4258" s="374" t="s">
        <v>468</v>
      </c>
      <c r="D4258" s="375" t="str">
        <f t="shared" si="943"/>
        <v>Thornhill Park Estate25</v>
      </c>
      <c r="E4258" s="375" t="s">
        <v>6257</v>
      </c>
      <c r="F4258" s="375" t="s">
        <v>1662</v>
      </c>
      <c r="G4258" s="375" t="s">
        <v>6234</v>
      </c>
      <c r="H4258" s="375" t="s">
        <v>6235</v>
      </c>
      <c r="I4258" s="63" t="s">
        <v>6236</v>
      </c>
      <c r="J4258" s="47">
        <f t="shared" si="949"/>
        <v>3740</v>
      </c>
      <c r="K4258" s="46" t="s">
        <v>7938</v>
      </c>
      <c r="L4258" s="47"/>
      <c r="M4258" s="47">
        <f t="shared" si="948"/>
        <v>1430.0000000000002</v>
      </c>
      <c r="N4258" s="47"/>
      <c r="O4258" s="47" t="s">
        <v>1846</v>
      </c>
      <c r="P4258" s="47"/>
      <c r="Q4258" s="47"/>
      <c r="R4258" s="47"/>
      <c r="S4258" s="47"/>
      <c r="T4258" s="47">
        <f t="shared" si="950"/>
        <v>780</v>
      </c>
      <c r="U4258" s="47"/>
      <c r="V4258" s="47"/>
      <c r="W4258" s="47"/>
      <c r="X4258" s="47"/>
      <c r="Y4258" s="47"/>
      <c r="Z4258" s="47">
        <f t="shared" si="946"/>
        <v>4620</v>
      </c>
      <c r="AA4258" s="47">
        <f t="shared" si="947"/>
        <v>1400</v>
      </c>
      <c r="AB4258" s="47"/>
      <c r="AC4258" s="47"/>
      <c r="AD4258" s="47"/>
      <c r="AE4258" s="47"/>
      <c r="AF4258" s="47"/>
      <c r="AG4258" s="47"/>
      <c r="AH4258" s="47" t="str">
        <f>IFERROR(_xlfn.XLOOKUP(Table6[[#This Row],[Suburb]],Table5[Travel Surcharge],Table5[$$]),"")</f>
        <v/>
      </c>
      <c r="AI4258" s="47">
        <f t="shared" si="951"/>
        <v>1650.0000000000002</v>
      </c>
      <c r="AJ4258" s="47"/>
    </row>
    <row r="4259" spans="1:36">
      <c r="A4259" s="374" t="s">
        <v>6232</v>
      </c>
      <c r="B4259" s="374">
        <v>26</v>
      </c>
      <c r="C4259" s="374" t="s">
        <v>468</v>
      </c>
      <c r="D4259" s="375" t="str">
        <f t="shared" si="943"/>
        <v>Thornhill Park Estate26</v>
      </c>
      <c r="E4259" s="375" t="s">
        <v>6258</v>
      </c>
      <c r="F4259" s="375" t="s">
        <v>1662</v>
      </c>
      <c r="G4259" s="375" t="s">
        <v>6234</v>
      </c>
      <c r="H4259" s="375" t="s">
        <v>6235</v>
      </c>
      <c r="I4259" s="63" t="s">
        <v>6236</v>
      </c>
      <c r="J4259" s="47">
        <f t="shared" si="949"/>
        <v>3740</v>
      </c>
      <c r="K4259" s="46" t="s">
        <v>7938</v>
      </c>
      <c r="L4259" s="47"/>
      <c r="M4259" s="47">
        <f t="shared" si="948"/>
        <v>1430.0000000000002</v>
      </c>
      <c r="N4259" s="47"/>
      <c r="O4259" s="47" t="s">
        <v>1846</v>
      </c>
      <c r="P4259" s="47"/>
      <c r="Q4259" s="47"/>
      <c r="R4259" s="47"/>
      <c r="S4259" s="47"/>
      <c r="T4259" s="47">
        <f t="shared" si="950"/>
        <v>780</v>
      </c>
      <c r="U4259" s="47"/>
      <c r="V4259" s="47"/>
      <c r="W4259" s="47"/>
      <c r="X4259" s="47"/>
      <c r="Y4259" s="47"/>
      <c r="Z4259" s="47">
        <f t="shared" si="946"/>
        <v>4620</v>
      </c>
      <c r="AA4259" s="47">
        <f t="shared" si="947"/>
        <v>1400</v>
      </c>
      <c r="AB4259" s="47"/>
      <c r="AC4259" s="47"/>
      <c r="AD4259" s="47"/>
      <c r="AE4259" s="47"/>
      <c r="AF4259" s="47"/>
      <c r="AG4259" s="47"/>
      <c r="AH4259" s="47" t="str">
        <f>IFERROR(_xlfn.XLOOKUP(Table6[[#This Row],[Suburb]],Table5[Travel Surcharge],Table5[$$]),"")</f>
        <v/>
      </c>
      <c r="AI4259" s="47">
        <f t="shared" si="951"/>
        <v>1650.0000000000002</v>
      </c>
      <c r="AJ4259" s="47"/>
    </row>
    <row r="4260" spans="1:36">
      <c r="A4260" s="374" t="s">
        <v>6232</v>
      </c>
      <c r="B4260" s="374">
        <v>27</v>
      </c>
      <c r="C4260" s="374" t="s">
        <v>468</v>
      </c>
      <c r="D4260" s="375" t="str">
        <f t="shared" si="943"/>
        <v>Thornhill Park Estate27</v>
      </c>
      <c r="E4260" s="375" t="s">
        <v>6259</v>
      </c>
      <c r="F4260" s="375" t="s">
        <v>1662</v>
      </c>
      <c r="G4260" s="375" t="s">
        <v>6234</v>
      </c>
      <c r="H4260" s="375" t="s">
        <v>6235</v>
      </c>
      <c r="I4260" s="63" t="s">
        <v>6236</v>
      </c>
      <c r="J4260" s="47">
        <f t="shared" si="949"/>
        <v>3740</v>
      </c>
      <c r="K4260" s="46" t="s">
        <v>7938</v>
      </c>
      <c r="L4260" s="47"/>
      <c r="M4260" s="47">
        <f t="shared" si="948"/>
        <v>1430.0000000000002</v>
      </c>
      <c r="N4260" s="47"/>
      <c r="O4260" s="47" t="s">
        <v>1846</v>
      </c>
      <c r="P4260" s="47"/>
      <c r="Q4260" s="47"/>
      <c r="R4260" s="47"/>
      <c r="S4260" s="47"/>
      <c r="T4260" s="47">
        <f t="shared" si="950"/>
        <v>780</v>
      </c>
      <c r="U4260" s="47"/>
      <c r="V4260" s="47"/>
      <c r="W4260" s="47"/>
      <c r="X4260" s="47"/>
      <c r="Y4260" s="47"/>
      <c r="Z4260" s="47">
        <f t="shared" si="946"/>
        <v>4620</v>
      </c>
      <c r="AA4260" s="47">
        <f t="shared" si="947"/>
        <v>1400</v>
      </c>
      <c r="AB4260" s="47"/>
      <c r="AC4260" s="47"/>
      <c r="AD4260" s="47"/>
      <c r="AE4260" s="47"/>
      <c r="AF4260" s="47"/>
      <c r="AG4260" s="47"/>
      <c r="AH4260" s="47" t="str">
        <f>IFERROR(_xlfn.XLOOKUP(Table6[[#This Row],[Suburb]],Table5[Travel Surcharge],Table5[$$]),"")</f>
        <v/>
      </c>
      <c r="AI4260" s="47">
        <f t="shared" si="951"/>
        <v>1650.0000000000002</v>
      </c>
      <c r="AJ4260" s="47"/>
    </row>
    <row r="4261" spans="1:36">
      <c r="A4261" s="374" t="s">
        <v>6232</v>
      </c>
      <c r="B4261" s="374">
        <v>29</v>
      </c>
      <c r="C4261" s="374" t="s">
        <v>468</v>
      </c>
      <c r="D4261" s="375" t="str">
        <f t="shared" si="943"/>
        <v>Thornhill Park Estate29</v>
      </c>
      <c r="E4261" s="375" t="s">
        <v>6260</v>
      </c>
      <c r="F4261" s="375" t="s">
        <v>1662</v>
      </c>
      <c r="G4261" s="375" t="s">
        <v>6234</v>
      </c>
      <c r="H4261" s="375" t="s">
        <v>6235</v>
      </c>
      <c r="I4261" s="63" t="s">
        <v>6236</v>
      </c>
      <c r="J4261" s="47">
        <f t="shared" si="949"/>
        <v>3740</v>
      </c>
      <c r="K4261" s="46" t="s">
        <v>7938</v>
      </c>
      <c r="L4261" s="47"/>
      <c r="M4261" s="47">
        <f t="shared" si="948"/>
        <v>1430.0000000000002</v>
      </c>
      <c r="N4261" s="47"/>
      <c r="O4261" s="47" t="s">
        <v>1846</v>
      </c>
      <c r="P4261" s="47"/>
      <c r="Q4261" s="47"/>
      <c r="R4261" s="47"/>
      <c r="S4261" s="47"/>
      <c r="T4261" s="47">
        <f t="shared" si="950"/>
        <v>780</v>
      </c>
      <c r="U4261" s="47"/>
      <c r="V4261" s="47"/>
      <c r="W4261" s="47"/>
      <c r="X4261" s="47"/>
      <c r="Y4261" s="47"/>
      <c r="Z4261" s="47">
        <f t="shared" si="946"/>
        <v>4620</v>
      </c>
      <c r="AA4261" s="47">
        <f t="shared" si="947"/>
        <v>1400</v>
      </c>
      <c r="AB4261" s="47"/>
      <c r="AC4261" s="47"/>
      <c r="AD4261" s="47"/>
      <c r="AE4261" s="47"/>
      <c r="AF4261" s="47"/>
      <c r="AG4261" s="47"/>
      <c r="AH4261" s="47" t="str">
        <f>IFERROR(_xlfn.XLOOKUP(Table6[[#This Row],[Suburb]],Table5[Travel Surcharge],Table5[$$]),"")</f>
        <v/>
      </c>
      <c r="AI4261" s="47">
        <f t="shared" si="951"/>
        <v>1650.0000000000002</v>
      </c>
      <c r="AJ4261" s="47"/>
    </row>
    <row r="4262" spans="1:36">
      <c r="A4262" s="374" t="s">
        <v>6232</v>
      </c>
      <c r="B4262" s="374">
        <v>30</v>
      </c>
      <c r="C4262" s="374" t="s">
        <v>468</v>
      </c>
      <c r="D4262" s="375" t="str">
        <f t="shared" si="943"/>
        <v>Thornhill Park Estate30</v>
      </c>
      <c r="E4262" s="375" t="s">
        <v>6261</v>
      </c>
      <c r="F4262" s="375" t="s">
        <v>1662</v>
      </c>
      <c r="G4262" s="375" t="s">
        <v>6234</v>
      </c>
      <c r="H4262" s="375" t="s">
        <v>6235</v>
      </c>
      <c r="I4262" s="63" t="s">
        <v>6236</v>
      </c>
      <c r="J4262" s="47">
        <f t="shared" si="949"/>
        <v>3740</v>
      </c>
      <c r="K4262" s="46" t="s">
        <v>7938</v>
      </c>
      <c r="L4262" s="47"/>
      <c r="M4262" s="47">
        <f t="shared" si="948"/>
        <v>1430.0000000000002</v>
      </c>
      <c r="N4262" s="47"/>
      <c r="O4262" s="47" t="s">
        <v>1846</v>
      </c>
      <c r="P4262" s="47"/>
      <c r="Q4262" s="47"/>
      <c r="R4262" s="47"/>
      <c r="S4262" s="47"/>
      <c r="T4262" s="47">
        <f t="shared" si="950"/>
        <v>780</v>
      </c>
      <c r="U4262" s="47"/>
      <c r="V4262" s="47"/>
      <c r="W4262" s="47"/>
      <c r="X4262" s="47"/>
      <c r="Y4262" s="47"/>
      <c r="Z4262" s="47">
        <f t="shared" si="946"/>
        <v>4620</v>
      </c>
      <c r="AA4262" s="47">
        <f t="shared" si="947"/>
        <v>1400</v>
      </c>
      <c r="AB4262" s="47"/>
      <c r="AC4262" s="47"/>
      <c r="AD4262" s="47"/>
      <c r="AE4262" s="47"/>
      <c r="AF4262" s="47"/>
      <c r="AG4262" s="47"/>
      <c r="AH4262" s="47" t="str">
        <f>IFERROR(_xlfn.XLOOKUP(Table6[[#This Row],[Suburb]],Table5[Travel Surcharge],Table5[$$]),"")</f>
        <v/>
      </c>
      <c r="AI4262" s="47">
        <f t="shared" si="951"/>
        <v>1650.0000000000002</v>
      </c>
      <c r="AJ4262" s="47"/>
    </row>
    <row r="4263" spans="1:36">
      <c r="A4263" s="374" t="s">
        <v>6232</v>
      </c>
      <c r="B4263" s="374" t="s">
        <v>2740</v>
      </c>
      <c r="C4263" s="374" t="s">
        <v>468</v>
      </c>
      <c r="D4263" s="375" t="str">
        <f t="shared" si="943"/>
        <v>Thornhill Park Estate30A</v>
      </c>
      <c r="E4263" s="375" t="s">
        <v>6262</v>
      </c>
      <c r="F4263" s="375" t="s">
        <v>1662</v>
      </c>
      <c r="G4263" s="375" t="s">
        <v>6234</v>
      </c>
      <c r="H4263" s="375" t="s">
        <v>6235</v>
      </c>
      <c r="I4263" s="63" t="s">
        <v>6236</v>
      </c>
      <c r="J4263" s="47">
        <f t="shared" si="949"/>
        <v>3740</v>
      </c>
      <c r="K4263" s="46" t="s">
        <v>7938</v>
      </c>
      <c r="L4263" s="47"/>
      <c r="M4263" s="47">
        <f t="shared" si="948"/>
        <v>1430.0000000000002</v>
      </c>
      <c r="N4263" s="47"/>
      <c r="O4263" s="47" t="s">
        <v>1846</v>
      </c>
      <c r="P4263" s="47"/>
      <c r="Q4263" s="47"/>
      <c r="R4263" s="47"/>
      <c r="S4263" s="47"/>
      <c r="T4263" s="47">
        <f t="shared" si="950"/>
        <v>780</v>
      </c>
      <c r="U4263" s="47"/>
      <c r="V4263" s="47"/>
      <c r="W4263" s="47"/>
      <c r="X4263" s="47"/>
      <c r="Y4263" s="47"/>
      <c r="Z4263" s="47">
        <f t="shared" si="946"/>
        <v>4620</v>
      </c>
      <c r="AA4263" s="47">
        <f t="shared" si="947"/>
        <v>1400</v>
      </c>
      <c r="AB4263" s="47"/>
      <c r="AC4263" s="47"/>
      <c r="AD4263" s="47"/>
      <c r="AE4263" s="47"/>
      <c r="AF4263" s="47"/>
      <c r="AG4263" s="47"/>
      <c r="AH4263" s="47" t="str">
        <f>IFERROR(_xlfn.XLOOKUP(Table6[[#This Row],[Suburb]],Table5[Travel Surcharge],Table5[$$]),"")</f>
        <v/>
      </c>
      <c r="AI4263" s="47">
        <f t="shared" si="951"/>
        <v>1650.0000000000002</v>
      </c>
      <c r="AJ4263" s="47"/>
    </row>
    <row r="4264" spans="1:36">
      <c r="A4264" s="374" t="s">
        <v>6263</v>
      </c>
      <c r="B4264" s="374">
        <v>1</v>
      </c>
      <c r="C4264" s="374" t="s">
        <v>468</v>
      </c>
      <c r="D4264" s="375" t="str">
        <f t="shared" si="943"/>
        <v>Thornhill Park Estate - Mayflower1</v>
      </c>
      <c r="E4264" s="375" t="s">
        <v>6264</v>
      </c>
      <c r="F4264" s="375" t="s">
        <v>1662</v>
      </c>
      <c r="G4264" s="375" t="s">
        <v>6234</v>
      </c>
      <c r="H4264" s="375" t="s">
        <v>6235</v>
      </c>
      <c r="I4264" s="63" t="s">
        <v>6236</v>
      </c>
      <c r="J4264" s="47">
        <f t="shared" si="949"/>
        <v>3740</v>
      </c>
      <c r="K4264" s="46" t="s">
        <v>7938</v>
      </c>
      <c r="L4264" s="47"/>
      <c r="M4264" s="47">
        <f t="shared" si="948"/>
        <v>1430.0000000000002</v>
      </c>
      <c r="N4264" s="47"/>
      <c r="O4264" s="47" t="s">
        <v>1846</v>
      </c>
      <c r="P4264" s="47"/>
      <c r="Q4264" s="47"/>
      <c r="R4264" s="47"/>
      <c r="S4264" s="47"/>
      <c r="T4264" s="47">
        <f t="shared" si="950"/>
        <v>780</v>
      </c>
      <c r="U4264" s="47"/>
      <c r="V4264" s="47"/>
      <c r="W4264" s="47"/>
      <c r="X4264" s="47"/>
      <c r="Y4264" s="47"/>
      <c r="Z4264" s="47">
        <f t="shared" si="946"/>
        <v>4620</v>
      </c>
      <c r="AA4264" s="47">
        <f t="shared" si="947"/>
        <v>1400</v>
      </c>
      <c r="AB4264" s="47"/>
      <c r="AC4264" s="47" t="s">
        <v>498</v>
      </c>
      <c r="AD4264" s="47"/>
      <c r="AE4264" s="47"/>
      <c r="AF4264" s="47"/>
      <c r="AG4264" s="47"/>
      <c r="AH4264" s="47" t="str">
        <f>IFERROR(_xlfn.XLOOKUP(Table6[[#This Row],[Suburb]],Table5[Travel Surcharge],Table5[$$]),"")</f>
        <v/>
      </c>
      <c r="AI4264" s="47">
        <f t="shared" si="951"/>
        <v>1650.0000000000002</v>
      </c>
      <c r="AJ4264" s="47"/>
    </row>
    <row r="4265" spans="1:36">
      <c r="A4265" s="374" t="s">
        <v>6263</v>
      </c>
      <c r="B4265" s="374">
        <v>2</v>
      </c>
      <c r="C4265" s="374" t="s">
        <v>468</v>
      </c>
      <c r="D4265" s="375" t="str">
        <f t="shared" si="943"/>
        <v>Thornhill Park Estate - Mayflower2</v>
      </c>
      <c r="E4265" s="375" t="s">
        <v>6265</v>
      </c>
      <c r="F4265" s="375" t="s">
        <v>1662</v>
      </c>
      <c r="G4265" s="375" t="s">
        <v>6234</v>
      </c>
      <c r="H4265" s="375" t="s">
        <v>6235</v>
      </c>
      <c r="I4265" s="63" t="s">
        <v>6236</v>
      </c>
      <c r="J4265" s="47">
        <f t="shared" si="949"/>
        <v>3740</v>
      </c>
      <c r="K4265" s="46" t="s">
        <v>7938</v>
      </c>
      <c r="L4265" s="47"/>
      <c r="M4265" s="47">
        <f t="shared" si="948"/>
        <v>1430.0000000000002</v>
      </c>
      <c r="N4265" s="47"/>
      <c r="O4265" s="47" t="s">
        <v>1846</v>
      </c>
      <c r="P4265" s="47"/>
      <c r="Q4265" s="47"/>
      <c r="R4265" s="47"/>
      <c r="S4265" s="47"/>
      <c r="T4265" s="47">
        <f t="shared" si="950"/>
        <v>780</v>
      </c>
      <c r="U4265" s="47"/>
      <c r="V4265" s="47"/>
      <c r="W4265" s="47"/>
      <c r="X4265" s="47"/>
      <c r="Y4265" s="47"/>
      <c r="Z4265" s="47">
        <f t="shared" si="946"/>
        <v>4620</v>
      </c>
      <c r="AA4265" s="47">
        <f t="shared" si="947"/>
        <v>1400</v>
      </c>
      <c r="AB4265" s="47"/>
      <c r="AC4265" s="47" t="s">
        <v>498</v>
      </c>
      <c r="AD4265" s="47"/>
      <c r="AE4265" s="47"/>
      <c r="AF4265" s="47"/>
      <c r="AG4265" s="47"/>
      <c r="AH4265" s="47" t="str">
        <f>IFERROR(_xlfn.XLOOKUP(Table6[[#This Row],[Suburb]],Table5[Travel Surcharge],Table5[$$]),"")</f>
        <v/>
      </c>
      <c r="AI4265" s="47">
        <f t="shared" si="951"/>
        <v>1650.0000000000002</v>
      </c>
      <c r="AJ4265" s="47"/>
    </row>
    <row r="4266" spans="1:36">
      <c r="A4266" s="374" t="s">
        <v>6263</v>
      </c>
      <c r="B4266" s="374">
        <v>3</v>
      </c>
      <c r="C4266" s="374" t="s">
        <v>468</v>
      </c>
      <c r="D4266" s="375" t="str">
        <f t="shared" si="943"/>
        <v>Thornhill Park Estate - Mayflower3</v>
      </c>
      <c r="E4266" s="375" t="s">
        <v>6266</v>
      </c>
      <c r="F4266" s="375" t="s">
        <v>1662</v>
      </c>
      <c r="G4266" s="375" t="s">
        <v>6234</v>
      </c>
      <c r="H4266" s="375" t="s">
        <v>6235</v>
      </c>
      <c r="I4266" s="63" t="s">
        <v>6236</v>
      </c>
      <c r="J4266" s="47">
        <f t="shared" si="949"/>
        <v>3740</v>
      </c>
      <c r="K4266" s="46" t="s">
        <v>7938</v>
      </c>
      <c r="L4266" s="47"/>
      <c r="M4266" s="47">
        <f t="shared" si="948"/>
        <v>1430.0000000000002</v>
      </c>
      <c r="N4266" s="47"/>
      <c r="O4266" s="47" t="s">
        <v>1846</v>
      </c>
      <c r="P4266" s="47"/>
      <c r="Q4266" s="47"/>
      <c r="R4266" s="47"/>
      <c r="S4266" s="47"/>
      <c r="T4266" s="47">
        <f t="shared" si="950"/>
        <v>780</v>
      </c>
      <c r="U4266" s="47"/>
      <c r="V4266" s="47"/>
      <c r="W4266" s="47"/>
      <c r="X4266" s="47"/>
      <c r="Y4266" s="47"/>
      <c r="Z4266" s="47">
        <f t="shared" si="946"/>
        <v>4620</v>
      </c>
      <c r="AA4266" s="47">
        <f t="shared" si="947"/>
        <v>1400</v>
      </c>
      <c r="AB4266" s="47"/>
      <c r="AC4266" s="47" t="s">
        <v>498</v>
      </c>
      <c r="AD4266" s="47"/>
      <c r="AE4266" s="47"/>
      <c r="AF4266" s="47"/>
      <c r="AG4266" s="47"/>
      <c r="AH4266" s="47" t="str">
        <f>IFERROR(_xlfn.XLOOKUP(Table6[[#This Row],[Suburb]],Table5[Travel Surcharge],Table5[$$]),"")</f>
        <v/>
      </c>
      <c r="AI4266" s="47">
        <f t="shared" si="951"/>
        <v>1650.0000000000002</v>
      </c>
      <c r="AJ4266" s="47"/>
    </row>
    <row r="4267" spans="1:36">
      <c r="A4267" s="374" t="s">
        <v>6263</v>
      </c>
      <c r="B4267" s="374">
        <v>4</v>
      </c>
      <c r="C4267" s="374" t="s">
        <v>468</v>
      </c>
      <c r="D4267" s="375" t="str">
        <f t="shared" si="943"/>
        <v>Thornhill Park Estate - Mayflower4</v>
      </c>
      <c r="E4267" s="375" t="s">
        <v>6267</v>
      </c>
      <c r="F4267" s="375" t="s">
        <v>1662</v>
      </c>
      <c r="G4267" s="375" t="s">
        <v>6234</v>
      </c>
      <c r="H4267" s="375" t="s">
        <v>6235</v>
      </c>
      <c r="I4267" s="63" t="s">
        <v>6236</v>
      </c>
      <c r="J4267" s="47">
        <f t="shared" si="949"/>
        <v>3740</v>
      </c>
      <c r="K4267" s="46" t="s">
        <v>7938</v>
      </c>
      <c r="L4267" s="47"/>
      <c r="M4267" s="47">
        <f t="shared" si="948"/>
        <v>1430.0000000000002</v>
      </c>
      <c r="N4267" s="47"/>
      <c r="O4267" s="47" t="s">
        <v>1846</v>
      </c>
      <c r="P4267" s="47"/>
      <c r="Q4267" s="47"/>
      <c r="R4267" s="47"/>
      <c r="S4267" s="47"/>
      <c r="T4267" s="47">
        <f t="shared" si="950"/>
        <v>780</v>
      </c>
      <c r="U4267" s="47"/>
      <c r="V4267" s="47"/>
      <c r="W4267" s="47"/>
      <c r="X4267" s="47"/>
      <c r="Y4267" s="47"/>
      <c r="Z4267" s="47">
        <f t="shared" si="946"/>
        <v>4620</v>
      </c>
      <c r="AA4267" s="47">
        <f t="shared" si="947"/>
        <v>1400</v>
      </c>
      <c r="AB4267" s="47"/>
      <c r="AC4267" s="47" t="s">
        <v>498</v>
      </c>
      <c r="AD4267" s="47"/>
      <c r="AE4267" s="47"/>
      <c r="AF4267" s="47"/>
      <c r="AG4267" s="47"/>
      <c r="AH4267" s="47" t="str">
        <f>IFERROR(_xlfn.XLOOKUP(Table6[[#This Row],[Suburb]],Table5[Travel Surcharge],Table5[$$]),"")</f>
        <v/>
      </c>
      <c r="AI4267" s="47">
        <f t="shared" si="951"/>
        <v>1650.0000000000002</v>
      </c>
      <c r="AJ4267" s="47"/>
    </row>
    <row r="4268" spans="1:36">
      <c r="A4268" s="374" t="s">
        <v>6268</v>
      </c>
      <c r="B4268" s="374">
        <v>1</v>
      </c>
      <c r="C4268" s="374" t="s">
        <v>394</v>
      </c>
      <c r="D4268" s="375" t="str">
        <f t="shared" si="943"/>
        <v>Thoroughbred Estate1</v>
      </c>
      <c r="E4268" s="375" t="s">
        <v>6269</v>
      </c>
      <c r="F4268" s="375" t="s">
        <v>493</v>
      </c>
      <c r="G4268" s="375" t="s">
        <v>531</v>
      </c>
      <c r="H4268" s="375" t="s">
        <v>532</v>
      </c>
      <c r="I4268" s="63" t="s">
        <v>6236</v>
      </c>
      <c r="J4268" s="47" t="s">
        <v>3018</v>
      </c>
      <c r="K4268" s="46" t="s">
        <v>10735</v>
      </c>
      <c r="L4268" s="47"/>
      <c r="M4268" s="47"/>
      <c r="N4268" s="47"/>
      <c r="O4268" s="47"/>
      <c r="P4268" s="47"/>
      <c r="Q4268" s="47">
        <f>Q$2</f>
        <v>0</v>
      </c>
      <c r="R4268" s="47"/>
      <c r="S4268" s="47"/>
      <c r="T4268" s="47"/>
      <c r="U4268" s="47"/>
      <c r="V4268" s="47"/>
      <c r="W4268" s="47"/>
      <c r="X4268" s="47"/>
      <c r="Y4268" s="47"/>
      <c r="Z4268" s="47">
        <f t="shared" si="946"/>
        <v>4620</v>
      </c>
      <c r="AA4268" s="47"/>
      <c r="AB4268" s="47"/>
      <c r="AC4268" s="47"/>
      <c r="AD4268" s="47"/>
      <c r="AE4268" s="47"/>
      <c r="AF4268" s="47"/>
      <c r="AG4268" s="47"/>
      <c r="AH4268" s="47" t="str">
        <f>IFERROR(_xlfn.XLOOKUP(Table6[[#This Row],[Suburb]],Table5[Travel Surcharge],Table5[$$]),"")</f>
        <v/>
      </c>
      <c r="AI4268" s="47"/>
      <c r="AJ4268" s="47"/>
    </row>
    <row r="4269" spans="1:36">
      <c r="A4269" s="374" t="s">
        <v>6268</v>
      </c>
      <c r="B4269" s="374">
        <v>2</v>
      </c>
      <c r="C4269" s="374" t="s">
        <v>394</v>
      </c>
      <c r="D4269" s="375" t="str">
        <f t="shared" si="943"/>
        <v>Thoroughbred Estate2</v>
      </c>
      <c r="E4269" s="375" t="s">
        <v>6269</v>
      </c>
      <c r="F4269" s="375" t="s">
        <v>493</v>
      </c>
      <c r="G4269" s="375" t="s">
        <v>531</v>
      </c>
      <c r="H4269" s="375" t="s">
        <v>532</v>
      </c>
      <c r="I4269" s="63" t="s">
        <v>6236</v>
      </c>
      <c r="J4269" s="47" t="s">
        <v>3018</v>
      </c>
      <c r="K4269" s="46" t="s">
        <v>10735</v>
      </c>
      <c r="L4269" s="47"/>
      <c r="M4269" s="47"/>
      <c r="N4269" s="47"/>
      <c r="O4269" s="47"/>
      <c r="P4269" s="47"/>
      <c r="Q4269" s="47">
        <f>Q$2</f>
        <v>0</v>
      </c>
      <c r="R4269" s="47"/>
      <c r="S4269" s="47"/>
      <c r="T4269" s="47"/>
      <c r="U4269" s="47"/>
      <c r="V4269" s="47"/>
      <c r="W4269" s="47"/>
      <c r="X4269" s="47"/>
      <c r="Y4269" s="47"/>
      <c r="Z4269" s="47">
        <f t="shared" si="946"/>
        <v>4620</v>
      </c>
      <c r="AA4269" s="47"/>
      <c r="AB4269" s="47"/>
      <c r="AC4269" s="47"/>
      <c r="AD4269" s="47"/>
      <c r="AE4269" s="47"/>
      <c r="AF4269" s="47"/>
      <c r="AG4269" s="47"/>
      <c r="AH4269" s="47" t="str">
        <f>IFERROR(_xlfn.XLOOKUP(Table6[[#This Row],[Suburb]],Table5[Travel Surcharge],Table5[$$]),"")</f>
        <v/>
      </c>
      <c r="AI4269" s="47"/>
      <c r="AJ4269" s="47"/>
    </row>
    <row r="4270" spans="1:36">
      <c r="A4270" s="374" t="s">
        <v>6270</v>
      </c>
      <c r="B4270" s="374">
        <v>1</v>
      </c>
      <c r="C4270" s="374" t="s">
        <v>631</v>
      </c>
      <c r="D4270" s="375" t="s">
        <v>9519</v>
      </c>
      <c r="E4270" s="375" t="s">
        <v>7488</v>
      </c>
      <c r="F4270" s="375" t="s">
        <v>470</v>
      </c>
      <c r="G4270" s="375" t="s">
        <v>6272</v>
      </c>
      <c r="H4270" s="375" t="s">
        <v>6273</v>
      </c>
      <c r="I4270" s="63" t="s">
        <v>6236</v>
      </c>
      <c r="J4270" s="47">
        <v>3740</v>
      </c>
      <c r="K4270" s="46" t="s">
        <v>10735</v>
      </c>
      <c r="L4270" s="47">
        <v>1210</v>
      </c>
      <c r="M4270" s="47" t="s">
        <v>7489</v>
      </c>
      <c r="N4270" s="47" t="s">
        <v>6274</v>
      </c>
      <c r="O4270" s="47" t="s">
        <v>475</v>
      </c>
      <c r="P4270" s="47" t="s">
        <v>6275</v>
      </c>
      <c r="Q4270" s="47"/>
      <c r="R4270" s="47"/>
      <c r="S4270" s="47"/>
      <c r="T4270" s="47">
        <v>1420</v>
      </c>
      <c r="U4270" s="47"/>
      <c r="V4270" s="47"/>
      <c r="W4270" s="47"/>
      <c r="X4270" s="47"/>
      <c r="Y4270" s="47"/>
      <c r="Z4270" s="47">
        <v>4620</v>
      </c>
      <c r="AA4270" s="47">
        <v>1400</v>
      </c>
      <c r="AB4270" s="47"/>
      <c r="AC4270" s="47"/>
      <c r="AD4270" s="47"/>
      <c r="AE4270" s="47"/>
      <c r="AF4270" s="47">
        <v>1650.0000000000002</v>
      </c>
      <c r="AG4270" s="47"/>
      <c r="AH4270" s="47" t="str">
        <f>IFERROR(_xlfn.XLOOKUP(Table6[[#This Row],[Suburb]],Table5[Travel Surcharge],Table5[$$]),"")</f>
        <v/>
      </c>
      <c r="AI4270" s="47"/>
      <c r="AJ4270" s="47"/>
    </row>
    <row r="4271" spans="1:36">
      <c r="A4271" s="374" t="s">
        <v>6270</v>
      </c>
      <c r="B4271" s="374">
        <v>5</v>
      </c>
      <c r="C4271" s="374" t="s">
        <v>631</v>
      </c>
      <c r="D4271" s="375" t="str">
        <f t="shared" ref="D4271:D4302" si="952">CONCATENATE(A4271,B4271)</f>
        <v>Timbarra Estate5</v>
      </c>
      <c r="E4271" s="375" t="s">
        <v>9520</v>
      </c>
      <c r="F4271" s="375" t="s">
        <v>470</v>
      </c>
      <c r="G4271" s="375" t="s">
        <v>6272</v>
      </c>
      <c r="H4271" s="375" t="s">
        <v>6273</v>
      </c>
      <c r="I4271" s="63" t="s">
        <v>6236</v>
      </c>
      <c r="J4271" s="47">
        <f>J$7</f>
        <v>3740</v>
      </c>
      <c r="K4271" s="46" t="s">
        <v>10735</v>
      </c>
      <c r="L4271" s="47">
        <f>L$7</f>
        <v>1210</v>
      </c>
      <c r="M4271" s="47" t="s">
        <v>7489</v>
      </c>
      <c r="N4271" s="47" t="s">
        <v>6274</v>
      </c>
      <c r="O4271" s="47" t="s">
        <v>475</v>
      </c>
      <c r="P4271" s="47" t="s">
        <v>6275</v>
      </c>
      <c r="Q4271" s="47"/>
      <c r="R4271" s="47"/>
      <c r="S4271" s="47"/>
      <c r="T4271" s="47">
        <f>T$2</f>
        <v>780</v>
      </c>
      <c r="U4271" s="47"/>
      <c r="V4271" s="47"/>
      <c r="W4271" s="47"/>
      <c r="X4271" s="47"/>
      <c r="Y4271" s="47"/>
      <c r="Z4271" s="47">
        <f t="shared" ref="Z4271:AA4274" si="953">Z$7</f>
        <v>4620</v>
      </c>
      <c r="AA4271" s="47">
        <f t="shared" si="953"/>
        <v>1400</v>
      </c>
      <c r="AB4271" s="47"/>
      <c r="AC4271" s="47"/>
      <c r="AD4271" s="47"/>
      <c r="AE4271" s="47"/>
      <c r="AF4271" s="47">
        <f>AF$7</f>
        <v>1485</v>
      </c>
      <c r="AG4271" s="47"/>
      <c r="AH4271" s="47" t="str">
        <f>IFERROR(_xlfn.XLOOKUP(Table6[[#This Row],[Suburb]],Table5[Travel Surcharge],Table5[$$]),"")</f>
        <v/>
      </c>
      <c r="AI4271" s="47"/>
      <c r="AJ4271" s="47"/>
    </row>
    <row r="4272" spans="1:36">
      <c r="A4272" s="374" t="s">
        <v>6270</v>
      </c>
      <c r="B4272" s="374">
        <v>2</v>
      </c>
      <c r="C4272" s="374" t="s">
        <v>631</v>
      </c>
      <c r="D4272" s="375" t="str">
        <f t="shared" si="952"/>
        <v>Timbarra Estate2</v>
      </c>
      <c r="E4272" s="375" t="s">
        <v>6271</v>
      </c>
      <c r="F4272" s="375" t="s">
        <v>470</v>
      </c>
      <c r="G4272" s="375" t="s">
        <v>6272</v>
      </c>
      <c r="H4272" s="375" t="s">
        <v>6273</v>
      </c>
      <c r="I4272" s="63" t="s">
        <v>6236</v>
      </c>
      <c r="J4272" s="47">
        <f>J$7</f>
        <v>3740</v>
      </c>
      <c r="K4272" s="46" t="s">
        <v>10735</v>
      </c>
      <c r="L4272" s="47">
        <f>L$7</f>
        <v>1210</v>
      </c>
      <c r="M4272" s="47" t="s">
        <v>7489</v>
      </c>
      <c r="N4272" s="47" t="s">
        <v>6274</v>
      </c>
      <c r="O4272" s="47" t="s">
        <v>475</v>
      </c>
      <c r="P4272" s="47" t="s">
        <v>6275</v>
      </c>
      <c r="Q4272" s="47"/>
      <c r="R4272" s="47"/>
      <c r="S4272" s="47"/>
      <c r="T4272" s="47">
        <f>T$2</f>
        <v>780</v>
      </c>
      <c r="U4272" s="47"/>
      <c r="V4272" s="47"/>
      <c r="W4272" s="47"/>
      <c r="X4272" s="47"/>
      <c r="Y4272" s="47"/>
      <c r="Z4272" s="47">
        <f t="shared" si="953"/>
        <v>4620</v>
      </c>
      <c r="AA4272" s="47">
        <f t="shared" si="953"/>
        <v>1400</v>
      </c>
      <c r="AB4272" s="47"/>
      <c r="AC4272" s="47"/>
      <c r="AD4272" s="47"/>
      <c r="AE4272" s="47"/>
      <c r="AF4272" s="47">
        <f>AF$7</f>
        <v>1485</v>
      </c>
      <c r="AG4272" s="47"/>
      <c r="AH4272" s="47" t="str">
        <f>IFERROR(_xlfn.XLOOKUP(Table6[[#This Row],[Suburb]],Table5[Travel Surcharge],Table5[$$]),"")</f>
        <v/>
      </c>
      <c r="AI4272" s="47"/>
      <c r="AJ4272" s="47"/>
    </row>
    <row r="4273" spans="1:36">
      <c r="A4273" s="157" t="s">
        <v>6270</v>
      </c>
      <c r="B4273" s="157">
        <v>4</v>
      </c>
      <c r="C4273" s="157" t="s">
        <v>631</v>
      </c>
      <c r="D4273" s="157" t="str">
        <f t="shared" si="952"/>
        <v>Timbarra Estate4</v>
      </c>
      <c r="E4273" s="157" t="s">
        <v>7628</v>
      </c>
      <c r="F4273" s="157" t="s">
        <v>470</v>
      </c>
      <c r="G4273" s="157" t="s">
        <v>6272</v>
      </c>
      <c r="H4273" s="157" t="s">
        <v>6273</v>
      </c>
      <c r="I4273" s="158" t="s">
        <v>6236</v>
      </c>
      <c r="J4273" s="47">
        <f>J$7</f>
        <v>3740</v>
      </c>
      <c r="K4273" s="46" t="s">
        <v>10735</v>
      </c>
      <c r="L4273" s="47">
        <f>L$7</f>
        <v>1210</v>
      </c>
      <c r="M4273" s="47" t="s">
        <v>7489</v>
      </c>
      <c r="N4273" s="47" t="s">
        <v>6274</v>
      </c>
      <c r="O4273" s="47" t="s">
        <v>475</v>
      </c>
      <c r="P4273" s="47" t="s">
        <v>6275</v>
      </c>
      <c r="Q4273" s="47"/>
      <c r="R4273" s="47"/>
      <c r="S4273" s="47"/>
      <c r="T4273" s="47">
        <f>T$2</f>
        <v>780</v>
      </c>
      <c r="U4273" s="47"/>
      <c r="V4273" s="47"/>
      <c r="W4273" s="47"/>
      <c r="X4273" s="47"/>
      <c r="Y4273" s="47"/>
      <c r="Z4273" s="47">
        <f t="shared" si="953"/>
        <v>4620</v>
      </c>
      <c r="AA4273" s="47">
        <f t="shared" si="953"/>
        <v>1400</v>
      </c>
      <c r="AB4273" s="47"/>
      <c r="AC4273" s="47"/>
      <c r="AD4273" s="47"/>
      <c r="AE4273" s="47"/>
      <c r="AF4273" s="47">
        <f>AF$7</f>
        <v>1485</v>
      </c>
      <c r="AG4273" s="47"/>
      <c r="AH4273" s="47" t="str">
        <f>IFERROR(_xlfn.XLOOKUP(Table6[[#This Row],[Suburb]],Table5[Travel Surcharge],Table5[$$]),"")</f>
        <v/>
      </c>
      <c r="AI4273" s="47"/>
      <c r="AJ4273" s="47"/>
    </row>
    <row r="4274" spans="1:36">
      <c r="A4274" s="157" t="s">
        <v>6270</v>
      </c>
      <c r="B4274" s="157" t="s">
        <v>622</v>
      </c>
      <c r="C4274" s="157" t="s">
        <v>631</v>
      </c>
      <c r="D4274" s="157" t="str">
        <f t="shared" si="952"/>
        <v>Timbarra Estate6A</v>
      </c>
      <c r="E4274" s="157" t="s">
        <v>9019</v>
      </c>
      <c r="F4274" s="157" t="s">
        <v>470</v>
      </c>
      <c r="G4274" s="157" t="s">
        <v>6272</v>
      </c>
      <c r="H4274" s="157" t="s">
        <v>6273</v>
      </c>
      <c r="I4274" s="158" t="s">
        <v>6236</v>
      </c>
      <c r="J4274" s="47">
        <f>J$7</f>
        <v>3740</v>
      </c>
      <c r="K4274" s="46" t="s">
        <v>10735</v>
      </c>
      <c r="L4274" s="47">
        <f>L$7</f>
        <v>1210</v>
      </c>
      <c r="M4274" s="47" t="s">
        <v>7489</v>
      </c>
      <c r="N4274" s="47" t="s">
        <v>6274</v>
      </c>
      <c r="O4274" s="47" t="s">
        <v>475</v>
      </c>
      <c r="P4274" s="47" t="s">
        <v>6275</v>
      </c>
      <c r="Q4274" s="47"/>
      <c r="R4274" s="47"/>
      <c r="S4274" s="47"/>
      <c r="T4274" s="47">
        <f>T$2</f>
        <v>780</v>
      </c>
      <c r="U4274" s="47"/>
      <c r="V4274" s="47"/>
      <c r="W4274" s="47"/>
      <c r="X4274" s="47"/>
      <c r="Y4274" s="47"/>
      <c r="Z4274" s="47">
        <f t="shared" si="953"/>
        <v>4620</v>
      </c>
      <c r="AA4274" s="47">
        <f t="shared" si="953"/>
        <v>1400</v>
      </c>
      <c r="AB4274" s="47"/>
      <c r="AC4274" s="47"/>
      <c r="AD4274" s="47"/>
      <c r="AE4274" s="47"/>
      <c r="AF4274" s="47">
        <f>AF$7</f>
        <v>1485</v>
      </c>
      <c r="AG4274" s="47"/>
      <c r="AH4274" s="47" t="str">
        <f>IFERROR(_xlfn.XLOOKUP(Table6[[#This Row],[Suburb]],Table5[Travel Surcharge],Table5[$$]),"")</f>
        <v/>
      </c>
      <c r="AI4274" s="47"/>
      <c r="AJ4274" s="47"/>
    </row>
    <row r="4275" spans="1:36">
      <c r="A4275" s="374" t="s">
        <v>9225</v>
      </c>
      <c r="B4275" s="374">
        <v>1</v>
      </c>
      <c r="C4275" s="374" t="s">
        <v>9226</v>
      </c>
      <c r="D4275" s="375" t="str">
        <f t="shared" si="952"/>
        <v>Timberbelle Place1</v>
      </c>
      <c r="E4275" s="375"/>
      <c r="F4275" s="375"/>
      <c r="G4275" s="375" t="s">
        <v>9227</v>
      </c>
      <c r="H4275" s="375" t="s">
        <v>9228</v>
      </c>
      <c r="I4275" s="63" t="s">
        <v>9229</v>
      </c>
      <c r="J4275" s="47"/>
      <c r="K4275" s="46" t="s">
        <v>10735</v>
      </c>
      <c r="L4275" s="47"/>
      <c r="M4275" s="47"/>
      <c r="N4275" s="47" t="s">
        <v>9246</v>
      </c>
      <c r="O4275" s="47" t="s">
        <v>9249</v>
      </c>
      <c r="P4275" s="47" t="s">
        <v>9250</v>
      </c>
      <c r="Q4275" s="47"/>
      <c r="R4275" s="47"/>
      <c r="S4275" s="47">
        <f>S$2</f>
        <v>590</v>
      </c>
      <c r="T4275" s="47"/>
      <c r="U4275" s="47"/>
      <c r="V4275" s="47" t="s">
        <v>9248</v>
      </c>
      <c r="W4275" s="47" t="s">
        <v>9247</v>
      </c>
      <c r="X4275" s="47"/>
      <c r="Y4275" s="47"/>
      <c r="Z4275" s="47">
        <f t="shared" ref="Z4275:Z4306" si="954">Z$7</f>
        <v>4620</v>
      </c>
      <c r="AA4275" s="47"/>
      <c r="AB4275" s="47"/>
      <c r="AC4275" s="47"/>
      <c r="AD4275" s="47"/>
      <c r="AE4275" s="47"/>
      <c r="AF4275" s="47"/>
      <c r="AG4275" s="47"/>
      <c r="AH4275" s="47" t="str">
        <f>IFERROR(_xlfn.XLOOKUP(Table6[[#This Row],[Suburb]],Table5[Travel Surcharge],Table5[$$]),"")</f>
        <v/>
      </c>
      <c r="AI4275" s="47"/>
      <c r="AJ4275" s="47"/>
    </row>
    <row r="4276" spans="1:36">
      <c r="A4276" s="374" t="s">
        <v>6276</v>
      </c>
      <c r="B4276" s="374">
        <v>1</v>
      </c>
      <c r="C4276" s="374" t="s">
        <v>289</v>
      </c>
      <c r="D4276" s="375" t="str">
        <f t="shared" si="952"/>
        <v>Timbertop Estate - Drouin1</v>
      </c>
      <c r="E4276" s="375" t="s">
        <v>6277</v>
      </c>
      <c r="F4276" s="375"/>
      <c r="G4276" s="375" t="s">
        <v>6278</v>
      </c>
      <c r="H4276" s="375" t="s">
        <v>6279</v>
      </c>
      <c r="I4276" s="63" t="s">
        <v>6280</v>
      </c>
      <c r="J4276" s="47"/>
      <c r="K4276" s="46" t="s">
        <v>10735</v>
      </c>
      <c r="L4276" s="47" t="s">
        <v>6281</v>
      </c>
      <c r="M4276" s="47"/>
      <c r="N4276" s="47"/>
      <c r="O4276" s="47"/>
      <c r="P4276" s="47"/>
      <c r="Q4276" s="47"/>
      <c r="R4276" s="47"/>
      <c r="S4276" s="47"/>
      <c r="T4276" s="47"/>
      <c r="U4276" s="47">
        <f>U$2</f>
        <v>430</v>
      </c>
      <c r="V4276" s="47"/>
      <c r="W4276" s="47"/>
      <c r="X4276" s="47"/>
      <c r="Y4276" s="47"/>
      <c r="Z4276" s="47">
        <f t="shared" si="954"/>
        <v>4620</v>
      </c>
      <c r="AA4276" s="47"/>
      <c r="AB4276" s="47"/>
      <c r="AC4276" s="47"/>
      <c r="AD4276" s="47"/>
      <c r="AE4276" s="47"/>
      <c r="AF4276" s="47">
        <f>AF$7</f>
        <v>1485</v>
      </c>
      <c r="AG4276" s="47"/>
      <c r="AH4276" s="47">
        <f>IFERROR(_xlfn.XLOOKUP(Table6[[#This Row],[Suburb]],Table5[Travel Surcharge],Table5[$$]),"")</f>
        <v>7000</v>
      </c>
      <c r="AI4276" s="47"/>
      <c r="AJ4276" s="47"/>
    </row>
    <row r="4277" spans="1:36">
      <c r="A4277" s="374" t="s">
        <v>6282</v>
      </c>
      <c r="B4277" s="374">
        <v>1</v>
      </c>
      <c r="C4277" s="374" t="s">
        <v>802</v>
      </c>
      <c r="D4277" s="375" t="str">
        <f t="shared" si="952"/>
        <v>Timbertop Estate - Officer1</v>
      </c>
      <c r="E4277" s="375" t="s">
        <v>6283</v>
      </c>
      <c r="F4277" s="375" t="s">
        <v>3533</v>
      </c>
      <c r="G4277" s="375" t="s">
        <v>3534</v>
      </c>
      <c r="H4277" s="375" t="s">
        <v>3535</v>
      </c>
      <c r="I4277" s="63" t="s">
        <v>6284</v>
      </c>
      <c r="J4277" s="47">
        <f t="shared" ref="J4277:J4287" si="955">J$7</f>
        <v>3740</v>
      </c>
      <c r="K4277" s="46" t="s">
        <v>10735</v>
      </c>
      <c r="L4277" s="47" t="s">
        <v>6285</v>
      </c>
      <c r="M4277" s="47"/>
      <c r="N4277" s="47"/>
      <c r="O4277" s="47"/>
      <c r="P4277" s="47"/>
      <c r="Q4277" s="47"/>
      <c r="R4277" s="47">
        <f>R$2</f>
        <v>540</v>
      </c>
      <c r="S4277" s="47"/>
      <c r="T4277" s="47" t="s">
        <v>4445</v>
      </c>
      <c r="U4277" s="47"/>
      <c r="V4277" s="47"/>
      <c r="W4277" s="47"/>
      <c r="X4277" s="47"/>
      <c r="Y4277" s="47"/>
      <c r="Z4277" s="47">
        <f t="shared" si="954"/>
        <v>4620</v>
      </c>
      <c r="AA4277" s="47"/>
      <c r="AB4277" s="47"/>
      <c r="AC4277" s="47"/>
      <c r="AD4277" s="47"/>
      <c r="AE4277" s="47"/>
      <c r="AF4277" s="47"/>
      <c r="AG4277" s="47"/>
      <c r="AH4277" s="47" t="str">
        <f>IFERROR(_xlfn.XLOOKUP(Table6[[#This Row],[Suburb]],Table5[Travel Surcharge],Table5[$$]),"")</f>
        <v/>
      </c>
      <c r="AI4277" s="47" t="s">
        <v>6286</v>
      </c>
      <c r="AJ4277" s="47"/>
    </row>
    <row r="4278" spans="1:36">
      <c r="A4278" s="374" t="s">
        <v>6282</v>
      </c>
      <c r="B4278" s="374">
        <v>4</v>
      </c>
      <c r="C4278" s="374" t="s">
        <v>802</v>
      </c>
      <c r="D4278" s="375" t="str">
        <f t="shared" si="952"/>
        <v>Timbertop Estate - Officer4</v>
      </c>
      <c r="E4278" s="375" t="s">
        <v>3249</v>
      </c>
      <c r="F4278" s="375" t="s">
        <v>3533</v>
      </c>
      <c r="G4278" s="375" t="s">
        <v>3534</v>
      </c>
      <c r="H4278" s="375" t="s">
        <v>3535</v>
      </c>
      <c r="I4278" s="63" t="s">
        <v>6284</v>
      </c>
      <c r="J4278" s="47">
        <f t="shared" si="955"/>
        <v>3740</v>
      </c>
      <c r="K4278" s="46" t="s">
        <v>10735</v>
      </c>
      <c r="L4278" s="47" t="s">
        <v>6285</v>
      </c>
      <c r="M4278" s="47"/>
      <c r="N4278" s="47"/>
      <c r="O4278" s="47"/>
      <c r="P4278" s="47"/>
      <c r="Q4278" s="47"/>
      <c r="R4278" s="47">
        <f>R$2</f>
        <v>540</v>
      </c>
      <c r="S4278" s="47"/>
      <c r="T4278" s="47" t="s">
        <v>4445</v>
      </c>
      <c r="U4278" s="47"/>
      <c r="V4278" s="47"/>
      <c r="W4278" s="47"/>
      <c r="X4278" s="47"/>
      <c r="Y4278" s="47"/>
      <c r="Z4278" s="47">
        <f t="shared" si="954"/>
        <v>4620</v>
      </c>
      <c r="AA4278" s="47"/>
      <c r="AB4278" s="47"/>
      <c r="AC4278" s="47"/>
      <c r="AD4278" s="47"/>
      <c r="AE4278" s="47"/>
      <c r="AF4278" s="47"/>
      <c r="AG4278" s="47"/>
      <c r="AH4278" s="47" t="str">
        <f>IFERROR(_xlfn.XLOOKUP(Table6[[#This Row],[Suburb]],Table5[Travel Surcharge],Table5[$$]),"")</f>
        <v/>
      </c>
      <c r="AI4278" s="47" t="s">
        <v>6286</v>
      </c>
      <c r="AJ4278" s="47"/>
    </row>
    <row r="4279" spans="1:36">
      <c r="A4279" s="374" t="s">
        <v>6282</v>
      </c>
      <c r="B4279" s="374">
        <v>17</v>
      </c>
      <c r="C4279" s="374" t="s">
        <v>802</v>
      </c>
      <c r="D4279" s="375" t="str">
        <f t="shared" si="952"/>
        <v>Timbertop Estate - Officer17</v>
      </c>
      <c r="E4279" s="375" t="s">
        <v>6287</v>
      </c>
      <c r="F4279" s="375" t="s">
        <v>3533</v>
      </c>
      <c r="G4279" s="375" t="s">
        <v>3534</v>
      </c>
      <c r="H4279" s="375" t="s">
        <v>3535</v>
      </c>
      <c r="I4279" s="63" t="s">
        <v>6284</v>
      </c>
      <c r="J4279" s="47">
        <f t="shared" si="955"/>
        <v>3740</v>
      </c>
      <c r="K4279" s="46" t="s">
        <v>10735</v>
      </c>
      <c r="L4279" s="47" t="s">
        <v>6285</v>
      </c>
      <c r="M4279" s="47"/>
      <c r="N4279" s="47"/>
      <c r="O4279" s="47"/>
      <c r="P4279" s="47"/>
      <c r="Q4279" s="47"/>
      <c r="R4279" s="47">
        <f>R$2</f>
        <v>540</v>
      </c>
      <c r="S4279" s="47"/>
      <c r="T4279" s="47" t="s">
        <v>4445</v>
      </c>
      <c r="U4279" s="47"/>
      <c r="V4279" s="47"/>
      <c r="W4279" s="47"/>
      <c r="X4279" s="47"/>
      <c r="Y4279" s="47"/>
      <c r="Z4279" s="47">
        <f t="shared" si="954"/>
        <v>4620</v>
      </c>
      <c r="AA4279" s="47"/>
      <c r="AB4279" s="47"/>
      <c r="AC4279" s="47"/>
      <c r="AD4279" s="47"/>
      <c r="AE4279" s="47"/>
      <c r="AF4279" s="47"/>
      <c r="AG4279" s="47"/>
      <c r="AH4279" s="47" t="str">
        <f>IFERROR(_xlfn.XLOOKUP(Table6[[#This Row],[Suburb]],Table5[Travel Surcharge],Table5[$$]),"")</f>
        <v/>
      </c>
      <c r="AI4279" s="47" t="s">
        <v>6286</v>
      </c>
      <c r="AJ4279" s="47"/>
    </row>
    <row r="4280" spans="1:36">
      <c r="A4280" s="374" t="s">
        <v>6282</v>
      </c>
      <c r="B4280" s="374">
        <v>24</v>
      </c>
      <c r="C4280" s="374" t="s">
        <v>802</v>
      </c>
      <c r="D4280" s="375" t="str">
        <f t="shared" si="952"/>
        <v>Timbertop Estate - Officer24</v>
      </c>
      <c r="E4280" s="375" t="s">
        <v>6288</v>
      </c>
      <c r="F4280" s="375" t="s">
        <v>3533</v>
      </c>
      <c r="G4280" s="375" t="s">
        <v>3534</v>
      </c>
      <c r="H4280" s="375" t="s">
        <v>3535</v>
      </c>
      <c r="I4280" s="63" t="s">
        <v>6284</v>
      </c>
      <c r="J4280" s="47">
        <f t="shared" si="955"/>
        <v>3740</v>
      </c>
      <c r="K4280" s="46" t="s">
        <v>10735</v>
      </c>
      <c r="L4280" s="47" t="s">
        <v>6285</v>
      </c>
      <c r="M4280" s="47"/>
      <c r="N4280" s="47"/>
      <c r="O4280" s="47"/>
      <c r="P4280" s="47"/>
      <c r="Q4280" s="47"/>
      <c r="R4280" s="47">
        <f>R$2</f>
        <v>540</v>
      </c>
      <c r="S4280" s="47"/>
      <c r="T4280" s="47" t="s">
        <v>4445</v>
      </c>
      <c r="U4280" s="47"/>
      <c r="V4280" s="47"/>
      <c r="W4280" s="47"/>
      <c r="X4280" s="47"/>
      <c r="Y4280" s="47"/>
      <c r="Z4280" s="47">
        <f t="shared" si="954"/>
        <v>4620</v>
      </c>
      <c r="AA4280" s="47"/>
      <c r="AB4280" s="47"/>
      <c r="AC4280" s="47"/>
      <c r="AD4280" s="47"/>
      <c r="AE4280" s="47"/>
      <c r="AF4280" s="47"/>
      <c r="AG4280" s="47"/>
      <c r="AH4280" s="47" t="str">
        <f>IFERROR(_xlfn.XLOOKUP(Table6[[#This Row],[Suburb]],Table5[Travel Surcharge],Table5[$$]),"")</f>
        <v/>
      </c>
      <c r="AI4280" s="47" t="s">
        <v>6286</v>
      </c>
      <c r="AJ4280" s="47"/>
    </row>
    <row r="4281" spans="1:36">
      <c r="A4281" s="374" t="s">
        <v>6282</v>
      </c>
      <c r="B4281" s="374">
        <v>26</v>
      </c>
      <c r="C4281" s="374" t="s">
        <v>802</v>
      </c>
      <c r="D4281" s="375" t="str">
        <f t="shared" si="952"/>
        <v>Timbertop Estate - Officer26</v>
      </c>
      <c r="E4281" s="375" t="s">
        <v>6289</v>
      </c>
      <c r="F4281" s="375" t="s">
        <v>3533</v>
      </c>
      <c r="G4281" s="375" t="s">
        <v>3534</v>
      </c>
      <c r="H4281" s="375" t="s">
        <v>3535</v>
      </c>
      <c r="I4281" s="63" t="s">
        <v>6284</v>
      </c>
      <c r="J4281" s="47">
        <f t="shared" si="955"/>
        <v>3740</v>
      </c>
      <c r="K4281" s="46" t="s">
        <v>10735</v>
      </c>
      <c r="L4281" s="47" t="s">
        <v>6285</v>
      </c>
      <c r="M4281" s="47"/>
      <c r="N4281" s="47"/>
      <c r="O4281" s="47"/>
      <c r="P4281" s="47"/>
      <c r="Q4281" s="47"/>
      <c r="R4281" s="47">
        <f>R$2</f>
        <v>540</v>
      </c>
      <c r="S4281" s="47"/>
      <c r="T4281" s="47" t="s">
        <v>4445</v>
      </c>
      <c r="U4281" s="47"/>
      <c r="V4281" s="47"/>
      <c r="W4281" s="47"/>
      <c r="X4281" s="47"/>
      <c r="Y4281" s="47"/>
      <c r="Z4281" s="47">
        <f t="shared" si="954"/>
        <v>4620</v>
      </c>
      <c r="AA4281" s="47"/>
      <c r="AB4281" s="47"/>
      <c r="AC4281" s="47"/>
      <c r="AD4281" s="47"/>
      <c r="AE4281" s="47"/>
      <c r="AF4281" s="47"/>
      <c r="AG4281" s="47"/>
      <c r="AH4281" s="47" t="str">
        <f>IFERROR(_xlfn.XLOOKUP(Table6[[#This Row],[Suburb]],Table5[Travel Surcharge],Table5[$$]),"")</f>
        <v/>
      </c>
      <c r="AI4281" s="47" t="s">
        <v>6286</v>
      </c>
      <c r="AJ4281" s="47"/>
    </row>
    <row r="4282" spans="1:36">
      <c r="A4282" s="157" t="s">
        <v>8334</v>
      </c>
      <c r="B4282" s="157">
        <v>1</v>
      </c>
      <c r="C4282" s="157" t="s">
        <v>675</v>
      </c>
      <c r="D4282" s="157" t="str">
        <f t="shared" si="952"/>
        <v>Tommy's Run1</v>
      </c>
      <c r="E4282" s="157" t="s">
        <v>8335</v>
      </c>
      <c r="F4282" s="157" t="s">
        <v>1155</v>
      </c>
      <c r="G4282" s="157" t="s">
        <v>8336</v>
      </c>
      <c r="H4282" s="157">
        <v>491799496</v>
      </c>
      <c r="I4282" s="158" t="s">
        <v>8337</v>
      </c>
      <c r="J4282" s="47">
        <f t="shared" si="955"/>
        <v>3740</v>
      </c>
      <c r="K4282" s="46" t="s">
        <v>10735</v>
      </c>
      <c r="L4282" s="47" t="s">
        <v>8341</v>
      </c>
      <c r="M4282" s="47"/>
      <c r="N4282" s="47">
        <f>$N9</f>
        <v>0</v>
      </c>
      <c r="O4282" s="47"/>
      <c r="P4282" s="47"/>
      <c r="Q4282" s="47"/>
      <c r="R4282" s="47" t="s">
        <v>8342</v>
      </c>
      <c r="S4282" s="47">
        <f>S$2</f>
        <v>590</v>
      </c>
      <c r="T4282" s="47"/>
      <c r="U4282" s="47"/>
      <c r="V4282" s="47"/>
      <c r="W4282" s="47"/>
      <c r="X4282" s="47"/>
      <c r="Y4282" s="47"/>
      <c r="Z4282" s="47">
        <f t="shared" si="954"/>
        <v>4620</v>
      </c>
      <c r="AA4282" s="47"/>
      <c r="AB4282" s="47"/>
      <c r="AC4282" s="47" t="s">
        <v>8340</v>
      </c>
      <c r="AD4282" s="47" t="s">
        <v>8338</v>
      </c>
      <c r="AE4282" s="47" t="s">
        <v>8339</v>
      </c>
      <c r="AF4282" s="47"/>
      <c r="AG4282" s="47"/>
      <c r="AH4282" s="47" t="str">
        <f>IFERROR(_xlfn.XLOOKUP(Table6[[#This Row],[Suburb]],Table5[Travel Surcharge],Table5[$$]),"")</f>
        <v/>
      </c>
      <c r="AI4282" s="47"/>
      <c r="AJ4282" s="47"/>
    </row>
    <row r="4283" spans="1:36">
      <c r="A4283" s="374" t="s">
        <v>6290</v>
      </c>
      <c r="B4283" s="374">
        <v>2</v>
      </c>
      <c r="C4283" s="374" t="s">
        <v>404</v>
      </c>
      <c r="D4283" s="375" t="str">
        <f t="shared" si="952"/>
        <v>Toolern Waters Estate2</v>
      </c>
      <c r="E4283" s="375" t="s">
        <v>6291</v>
      </c>
      <c r="F4283" s="375" t="s">
        <v>920</v>
      </c>
      <c r="G4283" s="375" t="s">
        <v>3222</v>
      </c>
      <c r="H4283" s="375" t="s">
        <v>922</v>
      </c>
      <c r="I4283" s="63" t="s">
        <v>923</v>
      </c>
      <c r="J4283" s="47">
        <f t="shared" si="955"/>
        <v>3740</v>
      </c>
      <c r="K4283" s="46" t="s">
        <v>10735</v>
      </c>
      <c r="L4283" s="47"/>
      <c r="M4283" s="47"/>
      <c r="N4283" s="47"/>
      <c r="O4283" s="47"/>
      <c r="P4283" s="47"/>
      <c r="Q4283" s="47">
        <f t="shared" ref="Q4283:Q4294" si="956">Q$2</f>
        <v>0</v>
      </c>
      <c r="R4283" s="47"/>
      <c r="S4283" s="47"/>
      <c r="T4283" s="47"/>
      <c r="U4283" s="47"/>
      <c r="V4283" s="47"/>
      <c r="W4283" s="47"/>
      <c r="X4283" s="47"/>
      <c r="Y4283" s="47"/>
      <c r="Z4283" s="47">
        <f t="shared" si="954"/>
        <v>4620</v>
      </c>
      <c r="AA4283" s="47"/>
      <c r="AB4283" s="47"/>
      <c r="AC4283" s="47"/>
      <c r="AD4283" s="47"/>
      <c r="AE4283" s="47"/>
      <c r="AF4283" s="47"/>
      <c r="AG4283" s="47"/>
      <c r="AH4283" s="47" t="str">
        <f>IFERROR(_xlfn.XLOOKUP(Table6[[#This Row],[Suburb]],Table5[Travel Surcharge],Table5[$$]),"")</f>
        <v/>
      </c>
      <c r="AI4283" s="47">
        <f t="shared" ref="AI4283:AI4292" si="957">$AI$7</f>
        <v>1650.0000000000002</v>
      </c>
      <c r="AJ4283" s="47"/>
    </row>
    <row r="4284" spans="1:36">
      <c r="A4284" s="374" t="s">
        <v>6290</v>
      </c>
      <c r="B4284" s="374">
        <v>3</v>
      </c>
      <c r="C4284" s="374" t="s">
        <v>404</v>
      </c>
      <c r="D4284" s="375" t="str">
        <f t="shared" si="952"/>
        <v>Toolern Waters Estate3</v>
      </c>
      <c r="E4284" s="375" t="s">
        <v>6292</v>
      </c>
      <c r="F4284" s="375" t="s">
        <v>920</v>
      </c>
      <c r="G4284" s="375" t="s">
        <v>3222</v>
      </c>
      <c r="H4284" s="375" t="s">
        <v>922</v>
      </c>
      <c r="I4284" s="63" t="s">
        <v>923</v>
      </c>
      <c r="J4284" s="47">
        <f t="shared" si="955"/>
        <v>3740</v>
      </c>
      <c r="K4284" s="46" t="s">
        <v>10735</v>
      </c>
      <c r="L4284" s="47"/>
      <c r="M4284" s="47"/>
      <c r="N4284" s="47"/>
      <c r="O4284" s="47"/>
      <c r="P4284" s="47"/>
      <c r="Q4284" s="47">
        <f t="shared" si="956"/>
        <v>0</v>
      </c>
      <c r="R4284" s="47"/>
      <c r="S4284" s="47"/>
      <c r="T4284" s="47"/>
      <c r="U4284" s="47"/>
      <c r="V4284" s="47"/>
      <c r="W4284" s="47"/>
      <c r="X4284" s="47"/>
      <c r="Y4284" s="47"/>
      <c r="Z4284" s="47">
        <f t="shared" si="954"/>
        <v>4620</v>
      </c>
      <c r="AA4284" s="47"/>
      <c r="AB4284" s="47"/>
      <c r="AC4284" s="47"/>
      <c r="AD4284" s="47"/>
      <c r="AE4284" s="47"/>
      <c r="AF4284" s="47"/>
      <c r="AG4284" s="47"/>
      <c r="AH4284" s="47" t="str">
        <f>IFERROR(_xlfn.XLOOKUP(Table6[[#This Row],[Suburb]],Table5[Travel Surcharge],Table5[$$]),"")</f>
        <v/>
      </c>
      <c r="AI4284" s="47">
        <f t="shared" si="957"/>
        <v>1650.0000000000002</v>
      </c>
      <c r="AJ4284" s="47"/>
    </row>
    <row r="4285" spans="1:36">
      <c r="A4285" s="374" t="s">
        <v>6290</v>
      </c>
      <c r="B4285" s="374">
        <v>4</v>
      </c>
      <c r="C4285" s="374" t="s">
        <v>404</v>
      </c>
      <c r="D4285" s="375" t="str">
        <f t="shared" si="952"/>
        <v>Toolern Waters Estate4</v>
      </c>
      <c r="E4285" s="375" t="s">
        <v>6293</v>
      </c>
      <c r="F4285" s="375" t="s">
        <v>920</v>
      </c>
      <c r="G4285" s="375" t="s">
        <v>3222</v>
      </c>
      <c r="H4285" s="375" t="s">
        <v>922</v>
      </c>
      <c r="I4285" s="63" t="s">
        <v>923</v>
      </c>
      <c r="J4285" s="47">
        <f t="shared" si="955"/>
        <v>3740</v>
      </c>
      <c r="K4285" s="46" t="s">
        <v>10735</v>
      </c>
      <c r="L4285" s="47"/>
      <c r="M4285" s="47"/>
      <c r="N4285" s="47"/>
      <c r="O4285" s="47"/>
      <c r="P4285" s="47"/>
      <c r="Q4285" s="47">
        <f t="shared" si="956"/>
        <v>0</v>
      </c>
      <c r="R4285" s="47"/>
      <c r="S4285" s="47"/>
      <c r="T4285" s="47"/>
      <c r="U4285" s="47"/>
      <c r="V4285" s="47"/>
      <c r="W4285" s="47"/>
      <c r="X4285" s="47"/>
      <c r="Y4285" s="47"/>
      <c r="Z4285" s="47">
        <f t="shared" si="954"/>
        <v>4620</v>
      </c>
      <c r="AA4285" s="47"/>
      <c r="AB4285" s="47"/>
      <c r="AC4285" s="47"/>
      <c r="AD4285" s="47"/>
      <c r="AE4285" s="47"/>
      <c r="AF4285" s="47"/>
      <c r="AG4285" s="47"/>
      <c r="AH4285" s="47" t="str">
        <f>IFERROR(_xlfn.XLOOKUP(Table6[[#This Row],[Suburb]],Table5[Travel Surcharge],Table5[$$]),"")</f>
        <v/>
      </c>
      <c r="AI4285" s="47">
        <f t="shared" si="957"/>
        <v>1650.0000000000002</v>
      </c>
      <c r="AJ4285" s="47"/>
    </row>
    <row r="4286" spans="1:36">
      <c r="A4286" s="374" t="s">
        <v>6290</v>
      </c>
      <c r="B4286" s="374">
        <v>5</v>
      </c>
      <c r="C4286" s="374" t="s">
        <v>404</v>
      </c>
      <c r="D4286" s="375" t="str">
        <f t="shared" si="952"/>
        <v>Toolern Waters Estate5</v>
      </c>
      <c r="E4286" s="375" t="s">
        <v>6294</v>
      </c>
      <c r="F4286" s="375" t="s">
        <v>920</v>
      </c>
      <c r="G4286" s="375" t="s">
        <v>3222</v>
      </c>
      <c r="H4286" s="375" t="s">
        <v>922</v>
      </c>
      <c r="I4286" s="63" t="s">
        <v>923</v>
      </c>
      <c r="J4286" s="47">
        <f t="shared" si="955"/>
        <v>3740</v>
      </c>
      <c r="K4286" s="46" t="s">
        <v>10735</v>
      </c>
      <c r="L4286" s="47"/>
      <c r="M4286" s="47"/>
      <c r="N4286" s="47"/>
      <c r="O4286" s="47"/>
      <c r="P4286" s="47"/>
      <c r="Q4286" s="47">
        <f t="shared" si="956"/>
        <v>0</v>
      </c>
      <c r="R4286" s="47"/>
      <c r="S4286" s="47"/>
      <c r="T4286" s="47"/>
      <c r="U4286" s="47"/>
      <c r="V4286" s="47"/>
      <c r="W4286" s="47"/>
      <c r="X4286" s="47"/>
      <c r="Y4286" s="47"/>
      <c r="Z4286" s="47">
        <f t="shared" si="954"/>
        <v>4620</v>
      </c>
      <c r="AA4286" s="47"/>
      <c r="AB4286" s="47"/>
      <c r="AC4286" s="47"/>
      <c r="AD4286" s="47"/>
      <c r="AE4286" s="47"/>
      <c r="AF4286" s="47"/>
      <c r="AG4286" s="47"/>
      <c r="AH4286" s="47" t="str">
        <f>IFERROR(_xlfn.XLOOKUP(Table6[[#This Row],[Suburb]],Table5[Travel Surcharge],Table5[$$]),"")</f>
        <v/>
      </c>
      <c r="AI4286" s="47">
        <f t="shared" si="957"/>
        <v>1650.0000000000002</v>
      </c>
      <c r="AJ4286" s="47"/>
    </row>
    <row r="4287" spans="1:36">
      <c r="A4287" s="374" t="s">
        <v>6290</v>
      </c>
      <c r="B4287" s="374">
        <v>8</v>
      </c>
      <c r="C4287" s="374" t="s">
        <v>404</v>
      </c>
      <c r="D4287" s="375" t="str">
        <f t="shared" si="952"/>
        <v>Toolern Waters Estate8</v>
      </c>
      <c r="E4287" s="375" t="s">
        <v>6295</v>
      </c>
      <c r="F4287" s="375" t="s">
        <v>920</v>
      </c>
      <c r="G4287" s="375" t="s">
        <v>3222</v>
      </c>
      <c r="H4287" s="375" t="s">
        <v>922</v>
      </c>
      <c r="I4287" s="63" t="s">
        <v>923</v>
      </c>
      <c r="J4287" s="47">
        <f t="shared" si="955"/>
        <v>3740</v>
      </c>
      <c r="K4287" s="46" t="s">
        <v>10735</v>
      </c>
      <c r="L4287" s="47"/>
      <c r="M4287" s="47"/>
      <c r="N4287" s="47"/>
      <c r="O4287" s="47"/>
      <c r="P4287" s="47"/>
      <c r="Q4287" s="47">
        <f t="shared" si="956"/>
        <v>0</v>
      </c>
      <c r="R4287" s="47"/>
      <c r="S4287" s="47"/>
      <c r="T4287" s="47"/>
      <c r="U4287" s="47"/>
      <c r="V4287" s="47"/>
      <c r="W4287" s="47"/>
      <c r="X4287" s="47"/>
      <c r="Y4287" s="47"/>
      <c r="Z4287" s="47">
        <f t="shared" si="954"/>
        <v>4620</v>
      </c>
      <c r="AA4287" s="47"/>
      <c r="AB4287" s="47"/>
      <c r="AC4287" s="47"/>
      <c r="AD4287" s="47"/>
      <c r="AE4287" s="47"/>
      <c r="AF4287" s="47"/>
      <c r="AG4287" s="47"/>
      <c r="AH4287" s="47" t="str">
        <f>IFERROR(_xlfn.XLOOKUP(Table6[[#This Row],[Suburb]],Table5[Travel Surcharge],Table5[$$]),"")</f>
        <v/>
      </c>
      <c r="AI4287" s="47">
        <f t="shared" si="957"/>
        <v>1650.0000000000002</v>
      </c>
      <c r="AJ4287" s="47"/>
    </row>
    <row r="4288" spans="1:36">
      <c r="A4288" s="374" t="s">
        <v>6290</v>
      </c>
      <c r="B4288" s="374">
        <v>9</v>
      </c>
      <c r="C4288" s="374" t="s">
        <v>404</v>
      </c>
      <c r="D4288" s="375" t="str">
        <f t="shared" si="952"/>
        <v>Toolern Waters Estate9</v>
      </c>
      <c r="E4288" s="375" t="s">
        <v>6296</v>
      </c>
      <c r="F4288" s="375" t="s">
        <v>920</v>
      </c>
      <c r="G4288" s="375" t="s">
        <v>3222</v>
      </c>
      <c r="H4288" s="375" t="s">
        <v>922</v>
      </c>
      <c r="I4288" s="63" t="s">
        <v>923</v>
      </c>
      <c r="J4288" s="47"/>
      <c r="K4288" s="46" t="s">
        <v>10735</v>
      </c>
      <c r="L4288" s="47"/>
      <c r="M4288" s="47"/>
      <c r="N4288" s="47"/>
      <c r="O4288" s="47"/>
      <c r="P4288" s="47"/>
      <c r="Q4288" s="47">
        <f t="shared" si="956"/>
        <v>0</v>
      </c>
      <c r="R4288" s="47"/>
      <c r="S4288" s="47"/>
      <c r="T4288" s="47"/>
      <c r="U4288" s="47"/>
      <c r="V4288" s="47"/>
      <c r="W4288" s="47"/>
      <c r="X4288" s="47"/>
      <c r="Y4288" s="47"/>
      <c r="Z4288" s="47">
        <f t="shared" si="954"/>
        <v>4620</v>
      </c>
      <c r="AA4288" s="47"/>
      <c r="AB4288" s="47"/>
      <c r="AC4288" s="47"/>
      <c r="AD4288" s="47"/>
      <c r="AE4288" s="47"/>
      <c r="AF4288" s="47"/>
      <c r="AG4288" s="47"/>
      <c r="AH4288" s="47" t="str">
        <f>IFERROR(_xlfn.XLOOKUP(Table6[[#This Row],[Suburb]],Table5[Travel Surcharge],Table5[$$]),"")</f>
        <v/>
      </c>
      <c r="AI4288" s="47">
        <f t="shared" si="957"/>
        <v>1650.0000000000002</v>
      </c>
      <c r="AJ4288" s="47"/>
    </row>
    <row r="4289" spans="1:36">
      <c r="A4289" s="374" t="s">
        <v>6290</v>
      </c>
      <c r="B4289" s="374">
        <v>10</v>
      </c>
      <c r="C4289" s="374" t="s">
        <v>404</v>
      </c>
      <c r="D4289" s="375" t="str">
        <f t="shared" si="952"/>
        <v>Toolern Waters Estate10</v>
      </c>
      <c r="E4289" s="375" t="s">
        <v>6297</v>
      </c>
      <c r="F4289" s="375" t="s">
        <v>920</v>
      </c>
      <c r="G4289" s="375" t="s">
        <v>3222</v>
      </c>
      <c r="H4289" s="375" t="s">
        <v>922</v>
      </c>
      <c r="I4289" s="63" t="s">
        <v>923</v>
      </c>
      <c r="J4289" s="47"/>
      <c r="K4289" s="46" t="s">
        <v>10735</v>
      </c>
      <c r="L4289" s="47"/>
      <c r="M4289" s="47"/>
      <c r="N4289" s="47"/>
      <c r="O4289" s="47"/>
      <c r="P4289" s="47"/>
      <c r="Q4289" s="47">
        <f t="shared" si="956"/>
        <v>0</v>
      </c>
      <c r="R4289" s="47"/>
      <c r="S4289" s="47"/>
      <c r="T4289" s="47"/>
      <c r="U4289" s="47"/>
      <c r="V4289" s="47"/>
      <c r="W4289" s="47"/>
      <c r="X4289" s="47"/>
      <c r="Y4289" s="47"/>
      <c r="Z4289" s="47">
        <f t="shared" si="954"/>
        <v>4620</v>
      </c>
      <c r="AA4289" s="47"/>
      <c r="AB4289" s="47"/>
      <c r="AC4289" s="47"/>
      <c r="AD4289" s="47"/>
      <c r="AE4289" s="47"/>
      <c r="AF4289" s="47"/>
      <c r="AG4289" s="47"/>
      <c r="AH4289" s="47" t="str">
        <f>IFERROR(_xlfn.XLOOKUP(Table6[[#This Row],[Suburb]],Table5[Travel Surcharge],Table5[$$]),"")</f>
        <v/>
      </c>
      <c r="AI4289" s="47">
        <f t="shared" si="957"/>
        <v>1650.0000000000002</v>
      </c>
      <c r="AJ4289" s="47"/>
    </row>
    <row r="4290" spans="1:36">
      <c r="A4290" s="374" t="s">
        <v>6290</v>
      </c>
      <c r="B4290" s="374">
        <v>11</v>
      </c>
      <c r="C4290" s="374" t="s">
        <v>404</v>
      </c>
      <c r="D4290" s="375" t="str">
        <f t="shared" si="952"/>
        <v>Toolern Waters Estate11</v>
      </c>
      <c r="E4290" s="375" t="s">
        <v>6298</v>
      </c>
      <c r="F4290" s="375" t="s">
        <v>920</v>
      </c>
      <c r="G4290" s="375" t="s">
        <v>3222</v>
      </c>
      <c r="H4290" s="375" t="s">
        <v>922</v>
      </c>
      <c r="I4290" s="63" t="s">
        <v>923</v>
      </c>
      <c r="J4290" s="47"/>
      <c r="K4290" s="46" t="s">
        <v>10735</v>
      </c>
      <c r="L4290" s="47"/>
      <c r="M4290" s="47"/>
      <c r="N4290" s="47"/>
      <c r="O4290" s="47"/>
      <c r="P4290" s="47"/>
      <c r="Q4290" s="47">
        <f t="shared" si="956"/>
        <v>0</v>
      </c>
      <c r="R4290" s="47"/>
      <c r="S4290" s="47"/>
      <c r="T4290" s="47"/>
      <c r="U4290" s="47"/>
      <c r="V4290" s="47"/>
      <c r="W4290" s="47"/>
      <c r="X4290" s="47"/>
      <c r="Y4290" s="47"/>
      <c r="Z4290" s="47">
        <f t="shared" si="954"/>
        <v>4620</v>
      </c>
      <c r="AA4290" s="47"/>
      <c r="AB4290" s="47"/>
      <c r="AC4290" s="47"/>
      <c r="AD4290" s="47"/>
      <c r="AE4290" s="47"/>
      <c r="AF4290" s="47"/>
      <c r="AG4290" s="47"/>
      <c r="AH4290" s="47" t="str">
        <f>IFERROR(_xlfn.XLOOKUP(Table6[[#This Row],[Suburb]],Table5[Travel Surcharge],Table5[$$]),"")</f>
        <v/>
      </c>
      <c r="AI4290" s="47">
        <f t="shared" si="957"/>
        <v>1650.0000000000002</v>
      </c>
      <c r="AJ4290" s="47"/>
    </row>
    <row r="4291" spans="1:36">
      <c r="A4291" s="374" t="s">
        <v>6290</v>
      </c>
      <c r="B4291" s="374">
        <v>12</v>
      </c>
      <c r="C4291" s="374" t="s">
        <v>404</v>
      </c>
      <c r="D4291" s="375" t="str">
        <f t="shared" si="952"/>
        <v>Toolern Waters Estate12</v>
      </c>
      <c r="E4291" s="375" t="s">
        <v>6299</v>
      </c>
      <c r="F4291" s="375" t="s">
        <v>920</v>
      </c>
      <c r="G4291" s="375" t="s">
        <v>3222</v>
      </c>
      <c r="H4291" s="375" t="s">
        <v>922</v>
      </c>
      <c r="I4291" s="63" t="s">
        <v>923</v>
      </c>
      <c r="J4291" s="47"/>
      <c r="K4291" s="46" t="s">
        <v>10735</v>
      </c>
      <c r="L4291" s="47"/>
      <c r="M4291" s="47"/>
      <c r="N4291" s="47"/>
      <c r="O4291" s="47"/>
      <c r="P4291" s="47"/>
      <c r="Q4291" s="47">
        <f t="shared" si="956"/>
        <v>0</v>
      </c>
      <c r="R4291" s="47"/>
      <c r="S4291" s="47"/>
      <c r="T4291" s="47"/>
      <c r="U4291" s="47"/>
      <c r="V4291" s="47"/>
      <c r="W4291" s="47"/>
      <c r="X4291" s="47"/>
      <c r="Y4291" s="47"/>
      <c r="Z4291" s="47">
        <f t="shared" si="954"/>
        <v>4620</v>
      </c>
      <c r="AA4291" s="47"/>
      <c r="AB4291" s="47"/>
      <c r="AC4291" s="47"/>
      <c r="AD4291" s="47"/>
      <c r="AE4291" s="47"/>
      <c r="AF4291" s="47"/>
      <c r="AG4291" s="47"/>
      <c r="AH4291" s="47" t="str">
        <f>IFERROR(_xlfn.XLOOKUP(Table6[[#This Row],[Suburb]],Table5[Travel Surcharge],Table5[$$]),"")</f>
        <v/>
      </c>
      <c r="AI4291" s="47">
        <f t="shared" si="957"/>
        <v>1650.0000000000002</v>
      </c>
      <c r="AJ4291" s="47"/>
    </row>
    <row r="4292" spans="1:36">
      <c r="A4292" s="374" t="s">
        <v>6290</v>
      </c>
      <c r="B4292" s="374">
        <v>13</v>
      </c>
      <c r="C4292" s="374" t="s">
        <v>404</v>
      </c>
      <c r="D4292" s="375" t="str">
        <f t="shared" si="952"/>
        <v>Toolern Waters Estate13</v>
      </c>
      <c r="E4292" s="375" t="s">
        <v>9477</v>
      </c>
      <c r="F4292" s="375" t="s">
        <v>920</v>
      </c>
      <c r="G4292" s="375" t="s">
        <v>3222</v>
      </c>
      <c r="H4292" s="375" t="s">
        <v>922</v>
      </c>
      <c r="I4292" s="63" t="s">
        <v>923</v>
      </c>
      <c r="J4292" s="47"/>
      <c r="K4292" s="46" t="s">
        <v>10735</v>
      </c>
      <c r="L4292" s="47"/>
      <c r="M4292" s="47"/>
      <c r="N4292" s="47"/>
      <c r="O4292" s="47"/>
      <c r="P4292" s="47"/>
      <c r="Q4292" s="47">
        <f t="shared" si="956"/>
        <v>0</v>
      </c>
      <c r="R4292" s="47"/>
      <c r="S4292" s="47"/>
      <c r="T4292" s="47"/>
      <c r="U4292" s="47"/>
      <c r="V4292" s="47"/>
      <c r="W4292" s="47"/>
      <c r="X4292" s="47"/>
      <c r="Y4292" s="47"/>
      <c r="Z4292" s="47">
        <f t="shared" si="954"/>
        <v>4620</v>
      </c>
      <c r="AA4292" s="47"/>
      <c r="AB4292" s="47"/>
      <c r="AC4292" s="47"/>
      <c r="AD4292" s="47"/>
      <c r="AE4292" s="47"/>
      <c r="AF4292" s="47"/>
      <c r="AG4292" s="47"/>
      <c r="AH4292" s="47" t="str">
        <f>IFERROR(_xlfn.XLOOKUP(Table6[[#This Row],[Suburb]],Table5[Travel Surcharge],Table5[$$]),"")</f>
        <v/>
      </c>
      <c r="AI4292" s="47">
        <f t="shared" si="957"/>
        <v>1650.0000000000002</v>
      </c>
      <c r="AJ4292" s="47"/>
    </row>
    <row r="4293" spans="1:36">
      <c r="A4293" s="157" t="s">
        <v>8009</v>
      </c>
      <c r="B4293" s="157">
        <v>1</v>
      </c>
      <c r="C4293" s="157" t="s">
        <v>394</v>
      </c>
      <c r="D4293" s="157" t="str">
        <f t="shared" si="952"/>
        <v>Tramonto Views1</v>
      </c>
      <c r="E4293" s="157" t="s">
        <v>8010</v>
      </c>
      <c r="F4293" s="157"/>
      <c r="G4293" s="157"/>
      <c r="H4293" s="157"/>
      <c r="I4293" s="158"/>
      <c r="J4293" s="47"/>
      <c r="K4293" s="46" t="s">
        <v>10735</v>
      </c>
      <c r="L4293" s="47"/>
      <c r="M4293" s="47" t="s">
        <v>8011</v>
      </c>
      <c r="N4293" s="47" t="s">
        <v>8012</v>
      </c>
      <c r="O4293" s="47"/>
      <c r="P4293" s="47"/>
      <c r="Q4293" s="47">
        <f t="shared" si="956"/>
        <v>0</v>
      </c>
      <c r="R4293" s="47"/>
      <c r="S4293" s="47"/>
      <c r="T4293" s="47"/>
      <c r="U4293" s="47"/>
      <c r="V4293" s="47"/>
      <c r="W4293" s="47"/>
      <c r="X4293" s="47"/>
      <c r="Y4293" s="47"/>
      <c r="Z4293" s="47">
        <f t="shared" si="954"/>
        <v>4620</v>
      </c>
      <c r="AA4293" s="47"/>
      <c r="AB4293" s="47"/>
      <c r="AC4293" s="47"/>
      <c r="AD4293" s="47"/>
      <c r="AE4293" s="47"/>
      <c r="AF4293" s="47"/>
      <c r="AG4293" s="47"/>
      <c r="AH4293" s="47" t="str">
        <f>IFERROR(_xlfn.XLOOKUP(Table6[[#This Row],[Suburb]],Table5[Travel Surcharge],Table5[$$]),"")</f>
        <v/>
      </c>
      <c r="AI4293" s="47"/>
      <c r="AJ4293" s="47"/>
    </row>
    <row r="4294" spans="1:36">
      <c r="A4294" s="157" t="s">
        <v>8009</v>
      </c>
      <c r="B4294" s="157">
        <v>2</v>
      </c>
      <c r="C4294" s="157" t="s">
        <v>394</v>
      </c>
      <c r="D4294" s="157" t="str">
        <f t="shared" si="952"/>
        <v>Tramonto Views2</v>
      </c>
      <c r="E4294" s="157" t="s">
        <v>8013</v>
      </c>
      <c r="F4294" s="157"/>
      <c r="G4294" s="157"/>
      <c r="H4294" s="157"/>
      <c r="I4294" s="158"/>
      <c r="J4294" s="47"/>
      <c r="K4294" s="46" t="s">
        <v>10735</v>
      </c>
      <c r="L4294" s="47"/>
      <c r="M4294" s="47" t="s">
        <v>8011</v>
      </c>
      <c r="N4294" s="47" t="s">
        <v>8012</v>
      </c>
      <c r="O4294" s="47"/>
      <c r="P4294" s="47"/>
      <c r="Q4294" s="47">
        <f t="shared" si="956"/>
        <v>0</v>
      </c>
      <c r="R4294" s="47"/>
      <c r="S4294" s="47"/>
      <c r="T4294" s="47"/>
      <c r="U4294" s="47"/>
      <c r="V4294" s="47"/>
      <c r="W4294" s="47"/>
      <c r="X4294" s="47"/>
      <c r="Y4294" s="47"/>
      <c r="Z4294" s="47">
        <f t="shared" si="954"/>
        <v>4620</v>
      </c>
      <c r="AA4294" s="47"/>
      <c r="AB4294" s="47"/>
      <c r="AC4294" s="47"/>
      <c r="AD4294" s="47"/>
      <c r="AE4294" s="47"/>
      <c r="AF4294" s="47"/>
      <c r="AG4294" s="47"/>
      <c r="AH4294" s="47" t="str">
        <f>IFERROR(_xlfn.XLOOKUP(Table6[[#This Row],[Suburb]],Table5[Travel Surcharge],Table5[$$]),"")</f>
        <v/>
      </c>
      <c r="AI4294" s="47"/>
      <c r="AJ4294" s="47"/>
    </row>
    <row r="4295" spans="1:36">
      <c r="A4295" s="374" t="s">
        <v>8781</v>
      </c>
      <c r="B4295" s="374">
        <v>1</v>
      </c>
      <c r="C4295" s="374" t="s">
        <v>2060</v>
      </c>
      <c r="D4295" s="375" t="str">
        <f t="shared" si="952"/>
        <v>Tribella Rise 1</v>
      </c>
      <c r="E4295" s="375" t="s">
        <v>8784</v>
      </c>
      <c r="F4295" s="375" t="s">
        <v>2664</v>
      </c>
      <c r="G4295" s="375"/>
      <c r="H4295" s="375" t="s">
        <v>8782</v>
      </c>
      <c r="I4295" s="63" t="s">
        <v>8783</v>
      </c>
      <c r="J4295" s="47">
        <f t="shared" ref="J4295:J4312" si="958">J$7</f>
        <v>3740</v>
      </c>
      <c r="K4295" s="46" t="s">
        <v>10735</v>
      </c>
      <c r="L4295" s="47"/>
      <c r="M4295" s="47"/>
      <c r="N4295" s="47" t="s">
        <v>8785</v>
      </c>
      <c r="O4295" s="47"/>
      <c r="P4295" s="47" t="s">
        <v>8786</v>
      </c>
      <c r="Q4295" s="47"/>
      <c r="R4295" s="47"/>
      <c r="S4295" s="47">
        <f>S$2</f>
        <v>590</v>
      </c>
      <c r="T4295" s="47"/>
      <c r="U4295" s="47"/>
      <c r="V4295" s="47" t="s">
        <v>8787</v>
      </c>
      <c r="W4295" s="47"/>
      <c r="X4295" s="47"/>
      <c r="Y4295" s="47"/>
      <c r="Z4295" s="47">
        <f t="shared" si="954"/>
        <v>4620</v>
      </c>
      <c r="AA4295" s="47"/>
      <c r="AB4295" s="47"/>
      <c r="AC4295" s="47"/>
      <c r="AD4295" s="47"/>
      <c r="AE4295" s="47"/>
      <c r="AF4295" s="47"/>
      <c r="AG4295" s="47"/>
      <c r="AH4295" s="47" t="str">
        <f>IFERROR(_xlfn.XLOOKUP(Table6[[#This Row],[Suburb]],Table5[Travel Surcharge],Table5[$$]),"")</f>
        <v/>
      </c>
      <c r="AI4295" s="47"/>
      <c r="AJ4295" s="47"/>
    </row>
    <row r="4296" spans="1:36">
      <c r="A4296" s="374" t="s">
        <v>8781</v>
      </c>
      <c r="B4296" s="374">
        <v>2</v>
      </c>
      <c r="C4296" s="374" t="s">
        <v>2060</v>
      </c>
      <c r="D4296" s="375" t="str">
        <f t="shared" si="952"/>
        <v>Tribella Rise 2</v>
      </c>
      <c r="E4296" s="375" t="s">
        <v>8789</v>
      </c>
      <c r="F4296" s="375" t="s">
        <v>2664</v>
      </c>
      <c r="G4296" s="375"/>
      <c r="H4296" s="375" t="s">
        <v>8782</v>
      </c>
      <c r="I4296" s="63" t="s">
        <v>8783</v>
      </c>
      <c r="J4296" s="47">
        <f t="shared" si="958"/>
        <v>3740</v>
      </c>
      <c r="K4296" s="46" t="s">
        <v>10735</v>
      </c>
      <c r="L4296" s="47"/>
      <c r="M4296" s="47"/>
      <c r="N4296" s="47" t="s">
        <v>8785</v>
      </c>
      <c r="O4296" s="47"/>
      <c r="P4296" s="47" t="s">
        <v>8786</v>
      </c>
      <c r="Q4296" s="47"/>
      <c r="R4296" s="47"/>
      <c r="S4296" s="47">
        <f>S$2</f>
        <v>590</v>
      </c>
      <c r="T4296" s="47"/>
      <c r="U4296" s="47"/>
      <c r="V4296" s="47" t="s">
        <v>8787</v>
      </c>
      <c r="W4296" s="47"/>
      <c r="X4296" s="47"/>
      <c r="Y4296" s="47"/>
      <c r="Z4296" s="47">
        <f t="shared" si="954"/>
        <v>4620</v>
      </c>
      <c r="AA4296" s="47"/>
      <c r="AB4296" s="47"/>
      <c r="AC4296" s="47"/>
      <c r="AD4296" s="47"/>
      <c r="AE4296" s="47"/>
      <c r="AF4296" s="47"/>
      <c r="AG4296" s="47"/>
      <c r="AH4296" s="47" t="str">
        <f>IFERROR(_xlfn.XLOOKUP(Table6[[#This Row],[Suburb]],Table5[Travel Surcharge],Table5[$$]),"")</f>
        <v/>
      </c>
      <c r="AI4296" s="47"/>
      <c r="AJ4296" s="47"/>
    </row>
    <row r="4297" spans="1:36">
      <c r="A4297" s="374" t="s">
        <v>6300</v>
      </c>
      <c r="B4297" s="374">
        <v>1</v>
      </c>
      <c r="C4297" s="374" t="s">
        <v>764</v>
      </c>
      <c r="D4297" s="375" t="str">
        <f t="shared" si="952"/>
        <v>Trijena Estate1</v>
      </c>
      <c r="E4297" s="375" t="s">
        <v>6301</v>
      </c>
      <c r="F4297" s="375" t="s">
        <v>1862</v>
      </c>
      <c r="G4297" s="375" t="s">
        <v>1863</v>
      </c>
      <c r="H4297" s="375" t="s">
        <v>1864</v>
      </c>
      <c r="I4297" s="63" t="s">
        <v>6302</v>
      </c>
      <c r="J4297" s="47">
        <f t="shared" si="958"/>
        <v>3740</v>
      </c>
      <c r="K4297" s="46" t="s">
        <v>10735</v>
      </c>
      <c r="L4297" s="47"/>
      <c r="M4297" s="47"/>
      <c r="N4297" s="47"/>
      <c r="O4297" s="47"/>
      <c r="P4297" s="47"/>
      <c r="Q4297" s="47"/>
      <c r="R4297" s="47">
        <f t="shared" ref="R4297:R4310" si="959">R$2</f>
        <v>540</v>
      </c>
      <c r="S4297" s="47"/>
      <c r="T4297" s="47" t="s">
        <v>6303</v>
      </c>
      <c r="U4297" s="47"/>
      <c r="V4297" s="47"/>
      <c r="W4297" s="47"/>
      <c r="X4297" s="47"/>
      <c r="Y4297" s="47"/>
      <c r="Z4297" s="47">
        <f t="shared" si="954"/>
        <v>4620</v>
      </c>
      <c r="AA4297" s="47"/>
      <c r="AB4297" s="47"/>
      <c r="AC4297" s="47"/>
      <c r="AD4297" s="47"/>
      <c r="AE4297" s="47"/>
      <c r="AF4297" s="47">
        <f t="shared" ref="AF4297:AF4310" si="960">AF$7</f>
        <v>1485</v>
      </c>
      <c r="AG4297" s="47"/>
      <c r="AH4297" s="47" t="str">
        <f>IFERROR(_xlfn.XLOOKUP(Table6[[#This Row],[Suburb]],Table5[Travel Surcharge],Table5[$$]),"")</f>
        <v/>
      </c>
      <c r="AI4297" s="47"/>
      <c r="AJ4297" s="47"/>
    </row>
    <row r="4298" spans="1:36">
      <c r="A4298" s="374" t="s">
        <v>6300</v>
      </c>
      <c r="B4298" s="374">
        <v>2</v>
      </c>
      <c r="C4298" s="374" t="s">
        <v>764</v>
      </c>
      <c r="D4298" s="375" t="str">
        <f t="shared" si="952"/>
        <v>Trijena Estate2</v>
      </c>
      <c r="E4298" s="375" t="s">
        <v>6304</v>
      </c>
      <c r="F4298" s="375" t="s">
        <v>1862</v>
      </c>
      <c r="G4298" s="375" t="s">
        <v>1863</v>
      </c>
      <c r="H4298" s="375" t="s">
        <v>1864</v>
      </c>
      <c r="I4298" s="63" t="s">
        <v>6302</v>
      </c>
      <c r="J4298" s="47">
        <f t="shared" si="958"/>
        <v>3740</v>
      </c>
      <c r="K4298" s="46" t="s">
        <v>10735</v>
      </c>
      <c r="L4298" s="47"/>
      <c r="M4298" s="47"/>
      <c r="N4298" s="47"/>
      <c r="O4298" s="47"/>
      <c r="P4298" s="47"/>
      <c r="Q4298" s="47"/>
      <c r="R4298" s="47">
        <f t="shared" si="959"/>
        <v>540</v>
      </c>
      <c r="S4298" s="47"/>
      <c r="T4298" s="47" t="s">
        <v>6303</v>
      </c>
      <c r="U4298" s="47"/>
      <c r="V4298" s="47"/>
      <c r="W4298" s="47"/>
      <c r="X4298" s="47"/>
      <c r="Y4298" s="47"/>
      <c r="Z4298" s="47">
        <f t="shared" si="954"/>
        <v>4620</v>
      </c>
      <c r="AA4298" s="47"/>
      <c r="AB4298" s="47"/>
      <c r="AC4298" s="47"/>
      <c r="AD4298" s="47"/>
      <c r="AE4298" s="47"/>
      <c r="AF4298" s="47">
        <f t="shared" si="960"/>
        <v>1485</v>
      </c>
      <c r="AG4298" s="47"/>
      <c r="AH4298" s="47" t="str">
        <f>IFERROR(_xlfn.XLOOKUP(Table6[[#This Row],[Suburb]],Table5[Travel Surcharge],Table5[$$]),"")</f>
        <v/>
      </c>
      <c r="AI4298" s="47"/>
      <c r="AJ4298" s="47"/>
    </row>
    <row r="4299" spans="1:36">
      <c r="A4299" s="374" t="s">
        <v>6300</v>
      </c>
      <c r="B4299" s="374">
        <v>3</v>
      </c>
      <c r="C4299" s="374" t="s">
        <v>764</v>
      </c>
      <c r="D4299" s="375" t="str">
        <f t="shared" si="952"/>
        <v>Trijena Estate3</v>
      </c>
      <c r="E4299" s="375" t="s">
        <v>6305</v>
      </c>
      <c r="F4299" s="375" t="s">
        <v>1862</v>
      </c>
      <c r="G4299" s="375" t="s">
        <v>1863</v>
      </c>
      <c r="H4299" s="375" t="s">
        <v>1864</v>
      </c>
      <c r="I4299" s="63" t="s">
        <v>6302</v>
      </c>
      <c r="J4299" s="47">
        <f t="shared" si="958"/>
        <v>3740</v>
      </c>
      <c r="K4299" s="46" t="s">
        <v>10735</v>
      </c>
      <c r="L4299" s="47"/>
      <c r="M4299" s="47"/>
      <c r="N4299" s="47"/>
      <c r="O4299" s="47"/>
      <c r="P4299" s="47"/>
      <c r="Q4299" s="47"/>
      <c r="R4299" s="47">
        <f t="shared" si="959"/>
        <v>540</v>
      </c>
      <c r="S4299" s="47"/>
      <c r="T4299" s="47" t="s">
        <v>6303</v>
      </c>
      <c r="U4299" s="47"/>
      <c r="V4299" s="47"/>
      <c r="W4299" s="47"/>
      <c r="X4299" s="47"/>
      <c r="Y4299" s="47"/>
      <c r="Z4299" s="47">
        <f t="shared" si="954"/>
        <v>4620</v>
      </c>
      <c r="AA4299" s="47"/>
      <c r="AB4299" s="47"/>
      <c r="AC4299" s="47"/>
      <c r="AD4299" s="47"/>
      <c r="AE4299" s="47"/>
      <c r="AF4299" s="47">
        <f t="shared" si="960"/>
        <v>1485</v>
      </c>
      <c r="AG4299" s="47"/>
      <c r="AH4299" s="47" t="str">
        <f>IFERROR(_xlfn.XLOOKUP(Table6[[#This Row],[Suburb]],Table5[Travel Surcharge],Table5[$$]),"")</f>
        <v/>
      </c>
      <c r="AI4299" s="47"/>
      <c r="AJ4299" s="47"/>
    </row>
    <row r="4300" spans="1:36">
      <c r="A4300" s="374" t="s">
        <v>6300</v>
      </c>
      <c r="B4300" s="374">
        <v>4</v>
      </c>
      <c r="C4300" s="374" t="s">
        <v>764</v>
      </c>
      <c r="D4300" s="375" t="str">
        <f t="shared" si="952"/>
        <v>Trijena Estate4</v>
      </c>
      <c r="E4300" s="375" t="s">
        <v>6306</v>
      </c>
      <c r="F4300" s="375" t="s">
        <v>1862</v>
      </c>
      <c r="G4300" s="375" t="s">
        <v>1863</v>
      </c>
      <c r="H4300" s="375" t="s">
        <v>1864</v>
      </c>
      <c r="I4300" s="63" t="s">
        <v>6302</v>
      </c>
      <c r="J4300" s="47">
        <f t="shared" si="958"/>
        <v>3740</v>
      </c>
      <c r="K4300" s="46" t="s">
        <v>10735</v>
      </c>
      <c r="L4300" s="47"/>
      <c r="M4300" s="47"/>
      <c r="N4300" s="47"/>
      <c r="O4300" s="47"/>
      <c r="P4300" s="47"/>
      <c r="Q4300" s="47"/>
      <c r="R4300" s="47">
        <f t="shared" si="959"/>
        <v>540</v>
      </c>
      <c r="S4300" s="47"/>
      <c r="T4300" s="47" t="s">
        <v>6303</v>
      </c>
      <c r="U4300" s="47"/>
      <c r="V4300" s="47"/>
      <c r="W4300" s="47"/>
      <c r="X4300" s="47"/>
      <c r="Y4300" s="47"/>
      <c r="Z4300" s="47">
        <f t="shared" si="954"/>
        <v>4620</v>
      </c>
      <c r="AA4300" s="47"/>
      <c r="AB4300" s="47"/>
      <c r="AC4300" s="47"/>
      <c r="AD4300" s="47"/>
      <c r="AE4300" s="47"/>
      <c r="AF4300" s="47">
        <f t="shared" si="960"/>
        <v>1485</v>
      </c>
      <c r="AG4300" s="47"/>
      <c r="AH4300" s="47" t="str">
        <f>IFERROR(_xlfn.XLOOKUP(Table6[[#This Row],[Suburb]],Table5[Travel Surcharge],Table5[$$]),"")</f>
        <v/>
      </c>
      <c r="AI4300" s="47"/>
      <c r="AJ4300" s="47"/>
    </row>
    <row r="4301" spans="1:36">
      <c r="A4301" s="374" t="s">
        <v>6300</v>
      </c>
      <c r="B4301" s="374">
        <v>5</v>
      </c>
      <c r="C4301" s="374" t="s">
        <v>764</v>
      </c>
      <c r="D4301" s="375" t="str">
        <f t="shared" si="952"/>
        <v>Trijena Estate5</v>
      </c>
      <c r="E4301" s="375" t="s">
        <v>6307</v>
      </c>
      <c r="F4301" s="375" t="s">
        <v>1862</v>
      </c>
      <c r="G4301" s="375" t="s">
        <v>1863</v>
      </c>
      <c r="H4301" s="375" t="s">
        <v>1864</v>
      </c>
      <c r="I4301" s="63" t="s">
        <v>6302</v>
      </c>
      <c r="J4301" s="47">
        <f t="shared" si="958"/>
        <v>3740</v>
      </c>
      <c r="K4301" s="46" t="s">
        <v>10735</v>
      </c>
      <c r="L4301" s="47"/>
      <c r="M4301" s="47"/>
      <c r="N4301" s="47"/>
      <c r="O4301" s="47"/>
      <c r="P4301" s="47"/>
      <c r="Q4301" s="47"/>
      <c r="R4301" s="47">
        <f t="shared" si="959"/>
        <v>540</v>
      </c>
      <c r="S4301" s="47"/>
      <c r="T4301" s="47" t="s">
        <v>6303</v>
      </c>
      <c r="U4301" s="47"/>
      <c r="V4301" s="47"/>
      <c r="W4301" s="47"/>
      <c r="X4301" s="47"/>
      <c r="Y4301" s="47"/>
      <c r="Z4301" s="47">
        <f t="shared" si="954"/>
        <v>4620</v>
      </c>
      <c r="AA4301" s="47"/>
      <c r="AB4301" s="47"/>
      <c r="AC4301" s="47"/>
      <c r="AD4301" s="47"/>
      <c r="AE4301" s="47"/>
      <c r="AF4301" s="47">
        <f t="shared" si="960"/>
        <v>1485</v>
      </c>
      <c r="AG4301" s="47"/>
      <c r="AH4301" s="47" t="str">
        <f>IFERROR(_xlfn.XLOOKUP(Table6[[#This Row],[Suburb]],Table5[Travel Surcharge],Table5[$$]),"")</f>
        <v/>
      </c>
      <c r="AI4301" s="47"/>
      <c r="AJ4301" s="47"/>
    </row>
    <row r="4302" spans="1:36">
      <c r="A4302" s="374" t="s">
        <v>6300</v>
      </c>
      <c r="B4302" s="374">
        <v>6</v>
      </c>
      <c r="C4302" s="374" t="s">
        <v>764</v>
      </c>
      <c r="D4302" s="375" t="str">
        <f t="shared" si="952"/>
        <v>Trijena Estate6</v>
      </c>
      <c r="E4302" s="375" t="s">
        <v>6308</v>
      </c>
      <c r="F4302" s="375" t="s">
        <v>1862</v>
      </c>
      <c r="G4302" s="375" t="s">
        <v>1863</v>
      </c>
      <c r="H4302" s="375" t="s">
        <v>1864</v>
      </c>
      <c r="I4302" s="63" t="s">
        <v>6302</v>
      </c>
      <c r="J4302" s="47">
        <f t="shared" si="958"/>
        <v>3740</v>
      </c>
      <c r="K4302" s="46" t="s">
        <v>10735</v>
      </c>
      <c r="L4302" s="47"/>
      <c r="M4302" s="47"/>
      <c r="N4302" s="47"/>
      <c r="O4302" s="47"/>
      <c r="P4302" s="47"/>
      <c r="Q4302" s="47"/>
      <c r="R4302" s="47">
        <f t="shared" si="959"/>
        <v>540</v>
      </c>
      <c r="S4302" s="47"/>
      <c r="T4302" s="47" t="s">
        <v>6303</v>
      </c>
      <c r="U4302" s="47"/>
      <c r="V4302" s="47"/>
      <c r="W4302" s="47"/>
      <c r="X4302" s="47"/>
      <c r="Y4302" s="47"/>
      <c r="Z4302" s="47">
        <f t="shared" si="954"/>
        <v>4620</v>
      </c>
      <c r="AA4302" s="47"/>
      <c r="AB4302" s="47"/>
      <c r="AC4302" s="47"/>
      <c r="AD4302" s="47"/>
      <c r="AE4302" s="47"/>
      <c r="AF4302" s="47">
        <f t="shared" si="960"/>
        <v>1485</v>
      </c>
      <c r="AG4302" s="47"/>
      <c r="AH4302" s="47" t="str">
        <f>IFERROR(_xlfn.XLOOKUP(Table6[[#This Row],[Suburb]],Table5[Travel Surcharge],Table5[$$]),"")</f>
        <v/>
      </c>
      <c r="AI4302" s="47"/>
      <c r="AJ4302" s="47"/>
    </row>
    <row r="4303" spans="1:36">
      <c r="A4303" s="374" t="s">
        <v>6300</v>
      </c>
      <c r="B4303" s="374">
        <v>7</v>
      </c>
      <c r="C4303" s="374" t="s">
        <v>764</v>
      </c>
      <c r="D4303" s="375" t="str">
        <f t="shared" ref="D4303:D4334" si="961">CONCATENATE(A4303,B4303)</f>
        <v>Trijena Estate7</v>
      </c>
      <c r="E4303" s="375" t="s">
        <v>6309</v>
      </c>
      <c r="F4303" s="375" t="s">
        <v>1862</v>
      </c>
      <c r="G4303" s="375" t="s">
        <v>1863</v>
      </c>
      <c r="H4303" s="375" t="s">
        <v>1864</v>
      </c>
      <c r="I4303" s="63" t="s">
        <v>6302</v>
      </c>
      <c r="J4303" s="47">
        <f t="shared" si="958"/>
        <v>3740</v>
      </c>
      <c r="K4303" s="46" t="s">
        <v>10735</v>
      </c>
      <c r="L4303" s="47"/>
      <c r="M4303" s="47"/>
      <c r="N4303" s="47"/>
      <c r="O4303" s="47"/>
      <c r="P4303" s="47"/>
      <c r="Q4303" s="47"/>
      <c r="R4303" s="47">
        <f t="shared" si="959"/>
        <v>540</v>
      </c>
      <c r="S4303" s="47"/>
      <c r="T4303" s="47" t="s">
        <v>6303</v>
      </c>
      <c r="U4303" s="47"/>
      <c r="V4303" s="47"/>
      <c r="W4303" s="47"/>
      <c r="X4303" s="47"/>
      <c r="Y4303" s="47"/>
      <c r="Z4303" s="47">
        <f t="shared" si="954"/>
        <v>4620</v>
      </c>
      <c r="AA4303" s="47"/>
      <c r="AB4303" s="47"/>
      <c r="AC4303" s="47"/>
      <c r="AD4303" s="47"/>
      <c r="AE4303" s="47"/>
      <c r="AF4303" s="47">
        <f t="shared" si="960"/>
        <v>1485</v>
      </c>
      <c r="AG4303" s="47"/>
      <c r="AH4303" s="47" t="str">
        <f>IFERROR(_xlfn.XLOOKUP(Table6[[#This Row],[Suburb]],Table5[Travel Surcharge],Table5[$$]),"")</f>
        <v/>
      </c>
      <c r="AI4303" s="47"/>
      <c r="AJ4303" s="47"/>
    </row>
    <row r="4304" spans="1:36">
      <c r="A4304" s="374" t="s">
        <v>6300</v>
      </c>
      <c r="B4304" s="374">
        <v>8</v>
      </c>
      <c r="C4304" s="374" t="s">
        <v>764</v>
      </c>
      <c r="D4304" s="375" t="str">
        <f t="shared" si="961"/>
        <v>Trijena Estate8</v>
      </c>
      <c r="E4304" s="375" t="s">
        <v>6310</v>
      </c>
      <c r="F4304" s="375" t="s">
        <v>1862</v>
      </c>
      <c r="G4304" s="375" t="s">
        <v>1863</v>
      </c>
      <c r="H4304" s="375" t="s">
        <v>1864</v>
      </c>
      <c r="I4304" s="63" t="s">
        <v>6302</v>
      </c>
      <c r="J4304" s="47">
        <f t="shared" si="958"/>
        <v>3740</v>
      </c>
      <c r="K4304" s="46" t="s">
        <v>10735</v>
      </c>
      <c r="L4304" s="47"/>
      <c r="M4304" s="47"/>
      <c r="N4304" s="47"/>
      <c r="O4304" s="47"/>
      <c r="P4304" s="47"/>
      <c r="Q4304" s="47"/>
      <c r="R4304" s="47">
        <f t="shared" si="959"/>
        <v>540</v>
      </c>
      <c r="S4304" s="47"/>
      <c r="T4304" s="47" t="s">
        <v>6303</v>
      </c>
      <c r="U4304" s="47"/>
      <c r="V4304" s="47"/>
      <c r="W4304" s="47"/>
      <c r="X4304" s="47"/>
      <c r="Y4304" s="47"/>
      <c r="Z4304" s="47">
        <f t="shared" si="954"/>
        <v>4620</v>
      </c>
      <c r="AA4304" s="47"/>
      <c r="AB4304" s="47"/>
      <c r="AC4304" s="47"/>
      <c r="AD4304" s="47"/>
      <c r="AE4304" s="47"/>
      <c r="AF4304" s="47">
        <f t="shared" si="960"/>
        <v>1485</v>
      </c>
      <c r="AG4304" s="47"/>
      <c r="AH4304" s="47" t="str">
        <f>IFERROR(_xlfn.XLOOKUP(Table6[[#This Row],[Suburb]],Table5[Travel Surcharge],Table5[$$]),"")</f>
        <v/>
      </c>
      <c r="AI4304" s="47"/>
      <c r="AJ4304" s="47"/>
    </row>
    <row r="4305" spans="1:39">
      <c r="A4305" s="374" t="s">
        <v>6300</v>
      </c>
      <c r="B4305" s="374">
        <v>9</v>
      </c>
      <c r="C4305" s="374" t="s">
        <v>764</v>
      </c>
      <c r="D4305" s="375" t="str">
        <f t="shared" si="961"/>
        <v>Trijena Estate9</v>
      </c>
      <c r="E4305" s="375" t="s">
        <v>6311</v>
      </c>
      <c r="F4305" s="375" t="s">
        <v>1862</v>
      </c>
      <c r="G4305" s="375" t="s">
        <v>1863</v>
      </c>
      <c r="H4305" s="375" t="s">
        <v>1864</v>
      </c>
      <c r="I4305" s="63" t="s">
        <v>6302</v>
      </c>
      <c r="J4305" s="47">
        <f t="shared" si="958"/>
        <v>3740</v>
      </c>
      <c r="K4305" s="46" t="s">
        <v>10735</v>
      </c>
      <c r="L4305" s="47"/>
      <c r="M4305" s="47"/>
      <c r="N4305" s="47"/>
      <c r="O4305" s="47"/>
      <c r="P4305" s="47"/>
      <c r="Q4305" s="47"/>
      <c r="R4305" s="47">
        <f t="shared" si="959"/>
        <v>540</v>
      </c>
      <c r="S4305" s="47"/>
      <c r="T4305" s="47" t="s">
        <v>6303</v>
      </c>
      <c r="U4305" s="47"/>
      <c r="V4305" s="47"/>
      <c r="W4305" s="47"/>
      <c r="X4305" s="47"/>
      <c r="Y4305" s="47"/>
      <c r="Z4305" s="47">
        <f t="shared" si="954"/>
        <v>4620</v>
      </c>
      <c r="AA4305" s="47"/>
      <c r="AB4305" s="47"/>
      <c r="AC4305" s="47"/>
      <c r="AD4305" s="47"/>
      <c r="AE4305" s="47"/>
      <c r="AF4305" s="47">
        <f t="shared" si="960"/>
        <v>1485</v>
      </c>
      <c r="AG4305" s="47"/>
      <c r="AH4305" s="47" t="str">
        <f>IFERROR(_xlfn.XLOOKUP(Table6[[#This Row],[Suburb]],Table5[Travel Surcharge],Table5[$$]),"")</f>
        <v/>
      </c>
      <c r="AI4305" s="47"/>
      <c r="AJ4305" s="47"/>
    </row>
    <row r="4306" spans="1:39">
      <c r="A4306" s="374" t="s">
        <v>6300</v>
      </c>
      <c r="B4306" s="374">
        <v>11</v>
      </c>
      <c r="C4306" s="374" t="s">
        <v>764</v>
      </c>
      <c r="D4306" s="375" t="str">
        <f t="shared" si="961"/>
        <v>Trijena Estate11</v>
      </c>
      <c r="E4306" s="375" t="s">
        <v>6312</v>
      </c>
      <c r="F4306" s="375" t="s">
        <v>1862</v>
      </c>
      <c r="G4306" s="375" t="s">
        <v>1863</v>
      </c>
      <c r="H4306" s="375" t="s">
        <v>1864</v>
      </c>
      <c r="I4306" s="63" t="s">
        <v>6302</v>
      </c>
      <c r="J4306" s="47">
        <f t="shared" si="958"/>
        <v>3740</v>
      </c>
      <c r="K4306" s="46" t="s">
        <v>10735</v>
      </c>
      <c r="L4306" s="47"/>
      <c r="M4306" s="47"/>
      <c r="N4306" s="47"/>
      <c r="O4306" s="47"/>
      <c r="P4306" s="47"/>
      <c r="Q4306" s="47"/>
      <c r="R4306" s="47">
        <f t="shared" si="959"/>
        <v>540</v>
      </c>
      <c r="S4306" s="47"/>
      <c r="T4306" s="47" t="s">
        <v>6303</v>
      </c>
      <c r="U4306" s="47"/>
      <c r="V4306" s="47"/>
      <c r="W4306" s="47"/>
      <c r="X4306" s="47"/>
      <c r="Y4306" s="47"/>
      <c r="Z4306" s="47">
        <f t="shared" si="954"/>
        <v>4620</v>
      </c>
      <c r="AA4306" s="47"/>
      <c r="AB4306" s="47"/>
      <c r="AC4306" s="47"/>
      <c r="AD4306" s="47"/>
      <c r="AE4306" s="47"/>
      <c r="AF4306" s="47">
        <f t="shared" si="960"/>
        <v>1485</v>
      </c>
      <c r="AG4306" s="47"/>
      <c r="AH4306" s="47" t="str">
        <f>IFERROR(_xlfn.XLOOKUP(Table6[[#This Row],[Suburb]],Table5[Travel Surcharge],Table5[$$]),"")</f>
        <v/>
      </c>
      <c r="AI4306" s="47"/>
      <c r="AJ4306" s="47"/>
    </row>
    <row r="4307" spans="1:39">
      <c r="A4307" s="374" t="s">
        <v>6300</v>
      </c>
      <c r="B4307" s="374">
        <v>12</v>
      </c>
      <c r="C4307" s="374" t="s">
        <v>764</v>
      </c>
      <c r="D4307" s="375" t="str">
        <f t="shared" si="961"/>
        <v>Trijena Estate12</v>
      </c>
      <c r="E4307" s="375" t="s">
        <v>6313</v>
      </c>
      <c r="F4307" s="375" t="s">
        <v>1862</v>
      </c>
      <c r="G4307" s="375" t="s">
        <v>1863</v>
      </c>
      <c r="H4307" s="375" t="s">
        <v>1864</v>
      </c>
      <c r="I4307" s="63" t="s">
        <v>6302</v>
      </c>
      <c r="J4307" s="47">
        <f t="shared" si="958"/>
        <v>3740</v>
      </c>
      <c r="K4307" s="46" t="s">
        <v>10735</v>
      </c>
      <c r="L4307" s="47"/>
      <c r="M4307" s="47"/>
      <c r="N4307" s="47"/>
      <c r="O4307" s="47"/>
      <c r="P4307" s="47"/>
      <c r="Q4307" s="47"/>
      <c r="R4307" s="47">
        <f t="shared" si="959"/>
        <v>540</v>
      </c>
      <c r="S4307" s="47"/>
      <c r="T4307" s="47" t="s">
        <v>6303</v>
      </c>
      <c r="U4307" s="47"/>
      <c r="V4307" s="47"/>
      <c r="W4307" s="47"/>
      <c r="X4307" s="47"/>
      <c r="Y4307" s="47"/>
      <c r="Z4307" s="47">
        <f t="shared" ref="Z4307:Z4338" si="962">Z$7</f>
        <v>4620</v>
      </c>
      <c r="AA4307" s="47"/>
      <c r="AB4307" s="47"/>
      <c r="AC4307" s="47"/>
      <c r="AD4307" s="47"/>
      <c r="AE4307" s="47"/>
      <c r="AF4307" s="47">
        <f t="shared" si="960"/>
        <v>1485</v>
      </c>
      <c r="AG4307" s="47"/>
      <c r="AH4307" s="47" t="str">
        <f>IFERROR(_xlfn.XLOOKUP(Table6[[#This Row],[Suburb]],Table5[Travel Surcharge],Table5[$$]),"")</f>
        <v/>
      </c>
      <c r="AI4307" s="47"/>
      <c r="AJ4307" s="47"/>
    </row>
    <row r="4308" spans="1:39">
      <c r="A4308" s="374" t="s">
        <v>6300</v>
      </c>
      <c r="B4308" s="374">
        <v>13</v>
      </c>
      <c r="C4308" s="374" t="s">
        <v>764</v>
      </c>
      <c r="D4308" s="375" t="str">
        <f t="shared" si="961"/>
        <v>Trijena Estate13</v>
      </c>
      <c r="E4308" s="375" t="s">
        <v>6314</v>
      </c>
      <c r="F4308" s="375" t="s">
        <v>1862</v>
      </c>
      <c r="G4308" s="375" t="s">
        <v>1863</v>
      </c>
      <c r="H4308" s="375" t="s">
        <v>1864</v>
      </c>
      <c r="I4308" s="63" t="s">
        <v>6302</v>
      </c>
      <c r="J4308" s="47">
        <f t="shared" si="958"/>
        <v>3740</v>
      </c>
      <c r="K4308" s="46" t="s">
        <v>10735</v>
      </c>
      <c r="L4308" s="47"/>
      <c r="M4308" s="47"/>
      <c r="N4308" s="47"/>
      <c r="O4308" s="47"/>
      <c r="P4308" s="47"/>
      <c r="Q4308" s="47"/>
      <c r="R4308" s="47">
        <f t="shared" si="959"/>
        <v>540</v>
      </c>
      <c r="S4308" s="47"/>
      <c r="T4308" s="47" t="s">
        <v>6303</v>
      </c>
      <c r="U4308" s="47"/>
      <c r="V4308" s="47"/>
      <c r="W4308" s="47"/>
      <c r="X4308" s="47"/>
      <c r="Y4308" s="47"/>
      <c r="Z4308" s="47">
        <f t="shared" si="962"/>
        <v>4620</v>
      </c>
      <c r="AA4308" s="47"/>
      <c r="AB4308" s="47"/>
      <c r="AC4308" s="47"/>
      <c r="AD4308" s="47"/>
      <c r="AE4308" s="47"/>
      <c r="AF4308" s="47">
        <f t="shared" si="960"/>
        <v>1485</v>
      </c>
      <c r="AG4308" s="47"/>
      <c r="AH4308" s="47" t="str">
        <f>IFERROR(_xlfn.XLOOKUP(Table6[[#This Row],[Suburb]],Table5[Travel Surcharge],Table5[$$]),"")</f>
        <v/>
      </c>
      <c r="AI4308" s="47"/>
      <c r="AJ4308" s="47"/>
    </row>
    <row r="4309" spans="1:39">
      <c r="A4309" s="374" t="s">
        <v>6300</v>
      </c>
      <c r="B4309" s="374">
        <v>14</v>
      </c>
      <c r="C4309" s="374" t="s">
        <v>764</v>
      </c>
      <c r="D4309" s="375" t="str">
        <f t="shared" si="961"/>
        <v>Trijena Estate14</v>
      </c>
      <c r="E4309" s="375" t="s">
        <v>6315</v>
      </c>
      <c r="F4309" s="375" t="s">
        <v>1862</v>
      </c>
      <c r="G4309" s="375" t="s">
        <v>1863</v>
      </c>
      <c r="H4309" s="375" t="s">
        <v>1864</v>
      </c>
      <c r="I4309" s="63" t="s">
        <v>6302</v>
      </c>
      <c r="J4309" s="47">
        <f t="shared" si="958"/>
        <v>3740</v>
      </c>
      <c r="K4309" s="46" t="s">
        <v>10735</v>
      </c>
      <c r="L4309" s="47"/>
      <c r="M4309" s="47"/>
      <c r="N4309" s="47"/>
      <c r="O4309" s="47"/>
      <c r="P4309" s="47"/>
      <c r="Q4309" s="47"/>
      <c r="R4309" s="47">
        <f t="shared" si="959"/>
        <v>540</v>
      </c>
      <c r="S4309" s="47"/>
      <c r="T4309" s="47" t="s">
        <v>6303</v>
      </c>
      <c r="U4309" s="47"/>
      <c r="V4309" s="47"/>
      <c r="W4309" s="47"/>
      <c r="X4309" s="47"/>
      <c r="Y4309" s="47"/>
      <c r="Z4309" s="47">
        <f t="shared" si="962"/>
        <v>4620</v>
      </c>
      <c r="AA4309" s="47"/>
      <c r="AB4309" s="47"/>
      <c r="AC4309" s="47"/>
      <c r="AD4309" s="47"/>
      <c r="AE4309" s="47"/>
      <c r="AF4309" s="47">
        <f t="shared" si="960"/>
        <v>1485</v>
      </c>
      <c r="AG4309" s="47"/>
      <c r="AH4309" s="47" t="str">
        <f>IFERROR(_xlfn.XLOOKUP(Table6[[#This Row],[Suburb]],Table5[Travel Surcharge],Table5[$$]),"")</f>
        <v/>
      </c>
      <c r="AI4309" s="47"/>
      <c r="AJ4309" s="47"/>
    </row>
    <row r="4310" spans="1:39" s="382" customFormat="1">
      <c r="A4310" s="374" t="s">
        <v>6300</v>
      </c>
      <c r="B4310" s="374">
        <v>15</v>
      </c>
      <c r="C4310" s="374" t="s">
        <v>764</v>
      </c>
      <c r="D4310" s="375" t="str">
        <f t="shared" si="961"/>
        <v>Trijena Estate15</v>
      </c>
      <c r="E4310" s="375" t="s">
        <v>6316</v>
      </c>
      <c r="F4310" s="375" t="s">
        <v>1862</v>
      </c>
      <c r="G4310" s="375" t="s">
        <v>1863</v>
      </c>
      <c r="H4310" s="375" t="s">
        <v>1864</v>
      </c>
      <c r="I4310" s="63" t="s">
        <v>6302</v>
      </c>
      <c r="J4310" s="47">
        <f t="shared" si="958"/>
        <v>3740</v>
      </c>
      <c r="K4310" s="46" t="s">
        <v>10735</v>
      </c>
      <c r="L4310" s="47"/>
      <c r="M4310" s="47"/>
      <c r="N4310" s="47"/>
      <c r="O4310" s="47"/>
      <c r="P4310" s="47"/>
      <c r="Q4310" s="47"/>
      <c r="R4310" s="47">
        <f t="shared" si="959"/>
        <v>540</v>
      </c>
      <c r="S4310" s="47"/>
      <c r="T4310" s="47" t="s">
        <v>6303</v>
      </c>
      <c r="U4310" s="47"/>
      <c r="V4310" s="47"/>
      <c r="W4310" s="47"/>
      <c r="X4310" s="47"/>
      <c r="Y4310" s="47"/>
      <c r="Z4310" s="47">
        <f t="shared" si="962"/>
        <v>4620</v>
      </c>
      <c r="AA4310" s="47"/>
      <c r="AB4310" s="47"/>
      <c r="AC4310" s="47"/>
      <c r="AD4310" s="47"/>
      <c r="AE4310" s="47"/>
      <c r="AF4310" s="47">
        <f t="shared" si="960"/>
        <v>1485</v>
      </c>
      <c r="AG4310" s="47"/>
      <c r="AH4310" s="47" t="str">
        <f>IFERROR(_xlfn.XLOOKUP(Table6[[#This Row],[Suburb]],Table5[Travel Surcharge],Table5[$$]),"")</f>
        <v/>
      </c>
      <c r="AI4310" s="47"/>
      <c r="AJ4310" s="47"/>
      <c r="AM4310" s="179"/>
    </row>
    <row r="4311" spans="1:39">
      <c r="A4311" s="374" t="s">
        <v>6317</v>
      </c>
      <c r="B4311" s="374">
        <v>9</v>
      </c>
      <c r="C4311" s="374" t="s">
        <v>764</v>
      </c>
      <c r="D4311" s="375" t="str">
        <f t="shared" si="961"/>
        <v>Trillium Estate9</v>
      </c>
      <c r="E4311" s="375" t="s">
        <v>6318</v>
      </c>
      <c r="F4311" s="375" t="s">
        <v>1056</v>
      </c>
      <c r="G4311" s="375" t="s">
        <v>2686</v>
      </c>
      <c r="H4311" s="375" t="s">
        <v>2687</v>
      </c>
      <c r="I4311" s="63" t="s">
        <v>6319</v>
      </c>
      <c r="J4311" s="47">
        <f t="shared" si="958"/>
        <v>3740</v>
      </c>
      <c r="K4311" s="46" t="s">
        <v>7938</v>
      </c>
      <c r="L4311" s="47"/>
      <c r="M4311" s="47"/>
      <c r="N4311" s="47"/>
      <c r="O4311" s="47"/>
      <c r="P4311" s="47"/>
      <c r="Q4311" s="47"/>
      <c r="R4311" s="47"/>
      <c r="S4311" s="47"/>
      <c r="T4311" s="47">
        <f>T$2</f>
        <v>780</v>
      </c>
      <c r="U4311" s="47"/>
      <c r="V4311" s="47"/>
      <c r="W4311" s="47"/>
      <c r="X4311" s="47"/>
      <c r="Y4311" s="47"/>
      <c r="Z4311" s="47">
        <f t="shared" si="962"/>
        <v>4620</v>
      </c>
      <c r="AA4311" s="47"/>
      <c r="AB4311" s="47"/>
      <c r="AC4311" s="47"/>
      <c r="AD4311" s="47"/>
      <c r="AE4311" s="47"/>
      <c r="AF4311" s="47"/>
      <c r="AG4311" s="47"/>
      <c r="AH4311" s="47" t="str">
        <f>IFERROR(_xlfn.XLOOKUP(Table6[[#This Row],[Suburb]],Table5[Travel Surcharge],Table5[$$]),"")</f>
        <v/>
      </c>
      <c r="AI4311" s="47"/>
      <c r="AJ4311" s="47"/>
    </row>
    <row r="4312" spans="1:39">
      <c r="A4312" s="374" t="s">
        <v>6317</v>
      </c>
      <c r="B4312" s="374">
        <v>13</v>
      </c>
      <c r="C4312" s="374" t="s">
        <v>764</v>
      </c>
      <c r="D4312" s="375" t="str">
        <f t="shared" si="961"/>
        <v>Trillium Estate13</v>
      </c>
      <c r="E4312" s="375" t="s">
        <v>6320</v>
      </c>
      <c r="F4312" s="375" t="s">
        <v>1056</v>
      </c>
      <c r="G4312" s="375" t="s">
        <v>2686</v>
      </c>
      <c r="H4312" s="375" t="s">
        <v>2687</v>
      </c>
      <c r="I4312" s="63" t="s">
        <v>6319</v>
      </c>
      <c r="J4312" s="47">
        <f t="shared" si="958"/>
        <v>3740</v>
      </c>
      <c r="K4312" s="46" t="s">
        <v>7938</v>
      </c>
      <c r="L4312" s="47"/>
      <c r="M4312" s="47"/>
      <c r="N4312" s="47"/>
      <c r="O4312" s="47"/>
      <c r="P4312" s="47"/>
      <c r="Q4312" s="47"/>
      <c r="R4312" s="47"/>
      <c r="S4312" s="47"/>
      <c r="T4312" s="47">
        <f>T$2</f>
        <v>780</v>
      </c>
      <c r="U4312" s="47"/>
      <c r="V4312" s="47"/>
      <c r="W4312" s="47"/>
      <c r="X4312" s="47"/>
      <c r="Y4312" s="47"/>
      <c r="Z4312" s="47">
        <f t="shared" si="962"/>
        <v>4620</v>
      </c>
      <c r="AA4312" s="47"/>
      <c r="AB4312" s="47"/>
      <c r="AC4312" s="47"/>
      <c r="AD4312" s="47"/>
      <c r="AE4312" s="47"/>
      <c r="AF4312" s="47"/>
      <c r="AG4312" s="47"/>
      <c r="AH4312" s="47" t="str">
        <f>IFERROR(_xlfn.XLOOKUP(Table6[[#This Row],[Suburb]],Table5[Travel Surcharge],Table5[$$]),"")</f>
        <v/>
      </c>
      <c r="AI4312" s="47"/>
      <c r="AJ4312" s="47"/>
    </row>
    <row r="4313" spans="1:39">
      <c r="A4313" s="374" t="s">
        <v>6321</v>
      </c>
      <c r="B4313" s="374">
        <v>6</v>
      </c>
      <c r="C4313" s="374" t="s">
        <v>857</v>
      </c>
      <c r="D4313" s="375" t="str">
        <f t="shared" si="961"/>
        <v>True North Estate6</v>
      </c>
      <c r="E4313" s="375" t="s">
        <v>6322</v>
      </c>
      <c r="F4313" s="375" t="s">
        <v>5298</v>
      </c>
      <c r="G4313" s="375" t="s">
        <v>1575</v>
      </c>
      <c r="H4313" s="375" t="s">
        <v>860</v>
      </c>
      <c r="I4313" s="63"/>
      <c r="J4313" s="47" t="s">
        <v>3018</v>
      </c>
      <c r="K4313" s="46" t="s">
        <v>10735</v>
      </c>
      <c r="L4313" s="47"/>
      <c r="M4313" s="47"/>
      <c r="N4313" s="47"/>
      <c r="O4313" s="47"/>
      <c r="P4313" s="47"/>
      <c r="Q4313" s="47"/>
      <c r="R4313" s="47"/>
      <c r="S4313" s="47" t="s">
        <v>463</v>
      </c>
      <c r="T4313" s="47"/>
      <c r="U4313" s="47"/>
      <c r="V4313" s="47"/>
      <c r="W4313" s="47"/>
      <c r="X4313" s="47"/>
      <c r="Y4313" s="47"/>
      <c r="Z4313" s="47">
        <f t="shared" si="962"/>
        <v>4620</v>
      </c>
      <c r="AA4313" s="47"/>
      <c r="AB4313" s="47"/>
      <c r="AC4313" s="47"/>
      <c r="AD4313" s="47"/>
      <c r="AE4313" s="47"/>
      <c r="AF4313" s="47"/>
      <c r="AG4313" s="47"/>
      <c r="AH4313" s="47" t="str">
        <f>IFERROR(_xlfn.XLOOKUP(Table6[[#This Row],[Suburb]],Table5[Travel Surcharge],Table5[$$]),"")</f>
        <v/>
      </c>
      <c r="AI4313" s="47"/>
      <c r="AJ4313" s="47"/>
    </row>
    <row r="4314" spans="1:39">
      <c r="A4314" s="374" t="s">
        <v>6321</v>
      </c>
      <c r="B4314" s="374">
        <v>7</v>
      </c>
      <c r="C4314" s="374" t="s">
        <v>857</v>
      </c>
      <c r="D4314" s="375" t="str">
        <f t="shared" si="961"/>
        <v>True North Estate7</v>
      </c>
      <c r="E4314" s="375"/>
      <c r="F4314" s="375" t="s">
        <v>5298</v>
      </c>
      <c r="G4314" s="375" t="s">
        <v>1575</v>
      </c>
      <c r="H4314" s="375" t="s">
        <v>860</v>
      </c>
      <c r="I4314" s="63"/>
      <c r="J4314" s="47" t="s">
        <v>3018</v>
      </c>
      <c r="K4314" s="46" t="s">
        <v>10735</v>
      </c>
      <c r="L4314" s="47"/>
      <c r="M4314" s="47"/>
      <c r="N4314" s="47"/>
      <c r="O4314" s="47"/>
      <c r="P4314" s="47"/>
      <c r="Q4314" s="47"/>
      <c r="R4314" s="47"/>
      <c r="S4314" s="47" t="s">
        <v>463</v>
      </c>
      <c r="T4314" s="47"/>
      <c r="U4314" s="47"/>
      <c r="V4314" s="47"/>
      <c r="W4314" s="47"/>
      <c r="X4314" s="47"/>
      <c r="Y4314" s="47"/>
      <c r="Z4314" s="47">
        <f t="shared" si="962"/>
        <v>4620</v>
      </c>
      <c r="AA4314" s="47"/>
      <c r="AB4314" s="47"/>
      <c r="AC4314" s="47"/>
      <c r="AD4314" s="47"/>
      <c r="AE4314" s="47"/>
      <c r="AF4314" s="47"/>
      <c r="AG4314" s="47"/>
      <c r="AH4314" s="47" t="str">
        <f>IFERROR(_xlfn.XLOOKUP(Table6[[#This Row],[Suburb]],Table5[Travel Surcharge],Table5[$$]),"")</f>
        <v/>
      </c>
      <c r="AI4314" s="47"/>
      <c r="AJ4314" s="47"/>
    </row>
    <row r="4315" spans="1:39">
      <c r="A4315" s="374" t="s">
        <v>6321</v>
      </c>
      <c r="B4315" s="374">
        <v>8</v>
      </c>
      <c r="C4315" s="374" t="s">
        <v>857</v>
      </c>
      <c r="D4315" s="375" t="str">
        <f t="shared" si="961"/>
        <v>True North Estate8</v>
      </c>
      <c r="E4315" s="375" t="s">
        <v>6322</v>
      </c>
      <c r="F4315" s="375" t="s">
        <v>5298</v>
      </c>
      <c r="G4315" s="375" t="s">
        <v>1575</v>
      </c>
      <c r="H4315" s="375" t="s">
        <v>860</v>
      </c>
      <c r="I4315" s="63"/>
      <c r="J4315" s="47" t="s">
        <v>3018</v>
      </c>
      <c r="K4315" s="46" t="s">
        <v>10735</v>
      </c>
      <c r="L4315" s="47"/>
      <c r="M4315" s="47"/>
      <c r="N4315" s="47"/>
      <c r="O4315" s="47"/>
      <c r="P4315" s="47"/>
      <c r="Q4315" s="47"/>
      <c r="R4315" s="47"/>
      <c r="S4315" s="47" t="s">
        <v>463</v>
      </c>
      <c r="T4315" s="47"/>
      <c r="U4315" s="47"/>
      <c r="V4315" s="47"/>
      <c r="W4315" s="47"/>
      <c r="X4315" s="47"/>
      <c r="Y4315" s="47"/>
      <c r="Z4315" s="47">
        <f t="shared" si="962"/>
        <v>4620</v>
      </c>
      <c r="AA4315" s="47"/>
      <c r="AB4315" s="47"/>
      <c r="AC4315" s="47"/>
      <c r="AD4315" s="47"/>
      <c r="AE4315" s="47"/>
      <c r="AF4315" s="47"/>
      <c r="AG4315" s="47"/>
      <c r="AH4315" s="47" t="str">
        <f>IFERROR(_xlfn.XLOOKUP(Table6[[#This Row],[Suburb]],Table5[Travel Surcharge],Table5[$$]),"")</f>
        <v/>
      </c>
      <c r="AI4315" s="47"/>
      <c r="AJ4315" s="47"/>
    </row>
    <row r="4316" spans="1:39">
      <c r="A4316" s="374" t="s">
        <v>6321</v>
      </c>
      <c r="B4316" s="374">
        <v>9</v>
      </c>
      <c r="C4316" s="374" t="s">
        <v>857</v>
      </c>
      <c r="D4316" s="375" t="str">
        <f t="shared" si="961"/>
        <v>True North Estate9</v>
      </c>
      <c r="E4316" s="375" t="s">
        <v>6323</v>
      </c>
      <c r="F4316" s="375" t="s">
        <v>5298</v>
      </c>
      <c r="G4316" s="375" t="s">
        <v>1575</v>
      </c>
      <c r="H4316" s="375" t="s">
        <v>860</v>
      </c>
      <c r="I4316" s="63"/>
      <c r="J4316" s="47" t="s">
        <v>3018</v>
      </c>
      <c r="K4316" s="46" t="s">
        <v>10735</v>
      </c>
      <c r="L4316" s="47"/>
      <c r="M4316" s="47"/>
      <c r="N4316" s="47"/>
      <c r="O4316" s="47"/>
      <c r="P4316" s="47"/>
      <c r="Q4316" s="47"/>
      <c r="R4316" s="47"/>
      <c r="S4316" s="47" t="s">
        <v>463</v>
      </c>
      <c r="T4316" s="47"/>
      <c r="U4316" s="47"/>
      <c r="V4316" s="47"/>
      <c r="W4316" s="47"/>
      <c r="X4316" s="47"/>
      <c r="Y4316" s="47"/>
      <c r="Z4316" s="47">
        <f t="shared" si="962"/>
        <v>4620</v>
      </c>
      <c r="AA4316" s="47"/>
      <c r="AB4316" s="47"/>
      <c r="AC4316" s="47"/>
      <c r="AD4316" s="47"/>
      <c r="AE4316" s="47"/>
      <c r="AF4316" s="47"/>
      <c r="AG4316" s="47"/>
      <c r="AH4316" s="47" t="str">
        <f>IFERROR(_xlfn.XLOOKUP(Table6[[#This Row],[Suburb]],Table5[Travel Surcharge],Table5[$$]),"")</f>
        <v/>
      </c>
      <c r="AI4316" s="47"/>
      <c r="AJ4316" s="47"/>
    </row>
    <row r="4317" spans="1:39">
      <c r="A4317" s="374" t="s">
        <v>6321</v>
      </c>
      <c r="B4317" s="374">
        <v>11</v>
      </c>
      <c r="C4317" s="374" t="s">
        <v>857</v>
      </c>
      <c r="D4317" s="375" t="str">
        <f t="shared" si="961"/>
        <v>True North Estate11</v>
      </c>
      <c r="E4317" s="375" t="s">
        <v>6324</v>
      </c>
      <c r="F4317" s="375" t="s">
        <v>5298</v>
      </c>
      <c r="G4317" s="375" t="s">
        <v>1575</v>
      </c>
      <c r="H4317" s="375" t="s">
        <v>860</v>
      </c>
      <c r="I4317" s="63"/>
      <c r="J4317" s="47" t="s">
        <v>3018</v>
      </c>
      <c r="K4317" s="46" t="s">
        <v>10735</v>
      </c>
      <c r="L4317" s="47"/>
      <c r="M4317" s="47"/>
      <c r="N4317" s="47"/>
      <c r="O4317" s="47"/>
      <c r="P4317" s="47"/>
      <c r="Q4317" s="47"/>
      <c r="R4317" s="47"/>
      <c r="S4317" s="47" t="s">
        <v>463</v>
      </c>
      <c r="T4317" s="47"/>
      <c r="U4317" s="47"/>
      <c r="V4317" s="47"/>
      <c r="W4317" s="47"/>
      <c r="X4317" s="47"/>
      <c r="Y4317" s="47"/>
      <c r="Z4317" s="47">
        <f t="shared" si="962"/>
        <v>4620</v>
      </c>
      <c r="AA4317" s="47"/>
      <c r="AB4317" s="47"/>
      <c r="AC4317" s="47"/>
      <c r="AD4317" s="47"/>
      <c r="AE4317" s="47"/>
      <c r="AF4317" s="47"/>
      <c r="AG4317" s="47"/>
      <c r="AH4317" s="47" t="str">
        <f>IFERROR(_xlfn.XLOOKUP(Table6[[#This Row],[Suburb]],Table5[Travel Surcharge],Table5[$$]),"")</f>
        <v/>
      </c>
      <c r="AI4317" s="47"/>
      <c r="AJ4317" s="47"/>
    </row>
    <row r="4318" spans="1:39">
      <c r="A4318" s="374" t="s">
        <v>6321</v>
      </c>
      <c r="B4318" s="374">
        <v>12</v>
      </c>
      <c r="C4318" s="374" t="s">
        <v>857</v>
      </c>
      <c r="D4318" s="375" t="str">
        <f t="shared" si="961"/>
        <v>True North Estate12</v>
      </c>
      <c r="E4318" s="375" t="s">
        <v>6325</v>
      </c>
      <c r="F4318" s="375" t="s">
        <v>5298</v>
      </c>
      <c r="G4318" s="375" t="s">
        <v>1575</v>
      </c>
      <c r="H4318" s="375" t="s">
        <v>860</v>
      </c>
      <c r="I4318" s="63"/>
      <c r="J4318" s="47" t="s">
        <v>3018</v>
      </c>
      <c r="K4318" s="46" t="s">
        <v>10735</v>
      </c>
      <c r="L4318" s="47"/>
      <c r="M4318" s="47"/>
      <c r="N4318" s="47"/>
      <c r="O4318" s="47"/>
      <c r="P4318" s="47"/>
      <c r="Q4318" s="47"/>
      <c r="R4318" s="47"/>
      <c r="S4318" s="47" t="s">
        <v>463</v>
      </c>
      <c r="T4318" s="47"/>
      <c r="U4318" s="47"/>
      <c r="V4318" s="47"/>
      <c r="W4318" s="47"/>
      <c r="X4318" s="47"/>
      <c r="Y4318" s="47"/>
      <c r="Z4318" s="47">
        <f t="shared" si="962"/>
        <v>4620</v>
      </c>
      <c r="AA4318" s="47"/>
      <c r="AB4318" s="47"/>
      <c r="AC4318" s="47"/>
      <c r="AD4318" s="47"/>
      <c r="AE4318" s="47"/>
      <c r="AF4318" s="47"/>
      <c r="AG4318" s="47"/>
      <c r="AH4318" s="47" t="str">
        <f>IFERROR(_xlfn.XLOOKUP(Table6[[#This Row],[Suburb]],Table5[Travel Surcharge],Table5[$$]),"")</f>
        <v/>
      </c>
      <c r="AI4318" s="47"/>
      <c r="AJ4318" s="47"/>
    </row>
    <row r="4319" spans="1:39">
      <c r="A4319" s="374" t="s">
        <v>6321</v>
      </c>
      <c r="B4319" s="374">
        <v>13</v>
      </c>
      <c r="C4319" s="374" t="s">
        <v>857</v>
      </c>
      <c r="D4319" s="375" t="str">
        <f t="shared" si="961"/>
        <v>True North Estate13</v>
      </c>
      <c r="E4319" s="375" t="s">
        <v>6326</v>
      </c>
      <c r="F4319" s="375" t="s">
        <v>5298</v>
      </c>
      <c r="G4319" s="375" t="s">
        <v>1575</v>
      </c>
      <c r="H4319" s="375" t="s">
        <v>860</v>
      </c>
      <c r="I4319" s="63"/>
      <c r="J4319" s="47" t="s">
        <v>3018</v>
      </c>
      <c r="K4319" s="46" t="s">
        <v>10735</v>
      </c>
      <c r="L4319" s="47"/>
      <c r="M4319" s="47"/>
      <c r="N4319" s="47"/>
      <c r="O4319" s="47"/>
      <c r="P4319" s="47"/>
      <c r="Q4319" s="47"/>
      <c r="R4319" s="47"/>
      <c r="S4319" s="47" t="s">
        <v>463</v>
      </c>
      <c r="T4319" s="47"/>
      <c r="U4319" s="47"/>
      <c r="V4319" s="47"/>
      <c r="W4319" s="47"/>
      <c r="X4319" s="47"/>
      <c r="Y4319" s="47"/>
      <c r="Z4319" s="47">
        <f t="shared" si="962"/>
        <v>4620</v>
      </c>
      <c r="AA4319" s="47"/>
      <c r="AB4319" s="47"/>
      <c r="AC4319" s="47"/>
      <c r="AD4319" s="47"/>
      <c r="AE4319" s="47"/>
      <c r="AF4319" s="47"/>
      <c r="AG4319" s="47"/>
      <c r="AH4319" s="47" t="str">
        <f>IFERROR(_xlfn.XLOOKUP(Table6[[#This Row],[Suburb]],Table5[Travel Surcharge],Table5[$$]),"")</f>
        <v/>
      </c>
      <c r="AI4319" s="47"/>
      <c r="AJ4319" s="47"/>
    </row>
    <row r="4320" spans="1:39">
      <c r="A4320" s="374" t="s">
        <v>6321</v>
      </c>
      <c r="B4320" s="374">
        <v>14</v>
      </c>
      <c r="C4320" s="374" t="s">
        <v>857</v>
      </c>
      <c r="D4320" s="375" t="str">
        <f t="shared" si="961"/>
        <v>True North Estate14</v>
      </c>
      <c r="E4320" s="375" t="s">
        <v>6327</v>
      </c>
      <c r="F4320" s="375" t="s">
        <v>5298</v>
      </c>
      <c r="G4320" s="375" t="s">
        <v>1575</v>
      </c>
      <c r="H4320" s="375" t="s">
        <v>860</v>
      </c>
      <c r="I4320" s="63"/>
      <c r="J4320" s="47" t="s">
        <v>3018</v>
      </c>
      <c r="K4320" s="46" t="s">
        <v>10735</v>
      </c>
      <c r="L4320" s="47"/>
      <c r="M4320" s="47"/>
      <c r="N4320" s="47"/>
      <c r="O4320" s="47"/>
      <c r="P4320" s="47"/>
      <c r="Q4320" s="47"/>
      <c r="R4320" s="47"/>
      <c r="S4320" s="47" t="s">
        <v>463</v>
      </c>
      <c r="T4320" s="47"/>
      <c r="U4320" s="47"/>
      <c r="V4320" s="47"/>
      <c r="W4320" s="47"/>
      <c r="X4320" s="47"/>
      <c r="Y4320" s="47"/>
      <c r="Z4320" s="47">
        <f t="shared" si="962"/>
        <v>4620</v>
      </c>
      <c r="AA4320" s="47"/>
      <c r="AB4320" s="47"/>
      <c r="AC4320" s="47"/>
      <c r="AD4320" s="47"/>
      <c r="AE4320" s="47"/>
      <c r="AF4320" s="47"/>
      <c r="AG4320" s="47"/>
      <c r="AH4320" s="47" t="str">
        <f>IFERROR(_xlfn.XLOOKUP(Table6[[#This Row],[Suburb]],Table5[Travel Surcharge],Table5[$$]),"")</f>
        <v/>
      </c>
      <c r="AI4320" s="47"/>
      <c r="AJ4320" s="47"/>
    </row>
    <row r="4321" spans="1:43">
      <c r="A4321" s="374" t="s">
        <v>6321</v>
      </c>
      <c r="B4321" s="374">
        <v>15</v>
      </c>
      <c r="C4321" s="374" t="s">
        <v>857</v>
      </c>
      <c r="D4321" s="375" t="str">
        <f t="shared" si="961"/>
        <v>True North Estate15</v>
      </c>
      <c r="E4321" s="375" t="s">
        <v>6328</v>
      </c>
      <c r="F4321" s="375" t="s">
        <v>5298</v>
      </c>
      <c r="G4321" s="375" t="s">
        <v>1575</v>
      </c>
      <c r="H4321" s="375" t="s">
        <v>860</v>
      </c>
      <c r="I4321" s="63"/>
      <c r="J4321" s="47" t="s">
        <v>3018</v>
      </c>
      <c r="K4321" s="46" t="s">
        <v>10735</v>
      </c>
      <c r="L4321" s="47"/>
      <c r="M4321" s="47"/>
      <c r="N4321" s="47"/>
      <c r="O4321" s="47"/>
      <c r="P4321" s="47"/>
      <c r="Q4321" s="47"/>
      <c r="R4321" s="47"/>
      <c r="S4321" s="47" t="s">
        <v>463</v>
      </c>
      <c r="T4321" s="47"/>
      <c r="U4321" s="47"/>
      <c r="V4321" s="47"/>
      <c r="W4321" s="47"/>
      <c r="X4321" s="47"/>
      <c r="Y4321" s="47"/>
      <c r="Z4321" s="47">
        <f t="shared" si="962"/>
        <v>4620</v>
      </c>
      <c r="AA4321" s="47"/>
      <c r="AB4321" s="47"/>
      <c r="AC4321" s="47"/>
      <c r="AD4321" s="47"/>
      <c r="AE4321" s="47"/>
      <c r="AF4321" s="47"/>
      <c r="AG4321" s="47"/>
      <c r="AH4321" s="47" t="str">
        <f>IFERROR(_xlfn.XLOOKUP(Table6[[#This Row],[Suburb]],Table5[Travel Surcharge],Table5[$$]),"")</f>
        <v/>
      </c>
      <c r="AI4321" s="47"/>
      <c r="AJ4321" s="47"/>
    </row>
    <row r="4322" spans="1:43">
      <c r="A4322" s="374" t="s">
        <v>6321</v>
      </c>
      <c r="B4322" s="374">
        <v>16</v>
      </c>
      <c r="C4322" s="374" t="s">
        <v>857</v>
      </c>
      <c r="D4322" s="375" t="str">
        <f t="shared" si="961"/>
        <v>True North Estate16</v>
      </c>
      <c r="E4322" s="375" t="s">
        <v>6329</v>
      </c>
      <c r="F4322" s="375" t="s">
        <v>5298</v>
      </c>
      <c r="G4322" s="375" t="s">
        <v>1575</v>
      </c>
      <c r="H4322" s="375" t="s">
        <v>860</v>
      </c>
      <c r="I4322" s="63"/>
      <c r="J4322" s="47" t="s">
        <v>3018</v>
      </c>
      <c r="K4322" s="46" t="s">
        <v>10735</v>
      </c>
      <c r="L4322" s="47"/>
      <c r="M4322" s="47"/>
      <c r="N4322" s="47"/>
      <c r="O4322" s="47"/>
      <c r="P4322" s="47"/>
      <c r="Q4322" s="47"/>
      <c r="R4322" s="47"/>
      <c r="S4322" s="47" t="s">
        <v>463</v>
      </c>
      <c r="T4322" s="47"/>
      <c r="U4322" s="47"/>
      <c r="V4322" s="47"/>
      <c r="W4322" s="47"/>
      <c r="X4322" s="47"/>
      <c r="Y4322" s="47"/>
      <c r="Z4322" s="47">
        <f t="shared" si="962"/>
        <v>4620</v>
      </c>
      <c r="AA4322" s="47"/>
      <c r="AB4322" s="47"/>
      <c r="AC4322" s="47"/>
      <c r="AD4322" s="47"/>
      <c r="AE4322" s="47"/>
      <c r="AF4322" s="47"/>
      <c r="AG4322" s="47"/>
      <c r="AH4322" s="47" t="str">
        <f>IFERROR(_xlfn.XLOOKUP(Table6[[#This Row],[Suburb]],Table5[Travel Surcharge],Table5[$$]),"")</f>
        <v/>
      </c>
      <c r="AI4322" s="47"/>
      <c r="AJ4322" s="47"/>
    </row>
    <row r="4323" spans="1:43">
      <c r="A4323" s="374" t="s">
        <v>6321</v>
      </c>
      <c r="B4323" s="374">
        <v>17</v>
      </c>
      <c r="C4323" s="374" t="s">
        <v>857</v>
      </c>
      <c r="D4323" s="375" t="str">
        <f t="shared" si="961"/>
        <v>True North Estate17</v>
      </c>
      <c r="E4323" s="375" t="s">
        <v>6330</v>
      </c>
      <c r="F4323" s="375" t="s">
        <v>5298</v>
      </c>
      <c r="G4323" s="375" t="s">
        <v>1575</v>
      </c>
      <c r="H4323" s="375" t="s">
        <v>860</v>
      </c>
      <c r="I4323" s="63"/>
      <c r="J4323" s="47" t="s">
        <v>3018</v>
      </c>
      <c r="K4323" s="46" t="s">
        <v>10735</v>
      </c>
      <c r="L4323" s="47"/>
      <c r="M4323" s="47"/>
      <c r="N4323" s="47"/>
      <c r="O4323" s="47"/>
      <c r="P4323" s="47"/>
      <c r="Q4323" s="47"/>
      <c r="R4323" s="47"/>
      <c r="S4323" s="47" t="s">
        <v>463</v>
      </c>
      <c r="T4323" s="47"/>
      <c r="U4323" s="47"/>
      <c r="V4323" s="47"/>
      <c r="W4323" s="47"/>
      <c r="X4323" s="47"/>
      <c r="Y4323" s="47"/>
      <c r="Z4323" s="47">
        <f t="shared" si="962"/>
        <v>4620</v>
      </c>
      <c r="AA4323" s="47"/>
      <c r="AB4323" s="47"/>
      <c r="AC4323" s="47"/>
      <c r="AD4323" s="47"/>
      <c r="AE4323" s="47"/>
      <c r="AF4323" s="47"/>
      <c r="AG4323" s="47"/>
      <c r="AH4323" s="47" t="str">
        <f>IFERROR(_xlfn.XLOOKUP(Table6[[#This Row],[Suburb]],Table5[Travel Surcharge],Table5[$$]),"")</f>
        <v/>
      </c>
      <c r="AI4323" s="47"/>
      <c r="AJ4323" s="47"/>
    </row>
    <row r="4324" spans="1:43">
      <c r="A4324" s="374" t="s">
        <v>6321</v>
      </c>
      <c r="B4324" s="374">
        <v>19</v>
      </c>
      <c r="C4324" s="374" t="s">
        <v>857</v>
      </c>
      <c r="D4324" s="375" t="str">
        <f t="shared" si="961"/>
        <v>True North Estate19</v>
      </c>
      <c r="E4324" s="375" t="s">
        <v>6331</v>
      </c>
      <c r="F4324" s="375" t="s">
        <v>5298</v>
      </c>
      <c r="G4324" s="375" t="s">
        <v>1575</v>
      </c>
      <c r="H4324" s="375" t="s">
        <v>860</v>
      </c>
      <c r="I4324" s="63"/>
      <c r="J4324" s="47" t="s">
        <v>3018</v>
      </c>
      <c r="K4324" s="46" t="s">
        <v>10735</v>
      </c>
      <c r="L4324" s="47"/>
      <c r="M4324" s="47"/>
      <c r="N4324" s="47"/>
      <c r="O4324" s="47"/>
      <c r="P4324" s="47"/>
      <c r="Q4324" s="47"/>
      <c r="R4324" s="47"/>
      <c r="S4324" s="47" t="s">
        <v>463</v>
      </c>
      <c r="T4324" s="47"/>
      <c r="U4324" s="47"/>
      <c r="V4324" s="47"/>
      <c r="W4324" s="47"/>
      <c r="X4324" s="47"/>
      <c r="Y4324" s="47"/>
      <c r="Z4324" s="47">
        <f t="shared" si="962"/>
        <v>4620</v>
      </c>
      <c r="AA4324" s="47"/>
      <c r="AB4324" s="47"/>
      <c r="AC4324" s="47"/>
      <c r="AD4324" s="47"/>
      <c r="AE4324" s="47"/>
      <c r="AF4324" s="47"/>
      <c r="AG4324" s="47"/>
      <c r="AH4324" s="47" t="str">
        <f>IFERROR(_xlfn.XLOOKUP(Table6[[#This Row],[Suburb]],Table5[Travel Surcharge],Table5[$$]),"")</f>
        <v/>
      </c>
      <c r="AI4324" s="47"/>
      <c r="AJ4324" s="47"/>
    </row>
    <row r="4325" spans="1:43">
      <c r="A4325" s="374" t="s">
        <v>6321</v>
      </c>
      <c r="B4325" s="374">
        <v>20</v>
      </c>
      <c r="C4325" s="374" t="s">
        <v>857</v>
      </c>
      <c r="D4325" s="375" t="str">
        <f t="shared" si="961"/>
        <v>True North Estate20</v>
      </c>
      <c r="E4325" s="375" t="s">
        <v>6332</v>
      </c>
      <c r="F4325" s="375" t="s">
        <v>5298</v>
      </c>
      <c r="G4325" s="375" t="s">
        <v>1575</v>
      </c>
      <c r="H4325" s="375" t="s">
        <v>860</v>
      </c>
      <c r="I4325" s="63"/>
      <c r="J4325" s="47" t="s">
        <v>3018</v>
      </c>
      <c r="K4325" s="46" t="s">
        <v>10735</v>
      </c>
      <c r="L4325" s="47"/>
      <c r="M4325" s="47"/>
      <c r="N4325" s="47"/>
      <c r="O4325" s="47"/>
      <c r="P4325" s="47"/>
      <c r="Q4325" s="47"/>
      <c r="R4325" s="47"/>
      <c r="S4325" s="47" t="s">
        <v>463</v>
      </c>
      <c r="T4325" s="47"/>
      <c r="U4325" s="47"/>
      <c r="V4325" s="47"/>
      <c r="W4325" s="47"/>
      <c r="X4325" s="47"/>
      <c r="Y4325" s="47"/>
      <c r="Z4325" s="47">
        <f t="shared" si="962"/>
        <v>4620</v>
      </c>
      <c r="AA4325" s="47"/>
      <c r="AB4325" s="47"/>
      <c r="AC4325" s="47"/>
      <c r="AD4325" s="47"/>
      <c r="AE4325" s="47"/>
      <c r="AF4325" s="47"/>
      <c r="AG4325" s="47"/>
      <c r="AH4325" s="47" t="str">
        <f>IFERROR(_xlfn.XLOOKUP(Table6[[#This Row],[Suburb]],Table5[Travel Surcharge],Table5[$$]),"")</f>
        <v/>
      </c>
      <c r="AI4325" s="47"/>
      <c r="AJ4325" s="47"/>
    </row>
    <row r="4326" spans="1:43">
      <c r="A4326" s="374" t="s">
        <v>6321</v>
      </c>
      <c r="B4326" s="374">
        <v>22</v>
      </c>
      <c r="C4326" s="374" t="s">
        <v>857</v>
      </c>
      <c r="D4326" s="375" t="str">
        <f t="shared" si="961"/>
        <v>True North Estate22</v>
      </c>
      <c r="E4326" s="375" t="s">
        <v>6333</v>
      </c>
      <c r="F4326" s="375" t="s">
        <v>5298</v>
      </c>
      <c r="G4326" s="375" t="s">
        <v>1575</v>
      </c>
      <c r="H4326" s="375" t="s">
        <v>860</v>
      </c>
      <c r="I4326" s="63"/>
      <c r="J4326" s="47" t="s">
        <v>3018</v>
      </c>
      <c r="K4326" s="46" t="s">
        <v>10735</v>
      </c>
      <c r="L4326" s="47"/>
      <c r="M4326" s="47"/>
      <c r="N4326" s="47"/>
      <c r="O4326" s="47"/>
      <c r="P4326" s="47"/>
      <c r="Q4326" s="47"/>
      <c r="R4326" s="47"/>
      <c r="S4326" s="47" t="s">
        <v>463</v>
      </c>
      <c r="T4326" s="47"/>
      <c r="U4326" s="47"/>
      <c r="V4326" s="47"/>
      <c r="W4326" s="47"/>
      <c r="X4326" s="47"/>
      <c r="Y4326" s="47"/>
      <c r="Z4326" s="47">
        <f t="shared" si="962"/>
        <v>4620</v>
      </c>
      <c r="AA4326" s="47"/>
      <c r="AB4326" s="47"/>
      <c r="AC4326" s="47"/>
      <c r="AD4326" s="47"/>
      <c r="AE4326" s="47"/>
      <c r="AF4326" s="47"/>
      <c r="AG4326" s="47"/>
      <c r="AH4326" s="47" t="str">
        <f>IFERROR(_xlfn.XLOOKUP(Table6[[#This Row],[Suburb]],Table5[Travel Surcharge],Table5[$$]),"")</f>
        <v/>
      </c>
      <c r="AI4326" s="47"/>
      <c r="AJ4326" s="47"/>
    </row>
    <row r="4327" spans="1:43">
      <c r="A4327" s="374" t="s">
        <v>6321</v>
      </c>
      <c r="B4327" s="374">
        <v>23</v>
      </c>
      <c r="C4327" s="374" t="s">
        <v>857</v>
      </c>
      <c r="D4327" s="375" t="str">
        <f t="shared" si="961"/>
        <v>True North Estate23</v>
      </c>
      <c r="E4327" s="375" t="s">
        <v>6334</v>
      </c>
      <c r="F4327" s="375" t="s">
        <v>5298</v>
      </c>
      <c r="G4327" s="375" t="s">
        <v>1575</v>
      </c>
      <c r="H4327" s="375" t="s">
        <v>860</v>
      </c>
      <c r="I4327" s="63"/>
      <c r="J4327" s="47" t="s">
        <v>3018</v>
      </c>
      <c r="K4327" s="46" t="s">
        <v>10735</v>
      </c>
      <c r="L4327" s="47"/>
      <c r="M4327" s="47"/>
      <c r="N4327" s="47"/>
      <c r="O4327" s="47"/>
      <c r="P4327" s="47"/>
      <c r="Q4327" s="47"/>
      <c r="R4327" s="47"/>
      <c r="S4327" s="47" t="s">
        <v>463</v>
      </c>
      <c r="T4327" s="47"/>
      <c r="U4327" s="47"/>
      <c r="V4327" s="47"/>
      <c r="W4327" s="47"/>
      <c r="X4327" s="47"/>
      <c r="Y4327" s="47"/>
      <c r="Z4327" s="47">
        <f t="shared" si="962"/>
        <v>4620</v>
      </c>
      <c r="AA4327" s="47"/>
      <c r="AB4327" s="47"/>
      <c r="AC4327" s="47"/>
      <c r="AD4327" s="47"/>
      <c r="AE4327" s="47"/>
      <c r="AF4327" s="47"/>
      <c r="AG4327" s="47"/>
      <c r="AH4327" s="47" t="str">
        <f>IFERROR(_xlfn.XLOOKUP(Table6[[#This Row],[Suburb]],Table5[Travel Surcharge],Table5[$$]),"")</f>
        <v/>
      </c>
      <c r="AI4327" s="47"/>
      <c r="AJ4327" s="47"/>
    </row>
    <row r="4328" spans="1:43">
      <c r="A4328" s="374" t="s">
        <v>6321</v>
      </c>
      <c r="B4328" s="374">
        <v>24</v>
      </c>
      <c r="C4328" s="374" t="s">
        <v>857</v>
      </c>
      <c r="D4328" s="375" t="str">
        <f t="shared" si="961"/>
        <v>True North Estate24</v>
      </c>
      <c r="E4328" s="375" t="s">
        <v>9459</v>
      </c>
      <c r="F4328" s="375" t="s">
        <v>5298</v>
      </c>
      <c r="G4328" s="375" t="s">
        <v>1575</v>
      </c>
      <c r="H4328" s="375" t="s">
        <v>860</v>
      </c>
      <c r="I4328" s="63"/>
      <c r="J4328" s="47" t="s">
        <v>3018</v>
      </c>
      <c r="K4328" s="46" t="s">
        <v>10735</v>
      </c>
      <c r="L4328" s="47"/>
      <c r="M4328" s="47"/>
      <c r="N4328" s="47"/>
      <c r="O4328" s="47"/>
      <c r="P4328" s="47"/>
      <c r="Q4328" s="47"/>
      <c r="R4328" s="47"/>
      <c r="S4328" s="47" t="s">
        <v>463</v>
      </c>
      <c r="T4328" s="47"/>
      <c r="U4328" s="47"/>
      <c r="V4328" s="47"/>
      <c r="W4328" s="47"/>
      <c r="X4328" s="47"/>
      <c r="Y4328" s="47"/>
      <c r="Z4328" s="47">
        <f t="shared" si="962"/>
        <v>4620</v>
      </c>
      <c r="AA4328" s="47"/>
      <c r="AB4328" s="47"/>
      <c r="AC4328" s="47"/>
      <c r="AD4328" s="47"/>
      <c r="AE4328" s="47"/>
      <c r="AF4328" s="47"/>
      <c r="AG4328" s="47"/>
      <c r="AH4328" s="47" t="str">
        <f>IFERROR(_xlfn.XLOOKUP(Table6[[#This Row],[Suburb]],Table5[Travel Surcharge],Table5[$$]),"")</f>
        <v/>
      </c>
      <c r="AI4328" s="47"/>
      <c r="AJ4328" s="47"/>
    </row>
    <row r="4329" spans="1:43">
      <c r="A4329" s="374" t="s">
        <v>6335</v>
      </c>
      <c r="B4329" s="374">
        <v>1</v>
      </c>
      <c r="C4329" s="374" t="s">
        <v>6336</v>
      </c>
      <c r="D4329" s="375" t="str">
        <f t="shared" si="961"/>
        <v>Tullamore - Stables Estate1</v>
      </c>
      <c r="E4329" s="375" t="s">
        <v>6337</v>
      </c>
      <c r="F4329" s="375" t="s">
        <v>3077</v>
      </c>
      <c r="G4329" s="375" t="s">
        <v>6338</v>
      </c>
      <c r="H4329" s="375" t="s">
        <v>6339</v>
      </c>
      <c r="I4329" s="63"/>
      <c r="J4329" s="47">
        <f t="shared" ref="J4329:J4346" si="963">J$7</f>
        <v>3740</v>
      </c>
      <c r="K4329" s="46" t="s">
        <v>10735</v>
      </c>
      <c r="L4329" s="47"/>
      <c r="M4329" s="47"/>
      <c r="N4329" s="47"/>
      <c r="O4329" s="47"/>
      <c r="P4329" s="47"/>
      <c r="Q4329" s="47"/>
      <c r="R4329" s="47">
        <f t="shared" ref="R4329:R4334" si="964">R$2</f>
        <v>540</v>
      </c>
      <c r="S4329" s="47" t="s">
        <v>6340</v>
      </c>
      <c r="T4329" s="47" t="s">
        <v>6341</v>
      </c>
      <c r="U4329" s="47" t="s">
        <v>8043</v>
      </c>
      <c r="V4329" s="47" t="s">
        <v>6342</v>
      </c>
      <c r="W4329" s="47" t="s">
        <v>6343</v>
      </c>
      <c r="X4329" s="47">
        <f t="shared" ref="X4329:X4346" si="965">X$7</f>
        <v>3000</v>
      </c>
      <c r="Y4329" s="47"/>
      <c r="Z4329" s="47">
        <f t="shared" si="962"/>
        <v>4620</v>
      </c>
      <c r="AA4329" s="47">
        <f t="shared" ref="AA4329:AA4346" si="966">AA$7</f>
        <v>1400</v>
      </c>
      <c r="AB4329" s="47"/>
      <c r="AC4329" s="47">
        <f t="shared" ref="AC4329:AC4334" si="967">AC$7</f>
        <v>5200</v>
      </c>
      <c r="AD4329" s="47" t="s">
        <v>8020</v>
      </c>
      <c r="AE4329" s="47"/>
      <c r="AF4329" s="47">
        <f t="shared" ref="AF4329:AF4336" si="968">AF$7</f>
        <v>1485</v>
      </c>
      <c r="AG4329" s="47"/>
      <c r="AH4329" s="47" t="str">
        <f>IFERROR(_xlfn.XLOOKUP(Table6[[#This Row],[Suburb]],Table5[Travel Surcharge],Table5[$$]),"")</f>
        <v/>
      </c>
      <c r="AI4329" s="47"/>
      <c r="AJ4329" s="47"/>
    </row>
    <row r="4330" spans="1:43">
      <c r="A4330" s="374" t="s">
        <v>6335</v>
      </c>
      <c r="B4330" s="374">
        <v>4</v>
      </c>
      <c r="C4330" s="374" t="s">
        <v>6336</v>
      </c>
      <c r="D4330" s="375" t="str">
        <f t="shared" si="961"/>
        <v>Tullamore - Stables Estate4</v>
      </c>
      <c r="E4330" s="375" t="s">
        <v>6344</v>
      </c>
      <c r="F4330" s="375" t="s">
        <v>3077</v>
      </c>
      <c r="G4330" s="375" t="s">
        <v>6338</v>
      </c>
      <c r="H4330" s="375" t="s">
        <v>6339</v>
      </c>
      <c r="I4330" s="63"/>
      <c r="J4330" s="47">
        <f t="shared" si="963"/>
        <v>3740</v>
      </c>
      <c r="K4330" s="46" t="s">
        <v>10735</v>
      </c>
      <c r="L4330" s="47"/>
      <c r="M4330" s="47"/>
      <c r="N4330" s="47"/>
      <c r="O4330" s="47"/>
      <c r="P4330" s="47"/>
      <c r="Q4330" s="47"/>
      <c r="R4330" s="47">
        <f t="shared" si="964"/>
        <v>540</v>
      </c>
      <c r="S4330" s="47" t="s">
        <v>6340</v>
      </c>
      <c r="T4330" s="47" t="s">
        <v>6341</v>
      </c>
      <c r="U4330" s="47" t="s">
        <v>8043</v>
      </c>
      <c r="V4330" s="47" t="s">
        <v>6342</v>
      </c>
      <c r="W4330" s="47" t="s">
        <v>6343</v>
      </c>
      <c r="X4330" s="47">
        <f t="shared" si="965"/>
        <v>3000</v>
      </c>
      <c r="Y4330" s="47"/>
      <c r="Z4330" s="47">
        <f t="shared" si="962"/>
        <v>4620</v>
      </c>
      <c r="AA4330" s="47">
        <f t="shared" si="966"/>
        <v>1400</v>
      </c>
      <c r="AB4330" s="47"/>
      <c r="AC4330" s="47">
        <f t="shared" si="967"/>
        <v>5200</v>
      </c>
      <c r="AD4330" s="47" t="s">
        <v>8020</v>
      </c>
      <c r="AE4330" s="47"/>
      <c r="AF4330" s="47">
        <f t="shared" si="968"/>
        <v>1485</v>
      </c>
      <c r="AG4330" s="47"/>
      <c r="AH4330" s="47" t="str">
        <f>IFERROR(_xlfn.XLOOKUP(Table6[[#This Row],[Suburb]],Table5[Travel Surcharge],Table5[$$]),"")</f>
        <v/>
      </c>
      <c r="AI4330" s="47"/>
      <c r="AJ4330" s="47"/>
    </row>
    <row r="4331" spans="1:43">
      <c r="A4331" s="374" t="s">
        <v>6335</v>
      </c>
      <c r="B4331" s="374">
        <v>5</v>
      </c>
      <c r="C4331" s="374" t="s">
        <v>6336</v>
      </c>
      <c r="D4331" s="375" t="str">
        <f t="shared" si="961"/>
        <v>Tullamore - Stables Estate5</v>
      </c>
      <c r="E4331" s="375" t="s">
        <v>6345</v>
      </c>
      <c r="F4331" s="375" t="s">
        <v>3077</v>
      </c>
      <c r="G4331" s="375" t="s">
        <v>6338</v>
      </c>
      <c r="H4331" s="375" t="s">
        <v>6339</v>
      </c>
      <c r="I4331" s="63"/>
      <c r="J4331" s="47">
        <f t="shared" si="963"/>
        <v>3740</v>
      </c>
      <c r="K4331" s="46" t="s">
        <v>10735</v>
      </c>
      <c r="L4331" s="47"/>
      <c r="M4331" s="47"/>
      <c r="N4331" s="47"/>
      <c r="O4331" s="47"/>
      <c r="P4331" s="47"/>
      <c r="Q4331" s="47"/>
      <c r="R4331" s="47">
        <f t="shared" si="964"/>
        <v>540</v>
      </c>
      <c r="S4331" s="47" t="s">
        <v>6340</v>
      </c>
      <c r="T4331" s="47" t="s">
        <v>6341</v>
      </c>
      <c r="U4331" s="47" t="s">
        <v>8043</v>
      </c>
      <c r="V4331" s="47" t="s">
        <v>6342</v>
      </c>
      <c r="W4331" s="47" t="s">
        <v>6343</v>
      </c>
      <c r="X4331" s="47">
        <f t="shared" si="965"/>
        <v>3000</v>
      </c>
      <c r="Y4331" s="47"/>
      <c r="Z4331" s="47">
        <f t="shared" si="962"/>
        <v>4620</v>
      </c>
      <c r="AA4331" s="47">
        <f t="shared" si="966"/>
        <v>1400</v>
      </c>
      <c r="AB4331" s="47"/>
      <c r="AC4331" s="47">
        <f t="shared" si="967"/>
        <v>5200</v>
      </c>
      <c r="AD4331" s="47" t="s">
        <v>8020</v>
      </c>
      <c r="AE4331" s="47"/>
      <c r="AF4331" s="47">
        <f t="shared" si="968"/>
        <v>1485</v>
      </c>
      <c r="AG4331" s="47"/>
      <c r="AH4331" s="47" t="str">
        <f>IFERROR(_xlfn.XLOOKUP(Table6[[#This Row],[Suburb]],Table5[Travel Surcharge],Table5[$$]),"")</f>
        <v/>
      </c>
      <c r="AI4331" s="47"/>
      <c r="AJ4331" s="47"/>
    </row>
    <row r="4332" spans="1:43" s="374" customFormat="1">
      <c r="A4332" s="374" t="s">
        <v>6335</v>
      </c>
      <c r="B4332" s="374">
        <v>6</v>
      </c>
      <c r="C4332" s="374" t="s">
        <v>6336</v>
      </c>
      <c r="D4332" s="375" t="str">
        <f t="shared" si="961"/>
        <v>Tullamore - Stables Estate6</v>
      </c>
      <c r="E4332" s="375" t="s">
        <v>6346</v>
      </c>
      <c r="F4332" s="375" t="s">
        <v>3077</v>
      </c>
      <c r="G4332" s="375" t="s">
        <v>6338</v>
      </c>
      <c r="H4332" s="375" t="s">
        <v>6339</v>
      </c>
      <c r="I4332" s="63"/>
      <c r="J4332" s="47">
        <f t="shared" si="963"/>
        <v>3740</v>
      </c>
      <c r="K4332" s="46" t="s">
        <v>10735</v>
      </c>
      <c r="L4332" s="47"/>
      <c r="M4332" s="47"/>
      <c r="N4332" s="47"/>
      <c r="O4332" s="47"/>
      <c r="P4332" s="47"/>
      <c r="Q4332" s="47"/>
      <c r="R4332" s="47">
        <f t="shared" si="964"/>
        <v>540</v>
      </c>
      <c r="S4332" s="47" t="s">
        <v>6340</v>
      </c>
      <c r="T4332" s="47" t="s">
        <v>6341</v>
      </c>
      <c r="U4332" s="47" t="s">
        <v>8043</v>
      </c>
      <c r="V4332" s="47" t="s">
        <v>6342</v>
      </c>
      <c r="W4332" s="47" t="s">
        <v>6343</v>
      </c>
      <c r="X4332" s="47">
        <f t="shared" si="965"/>
        <v>3000</v>
      </c>
      <c r="Y4332" s="47"/>
      <c r="Z4332" s="47">
        <f t="shared" si="962"/>
        <v>4620</v>
      </c>
      <c r="AA4332" s="47">
        <f t="shared" si="966"/>
        <v>1400</v>
      </c>
      <c r="AB4332" s="47"/>
      <c r="AC4332" s="47">
        <f t="shared" si="967"/>
        <v>5200</v>
      </c>
      <c r="AD4332" s="47" t="s">
        <v>8020</v>
      </c>
      <c r="AE4332" s="47"/>
      <c r="AF4332" s="47">
        <f t="shared" si="968"/>
        <v>1485</v>
      </c>
      <c r="AG4332" s="47"/>
      <c r="AH4332" s="47" t="str">
        <f>IFERROR(_xlfn.XLOOKUP(Table6[[#This Row],[Suburb]],Table5[Travel Surcharge],Table5[$$]),"")</f>
        <v/>
      </c>
      <c r="AI4332" s="47"/>
      <c r="AJ4332" s="47"/>
      <c r="AK4332" s="375"/>
      <c r="AL4332" s="375"/>
      <c r="AM4332" s="303"/>
      <c r="AN4332" s="375"/>
      <c r="AO4332"/>
      <c r="AP4332"/>
      <c r="AQ4332"/>
    </row>
    <row r="4333" spans="1:43">
      <c r="A4333" s="374" t="s">
        <v>6335</v>
      </c>
      <c r="B4333" s="374" t="s">
        <v>1531</v>
      </c>
      <c r="C4333" s="374" t="s">
        <v>6336</v>
      </c>
      <c r="D4333" s="375" t="str">
        <f t="shared" si="961"/>
        <v>Tullamore - Stables Estate2F</v>
      </c>
      <c r="E4333" s="375" t="s">
        <v>6348</v>
      </c>
      <c r="F4333" s="375" t="s">
        <v>3077</v>
      </c>
      <c r="G4333" s="375" t="s">
        <v>6338</v>
      </c>
      <c r="H4333" s="375" t="s">
        <v>6339</v>
      </c>
      <c r="I4333" s="63"/>
      <c r="J4333" s="47">
        <f t="shared" si="963"/>
        <v>3740</v>
      </c>
      <c r="K4333" s="46" t="s">
        <v>10735</v>
      </c>
      <c r="L4333" s="47"/>
      <c r="M4333" s="47"/>
      <c r="N4333" s="47"/>
      <c r="O4333" s="47"/>
      <c r="P4333" s="47"/>
      <c r="Q4333" s="47"/>
      <c r="R4333" s="47">
        <f t="shared" si="964"/>
        <v>540</v>
      </c>
      <c r="S4333" s="47" t="s">
        <v>6340</v>
      </c>
      <c r="T4333" s="47" t="s">
        <v>6341</v>
      </c>
      <c r="U4333" s="47" t="s">
        <v>8043</v>
      </c>
      <c r="V4333" s="47" t="s">
        <v>6342</v>
      </c>
      <c r="W4333" s="47" t="s">
        <v>6343</v>
      </c>
      <c r="X4333" s="47">
        <f t="shared" si="965"/>
        <v>3000</v>
      </c>
      <c r="Y4333" s="47"/>
      <c r="Z4333" s="47">
        <f t="shared" si="962"/>
        <v>4620</v>
      </c>
      <c r="AA4333" s="47">
        <f t="shared" si="966"/>
        <v>1400</v>
      </c>
      <c r="AB4333" s="47"/>
      <c r="AC4333" s="47">
        <f t="shared" si="967"/>
        <v>5200</v>
      </c>
      <c r="AD4333" s="47" t="s">
        <v>8020</v>
      </c>
      <c r="AE4333" s="47"/>
      <c r="AF4333" s="47">
        <f t="shared" si="968"/>
        <v>1485</v>
      </c>
      <c r="AG4333" s="47"/>
      <c r="AH4333" s="47" t="str">
        <f>IFERROR(_xlfn.XLOOKUP(Table6[[#This Row],[Suburb]],Table5[Travel Surcharge],Table5[$$]),"")</f>
        <v/>
      </c>
      <c r="AI4333" s="47"/>
      <c r="AJ4333" s="47"/>
      <c r="AO4333" s="375"/>
      <c r="AP4333" s="374"/>
      <c r="AQ4333" s="374"/>
    </row>
    <row r="4334" spans="1:43">
      <c r="A4334" s="374" t="s">
        <v>6335</v>
      </c>
      <c r="B4334" s="374" t="s">
        <v>624</v>
      </c>
      <c r="C4334" s="374" t="s">
        <v>6336</v>
      </c>
      <c r="D4334" s="375" t="str">
        <f t="shared" si="961"/>
        <v>Tullamore - Stables Estate6B</v>
      </c>
      <c r="E4334" s="375" t="s">
        <v>6347</v>
      </c>
      <c r="F4334" s="375" t="s">
        <v>3077</v>
      </c>
      <c r="G4334" s="375" t="s">
        <v>6338</v>
      </c>
      <c r="H4334" s="375" t="s">
        <v>6339</v>
      </c>
      <c r="I4334" s="63"/>
      <c r="J4334" s="47">
        <f t="shared" si="963"/>
        <v>3740</v>
      </c>
      <c r="K4334" s="46" t="s">
        <v>10735</v>
      </c>
      <c r="L4334" s="47"/>
      <c r="M4334" s="47"/>
      <c r="N4334" s="47"/>
      <c r="O4334" s="47"/>
      <c r="P4334" s="47"/>
      <c r="Q4334" s="47"/>
      <c r="R4334" s="47">
        <f t="shared" si="964"/>
        <v>540</v>
      </c>
      <c r="S4334" s="47" t="s">
        <v>6340</v>
      </c>
      <c r="T4334" s="47" t="s">
        <v>6341</v>
      </c>
      <c r="U4334" s="47" t="s">
        <v>8043</v>
      </c>
      <c r="V4334" s="47" t="s">
        <v>6342</v>
      </c>
      <c r="W4334" s="47" t="s">
        <v>6343</v>
      </c>
      <c r="X4334" s="47">
        <f t="shared" si="965"/>
        <v>3000</v>
      </c>
      <c r="Y4334" s="47"/>
      <c r="Z4334" s="47">
        <f t="shared" si="962"/>
        <v>4620</v>
      </c>
      <c r="AA4334" s="47">
        <f t="shared" si="966"/>
        <v>1400</v>
      </c>
      <c r="AB4334" s="47"/>
      <c r="AC4334" s="47">
        <f t="shared" si="967"/>
        <v>5200</v>
      </c>
      <c r="AD4334" s="47" t="s">
        <v>8020</v>
      </c>
      <c r="AE4334" s="47"/>
      <c r="AF4334" s="47">
        <f t="shared" si="968"/>
        <v>1485</v>
      </c>
      <c r="AG4334" s="47"/>
      <c r="AH4334" s="47" t="str">
        <f>IFERROR(_xlfn.XLOOKUP(Table6[[#This Row],[Suburb]],Table5[Travel Surcharge],Table5[$$]),"")</f>
        <v/>
      </c>
      <c r="AI4334" s="47"/>
      <c r="AJ4334" s="47"/>
    </row>
    <row r="4335" spans="1:43">
      <c r="A4335" s="374" t="s">
        <v>6349</v>
      </c>
      <c r="B4335" s="374">
        <v>5</v>
      </c>
      <c r="C4335" s="374" t="s">
        <v>3442</v>
      </c>
      <c r="D4335" s="375" t="str">
        <f t="shared" ref="D4335:D4346" si="969">CONCATENATE(A4335,B4335)</f>
        <v>Tulliallan Estate5</v>
      </c>
      <c r="E4335" s="375" t="s">
        <v>6350</v>
      </c>
      <c r="F4335" s="375" t="s">
        <v>2664</v>
      </c>
      <c r="G4335" s="375" t="s">
        <v>6351</v>
      </c>
      <c r="H4335" s="375" t="s">
        <v>6352</v>
      </c>
      <c r="I4335" s="63" t="s">
        <v>6353</v>
      </c>
      <c r="J4335" s="47">
        <f t="shared" si="963"/>
        <v>3740</v>
      </c>
      <c r="K4335" s="46" t="s">
        <v>7938</v>
      </c>
      <c r="L4335" s="47"/>
      <c r="M4335" s="47">
        <f t="shared" ref="M4335:M4346" si="970">M$7</f>
        <v>1430.0000000000002</v>
      </c>
      <c r="N4335" s="47"/>
      <c r="O4335" s="47"/>
      <c r="P4335" s="47"/>
      <c r="Q4335" s="47">
        <f t="shared" ref="Q4335:Q4346" si="971">Q$2</f>
        <v>0</v>
      </c>
      <c r="R4335" s="47"/>
      <c r="S4335" s="47"/>
      <c r="T4335" s="47"/>
      <c r="U4335" s="47"/>
      <c r="V4335" s="47"/>
      <c r="W4335" s="47"/>
      <c r="X4335" s="47">
        <f t="shared" si="965"/>
        <v>3000</v>
      </c>
      <c r="Y4335" s="47"/>
      <c r="Z4335" s="47">
        <f t="shared" si="962"/>
        <v>4620</v>
      </c>
      <c r="AA4335" s="47">
        <f t="shared" si="966"/>
        <v>1400</v>
      </c>
      <c r="AB4335" s="47"/>
      <c r="AC4335" s="47"/>
      <c r="AD4335" s="47"/>
      <c r="AE4335" s="47"/>
      <c r="AF4335" s="47">
        <f t="shared" si="968"/>
        <v>1485</v>
      </c>
      <c r="AG4335" s="47"/>
      <c r="AH4335" s="47" t="str">
        <f>IFERROR(_xlfn.XLOOKUP(Table6[[#This Row],[Suburb]],Table5[Travel Surcharge],Table5[$$]),"")</f>
        <v/>
      </c>
      <c r="AI4335" s="47">
        <f t="shared" ref="AI4335:AI4346" si="972">AI$7</f>
        <v>1650.0000000000002</v>
      </c>
      <c r="AJ4335" s="47"/>
    </row>
    <row r="4336" spans="1:43">
      <c r="A4336" s="374" t="s">
        <v>6349</v>
      </c>
      <c r="B4336" s="374">
        <v>6</v>
      </c>
      <c r="C4336" s="374" t="s">
        <v>3442</v>
      </c>
      <c r="D4336" s="375" t="str">
        <f t="shared" si="969"/>
        <v>Tulliallan Estate6</v>
      </c>
      <c r="E4336" s="375" t="s">
        <v>6354</v>
      </c>
      <c r="F4336" s="375" t="s">
        <v>2664</v>
      </c>
      <c r="G4336" s="375" t="s">
        <v>6351</v>
      </c>
      <c r="H4336" s="375" t="s">
        <v>6352</v>
      </c>
      <c r="I4336" s="63" t="s">
        <v>6353</v>
      </c>
      <c r="J4336" s="47">
        <f t="shared" si="963"/>
        <v>3740</v>
      </c>
      <c r="K4336" s="46" t="s">
        <v>7938</v>
      </c>
      <c r="L4336" s="47"/>
      <c r="M4336" s="47">
        <f t="shared" si="970"/>
        <v>1430.0000000000002</v>
      </c>
      <c r="N4336" s="47"/>
      <c r="O4336" s="47"/>
      <c r="P4336" s="47"/>
      <c r="Q4336" s="47">
        <f t="shared" si="971"/>
        <v>0</v>
      </c>
      <c r="R4336" s="47"/>
      <c r="S4336" s="47"/>
      <c r="T4336" s="47"/>
      <c r="U4336" s="47"/>
      <c r="V4336" s="47"/>
      <c r="W4336" s="47"/>
      <c r="X4336" s="47">
        <f t="shared" si="965"/>
        <v>3000</v>
      </c>
      <c r="Y4336" s="47"/>
      <c r="Z4336" s="47">
        <f t="shared" si="962"/>
        <v>4620</v>
      </c>
      <c r="AA4336" s="47">
        <f t="shared" si="966"/>
        <v>1400</v>
      </c>
      <c r="AB4336" s="47"/>
      <c r="AC4336" s="47"/>
      <c r="AD4336" s="47"/>
      <c r="AE4336" s="47"/>
      <c r="AF4336" s="47">
        <f t="shared" si="968"/>
        <v>1485</v>
      </c>
      <c r="AG4336" s="47"/>
      <c r="AH4336" s="47" t="str">
        <f>IFERROR(_xlfn.XLOOKUP(Table6[[#This Row],[Suburb]],Table5[Travel Surcharge],Table5[$$]),"")</f>
        <v/>
      </c>
      <c r="AI4336" s="47">
        <f t="shared" si="972"/>
        <v>1650.0000000000002</v>
      </c>
      <c r="AJ4336" s="47"/>
    </row>
    <row r="4337" spans="1:36">
      <c r="A4337" s="374" t="s">
        <v>6349</v>
      </c>
      <c r="B4337" s="374">
        <v>8</v>
      </c>
      <c r="C4337" s="374" t="s">
        <v>3442</v>
      </c>
      <c r="D4337" s="375" t="str">
        <f t="shared" si="969"/>
        <v>Tulliallan Estate8</v>
      </c>
      <c r="E4337" s="375" t="s">
        <v>4935</v>
      </c>
      <c r="F4337" s="375" t="s">
        <v>2664</v>
      </c>
      <c r="G4337" s="375" t="s">
        <v>6351</v>
      </c>
      <c r="H4337" s="375" t="s">
        <v>6352</v>
      </c>
      <c r="I4337" s="63" t="s">
        <v>6353</v>
      </c>
      <c r="J4337" s="47">
        <f t="shared" si="963"/>
        <v>3740</v>
      </c>
      <c r="K4337" s="46" t="s">
        <v>7938</v>
      </c>
      <c r="L4337" s="47"/>
      <c r="M4337" s="47">
        <f t="shared" si="970"/>
        <v>1430.0000000000002</v>
      </c>
      <c r="N4337" s="47"/>
      <c r="O4337" s="47"/>
      <c r="P4337" s="47"/>
      <c r="Q4337" s="47">
        <f t="shared" si="971"/>
        <v>0</v>
      </c>
      <c r="R4337" s="47"/>
      <c r="S4337" s="47"/>
      <c r="T4337" s="47"/>
      <c r="U4337" s="47"/>
      <c r="V4337" s="47"/>
      <c r="W4337" s="47"/>
      <c r="X4337" s="47">
        <f t="shared" si="965"/>
        <v>3000</v>
      </c>
      <c r="Y4337" s="47"/>
      <c r="Z4337" s="47">
        <f t="shared" si="962"/>
        <v>4620</v>
      </c>
      <c r="AA4337" s="47">
        <f t="shared" si="966"/>
        <v>1400</v>
      </c>
      <c r="AB4337" s="47"/>
      <c r="AC4337" s="47"/>
      <c r="AD4337" s="47"/>
      <c r="AE4337" s="47"/>
      <c r="AF4337" s="47"/>
      <c r="AG4337" s="47"/>
      <c r="AH4337" s="47" t="str">
        <f>IFERROR(_xlfn.XLOOKUP(Table6[[#This Row],[Suburb]],Table5[Travel Surcharge],Table5[$$]),"")</f>
        <v/>
      </c>
      <c r="AI4337" s="47">
        <f t="shared" si="972"/>
        <v>1650.0000000000002</v>
      </c>
      <c r="AJ4337" s="47"/>
    </row>
    <row r="4338" spans="1:36">
      <c r="A4338" s="374" t="s">
        <v>6349</v>
      </c>
      <c r="B4338" s="374">
        <v>10</v>
      </c>
      <c r="C4338" s="374" t="s">
        <v>3442</v>
      </c>
      <c r="D4338" s="375" t="str">
        <f t="shared" si="969"/>
        <v>Tulliallan Estate10</v>
      </c>
      <c r="E4338" s="375" t="s">
        <v>6355</v>
      </c>
      <c r="F4338" s="375" t="s">
        <v>2664</v>
      </c>
      <c r="G4338" s="375" t="s">
        <v>6351</v>
      </c>
      <c r="H4338" s="375" t="s">
        <v>6352</v>
      </c>
      <c r="I4338" s="63" t="s">
        <v>6353</v>
      </c>
      <c r="J4338" s="47">
        <f t="shared" si="963"/>
        <v>3740</v>
      </c>
      <c r="K4338" s="46" t="s">
        <v>7938</v>
      </c>
      <c r="L4338" s="47"/>
      <c r="M4338" s="47">
        <f t="shared" si="970"/>
        <v>1430.0000000000002</v>
      </c>
      <c r="N4338" s="47"/>
      <c r="O4338" s="47"/>
      <c r="P4338" s="47"/>
      <c r="Q4338" s="47">
        <f t="shared" si="971"/>
        <v>0</v>
      </c>
      <c r="R4338" s="47"/>
      <c r="S4338" s="47"/>
      <c r="T4338" s="47"/>
      <c r="U4338" s="47"/>
      <c r="V4338" s="47"/>
      <c r="W4338" s="47"/>
      <c r="X4338" s="47">
        <f t="shared" si="965"/>
        <v>3000</v>
      </c>
      <c r="Y4338" s="47"/>
      <c r="Z4338" s="47">
        <f t="shared" si="962"/>
        <v>4620</v>
      </c>
      <c r="AA4338" s="47">
        <f t="shared" si="966"/>
        <v>1400</v>
      </c>
      <c r="AB4338" s="47"/>
      <c r="AC4338" s="47"/>
      <c r="AD4338" s="47"/>
      <c r="AE4338" s="47"/>
      <c r="AF4338" s="47"/>
      <c r="AG4338" s="47"/>
      <c r="AH4338" s="47" t="str">
        <f>IFERROR(_xlfn.XLOOKUP(Table6[[#This Row],[Suburb]],Table5[Travel Surcharge],Table5[$$]),"")</f>
        <v/>
      </c>
      <c r="AI4338" s="47">
        <f t="shared" si="972"/>
        <v>1650.0000000000002</v>
      </c>
      <c r="AJ4338" s="47"/>
    </row>
    <row r="4339" spans="1:36">
      <c r="A4339" s="374" t="s">
        <v>6349</v>
      </c>
      <c r="B4339" s="374">
        <v>11</v>
      </c>
      <c r="C4339" s="374" t="s">
        <v>3442</v>
      </c>
      <c r="D4339" s="375" t="str">
        <f t="shared" si="969"/>
        <v>Tulliallan Estate11</v>
      </c>
      <c r="E4339" s="375" t="s">
        <v>6356</v>
      </c>
      <c r="F4339" s="375" t="s">
        <v>2664</v>
      </c>
      <c r="G4339" s="375" t="s">
        <v>6351</v>
      </c>
      <c r="H4339" s="375" t="s">
        <v>6352</v>
      </c>
      <c r="I4339" s="63" t="s">
        <v>6353</v>
      </c>
      <c r="J4339" s="47">
        <f t="shared" si="963"/>
        <v>3740</v>
      </c>
      <c r="K4339" s="46" t="s">
        <v>7938</v>
      </c>
      <c r="L4339" s="47"/>
      <c r="M4339" s="47">
        <f t="shared" si="970"/>
        <v>1430.0000000000002</v>
      </c>
      <c r="N4339" s="47"/>
      <c r="O4339" s="47"/>
      <c r="P4339" s="47"/>
      <c r="Q4339" s="47">
        <f t="shared" si="971"/>
        <v>0</v>
      </c>
      <c r="R4339" s="47"/>
      <c r="S4339" s="47"/>
      <c r="T4339" s="47"/>
      <c r="U4339" s="47"/>
      <c r="V4339" s="47"/>
      <c r="W4339" s="47"/>
      <c r="X4339" s="47">
        <f t="shared" si="965"/>
        <v>3000</v>
      </c>
      <c r="Y4339" s="47"/>
      <c r="Z4339" s="47">
        <f t="shared" ref="Z4339:Z4346" si="973">Z$7</f>
        <v>4620</v>
      </c>
      <c r="AA4339" s="47">
        <f t="shared" si="966"/>
        <v>1400</v>
      </c>
      <c r="AB4339" s="47"/>
      <c r="AC4339" s="47"/>
      <c r="AD4339" s="47"/>
      <c r="AE4339" s="47"/>
      <c r="AF4339" s="47"/>
      <c r="AG4339" s="47"/>
      <c r="AH4339" s="47" t="str">
        <f>IFERROR(_xlfn.XLOOKUP(Table6[[#This Row],[Suburb]],Table5[Travel Surcharge],Table5[$$]),"")</f>
        <v/>
      </c>
      <c r="AI4339" s="47">
        <f t="shared" si="972"/>
        <v>1650.0000000000002</v>
      </c>
      <c r="AJ4339" s="47"/>
    </row>
    <row r="4340" spans="1:36">
      <c r="A4340" s="374" t="s">
        <v>6349</v>
      </c>
      <c r="B4340" s="374">
        <v>12</v>
      </c>
      <c r="C4340" s="374" t="s">
        <v>3442</v>
      </c>
      <c r="D4340" s="375" t="str">
        <f t="shared" si="969"/>
        <v>Tulliallan Estate12</v>
      </c>
      <c r="E4340" s="375" t="s">
        <v>6357</v>
      </c>
      <c r="F4340" s="375" t="s">
        <v>2664</v>
      </c>
      <c r="G4340" s="375" t="s">
        <v>6351</v>
      </c>
      <c r="H4340" s="375" t="s">
        <v>6352</v>
      </c>
      <c r="I4340" s="63" t="s">
        <v>6353</v>
      </c>
      <c r="J4340" s="47">
        <f t="shared" si="963"/>
        <v>3740</v>
      </c>
      <c r="K4340" s="46" t="s">
        <v>7938</v>
      </c>
      <c r="L4340" s="47"/>
      <c r="M4340" s="47">
        <f t="shared" si="970"/>
        <v>1430.0000000000002</v>
      </c>
      <c r="N4340" s="47"/>
      <c r="O4340" s="47"/>
      <c r="P4340" s="47"/>
      <c r="Q4340" s="47">
        <f t="shared" si="971"/>
        <v>0</v>
      </c>
      <c r="R4340" s="47"/>
      <c r="S4340" s="47"/>
      <c r="T4340" s="47"/>
      <c r="U4340" s="47"/>
      <c r="V4340" s="47"/>
      <c r="W4340" s="47"/>
      <c r="X4340" s="47">
        <f t="shared" si="965"/>
        <v>3000</v>
      </c>
      <c r="Y4340" s="47"/>
      <c r="Z4340" s="47">
        <f t="shared" si="973"/>
        <v>4620</v>
      </c>
      <c r="AA4340" s="47">
        <f t="shared" si="966"/>
        <v>1400</v>
      </c>
      <c r="AB4340" s="47"/>
      <c r="AC4340" s="47"/>
      <c r="AD4340" s="47"/>
      <c r="AE4340" s="47"/>
      <c r="AF4340" s="47"/>
      <c r="AG4340" s="47"/>
      <c r="AH4340" s="47" t="str">
        <f>IFERROR(_xlfn.XLOOKUP(Table6[[#This Row],[Suburb]],Table5[Travel Surcharge],Table5[$$]),"")</f>
        <v/>
      </c>
      <c r="AI4340" s="47">
        <f t="shared" si="972"/>
        <v>1650.0000000000002</v>
      </c>
      <c r="AJ4340" s="47"/>
    </row>
    <row r="4341" spans="1:36">
      <c r="A4341" s="374" t="s">
        <v>6349</v>
      </c>
      <c r="B4341" s="374">
        <v>13</v>
      </c>
      <c r="C4341" s="374" t="s">
        <v>3442</v>
      </c>
      <c r="D4341" s="375" t="str">
        <f t="shared" si="969"/>
        <v>Tulliallan Estate13</v>
      </c>
      <c r="E4341" s="375" t="s">
        <v>6358</v>
      </c>
      <c r="F4341" s="375" t="s">
        <v>2664</v>
      </c>
      <c r="G4341" s="375" t="s">
        <v>6351</v>
      </c>
      <c r="H4341" s="375" t="s">
        <v>6352</v>
      </c>
      <c r="I4341" s="63" t="s">
        <v>6353</v>
      </c>
      <c r="J4341" s="47">
        <f t="shared" si="963"/>
        <v>3740</v>
      </c>
      <c r="K4341" s="46" t="s">
        <v>7938</v>
      </c>
      <c r="L4341" s="47"/>
      <c r="M4341" s="47">
        <f t="shared" si="970"/>
        <v>1430.0000000000002</v>
      </c>
      <c r="N4341" s="47"/>
      <c r="O4341" s="47"/>
      <c r="P4341" s="47"/>
      <c r="Q4341" s="47">
        <f t="shared" si="971"/>
        <v>0</v>
      </c>
      <c r="R4341" s="47"/>
      <c r="S4341" s="47"/>
      <c r="T4341" s="47"/>
      <c r="U4341" s="47"/>
      <c r="V4341" s="47"/>
      <c r="W4341" s="47"/>
      <c r="X4341" s="47">
        <f t="shared" si="965"/>
        <v>3000</v>
      </c>
      <c r="Y4341" s="47"/>
      <c r="Z4341" s="47">
        <f t="shared" si="973"/>
        <v>4620</v>
      </c>
      <c r="AA4341" s="47">
        <f t="shared" si="966"/>
        <v>1400</v>
      </c>
      <c r="AB4341" s="47"/>
      <c r="AC4341" s="47"/>
      <c r="AD4341" s="47"/>
      <c r="AE4341" s="47"/>
      <c r="AF4341" s="47"/>
      <c r="AG4341" s="47"/>
      <c r="AH4341" s="47" t="str">
        <f>IFERROR(_xlfn.XLOOKUP(Table6[[#This Row],[Suburb]],Table5[Travel Surcharge],Table5[$$]),"")</f>
        <v/>
      </c>
      <c r="AI4341" s="47">
        <f t="shared" si="972"/>
        <v>1650.0000000000002</v>
      </c>
      <c r="AJ4341" s="47"/>
    </row>
    <row r="4342" spans="1:36">
      <c r="A4342" s="374" t="s">
        <v>6349</v>
      </c>
      <c r="B4342" s="374">
        <v>15</v>
      </c>
      <c r="C4342" s="374" t="s">
        <v>3442</v>
      </c>
      <c r="D4342" s="375" t="str">
        <f t="shared" si="969"/>
        <v>Tulliallan Estate15</v>
      </c>
      <c r="E4342" s="375" t="s">
        <v>6359</v>
      </c>
      <c r="F4342" s="375" t="s">
        <v>2664</v>
      </c>
      <c r="G4342" s="375" t="s">
        <v>6351</v>
      </c>
      <c r="H4342" s="375" t="s">
        <v>6352</v>
      </c>
      <c r="I4342" s="63" t="s">
        <v>6353</v>
      </c>
      <c r="J4342" s="47">
        <f t="shared" si="963"/>
        <v>3740</v>
      </c>
      <c r="K4342" s="46" t="s">
        <v>7938</v>
      </c>
      <c r="L4342" s="47"/>
      <c r="M4342" s="47">
        <f t="shared" si="970"/>
        <v>1430.0000000000002</v>
      </c>
      <c r="N4342" s="47"/>
      <c r="O4342" s="47"/>
      <c r="P4342" s="47"/>
      <c r="Q4342" s="47">
        <f t="shared" si="971"/>
        <v>0</v>
      </c>
      <c r="R4342" s="47"/>
      <c r="S4342" s="47"/>
      <c r="T4342" s="47"/>
      <c r="U4342" s="47"/>
      <c r="V4342" s="47"/>
      <c r="W4342" s="47"/>
      <c r="X4342" s="47">
        <f t="shared" si="965"/>
        <v>3000</v>
      </c>
      <c r="Y4342" s="47"/>
      <c r="Z4342" s="47">
        <f t="shared" si="973"/>
        <v>4620</v>
      </c>
      <c r="AA4342" s="47">
        <f t="shared" si="966"/>
        <v>1400</v>
      </c>
      <c r="AB4342" s="47"/>
      <c r="AC4342" s="47"/>
      <c r="AD4342" s="47"/>
      <c r="AE4342" s="47"/>
      <c r="AF4342" s="47"/>
      <c r="AG4342" s="47"/>
      <c r="AH4342" s="47" t="str">
        <f>IFERROR(_xlfn.XLOOKUP(Table6[[#This Row],[Suburb]],Table5[Travel Surcharge],Table5[$$]),"")</f>
        <v/>
      </c>
      <c r="AI4342" s="47">
        <f t="shared" si="972"/>
        <v>1650.0000000000002</v>
      </c>
      <c r="AJ4342" s="47"/>
    </row>
    <row r="4343" spans="1:36">
      <c r="A4343" s="374" t="s">
        <v>6349</v>
      </c>
      <c r="B4343" s="374">
        <v>16</v>
      </c>
      <c r="C4343" s="374" t="s">
        <v>3442</v>
      </c>
      <c r="D4343" s="375" t="str">
        <f t="shared" si="969"/>
        <v>Tulliallan Estate16</v>
      </c>
      <c r="E4343" s="375" t="s">
        <v>6360</v>
      </c>
      <c r="F4343" s="375" t="s">
        <v>2664</v>
      </c>
      <c r="G4343" s="375" t="s">
        <v>6351</v>
      </c>
      <c r="H4343" s="375" t="s">
        <v>6352</v>
      </c>
      <c r="I4343" s="63" t="s">
        <v>6353</v>
      </c>
      <c r="J4343" s="47">
        <f t="shared" si="963"/>
        <v>3740</v>
      </c>
      <c r="K4343" s="46" t="s">
        <v>7938</v>
      </c>
      <c r="L4343" s="47"/>
      <c r="M4343" s="47">
        <f t="shared" si="970"/>
        <v>1430.0000000000002</v>
      </c>
      <c r="N4343" s="47"/>
      <c r="O4343" s="47"/>
      <c r="P4343" s="47"/>
      <c r="Q4343" s="47">
        <f t="shared" si="971"/>
        <v>0</v>
      </c>
      <c r="R4343" s="47"/>
      <c r="S4343" s="47"/>
      <c r="T4343" s="47"/>
      <c r="U4343" s="47"/>
      <c r="V4343" s="47"/>
      <c r="W4343" s="47"/>
      <c r="X4343" s="47">
        <f t="shared" si="965"/>
        <v>3000</v>
      </c>
      <c r="Y4343" s="47"/>
      <c r="Z4343" s="47">
        <f t="shared" si="973"/>
        <v>4620</v>
      </c>
      <c r="AA4343" s="47">
        <f t="shared" si="966"/>
        <v>1400</v>
      </c>
      <c r="AB4343" s="47"/>
      <c r="AC4343" s="47"/>
      <c r="AD4343" s="47"/>
      <c r="AE4343" s="47"/>
      <c r="AF4343" s="47"/>
      <c r="AG4343" s="47"/>
      <c r="AH4343" s="47" t="str">
        <f>IFERROR(_xlfn.XLOOKUP(Table6[[#This Row],[Suburb]],Table5[Travel Surcharge],Table5[$$]),"")</f>
        <v/>
      </c>
      <c r="AI4343" s="47">
        <f t="shared" si="972"/>
        <v>1650.0000000000002</v>
      </c>
      <c r="AJ4343" s="47"/>
    </row>
    <row r="4344" spans="1:36">
      <c r="A4344" s="374" t="s">
        <v>6349</v>
      </c>
      <c r="B4344" s="374">
        <v>17</v>
      </c>
      <c r="C4344" s="374" t="s">
        <v>3442</v>
      </c>
      <c r="D4344" s="375" t="str">
        <f t="shared" si="969"/>
        <v>Tulliallan Estate17</v>
      </c>
      <c r="E4344" s="375" t="s">
        <v>6361</v>
      </c>
      <c r="F4344" s="375" t="s">
        <v>2664</v>
      </c>
      <c r="G4344" s="375" t="s">
        <v>6351</v>
      </c>
      <c r="H4344" s="375" t="s">
        <v>6352</v>
      </c>
      <c r="I4344" s="63" t="s">
        <v>6353</v>
      </c>
      <c r="J4344" s="47">
        <f t="shared" si="963"/>
        <v>3740</v>
      </c>
      <c r="K4344" s="46" t="s">
        <v>7938</v>
      </c>
      <c r="L4344" s="47"/>
      <c r="M4344" s="47">
        <f t="shared" si="970"/>
        <v>1430.0000000000002</v>
      </c>
      <c r="N4344" s="47"/>
      <c r="O4344" s="47"/>
      <c r="P4344" s="47"/>
      <c r="Q4344" s="47">
        <f t="shared" si="971"/>
        <v>0</v>
      </c>
      <c r="R4344" s="47"/>
      <c r="S4344" s="47"/>
      <c r="T4344" s="47"/>
      <c r="U4344" s="47"/>
      <c r="V4344" s="47"/>
      <c r="W4344" s="47"/>
      <c r="X4344" s="47">
        <f t="shared" si="965"/>
        <v>3000</v>
      </c>
      <c r="Y4344" s="47"/>
      <c r="Z4344" s="47">
        <f t="shared" si="973"/>
        <v>4620</v>
      </c>
      <c r="AA4344" s="47">
        <f t="shared" si="966"/>
        <v>1400</v>
      </c>
      <c r="AB4344" s="47"/>
      <c r="AC4344" s="47"/>
      <c r="AD4344" s="47"/>
      <c r="AE4344" s="47"/>
      <c r="AF4344" s="47"/>
      <c r="AG4344" s="47"/>
      <c r="AH4344" s="47" t="str">
        <f>IFERROR(_xlfn.XLOOKUP(Table6[[#This Row],[Suburb]],Table5[Travel Surcharge],Table5[$$]),"")</f>
        <v/>
      </c>
      <c r="AI4344" s="47">
        <f t="shared" si="972"/>
        <v>1650.0000000000002</v>
      </c>
      <c r="AJ4344" s="47"/>
    </row>
    <row r="4345" spans="1:36">
      <c r="A4345" s="374" t="s">
        <v>6349</v>
      </c>
      <c r="B4345" s="374">
        <v>18</v>
      </c>
      <c r="C4345" s="374" t="s">
        <v>3442</v>
      </c>
      <c r="D4345" s="375" t="str">
        <f t="shared" si="969"/>
        <v>Tulliallan Estate18</v>
      </c>
      <c r="E4345" s="375" t="s">
        <v>6362</v>
      </c>
      <c r="F4345" s="375" t="s">
        <v>2664</v>
      </c>
      <c r="G4345" s="375" t="s">
        <v>6351</v>
      </c>
      <c r="H4345" s="375" t="s">
        <v>6352</v>
      </c>
      <c r="I4345" s="63" t="s">
        <v>6353</v>
      </c>
      <c r="J4345" s="47">
        <f t="shared" si="963"/>
        <v>3740</v>
      </c>
      <c r="K4345" s="46" t="s">
        <v>7938</v>
      </c>
      <c r="L4345" s="47"/>
      <c r="M4345" s="47">
        <f t="shared" si="970"/>
        <v>1430.0000000000002</v>
      </c>
      <c r="N4345" s="47"/>
      <c r="O4345" s="47"/>
      <c r="P4345" s="47"/>
      <c r="Q4345" s="47">
        <f t="shared" si="971"/>
        <v>0</v>
      </c>
      <c r="R4345" s="47"/>
      <c r="S4345" s="47"/>
      <c r="T4345" s="47"/>
      <c r="U4345" s="47"/>
      <c r="V4345" s="47"/>
      <c r="W4345" s="47"/>
      <c r="X4345" s="47">
        <f t="shared" si="965"/>
        <v>3000</v>
      </c>
      <c r="Y4345" s="47"/>
      <c r="Z4345" s="47">
        <f t="shared" si="973"/>
        <v>4620</v>
      </c>
      <c r="AA4345" s="47">
        <f t="shared" si="966"/>
        <v>1400</v>
      </c>
      <c r="AB4345" s="47"/>
      <c r="AC4345" s="47"/>
      <c r="AD4345" s="47"/>
      <c r="AE4345" s="47"/>
      <c r="AF4345" s="47"/>
      <c r="AG4345" s="47"/>
      <c r="AH4345" s="47" t="str">
        <f>IFERROR(_xlfn.XLOOKUP(Table6[[#This Row],[Suburb]],Table5[Travel Surcharge],Table5[$$]),"")</f>
        <v/>
      </c>
      <c r="AI4345" s="47">
        <f t="shared" si="972"/>
        <v>1650.0000000000002</v>
      </c>
      <c r="AJ4345" s="47"/>
    </row>
    <row r="4346" spans="1:36">
      <c r="A4346" s="374" t="s">
        <v>6349</v>
      </c>
      <c r="B4346" s="374">
        <v>19</v>
      </c>
      <c r="C4346" s="374" t="s">
        <v>3442</v>
      </c>
      <c r="D4346" s="375" t="str">
        <f t="shared" si="969"/>
        <v>Tulliallan Estate19</v>
      </c>
      <c r="E4346" s="375" t="s">
        <v>6363</v>
      </c>
      <c r="F4346" s="375" t="s">
        <v>2664</v>
      </c>
      <c r="G4346" s="375" t="s">
        <v>6351</v>
      </c>
      <c r="H4346" s="375" t="s">
        <v>6352</v>
      </c>
      <c r="I4346" s="63" t="s">
        <v>6353</v>
      </c>
      <c r="J4346" s="47">
        <f t="shared" si="963"/>
        <v>3740</v>
      </c>
      <c r="K4346" s="46" t="s">
        <v>7938</v>
      </c>
      <c r="L4346" s="47"/>
      <c r="M4346" s="47">
        <f t="shared" si="970"/>
        <v>1430.0000000000002</v>
      </c>
      <c r="N4346" s="47"/>
      <c r="O4346" s="47"/>
      <c r="P4346" s="47"/>
      <c r="Q4346" s="47">
        <f t="shared" si="971"/>
        <v>0</v>
      </c>
      <c r="R4346" s="47"/>
      <c r="S4346" s="47"/>
      <c r="T4346" s="47"/>
      <c r="U4346" s="47"/>
      <c r="V4346" s="47"/>
      <c r="W4346" s="47"/>
      <c r="X4346" s="47">
        <f t="shared" si="965"/>
        <v>3000</v>
      </c>
      <c r="Y4346" s="47"/>
      <c r="Z4346" s="47">
        <f t="shared" si="973"/>
        <v>4620</v>
      </c>
      <c r="AA4346" s="47">
        <f t="shared" si="966"/>
        <v>1400</v>
      </c>
      <c r="AB4346" s="47"/>
      <c r="AC4346" s="47"/>
      <c r="AD4346" s="47"/>
      <c r="AE4346" s="47"/>
      <c r="AF4346" s="47"/>
      <c r="AG4346" s="47"/>
      <c r="AH4346" s="47" t="str">
        <f>IFERROR(_xlfn.XLOOKUP(Table6[[#This Row],[Suburb]],Table5[Travel Surcharge],Table5[$$]),"")</f>
        <v/>
      </c>
      <c r="AI4346" s="47">
        <f t="shared" si="972"/>
        <v>1650.0000000000002</v>
      </c>
      <c r="AJ4346" s="47"/>
    </row>
    <row r="4347" spans="1:36">
      <c r="A4347" s="374" t="s">
        <v>8984</v>
      </c>
      <c r="B4347" s="374">
        <v>2</v>
      </c>
      <c r="C4347" s="374" t="s">
        <v>8985</v>
      </c>
      <c r="D4347" s="375" t="s">
        <v>9754</v>
      </c>
      <c r="E4347" s="375" t="s">
        <v>9755</v>
      </c>
      <c r="F4347" s="375" t="s">
        <v>8987</v>
      </c>
      <c r="G4347" s="375"/>
      <c r="H4347" s="375"/>
      <c r="I4347" s="63" t="s">
        <v>8988</v>
      </c>
      <c r="J4347" s="47">
        <v>3740</v>
      </c>
      <c r="K4347" s="46" t="s">
        <v>7938</v>
      </c>
      <c r="L4347" s="47"/>
      <c r="M4347" s="47">
        <v>1430.0000000000002</v>
      </c>
      <c r="N4347" s="47" t="s">
        <v>8991</v>
      </c>
      <c r="O4347" s="47">
        <v>4950</v>
      </c>
      <c r="P4347" s="47"/>
      <c r="Q4347" s="47"/>
      <c r="R4347" s="47"/>
      <c r="S4347" s="47" t="s">
        <v>637</v>
      </c>
      <c r="T4347" s="47"/>
      <c r="U4347" s="47"/>
      <c r="V4347" s="47"/>
      <c r="W4347" s="47" t="s">
        <v>8989</v>
      </c>
      <c r="X4347" s="47"/>
      <c r="Y4347" s="47" t="s">
        <v>8990</v>
      </c>
      <c r="Z4347" s="47">
        <v>4620</v>
      </c>
      <c r="AA4347" s="47">
        <v>1400</v>
      </c>
      <c r="AB4347" s="47"/>
      <c r="AC4347" s="47"/>
      <c r="AD4347" s="47"/>
      <c r="AE4347" s="47"/>
      <c r="AF4347" s="47"/>
      <c r="AG4347" s="47"/>
      <c r="AH4347" s="47" t="str">
        <f>IFERROR(_xlfn.XLOOKUP(Table6[[#This Row],[Suburb]],Table5[Travel Surcharge],Table5[$$]),"")</f>
        <v/>
      </c>
      <c r="AI4347" s="47"/>
      <c r="AJ4347" s="47"/>
    </row>
    <row r="4348" spans="1:36">
      <c r="A4348" s="374" t="s">
        <v>8984</v>
      </c>
      <c r="B4348" s="374">
        <v>1</v>
      </c>
      <c r="C4348" s="374" t="s">
        <v>8985</v>
      </c>
      <c r="D4348" s="375" t="str">
        <f t="shared" ref="D4348:D4369" si="974">CONCATENATE(A4348,B4348)</f>
        <v>Tulloh Street Estate 1</v>
      </c>
      <c r="E4348" s="375" t="s">
        <v>8986</v>
      </c>
      <c r="F4348" s="375" t="s">
        <v>8987</v>
      </c>
      <c r="G4348" s="375"/>
      <c r="H4348" s="375"/>
      <c r="I4348" s="63" t="s">
        <v>8988</v>
      </c>
      <c r="J4348" s="47">
        <f>J$7</f>
        <v>3740</v>
      </c>
      <c r="K4348" s="46" t="s">
        <v>7938</v>
      </c>
      <c r="L4348" s="47"/>
      <c r="M4348" s="47">
        <f>M$7</f>
        <v>1430.0000000000002</v>
      </c>
      <c r="N4348" s="47" t="s">
        <v>8991</v>
      </c>
      <c r="O4348" s="47">
        <f>O$7</f>
        <v>4950</v>
      </c>
      <c r="P4348" s="47"/>
      <c r="Q4348" s="47"/>
      <c r="R4348" s="47"/>
      <c r="S4348" s="47" t="s">
        <v>637</v>
      </c>
      <c r="T4348" s="47"/>
      <c r="U4348" s="47"/>
      <c r="V4348" s="47"/>
      <c r="W4348" s="47" t="s">
        <v>8989</v>
      </c>
      <c r="X4348" s="47"/>
      <c r="Y4348" s="47" t="s">
        <v>8990</v>
      </c>
      <c r="Z4348" s="47">
        <f>Z$7</f>
        <v>4620</v>
      </c>
      <c r="AA4348" s="47">
        <f>AA$7</f>
        <v>1400</v>
      </c>
      <c r="AB4348" s="47"/>
      <c r="AC4348" s="47"/>
      <c r="AD4348" s="47"/>
      <c r="AE4348" s="47"/>
      <c r="AF4348" s="47"/>
      <c r="AG4348" s="47"/>
      <c r="AH4348" s="47" t="str">
        <f>IFERROR(_xlfn.XLOOKUP(Table6[[#This Row],[Suburb]],Table5[Travel Surcharge],Table5[$$]),"")</f>
        <v/>
      </c>
      <c r="AI4348" s="47"/>
      <c r="AJ4348" s="47"/>
    </row>
    <row r="4349" spans="1:36">
      <c r="A4349" s="374" t="s">
        <v>6364</v>
      </c>
      <c r="B4349" s="374">
        <v>3</v>
      </c>
      <c r="C4349" s="374" t="s">
        <v>1024</v>
      </c>
      <c r="D4349" s="375" t="str">
        <f t="shared" si="974"/>
        <v>Umbra Estate3</v>
      </c>
      <c r="E4349" s="375" t="s">
        <v>6365</v>
      </c>
      <c r="F4349" s="375" t="s">
        <v>2664</v>
      </c>
      <c r="G4349" s="375" t="s">
        <v>6234</v>
      </c>
      <c r="H4349" s="375" t="s">
        <v>6366</v>
      </c>
      <c r="I4349" s="63" t="s">
        <v>6367</v>
      </c>
      <c r="J4349" s="47"/>
      <c r="K4349" s="46" t="s">
        <v>10735</v>
      </c>
      <c r="L4349" s="47"/>
      <c r="M4349" s="47" t="s">
        <v>6368</v>
      </c>
      <c r="N4349" s="47"/>
      <c r="O4349" s="47"/>
      <c r="P4349" s="47"/>
      <c r="Q4349" s="47">
        <f t="shared" ref="Q4349:Q4368" si="975">Q$2</f>
        <v>0</v>
      </c>
      <c r="R4349" s="47"/>
      <c r="S4349" s="47"/>
      <c r="T4349" s="47"/>
      <c r="U4349" s="47"/>
      <c r="V4349" s="47"/>
      <c r="W4349" s="47"/>
      <c r="X4349" s="47"/>
      <c r="Y4349" s="47"/>
      <c r="Z4349" s="47">
        <f t="shared" ref="Z4349:Z4368" si="976">Z$7</f>
        <v>4620</v>
      </c>
      <c r="AA4349" s="47"/>
      <c r="AB4349" s="47"/>
      <c r="AC4349" s="47" t="s">
        <v>6369</v>
      </c>
      <c r="AD4349" s="47"/>
      <c r="AE4349" s="47"/>
      <c r="AF4349" s="47">
        <f t="shared" ref="AF4349:AF4368" si="977">AF$7</f>
        <v>1485</v>
      </c>
      <c r="AG4349" s="47"/>
      <c r="AH4349" s="47" t="str">
        <f>IFERROR(_xlfn.XLOOKUP(Table6[[#This Row],[Suburb]],Table5[Travel Surcharge],Table5[$$]),"")</f>
        <v/>
      </c>
      <c r="AI4349" s="47" t="s">
        <v>6370</v>
      </c>
      <c r="AJ4349" s="47"/>
    </row>
    <row r="4350" spans="1:36">
      <c r="A4350" s="374" t="s">
        <v>6364</v>
      </c>
      <c r="B4350" s="374">
        <v>4</v>
      </c>
      <c r="C4350" s="374" t="s">
        <v>1024</v>
      </c>
      <c r="D4350" s="375" t="str">
        <f t="shared" si="974"/>
        <v>Umbra Estate4</v>
      </c>
      <c r="E4350" s="375" t="s">
        <v>6371</v>
      </c>
      <c r="F4350" s="375" t="s">
        <v>2664</v>
      </c>
      <c r="G4350" s="375" t="s">
        <v>6234</v>
      </c>
      <c r="H4350" s="375" t="s">
        <v>6366</v>
      </c>
      <c r="I4350" s="63" t="s">
        <v>6367</v>
      </c>
      <c r="J4350" s="47"/>
      <c r="K4350" s="46" t="s">
        <v>10735</v>
      </c>
      <c r="L4350" s="47"/>
      <c r="M4350" s="47" t="s">
        <v>6368</v>
      </c>
      <c r="N4350" s="47"/>
      <c r="O4350" s="47"/>
      <c r="P4350" s="47"/>
      <c r="Q4350" s="47">
        <f t="shared" si="975"/>
        <v>0</v>
      </c>
      <c r="R4350" s="47"/>
      <c r="S4350" s="47"/>
      <c r="T4350" s="47"/>
      <c r="U4350" s="47"/>
      <c r="V4350" s="47"/>
      <c r="W4350" s="47"/>
      <c r="X4350" s="47"/>
      <c r="Y4350" s="47"/>
      <c r="Z4350" s="47">
        <f t="shared" si="976"/>
        <v>4620</v>
      </c>
      <c r="AA4350" s="47"/>
      <c r="AB4350" s="47"/>
      <c r="AC4350" s="47" t="s">
        <v>6369</v>
      </c>
      <c r="AD4350" s="47"/>
      <c r="AE4350" s="47"/>
      <c r="AF4350" s="47">
        <f t="shared" si="977"/>
        <v>1485</v>
      </c>
      <c r="AG4350" s="47"/>
      <c r="AH4350" s="47" t="str">
        <f>IFERROR(_xlfn.XLOOKUP(Table6[[#This Row],[Suburb]],Table5[Travel Surcharge],Table5[$$]),"")</f>
        <v/>
      </c>
      <c r="AI4350" s="47" t="s">
        <v>6370</v>
      </c>
      <c r="AJ4350" s="47"/>
    </row>
    <row r="4351" spans="1:36">
      <c r="A4351" s="374" t="s">
        <v>6372</v>
      </c>
      <c r="B4351" s="374">
        <v>1</v>
      </c>
      <c r="C4351" s="374" t="s">
        <v>1261</v>
      </c>
      <c r="D4351" s="375" t="str">
        <f t="shared" si="974"/>
        <v>Underbank Estate1</v>
      </c>
      <c r="E4351" s="375" t="s">
        <v>6373</v>
      </c>
      <c r="F4351" s="375" t="s">
        <v>5592</v>
      </c>
      <c r="G4351" s="375" t="s">
        <v>6374</v>
      </c>
      <c r="H4351" s="375" t="s">
        <v>6375</v>
      </c>
      <c r="I4351" s="63"/>
      <c r="J4351" s="47" t="s">
        <v>3018</v>
      </c>
      <c r="K4351" s="46" t="s">
        <v>10735</v>
      </c>
      <c r="L4351" s="47"/>
      <c r="M4351" s="47"/>
      <c r="N4351" s="47"/>
      <c r="O4351" s="47" t="s">
        <v>6376</v>
      </c>
      <c r="P4351" s="47" t="s">
        <v>6377</v>
      </c>
      <c r="Q4351" s="47">
        <f t="shared" si="975"/>
        <v>0</v>
      </c>
      <c r="R4351" s="47" t="s">
        <v>7502</v>
      </c>
      <c r="S4351" s="47"/>
      <c r="T4351" s="47" t="s">
        <v>6378</v>
      </c>
      <c r="U4351" s="47"/>
      <c r="V4351" s="47"/>
      <c r="W4351" s="47"/>
      <c r="X4351" s="47"/>
      <c r="Y4351" s="47"/>
      <c r="Z4351" s="47">
        <f t="shared" si="976"/>
        <v>4620</v>
      </c>
      <c r="AA4351" s="47"/>
      <c r="AB4351" s="47"/>
      <c r="AC4351" s="47"/>
      <c r="AD4351" s="47"/>
      <c r="AE4351" s="47"/>
      <c r="AF4351" s="47">
        <f t="shared" si="977"/>
        <v>1485</v>
      </c>
      <c r="AG4351" s="47" t="s">
        <v>7503</v>
      </c>
      <c r="AH4351" s="47" t="str">
        <f>IFERROR(_xlfn.XLOOKUP(Table6[[#This Row],[Suburb]],Table5[Travel Surcharge],Table5[$$]),"")</f>
        <v/>
      </c>
      <c r="AI4351" s="47"/>
      <c r="AJ4351" s="47"/>
    </row>
    <row r="4352" spans="1:36">
      <c r="A4352" s="374" t="s">
        <v>6372</v>
      </c>
      <c r="B4352" s="374">
        <v>2</v>
      </c>
      <c r="C4352" s="374" t="s">
        <v>1261</v>
      </c>
      <c r="D4352" s="375" t="str">
        <f t="shared" si="974"/>
        <v>Underbank Estate2</v>
      </c>
      <c r="E4352" s="375" t="s">
        <v>6379</v>
      </c>
      <c r="F4352" s="375" t="s">
        <v>5592</v>
      </c>
      <c r="G4352" s="375" t="s">
        <v>6374</v>
      </c>
      <c r="H4352" s="375" t="s">
        <v>6375</v>
      </c>
      <c r="I4352" s="63"/>
      <c r="J4352" s="47" t="s">
        <v>3018</v>
      </c>
      <c r="K4352" s="46" t="s">
        <v>10735</v>
      </c>
      <c r="L4352" s="47"/>
      <c r="M4352" s="47"/>
      <c r="N4352" s="47"/>
      <c r="O4352" s="47" t="s">
        <v>6376</v>
      </c>
      <c r="P4352" s="47" t="s">
        <v>6377</v>
      </c>
      <c r="Q4352" s="47">
        <f t="shared" si="975"/>
        <v>0</v>
      </c>
      <c r="R4352" s="47" t="s">
        <v>7502</v>
      </c>
      <c r="S4352" s="47"/>
      <c r="T4352" s="47" t="s">
        <v>6378</v>
      </c>
      <c r="U4352" s="47"/>
      <c r="V4352" s="47"/>
      <c r="W4352" s="47"/>
      <c r="X4352" s="47"/>
      <c r="Y4352" s="47"/>
      <c r="Z4352" s="47">
        <f t="shared" si="976"/>
        <v>4620</v>
      </c>
      <c r="AA4352" s="47"/>
      <c r="AB4352" s="47"/>
      <c r="AC4352" s="47"/>
      <c r="AD4352" s="47"/>
      <c r="AE4352" s="47"/>
      <c r="AF4352" s="47">
        <f t="shared" si="977"/>
        <v>1485</v>
      </c>
      <c r="AG4352" s="47" t="s">
        <v>7503</v>
      </c>
      <c r="AH4352" s="47" t="str">
        <f>IFERROR(_xlfn.XLOOKUP(Table6[[#This Row],[Suburb]],Table5[Travel Surcharge],Table5[$$]),"")</f>
        <v/>
      </c>
      <c r="AI4352" s="47"/>
      <c r="AJ4352" s="47"/>
    </row>
    <row r="4353" spans="1:36">
      <c r="A4353" s="374" t="s">
        <v>6372</v>
      </c>
      <c r="B4353" s="374">
        <v>3</v>
      </c>
      <c r="C4353" s="374" t="s">
        <v>1261</v>
      </c>
      <c r="D4353" s="375" t="str">
        <f t="shared" si="974"/>
        <v>Underbank Estate3</v>
      </c>
      <c r="E4353" s="375" t="s">
        <v>6380</v>
      </c>
      <c r="F4353" s="375" t="s">
        <v>5592</v>
      </c>
      <c r="G4353" s="375" t="s">
        <v>6374</v>
      </c>
      <c r="H4353" s="375" t="s">
        <v>6375</v>
      </c>
      <c r="I4353" s="63"/>
      <c r="J4353" s="47" t="s">
        <v>3018</v>
      </c>
      <c r="K4353" s="46" t="s">
        <v>10735</v>
      </c>
      <c r="L4353" s="47"/>
      <c r="M4353" s="47"/>
      <c r="N4353" s="47"/>
      <c r="O4353" s="47" t="s">
        <v>6376</v>
      </c>
      <c r="P4353" s="47" t="s">
        <v>6377</v>
      </c>
      <c r="Q4353" s="47">
        <f t="shared" si="975"/>
        <v>0</v>
      </c>
      <c r="R4353" s="47" t="s">
        <v>7502</v>
      </c>
      <c r="S4353" s="47"/>
      <c r="T4353" s="47" t="s">
        <v>6378</v>
      </c>
      <c r="U4353" s="47"/>
      <c r="V4353" s="47"/>
      <c r="W4353" s="47"/>
      <c r="X4353" s="47"/>
      <c r="Y4353" s="47"/>
      <c r="Z4353" s="47">
        <f t="shared" si="976"/>
        <v>4620</v>
      </c>
      <c r="AA4353" s="47"/>
      <c r="AB4353" s="47"/>
      <c r="AC4353" s="47"/>
      <c r="AD4353" s="47"/>
      <c r="AE4353" s="47"/>
      <c r="AF4353" s="47">
        <f t="shared" si="977"/>
        <v>1485</v>
      </c>
      <c r="AG4353" s="47" t="s">
        <v>7503</v>
      </c>
      <c r="AH4353" s="47" t="str">
        <f>IFERROR(_xlfn.XLOOKUP(Table6[[#This Row],[Suburb]],Table5[Travel Surcharge],Table5[$$]),"")</f>
        <v/>
      </c>
      <c r="AI4353" s="47"/>
      <c r="AJ4353" s="47"/>
    </row>
    <row r="4354" spans="1:36">
      <c r="A4354" s="374" t="s">
        <v>6372</v>
      </c>
      <c r="B4354" s="374">
        <v>5</v>
      </c>
      <c r="C4354" s="374" t="s">
        <v>1261</v>
      </c>
      <c r="D4354" s="375" t="str">
        <f t="shared" si="974"/>
        <v>Underbank Estate5</v>
      </c>
      <c r="E4354" s="375" t="s">
        <v>6382</v>
      </c>
      <c r="F4354" s="375" t="s">
        <v>5592</v>
      </c>
      <c r="G4354" s="375" t="s">
        <v>6374</v>
      </c>
      <c r="H4354" s="375" t="s">
        <v>6375</v>
      </c>
      <c r="I4354" s="63"/>
      <c r="J4354" s="47" t="s">
        <v>3018</v>
      </c>
      <c r="K4354" s="46" t="s">
        <v>10735</v>
      </c>
      <c r="L4354" s="47"/>
      <c r="M4354" s="47"/>
      <c r="N4354" s="47"/>
      <c r="O4354" s="47" t="s">
        <v>6376</v>
      </c>
      <c r="P4354" s="47" t="s">
        <v>6377</v>
      </c>
      <c r="Q4354" s="47">
        <f t="shared" si="975"/>
        <v>0</v>
      </c>
      <c r="R4354" s="47" t="s">
        <v>7502</v>
      </c>
      <c r="S4354" s="47"/>
      <c r="T4354" s="47" t="s">
        <v>6378</v>
      </c>
      <c r="U4354" s="47"/>
      <c r="V4354" s="47"/>
      <c r="W4354" s="47"/>
      <c r="X4354" s="47"/>
      <c r="Y4354" s="47"/>
      <c r="Z4354" s="47">
        <f t="shared" si="976"/>
        <v>4620</v>
      </c>
      <c r="AA4354" s="47"/>
      <c r="AB4354" s="47"/>
      <c r="AC4354" s="47"/>
      <c r="AD4354" s="47"/>
      <c r="AE4354" s="47"/>
      <c r="AF4354" s="47">
        <f t="shared" si="977"/>
        <v>1485</v>
      </c>
      <c r="AG4354" s="47" t="s">
        <v>7503</v>
      </c>
      <c r="AH4354" s="47" t="str">
        <f>IFERROR(_xlfn.XLOOKUP(Table6[[#This Row],[Suburb]],Table5[Travel Surcharge],Table5[$$]),"")</f>
        <v/>
      </c>
      <c r="AI4354" s="47"/>
      <c r="AJ4354" s="47"/>
    </row>
    <row r="4355" spans="1:36">
      <c r="A4355" s="374" t="s">
        <v>6372</v>
      </c>
      <c r="B4355" s="374">
        <v>6</v>
      </c>
      <c r="C4355" s="374" t="s">
        <v>1261</v>
      </c>
      <c r="D4355" s="375" t="str">
        <f t="shared" si="974"/>
        <v>Underbank Estate6</v>
      </c>
      <c r="E4355" s="375" t="s">
        <v>6383</v>
      </c>
      <c r="F4355" s="375" t="s">
        <v>5592</v>
      </c>
      <c r="G4355" s="375" t="s">
        <v>6374</v>
      </c>
      <c r="H4355" s="375" t="s">
        <v>6375</v>
      </c>
      <c r="I4355" s="63"/>
      <c r="J4355" s="47" t="s">
        <v>3018</v>
      </c>
      <c r="K4355" s="46" t="s">
        <v>10735</v>
      </c>
      <c r="L4355" s="47"/>
      <c r="M4355" s="47"/>
      <c r="N4355" s="47"/>
      <c r="O4355" s="47" t="s">
        <v>6376</v>
      </c>
      <c r="P4355" s="47" t="s">
        <v>6377</v>
      </c>
      <c r="Q4355" s="47">
        <f t="shared" si="975"/>
        <v>0</v>
      </c>
      <c r="R4355" s="47" t="s">
        <v>7502</v>
      </c>
      <c r="S4355" s="47"/>
      <c r="T4355" s="47" t="s">
        <v>6378</v>
      </c>
      <c r="U4355" s="47"/>
      <c r="V4355" s="47"/>
      <c r="W4355" s="47"/>
      <c r="X4355" s="47"/>
      <c r="Y4355" s="47"/>
      <c r="Z4355" s="47">
        <f t="shared" si="976"/>
        <v>4620</v>
      </c>
      <c r="AA4355" s="47"/>
      <c r="AB4355" s="47"/>
      <c r="AC4355" s="47"/>
      <c r="AD4355" s="47"/>
      <c r="AE4355" s="47"/>
      <c r="AF4355" s="47">
        <f t="shared" si="977"/>
        <v>1485</v>
      </c>
      <c r="AG4355" s="47" t="s">
        <v>7503</v>
      </c>
      <c r="AH4355" s="47" t="str">
        <f>IFERROR(_xlfn.XLOOKUP(Table6[[#This Row],[Suburb]],Table5[Travel Surcharge],Table5[$$]),"")</f>
        <v/>
      </c>
      <c r="AI4355" s="47"/>
      <c r="AJ4355" s="47"/>
    </row>
    <row r="4356" spans="1:36">
      <c r="A4356" s="374" t="s">
        <v>6372</v>
      </c>
      <c r="B4356" s="374">
        <v>7</v>
      </c>
      <c r="C4356" s="374" t="s">
        <v>1261</v>
      </c>
      <c r="D4356" s="375" t="str">
        <f t="shared" si="974"/>
        <v>Underbank Estate7</v>
      </c>
      <c r="E4356" s="375" t="s">
        <v>6383</v>
      </c>
      <c r="F4356" s="375" t="s">
        <v>5592</v>
      </c>
      <c r="G4356" s="375" t="s">
        <v>6374</v>
      </c>
      <c r="H4356" s="375" t="s">
        <v>6375</v>
      </c>
      <c r="I4356" s="63"/>
      <c r="J4356" s="47" t="s">
        <v>3018</v>
      </c>
      <c r="K4356" s="46" t="s">
        <v>10735</v>
      </c>
      <c r="L4356" s="47"/>
      <c r="M4356" s="47"/>
      <c r="N4356" s="47"/>
      <c r="O4356" s="47" t="s">
        <v>6376</v>
      </c>
      <c r="P4356" s="47" t="s">
        <v>6377</v>
      </c>
      <c r="Q4356" s="47">
        <f t="shared" si="975"/>
        <v>0</v>
      </c>
      <c r="R4356" s="47" t="s">
        <v>7502</v>
      </c>
      <c r="S4356" s="47"/>
      <c r="T4356" s="47" t="s">
        <v>6378</v>
      </c>
      <c r="U4356" s="47"/>
      <c r="V4356" s="47"/>
      <c r="W4356" s="47"/>
      <c r="X4356" s="47"/>
      <c r="Y4356" s="47"/>
      <c r="Z4356" s="47">
        <f t="shared" si="976"/>
        <v>4620</v>
      </c>
      <c r="AA4356" s="47"/>
      <c r="AB4356" s="47"/>
      <c r="AC4356" s="47"/>
      <c r="AD4356" s="47"/>
      <c r="AE4356" s="47"/>
      <c r="AF4356" s="47">
        <f t="shared" si="977"/>
        <v>1485</v>
      </c>
      <c r="AG4356" s="47" t="s">
        <v>7503</v>
      </c>
      <c r="AH4356" s="47" t="str">
        <f>IFERROR(_xlfn.XLOOKUP(Table6[[#This Row],[Suburb]],Table5[Travel Surcharge],Table5[$$]),"")</f>
        <v/>
      </c>
      <c r="AI4356" s="47"/>
      <c r="AJ4356" s="47"/>
    </row>
    <row r="4357" spans="1:36">
      <c r="A4357" s="374" t="s">
        <v>6372</v>
      </c>
      <c r="B4357" s="374">
        <v>8</v>
      </c>
      <c r="C4357" s="374" t="s">
        <v>1261</v>
      </c>
      <c r="D4357" s="375" t="str">
        <f t="shared" si="974"/>
        <v>Underbank Estate8</v>
      </c>
      <c r="E4357" s="375" t="s">
        <v>6384</v>
      </c>
      <c r="F4357" s="375" t="s">
        <v>5592</v>
      </c>
      <c r="G4357" s="375" t="s">
        <v>6374</v>
      </c>
      <c r="H4357" s="375" t="s">
        <v>6375</v>
      </c>
      <c r="I4357" s="63"/>
      <c r="J4357" s="47" t="s">
        <v>3018</v>
      </c>
      <c r="K4357" s="46" t="s">
        <v>10735</v>
      </c>
      <c r="L4357" s="47"/>
      <c r="M4357" s="47"/>
      <c r="N4357" s="47"/>
      <c r="O4357" s="47" t="s">
        <v>6376</v>
      </c>
      <c r="P4357" s="47" t="s">
        <v>6377</v>
      </c>
      <c r="Q4357" s="47">
        <f t="shared" si="975"/>
        <v>0</v>
      </c>
      <c r="R4357" s="47" t="s">
        <v>7502</v>
      </c>
      <c r="S4357" s="47"/>
      <c r="T4357" s="47" t="s">
        <v>6378</v>
      </c>
      <c r="U4357" s="47"/>
      <c r="V4357" s="47"/>
      <c r="W4357" s="47"/>
      <c r="X4357" s="47"/>
      <c r="Y4357" s="47"/>
      <c r="Z4357" s="47">
        <f t="shared" si="976"/>
        <v>4620</v>
      </c>
      <c r="AA4357" s="47"/>
      <c r="AB4357" s="47"/>
      <c r="AC4357" s="47"/>
      <c r="AD4357" s="47"/>
      <c r="AE4357" s="47"/>
      <c r="AF4357" s="47">
        <f t="shared" si="977"/>
        <v>1485</v>
      </c>
      <c r="AG4357" s="47" t="s">
        <v>7503</v>
      </c>
      <c r="AH4357" s="47" t="str">
        <f>IFERROR(_xlfn.XLOOKUP(Table6[[#This Row],[Suburb]],Table5[Travel Surcharge],Table5[$$]),"")</f>
        <v/>
      </c>
      <c r="AI4357" s="47"/>
      <c r="AJ4357" s="47"/>
    </row>
    <row r="4358" spans="1:36">
      <c r="A4358" s="374" t="s">
        <v>6372</v>
      </c>
      <c r="B4358" s="374">
        <v>9</v>
      </c>
      <c r="C4358" s="374" t="s">
        <v>1261</v>
      </c>
      <c r="D4358" s="375" t="str">
        <f t="shared" si="974"/>
        <v>Underbank Estate9</v>
      </c>
      <c r="E4358" s="375" t="s">
        <v>6385</v>
      </c>
      <c r="F4358" s="375" t="s">
        <v>5592</v>
      </c>
      <c r="G4358" s="375" t="s">
        <v>6374</v>
      </c>
      <c r="H4358" s="375" t="s">
        <v>6375</v>
      </c>
      <c r="I4358" s="63"/>
      <c r="J4358" s="47" t="s">
        <v>3018</v>
      </c>
      <c r="K4358" s="46" t="s">
        <v>10735</v>
      </c>
      <c r="L4358" s="47"/>
      <c r="M4358" s="47"/>
      <c r="N4358" s="47"/>
      <c r="O4358" s="47" t="s">
        <v>6376</v>
      </c>
      <c r="P4358" s="47" t="s">
        <v>6377</v>
      </c>
      <c r="Q4358" s="47">
        <f t="shared" si="975"/>
        <v>0</v>
      </c>
      <c r="R4358" s="47" t="s">
        <v>7502</v>
      </c>
      <c r="S4358" s="47"/>
      <c r="T4358" s="47" t="s">
        <v>6378</v>
      </c>
      <c r="U4358" s="47"/>
      <c r="V4358" s="47"/>
      <c r="W4358" s="47"/>
      <c r="X4358" s="47"/>
      <c r="Y4358" s="47"/>
      <c r="Z4358" s="47">
        <f t="shared" si="976"/>
        <v>4620</v>
      </c>
      <c r="AA4358" s="47"/>
      <c r="AB4358" s="47"/>
      <c r="AC4358" s="47"/>
      <c r="AD4358" s="47"/>
      <c r="AE4358" s="47"/>
      <c r="AF4358" s="47">
        <f t="shared" si="977"/>
        <v>1485</v>
      </c>
      <c r="AG4358" s="47" t="s">
        <v>7503</v>
      </c>
      <c r="AH4358" s="47" t="str">
        <f>IFERROR(_xlfn.XLOOKUP(Table6[[#This Row],[Suburb]],Table5[Travel Surcharge],Table5[$$]),"")</f>
        <v/>
      </c>
      <c r="AI4358" s="47"/>
      <c r="AJ4358" s="47"/>
    </row>
    <row r="4359" spans="1:36">
      <c r="A4359" s="374" t="s">
        <v>6372</v>
      </c>
      <c r="B4359" s="374">
        <v>10</v>
      </c>
      <c r="C4359" s="374" t="s">
        <v>1261</v>
      </c>
      <c r="D4359" s="375" t="str">
        <f t="shared" si="974"/>
        <v>Underbank Estate10</v>
      </c>
      <c r="E4359" s="375" t="s">
        <v>5303</v>
      </c>
      <c r="F4359" s="375" t="s">
        <v>5592</v>
      </c>
      <c r="G4359" s="375" t="s">
        <v>6374</v>
      </c>
      <c r="H4359" s="375" t="s">
        <v>6375</v>
      </c>
      <c r="I4359" s="63"/>
      <c r="J4359" s="47" t="s">
        <v>3018</v>
      </c>
      <c r="K4359" s="46" t="s">
        <v>10735</v>
      </c>
      <c r="L4359" s="47"/>
      <c r="M4359" s="47"/>
      <c r="N4359" s="47"/>
      <c r="O4359" s="47" t="s">
        <v>6376</v>
      </c>
      <c r="P4359" s="47" t="s">
        <v>6377</v>
      </c>
      <c r="Q4359" s="47">
        <f t="shared" si="975"/>
        <v>0</v>
      </c>
      <c r="R4359" s="47" t="s">
        <v>7502</v>
      </c>
      <c r="S4359" s="47"/>
      <c r="T4359" s="47" t="s">
        <v>6378</v>
      </c>
      <c r="U4359" s="47"/>
      <c r="V4359" s="47"/>
      <c r="W4359" s="47"/>
      <c r="X4359" s="47"/>
      <c r="Y4359" s="47"/>
      <c r="Z4359" s="47">
        <f t="shared" si="976"/>
        <v>4620</v>
      </c>
      <c r="AA4359" s="47"/>
      <c r="AB4359" s="47"/>
      <c r="AC4359" s="47"/>
      <c r="AD4359" s="47"/>
      <c r="AE4359" s="47"/>
      <c r="AF4359" s="47">
        <f t="shared" si="977"/>
        <v>1485</v>
      </c>
      <c r="AG4359" s="47" t="s">
        <v>7503</v>
      </c>
      <c r="AH4359" s="47" t="str">
        <f>IFERROR(_xlfn.XLOOKUP(Table6[[#This Row],[Suburb]],Table5[Travel Surcharge],Table5[$$]),"")</f>
        <v/>
      </c>
      <c r="AI4359" s="47"/>
      <c r="AJ4359" s="47"/>
    </row>
    <row r="4360" spans="1:36">
      <c r="A4360" s="374" t="s">
        <v>6372</v>
      </c>
      <c r="B4360" s="374">
        <v>11</v>
      </c>
      <c r="C4360" s="374" t="s">
        <v>1261</v>
      </c>
      <c r="D4360" s="375" t="str">
        <f t="shared" si="974"/>
        <v>Underbank Estate11</v>
      </c>
      <c r="E4360" s="375" t="s">
        <v>6386</v>
      </c>
      <c r="F4360" s="375" t="s">
        <v>5592</v>
      </c>
      <c r="G4360" s="375" t="s">
        <v>6374</v>
      </c>
      <c r="H4360" s="375" t="s">
        <v>6375</v>
      </c>
      <c r="I4360" s="63"/>
      <c r="J4360" s="47" t="s">
        <v>3018</v>
      </c>
      <c r="K4360" s="46" t="s">
        <v>10735</v>
      </c>
      <c r="L4360" s="47"/>
      <c r="M4360" s="47"/>
      <c r="N4360" s="47"/>
      <c r="O4360" s="47" t="s">
        <v>6376</v>
      </c>
      <c r="P4360" s="47" t="s">
        <v>6377</v>
      </c>
      <c r="Q4360" s="47">
        <f t="shared" si="975"/>
        <v>0</v>
      </c>
      <c r="R4360" s="47" t="s">
        <v>7502</v>
      </c>
      <c r="S4360" s="47"/>
      <c r="T4360" s="47" t="s">
        <v>6378</v>
      </c>
      <c r="U4360" s="47"/>
      <c r="V4360" s="47"/>
      <c r="W4360" s="47"/>
      <c r="X4360" s="47"/>
      <c r="Y4360" s="47"/>
      <c r="Z4360" s="47">
        <f t="shared" si="976"/>
        <v>4620</v>
      </c>
      <c r="AA4360" s="47"/>
      <c r="AB4360" s="47"/>
      <c r="AC4360" s="47"/>
      <c r="AD4360" s="47"/>
      <c r="AE4360" s="47"/>
      <c r="AF4360" s="47">
        <f t="shared" si="977"/>
        <v>1485</v>
      </c>
      <c r="AG4360" s="47" t="s">
        <v>7503</v>
      </c>
      <c r="AH4360" s="47" t="str">
        <f>IFERROR(_xlfn.XLOOKUP(Table6[[#This Row],[Suburb]],Table5[Travel Surcharge],Table5[$$]),"")</f>
        <v/>
      </c>
      <c r="AI4360" s="47"/>
      <c r="AJ4360" s="47"/>
    </row>
    <row r="4361" spans="1:36">
      <c r="A4361" s="374" t="s">
        <v>6372</v>
      </c>
      <c r="B4361" s="374">
        <v>12</v>
      </c>
      <c r="C4361" s="374" t="s">
        <v>1261</v>
      </c>
      <c r="D4361" s="375" t="str">
        <f t="shared" si="974"/>
        <v>Underbank Estate12</v>
      </c>
      <c r="E4361" s="375" t="s">
        <v>6387</v>
      </c>
      <c r="F4361" s="375" t="s">
        <v>5592</v>
      </c>
      <c r="G4361" s="375" t="s">
        <v>6374</v>
      </c>
      <c r="H4361" s="375" t="s">
        <v>6375</v>
      </c>
      <c r="I4361" s="63"/>
      <c r="J4361" s="47" t="s">
        <v>3018</v>
      </c>
      <c r="K4361" s="46" t="s">
        <v>10735</v>
      </c>
      <c r="L4361" s="47"/>
      <c r="M4361" s="47"/>
      <c r="N4361" s="47"/>
      <c r="O4361" s="47" t="s">
        <v>6376</v>
      </c>
      <c r="P4361" s="47" t="s">
        <v>6377</v>
      </c>
      <c r="Q4361" s="47">
        <f t="shared" si="975"/>
        <v>0</v>
      </c>
      <c r="R4361" s="47" t="s">
        <v>7502</v>
      </c>
      <c r="S4361" s="47"/>
      <c r="T4361" s="47" t="s">
        <v>6378</v>
      </c>
      <c r="U4361" s="47"/>
      <c r="V4361" s="47"/>
      <c r="W4361" s="47"/>
      <c r="X4361" s="47"/>
      <c r="Y4361" s="47"/>
      <c r="Z4361" s="47">
        <f t="shared" si="976"/>
        <v>4620</v>
      </c>
      <c r="AA4361" s="47"/>
      <c r="AB4361" s="47"/>
      <c r="AC4361" s="47"/>
      <c r="AD4361" s="47"/>
      <c r="AE4361" s="47"/>
      <c r="AF4361" s="47">
        <f t="shared" si="977"/>
        <v>1485</v>
      </c>
      <c r="AG4361" s="47" t="s">
        <v>7503</v>
      </c>
      <c r="AH4361" s="47" t="str">
        <f>IFERROR(_xlfn.XLOOKUP(Table6[[#This Row],[Suburb]],Table5[Travel Surcharge],Table5[$$]),"")</f>
        <v/>
      </c>
      <c r="AI4361" s="47"/>
      <c r="AJ4361" s="47"/>
    </row>
    <row r="4362" spans="1:36">
      <c r="A4362" s="374" t="s">
        <v>6372</v>
      </c>
      <c r="B4362" s="374">
        <v>13</v>
      </c>
      <c r="C4362" s="374" t="s">
        <v>1261</v>
      </c>
      <c r="D4362" s="375" t="str">
        <f t="shared" si="974"/>
        <v>Underbank Estate13</v>
      </c>
      <c r="E4362" s="375" t="s">
        <v>6388</v>
      </c>
      <c r="F4362" s="375" t="s">
        <v>5592</v>
      </c>
      <c r="G4362" s="375" t="s">
        <v>6374</v>
      </c>
      <c r="H4362" s="375" t="s">
        <v>6375</v>
      </c>
      <c r="I4362" s="63"/>
      <c r="J4362" s="47" t="s">
        <v>3018</v>
      </c>
      <c r="K4362" s="46" t="s">
        <v>10735</v>
      </c>
      <c r="L4362" s="47"/>
      <c r="M4362" s="47"/>
      <c r="N4362" s="47"/>
      <c r="O4362" s="47" t="s">
        <v>6376</v>
      </c>
      <c r="P4362" s="47" t="s">
        <v>6377</v>
      </c>
      <c r="Q4362" s="47">
        <f t="shared" si="975"/>
        <v>0</v>
      </c>
      <c r="R4362" s="47" t="s">
        <v>7502</v>
      </c>
      <c r="S4362" s="47"/>
      <c r="T4362" s="47" t="s">
        <v>6378</v>
      </c>
      <c r="U4362" s="47"/>
      <c r="V4362" s="47"/>
      <c r="W4362" s="47"/>
      <c r="X4362" s="47"/>
      <c r="Y4362" s="47"/>
      <c r="Z4362" s="47">
        <f t="shared" si="976"/>
        <v>4620</v>
      </c>
      <c r="AA4362" s="47"/>
      <c r="AB4362" s="47"/>
      <c r="AC4362" s="47"/>
      <c r="AD4362" s="47"/>
      <c r="AE4362" s="47"/>
      <c r="AF4362" s="47">
        <f t="shared" si="977"/>
        <v>1485</v>
      </c>
      <c r="AG4362" s="47" t="s">
        <v>7503</v>
      </c>
      <c r="AH4362" s="47" t="str">
        <f>IFERROR(_xlfn.XLOOKUP(Table6[[#This Row],[Suburb]],Table5[Travel Surcharge],Table5[$$]),"")</f>
        <v/>
      </c>
      <c r="AI4362" s="47"/>
      <c r="AJ4362" s="47"/>
    </row>
    <row r="4363" spans="1:36">
      <c r="A4363" s="374" t="s">
        <v>6372</v>
      </c>
      <c r="B4363" s="374">
        <v>15</v>
      </c>
      <c r="C4363" s="374" t="s">
        <v>1261</v>
      </c>
      <c r="D4363" s="375" t="str">
        <f t="shared" si="974"/>
        <v>Underbank Estate15</v>
      </c>
      <c r="E4363" s="375" t="s">
        <v>6389</v>
      </c>
      <c r="F4363" s="375" t="s">
        <v>5592</v>
      </c>
      <c r="G4363" s="375" t="s">
        <v>6374</v>
      </c>
      <c r="H4363" s="375" t="s">
        <v>6375</v>
      </c>
      <c r="I4363" s="63"/>
      <c r="J4363" s="47" t="s">
        <v>3018</v>
      </c>
      <c r="K4363" s="46" t="s">
        <v>10735</v>
      </c>
      <c r="L4363" s="47"/>
      <c r="M4363" s="47"/>
      <c r="N4363" s="47"/>
      <c r="O4363" s="47" t="s">
        <v>6376</v>
      </c>
      <c r="P4363" s="47" t="s">
        <v>6377</v>
      </c>
      <c r="Q4363" s="47">
        <f t="shared" si="975"/>
        <v>0</v>
      </c>
      <c r="R4363" s="47" t="s">
        <v>7502</v>
      </c>
      <c r="S4363" s="47"/>
      <c r="T4363" s="47" t="s">
        <v>6378</v>
      </c>
      <c r="U4363" s="47"/>
      <c r="V4363" s="47"/>
      <c r="W4363" s="47"/>
      <c r="X4363" s="47"/>
      <c r="Y4363" s="47"/>
      <c r="Z4363" s="47">
        <f t="shared" si="976"/>
        <v>4620</v>
      </c>
      <c r="AA4363" s="47"/>
      <c r="AB4363" s="47"/>
      <c r="AC4363" s="47"/>
      <c r="AD4363" s="47"/>
      <c r="AE4363" s="47"/>
      <c r="AF4363" s="47">
        <f t="shared" si="977"/>
        <v>1485</v>
      </c>
      <c r="AG4363" s="47" t="s">
        <v>7503</v>
      </c>
      <c r="AH4363" s="47" t="str">
        <f>IFERROR(_xlfn.XLOOKUP(Table6[[#This Row],[Suburb]],Table5[Travel Surcharge],Table5[$$]),"")</f>
        <v/>
      </c>
      <c r="AI4363" s="47"/>
      <c r="AJ4363" s="47"/>
    </row>
    <row r="4364" spans="1:36">
      <c r="A4364" s="374" t="s">
        <v>6372</v>
      </c>
      <c r="B4364" s="374">
        <v>17</v>
      </c>
      <c r="C4364" s="374" t="s">
        <v>1261</v>
      </c>
      <c r="D4364" s="375" t="str">
        <f t="shared" si="974"/>
        <v>Underbank Estate17</v>
      </c>
      <c r="E4364" s="375" t="s">
        <v>10644</v>
      </c>
      <c r="F4364" s="375" t="s">
        <v>5592</v>
      </c>
      <c r="G4364" s="375" t="s">
        <v>6374</v>
      </c>
      <c r="H4364" s="375" t="s">
        <v>6375</v>
      </c>
      <c r="I4364" s="63"/>
      <c r="J4364" s="47" t="s">
        <v>3018</v>
      </c>
      <c r="K4364" s="46" t="s">
        <v>10735</v>
      </c>
      <c r="L4364" s="47"/>
      <c r="M4364" s="47"/>
      <c r="N4364" s="47"/>
      <c r="O4364" s="47" t="s">
        <v>6376</v>
      </c>
      <c r="P4364" s="47" t="s">
        <v>6377</v>
      </c>
      <c r="Q4364" s="47">
        <v>0</v>
      </c>
      <c r="R4364" s="47" t="s">
        <v>7502</v>
      </c>
      <c r="S4364" s="47"/>
      <c r="T4364" s="47" t="s">
        <v>6378</v>
      </c>
      <c r="U4364" s="47"/>
      <c r="V4364" s="47"/>
      <c r="W4364" s="47"/>
      <c r="X4364" s="47"/>
      <c r="Y4364" s="47"/>
      <c r="Z4364" s="47">
        <v>4620</v>
      </c>
      <c r="AA4364" s="47"/>
      <c r="AB4364" s="47"/>
      <c r="AC4364" s="47"/>
      <c r="AD4364" s="47"/>
      <c r="AE4364" s="47"/>
      <c r="AF4364" s="47">
        <v>1485</v>
      </c>
      <c r="AG4364" s="47" t="s">
        <v>7503</v>
      </c>
      <c r="AH4364" s="47" t="s">
        <v>9976</v>
      </c>
      <c r="AI4364" s="47"/>
      <c r="AJ4364" s="47"/>
    </row>
    <row r="4365" spans="1:36">
      <c r="A4365" s="374" t="s">
        <v>6372</v>
      </c>
      <c r="B4365" s="374">
        <v>21</v>
      </c>
      <c r="C4365" s="374" t="s">
        <v>1261</v>
      </c>
      <c r="D4365" s="375" t="str">
        <f t="shared" si="974"/>
        <v>Underbank Estate21</v>
      </c>
      <c r="E4365" s="375" t="s">
        <v>6390</v>
      </c>
      <c r="F4365" s="375" t="s">
        <v>5592</v>
      </c>
      <c r="G4365" s="375" t="s">
        <v>6374</v>
      </c>
      <c r="H4365" s="375" t="s">
        <v>6375</v>
      </c>
      <c r="I4365" s="63"/>
      <c r="J4365" s="47" t="s">
        <v>3018</v>
      </c>
      <c r="K4365" s="46" t="s">
        <v>10735</v>
      </c>
      <c r="L4365" s="47"/>
      <c r="M4365" s="47"/>
      <c r="N4365" s="47"/>
      <c r="O4365" s="47" t="s">
        <v>6376</v>
      </c>
      <c r="P4365" s="47" t="s">
        <v>6377</v>
      </c>
      <c r="Q4365" s="47">
        <f t="shared" si="975"/>
        <v>0</v>
      </c>
      <c r="R4365" s="47" t="s">
        <v>7502</v>
      </c>
      <c r="S4365" s="47"/>
      <c r="T4365" s="47" t="s">
        <v>6378</v>
      </c>
      <c r="U4365" s="47"/>
      <c r="V4365" s="47"/>
      <c r="W4365" s="47"/>
      <c r="X4365" s="47"/>
      <c r="Y4365" s="47"/>
      <c r="Z4365" s="47">
        <f t="shared" si="976"/>
        <v>4620</v>
      </c>
      <c r="AA4365" s="47"/>
      <c r="AB4365" s="47"/>
      <c r="AC4365" s="47"/>
      <c r="AD4365" s="47"/>
      <c r="AE4365" s="47"/>
      <c r="AF4365" s="47">
        <f t="shared" si="977"/>
        <v>1485</v>
      </c>
      <c r="AG4365" s="47" t="s">
        <v>7503</v>
      </c>
      <c r="AH4365" s="47" t="str">
        <f>IFERROR(_xlfn.XLOOKUP(Table6[[#This Row],[Suburb]],Table5[Travel Surcharge],Table5[$$]),"")</f>
        <v/>
      </c>
      <c r="AI4365" s="47"/>
      <c r="AJ4365" s="47"/>
    </row>
    <row r="4366" spans="1:36">
      <c r="A4366" s="374" t="s">
        <v>6372</v>
      </c>
      <c r="B4366" s="374">
        <v>22</v>
      </c>
      <c r="C4366" s="374" t="s">
        <v>1261</v>
      </c>
      <c r="D4366" s="375" t="str">
        <f t="shared" si="974"/>
        <v>Underbank Estate22</v>
      </c>
      <c r="E4366" s="375" t="s">
        <v>6391</v>
      </c>
      <c r="F4366" s="375" t="s">
        <v>5592</v>
      </c>
      <c r="G4366" s="375" t="s">
        <v>6374</v>
      </c>
      <c r="H4366" s="375" t="s">
        <v>6375</v>
      </c>
      <c r="I4366" s="63"/>
      <c r="J4366" s="47" t="s">
        <v>3018</v>
      </c>
      <c r="K4366" s="46" t="s">
        <v>10735</v>
      </c>
      <c r="L4366" s="47"/>
      <c r="M4366" s="47"/>
      <c r="N4366" s="47"/>
      <c r="O4366" s="47" t="s">
        <v>6376</v>
      </c>
      <c r="P4366" s="47" t="s">
        <v>6377</v>
      </c>
      <c r="Q4366" s="47">
        <f t="shared" si="975"/>
        <v>0</v>
      </c>
      <c r="R4366" s="47" t="s">
        <v>7502</v>
      </c>
      <c r="S4366" s="47"/>
      <c r="T4366" s="47" t="s">
        <v>6378</v>
      </c>
      <c r="U4366" s="47"/>
      <c r="V4366" s="47"/>
      <c r="W4366" s="47"/>
      <c r="X4366" s="47"/>
      <c r="Y4366" s="47"/>
      <c r="Z4366" s="47">
        <f t="shared" si="976"/>
        <v>4620</v>
      </c>
      <c r="AA4366" s="47"/>
      <c r="AB4366" s="47"/>
      <c r="AC4366" s="47"/>
      <c r="AD4366" s="47"/>
      <c r="AE4366" s="47"/>
      <c r="AF4366" s="47">
        <f t="shared" si="977"/>
        <v>1485</v>
      </c>
      <c r="AG4366" s="47" t="s">
        <v>7503</v>
      </c>
      <c r="AH4366" s="47" t="str">
        <f>IFERROR(_xlfn.XLOOKUP(Table6[[#This Row],[Suburb]],Table5[Travel Surcharge],Table5[$$]),"")</f>
        <v/>
      </c>
      <c r="AI4366" s="47"/>
      <c r="AJ4366" s="47"/>
    </row>
    <row r="4367" spans="1:36">
      <c r="A4367" s="374" t="s">
        <v>6372</v>
      </c>
      <c r="B4367" s="374">
        <v>23</v>
      </c>
      <c r="C4367" s="374" t="s">
        <v>1261</v>
      </c>
      <c r="D4367" s="375" t="str">
        <f t="shared" si="974"/>
        <v>Underbank Estate23</v>
      </c>
      <c r="E4367" s="375" t="s">
        <v>6392</v>
      </c>
      <c r="F4367" s="375" t="s">
        <v>5592</v>
      </c>
      <c r="G4367" s="375" t="s">
        <v>6374</v>
      </c>
      <c r="H4367" s="375" t="s">
        <v>6375</v>
      </c>
      <c r="I4367" s="63"/>
      <c r="J4367" s="47" t="s">
        <v>3018</v>
      </c>
      <c r="K4367" s="46" t="s">
        <v>10735</v>
      </c>
      <c r="L4367" s="47"/>
      <c r="M4367" s="47"/>
      <c r="N4367" s="47"/>
      <c r="O4367" s="47" t="s">
        <v>6376</v>
      </c>
      <c r="P4367" s="47" t="s">
        <v>6377</v>
      </c>
      <c r="Q4367" s="47">
        <f t="shared" si="975"/>
        <v>0</v>
      </c>
      <c r="R4367" s="47" t="s">
        <v>7502</v>
      </c>
      <c r="S4367" s="47"/>
      <c r="T4367" s="47" t="s">
        <v>6378</v>
      </c>
      <c r="U4367" s="47"/>
      <c r="V4367" s="47"/>
      <c r="W4367" s="47"/>
      <c r="X4367" s="47"/>
      <c r="Y4367" s="47"/>
      <c r="Z4367" s="47">
        <f t="shared" si="976"/>
        <v>4620</v>
      </c>
      <c r="AA4367" s="47"/>
      <c r="AB4367" s="47"/>
      <c r="AC4367" s="47"/>
      <c r="AD4367" s="47"/>
      <c r="AE4367" s="47"/>
      <c r="AF4367" s="47">
        <f t="shared" si="977"/>
        <v>1485</v>
      </c>
      <c r="AG4367" s="47" t="s">
        <v>7503</v>
      </c>
      <c r="AH4367" s="47" t="str">
        <f>IFERROR(_xlfn.XLOOKUP(Table6[[#This Row],[Suburb]],Table5[Travel Surcharge],Table5[$$]),"")</f>
        <v/>
      </c>
      <c r="AI4367" s="47"/>
      <c r="AJ4367" s="47"/>
    </row>
    <row r="4368" spans="1:36">
      <c r="A4368" s="374" t="s">
        <v>6372</v>
      </c>
      <c r="B4368" s="374" t="s">
        <v>608</v>
      </c>
      <c r="C4368" s="374" t="s">
        <v>1261</v>
      </c>
      <c r="D4368" s="375" t="str">
        <f t="shared" si="974"/>
        <v>Underbank Estate3B</v>
      </c>
      <c r="E4368" s="375" t="s">
        <v>6381</v>
      </c>
      <c r="F4368" s="375" t="s">
        <v>5592</v>
      </c>
      <c r="G4368" s="375" t="s">
        <v>6374</v>
      </c>
      <c r="H4368" s="375" t="s">
        <v>6375</v>
      </c>
      <c r="I4368" s="63"/>
      <c r="J4368" s="47" t="s">
        <v>3018</v>
      </c>
      <c r="K4368" s="46" t="s">
        <v>10735</v>
      </c>
      <c r="L4368" s="47"/>
      <c r="M4368" s="47"/>
      <c r="N4368" s="47"/>
      <c r="O4368" s="47" t="s">
        <v>6376</v>
      </c>
      <c r="P4368" s="47" t="s">
        <v>6377</v>
      </c>
      <c r="Q4368" s="47">
        <f t="shared" si="975"/>
        <v>0</v>
      </c>
      <c r="R4368" s="47" t="s">
        <v>7502</v>
      </c>
      <c r="S4368" s="47"/>
      <c r="T4368" s="47" t="s">
        <v>6378</v>
      </c>
      <c r="U4368" s="47"/>
      <c r="V4368" s="47"/>
      <c r="W4368" s="47"/>
      <c r="X4368" s="47"/>
      <c r="Y4368" s="47"/>
      <c r="Z4368" s="47">
        <f t="shared" si="976"/>
        <v>4620</v>
      </c>
      <c r="AA4368" s="47"/>
      <c r="AB4368" s="47"/>
      <c r="AC4368" s="47"/>
      <c r="AD4368" s="47"/>
      <c r="AE4368" s="47"/>
      <c r="AF4368" s="47">
        <f t="shared" si="977"/>
        <v>1485</v>
      </c>
      <c r="AG4368" s="47" t="s">
        <v>7503</v>
      </c>
      <c r="AH4368" s="47" t="str">
        <f>IFERROR(_xlfn.XLOOKUP(Table6[[#This Row],[Suburb]],Table5[Travel Surcharge],Table5[$$]),"")</f>
        <v/>
      </c>
      <c r="AI4368" s="47"/>
      <c r="AJ4368" s="47"/>
    </row>
    <row r="4369" spans="1:36">
      <c r="A4369" s="374" t="s">
        <v>6393</v>
      </c>
      <c r="B4369" s="374">
        <v>11</v>
      </c>
      <c r="C4369" s="374" t="s">
        <v>502</v>
      </c>
      <c r="D4369" s="375" t="str">
        <f t="shared" si="974"/>
        <v>Unity Park11</v>
      </c>
      <c r="E4369" s="375" t="s">
        <v>10662</v>
      </c>
      <c r="F4369" s="375" t="s">
        <v>1428</v>
      </c>
      <c r="G4369" s="375" t="s">
        <v>2405</v>
      </c>
      <c r="H4369" s="375" t="s">
        <v>2406</v>
      </c>
      <c r="I4369" s="63" t="s">
        <v>2407</v>
      </c>
      <c r="J4369" s="47">
        <v>3740</v>
      </c>
      <c r="K4369" s="46" t="s">
        <v>10735</v>
      </c>
      <c r="L4369" s="47"/>
      <c r="M4369" s="47">
        <v>1430.0000000000002</v>
      </c>
      <c r="N4369" s="47" t="s">
        <v>6395</v>
      </c>
      <c r="O4369" s="47" t="s">
        <v>6396</v>
      </c>
      <c r="P4369" s="47" t="s">
        <v>6397</v>
      </c>
      <c r="Q4369" s="47" t="s">
        <v>6398</v>
      </c>
      <c r="R4369" s="47">
        <v>540</v>
      </c>
      <c r="S4369" s="47"/>
      <c r="T4369" s="47"/>
      <c r="U4369" s="47" t="s">
        <v>2365</v>
      </c>
      <c r="V4369" s="47"/>
      <c r="W4369" s="47"/>
      <c r="X4369" s="47"/>
      <c r="Y4369" s="47"/>
      <c r="Z4369" s="47">
        <v>4620</v>
      </c>
      <c r="AA4369" s="47">
        <v>1400</v>
      </c>
      <c r="AB4369" s="47"/>
      <c r="AC4369" s="47"/>
      <c r="AD4369" s="47" t="s">
        <v>1</v>
      </c>
      <c r="AE4369" s="47"/>
      <c r="AF4369" s="47">
        <v>1485</v>
      </c>
      <c r="AG4369" s="47"/>
      <c r="AH4369" s="47" t="s">
        <v>9976</v>
      </c>
      <c r="AI4369" s="47" t="s">
        <v>6399</v>
      </c>
      <c r="AJ4369" s="47"/>
    </row>
    <row r="4370" spans="1:36">
      <c r="A4370" s="374" t="s">
        <v>6393</v>
      </c>
      <c r="B4370" s="374">
        <v>12</v>
      </c>
      <c r="C4370" s="374" t="s">
        <v>502</v>
      </c>
      <c r="D4370" s="375" t="s">
        <v>9655</v>
      </c>
      <c r="E4370" s="375" t="s">
        <v>9654</v>
      </c>
      <c r="F4370" s="375" t="s">
        <v>1428</v>
      </c>
      <c r="G4370" s="375" t="s">
        <v>2405</v>
      </c>
      <c r="H4370" s="375" t="s">
        <v>2406</v>
      </c>
      <c r="I4370" s="63" t="s">
        <v>2407</v>
      </c>
      <c r="J4370" s="47">
        <v>3740</v>
      </c>
      <c r="K4370" s="46" t="s">
        <v>10735</v>
      </c>
      <c r="L4370" s="47"/>
      <c r="M4370" s="47">
        <v>1430.0000000000002</v>
      </c>
      <c r="N4370" s="47" t="s">
        <v>6395</v>
      </c>
      <c r="O4370" s="47" t="s">
        <v>6396</v>
      </c>
      <c r="P4370" s="47" t="s">
        <v>6397</v>
      </c>
      <c r="Q4370" s="47" t="s">
        <v>6398</v>
      </c>
      <c r="R4370" s="47">
        <v>540</v>
      </c>
      <c r="S4370" s="47"/>
      <c r="T4370" s="47"/>
      <c r="U4370" s="47" t="s">
        <v>2365</v>
      </c>
      <c r="V4370" s="47"/>
      <c r="W4370" s="47"/>
      <c r="X4370" s="47"/>
      <c r="Y4370" s="47"/>
      <c r="Z4370" s="47">
        <v>4620</v>
      </c>
      <c r="AA4370" s="47">
        <v>1400</v>
      </c>
      <c r="AB4370" s="47"/>
      <c r="AC4370" s="47"/>
      <c r="AD4370" s="47" t="s">
        <v>1</v>
      </c>
      <c r="AE4370" s="47"/>
      <c r="AF4370" s="47">
        <v>1485</v>
      </c>
      <c r="AG4370" s="47"/>
      <c r="AH4370" s="47" t="str">
        <f>IFERROR(_xlfn.XLOOKUP(Table6[[#This Row],[Suburb]],Table5[Travel Surcharge],Table5[$$]),"")</f>
        <v/>
      </c>
      <c r="AI4370" s="47" t="s">
        <v>6399</v>
      </c>
      <c r="AJ4370" s="47"/>
    </row>
    <row r="4371" spans="1:36">
      <c r="A4371" s="157" t="s">
        <v>6393</v>
      </c>
      <c r="B4371" s="157">
        <v>1</v>
      </c>
      <c r="C4371" s="157" t="s">
        <v>502</v>
      </c>
      <c r="D4371" s="157" t="str">
        <f>CONCATENATE(A4371,B4371)</f>
        <v>Unity Park1</v>
      </c>
      <c r="E4371" s="157" t="s">
        <v>7930</v>
      </c>
      <c r="F4371" s="157" t="s">
        <v>1428</v>
      </c>
      <c r="G4371" s="157" t="s">
        <v>2405</v>
      </c>
      <c r="H4371" s="157" t="s">
        <v>2406</v>
      </c>
      <c r="I4371" s="158" t="s">
        <v>2407</v>
      </c>
      <c r="J4371" s="47">
        <f>J$7</f>
        <v>3740</v>
      </c>
      <c r="K4371" s="46" t="s">
        <v>10735</v>
      </c>
      <c r="L4371" s="47"/>
      <c r="M4371" s="47">
        <f>M$7</f>
        <v>1430.0000000000002</v>
      </c>
      <c r="N4371" s="47" t="s">
        <v>6395</v>
      </c>
      <c r="O4371" s="47" t="s">
        <v>6396</v>
      </c>
      <c r="P4371" s="47" t="s">
        <v>6397</v>
      </c>
      <c r="Q4371" s="47" t="s">
        <v>6398</v>
      </c>
      <c r="R4371" s="47">
        <f>R$2</f>
        <v>540</v>
      </c>
      <c r="S4371" s="47"/>
      <c r="T4371" s="47"/>
      <c r="U4371" s="47" t="s">
        <v>2365</v>
      </c>
      <c r="V4371" s="47"/>
      <c r="W4371" s="47"/>
      <c r="X4371" s="47"/>
      <c r="Y4371" s="47"/>
      <c r="Z4371" s="47">
        <f>Z$7</f>
        <v>4620</v>
      </c>
      <c r="AA4371" s="47">
        <f>AA$7</f>
        <v>1400</v>
      </c>
      <c r="AB4371" s="47"/>
      <c r="AC4371" s="47"/>
      <c r="AD4371" s="47" t="s">
        <v>1</v>
      </c>
      <c r="AE4371" s="47"/>
      <c r="AF4371" s="47">
        <f>AF$7</f>
        <v>1485</v>
      </c>
      <c r="AG4371" s="47"/>
      <c r="AH4371" s="47" t="str">
        <f>IFERROR(_xlfn.XLOOKUP(Table6[[#This Row],[Suburb]],Table5[Travel Surcharge],Table5[$$]),"")</f>
        <v/>
      </c>
      <c r="AI4371" s="47" t="s">
        <v>6399</v>
      </c>
      <c r="AJ4371" s="47"/>
    </row>
    <row r="4372" spans="1:36">
      <c r="A4372" s="374" t="s">
        <v>6393</v>
      </c>
      <c r="B4372" s="374">
        <v>2</v>
      </c>
      <c r="C4372" s="374" t="s">
        <v>502</v>
      </c>
      <c r="D4372" s="375" t="str">
        <f>CONCATENATE(A4372,B4372)</f>
        <v>Unity Park2</v>
      </c>
      <c r="E4372" s="375" t="s">
        <v>7393</v>
      </c>
      <c r="F4372" s="375" t="s">
        <v>1428</v>
      </c>
      <c r="G4372" s="375" t="s">
        <v>2405</v>
      </c>
      <c r="H4372" s="375" t="s">
        <v>2406</v>
      </c>
      <c r="I4372" s="63" t="s">
        <v>2407</v>
      </c>
      <c r="J4372" s="47">
        <f>J$7</f>
        <v>3740</v>
      </c>
      <c r="K4372" s="46" t="s">
        <v>10735</v>
      </c>
      <c r="L4372" s="47"/>
      <c r="M4372" s="47">
        <f>M$7</f>
        <v>1430.0000000000002</v>
      </c>
      <c r="N4372" s="47" t="s">
        <v>6395</v>
      </c>
      <c r="O4372" s="47" t="s">
        <v>6396</v>
      </c>
      <c r="P4372" s="47" t="s">
        <v>6397</v>
      </c>
      <c r="Q4372" s="47" t="s">
        <v>6398</v>
      </c>
      <c r="R4372" s="47">
        <f>R$2</f>
        <v>540</v>
      </c>
      <c r="S4372" s="47"/>
      <c r="T4372" s="47"/>
      <c r="U4372" s="47" t="s">
        <v>2365</v>
      </c>
      <c r="V4372" s="47"/>
      <c r="W4372" s="47"/>
      <c r="X4372" s="47"/>
      <c r="Y4372" s="47"/>
      <c r="Z4372" s="47">
        <f>Z$7</f>
        <v>4620</v>
      </c>
      <c r="AA4372" s="47">
        <f>AA$7</f>
        <v>1400</v>
      </c>
      <c r="AB4372" s="47"/>
      <c r="AC4372" s="47"/>
      <c r="AD4372" s="47" t="s">
        <v>1</v>
      </c>
      <c r="AE4372" s="47"/>
      <c r="AF4372" s="47">
        <f>AF$7</f>
        <v>1485</v>
      </c>
      <c r="AG4372" s="47"/>
      <c r="AH4372" s="47" t="str">
        <f>IFERROR(_xlfn.XLOOKUP(Table6[[#This Row],[Suburb]],Table5[Travel Surcharge],Table5[$$]),"")</f>
        <v/>
      </c>
      <c r="AI4372" s="47" t="s">
        <v>6399</v>
      </c>
      <c r="AJ4372" s="47"/>
    </row>
    <row r="4373" spans="1:36">
      <c r="A4373" s="374" t="s">
        <v>6393</v>
      </c>
      <c r="B4373" s="374">
        <v>8</v>
      </c>
      <c r="C4373" s="374" t="s">
        <v>502</v>
      </c>
      <c r="D4373" s="375" t="s">
        <v>9345</v>
      </c>
      <c r="E4373" s="375" t="s">
        <v>9346</v>
      </c>
      <c r="F4373" s="375" t="s">
        <v>1428</v>
      </c>
      <c r="G4373" s="375" t="s">
        <v>2405</v>
      </c>
      <c r="H4373" s="375" t="s">
        <v>2406</v>
      </c>
      <c r="I4373" s="63" t="s">
        <v>2407</v>
      </c>
      <c r="J4373" s="47">
        <v>3740</v>
      </c>
      <c r="K4373" s="46" t="s">
        <v>10735</v>
      </c>
      <c r="L4373" s="47"/>
      <c r="M4373" s="47">
        <v>1430.0000000000002</v>
      </c>
      <c r="N4373" s="47" t="s">
        <v>6395</v>
      </c>
      <c r="O4373" s="47" t="s">
        <v>6396</v>
      </c>
      <c r="P4373" s="47" t="s">
        <v>6397</v>
      </c>
      <c r="Q4373" s="47" t="s">
        <v>6398</v>
      </c>
      <c r="R4373" s="47">
        <v>540</v>
      </c>
      <c r="S4373" s="47"/>
      <c r="T4373" s="47"/>
      <c r="U4373" s="47" t="s">
        <v>2365</v>
      </c>
      <c r="V4373" s="47"/>
      <c r="W4373" s="47"/>
      <c r="X4373" s="47"/>
      <c r="Y4373" s="47"/>
      <c r="Z4373" s="47">
        <v>4620</v>
      </c>
      <c r="AA4373" s="47">
        <v>1400</v>
      </c>
      <c r="AB4373" s="47"/>
      <c r="AC4373" s="47"/>
      <c r="AD4373" s="47" t="s">
        <v>1</v>
      </c>
      <c r="AE4373" s="47"/>
      <c r="AF4373" s="47">
        <v>1650.0000000000002</v>
      </c>
      <c r="AG4373" s="47"/>
      <c r="AH4373" s="47" t="str">
        <f>IFERROR(_xlfn.XLOOKUP(Table6[[#This Row],[Suburb]],Table5[Travel Surcharge],Table5[$$]),"")</f>
        <v/>
      </c>
      <c r="AI4373" s="47" t="s">
        <v>6399</v>
      </c>
      <c r="AJ4373" s="47"/>
    </row>
    <row r="4374" spans="1:36">
      <c r="A4374" s="374" t="s">
        <v>6393</v>
      </c>
      <c r="B4374" s="374">
        <v>3</v>
      </c>
      <c r="C4374" s="374" t="s">
        <v>502</v>
      </c>
      <c r="D4374" s="375" t="str">
        <f>CONCATENATE(A4374,B4374)</f>
        <v>Unity Park3</v>
      </c>
      <c r="E4374" s="375" t="s">
        <v>6394</v>
      </c>
      <c r="F4374" s="375" t="s">
        <v>1428</v>
      </c>
      <c r="G4374" s="375" t="s">
        <v>2405</v>
      </c>
      <c r="H4374" s="375" t="s">
        <v>2406</v>
      </c>
      <c r="I4374" s="63" t="s">
        <v>2407</v>
      </c>
      <c r="J4374" s="47">
        <f>J$7</f>
        <v>3740</v>
      </c>
      <c r="K4374" s="46" t="s">
        <v>10735</v>
      </c>
      <c r="L4374" s="47" t="s">
        <v>1762</v>
      </c>
      <c r="M4374" s="47">
        <f>M$7</f>
        <v>1430.0000000000002</v>
      </c>
      <c r="N4374" s="47" t="s">
        <v>6395</v>
      </c>
      <c r="O4374" s="47" t="s">
        <v>6396</v>
      </c>
      <c r="P4374" s="47" t="s">
        <v>6397</v>
      </c>
      <c r="Q4374" s="47" t="s">
        <v>6398</v>
      </c>
      <c r="R4374" s="47">
        <f>R$2</f>
        <v>540</v>
      </c>
      <c r="S4374" s="47"/>
      <c r="T4374" s="47"/>
      <c r="U4374" s="47" t="s">
        <v>2365</v>
      </c>
      <c r="V4374" s="47"/>
      <c r="W4374" s="47"/>
      <c r="X4374" s="47"/>
      <c r="Y4374" s="47"/>
      <c r="Z4374" s="47">
        <f>Z$7</f>
        <v>4620</v>
      </c>
      <c r="AA4374" s="47">
        <f>AA$7</f>
        <v>1400</v>
      </c>
      <c r="AB4374" s="47"/>
      <c r="AC4374" s="47"/>
      <c r="AD4374" s="47" t="s">
        <v>1</v>
      </c>
      <c r="AE4374" s="47"/>
      <c r="AF4374" s="47">
        <f>AF$7</f>
        <v>1485</v>
      </c>
      <c r="AG4374" s="47"/>
      <c r="AH4374" s="47" t="str">
        <f>IFERROR(_xlfn.XLOOKUP(Table6[[#This Row],[Suburb]],Table5[Travel Surcharge],Table5[$$]),"")</f>
        <v/>
      </c>
      <c r="AI4374" s="47" t="s">
        <v>6399</v>
      </c>
      <c r="AJ4374" s="47"/>
    </row>
    <row r="4375" spans="1:36">
      <c r="A4375" s="374" t="s">
        <v>6393</v>
      </c>
      <c r="B4375" s="374">
        <v>4</v>
      </c>
      <c r="C4375" s="374" t="s">
        <v>502</v>
      </c>
      <c r="D4375" s="375" t="str">
        <f>CONCATENATE(A4375,B4375)</f>
        <v>Unity Park4</v>
      </c>
      <c r="E4375" s="375" t="s">
        <v>6400</v>
      </c>
      <c r="F4375" s="375" t="s">
        <v>1428</v>
      </c>
      <c r="G4375" s="375" t="s">
        <v>2405</v>
      </c>
      <c r="H4375" s="375" t="s">
        <v>2406</v>
      </c>
      <c r="I4375" s="63" t="s">
        <v>2407</v>
      </c>
      <c r="J4375" s="47">
        <f>J$7</f>
        <v>3740</v>
      </c>
      <c r="K4375" s="46" t="s">
        <v>10735</v>
      </c>
      <c r="L4375" s="47" t="s">
        <v>1762</v>
      </c>
      <c r="M4375" s="47">
        <f>M$7</f>
        <v>1430.0000000000002</v>
      </c>
      <c r="N4375" s="47" t="s">
        <v>6395</v>
      </c>
      <c r="O4375" s="47" t="s">
        <v>6396</v>
      </c>
      <c r="P4375" s="47" t="s">
        <v>6397</v>
      </c>
      <c r="Q4375" s="47" t="s">
        <v>6398</v>
      </c>
      <c r="R4375" s="47">
        <f>R$2</f>
        <v>540</v>
      </c>
      <c r="S4375" s="47"/>
      <c r="T4375" s="47"/>
      <c r="U4375" s="47" t="s">
        <v>2365</v>
      </c>
      <c r="V4375" s="47"/>
      <c r="W4375" s="47"/>
      <c r="X4375" s="47"/>
      <c r="Y4375" s="47"/>
      <c r="Z4375" s="47">
        <f>Z$7</f>
        <v>4620</v>
      </c>
      <c r="AA4375" s="47">
        <f>AA$7</f>
        <v>1400</v>
      </c>
      <c r="AB4375" s="47"/>
      <c r="AC4375" s="47"/>
      <c r="AD4375" s="47" t="s">
        <v>1</v>
      </c>
      <c r="AE4375" s="47"/>
      <c r="AF4375" s="47">
        <f>AF$7</f>
        <v>1485</v>
      </c>
      <c r="AG4375" s="47"/>
      <c r="AH4375" s="47" t="str">
        <f>IFERROR(_xlfn.XLOOKUP(Table6[[#This Row],[Suburb]],Table5[Travel Surcharge],Table5[$$]),"")</f>
        <v/>
      </c>
      <c r="AI4375" s="47" t="s">
        <v>6399</v>
      </c>
      <c r="AJ4375" s="47"/>
    </row>
    <row r="4376" spans="1:36">
      <c r="A4376" s="374" t="s">
        <v>6393</v>
      </c>
      <c r="B4376" s="374">
        <v>9</v>
      </c>
      <c r="C4376" s="374" t="s">
        <v>502</v>
      </c>
      <c r="D4376" s="375" t="s">
        <v>9308</v>
      </c>
      <c r="E4376" s="375" t="s">
        <v>9309</v>
      </c>
      <c r="F4376" s="375" t="s">
        <v>1428</v>
      </c>
      <c r="G4376" s="375" t="s">
        <v>2405</v>
      </c>
      <c r="H4376" s="375" t="s">
        <v>2406</v>
      </c>
      <c r="I4376" s="63" t="s">
        <v>2407</v>
      </c>
      <c r="J4376" s="47">
        <v>3740</v>
      </c>
      <c r="K4376" s="46" t="s">
        <v>10735</v>
      </c>
      <c r="L4376" s="47" t="s">
        <v>1762</v>
      </c>
      <c r="M4376" s="47">
        <v>1430.0000000000002</v>
      </c>
      <c r="N4376" s="47" t="s">
        <v>6395</v>
      </c>
      <c r="O4376" s="47" t="s">
        <v>6396</v>
      </c>
      <c r="P4376" s="47" t="s">
        <v>6397</v>
      </c>
      <c r="Q4376" s="47" t="s">
        <v>6398</v>
      </c>
      <c r="R4376" s="47">
        <v>540</v>
      </c>
      <c r="S4376" s="47"/>
      <c r="T4376" s="47"/>
      <c r="U4376" s="47" t="s">
        <v>2365</v>
      </c>
      <c r="V4376" s="47"/>
      <c r="W4376" s="47"/>
      <c r="X4376" s="47"/>
      <c r="Y4376" s="47"/>
      <c r="Z4376" s="47">
        <v>4620</v>
      </c>
      <c r="AA4376" s="47">
        <v>1400</v>
      </c>
      <c r="AB4376" s="47"/>
      <c r="AC4376" s="47"/>
      <c r="AD4376" s="47" t="s">
        <v>1</v>
      </c>
      <c r="AE4376" s="47"/>
      <c r="AF4376" s="47">
        <v>1650.0000000000002</v>
      </c>
      <c r="AG4376" s="47"/>
      <c r="AH4376" s="47" t="str">
        <f>IFERROR(_xlfn.XLOOKUP(Table6[[#This Row],[Suburb]],Table5[Travel Surcharge],Table5[$$]),"")</f>
        <v/>
      </c>
      <c r="AI4376" s="47" t="s">
        <v>6399</v>
      </c>
      <c r="AJ4376" s="47"/>
    </row>
    <row r="4377" spans="1:36">
      <c r="A4377" s="374" t="s">
        <v>6393</v>
      </c>
      <c r="B4377" s="374">
        <v>5</v>
      </c>
      <c r="C4377" s="374" t="s">
        <v>502</v>
      </c>
      <c r="D4377" s="375" t="str">
        <f t="shared" ref="D4377:D4424" si="978">CONCATENATE(A4377,B4377)</f>
        <v>Unity Park5</v>
      </c>
      <c r="E4377" s="375" t="s">
        <v>6401</v>
      </c>
      <c r="F4377" s="375" t="s">
        <v>1428</v>
      </c>
      <c r="G4377" s="375" t="s">
        <v>2405</v>
      </c>
      <c r="H4377" s="375" t="s">
        <v>2406</v>
      </c>
      <c r="I4377" s="63" t="s">
        <v>2407</v>
      </c>
      <c r="J4377" s="47">
        <f t="shared" ref="J4377:J4408" si="979">J$7</f>
        <v>3740</v>
      </c>
      <c r="K4377" s="46" t="s">
        <v>10735</v>
      </c>
      <c r="L4377" s="47" t="s">
        <v>1762</v>
      </c>
      <c r="M4377" s="47">
        <f>M$7</f>
        <v>1430.0000000000002</v>
      </c>
      <c r="N4377" s="47" t="s">
        <v>6395</v>
      </c>
      <c r="O4377" s="47" t="s">
        <v>6396</v>
      </c>
      <c r="P4377" s="47" t="s">
        <v>6397</v>
      </c>
      <c r="Q4377" s="47" t="s">
        <v>6398</v>
      </c>
      <c r="R4377" s="47">
        <f>R$2</f>
        <v>540</v>
      </c>
      <c r="S4377" s="47"/>
      <c r="T4377" s="47"/>
      <c r="U4377" s="47" t="s">
        <v>2365</v>
      </c>
      <c r="V4377" s="47"/>
      <c r="W4377" s="47"/>
      <c r="X4377" s="47"/>
      <c r="Y4377" s="47"/>
      <c r="Z4377" s="47">
        <f t="shared" ref="Z4377:AA4408" si="980">Z$7</f>
        <v>4620</v>
      </c>
      <c r="AA4377" s="47">
        <f t="shared" si="980"/>
        <v>1400</v>
      </c>
      <c r="AB4377" s="47"/>
      <c r="AC4377" s="47"/>
      <c r="AD4377" s="47" t="s">
        <v>1</v>
      </c>
      <c r="AE4377" s="47"/>
      <c r="AF4377" s="47">
        <f>AF$7</f>
        <v>1485</v>
      </c>
      <c r="AG4377" s="47"/>
      <c r="AH4377" s="47" t="str">
        <f>IFERROR(_xlfn.XLOOKUP(Table6[[#This Row],[Suburb]],Table5[Travel Surcharge],Table5[$$]),"")</f>
        <v/>
      </c>
      <c r="AI4377" s="47" t="s">
        <v>6399</v>
      </c>
      <c r="AJ4377" s="47"/>
    </row>
    <row r="4378" spans="1:36">
      <c r="A4378" s="374" t="s">
        <v>6393</v>
      </c>
      <c r="B4378" s="374">
        <v>13</v>
      </c>
      <c r="C4378" s="374" t="s">
        <v>502</v>
      </c>
      <c r="D4378" s="375" t="str">
        <f t="shared" si="978"/>
        <v>Unity Park13</v>
      </c>
      <c r="E4378" s="375" t="s">
        <v>11000</v>
      </c>
      <c r="F4378" s="375" t="s">
        <v>1428</v>
      </c>
      <c r="G4378" s="375" t="s">
        <v>2405</v>
      </c>
      <c r="H4378" s="375" t="s">
        <v>2406</v>
      </c>
      <c r="I4378" s="63" t="s">
        <v>2407</v>
      </c>
      <c r="J4378" s="47">
        <v>3740</v>
      </c>
      <c r="K4378" s="46" t="s">
        <v>10735</v>
      </c>
      <c r="L4378" s="47"/>
      <c r="M4378" s="47">
        <v>1430.0000000000002</v>
      </c>
      <c r="N4378" s="47" t="s">
        <v>6395</v>
      </c>
      <c r="O4378" s="47" t="s">
        <v>6396</v>
      </c>
      <c r="P4378" s="47" t="s">
        <v>6397</v>
      </c>
      <c r="Q4378" s="47" t="s">
        <v>6398</v>
      </c>
      <c r="R4378" s="47">
        <v>540</v>
      </c>
      <c r="S4378" s="47"/>
      <c r="T4378" s="47"/>
      <c r="U4378" s="47" t="s">
        <v>2365</v>
      </c>
      <c r="V4378" s="47"/>
      <c r="W4378" s="47"/>
      <c r="X4378" s="47"/>
      <c r="Y4378" s="47"/>
      <c r="Z4378" s="47">
        <v>4620</v>
      </c>
      <c r="AA4378" s="47">
        <v>1400</v>
      </c>
      <c r="AB4378" s="47"/>
      <c r="AC4378" s="47"/>
      <c r="AD4378" s="47" t="s">
        <v>1</v>
      </c>
      <c r="AE4378" s="47"/>
      <c r="AF4378" s="47">
        <v>1485</v>
      </c>
      <c r="AG4378" s="47"/>
      <c r="AH4378" s="47" t="s">
        <v>9976</v>
      </c>
      <c r="AI4378" s="47" t="s">
        <v>6399</v>
      </c>
      <c r="AJ4378" s="47"/>
    </row>
    <row r="4379" spans="1:36">
      <c r="A4379" s="374" t="s">
        <v>6402</v>
      </c>
      <c r="B4379" s="374">
        <v>4</v>
      </c>
      <c r="C4379" s="374" t="s">
        <v>1590</v>
      </c>
      <c r="D4379" s="375" t="str">
        <f t="shared" si="978"/>
        <v>Upper Point Cook Estate4</v>
      </c>
      <c r="E4379" s="375" t="s">
        <v>6403</v>
      </c>
      <c r="F4379" s="375" t="s">
        <v>5298</v>
      </c>
      <c r="G4379" s="375" t="s">
        <v>6404</v>
      </c>
      <c r="H4379" s="375" t="s">
        <v>6405</v>
      </c>
      <c r="I4379" s="63" t="s">
        <v>6406</v>
      </c>
      <c r="J4379" s="47">
        <f t="shared" si="979"/>
        <v>3740</v>
      </c>
      <c r="K4379" s="46" t="s">
        <v>10735</v>
      </c>
      <c r="L4379" s="47" t="s">
        <v>6407</v>
      </c>
      <c r="M4379" s="47"/>
      <c r="N4379" s="47"/>
      <c r="O4379" s="47"/>
      <c r="P4379" s="47"/>
      <c r="Q4379" s="47"/>
      <c r="R4379" s="47"/>
      <c r="S4379" s="47"/>
      <c r="T4379" s="47"/>
      <c r="U4379" s="47">
        <f t="shared" ref="U4379:U4408" si="981">U$2</f>
        <v>430</v>
      </c>
      <c r="V4379" s="47"/>
      <c r="W4379" s="47"/>
      <c r="X4379" s="47"/>
      <c r="Y4379" s="47"/>
      <c r="Z4379" s="47">
        <f t="shared" si="980"/>
        <v>4620</v>
      </c>
      <c r="AA4379" s="47">
        <f t="shared" si="980"/>
        <v>1400</v>
      </c>
      <c r="AB4379" s="47"/>
      <c r="AC4379" s="47"/>
      <c r="AD4379" s="47"/>
      <c r="AE4379" s="47"/>
      <c r="AF4379" s="47"/>
      <c r="AG4379" s="47"/>
      <c r="AH4379" s="47" t="str">
        <f>IFERROR(_xlfn.XLOOKUP(Table6[[#This Row],[Suburb]],Table5[Travel Surcharge],Table5[$$]),"")</f>
        <v/>
      </c>
      <c r="AI4379" s="47"/>
      <c r="AJ4379" s="47"/>
    </row>
    <row r="4380" spans="1:36">
      <c r="A4380" s="374" t="s">
        <v>6402</v>
      </c>
      <c r="B4380" s="374">
        <v>5</v>
      </c>
      <c r="C4380" s="374" t="s">
        <v>1590</v>
      </c>
      <c r="D4380" s="375" t="str">
        <f t="shared" si="978"/>
        <v>Upper Point Cook Estate5</v>
      </c>
      <c r="E4380" s="375" t="s">
        <v>6408</v>
      </c>
      <c r="F4380" s="375" t="s">
        <v>5298</v>
      </c>
      <c r="G4380" s="375" t="s">
        <v>6404</v>
      </c>
      <c r="H4380" s="375" t="s">
        <v>6405</v>
      </c>
      <c r="I4380" s="63" t="s">
        <v>6406</v>
      </c>
      <c r="J4380" s="47">
        <f t="shared" si="979"/>
        <v>3740</v>
      </c>
      <c r="K4380" s="46" t="s">
        <v>10735</v>
      </c>
      <c r="L4380" s="47" t="s">
        <v>6407</v>
      </c>
      <c r="M4380" s="47"/>
      <c r="N4380" s="47"/>
      <c r="O4380" s="47"/>
      <c r="P4380" s="47"/>
      <c r="Q4380" s="47"/>
      <c r="R4380" s="47"/>
      <c r="S4380" s="47"/>
      <c r="T4380" s="47"/>
      <c r="U4380" s="47">
        <f t="shared" si="981"/>
        <v>430</v>
      </c>
      <c r="V4380" s="47"/>
      <c r="W4380" s="47"/>
      <c r="X4380" s="47"/>
      <c r="Y4380" s="47"/>
      <c r="Z4380" s="47">
        <f t="shared" si="980"/>
        <v>4620</v>
      </c>
      <c r="AA4380" s="47">
        <f t="shared" si="980"/>
        <v>1400</v>
      </c>
      <c r="AB4380" s="47"/>
      <c r="AC4380" s="47"/>
      <c r="AD4380" s="47"/>
      <c r="AE4380" s="47"/>
      <c r="AF4380" s="47"/>
      <c r="AG4380" s="47"/>
      <c r="AH4380" s="47" t="str">
        <f>IFERROR(_xlfn.XLOOKUP(Table6[[#This Row],[Suburb]],Table5[Travel Surcharge],Table5[$$]),"")</f>
        <v/>
      </c>
      <c r="AI4380" s="47"/>
      <c r="AJ4380" s="47"/>
    </row>
    <row r="4381" spans="1:36">
      <c r="A4381" s="374" t="s">
        <v>6402</v>
      </c>
      <c r="B4381" s="374">
        <v>6</v>
      </c>
      <c r="C4381" s="374" t="s">
        <v>1590</v>
      </c>
      <c r="D4381" s="375" t="str">
        <f t="shared" si="978"/>
        <v>Upper Point Cook Estate6</v>
      </c>
      <c r="E4381" s="375" t="s">
        <v>6409</v>
      </c>
      <c r="F4381" s="375" t="s">
        <v>5298</v>
      </c>
      <c r="G4381" s="375" t="s">
        <v>6404</v>
      </c>
      <c r="H4381" s="375" t="s">
        <v>6405</v>
      </c>
      <c r="I4381" s="63" t="s">
        <v>6406</v>
      </c>
      <c r="J4381" s="47">
        <f t="shared" si="979"/>
        <v>3740</v>
      </c>
      <c r="K4381" s="46" t="s">
        <v>10735</v>
      </c>
      <c r="L4381" s="47" t="s">
        <v>6407</v>
      </c>
      <c r="M4381" s="47"/>
      <c r="N4381" s="47"/>
      <c r="O4381" s="47"/>
      <c r="P4381" s="47"/>
      <c r="Q4381" s="47"/>
      <c r="R4381" s="47"/>
      <c r="S4381" s="47"/>
      <c r="T4381" s="47"/>
      <c r="U4381" s="47">
        <f t="shared" si="981"/>
        <v>430</v>
      </c>
      <c r="V4381" s="47"/>
      <c r="W4381" s="47"/>
      <c r="X4381" s="47"/>
      <c r="Y4381" s="47"/>
      <c r="Z4381" s="47">
        <f t="shared" si="980"/>
        <v>4620</v>
      </c>
      <c r="AA4381" s="47">
        <f t="shared" si="980"/>
        <v>1400</v>
      </c>
      <c r="AB4381" s="47"/>
      <c r="AC4381" s="47"/>
      <c r="AD4381" s="47"/>
      <c r="AE4381" s="47"/>
      <c r="AF4381" s="47"/>
      <c r="AG4381" s="47"/>
      <c r="AH4381" s="47" t="str">
        <f>IFERROR(_xlfn.XLOOKUP(Table6[[#This Row],[Suburb]],Table5[Travel Surcharge],Table5[$$]),"")</f>
        <v/>
      </c>
      <c r="AI4381" s="47"/>
      <c r="AJ4381" s="47"/>
    </row>
    <row r="4382" spans="1:36">
      <c r="A4382" s="374" t="s">
        <v>6402</v>
      </c>
      <c r="B4382" s="374">
        <v>9</v>
      </c>
      <c r="C4382" s="374" t="s">
        <v>1590</v>
      </c>
      <c r="D4382" s="375" t="str">
        <f t="shared" si="978"/>
        <v>Upper Point Cook Estate9</v>
      </c>
      <c r="E4382" s="375" t="s">
        <v>6410</v>
      </c>
      <c r="F4382" s="375" t="s">
        <v>5298</v>
      </c>
      <c r="G4382" s="375" t="s">
        <v>6404</v>
      </c>
      <c r="H4382" s="375" t="s">
        <v>6405</v>
      </c>
      <c r="I4382" s="63" t="s">
        <v>6406</v>
      </c>
      <c r="J4382" s="47">
        <f t="shared" si="979"/>
        <v>3740</v>
      </c>
      <c r="K4382" s="46" t="s">
        <v>10735</v>
      </c>
      <c r="L4382" s="47" t="s">
        <v>6407</v>
      </c>
      <c r="M4382" s="47"/>
      <c r="N4382" s="47"/>
      <c r="O4382" s="47"/>
      <c r="P4382" s="47"/>
      <c r="Q4382" s="47"/>
      <c r="R4382" s="47"/>
      <c r="S4382" s="47"/>
      <c r="T4382" s="47"/>
      <c r="U4382" s="47">
        <f t="shared" si="981"/>
        <v>430</v>
      </c>
      <c r="V4382" s="47"/>
      <c r="W4382" s="47"/>
      <c r="X4382" s="47"/>
      <c r="Y4382" s="47"/>
      <c r="Z4382" s="47">
        <f t="shared" si="980"/>
        <v>4620</v>
      </c>
      <c r="AA4382" s="47">
        <f t="shared" si="980"/>
        <v>1400</v>
      </c>
      <c r="AB4382" s="47"/>
      <c r="AC4382" s="47"/>
      <c r="AD4382" s="47"/>
      <c r="AE4382" s="47"/>
      <c r="AF4382" s="47"/>
      <c r="AG4382" s="47"/>
      <c r="AH4382" s="47" t="str">
        <f>IFERROR(_xlfn.XLOOKUP(Table6[[#This Row],[Suburb]],Table5[Travel Surcharge],Table5[$$]),"")</f>
        <v/>
      </c>
      <c r="AI4382" s="47"/>
      <c r="AJ4382" s="47"/>
    </row>
    <row r="4383" spans="1:36">
      <c r="A4383" s="374" t="s">
        <v>6402</v>
      </c>
      <c r="B4383" s="374">
        <v>12</v>
      </c>
      <c r="C4383" s="374" t="s">
        <v>1590</v>
      </c>
      <c r="D4383" s="375" t="str">
        <f t="shared" si="978"/>
        <v>Upper Point Cook Estate12</v>
      </c>
      <c r="E4383" s="375" t="s">
        <v>6411</v>
      </c>
      <c r="F4383" s="375" t="s">
        <v>5298</v>
      </c>
      <c r="G4383" s="375" t="s">
        <v>6404</v>
      </c>
      <c r="H4383" s="375" t="s">
        <v>6405</v>
      </c>
      <c r="I4383" s="63" t="s">
        <v>6406</v>
      </c>
      <c r="J4383" s="47">
        <f t="shared" si="979"/>
        <v>3740</v>
      </c>
      <c r="K4383" s="46" t="s">
        <v>10735</v>
      </c>
      <c r="L4383" s="47" t="s">
        <v>6407</v>
      </c>
      <c r="M4383" s="47"/>
      <c r="N4383" s="47"/>
      <c r="O4383" s="47"/>
      <c r="P4383" s="47"/>
      <c r="Q4383" s="47"/>
      <c r="R4383" s="47"/>
      <c r="S4383" s="47"/>
      <c r="T4383" s="47"/>
      <c r="U4383" s="47">
        <f t="shared" si="981"/>
        <v>430</v>
      </c>
      <c r="V4383" s="47"/>
      <c r="W4383" s="47"/>
      <c r="X4383" s="47"/>
      <c r="Y4383" s="47"/>
      <c r="Z4383" s="47">
        <f t="shared" si="980"/>
        <v>4620</v>
      </c>
      <c r="AA4383" s="47">
        <f t="shared" si="980"/>
        <v>1400</v>
      </c>
      <c r="AB4383" s="47"/>
      <c r="AC4383" s="47"/>
      <c r="AD4383" s="47"/>
      <c r="AE4383" s="47"/>
      <c r="AF4383" s="47"/>
      <c r="AG4383" s="47"/>
      <c r="AH4383" s="47" t="str">
        <f>IFERROR(_xlfn.XLOOKUP(Table6[[#This Row],[Suburb]],Table5[Travel Surcharge],Table5[$$]),"")</f>
        <v/>
      </c>
      <c r="AI4383" s="47"/>
      <c r="AJ4383" s="47"/>
    </row>
    <row r="4384" spans="1:36">
      <c r="A4384" s="374" t="s">
        <v>6402</v>
      </c>
      <c r="B4384" s="374">
        <v>13</v>
      </c>
      <c r="C4384" s="374" t="s">
        <v>1590</v>
      </c>
      <c r="D4384" s="375" t="str">
        <f t="shared" si="978"/>
        <v>Upper Point Cook Estate13</v>
      </c>
      <c r="E4384" s="375" t="s">
        <v>6412</v>
      </c>
      <c r="F4384" s="375" t="s">
        <v>5298</v>
      </c>
      <c r="G4384" s="375" t="s">
        <v>6404</v>
      </c>
      <c r="H4384" s="375" t="s">
        <v>6405</v>
      </c>
      <c r="I4384" s="63" t="s">
        <v>6406</v>
      </c>
      <c r="J4384" s="47">
        <f t="shared" si="979"/>
        <v>3740</v>
      </c>
      <c r="K4384" s="46" t="s">
        <v>10735</v>
      </c>
      <c r="L4384" s="47" t="s">
        <v>6407</v>
      </c>
      <c r="M4384" s="47"/>
      <c r="N4384" s="47"/>
      <c r="O4384" s="47"/>
      <c r="P4384" s="47"/>
      <c r="Q4384" s="47"/>
      <c r="R4384" s="47"/>
      <c r="S4384" s="47"/>
      <c r="T4384" s="47"/>
      <c r="U4384" s="47">
        <f t="shared" si="981"/>
        <v>430</v>
      </c>
      <c r="V4384" s="47"/>
      <c r="W4384" s="47"/>
      <c r="X4384" s="47"/>
      <c r="Y4384" s="47"/>
      <c r="Z4384" s="47">
        <f t="shared" si="980"/>
        <v>4620</v>
      </c>
      <c r="AA4384" s="47">
        <f t="shared" si="980"/>
        <v>1400</v>
      </c>
      <c r="AB4384" s="47"/>
      <c r="AC4384" s="47"/>
      <c r="AD4384" s="47"/>
      <c r="AE4384" s="47"/>
      <c r="AF4384" s="47"/>
      <c r="AG4384" s="47"/>
      <c r="AH4384" s="47" t="str">
        <f>IFERROR(_xlfn.XLOOKUP(Table6[[#This Row],[Suburb]],Table5[Travel Surcharge],Table5[$$]),"")</f>
        <v/>
      </c>
      <c r="AI4384" s="47"/>
      <c r="AJ4384" s="47"/>
    </row>
    <row r="4385" spans="1:36">
      <c r="A4385" s="374" t="s">
        <v>6402</v>
      </c>
      <c r="B4385" s="374">
        <v>14</v>
      </c>
      <c r="C4385" s="374" t="s">
        <v>1590</v>
      </c>
      <c r="D4385" s="375" t="str">
        <f t="shared" si="978"/>
        <v>Upper Point Cook Estate14</v>
      </c>
      <c r="E4385" s="375" t="s">
        <v>6413</v>
      </c>
      <c r="F4385" s="375" t="s">
        <v>5298</v>
      </c>
      <c r="G4385" s="375" t="s">
        <v>6404</v>
      </c>
      <c r="H4385" s="375" t="s">
        <v>6405</v>
      </c>
      <c r="I4385" s="63" t="s">
        <v>6406</v>
      </c>
      <c r="J4385" s="47">
        <f t="shared" si="979"/>
        <v>3740</v>
      </c>
      <c r="K4385" s="46" t="s">
        <v>10735</v>
      </c>
      <c r="L4385" s="47" t="s">
        <v>6407</v>
      </c>
      <c r="M4385" s="47"/>
      <c r="N4385" s="47"/>
      <c r="O4385" s="47"/>
      <c r="P4385" s="47"/>
      <c r="Q4385" s="47"/>
      <c r="R4385" s="47"/>
      <c r="S4385" s="47"/>
      <c r="T4385" s="47"/>
      <c r="U4385" s="47">
        <f t="shared" si="981"/>
        <v>430</v>
      </c>
      <c r="V4385" s="47"/>
      <c r="W4385" s="47"/>
      <c r="X4385" s="47"/>
      <c r="Y4385" s="47"/>
      <c r="Z4385" s="47">
        <f t="shared" si="980"/>
        <v>4620</v>
      </c>
      <c r="AA4385" s="47">
        <f t="shared" si="980"/>
        <v>1400</v>
      </c>
      <c r="AB4385" s="47"/>
      <c r="AC4385" s="47"/>
      <c r="AD4385" s="47"/>
      <c r="AE4385" s="47"/>
      <c r="AF4385" s="47"/>
      <c r="AG4385" s="47"/>
      <c r="AH4385" s="47" t="str">
        <f>IFERROR(_xlfn.XLOOKUP(Table6[[#This Row],[Suburb]],Table5[Travel Surcharge],Table5[$$]),"")</f>
        <v/>
      </c>
      <c r="AI4385" s="47"/>
      <c r="AJ4385" s="47"/>
    </row>
    <row r="4386" spans="1:36">
      <c r="A4386" s="374" t="s">
        <v>6402</v>
      </c>
      <c r="B4386" s="374">
        <v>15</v>
      </c>
      <c r="C4386" s="374" t="s">
        <v>1590</v>
      </c>
      <c r="D4386" s="375" t="str">
        <f t="shared" si="978"/>
        <v>Upper Point Cook Estate15</v>
      </c>
      <c r="E4386" s="375" t="s">
        <v>6414</v>
      </c>
      <c r="F4386" s="375" t="s">
        <v>5298</v>
      </c>
      <c r="G4386" s="375" t="s">
        <v>6404</v>
      </c>
      <c r="H4386" s="375" t="s">
        <v>6405</v>
      </c>
      <c r="I4386" s="63" t="s">
        <v>6406</v>
      </c>
      <c r="J4386" s="47">
        <f t="shared" si="979"/>
        <v>3740</v>
      </c>
      <c r="K4386" s="46" t="s">
        <v>10735</v>
      </c>
      <c r="L4386" s="47" t="s">
        <v>6407</v>
      </c>
      <c r="M4386" s="47"/>
      <c r="N4386" s="47"/>
      <c r="O4386" s="47"/>
      <c r="P4386" s="47"/>
      <c r="Q4386" s="47"/>
      <c r="R4386" s="47"/>
      <c r="S4386" s="47"/>
      <c r="T4386" s="47"/>
      <c r="U4386" s="47">
        <f t="shared" si="981"/>
        <v>430</v>
      </c>
      <c r="V4386" s="47"/>
      <c r="W4386" s="47"/>
      <c r="X4386" s="47"/>
      <c r="Y4386" s="47"/>
      <c r="Z4386" s="47">
        <f t="shared" si="980"/>
        <v>4620</v>
      </c>
      <c r="AA4386" s="47">
        <f t="shared" si="980"/>
        <v>1400</v>
      </c>
      <c r="AB4386" s="47"/>
      <c r="AC4386" s="47"/>
      <c r="AD4386" s="47"/>
      <c r="AE4386" s="47"/>
      <c r="AF4386" s="47"/>
      <c r="AG4386" s="47"/>
      <c r="AH4386" s="47" t="str">
        <f>IFERROR(_xlfn.XLOOKUP(Table6[[#This Row],[Suburb]],Table5[Travel Surcharge],Table5[$$]),"")</f>
        <v/>
      </c>
      <c r="AI4386" s="47"/>
      <c r="AJ4386" s="47"/>
    </row>
    <row r="4387" spans="1:36">
      <c r="A4387" s="374" t="s">
        <v>6402</v>
      </c>
      <c r="B4387" s="374">
        <v>16</v>
      </c>
      <c r="C4387" s="374" t="s">
        <v>1590</v>
      </c>
      <c r="D4387" s="375" t="str">
        <f t="shared" si="978"/>
        <v>Upper Point Cook Estate16</v>
      </c>
      <c r="E4387" s="375" t="s">
        <v>6415</v>
      </c>
      <c r="F4387" s="375" t="s">
        <v>5298</v>
      </c>
      <c r="G4387" s="375" t="s">
        <v>6404</v>
      </c>
      <c r="H4387" s="375" t="s">
        <v>6405</v>
      </c>
      <c r="I4387" s="63" t="s">
        <v>6406</v>
      </c>
      <c r="J4387" s="47">
        <f t="shared" si="979"/>
        <v>3740</v>
      </c>
      <c r="K4387" s="46" t="s">
        <v>10735</v>
      </c>
      <c r="L4387" s="47" t="s">
        <v>6407</v>
      </c>
      <c r="M4387" s="47"/>
      <c r="N4387" s="47"/>
      <c r="O4387" s="47"/>
      <c r="P4387" s="47"/>
      <c r="Q4387" s="47"/>
      <c r="R4387" s="47"/>
      <c r="S4387" s="47"/>
      <c r="T4387" s="47"/>
      <c r="U4387" s="47">
        <f t="shared" si="981"/>
        <v>430</v>
      </c>
      <c r="V4387" s="47"/>
      <c r="W4387" s="47"/>
      <c r="X4387" s="47"/>
      <c r="Y4387" s="47"/>
      <c r="Z4387" s="47">
        <f t="shared" si="980"/>
        <v>4620</v>
      </c>
      <c r="AA4387" s="47">
        <f t="shared" si="980"/>
        <v>1400</v>
      </c>
      <c r="AB4387" s="47"/>
      <c r="AC4387" s="47"/>
      <c r="AD4387" s="47"/>
      <c r="AE4387" s="47"/>
      <c r="AF4387" s="47"/>
      <c r="AG4387" s="47"/>
      <c r="AH4387" s="47" t="str">
        <f>IFERROR(_xlfn.XLOOKUP(Table6[[#This Row],[Suburb]],Table5[Travel Surcharge],Table5[$$]),"")</f>
        <v/>
      </c>
      <c r="AI4387" s="47"/>
      <c r="AJ4387" s="47"/>
    </row>
    <row r="4388" spans="1:36">
      <c r="A4388" s="374" t="s">
        <v>6402</v>
      </c>
      <c r="B4388" s="374">
        <v>17</v>
      </c>
      <c r="C4388" s="374" t="s">
        <v>1590</v>
      </c>
      <c r="D4388" s="375" t="str">
        <f t="shared" si="978"/>
        <v>Upper Point Cook Estate17</v>
      </c>
      <c r="E4388" s="375" t="s">
        <v>6416</v>
      </c>
      <c r="F4388" s="375" t="s">
        <v>5298</v>
      </c>
      <c r="G4388" s="375" t="s">
        <v>6404</v>
      </c>
      <c r="H4388" s="375" t="s">
        <v>6405</v>
      </c>
      <c r="I4388" s="63" t="s">
        <v>6406</v>
      </c>
      <c r="J4388" s="47">
        <f t="shared" si="979"/>
        <v>3740</v>
      </c>
      <c r="K4388" s="46" t="s">
        <v>10735</v>
      </c>
      <c r="L4388" s="47" t="s">
        <v>6407</v>
      </c>
      <c r="M4388" s="47"/>
      <c r="N4388" s="47"/>
      <c r="O4388" s="47"/>
      <c r="P4388" s="47"/>
      <c r="Q4388" s="47"/>
      <c r="R4388" s="47"/>
      <c r="S4388" s="47"/>
      <c r="T4388" s="47"/>
      <c r="U4388" s="47">
        <f t="shared" si="981"/>
        <v>430</v>
      </c>
      <c r="V4388" s="47"/>
      <c r="W4388" s="47"/>
      <c r="X4388" s="47"/>
      <c r="Y4388" s="47"/>
      <c r="Z4388" s="47">
        <f t="shared" si="980"/>
        <v>4620</v>
      </c>
      <c r="AA4388" s="47">
        <f t="shared" si="980"/>
        <v>1400</v>
      </c>
      <c r="AB4388" s="47"/>
      <c r="AC4388" s="47"/>
      <c r="AD4388" s="47"/>
      <c r="AE4388" s="47"/>
      <c r="AF4388" s="47"/>
      <c r="AG4388" s="47"/>
      <c r="AH4388" s="47" t="str">
        <f>IFERROR(_xlfn.XLOOKUP(Table6[[#This Row],[Suburb]],Table5[Travel Surcharge],Table5[$$]),"")</f>
        <v/>
      </c>
      <c r="AI4388" s="47"/>
      <c r="AJ4388" s="47"/>
    </row>
    <row r="4389" spans="1:36">
      <c r="A4389" s="374" t="s">
        <v>6402</v>
      </c>
      <c r="B4389" s="374">
        <v>18</v>
      </c>
      <c r="C4389" s="374" t="s">
        <v>1590</v>
      </c>
      <c r="D4389" s="375" t="str">
        <f t="shared" si="978"/>
        <v>Upper Point Cook Estate18</v>
      </c>
      <c r="E4389" s="375" t="s">
        <v>6414</v>
      </c>
      <c r="F4389" s="375" t="s">
        <v>5298</v>
      </c>
      <c r="G4389" s="375" t="s">
        <v>6404</v>
      </c>
      <c r="H4389" s="375" t="s">
        <v>6405</v>
      </c>
      <c r="I4389" s="63" t="s">
        <v>6406</v>
      </c>
      <c r="J4389" s="47">
        <f t="shared" si="979"/>
        <v>3740</v>
      </c>
      <c r="K4389" s="46" t="s">
        <v>10735</v>
      </c>
      <c r="L4389" s="47" t="s">
        <v>6407</v>
      </c>
      <c r="M4389" s="47"/>
      <c r="N4389" s="47"/>
      <c r="O4389" s="47"/>
      <c r="P4389" s="47"/>
      <c r="Q4389" s="47"/>
      <c r="R4389" s="47"/>
      <c r="S4389" s="47"/>
      <c r="T4389" s="47"/>
      <c r="U4389" s="47">
        <f t="shared" si="981"/>
        <v>430</v>
      </c>
      <c r="V4389" s="47"/>
      <c r="W4389" s="47"/>
      <c r="X4389" s="47"/>
      <c r="Y4389" s="47"/>
      <c r="Z4389" s="47">
        <f t="shared" si="980"/>
        <v>4620</v>
      </c>
      <c r="AA4389" s="47">
        <f t="shared" si="980"/>
        <v>1400</v>
      </c>
      <c r="AB4389" s="47"/>
      <c r="AC4389" s="47"/>
      <c r="AD4389" s="47"/>
      <c r="AE4389" s="47"/>
      <c r="AF4389" s="47"/>
      <c r="AG4389" s="47"/>
      <c r="AH4389" s="47" t="str">
        <f>IFERROR(_xlfn.XLOOKUP(Table6[[#This Row],[Suburb]],Table5[Travel Surcharge],Table5[$$]),"")</f>
        <v/>
      </c>
      <c r="AI4389" s="47"/>
      <c r="AJ4389" s="47"/>
    </row>
    <row r="4390" spans="1:36">
      <c r="A4390" s="374" t="s">
        <v>6402</v>
      </c>
      <c r="B4390" s="374">
        <v>19</v>
      </c>
      <c r="C4390" s="374" t="s">
        <v>1590</v>
      </c>
      <c r="D4390" s="375" t="str">
        <f t="shared" si="978"/>
        <v>Upper Point Cook Estate19</v>
      </c>
      <c r="E4390" s="375" t="s">
        <v>6417</v>
      </c>
      <c r="F4390" s="375" t="s">
        <v>5298</v>
      </c>
      <c r="G4390" s="375" t="s">
        <v>6404</v>
      </c>
      <c r="H4390" s="375" t="s">
        <v>6405</v>
      </c>
      <c r="I4390" s="63" t="s">
        <v>6406</v>
      </c>
      <c r="J4390" s="47">
        <f t="shared" si="979"/>
        <v>3740</v>
      </c>
      <c r="K4390" s="46" t="s">
        <v>10735</v>
      </c>
      <c r="L4390" s="47" t="s">
        <v>6407</v>
      </c>
      <c r="M4390" s="47"/>
      <c r="N4390" s="47"/>
      <c r="O4390" s="47"/>
      <c r="P4390" s="47"/>
      <c r="Q4390" s="47"/>
      <c r="R4390" s="47"/>
      <c r="S4390" s="47"/>
      <c r="T4390" s="47"/>
      <c r="U4390" s="47">
        <f t="shared" si="981"/>
        <v>430</v>
      </c>
      <c r="V4390" s="47"/>
      <c r="W4390" s="47"/>
      <c r="X4390" s="47"/>
      <c r="Y4390" s="47"/>
      <c r="Z4390" s="47">
        <f t="shared" si="980"/>
        <v>4620</v>
      </c>
      <c r="AA4390" s="47">
        <f t="shared" si="980"/>
        <v>1400</v>
      </c>
      <c r="AB4390" s="47"/>
      <c r="AC4390" s="47"/>
      <c r="AD4390" s="47"/>
      <c r="AE4390" s="47"/>
      <c r="AF4390" s="47"/>
      <c r="AG4390" s="47"/>
      <c r="AH4390" s="47" t="str">
        <f>IFERROR(_xlfn.XLOOKUP(Table6[[#This Row],[Suburb]],Table5[Travel Surcharge],Table5[$$]),"")</f>
        <v/>
      </c>
      <c r="AI4390" s="47"/>
      <c r="AJ4390" s="47"/>
    </row>
    <row r="4391" spans="1:36">
      <c r="A4391" s="374" t="s">
        <v>6402</v>
      </c>
      <c r="B4391" s="374">
        <v>20</v>
      </c>
      <c r="C4391" s="374" t="s">
        <v>1590</v>
      </c>
      <c r="D4391" s="375" t="str">
        <f t="shared" si="978"/>
        <v>Upper Point Cook Estate20</v>
      </c>
      <c r="E4391" s="375" t="s">
        <v>6418</v>
      </c>
      <c r="F4391" s="375" t="s">
        <v>5298</v>
      </c>
      <c r="G4391" s="375" t="s">
        <v>6404</v>
      </c>
      <c r="H4391" s="375" t="s">
        <v>6405</v>
      </c>
      <c r="I4391" s="63" t="s">
        <v>6406</v>
      </c>
      <c r="J4391" s="47">
        <f t="shared" si="979"/>
        <v>3740</v>
      </c>
      <c r="K4391" s="46" t="s">
        <v>10735</v>
      </c>
      <c r="L4391" s="47" t="s">
        <v>6407</v>
      </c>
      <c r="M4391" s="47"/>
      <c r="N4391" s="47"/>
      <c r="O4391" s="47"/>
      <c r="P4391" s="47"/>
      <c r="Q4391" s="47"/>
      <c r="R4391" s="47"/>
      <c r="S4391" s="47"/>
      <c r="T4391" s="47"/>
      <c r="U4391" s="47">
        <f t="shared" si="981"/>
        <v>430</v>
      </c>
      <c r="V4391" s="47"/>
      <c r="W4391" s="47"/>
      <c r="X4391" s="47"/>
      <c r="Y4391" s="47"/>
      <c r="Z4391" s="47">
        <f t="shared" si="980"/>
        <v>4620</v>
      </c>
      <c r="AA4391" s="47">
        <f t="shared" si="980"/>
        <v>1400</v>
      </c>
      <c r="AB4391" s="47"/>
      <c r="AC4391" s="47"/>
      <c r="AD4391" s="47"/>
      <c r="AE4391" s="47"/>
      <c r="AF4391" s="47"/>
      <c r="AG4391" s="47"/>
      <c r="AH4391" s="47" t="str">
        <f>IFERROR(_xlfn.XLOOKUP(Table6[[#This Row],[Suburb]],Table5[Travel Surcharge],Table5[$$]),"")</f>
        <v/>
      </c>
      <c r="AI4391" s="47"/>
      <c r="AJ4391" s="47"/>
    </row>
    <row r="4392" spans="1:36">
      <c r="A4392" s="374" t="s">
        <v>6402</v>
      </c>
      <c r="B4392" s="374">
        <v>21</v>
      </c>
      <c r="C4392" s="374" t="s">
        <v>1590</v>
      </c>
      <c r="D4392" s="375" t="str">
        <f t="shared" si="978"/>
        <v>Upper Point Cook Estate21</v>
      </c>
      <c r="E4392" s="375" t="s">
        <v>6419</v>
      </c>
      <c r="F4392" s="375" t="s">
        <v>5298</v>
      </c>
      <c r="G4392" s="375" t="s">
        <v>6404</v>
      </c>
      <c r="H4392" s="375" t="s">
        <v>6405</v>
      </c>
      <c r="I4392" s="63" t="s">
        <v>6406</v>
      </c>
      <c r="J4392" s="47">
        <f t="shared" si="979"/>
        <v>3740</v>
      </c>
      <c r="K4392" s="46" t="s">
        <v>10735</v>
      </c>
      <c r="L4392" s="47" t="s">
        <v>6407</v>
      </c>
      <c r="M4392" s="47"/>
      <c r="N4392" s="47"/>
      <c r="O4392" s="47"/>
      <c r="P4392" s="47"/>
      <c r="Q4392" s="47"/>
      <c r="R4392" s="47"/>
      <c r="S4392" s="47"/>
      <c r="T4392" s="47"/>
      <c r="U4392" s="47">
        <f t="shared" si="981"/>
        <v>430</v>
      </c>
      <c r="V4392" s="47"/>
      <c r="W4392" s="47"/>
      <c r="X4392" s="47"/>
      <c r="Y4392" s="47"/>
      <c r="Z4392" s="47">
        <f t="shared" si="980"/>
        <v>4620</v>
      </c>
      <c r="AA4392" s="47">
        <f t="shared" si="980"/>
        <v>1400</v>
      </c>
      <c r="AB4392" s="47"/>
      <c r="AC4392" s="47"/>
      <c r="AD4392" s="47"/>
      <c r="AE4392" s="47"/>
      <c r="AF4392" s="47"/>
      <c r="AG4392" s="47"/>
      <c r="AH4392" s="47" t="str">
        <f>IFERROR(_xlfn.XLOOKUP(Table6[[#This Row],[Suburb]],Table5[Travel Surcharge],Table5[$$]),"")</f>
        <v/>
      </c>
      <c r="AI4392" s="47"/>
      <c r="AJ4392" s="47"/>
    </row>
    <row r="4393" spans="1:36">
      <c r="A4393" s="374" t="s">
        <v>6402</v>
      </c>
      <c r="B4393" s="374">
        <v>22</v>
      </c>
      <c r="C4393" s="374" t="s">
        <v>1590</v>
      </c>
      <c r="D4393" s="375" t="str">
        <f t="shared" si="978"/>
        <v>Upper Point Cook Estate22</v>
      </c>
      <c r="E4393" s="375" t="s">
        <v>6420</v>
      </c>
      <c r="F4393" s="375" t="s">
        <v>5298</v>
      </c>
      <c r="G4393" s="375" t="s">
        <v>6404</v>
      </c>
      <c r="H4393" s="375" t="s">
        <v>6405</v>
      </c>
      <c r="I4393" s="63" t="s">
        <v>6406</v>
      </c>
      <c r="J4393" s="47">
        <f t="shared" si="979"/>
        <v>3740</v>
      </c>
      <c r="K4393" s="46" t="s">
        <v>10735</v>
      </c>
      <c r="L4393" s="47" t="s">
        <v>6407</v>
      </c>
      <c r="M4393" s="47"/>
      <c r="N4393" s="47"/>
      <c r="O4393" s="47"/>
      <c r="P4393" s="47"/>
      <c r="Q4393" s="47"/>
      <c r="R4393" s="47"/>
      <c r="S4393" s="47"/>
      <c r="T4393" s="47"/>
      <c r="U4393" s="47">
        <f t="shared" si="981"/>
        <v>430</v>
      </c>
      <c r="V4393" s="47"/>
      <c r="W4393" s="47"/>
      <c r="X4393" s="47"/>
      <c r="Y4393" s="47"/>
      <c r="Z4393" s="47">
        <f t="shared" si="980"/>
        <v>4620</v>
      </c>
      <c r="AA4393" s="47">
        <f t="shared" si="980"/>
        <v>1400</v>
      </c>
      <c r="AB4393" s="47"/>
      <c r="AC4393" s="47"/>
      <c r="AD4393" s="47"/>
      <c r="AE4393" s="47"/>
      <c r="AF4393" s="47"/>
      <c r="AG4393" s="47"/>
      <c r="AH4393" s="47" t="str">
        <f>IFERROR(_xlfn.XLOOKUP(Table6[[#This Row],[Suburb]],Table5[Travel Surcharge],Table5[$$]),"")</f>
        <v/>
      </c>
      <c r="AI4393" s="47"/>
      <c r="AJ4393" s="47"/>
    </row>
    <row r="4394" spans="1:36">
      <c r="A4394" s="374" t="s">
        <v>6402</v>
      </c>
      <c r="B4394" s="374">
        <v>23</v>
      </c>
      <c r="C4394" s="374" t="s">
        <v>1590</v>
      </c>
      <c r="D4394" s="375" t="str">
        <f t="shared" si="978"/>
        <v>Upper Point Cook Estate23</v>
      </c>
      <c r="E4394" s="375" t="s">
        <v>6421</v>
      </c>
      <c r="F4394" s="375" t="s">
        <v>5298</v>
      </c>
      <c r="G4394" s="375" t="s">
        <v>6404</v>
      </c>
      <c r="H4394" s="375" t="s">
        <v>6405</v>
      </c>
      <c r="I4394" s="63" t="s">
        <v>6406</v>
      </c>
      <c r="J4394" s="47">
        <f t="shared" si="979"/>
        <v>3740</v>
      </c>
      <c r="K4394" s="46" t="s">
        <v>10735</v>
      </c>
      <c r="L4394" s="47" t="s">
        <v>6407</v>
      </c>
      <c r="M4394" s="47"/>
      <c r="N4394" s="47"/>
      <c r="O4394" s="47"/>
      <c r="P4394" s="47"/>
      <c r="Q4394" s="47"/>
      <c r="R4394" s="47"/>
      <c r="S4394" s="47"/>
      <c r="T4394" s="47"/>
      <c r="U4394" s="47">
        <f t="shared" si="981"/>
        <v>430</v>
      </c>
      <c r="V4394" s="47"/>
      <c r="W4394" s="47"/>
      <c r="X4394" s="47"/>
      <c r="Y4394" s="47"/>
      <c r="Z4394" s="47">
        <f t="shared" si="980"/>
        <v>4620</v>
      </c>
      <c r="AA4394" s="47">
        <f t="shared" si="980"/>
        <v>1400</v>
      </c>
      <c r="AB4394" s="47"/>
      <c r="AC4394" s="47"/>
      <c r="AD4394" s="47"/>
      <c r="AE4394" s="47"/>
      <c r="AF4394" s="47"/>
      <c r="AG4394" s="47"/>
      <c r="AH4394" s="47" t="str">
        <f>IFERROR(_xlfn.XLOOKUP(Table6[[#This Row],[Suburb]],Table5[Travel Surcharge],Table5[$$]),"")</f>
        <v/>
      </c>
      <c r="AI4394" s="47"/>
      <c r="AJ4394" s="47"/>
    </row>
    <row r="4395" spans="1:36">
      <c r="A4395" s="374" t="s">
        <v>6402</v>
      </c>
      <c r="B4395" s="374">
        <v>24</v>
      </c>
      <c r="C4395" s="374" t="s">
        <v>1590</v>
      </c>
      <c r="D4395" s="375" t="str">
        <f t="shared" si="978"/>
        <v>Upper Point Cook Estate24</v>
      </c>
      <c r="E4395" s="375" t="s">
        <v>6422</v>
      </c>
      <c r="F4395" s="375" t="s">
        <v>5298</v>
      </c>
      <c r="G4395" s="375" t="s">
        <v>6404</v>
      </c>
      <c r="H4395" s="375" t="s">
        <v>6405</v>
      </c>
      <c r="I4395" s="63" t="s">
        <v>6406</v>
      </c>
      <c r="J4395" s="47">
        <f t="shared" si="979"/>
        <v>3740</v>
      </c>
      <c r="K4395" s="46" t="s">
        <v>10735</v>
      </c>
      <c r="L4395" s="47" t="s">
        <v>6407</v>
      </c>
      <c r="M4395" s="47"/>
      <c r="N4395" s="47"/>
      <c r="O4395" s="47"/>
      <c r="P4395" s="47"/>
      <c r="Q4395" s="47"/>
      <c r="R4395" s="47"/>
      <c r="S4395" s="47"/>
      <c r="T4395" s="47"/>
      <c r="U4395" s="47">
        <f t="shared" si="981"/>
        <v>430</v>
      </c>
      <c r="V4395" s="47"/>
      <c r="W4395" s="47"/>
      <c r="X4395" s="47"/>
      <c r="Y4395" s="47"/>
      <c r="Z4395" s="47">
        <f t="shared" si="980"/>
        <v>4620</v>
      </c>
      <c r="AA4395" s="47">
        <f t="shared" si="980"/>
        <v>1400</v>
      </c>
      <c r="AB4395" s="47"/>
      <c r="AC4395" s="47"/>
      <c r="AD4395" s="47"/>
      <c r="AE4395" s="47"/>
      <c r="AF4395" s="47"/>
      <c r="AG4395" s="47"/>
      <c r="AH4395" s="47" t="str">
        <f>IFERROR(_xlfn.XLOOKUP(Table6[[#This Row],[Suburb]],Table5[Travel Surcharge],Table5[$$]),"")</f>
        <v/>
      </c>
      <c r="AI4395" s="47"/>
      <c r="AJ4395" s="47"/>
    </row>
    <row r="4396" spans="1:36">
      <c r="A4396" s="374" t="s">
        <v>6402</v>
      </c>
      <c r="B4396" s="374">
        <v>25</v>
      </c>
      <c r="C4396" s="374" t="s">
        <v>1590</v>
      </c>
      <c r="D4396" s="375" t="str">
        <f t="shared" si="978"/>
        <v>Upper Point Cook Estate25</v>
      </c>
      <c r="E4396" s="375" t="s">
        <v>6423</v>
      </c>
      <c r="F4396" s="375" t="s">
        <v>5298</v>
      </c>
      <c r="G4396" s="375" t="s">
        <v>6404</v>
      </c>
      <c r="H4396" s="375" t="s">
        <v>6405</v>
      </c>
      <c r="I4396" s="63" t="s">
        <v>6406</v>
      </c>
      <c r="J4396" s="47">
        <f t="shared" si="979"/>
        <v>3740</v>
      </c>
      <c r="K4396" s="46" t="s">
        <v>10735</v>
      </c>
      <c r="L4396" s="47" t="s">
        <v>6407</v>
      </c>
      <c r="M4396" s="47"/>
      <c r="N4396" s="47"/>
      <c r="O4396" s="47"/>
      <c r="P4396" s="47"/>
      <c r="Q4396" s="47"/>
      <c r="R4396" s="47"/>
      <c r="S4396" s="47"/>
      <c r="T4396" s="47"/>
      <c r="U4396" s="47">
        <f t="shared" si="981"/>
        <v>430</v>
      </c>
      <c r="V4396" s="47"/>
      <c r="W4396" s="47"/>
      <c r="X4396" s="47"/>
      <c r="Y4396" s="47"/>
      <c r="Z4396" s="47">
        <f t="shared" si="980"/>
        <v>4620</v>
      </c>
      <c r="AA4396" s="47">
        <f t="shared" si="980"/>
        <v>1400</v>
      </c>
      <c r="AB4396" s="47"/>
      <c r="AC4396" s="47"/>
      <c r="AD4396" s="47"/>
      <c r="AE4396" s="47"/>
      <c r="AF4396" s="47"/>
      <c r="AG4396" s="47"/>
      <c r="AH4396" s="47" t="str">
        <f>IFERROR(_xlfn.XLOOKUP(Table6[[#This Row],[Suburb]],Table5[Travel Surcharge],Table5[$$]),"")</f>
        <v/>
      </c>
      <c r="AI4396" s="47"/>
      <c r="AJ4396" s="47"/>
    </row>
    <row r="4397" spans="1:36">
      <c r="A4397" s="374" t="s">
        <v>6402</v>
      </c>
      <c r="B4397" s="374">
        <v>26</v>
      </c>
      <c r="C4397" s="374" t="s">
        <v>1590</v>
      </c>
      <c r="D4397" s="375" t="str">
        <f t="shared" si="978"/>
        <v>Upper Point Cook Estate26</v>
      </c>
      <c r="E4397" s="375" t="s">
        <v>6424</v>
      </c>
      <c r="F4397" s="375" t="s">
        <v>5298</v>
      </c>
      <c r="G4397" s="375" t="s">
        <v>6404</v>
      </c>
      <c r="H4397" s="375" t="s">
        <v>6405</v>
      </c>
      <c r="I4397" s="63" t="s">
        <v>6406</v>
      </c>
      <c r="J4397" s="47">
        <f t="shared" si="979"/>
        <v>3740</v>
      </c>
      <c r="K4397" s="46" t="s">
        <v>10735</v>
      </c>
      <c r="L4397" s="47" t="s">
        <v>6407</v>
      </c>
      <c r="M4397" s="47"/>
      <c r="N4397" s="47"/>
      <c r="O4397" s="47"/>
      <c r="P4397" s="47"/>
      <c r="Q4397" s="47"/>
      <c r="R4397" s="47"/>
      <c r="S4397" s="47"/>
      <c r="T4397" s="47"/>
      <c r="U4397" s="47">
        <f t="shared" si="981"/>
        <v>430</v>
      </c>
      <c r="V4397" s="47"/>
      <c r="W4397" s="47"/>
      <c r="X4397" s="47"/>
      <c r="Y4397" s="47"/>
      <c r="Z4397" s="47">
        <f t="shared" si="980"/>
        <v>4620</v>
      </c>
      <c r="AA4397" s="47">
        <f t="shared" si="980"/>
        <v>1400</v>
      </c>
      <c r="AB4397" s="47"/>
      <c r="AC4397" s="47"/>
      <c r="AD4397" s="47"/>
      <c r="AE4397" s="47"/>
      <c r="AF4397" s="47"/>
      <c r="AG4397" s="47"/>
      <c r="AH4397" s="47" t="str">
        <f>IFERROR(_xlfn.XLOOKUP(Table6[[#This Row],[Suburb]],Table5[Travel Surcharge],Table5[$$]),"")</f>
        <v/>
      </c>
      <c r="AI4397" s="47"/>
      <c r="AJ4397" s="47"/>
    </row>
    <row r="4398" spans="1:36">
      <c r="A4398" s="374" t="s">
        <v>6402</v>
      </c>
      <c r="B4398" s="374">
        <v>27</v>
      </c>
      <c r="C4398" s="374" t="s">
        <v>1590</v>
      </c>
      <c r="D4398" s="375" t="str">
        <f t="shared" si="978"/>
        <v>Upper Point Cook Estate27</v>
      </c>
      <c r="E4398" s="375" t="s">
        <v>6425</v>
      </c>
      <c r="F4398" s="375" t="s">
        <v>5298</v>
      </c>
      <c r="G4398" s="375" t="s">
        <v>6404</v>
      </c>
      <c r="H4398" s="375" t="s">
        <v>6405</v>
      </c>
      <c r="I4398" s="63" t="s">
        <v>6406</v>
      </c>
      <c r="J4398" s="47">
        <f t="shared" si="979"/>
        <v>3740</v>
      </c>
      <c r="K4398" s="46" t="s">
        <v>10735</v>
      </c>
      <c r="L4398" s="47" t="s">
        <v>6407</v>
      </c>
      <c r="M4398" s="47"/>
      <c r="N4398" s="47"/>
      <c r="O4398" s="47"/>
      <c r="P4398" s="47"/>
      <c r="Q4398" s="47"/>
      <c r="R4398" s="47"/>
      <c r="S4398" s="47"/>
      <c r="T4398" s="47"/>
      <c r="U4398" s="47">
        <f t="shared" si="981"/>
        <v>430</v>
      </c>
      <c r="V4398" s="47"/>
      <c r="W4398" s="47"/>
      <c r="X4398" s="47"/>
      <c r="Y4398" s="47"/>
      <c r="Z4398" s="47">
        <f t="shared" si="980"/>
        <v>4620</v>
      </c>
      <c r="AA4398" s="47">
        <f t="shared" si="980"/>
        <v>1400</v>
      </c>
      <c r="AB4398" s="47"/>
      <c r="AC4398" s="47"/>
      <c r="AD4398" s="47"/>
      <c r="AE4398" s="47"/>
      <c r="AF4398" s="47"/>
      <c r="AG4398" s="47"/>
      <c r="AH4398" s="47" t="str">
        <f>IFERROR(_xlfn.XLOOKUP(Table6[[#This Row],[Suburb]],Table5[Travel Surcharge],Table5[$$]),"")</f>
        <v/>
      </c>
      <c r="AI4398" s="47"/>
      <c r="AJ4398" s="47"/>
    </row>
    <row r="4399" spans="1:36">
      <c r="A4399" s="374" t="s">
        <v>6402</v>
      </c>
      <c r="B4399" s="374">
        <v>28</v>
      </c>
      <c r="C4399" s="374" t="s">
        <v>1590</v>
      </c>
      <c r="D4399" s="375" t="str">
        <f t="shared" si="978"/>
        <v>Upper Point Cook Estate28</v>
      </c>
      <c r="E4399" s="375" t="s">
        <v>6426</v>
      </c>
      <c r="F4399" s="375" t="s">
        <v>5298</v>
      </c>
      <c r="G4399" s="375" t="s">
        <v>6404</v>
      </c>
      <c r="H4399" s="375" t="s">
        <v>6405</v>
      </c>
      <c r="I4399" s="63" t="s">
        <v>6406</v>
      </c>
      <c r="J4399" s="47">
        <f t="shared" si="979"/>
        <v>3740</v>
      </c>
      <c r="K4399" s="46" t="s">
        <v>10735</v>
      </c>
      <c r="L4399" s="47" t="s">
        <v>6407</v>
      </c>
      <c r="M4399" s="47"/>
      <c r="N4399" s="47"/>
      <c r="O4399" s="47"/>
      <c r="P4399" s="47"/>
      <c r="Q4399" s="47"/>
      <c r="R4399" s="47"/>
      <c r="S4399" s="47"/>
      <c r="T4399" s="47"/>
      <c r="U4399" s="47">
        <f t="shared" si="981"/>
        <v>430</v>
      </c>
      <c r="V4399" s="47"/>
      <c r="W4399" s="47"/>
      <c r="X4399" s="47"/>
      <c r="Y4399" s="47"/>
      <c r="Z4399" s="47">
        <f t="shared" si="980"/>
        <v>4620</v>
      </c>
      <c r="AA4399" s="47">
        <f t="shared" si="980"/>
        <v>1400</v>
      </c>
      <c r="AB4399" s="47"/>
      <c r="AC4399" s="47"/>
      <c r="AD4399" s="47"/>
      <c r="AE4399" s="47"/>
      <c r="AF4399" s="47"/>
      <c r="AG4399" s="47"/>
      <c r="AH4399" s="47" t="str">
        <f>IFERROR(_xlfn.XLOOKUP(Table6[[#This Row],[Suburb]],Table5[Travel Surcharge],Table5[$$]),"")</f>
        <v/>
      </c>
      <c r="AI4399" s="47"/>
      <c r="AJ4399" s="47"/>
    </row>
    <row r="4400" spans="1:36">
      <c r="A4400" s="374" t="s">
        <v>6402</v>
      </c>
      <c r="B4400" s="374">
        <v>29</v>
      </c>
      <c r="C4400" s="374" t="s">
        <v>1590</v>
      </c>
      <c r="D4400" s="375" t="str">
        <f t="shared" si="978"/>
        <v>Upper Point Cook Estate29</v>
      </c>
      <c r="E4400" s="375" t="s">
        <v>6427</v>
      </c>
      <c r="F4400" s="375" t="s">
        <v>5298</v>
      </c>
      <c r="G4400" s="375" t="s">
        <v>6404</v>
      </c>
      <c r="H4400" s="375" t="s">
        <v>6405</v>
      </c>
      <c r="I4400" s="63" t="s">
        <v>6406</v>
      </c>
      <c r="J4400" s="47">
        <f t="shared" si="979"/>
        <v>3740</v>
      </c>
      <c r="K4400" s="46" t="s">
        <v>10735</v>
      </c>
      <c r="L4400" s="47" t="s">
        <v>6407</v>
      </c>
      <c r="M4400" s="47"/>
      <c r="N4400" s="47"/>
      <c r="O4400" s="47"/>
      <c r="P4400" s="47"/>
      <c r="Q4400" s="47"/>
      <c r="R4400" s="47"/>
      <c r="S4400" s="47"/>
      <c r="T4400" s="47"/>
      <c r="U4400" s="47">
        <f t="shared" si="981"/>
        <v>430</v>
      </c>
      <c r="V4400" s="47"/>
      <c r="W4400" s="47"/>
      <c r="X4400" s="47"/>
      <c r="Y4400" s="47"/>
      <c r="Z4400" s="47">
        <f t="shared" si="980"/>
        <v>4620</v>
      </c>
      <c r="AA4400" s="47">
        <f t="shared" si="980"/>
        <v>1400</v>
      </c>
      <c r="AB4400" s="47"/>
      <c r="AC4400" s="47"/>
      <c r="AD4400" s="47"/>
      <c r="AE4400" s="47"/>
      <c r="AF4400" s="47"/>
      <c r="AG4400" s="47"/>
      <c r="AH4400" s="47" t="str">
        <f>IFERROR(_xlfn.XLOOKUP(Table6[[#This Row],[Suburb]],Table5[Travel Surcharge],Table5[$$]),"")</f>
        <v/>
      </c>
      <c r="AI4400" s="47"/>
      <c r="AJ4400" s="47"/>
    </row>
    <row r="4401" spans="1:36">
      <c r="A4401" s="374" t="s">
        <v>6402</v>
      </c>
      <c r="B4401" s="374">
        <v>30</v>
      </c>
      <c r="C4401" s="374" t="s">
        <v>1590</v>
      </c>
      <c r="D4401" s="375" t="str">
        <f t="shared" si="978"/>
        <v>Upper Point Cook Estate30</v>
      </c>
      <c r="E4401" s="375" t="s">
        <v>6428</v>
      </c>
      <c r="F4401" s="375" t="s">
        <v>5298</v>
      </c>
      <c r="G4401" s="375" t="s">
        <v>6404</v>
      </c>
      <c r="H4401" s="375" t="s">
        <v>6405</v>
      </c>
      <c r="I4401" s="63" t="s">
        <v>6406</v>
      </c>
      <c r="J4401" s="47">
        <f t="shared" si="979"/>
        <v>3740</v>
      </c>
      <c r="K4401" s="46" t="s">
        <v>10735</v>
      </c>
      <c r="L4401" s="47" t="s">
        <v>6407</v>
      </c>
      <c r="M4401" s="47"/>
      <c r="N4401" s="47"/>
      <c r="O4401" s="47"/>
      <c r="P4401" s="47"/>
      <c r="Q4401" s="47"/>
      <c r="R4401" s="47"/>
      <c r="S4401" s="47"/>
      <c r="T4401" s="47"/>
      <c r="U4401" s="47">
        <f t="shared" si="981"/>
        <v>430</v>
      </c>
      <c r="V4401" s="47"/>
      <c r="W4401" s="47"/>
      <c r="X4401" s="47"/>
      <c r="Y4401" s="47"/>
      <c r="Z4401" s="47">
        <f t="shared" si="980"/>
        <v>4620</v>
      </c>
      <c r="AA4401" s="47">
        <f t="shared" si="980"/>
        <v>1400</v>
      </c>
      <c r="AB4401" s="47"/>
      <c r="AC4401" s="47"/>
      <c r="AD4401" s="47"/>
      <c r="AE4401" s="47"/>
      <c r="AF4401" s="47"/>
      <c r="AG4401" s="47"/>
      <c r="AH4401" s="47" t="str">
        <f>IFERROR(_xlfn.XLOOKUP(Table6[[#This Row],[Suburb]],Table5[Travel Surcharge],Table5[$$]),"")</f>
        <v/>
      </c>
      <c r="AI4401" s="47"/>
      <c r="AJ4401" s="47"/>
    </row>
    <row r="4402" spans="1:36">
      <c r="A4402" s="374" t="s">
        <v>6402</v>
      </c>
      <c r="B4402" s="374">
        <v>31</v>
      </c>
      <c r="C4402" s="374" t="s">
        <v>1590</v>
      </c>
      <c r="D4402" s="375" t="str">
        <f t="shared" si="978"/>
        <v>Upper Point Cook Estate31</v>
      </c>
      <c r="E4402" s="375" t="s">
        <v>6429</v>
      </c>
      <c r="F4402" s="375" t="s">
        <v>5298</v>
      </c>
      <c r="G4402" s="375" t="s">
        <v>6404</v>
      </c>
      <c r="H4402" s="375" t="s">
        <v>6405</v>
      </c>
      <c r="I4402" s="63" t="s">
        <v>6406</v>
      </c>
      <c r="J4402" s="47">
        <f t="shared" si="979"/>
        <v>3740</v>
      </c>
      <c r="K4402" s="46" t="s">
        <v>10735</v>
      </c>
      <c r="L4402" s="47" t="s">
        <v>6407</v>
      </c>
      <c r="M4402" s="47"/>
      <c r="N4402" s="47"/>
      <c r="O4402" s="47"/>
      <c r="P4402" s="47"/>
      <c r="Q4402" s="47"/>
      <c r="R4402" s="47"/>
      <c r="S4402" s="47"/>
      <c r="T4402" s="47"/>
      <c r="U4402" s="47">
        <f t="shared" si="981"/>
        <v>430</v>
      </c>
      <c r="V4402" s="47"/>
      <c r="W4402" s="47"/>
      <c r="X4402" s="47"/>
      <c r="Y4402" s="47"/>
      <c r="Z4402" s="47">
        <f t="shared" si="980"/>
        <v>4620</v>
      </c>
      <c r="AA4402" s="47">
        <f t="shared" si="980"/>
        <v>1400</v>
      </c>
      <c r="AB4402" s="47"/>
      <c r="AC4402" s="47"/>
      <c r="AD4402" s="47"/>
      <c r="AE4402" s="47"/>
      <c r="AF4402" s="47"/>
      <c r="AG4402" s="47"/>
      <c r="AH4402" s="47" t="str">
        <f>IFERROR(_xlfn.XLOOKUP(Table6[[#This Row],[Suburb]],Table5[Travel Surcharge],Table5[$$]),"")</f>
        <v/>
      </c>
      <c r="AI4402" s="47"/>
      <c r="AJ4402" s="47"/>
    </row>
    <row r="4403" spans="1:36">
      <c r="A4403" s="374" t="s">
        <v>6402</v>
      </c>
      <c r="B4403" s="374">
        <v>32</v>
      </c>
      <c r="C4403" s="374" t="s">
        <v>1590</v>
      </c>
      <c r="D4403" s="375" t="str">
        <f t="shared" si="978"/>
        <v>Upper Point Cook Estate32</v>
      </c>
      <c r="E4403" s="375" t="s">
        <v>6430</v>
      </c>
      <c r="F4403" s="375" t="s">
        <v>5298</v>
      </c>
      <c r="G4403" s="375" t="s">
        <v>6404</v>
      </c>
      <c r="H4403" s="375" t="s">
        <v>6405</v>
      </c>
      <c r="I4403" s="63" t="s">
        <v>6406</v>
      </c>
      <c r="J4403" s="47">
        <f t="shared" si="979"/>
        <v>3740</v>
      </c>
      <c r="K4403" s="46" t="s">
        <v>10735</v>
      </c>
      <c r="L4403" s="47" t="s">
        <v>6407</v>
      </c>
      <c r="M4403" s="47"/>
      <c r="N4403" s="47"/>
      <c r="O4403" s="47"/>
      <c r="P4403" s="47"/>
      <c r="Q4403" s="47"/>
      <c r="R4403" s="47"/>
      <c r="S4403" s="47"/>
      <c r="T4403" s="47"/>
      <c r="U4403" s="47">
        <f t="shared" si="981"/>
        <v>430</v>
      </c>
      <c r="V4403" s="47"/>
      <c r="W4403" s="47"/>
      <c r="X4403" s="47"/>
      <c r="Y4403" s="47"/>
      <c r="Z4403" s="47">
        <f t="shared" si="980"/>
        <v>4620</v>
      </c>
      <c r="AA4403" s="47">
        <f t="shared" si="980"/>
        <v>1400</v>
      </c>
      <c r="AB4403" s="47"/>
      <c r="AC4403" s="47"/>
      <c r="AD4403" s="47"/>
      <c r="AE4403" s="47"/>
      <c r="AF4403" s="47"/>
      <c r="AG4403" s="47"/>
      <c r="AH4403" s="47" t="str">
        <f>IFERROR(_xlfn.XLOOKUP(Table6[[#This Row],[Suburb]],Table5[Travel Surcharge],Table5[$$]),"")</f>
        <v/>
      </c>
      <c r="AI4403" s="47"/>
      <c r="AJ4403" s="47"/>
    </row>
    <row r="4404" spans="1:36">
      <c r="A4404" s="374" t="s">
        <v>6402</v>
      </c>
      <c r="B4404" s="374">
        <v>33</v>
      </c>
      <c r="C4404" s="374" t="s">
        <v>1590</v>
      </c>
      <c r="D4404" s="375" t="str">
        <f t="shared" si="978"/>
        <v>Upper Point Cook Estate33</v>
      </c>
      <c r="E4404" s="375" t="s">
        <v>6431</v>
      </c>
      <c r="F4404" s="375" t="s">
        <v>5298</v>
      </c>
      <c r="G4404" s="375" t="s">
        <v>6404</v>
      </c>
      <c r="H4404" s="375" t="s">
        <v>6405</v>
      </c>
      <c r="I4404" s="63" t="s">
        <v>6406</v>
      </c>
      <c r="J4404" s="47">
        <f t="shared" si="979"/>
        <v>3740</v>
      </c>
      <c r="K4404" s="46" t="s">
        <v>10735</v>
      </c>
      <c r="L4404" s="47" t="s">
        <v>6407</v>
      </c>
      <c r="M4404" s="47"/>
      <c r="N4404" s="47"/>
      <c r="O4404" s="47"/>
      <c r="P4404" s="47"/>
      <c r="Q4404" s="47"/>
      <c r="R4404" s="47"/>
      <c r="S4404" s="47"/>
      <c r="T4404" s="47"/>
      <c r="U4404" s="47">
        <f t="shared" si="981"/>
        <v>430</v>
      </c>
      <c r="V4404" s="47"/>
      <c r="W4404" s="47"/>
      <c r="X4404" s="47"/>
      <c r="Y4404" s="47"/>
      <c r="Z4404" s="47">
        <f t="shared" si="980"/>
        <v>4620</v>
      </c>
      <c r="AA4404" s="47">
        <f t="shared" si="980"/>
        <v>1400</v>
      </c>
      <c r="AB4404" s="47"/>
      <c r="AC4404" s="47"/>
      <c r="AD4404" s="47"/>
      <c r="AE4404" s="47"/>
      <c r="AF4404" s="47"/>
      <c r="AG4404" s="47"/>
      <c r="AH4404" s="47" t="str">
        <f>IFERROR(_xlfn.XLOOKUP(Table6[[#This Row],[Suburb]],Table5[Travel Surcharge],Table5[$$]),"")</f>
        <v/>
      </c>
      <c r="AI4404" s="47"/>
      <c r="AJ4404" s="47"/>
    </row>
    <row r="4405" spans="1:36">
      <c r="A4405" s="374" t="s">
        <v>6402</v>
      </c>
      <c r="B4405" s="374">
        <v>34</v>
      </c>
      <c r="C4405" s="374" t="s">
        <v>1590</v>
      </c>
      <c r="D4405" s="375" t="str">
        <f t="shared" si="978"/>
        <v>Upper Point Cook Estate34</v>
      </c>
      <c r="E4405" s="375" t="s">
        <v>6432</v>
      </c>
      <c r="F4405" s="375" t="s">
        <v>5298</v>
      </c>
      <c r="G4405" s="375" t="s">
        <v>6404</v>
      </c>
      <c r="H4405" s="375" t="s">
        <v>6405</v>
      </c>
      <c r="I4405" s="63" t="s">
        <v>6406</v>
      </c>
      <c r="J4405" s="47">
        <f t="shared" si="979"/>
        <v>3740</v>
      </c>
      <c r="K4405" s="46" t="s">
        <v>10735</v>
      </c>
      <c r="L4405" s="47" t="s">
        <v>6407</v>
      </c>
      <c r="M4405" s="47"/>
      <c r="N4405" s="47"/>
      <c r="O4405" s="47"/>
      <c r="P4405" s="47"/>
      <c r="Q4405" s="47"/>
      <c r="R4405" s="47"/>
      <c r="S4405" s="47"/>
      <c r="T4405" s="47"/>
      <c r="U4405" s="47">
        <f t="shared" si="981"/>
        <v>430</v>
      </c>
      <c r="V4405" s="47"/>
      <c r="W4405" s="47"/>
      <c r="X4405" s="47"/>
      <c r="Y4405" s="47"/>
      <c r="Z4405" s="47">
        <f t="shared" si="980"/>
        <v>4620</v>
      </c>
      <c r="AA4405" s="47">
        <f t="shared" si="980"/>
        <v>1400</v>
      </c>
      <c r="AB4405" s="47"/>
      <c r="AC4405" s="47"/>
      <c r="AD4405" s="47"/>
      <c r="AE4405" s="47"/>
      <c r="AF4405" s="47"/>
      <c r="AG4405" s="47"/>
      <c r="AH4405" s="47" t="str">
        <f>IFERROR(_xlfn.XLOOKUP(Table6[[#This Row],[Suburb]],Table5[Travel Surcharge],Table5[$$]),"")</f>
        <v/>
      </c>
      <c r="AI4405" s="47"/>
      <c r="AJ4405" s="47"/>
    </row>
    <row r="4406" spans="1:36">
      <c r="A4406" s="374" t="s">
        <v>6402</v>
      </c>
      <c r="B4406" s="374">
        <v>35</v>
      </c>
      <c r="C4406" s="374" t="s">
        <v>1590</v>
      </c>
      <c r="D4406" s="375" t="str">
        <f t="shared" si="978"/>
        <v>Upper Point Cook Estate35</v>
      </c>
      <c r="E4406" s="375" t="s">
        <v>6433</v>
      </c>
      <c r="F4406" s="375" t="s">
        <v>5298</v>
      </c>
      <c r="G4406" s="375" t="s">
        <v>6404</v>
      </c>
      <c r="H4406" s="375" t="s">
        <v>6405</v>
      </c>
      <c r="I4406" s="63" t="s">
        <v>6406</v>
      </c>
      <c r="J4406" s="47">
        <f t="shared" si="979"/>
        <v>3740</v>
      </c>
      <c r="K4406" s="46" t="s">
        <v>10735</v>
      </c>
      <c r="L4406" s="47" t="s">
        <v>6407</v>
      </c>
      <c r="M4406" s="47"/>
      <c r="N4406" s="47"/>
      <c r="O4406" s="47"/>
      <c r="P4406" s="47"/>
      <c r="Q4406" s="47"/>
      <c r="R4406" s="47"/>
      <c r="S4406" s="47"/>
      <c r="T4406" s="47"/>
      <c r="U4406" s="47">
        <f t="shared" si="981"/>
        <v>430</v>
      </c>
      <c r="V4406" s="47"/>
      <c r="W4406" s="47"/>
      <c r="X4406" s="47"/>
      <c r="Y4406" s="47"/>
      <c r="Z4406" s="47">
        <f t="shared" si="980"/>
        <v>4620</v>
      </c>
      <c r="AA4406" s="47">
        <f t="shared" si="980"/>
        <v>1400</v>
      </c>
      <c r="AB4406" s="47"/>
      <c r="AC4406" s="47"/>
      <c r="AD4406" s="47"/>
      <c r="AE4406" s="47"/>
      <c r="AF4406" s="47"/>
      <c r="AG4406" s="47"/>
      <c r="AH4406" s="47" t="str">
        <f>IFERROR(_xlfn.XLOOKUP(Table6[[#This Row],[Suburb]],Table5[Travel Surcharge],Table5[$$]),"")</f>
        <v/>
      </c>
      <c r="AI4406" s="47"/>
      <c r="AJ4406" s="47"/>
    </row>
    <row r="4407" spans="1:36">
      <c r="A4407" s="374" t="s">
        <v>6402</v>
      </c>
      <c r="B4407" s="374">
        <v>36</v>
      </c>
      <c r="C4407" s="374" t="s">
        <v>1590</v>
      </c>
      <c r="D4407" s="375" t="str">
        <f t="shared" si="978"/>
        <v>Upper Point Cook Estate36</v>
      </c>
      <c r="E4407" s="375" t="s">
        <v>6434</v>
      </c>
      <c r="F4407" s="375" t="s">
        <v>5298</v>
      </c>
      <c r="G4407" s="375" t="s">
        <v>6404</v>
      </c>
      <c r="H4407" s="375" t="s">
        <v>6405</v>
      </c>
      <c r="I4407" s="63" t="s">
        <v>6406</v>
      </c>
      <c r="J4407" s="47">
        <f t="shared" si="979"/>
        <v>3740</v>
      </c>
      <c r="K4407" s="46" t="s">
        <v>10735</v>
      </c>
      <c r="L4407" s="47" t="s">
        <v>6407</v>
      </c>
      <c r="M4407" s="47"/>
      <c r="N4407" s="47"/>
      <c r="O4407" s="47"/>
      <c r="P4407" s="47"/>
      <c r="Q4407" s="47"/>
      <c r="R4407" s="47"/>
      <c r="S4407" s="47"/>
      <c r="T4407" s="47"/>
      <c r="U4407" s="47">
        <f t="shared" si="981"/>
        <v>430</v>
      </c>
      <c r="V4407" s="47"/>
      <c r="W4407" s="47"/>
      <c r="X4407" s="47"/>
      <c r="Y4407" s="47"/>
      <c r="Z4407" s="47">
        <f t="shared" si="980"/>
        <v>4620</v>
      </c>
      <c r="AA4407" s="47">
        <f t="shared" si="980"/>
        <v>1400</v>
      </c>
      <c r="AB4407" s="47"/>
      <c r="AC4407" s="47"/>
      <c r="AD4407" s="47"/>
      <c r="AE4407" s="47"/>
      <c r="AF4407" s="47"/>
      <c r="AG4407" s="47"/>
      <c r="AH4407" s="47" t="str">
        <f>IFERROR(_xlfn.XLOOKUP(Table6[[#This Row],[Suburb]],Table5[Travel Surcharge],Table5[$$]),"")</f>
        <v/>
      </c>
      <c r="AI4407" s="47"/>
      <c r="AJ4407" s="47"/>
    </row>
    <row r="4408" spans="1:36">
      <c r="A4408" s="374" t="s">
        <v>6402</v>
      </c>
      <c r="B4408" s="374" t="s">
        <v>1458</v>
      </c>
      <c r="C4408" s="374" t="s">
        <v>1590</v>
      </c>
      <c r="D4408" s="375" t="str">
        <f t="shared" si="978"/>
        <v>Upper Point Cook Estate16B</v>
      </c>
      <c r="E4408" s="375" t="s">
        <v>6435</v>
      </c>
      <c r="F4408" s="375" t="s">
        <v>5298</v>
      </c>
      <c r="G4408" s="375" t="s">
        <v>6404</v>
      </c>
      <c r="H4408" s="375" t="s">
        <v>6405</v>
      </c>
      <c r="I4408" s="63" t="s">
        <v>6406</v>
      </c>
      <c r="J4408" s="47">
        <f t="shared" si="979"/>
        <v>3740</v>
      </c>
      <c r="K4408" s="46" t="s">
        <v>10735</v>
      </c>
      <c r="L4408" s="47" t="s">
        <v>6407</v>
      </c>
      <c r="M4408" s="47"/>
      <c r="N4408" s="47"/>
      <c r="O4408" s="47"/>
      <c r="P4408" s="47"/>
      <c r="Q4408" s="47"/>
      <c r="R4408" s="47"/>
      <c r="S4408" s="47"/>
      <c r="T4408" s="47"/>
      <c r="U4408" s="47">
        <f t="shared" si="981"/>
        <v>430</v>
      </c>
      <c r="V4408" s="47"/>
      <c r="W4408" s="47"/>
      <c r="X4408" s="47"/>
      <c r="Y4408" s="47"/>
      <c r="Z4408" s="47">
        <f t="shared" si="980"/>
        <v>4620</v>
      </c>
      <c r="AA4408" s="47">
        <f t="shared" si="980"/>
        <v>1400</v>
      </c>
      <c r="AB4408" s="47"/>
      <c r="AC4408" s="47"/>
      <c r="AD4408" s="47"/>
      <c r="AE4408" s="47"/>
      <c r="AF4408" s="47"/>
      <c r="AG4408" s="47"/>
      <c r="AH4408" s="47" t="str">
        <f>IFERROR(_xlfn.XLOOKUP(Table6[[#This Row],[Suburb]],Table5[Travel Surcharge],Table5[$$]),"")</f>
        <v/>
      </c>
      <c r="AI4408" s="47"/>
      <c r="AJ4408" s="47"/>
    </row>
    <row r="4409" spans="1:36">
      <c r="A4409" s="374" t="s">
        <v>6436</v>
      </c>
      <c r="B4409" s="374">
        <v>6</v>
      </c>
      <c r="C4409" s="374" t="s">
        <v>394</v>
      </c>
      <c r="D4409" s="375" t="str">
        <f t="shared" si="978"/>
        <v>Vantage Estate6</v>
      </c>
      <c r="E4409" s="375" t="s">
        <v>6089</v>
      </c>
      <c r="F4409" s="375" t="s">
        <v>6437</v>
      </c>
      <c r="G4409" s="375" t="s">
        <v>6438</v>
      </c>
      <c r="H4409" s="375" t="s">
        <v>6439</v>
      </c>
      <c r="I4409" s="63"/>
      <c r="J4409" s="47"/>
      <c r="K4409" s="46" t="s">
        <v>10735</v>
      </c>
      <c r="L4409" s="47"/>
      <c r="M4409" s="47"/>
      <c r="N4409" s="47"/>
      <c r="O4409" s="47"/>
      <c r="P4409" s="47"/>
      <c r="Q4409" s="47">
        <f>Q$2</f>
        <v>0</v>
      </c>
      <c r="R4409" s="47"/>
      <c r="S4409" s="47"/>
      <c r="T4409" s="47"/>
      <c r="U4409" s="47"/>
      <c r="V4409" s="47"/>
      <c r="W4409" s="47"/>
      <c r="X4409" s="47"/>
      <c r="Y4409" s="47"/>
      <c r="Z4409" s="47">
        <f t="shared" ref="Z4409:Z4424" si="982">Z$7</f>
        <v>4620</v>
      </c>
      <c r="AA4409" s="47"/>
      <c r="AB4409" s="47"/>
      <c r="AC4409" s="47"/>
      <c r="AD4409" s="47"/>
      <c r="AE4409" s="47"/>
      <c r="AF4409" s="47"/>
      <c r="AG4409" s="47"/>
      <c r="AH4409" s="47" t="str">
        <f>IFERROR(_xlfn.XLOOKUP(Table6[[#This Row],[Suburb]],Table5[Travel Surcharge],Table5[$$]),"")</f>
        <v/>
      </c>
      <c r="AI4409" s="47"/>
      <c r="AJ4409" s="47"/>
    </row>
    <row r="4410" spans="1:36">
      <c r="A4410" s="374" t="s">
        <v>6436</v>
      </c>
      <c r="B4410" s="374">
        <v>23</v>
      </c>
      <c r="C4410" s="374" t="s">
        <v>394</v>
      </c>
      <c r="D4410" s="375" t="str">
        <f t="shared" si="978"/>
        <v>Vantage Estate23</v>
      </c>
      <c r="E4410" s="375" t="s">
        <v>6440</v>
      </c>
      <c r="F4410" s="375" t="s">
        <v>6437</v>
      </c>
      <c r="G4410" s="375" t="s">
        <v>6438</v>
      </c>
      <c r="H4410" s="375" t="s">
        <v>6439</v>
      </c>
      <c r="I4410" s="63"/>
      <c r="J4410" s="47"/>
      <c r="K4410" s="46" t="s">
        <v>10735</v>
      </c>
      <c r="L4410" s="47"/>
      <c r="M4410" s="47"/>
      <c r="N4410" s="47"/>
      <c r="O4410" s="47"/>
      <c r="P4410" s="47"/>
      <c r="Q4410" s="47">
        <f>Q$2</f>
        <v>0</v>
      </c>
      <c r="R4410" s="47"/>
      <c r="S4410" s="47"/>
      <c r="T4410" s="47"/>
      <c r="U4410" s="47"/>
      <c r="V4410" s="47"/>
      <c r="W4410" s="47"/>
      <c r="X4410" s="47"/>
      <c r="Y4410" s="47"/>
      <c r="Z4410" s="47">
        <f t="shared" si="982"/>
        <v>4620</v>
      </c>
      <c r="AA4410" s="47"/>
      <c r="AB4410" s="47"/>
      <c r="AC4410" s="47"/>
      <c r="AD4410" s="47"/>
      <c r="AE4410" s="47"/>
      <c r="AF4410" s="47"/>
      <c r="AG4410" s="47"/>
      <c r="AH4410" s="47" t="str">
        <f>IFERROR(_xlfn.XLOOKUP(Table6[[#This Row],[Suburb]],Table5[Travel Surcharge],Table5[$$]),"")</f>
        <v/>
      </c>
      <c r="AI4410" s="47"/>
      <c r="AJ4410" s="47"/>
    </row>
    <row r="4411" spans="1:36">
      <c r="A4411" s="374" t="s">
        <v>6436</v>
      </c>
      <c r="B4411" s="374">
        <v>24</v>
      </c>
      <c r="C4411" s="374" t="s">
        <v>394</v>
      </c>
      <c r="D4411" s="375" t="str">
        <f t="shared" si="978"/>
        <v>Vantage Estate24</v>
      </c>
      <c r="E4411" s="375" t="s">
        <v>6441</v>
      </c>
      <c r="F4411" s="375" t="s">
        <v>6437</v>
      </c>
      <c r="G4411" s="375" t="s">
        <v>6438</v>
      </c>
      <c r="H4411" s="375" t="s">
        <v>6439</v>
      </c>
      <c r="I4411" s="63"/>
      <c r="J4411" s="47"/>
      <c r="K4411" s="46" t="s">
        <v>10735</v>
      </c>
      <c r="L4411" s="47"/>
      <c r="M4411" s="47"/>
      <c r="N4411" s="47"/>
      <c r="O4411" s="47"/>
      <c r="P4411" s="47"/>
      <c r="Q4411" s="47">
        <f>Q$2</f>
        <v>0</v>
      </c>
      <c r="R4411" s="47"/>
      <c r="S4411" s="47"/>
      <c r="T4411" s="47"/>
      <c r="U4411" s="47"/>
      <c r="V4411" s="47"/>
      <c r="W4411" s="47"/>
      <c r="X4411" s="47"/>
      <c r="Y4411" s="47"/>
      <c r="Z4411" s="47">
        <f t="shared" si="982"/>
        <v>4620</v>
      </c>
      <c r="AA4411" s="47"/>
      <c r="AB4411" s="47"/>
      <c r="AC4411" s="47"/>
      <c r="AD4411" s="47"/>
      <c r="AE4411" s="47"/>
      <c r="AF4411" s="47"/>
      <c r="AG4411" s="47"/>
      <c r="AH4411" s="47" t="str">
        <f>IFERROR(_xlfn.XLOOKUP(Table6[[#This Row],[Suburb]],Table5[Travel Surcharge],Table5[$$]),"")</f>
        <v/>
      </c>
      <c r="AI4411" s="47"/>
      <c r="AJ4411" s="47"/>
    </row>
    <row r="4412" spans="1:36">
      <c r="A4412" s="374" t="s">
        <v>6436</v>
      </c>
      <c r="B4412" s="374">
        <v>25</v>
      </c>
      <c r="C4412" s="374" t="s">
        <v>394</v>
      </c>
      <c r="D4412" s="375" t="str">
        <f t="shared" si="978"/>
        <v>Vantage Estate25</v>
      </c>
      <c r="E4412" s="375" t="s">
        <v>6442</v>
      </c>
      <c r="F4412" s="375" t="s">
        <v>6437</v>
      </c>
      <c r="G4412" s="375" t="s">
        <v>6438</v>
      </c>
      <c r="H4412" s="375" t="s">
        <v>6439</v>
      </c>
      <c r="I4412" s="63"/>
      <c r="J4412" s="47"/>
      <c r="K4412" s="46" t="s">
        <v>10735</v>
      </c>
      <c r="L4412" s="47"/>
      <c r="M4412" s="47"/>
      <c r="N4412" s="47"/>
      <c r="O4412" s="47"/>
      <c r="P4412" s="47"/>
      <c r="Q4412" s="47">
        <f>Q$2</f>
        <v>0</v>
      </c>
      <c r="R4412" s="47"/>
      <c r="S4412" s="47"/>
      <c r="T4412" s="47"/>
      <c r="U4412" s="47"/>
      <c r="V4412" s="47"/>
      <c r="W4412" s="47"/>
      <c r="X4412" s="47"/>
      <c r="Y4412" s="47"/>
      <c r="Z4412" s="47">
        <f t="shared" si="982"/>
        <v>4620</v>
      </c>
      <c r="AA4412" s="47"/>
      <c r="AB4412" s="47"/>
      <c r="AC4412" s="47"/>
      <c r="AD4412" s="47"/>
      <c r="AE4412" s="47"/>
      <c r="AF4412" s="47"/>
      <c r="AG4412" s="47"/>
      <c r="AH4412" s="47" t="str">
        <f>IFERROR(_xlfn.XLOOKUP(Table6[[#This Row],[Suburb]],Table5[Travel Surcharge],Table5[$$]),"")</f>
        <v/>
      </c>
      <c r="AI4412" s="47"/>
      <c r="AJ4412" s="47"/>
    </row>
    <row r="4413" spans="1:36">
      <c r="A4413" s="374" t="s">
        <v>6443</v>
      </c>
      <c r="B4413" s="374">
        <v>1</v>
      </c>
      <c r="C4413" s="374" t="s">
        <v>802</v>
      </c>
      <c r="D4413" s="375" t="str">
        <f t="shared" si="978"/>
        <v>Venus Hill Estate1</v>
      </c>
      <c r="E4413" s="375" t="s">
        <v>6444</v>
      </c>
      <c r="F4413" s="375"/>
      <c r="G4413" s="375" t="s">
        <v>6445</v>
      </c>
      <c r="H4413" s="375" t="s">
        <v>6446</v>
      </c>
      <c r="I4413" s="63" t="s">
        <v>6447</v>
      </c>
      <c r="J4413" s="47">
        <f t="shared" ref="J4413:J4424" si="983">J$7</f>
        <v>3740</v>
      </c>
      <c r="K4413" s="46" t="s">
        <v>10735</v>
      </c>
      <c r="L4413" s="47" t="s">
        <v>2817</v>
      </c>
      <c r="M4413" s="47">
        <f>M$7</f>
        <v>1430.0000000000002</v>
      </c>
      <c r="N4413" s="47" t="s">
        <v>5668</v>
      </c>
      <c r="O4413" s="47" t="s">
        <v>6448</v>
      </c>
      <c r="P4413" s="47" t="s">
        <v>6449</v>
      </c>
      <c r="Q4413" s="47"/>
      <c r="R4413" s="47">
        <f t="shared" ref="R4413:R4424" si="984">R$2</f>
        <v>540</v>
      </c>
      <c r="S4413" s="47" t="s">
        <v>6450</v>
      </c>
      <c r="T4413" s="47"/>
      <c r="U4413" s="47"/>
      <c r="V4413" s="47"/>
      <c r="W4413" s="47"/>
      <c r="X4413" s="47"/>
      <c r="Y4413" s="47"/>
      <c r="Z4413" s="47">
        <f t="shared" si="982"/>
        <v>4620</v>
      </c>
      <c r="AA4413" s="47">
        <f>AA$7</f>
        <v>1400</v>
      </c>
      <c r="AB4413" s="47">
        <f>AB$7</f>
        <v>2800</v>
      </c>
      <c r="AC4413" s="47"/>
      <c r="AD4413" s="47"/>
      <c r="AE4413" s="47"/>
      <c r="AF4413" s="47">
        <f t="shared" ref="AF4413:AF4424" si="985">AF$7</f>
        <v>1485</v>
      </c>
      <c r="AG4413" s="47"/>
      <c r="AH4413" s="47" t="str">
        <f>IFERROR(_xlfn.XLOOKUP(Table6[[#This Row],[Suburb]],Table5[Travel Surcharge],Table5[$$]),"")</f>
        <v/>
      </c>
      <c r="AI4413" s="47"/>
      <c r="AJ4413" s="47"/>
    </row>
    <row r="4414" spans="1:36">
      <c r="A4414" s="374" t="s">
        <v>6451</v>
      </c>
      <c r="B4414" s="374">
        <v>1</v>
      </c>
      <c r="C4414" s="374" t="s">
        <v>502</v>
      </c>
      <c r="D4414" s="375" t="str">
        <f t="shared" si="978"/>
        <v>Verdant Hill Estate1</v>
      </c>
      <c r="E4414" s="375" t="s">
        <v>6452</v>
      </c>
      <c r="F4414" s="375" t="s">
        <v>6453</v>
      </c>
      <c r="G4414" s="375" t="s">
        <v>2361</v>
      </c>
      <c r="H4414" s="375" t="s">
        <v>2362</v>
      </c>
      <c r="I4414" s="63" t="s">
        <v>2363</v>
      </c>
      <c r="J4414" s="47">
        <f t="shared" si="983"/>
        <v>3740</v>
      </c>
      <c r="K4414" s="46" t="s">
        <v>10735</v>
      </c>
      <c r="L4414" s="47">
        <f t="shared" ref="L4414:L4424" si="986">L$7</f>
        <v>1210</v>
      </c>
      <c r="M4414" s="47" t="s">
        <v>6454</v>
      </c>
      <c r="N4414" s="47" t="s">
        <v>6455</v>
      </c>
      <c r="O4414" s="47"/>
      <c r="P4414" s="47"/>
      <c r="Q4414" s="47"/>
      <c r="R4414" s="47">
        <f t="shared" si="984"/>
        <v>540</v>
      </c>
      <c r="S4414" s="47"/>
      <c r="T4414" s="47" t="s">
        <v>6456</v>
      </c>
      <c r="U4414" s="47"/>
      <c r="V4414" s="47"/>
      <c r="W4414" s="47"/>
      <c r="X4414" s="47"/>
      <c r="Y4414" s="47"/>
      <c r="Z4414" s="47">
        <f t="shared" si="982"/>
        <v>4620</v>
      </c>
      <c r="AA4414" s="47"/>
      <c r="AB4414" s="47"/>
      <c r="AC4414" s="47"/>
      <c r="AD4414" s="47"/>
      <c r="AE4414" s="47"/>
      <c r="AF4414" s="47">
        <f t="shared" si="985"/>
        <v>1485</v>
      </c>
      <c r="AG4414" s="47"/>
      <c r="AH4414" s="47" t="str">
        <f>IFERROR(_xlfn.XLOOKUP(Table6[[#This Row],[Suburb]],Table5[Travel Surcharge],Table5[$$]),"")</f>
        <v/>
      </c>
      <c r="AI4414" s="47">
        <f t="shared" ref="AI4414:AI4424" si="987">AI$7</f>
        <v>1650.0000000000002</v>
      </c>
      <c r="AJ4414" s="47"/>
    </row>
    <row r="4415" spans="1:36">
      <c r="A4415" s="374" t="s">
        <v>6451</v>
      </c>
      <c r="B4415" s="374">
        <v>2</v>
      </c>
      <c r="C4415" s="374" t="s">
        <v>502</v>
      </c>
      <c r="D4415" s="375" t="str">
        <f t="shared" si="978"/>
        <v>Verdant Hill Estate2</v>
      </c>
      <c r="E4415" s="375" t="s">
        <v>6457</v>
      </c>
      <c r="F4415" s="375" t="s">
        <v>6453</v>
      </c>
      <c r="G4415" s="375" t="s">
        <v>2361</v>
      </c>
      <c r="H4415" s="375" t="s">
        <v>2362</v>
      </c>
      <c r="I4415" s="63" t="s">
        <v>2363</v>
      </c>
      <c r="J4415" s="47">
        <f t="shared" si="983"/>
        <v>3740</v>
      </c>
      <c r="K4415" s="46" t="s">
        <v>10735</v>
      </c>
      <c r="L4415" s="47">
        <f t="shared" si="986"/>
        <v>1210</v>
      </c>
      <c r="M4415" s="47" t="s">
        <v>6454</v>
      </c>
      <c r="N4415" s="47" t="s">
        <v>6455</v>
      </c>
      <c r="O4415" s="47"/>
      <c r="P4415" s="47"/>
      <c r="Q4415" s="47"/>
      <c r="R4415" s="47">
        <f t="shared" si="984"/>
        <v>540</v>
      </c>
      <c r="S4415" s="47"/>
      <c r="T4415" s="47" t="s">
        <v>6456</v>
      </c>
      <c r="U4415" s="47"/>
      <c r="V4415" s="47"/>
      <c r="W4415" s="47"/>
      <c r="X4415" s="47"/>
      <c r="Y4415" s="47"/>
      <c r="Z4415" s="47">
        <f t="shared" si="982"/>
        <v>4620</v>
      </c>
      <c r="AA4415" s="47"/>
      <c r="AB4415" s="47"/>
      <c r="AC4415" s="47"/>
      <c r="AD4415" s="47"/>
      <c r="AE4415" s="47"/>
      <c r="AF4415" s="47">
        <f t="shared" si="985"/>
        <v>1485</v>
      </c>
      <c r="AG4415" s="47"/>
      <c r="AH4415" s="47" t="str">
        <f>IFERROR(_xlfn.XLOOKUP(Table6[[#This Row],[Suburb]],Table5[Travel Surcharge],Table5[$$]),"")</f>
        <v/>
      </c>
      <c r="AI4415" s="47">
        <f t="shared" si="987"/>
        <v>1650.0000000000002</v>
      </c>
      <c r="AJ4415" s="47"/>
    </row>
    <row r="4416" spans="1:36">
      <c r="A4416" s="374" t="s">
        <v>6451</v>
      </c>
      <c r="B4416" s="374">
        <v>3</v>
      </c>
      <c r="C4416" s="374" t="s">
        <v>502</v>
      </c>
      <c r="D4416" s="375" t="str">
        <f t="shared" si="978"/>
        <v>Verdant Hill Estate3</v>
      </c>
      <c r="E4416" s="375" t="s">
        <v>6458</v>
      </c>
      <c r="F4416" s="375" t="s">
        <v>6453</v>
      </c>
      <c r="G4416" s="375" t="s">
        <v>2361</v>
      </c>
      <c r="H4416" s="375" t="s">
        <v>2362</v>
      </c>
      <c r="I4416" s="63" t="s">
        <v>2363</v>
      </c>
      <c r="J4416" s="47">
        <f t="shared" si="983"/>
        <v>3740</v>
      </c>
      <c r="K4416" s="46" t="s">
        <v>10735</v>
      </c>
      <c r="L4416" s="47">
        <f t="shared" si="986"/>
        <v>1210</v>
      </c>
      <c r="M4416" s="47" t="s">
        <v>6454</v>
      </c>
      <c r="N4416" s="47" t="s">
        <v>6455</v>
      </c>
      <c r="O4416" s="47"/>
      <c r="P4416" s="47"/>
      <c r="Q4416" s="47"/>
      <c r="R4416" s="47">
        <f t="shared" si="984"/>
        <v>540</v>
      </c>
      <c r="S4416" s="47"/>
      <c r="T4416" s="47" t="s">
        <v>6456</v>
      </c>
      <c r="U4416" s="47"/>
      <c r="V4416" s="47"/>
      <c r="W4416" s="47"/>
      <c r="X4416" s="47"/>
      <c r="Y4416" s="47"/>
      <c r="Z4416" s="47">
        <f t="shared" si="982"/>
        <v>4620</v>
      </c>
      <c r="AA4416" s="47"/>
      <c r="AB4416" s="47"/>
      <c r="AC4416" s="47"/>
      <c r="AD4416" s="47"/>
      <c r="AE4416" s="47"/>
      <c r="AF4416" s="47">
        <f t="shared" si="985"/>
        <v>1485</v>
      </c>
      <c r="AG4416" s="47"/>
      <c r="AH4416" s="47" t="str">
        <f>IFERROR(_xlfn.XLOOKUP(Table6[[#This Row],[Suburb]],Table5[Travel Surcharge],Table5[$$]),"")</f>
        <v/>
      </c>
      <c r="AI4416" s="47">
        <f t="shared" si="987"/>
        <v>1650.0000000000002</v>
      </c>
      <c r="AJ4416" s="47"/>
    </row>
    <row r="4417" spans="1:36">
      <c r="A4417" s="374" t="s">
        <v>6451</v>
      </c>
      <c r="B4417" s="374">
        <v>4</v>
      </c>
      <c r="C4417" s="374" t="s">
        <v>502</v>
      </c>
      <c r="D4417" s="375" t="str">
        <f t="shared" si="978"/>
        <v>Verdant Hill Estate4</v>
      </c>
      <c r="E4417" s="375" t="s">
        <v>6459</v>
      </c>
      <c r="F4417" s="375" t="s">
        <v>6453</v>
      </c>
      <c r="G4417" s="375" t="s">
        <v>2361</v>
      </c>
      <c r="H4417" s="375" t="s">
        <v>2362</v>
      </c>
      <c r="I4417" s="63" t="s">
        <v>2363</v>
      </c>
      <c r="J4417" s="47">
        <f t="shared" si="983"/>
        <v>3740</v>
      </c>
      <c r="K4417" s="46" t="s">
        <v>10735</v>
      </c>
      <c r="L4417" s="47">
        <f t="shared" si="986"/>
        <v>1210</v>
      </c>
      <c r="M4417" s="47" t="s">
        <v>6454</v>
      </c>
      <c r="N4417" s="47" t="s">
        <v>6455</v>
      </c>
      <c r="O4417" s="47"/>
      <c r="P4417" s="47"/>
      <c r="Q4417" s="47"/>
      <c r="R4417" s="47">
        <f t="shared" si="984"/>
        <v>540</v>
      </c>
      <c r="S4417" s="47"/>
      <c r="T4417" s="47" t="s">
        <v>6456</v>
      </c>
      <c r="U4417" s="47"/>
      <c r="V4417" s="47"/>
      <c r="W4417" s="47"/>
      <c r="X4417" s="47"/>
      <c r="Y4417" s="47"/>
      <c r="Z4417" s="47">
        <f t="shared" si="982"/>
        <v>4620</v>
      </c>
      <c r="AA4417" s="47"/>
      <c r="AB4417" s="47"/>
      <c r="AC4417" s="47"/>
      <c r="AD4417" s="47"/>
      <c r="AE4417" s="47"/>
      <c r="AF4417" s="47">
        <f t="shared" si="985"/>
        <v>1485</v>
      </c>
      <c r="AG4417" s="47"/>
      <c r="AH4417" s="47" t="str">
        <f>IFERROR(_xlfn.XLOOKUP(Table6[[#This Row],[Suburb]],Table5[Travel Surcharge],Table5[$$]),"")</f>
        <v/>
      </c>
      <c r="AI4417" s="47">
        <f t="shared" si="987"/>
        <v>1650.0000000000002</v>
      </c>
      <c r="AJ4417" s="47"/>
    </row>
    <row r="4418" spans="1:36">
      <c r="A4418" s="374" t="s">
        <v>6451</v>
      </c>
      <c r="B4418" s="374">
        <v>6</v>
      </c>
      <c r="C4418" s="374" t="s">
        <v>502</v>
      </c>
      <c r="D4418" s="375" t="str">
        <f t="shared" si="978"/>
        <v>Verdant Hill Estate6</v>
      </c>
      <c r="E4418" s="375" t="s">
        <v>6460</v>
      </c>
      <c r="F4418" s="375" t="s">
        <v>6453</v>
      </c>
      <c r="G4418" s="375" t="s">
        <v>2361</v>
      </c>
      <c r="H4418" s="375" t="s">
        <v>2362</v>
      </c>
      <c r="I4418" s="63" t="s">
        <v>2363</v>
      </c>
      <c r="J4418" s="47">
        <f t="shared" si="983"/>
        <v>3740</v>
      </c>
      <c r="K4418" s="46" t="s">
        <v>10735</v>
      </c>
      <c r="L4418" s="47">
        <f t="shared" si="986"/>
        <v>1210</v>
      </c>
      <c r="M4418" s="47" t="s">
        <v>6454</v>
      </c>
      <c r="N4418" s="47" t="s">
        <v>6455</v>
      </c>
      <c r="O4418" s="47"/>
      <c r="P4418" s="47"/>
      <c r="Q4418" s="47"/>
      <c r="R4418" s="47">
        <f t="shared" si="984"/>
        <v>540</v>
      </c>
      <c r="S4418" s="47"/>
      <c r="T4418" s="47" t="s">
        <v>6456</v>
      </c>
      <c r="U4418" s="47"/>
      <c r="V4418" s="47"/>
      <c r="W4418" s="47"/>
      <c r="X4418" s="47"/>
      <c r="Y4418" s="47"/>
      <c r="Z4418" s="47">
        <f t="shared" si="982"/>
        <v>4620</v>
      </c>
      <c r="AA4418" s="47"/>
      <c r="AB4418" s="47"/>
      <c r="AC4418" s="47"/>
      <c r="AD4418" s="47"/>
      <c r="AE4418" s="47"/>
      <c r="AF4418" s="47">
        <f t="shared" si="985"/>
        <v>1485</v>
      </c>
      <c r="AG4418" s="47"/>
      <c r="AH4418" s="47" t="str">
        <f>IFERROR(_xlfn.XLOOKUP(Table6[[#This Row],[Suburb]],Table5[Travel Surcharge],Table5[$$]),"")</f>
        <v/>
      </c>
      <c r="AI4418" s="47">
        <f t="shared" si="987"/>
        <v>1650.0000000000002</v>
      </c>
      <c r="AJ4418" s="47"/>
    </row>
    <row r="4419" spans="1:36">
      <c r="A4419" s="374" t="s">
        <v>6451</v>
      </c>
      <c r="B4419" s="374">
        <v>8</v>
      </c>
      <c r="C4419" s="374" t="s">
        <v>502</v>
      </c>
      <c r="D4419" s="375" t="str">
        <f t="shared" si="978"/>
        <v>Verdant Hill Estate8</v>
      </c>
      <c r="E4419" s="375" t="s">
        <v>6462</v>
      </c>
      <c r="F4419" s="375" t="s">
        <v>6453</v>
      </c>
      <c r="G4419" s="375" t="s">
        <v>2361</v>
      </c>
      <c r="H4419" s="375" t="s">
        <v>2362</v>
      </c>
      <c r="I4419" s="63" t="s">
        <v>2363</v>
      </c>
      <c r="J4419" s="47">
        <f t="shared" si="983"/>
        <v>3740</v>
      </c>
      <c r="K4419" s="46" t="s">
        <v>10735</v>
      </c>
      <c r="L4419" s="47">
        <f t="shared" si="986"/>
        <v>1210</v>
      </c>
      <c r="M4419" s="47" t="s">
        <v>6454</v>
      </c>
      <c r="N4419" s="47" t="s">
        <v>6455</v>
      </c>
      <c r="O4419" s="47"/>
      <c r="P4419" s="47"/>
      <c r="Q4419" s="47"/>
      <c r="R4419" s="47">
        <f t="shared" si="984"/>
        <v>540</v>
      </c>
      <c r="S4419" s="47"/>
      <c r="T4419" s="47" t="s">
        <v>6456</v>
      </c>
      <c r="U4419" s="47"/>
      <c r="V4419" s="47"/>
      <c r="W4419" s="47"/>
      <c r="X4419" s="47"/>
      <c r="Y4419" s="47"/>
      <c r="Z4419" s="47">
        <f t="shared" si="982"/>
        <v>4620</v>
      </c>
      <c r="AA4419" s="47"/>
      <c r="AB4419" s="47"/>
      <c r="AC4419" s="47"/>
      <c r="AD4419" s="47"/>
      <c r="AE4419" s="47"/>
      <c r="AF4419" s="47">
        <f t="shared" si="985"/>
        <v>1485</v>
      </c>
      <c r="AG4419" s="47"/>
      <c r="AH4419" s="47" t="str">
        <f>IFERROR(_xlfn.XLOOKUP(Table6[[#This Row],[Suburb]],Table5[Travel Surcharge],Table5[$$]),"")</f>
        <v/>
      </c>
      <c r="AI4419" s="47">
        <f t="shared" si="987"/>
        <v>1650.0000000000002</v>
      </c>
      <c r="AJ4419" s="47"/>
    </row>
    <row r="4420" spans="1:36">
      <c r="A4420" s="374" t="s">
        <v>6451</v>
      </c>
      <c r="B4420" s="374">
        <v>11</v>
      </c>
      <c r="C4420" s="374" t="s">
        <v>502</v>
      </c>
      <c r="D4420" s="375" t="str">
        <f t="shared" si="978"/>
        <v>Verdant Hill Estate11</v>
      </c>
      <c r="E4420" s="375" t="s">
        <v>6463</v>
      </c>
      <c r="F4420" s="375" t="s">
        <v>6453</v>
      </c>
      <c r="G4420" s="375" t="s">
        <v>2361</v>
      </c>
      <c r="H4420" s="375" t="s">
        <v>2362</v>
      </c>
      <c r="I4420" s="63" t="s">
        <v>2363</v>
      </c>
      <c r="J4420" s="47">
        <f t="shared" si="983"/>
        <v>3740</v>
      </c>
      <c r="K4420" s="46" t="s">
        <v>10735</v>
      </c>
      <c r="L4420" s="47">
        <f t="shared" si="986"/>
        <v>1210</v>
      </c>
      <c r="M4420" s="47" t="s">
        <v>6454</v>
      </c>
      <c r="N4420" s="47" t="s">
        <v>6455</v>
      </c>
      <c r="O4420" s="47"/>
      <c r="P4420" s="47"/>
      <c r="Q4420" s="47"/>
      <c r="R4420" s="47">
        <f t="shared" si="984"/>
        <v>540</v>
      </c>
      <c r="S4420" s="47"/>
      <c r="T4420" s="47" t="s">
        <v>6456</v>
      </c>
      <c r="U4420" s="47"/>
      <c r="V4420" s="47"/>
      <c r="W4420" s="47"/>
      <c r="X4420" s="47"/>
      <c r="Y4420" s="47"/>
      <c r="Z4420" s="47">
        <f t="shared" si="982"/>
        <v>4620</v>
      </c>
      <c r="AA4420" s="47"/>
      <c r="AB4420" s="47"/>
      <c r="AC4420" s="47"/>
      <c r="AD4420" s="47"/>
      <c r="AE4420" s="47"/>
      <c r="AF4420" s="47">
        <f t="shared" si="985"/>
        <v>1485</v>
      </c>
      <c r="AG4420" s="47"/>
      <c r="AH4420" s="47" t="str">
        <f>IFERROR(_xlfn.XLOOKUP(Table6[[#This Row],[Suburb]],Table5[Travel Surcharge],Table5[$$]),"")</f>
        <v/>
      </c>
      <c r="AI4420" s="47">
        <f t="shared" si="987"/>
        <v>1650.0000000000002</v>
      </c>
      <c r="AJ4420" s="47"/>
    </row>
    <row r="4421" spans="1:36">
      <c r="A4421" s="374" t="s">
        <v>6451</v>
      </c>
      <c r="B4421" s="374">
        <v>12</v>
      </c>
      <c r="C4421" s="374" t="s">
        <v>502</v>
      </c>
      <c r="D4421" s="375" t="str">
        <f t="shared" si="978"/>
        <v>Verdant Hill Estate12</v>
      </c>
      <c r="E4421" s="375" t="s">
        <v>6464</v>
      </c>
      <c r="F4421" s="375" t="s">
        <v>6453</v>
      </c>
      <c r="G4421" s="375" t="s">
        <v>2361</v>
      </c>
      <c r="H4421" s="375" t="s">
        <v>2362</v>
      </c>
      <c r="I4421" s="63" t="s">
        <v>2363</v>
      </c>
      <c r="J4421" s="47">
        <f t="shared" si="983"/>
        <v>3740</v>
      </c>
      <c r="K4421" s="46" t="s">
        <v>10735</v>
      </c>
      <c r="L4421" s="47">
        <f t="shared" si="986"/>
        <v>1210</v>
      </c>
      <c r="M4421" s="47" t="s">
        <v>6454</v>
      </c>
      <c r="N4421" s="47" t="s">
        <v>6455</v>
      </c>
      <c r="O4421" s="47"/>
      <c r="P4421" s="47"/>
      <c r="Q4421" s="47"/>
      <c r="R4421" s="47">
        <f t="shared" si="984"/>
        <v>540</v>
      </c>
      <c r="S4421" s="47"/>
      <c r="T4421" s="47" t="s">
        <v>6456</v>
      </c>
      <c r="U4421" s="47"/>
      <c r="V4421" s="47"/>
      <c r="W4421" s="47"/>
      <c r="X4421" s="47"/>
      <c r="Y4421" s="47"/>
      <c r="Z4421" s="47">
        <f t="shared" si="982"/>
        <v>4620</v>
      </c>
      <c r="AA4421" s="47"/>
      <c r="AB4421" s="47"/>
      <c r="AC4421" s="47"/>
      <c r="AD4421" s="47"/>
      <c r="AE4421" s="47"/>
      <c r="AF4421" s="47">
        <f t="shared" si="985"/>
        <v>1485</v>
      </c>
      <c r="AG4421" s="47"/>
      <c r="AH4421" s="47" t="str">
        <f>IFERROR(_xlfn.XLOOKUP(Table6[[#This Row],[Suburb]],Table5[Travel Surcharge],Table5[$$]),"")</f>
        <v/>
      </c>
      <c r="AI4421" s="47">
        <f t="shared" si="987"/>
        <v>1650.0000000000002</v>
      </c>
      <c r="AJ4421" s="47"/>
    </row>
    <row r="4422" spans="1:36">
      <c r="A4422" s="374" t="s">
        <v>6451</v>
      </c>
      <c r="B4422" s="374">
        <v>13</v>
      </c>
      <c r="C4422" s="374" t="s">
        <v>502</v>
      </c>
      <c r="D4422" s="375" t="str">
        <f t="shared" si="978"/>
        <v>Verdant Hill Estate13</v>
      </c>
      <c r="E4422" s="375" t="s">
        <v>6465</v>
      </c>
      <c r="F4422" s="375" t="s">
        <v>6453</v>
      </c>
      <c r="G4422" s="375" t="s">
        <v>2361</v>
      </c>
      <c r="H4422" s="375" t="s">
        <v>2362</v>
      </c>
      <c r="I4422" s="63" t="s">
        <v>2363</v>
      </c>
      <c r="J4422" s="47">
        <f t="shared" si="983"/>
        <v>3740</v>
      </c>
      <c r="K4422" s="46" t="s">
        <v>10735</v>
      </c>
      <c r="L4422" s="47">
        <f t="shared" si="986"/>
        <v>1210</v>
      </c>
      <c r="M4422" s="47" t="s">
        <v>6454</v>
      </c>
      <c r="N4422" s="47" t="s">
        <v>6455</v>
      </c>
      <c r="O4422" s="47"/>
      <c r="P4422" s="47"/>
      <c r="Q4422" s="47"/>
      <c r="R4422" s="47">
        <f t="shared" si="984"/>
        <v>540</v>
      </c>
      <c r="S4422" s="47"/>
      <c r="T4422" s="47" t="s">
        <v>6456</v>
      </c>
      <c r="U4422" s="47"/>
      <c r="V4422" s="47"/>
      <c r="W4422" s="47"/>
      <c r="X4422" s="47"/>
      <c r="Y4422" s="47"/>
      <c r="Z4422" s="47">
        <f t="shared" si="982"/>
        <v>4620</v>
      </c>
      <c r="AA4422" s="47"/>
      <c r="AB4422" s="47"/>
      <c r="AC4422" s="47"/>
      <c r="AD4422" s="47"/>
      <c r="AE4422" s="47"/>
      <c r="AF4422" s="47">
        <f t="shared" si="985"/>
        <v>1485</v>
      </c>
      <c r="AG4422" s="47"/>
      <c r="AH4422" s="47" t="str">
        <f>IFERROR(_xlfn.XLOOKUP(Table6[[#This Row],[Suburb]],Table5[Travel Surcharge],Table5[$$]),"")</f>
        <v/>
      </c>
      <c r="AI4422" s="47">
        <f t="shared" si="987"/>
        <v>1650.0000000000002</v>
      </c>
      <c r="AJ4422" s="47"/>
    </row>
    <row r="4423" spans="1:36">
      <c r="A4423" s="374" t="s">
        <v>6451</v>
      </c>
      <c r="B4423" s="374">
        <v>14</v>
      </c>
      <c r="C4423" s="374" t="s">
        <v>502</v>
      </c>
      <c r="D4423" s="375" t="str">
        <f t="shared" si="978"/>
        <v>Verdant Hill Estate14</v>
      </c>
      <c r="E4423" s="375" t="s">
        <v>6466</v>
      </c>
      <c r="F4423" s="375" t="s">
        <v>6453</v>
      </c>
      <c r="G4423" s="375" t="s">
        <v>2361</v>
      </c>
      <c r="H4423" s="375" t="s">
        <v>2362</v>
      </c>
      <c r="I4423" s="63" t="s">
        <v>2363</v>
      </c>
      <c r="J4423" s="47">
        <f t="shared" si="983"/>
        <v>3740</v>
      </c>
      <c r="K4423" s="46" t="s">
        <v>10735</v>
      </c>
      <c r="L4423" s="47">
        <f t="shared" si="986"/>
        <v>1210</v>
      </c>
      <c r="M4423" s="47" t="s">
        <v>6454</v>
      </c>
      <c r="N4423" s="47" t="s">
        <v>6455</v>
      </c>
      <c r="O4423" s="47"/>
      <c r="P4423" s="47"/>
      <c r="Q4423" s="47"/>
      <c r="R4423" s="47">
        <f t="shared" si="984"/>
        <v>540</v>
      </c>
      <c r="S4423" s="47"/>
      <c r="T4423" s="47" t="s">
        <v>6456</v>
      </c>
      <c r="U4423" s="47"/>
      <c r="V4423" s="47"/>
      <c r="W4423" s="47"/>
      <c r="X4423" s="47"/>
      <c r="Y4423" s="47"/>
      <c r="Z4423" s="47">
        <f t="shared" si="982"/>
        <v>4620</v>
      </c>
      <c r="AA4423" s="47"/>
      <c r="AB4423" s="47"/>
      <c r="AC4423" s="47"/>
      <c r="AD4423" s="47"/>
      <c r="AE4423" s="47"/>
      <c r="AF4423" s="47">
        <f t="shared" si="985"/>
        <v>1485</v>
      </c>
      <c r="AG4423" s="47"/>
      <c r="AH4423" s="47" t="str">
        <f>IFERROR(_xlfn.XLOOKUP(Table6[[#This Row],[Suburb]],Table5[Travel Surcharge],Table5[$$]),"")</f>
        <v/>
      </c>
      <c r="AI4423" s="47">
        <f t="shared" si="987"/>
        <v>1650.0000000000002</v>
      </c>
      <c r="AJ4423" s="47"/>
    </row>
    <row r="4424" spans="1:36">
      <c r="A4424" s="374" t="s">
        <v>6451</v>
      </c>
      <c r="B4424" s="374">
        <v>15</v>
      </c>
      <c r="C4424" s="374" t="s">
        <v>502</v>
      </c>
      <c r="D4424" s="375" t="str">
        <f t="shared" si="978"/>
        <v>Verdant Hill Estate15</v>
      </c>
      <c r="E4424" s="375" t="s">
        <v>6467</v>
      </c>
      <c r="F4424" s="375" t="s">
        <v>6453</v>
      </c>
      <c r="G4424" s="375" t="s">
        <v>2361</v>
      </c>
      <c r="H4424" s="375" t="s">
        <v>2362</v>
      </c>
      <c r="I4424" s="63" t="s">
        <v>2363</v>
      </c>
      <c r="J4424" s="47">
        <f t="shared" si="983"/>
        <v>3740</v>
      </c>
      <c r="K4424" s="46" t="s">
        <v>10735</v>
      </c>
      <c r="L4424" s="47">
        <f t="shared" si="986"/>
        <v>1210</v>
      </c>
      <c r="M4424" s="47" t="s">
        <v>6454</v>
      </c>
      <c r="N4424" s="47" t="s">
        <v>6455</v>
      </c>
      <c r="O4424" s="47"/>
      <c r="P4424" s="47"/>
      <c r="Q4424" s="47"/>
      <c r="R4424" s="47">
        <f t="shared" si="984"/>
        <v>540</v>
      </c>
      <c r="S4424" s="47"/>
      <c r="T4424" s="47" t="s">
        <v>6456</v>
      </c>
      <c r="U4424" s="47"/>
      <c r="V4424" s="47"/>
      <c r="W4424" s="47"/>
      <c r="X4424" s="47"/>
      <c r="Y4424" s="47"/>
      <c r="Z4424" s="47">
        <f t="shared" si="982"/>
        <v>4620</v>
      </c>
      <c r="AA4424" s="47"/>
      <c r="AB4424" s="47"/>
      <c r="AC4424" s="47"/>
      <c r="AD4424" s="47"/>
      <c r="AE4424" s="47"/>
      <c r="AF4424" s="47">
        <f t="shared" si="985"/>
        <v>1485</v>
      </c>
      <c r="AG4424" s="47"/>
      <c r="AH4424" s="47" t="str">
        <f>IFERROR(_xlfn.XLOOKUP(Table6[[#This Row],[Suburb]],Table5[Travel Surcharge],Table5[$$]),"")</f>
        <v/>
      </c>
      <c r="AI4424" s="47">
        <f t="shared" si="987"/>
        <v>1650.0000000000002</v>
      </c>
      <c r="AJ4424" s="47"/>
    </row>
    <row r="4425" spans="1:36">
      <c r="A4425" s="374" t="s">
        <v>6451</v>
      </c>
      <c r="B4425" s="374">
        <v>17</v>
      </c>
      <c r="C4425" s="374" t="s">
        <v>502</v>
      </c>
      <c r="D4425" s="375" t="s">
        <v>9610</v>
      </c>
      <c r="E4425" s="375" t="s">
        <v>9611</v>
      </c>
      <c r="F4425" s="375" t="s">
        <v>6453</v>
      </c>
      <c r="G4425" s="375" t="s">
        <v>2361</v>
      </c>
      <c r="H4425" s="375" t="s">
        <v>2362</v>
      </c>
      <c r="I4425" s="63" t="s">
        <v>2363</v>
      </c>
      <c r="J4425" s="47">
        <v>3740</v>
      </c>
      <c r="K4425" s="46" t="s">
        <v>10735</v>
      </c>
      <c r="L4425" s="47">
        <v>1210</v>
      </c>
      <c r="M4425" s="47" t="s">
        <v>6454</v>
      </c>
      <c r="N4425" s="47" t="s">
        <v>6455</v>
      </c>
      <c r="O4425" s="47"/>
      <c r="P4425" s="47"/>
      <c r="Q4425" s="47"/>
      <c r="R4425" s="47">
        <v>540</v>
      </c>
      <c r="S4425" s="47"/>
      <c r="T4425" s="47" t="s">
        <v>6456</v>
      </c>
      <c r="U4425" s="47"/>
      <c r="V4425" s="47"/>
      <c r="W4425" s="47"/>
      <c r="X4425" s="47"/>
      <c r="Y4425" s="47"/>
      <c r="Z4425" s="47">
        <v>4620</v>
      </c>
      <c r="AA4425" s="47"/>
      <c r="AB4425" s="47"/>
      <c r="AC4425" s="47"/>
      <c r="AD4425" s="47"/>
      <c r="AE4425" s="47"/>
      <c r="AF4425" s="47">
        <v>1650.0000000000002</v>
      </c>
      <c r="AG4425" s="47"/>
      <c r="AH4425" s="47" t="str">
        <f>IFERROR(_xlfn.XLOOKUP(Table6[[#This Row],[Suburb]],Table5[Travel Surcharge],Table5[$$]),"")</f>
        <v/>
      </c>
      <c r="AI4425" s="47">
        <v>1650.0000000000002</v>
      </c>
      <c r="AJ4425" s="47"/>
    </row>
    <row r="4426" spans="1:36">
      <c r="A4426" s="374" t="s">
        <v>6451</v>
      </c>
      <c r="B4426" s="374">
        <v>16</v>
      </c>
      <c r="C4426" s="374" t="s">
        <v>502</v>
      </c>
      <c r="D4426" s="375" t="str">
        <f t="shared" ref="D4426:D4463" si="988">CONCATENATE(A4426,B4426)</f>
        <v>Verdant Hill Estate16</v>
      </c>
      <c r="E4426" s="375" t="s">
        <v>9511</v>
      </c>
      <c r="F4426" s="375" t="s">
        <v>6453</v>
      </c>
      <c r="G4426" s="375" t="s">
        <v>2361</v>
      </c>
      <c r="H4426" s="375" t="s">
        <v>2362</v>
      </c>
      <c r="I4426" s="63" t="s">
        <v>2363</v>
      </c>
      <c r="J4426" s="47">
        <f t="shared" ref="J4426:J4436" si="989">J$7</f>
        <v>3740</v>
      </c>
      <c r="K4426" s="46" t="s">
        <v>10735</v>
      </c>
      <c r="L4426" s="47">
        <f>L$7</f>
        <v>1210</v>
      </c>
      <c r="M4426" s="47" t="s">
        <v>6454</v>
      </c>
      <c r="N4426" s="47" t="s">
        <v>6455</v>
      </c>
      <c r="O4426" s="47"/>
      <c r="P4426" s="47"/>
      <c r="Q4426" s="47"/>
      <c r="R4426" s="47">
        <f>R$2</f>
        <v>540</v>
      </c>
      <c r="S4426" s="47"/>
      <c r="T4426" s="47" t="s">
        <v>6456</v>
      </c>
      <c r="U4426" s="47"/>
      <c r="V4426" s="47"/>
      <c r="W4426" s="47"/>
      <c r="X4426" s="47"/>
      <c r="Y4426" s="47"/>
      <c r="Z4426" s="47">
        <f t="shared" ref="Z4426:Z4502" si="990">Z$7</f>
        <v>4620</v>
      </c>
      <c r="AA4426" s="47"/>
      <c r="AB4426" s="47"/>
      <c r="AC4426" s="47"/>
      <c r="AD4426" s="47"/>
      <c r="AE4426" s="47"/>
      <c r="AF4426" s="47">
        <f t="shared" ref="AF4426:AF4433" si="991">AF$7</f>
        <v>1485</v>
      </c>
      <c r="AG4426" s="47"/>
      <c r="AH4426" s="47" t="str">
        <f>IFERROR(_xlfn.XLOOKUP(Table6[[#This Row],[Suburb]],Table5[Travel Surcharge],Table5[$$]),"")</f>
        <v/>
      </c>
      <c r="AI4426" s="47">
        <f>AI$7</f>
        <v>1650.0000000000002</v>
      </c>
      <c r="AJ4426" s="47"/>
    </row>
    <row r="4427" spans="1:36">
      <c r="A4427" s="374" t="s">
        <v>6451</v>
      </c>
      <c r="B4427" s="374" t="s">
        <v>756</v>
      </c>
      <c r="C4427" s="374" t="s">
        <v>502</v>
      </c>
      <c r="D4427" s="375" t="str">
        <f t="shared" si="988"/>
        <v>Verdant Hill Estate10C</v>
      </c>
      <c r="E4427" s="375" t="s">
        <v>6468</v>
      </c>
      <c r="F4427" s="375" t="s">
        <v>6453</v>
      </c>
      <c r="G4427" s="375" t="s">
        <v>2361</v>
      </c>
      <c r="H4427" s="375" t="s">
        <v>2362</v>
      </c>
      <c r="I4427" s="63" t="s">
        <v>2363</v>
      </c>
      <c r="J4427" s="47">
        <f t="shared" si="989"/>
        <v>3740</v>
      </c>
      <c r="K4427" s="46" t="s">
        <v>10735</v>
      </c>
      <c r="L4427" s="47">
        <f>L$7</f>
        <v>1210</v>
      </c>
      <c r="M4427" s="47" t="s">
        <v>6454</v>
      </c>
      <c r="N4427" s="47" t="s">
        <v>6455</v>
      </c>
      <c r="O4427" s="47"/>
      <c r="P4427" s="47"/>
      <c r="Q4427" s="47"/>
      <c r="R4427" s="47">
        <f>R$2</f>
        <v>540</v>
      </c>
      <c r="S4427" s="47"/>
      <c r="T4427" s="47" t="s">
        <v>6456</v>
      </c>
      <c r="U4427" s="47"/>
      <c r="V4427" s="47"/>
      <c r="W4427" s="47"/>
      <c r="X4427" s="47"/>
      <c r="Y4427" s="47"/>
      <c r="Z4427" s="47">
        <f t="shared" si="990"/>
        <v>4620</v>
      </c>
      <c r="AA4427" s="47"/>
      <c r="AB4427" s="47"/>
      <c r="AC4427" s="47"/>
      <c r="AD4427" s="47"/>
      <c r="AE4427" s="47"/>
      <c r="AF4427" s="47">
        <f t="shared" si="991"/>
        <v>1485</v>
      </c>
      <c r="AG4427" s="47"/>
      <c r="AH4427" s="47" t="str">
        <f>IFERROR(_xlfn.XLOOKUP(Table6[[#This Row],[Suburb]],Table5[Travel Surcharge],Table5[$$]),"")</f>
        <v/>
      </c>
      <c r="AI4427" s="47">
        <f>AI$7</f>
        <v>1650.0000000000002</v>
      </c>
      <c r="AJ4427" s="47"/>
    </row>
    <row r="4428" spans="1:36">
      <c r="A4428" s="374" t="s">
        <v>6451</v>
      </c>
      <c r="B4428" s="374" t="s">
        <v>622</v>
      </c>
      <c r="C4428" s="374" t="s">
        <v>502</v>
      </c>
      <c r="D4428" s="375" t="str">
        <f t="shared" si="988"/>
        <v>Verdant Hill Estate6A</v>
      </c>
      <c r="E4428" s="375" t="s">
        <v>6461</v>
      </c>
      <c r="F4428" s="375" t="s">
        <v>6453</v>
      </c>
      <c r="G4428" s="375" t="s">
        <v>2361</v>
      </c>
      <c r="H4428" s="375" t="s">
        <v>2362</v>
      </c>
      <c r="I4428" s="63" t="s">
        <v>2363</v>
      </c>
      <c r="J4428" s="47">
        <f t="shared" si="989"/>
        <v>3740</v>
      </c>
      <c r="K4428" s="46" t="s">
        <v>10735</v>
      </c>
      <c r="L4428" s="47">
        <f>L$7</f>
        <v>1210</v>
      </c>
      <c r="M4428" s="47" t="s">
        <v>6454</v>
      </c>
      <c r="N4428" s="47" t="s">
        <v>6455</v>
      </c>
      <c r="O4428" s="47"/>
      <c r="P4428" s="47"/>
      <c r="Q4428" s="47"/>
      <c r="R4428" s="47">
        <f>R$2</f>
        <v>540</v>
      </c>
      <c r="S4428" s="47"/>
      <c r="T4428" s="47" t="s">
        <v>6456</v>
      </c>
      <c r="U4428" s="47"/>
      <c r="V4428" s="47"/>
      <c r="W4428" s="47"/>
      <c r="X4428" s="47"/>
      <c r="Y4428" s="47"/>
      <c r="Z4428" s="47">
        <f t="shared" si="990"/>
        <v>4620</v>
      </c>
      <c r="AA4428" s="47"/>
      <c r="AB4428" s="47"/>
      <c r="AC4428" s="47"/>
      <c r="AD4428" s="47"/>
      <c r="AE4428" s="47"/>
      <c r="AF4428" s="47">
        <f t="shared" si="991"/>
        <v>1485</v>
      </c>
      <c r="AG4428" s="47"/>
      <c r="AH4428" s="47" t="str">
        <f>IFERROR(_xlfn.XLOOKUP(Table6[[#This Row],[Suburb]],Table5[Travel Surcharge],Table5[$$]),"")</f>
        <v/>
      </c>
      <c r="AI4428" s="47">
        <f>AI$7</f>
        <v>1650.0000000000002</v>
      </c>
      <c r="AJ4428" s="47"/>
    </row>
    <row r="4429" spans="1:36">
      <c r="A4429" s="374" t="s">
        <v>6451</v>
      </c>
      <c r="B4429" s="374" t="s">
        <v>4251</v>
      </c>
      <c r="C4429" s="374" t="s">
        <v>502</v>
      </c>
      <c r="D4429" s="375" t="str">
        <f t="shared" si="988"/>
        <v>Verdant Hill Estate9C</v>
      </c>
      <c r="E4429" s="375" t="s">
        <v>6469</v>
      </c>
      <c r="F4429" s="375" t="s">
        <v>6453</v>
      </c>
      <c r="G4429" s="375" t="s">
        <v>2361</v>
      </c>
      <c r="H4429" s="375" t="s">
        <v>2362</v>
      </c>
      <c r="I4429" s="63" t="s">
        <v>2363</v>
      </c>
      <c r="J4429" s="47">
        <f t="shared" si="989"/>
        <v>3740</v>
      </c>
      <c r="K4429" s="46" t="s">
        <v>10735</v>
      </c>
      <c r="L4429" s="47">
        <f>L$7</f>
        <v>1210</v>
      </c>
      <c r="M4429" s="47" t="s">
        <v>6454</v>
      </c>
      <c r="N4429" s="47" t="s">
        <v>6455</v>
      </c>
      <c r="O4429" s="47"/>
      <c r="P4429" s="47"/>
      <c r="Q4429" s="47"/>
      <c r="R4429" s="47">
        <f>R$2</f>
        <v>540</v>
      </c>
      <c r="S4429" s="47"/>
      <c r="T4429" s="47" t="s">
        <v>6456</v>
      </c>
      <c r="U4429" s="47"/>
      <c r="V4429" s="47"/>
      <c r="W4429" s="47"/>
      <c r="X4429" s="47"/>
      <c r="Y4429" s="47"/>
      <c r="Z4429" s="47">
        <f t="shared" si="990"/>
        <v>4620</v>
      </c>
      <c r="AA4429" s="47"/>
      <c r="AB4429" s="47"/>
      <c r="AC4429" s="47"/>
      <c r="AD4429" s="47"/>
      <c r="AE4429" s="47"/>
      <c r="AF4429" s="47">
        <f t="shared" si="991"/>
        <v>1485</v>
      </c>
      <c r="AG4429" s="47"/>
      <c r="AH4429" s="47" t="str">
        <f>IFERROR(_xlfn.XLOOKUP(Table6[[#This Row],[Suburb]],Table5[Travel Surcharge],Table5[$$]),"")</f>
        <v/>
      </c>
      <c r="AI4429" s="47">
        <f>AI$7</f>
        <v>1650.0000000000002</v>
      </c>
      <c r="AJ4429" s="47"/>
    </row>
    <row r="4430" spans="1:36">
      <c r="A4430" s="374" t="s">
        <v>6470</v>
      </c>
      <c r="B4430" s="374">
        <v>1</v>
      </c>
      <c r="C4430" s="374" t="s">
        <v>428</v>
      </c>
      <c r="D4430" s="375" t="str">
        <f t="shared" si="988"/>
        <v>Verve1</v>
      </c>
      <c r="E4430" s="375" t="s">
        <v>6471</v>
      </c>
      <c r="F4430" s="375" t="s">
        <v>6472</v>
      </c>
      <c r="G4430" s="375" t="s">
        <v>3680</v>
      </c>
      <c r="H4430" s="375">
        <v>488972712</v>
      </c>
      <c r="I4430" s="63" t="s">
        <v>3681</v>
      </c>
      <c r="J4430" s="47">
        <f t="shared" si="989"/>
        <v>3740</v>
      </c>
      <c r="K4430" s="46" t="s">
        <v>10735</v>
      </c>
      <c r="L4430" s="47"/>
      <c r="M4430" s="47">
        <f>M$7</f>
        <v>1430.0000000000002</v>
      </c>
      <c r="N4430" s="47"/>
      <c r="O4430" s="47"/>
      <c r="P4430" s="47"/>
      <c r="Q4430" s="47"/>
      <c r="R4430" s="47"/>
      <c r="S4430" s="47" t="s">
        <v>637</v>
      </c>
      <c r="T4430" s="47"/>
      <c r="U4430" s="47"/>
      <c r="V4430" s="47"/>
      <c r="W4430" s="47" t="s">
        <v>6474</v>
      </c>
      <c r="X4430" s="47">
        <f>X$7</f>
        <v>3000</v>
      </c>
      <c r="Y4430" s="47" t="s">
        <v>6475</v>
      </c>
      <c r="Z4430" s="47">
        <f t="shared" si="990"/>
        <v>4620</v>
      </c>
      <c r="AA4430" s="47">
        <f>AA$7</f>
        <v>1400</v>
      </c>
      <c r="AB4430" s="47" t="s">
        <v>6476</v>
      </c>
      <c r="AC4430" s="47"/>
      <c r="AD4430" s="47" t="s">
        <v>1</v>
      </c>
      <c r="AE4430" s="47"/>
      <c r="AF4430" s="47">
        <f t="shared" si="991"/>
        <v>1485</v>
      </c>
      <c r="AG4430" s="47"/>
      <c r="AH4430" s="47" t="str">
        <f>IFERROR(_xlfn.XLOOKUP(Table6[[#This Row],[Suburb]],Table5[Travel Surcharge],Table5[$$]),"")</f>
        <v/>
      </c>
      <c r="AI4430" s="47"/>
      <c r="AJ4430" s="47"/>
    </row>
    <row r="4431" spans="1:36">
      <c r="A4431" s="157" t="s">
        <v>6470</v>
      </c>
      <c r="B4431" s="157">
        <v>2</v>
      </c>
      <c r="C4431" s="157" t="s">
        <v>428</v>
      </c>
      <c r="D4431" s="157" t="str">
        <f t="shared" si="988"/>
        <v>Verve2</v>
      </c>
      <c r="E4431" s="157" t="s">
        <v>7962</v>
      </c>
      <c r="F4431" s="157" t="s">
        <v>6472</v>
      </c>
      <c r="G4431" s="157" t="s">
        <v>3680</v>
      </c>
      <c r="H4431" s="157">
        <v>488972712</v>
      </c>
      <c r="I4431" s="158" t="s">
        <v>3681</v>
      </c>
      <c r="J4431" s="47">
        <f t="shared" si="989"/>
        <v>3740</v>
      </c>
      <c r="K4431" s="46" t="s">
        <v>10735</v>
      </c>
      <c r="L4431" s="47"/>
      <c r="M4431" s="47">
        <f>M$7</f>
        <v>1430.0000000000002</v>
      </c>
      <c r="N4431" s="47"/>
      <c r="O4431" s="47"/>
      <c r="P4431" s="47"/>
      <c r="Q4431" s="47"/>
      <c r="R4431" s="47"/>
      <c r="S4431" s="47" t="s">
        <v>637</v>
      </c>
      <c r="T4431" s="47"/>
      <c r="U4431" s="47"/>
      <c r="V4431" s="47"/>
      <c r="W4431" s="47" t="s">
        <v>6474</v>
      </c>
      <c r="X4431" s="47">
        <f>X$7</f>
        <v>3000</v>
      </c>
      <c r="Y4431" s="47" t="s">
        <v>6475</v>
      </c>
      <c r="Z4431" s="47">
        <f t="shared" si="990"/>
        <v>4620</v>
      </c>
      <c r="AA4431" s="47">
        <f>AA$7</f>
        <v>1400</v>
      </c>
      <c r="AB4431" s="47" t="s">
        <v>6476</v>
      </c>
      <c r="AC4431" s="47"/>
      <c r="AD4431" s="47" t="s">
        <v>1</v>
      </c>
      <c r="AE4431" s="47"/>
      <c r="AF4431" s="47">
        <f t="shared" si="991"/>
        <v>1485</v>
      </c>
      <c r="AG4431" s="47"/>
      <c r="AH4431" s="47" t="str">
        <f>IFERROR(_xlfn.XLOOKUP(Table6[[#This Row],[Suburb]],Table5[Travel Surcharge],Table5[$$]),"")</f>
        <v/>
      </c>
      <c r="AI4431" s="47"/>
      <c r="AJ4431" s="47"/>
    </row>
    <row r="4432" spans="1:36">
      <c r="A4432" s="157" t="s">
        <v>6470</v>
      </c>
      <c r="B4432" s="157">
        <v>3</v>
      </c>
      <c r="C4432" s="157" t="s">
        <v>428</v>
      </c>
      <c r="D4432" s="157" t="str">
        <f t="shared" si="988"/>
        <v>Verve3</v>
      </c>
      <c r="E4432" s="157" t="s">
        <v>8324</v>
      </c>
      <c r="F4432" s="157" t="s">
        <v>6472</v>
      </c>
      <c r="G4432" s="157" t="s">
        <v>3680</v>
      </c>
      <c r="H4432" s="157">
        <v>488972712</v>
      </c>
      <c r="I4432" s="158" t="s">
        <v>3681</v>
      </c>
      <c r="J4432" s="47">
        <f t="shared" si="989"/>
        <v>3740</v>
      </c>
      <c r="K4432" s="46" t="s">
        <v>10735</v>
      </c>
      <c r="L4432" s="47"/>
      <c r="M4432" s="47">
        <f>M$7</f>
        <v>1430.0000000000002</v>
      </c>
      <c r="N4432" s="47"/>
      <c r="O4432" s="47"/>
      <c r="P4432" s="47"/>
      <c r="Q4432" s="47"/>
      <c r="R4432" s="47"/>
      <c r="S4432" s="47" t="s">
        <v>637</v>
      </c>
      <c r="T4432" s="47"/>
      <c r="U4432" s="47"/>
      <c r="V4432" s="47"/>
      <c r="W4432" s="47" t="s">
        <v>6474</v>
      </c>
      <c r="X4432" s="47">
        <f>X$7</f>
        <v>3000</v>
      </c>
      <c r="Y4432" s="47" t="s">
        <v>6475</v>
      </c>
      <c r="Z4432" s="47">
        <f t="shared" si="990"/>
        <v>4620</v>
      </c>
      <c r="AA4432" s="47">
        <f>AA$7</f>
        <v>1400</v>
      </c>
      <c r="AB4432" s="47" t="s">
        <v>6476</v>
      </c>
      <c r="AC4432" s="47"/>
      <c r="AD4432" s="47" t="s">
        <v>1</v>
      </c>
      <c r="AE4432" s="47"/>
      <c r="AF4432" s="47">
        <f t="shared" si="991"/>
        <v>1485</v>
      </c>
      <c r="AG4432" s="47"/>
      <c r="AH4432" s="47" t="str">
        <f>IFERROR(_xlfn.XLOOKUP(Table6[[#This Row],[Suburb]],Table5[Travel Surcharge],Table5[$$]),"")</f>
        <v/>
      </c>
      <c r="AI4432" s="47"/>
      <c r="AJ4432" s="47"/>
    </row>
    <row r="4433" spans="1:36">
      <c r="A4433" s="157" t="s">
        <v>6470</v>
      </c>
      <c r="B4433" s="157">
        <v>4</v>
      </c>
      <c r="C4433" s="157" t="s">
        <v>428</v>
      </c>
      <c r="D4433" s="157" t="str">
        <f t="shared" si="988"/>
        <v>Verve4</v>
      </c>
      <c r="E4433" s="157" t="s">
        <v>9311</v>
      </c>
      <c r="F4433" s="157" t="s">
        <v>6472</v>
      </c>
      <c r="G4433" s="157" t="s">
        <v>3680</v>
      </c>
      <c r="H4433" s="157">
        <v>488972712</v>
      </c>
      <c r="I4433" s="158" t="s">
        <v>3681</v>
      </c>
      <c r="J4433" s="47">
        <f t="shared" si="989"/>
        <v>3740</v>
      </c>
      <c r="K4433" s="46" t="s">
        <v>10735</v>
      </c>
      <c r="L4433" s="47"/>
      <c r="M4433" s="47">
        <f>M$7</f>
        <v>1430.0000000000002</v>
      </c>
      <c r="N4433" s="47"/>
      <c r="O4433" s="47"/>
      <c r="P4433" s="47"/>
      <c r="Q4433" s="47"/>
      <c r="R4433" s="47"/>
      <c r="S4433" s="47" t="s">
        <v>637</v>
      </c>
      <c r="T4433" s="47"/>
      <c r="U4433" s="47"/>
      <c r="V4433" s="47"/>
      <c r="W4433" s="47" t="s">
        <v>6474</v>
      </c>
      <c r="X4433" s="47">
        <f>X$7</f>
        <v>3000</v>
      </c>
      <c r="Y4433" s="47" t="s">
        <v>6475</v>
      </c>
      <c r="Z4433" s="47">
        <f t="shared" si="990"/>
        <v>4620</v>
      </c>
      <c r="AA4433" s="47">
        <f>AA$7</f>
        <v>1400</v>
      </c>
      <c r="AB4433" s="47" t="s">
        <v>6476</v>
      </c>
      <c r="AC4433" s="47"/>
      <c r="AD4433" s="47" t="s">
        <v>1</v>
      </c>
      <c r="AE4433" s="47"/>
      <c r="AF4433" s="47">
        <f t="shared" si="991"/>
        <v>1485</v>
      </c>
      <c r="AG4433" s="47"/>
      <c r="AH4433" s="47" t="str">
        <f>IFERROR(_xlfn.XLOOKUP(Table6[[#This Row],[Suburb]],Table5[Travel Surcharge],Table5[$$]),"")</f>
        <v/>
      </c>
      <c r="AI4433" s="47"/>
      <c r="AJ4433" s="47"/>
    </row>
    <row r="4434" spans="1:36">
      <c r="A4434" s="374" t="s">
        <v>6470</v>
      </c>
      <c r="B4434" s="276" t="s">
        <v>622</v>
      </c>
      <c r="C4434" s="374" t="s">
        <v>428</v>
      </c>
      <c r="D4434" s="157" t="str">
        <f t="shared" si="988"/>
        <v>Verve6A</v>
      </c>
      <c r="E4434" s="375" t="s">
        <v>9932</v>
      </c>
      <c r="F4434" s="375" t="s">
        <v>6472</v>
      </c>
      <c r="G4434" s="375" t="s">
        <v>3680</v>
      </c>
      <c r="H4434" s="375">
        <v>488972712</v>
      </c>
      <c r="I4434" s="63" t="s">
        <v>3681</v>
      </c>
      <c r="J4434" s="47">
        <v>3740</v>
      </c>
      <c r="K4434" s="46" t="s">
        <v>10735</v>
      </c>
      <c r="L4434" s="47"/>
      <c r="M4434" s="47">
        <v>1430.0000000000002</v>
      </c>
      <c r="N4434" s="47"/>
      <c r="O4434" s="47"/>
      <c r="P4434" s="47"/>
      <c r="Q4434" s="47"/>
      <c r="R4434" s="47"/>
      <c r="S4434" s="47" t="s">
        <v>637</v>
      </c>
      <c r="T4434" s="47"/>
      <c r="U4434" s="47"/>
      <c r="V4434" s="47"/>
      <c r="W4434" s="47" t="s">
        <v>6474</v>
      </c>
      <c r="X4434" s="47">
        <v>3000</v>
      </c>
      <c r="Y4434" s="47" t="s">
        <v>6475</v>
      </c>
      <c r="Z4434" s="47">
        <v>4620</v>
      </c>
      <c r="AA4434" s="47">
        <v>1400</v>
      </c>
      <c r="AB4434" s="47" t="s">
        <v>6476</v>
      </c>
      <c r="AC4434" s="47"/>
      <c r="AD4434" s="47" t="s">
        <v>1</v>
      </c>
      <c r="AE4434" s="47"/>
      <c r="AF4434" s="47">
        <v>1485</v>
      </c>
      <c r="AG4434" s="47"/>
      <c r="AH4434" s="47" t="str">
        <f>IFERROR(_xlfn.XLOOKUP(Table6[[#This Row],[Suburb]],Table5[Travel Surcharge],Table5[$$]),"")</f>
        <v/>
      </c>
      <c r="AI4434" s="47"/>
      <c r="AJ4434" s="47"/>
    </row>
    <row r="4435" spans="1:36">
      <c r="A4435" s="374" t="s">
        <v>6470</v>
      </c>
      <c r="B4435" s="276">
        <v>7</v>
      </c>
      <c r="C4435" s="374" t="s">
        <v>428</v>
      </c>
      <c r="D4435" s="157" t="str">
        <f t="shared" ref="D4435" si="992">CONCATENATE(A4435,B4435)</f>
        <v>Verve7</v>
      </c>
      <c r="E4435" s="375" t="s">
        <v>10691</v>
      </c>
      <c r="F4435" s="375" t="s">
        <v>6472</v>
      </c>
      <c r="G4435" s="375" t="s">
        <v>3680</v>
      </c>
      <c r="H4435" s="375">
        <v>488972712</v>
      </c>
      <c r="I4435" s="63" t="s">
        <v>3681</v>
      </c>
      <c r="J4435" s="47">
        <v>3740</v>
      </c>
      <c r="K4435" s="46" t="s">
        <v>10735</v>
      </c>
      <c r="L4435" s="47"/>
      <c r="M4435" s="47">
        <v>1430.0000000000002</v>
      </c>
      <c r="N4435" s="47"/>
      <c r="O4435" s="47"/>
      <c r="P4435" s="47"/>
      <c r="Q4435" s="47"/>
      <c r="R4435" s="47"/>
      <c r="S4435" s="47" t="s">
        <v>637</v>
      </c>
      <c r="T4435" s="47"/>
      <c r="U4435" s="47"/>
      <c r="V4435" s="47"/>
      <c r="W4435" s="47" t="s">
        <v>6474</v>
      </c>
      <c r="X4435" s="47">
        <v>3000</v>
      </c>
      <c r="Y4435" s="47" t="s">
        <v>6475</v>
      </c>
      <c r="Z4435" s="47">
        <v>4620</v>
      </c>
      <c r="AA4435" s="47">
        <v>1400</v>
      </c>
      <c r="AB4435" s="47" t="s">
        <v>6476</v>
      </c>
      <c r="AC4435" s="47"/>
      <c r="AD4435" s="47" t="s">
        <v>1</v>
      </c>
      <c r="AE4435" s="47"/>
      <c r="AF4435" s="47">
        <v>1485</v>
      </c>
      <c r="AG4435" s="47"/>
      <c r="AH4435" s="47" t="str">
        <f>IFERROR(_xlfn.XLOOKUP(Table6[[#This Row],[Suburb]],Table5[Travel Surcharge],Table5[$$]),"")</f>
        <v/>
      </c>
      <c r="AI4435" s="47"/>
      <c r="AJ4435" s="47"/>
    </row>
    <row r="4436" spans="1:36">
      <c r="A4436" s="374" t="s">
        <v>6477</v>
      </c>
      <c r="B4436" s="374">
        <v>5</v>
      </c>
      <c r="C4436" s="374" t="s">
        <v>290</v>
      </c>
      <c r="D4436" s="375" t="str">
        <f t="shared" si="988"/>
        <v>Vineyard Estate5</v>
      </c>
      <c r="E4436" s="375" t="s">
        <v>6478</v>
      </c>
      <c r="F4436" s="375" t="s">
        <v>6479</v>
      </c>
      <c r="G4436" s="375" t="s">
        <v>6479</v>
      </c>
      <c r="H4436" s="375" t="s">
        <v>6480</v>
      </c>
      <c r="I4436" s="63" t="s">
        <v>6481</v>
      </c>
      <c r="J4436" s="47">
        <f t="shared" si="989"/>
        <v>3740</v>
      </c>
      <c r="K4436" s="46" t="s">
        <v>10735</v>
      </c>
      <c r="L4436" s="47"/>
      <c r="M4436" s="47"/>
      <c r="N4436" s="47"/>
      <c r="O4436" s="47"/>
      <c r="P4436" s="47"/>
      <c r="Q4436" s="47">
        <f>Q$2</f>
        <v>0</v>
      </c>
      <c r="R4436" s="47"/>
      <c r="S4436" s="47"/>
      <c r="T4436" s="47"/>
      <c r="U4436" s="47"/>
      <c r="V4436" s="47"/>
      <c r="W4436" s="47" t="s">
        <v>6482</v>
      </c>
      <c r="X4436" s="47"/>
      <c r="Y4436" s="47"/>
      <c r="Z4436" s="47">
        <f t="shared" si="990"/>
        <v>4620</v>
      </c>
      <c r="AA4436" s="47"/>
      <c r="AB4436" s="47"/>
      <c r="AC4436" s="47"/>
      <c r="AD4436" s="47"/>
      <c r="AE4436" s="47"/>
      <c r="AF4436" s="47"/>
      <c r="AG4436" s="47"/>
      <c r="AH4436" s="47">
        <f>IFERROR(_xlfn.XLOOKUP(Table6[[#This Row],[Suburb]],Table5[Travel Surcharge],Table5[$$]),"")</f>
        <v>7000</v>
      </c>
      <c r="AI4436" s="47"/>
      <c r="AJ4436" s="47"/>
    </row>
    <row r="4437" spans="1:36">
      <c r="A4437" s="382" t="s">
        <v>10679</v>
      </c>
      <c r="B4437" s="382">
        <v>1</v>
      </c>
      <c r="C4437" s="382" t="s">
        <v>1024</v>
      </c>
      <c r="D4437" s="382" t="str">
        <f t="shared" si="988"/>
        <v>Viridian1</v>
      </c>
      <c r="E4437" s="382" t="s">
        <v>10680</v>
      </c>
      <c r="F4437" s="382" t="s">
        <v>10688</v>
      </c>
      <c r="G4437" s="382" t="s">
        <v>10681</v>
      </c>
      <c r="H4437" s="382" t="s">
        <v>10682</v>
      </c>
      <c r="I4437" s="305" t="s">
        <v>10683</v>
      </c>
      <c r="J4437" s="306">
        <v>3740</v>
      </c>
      <c r="K4437" s="387" t="s">
        <v>10735</v>
      </c>
      <c r="L4437" s="306"/>
      <c r="M4437" s="306"/>
      <c r="N4437" s="306" t="s">
        <v>10684</v>
      </c>
      <c r="O4437" s="306"/>
      <c r="P4437" s="306" t="s">
        <v>10686</v>
      </c>
      <c r="Q4437" s="306"/>
      <c r="R4437" s="306"/>
      <c r="S4437" s="306"/>
      <c r="T4437" s="306">
        <v>1420</v>
      </c>
      <c r="U4437" s="306"/>
      <c r="V4437" s="306"/>
      <c r="W4437" s="306"/>
      <c r="X4437" s="306">
        <v>3000</v>
      </c>
      <c r="Y4437" s="306" t="s">
        <v>6475</v>
      </c>
      <c r="Z4437" s="306">
        <f t="shared" si="990"/>
        <v>4620</v>
      </c>
      <c r="AA4437" s="306">
        <v>1400</v>
      </c>
      <c r="AB4437" s="306" t="s">
        <v>10685</v>
      </c>
      <c r="AC4437" s="306">
        <v>5200</v>
      </c>
      <c r="AD4437" s="306" t="s">
        <v>9630</v>
      </c>
      <c r="AE4437" s="306" t="s">
        <v>10687</v>
      </c>
      <c r="AF4437" s="306">
        <v>1485</v>
      </c>
      <c r="AG4437" s="306"/>
      <c r="AH4437" s="306" t="str">
        <f>IFERROR(_xlfn.XLOOKUP(Table6[[#This Row],[Suburb]],Table5[Travel Surcharge],Table5[$$]),"")</f>
        <v/>
      </c>
      <c r="AI4437" s="306"/>
      <c r="AJ4437" s="306"/>
    </row>
    <row r="4438" spans="1:36">
      <c r="A4438" s="382" t="s">
        <v>10679</v>
      </c>
      <c r="B4438" s="382">
        <v>2</v>
      </c>
      <c r="C4438" s="382" t="s">
        <v>1024</v>
      </c>
      <c r="D4438" s="382" t="str">
        <f t="shared" ref="D4438" si="993">CONCATENATE(A4438,B4438)</f>
        <v>Viridian2</v>
      </c>
      <c r="E4438" s="382"/>
      <c r="F4438" s="382" t="s">
        <v>10688</v>
      </c>
      <c r="G4438" s="382" t="s">
        <v>10681</v>
      </c>
      <c r="H4438" s="382" t="s">
        <v>10682</v>
      </c>
      <c r="I4438" s="305" t="s">
        <v>10683</v>
      </c>
      <c r="J4438" s="306">
        <v>3740</v>
      </c>
      <c r="K4438" s="387" t="s">
        <v>10735</v>
      </c>
      <c r="L4438" s="306"/>
      <c r="M4438" s="306"/>
      <c r="N4438" s="306" t="s">
        <v>10684</v>
      </c>
      <c r="O4438" s="306"/>
      <c r="P4438" s="306" t="s">
        <v>10686</v>
      </c>
      <c r="Q4438" s="306"/>
      <c r="R4438" s="306"/>
      <c r="S4438" s="306"/>
      <c r="T4438" s="306">
        <v>1420</v>
      </c>
      <c r="U4438" s="306"/>
      <c r="V4438" s="306"/>
      <c r="W4438" s="306"/>
      <c r="X4438" s="306">
        <v>3000</v>
      </c>
      <c r="Y4438" s="306" t="s">
        <v>6475</v>
      </c>
      <c r="Z4438" s="306">
        <f t="shared" si="990"/>
        <v>4620</v>
      </c>
      <c r="AA4438" s="306">
        <v>1400</v>
      </c>
      <c r="AB4438" s="306" t="s">
        <v>10685</v>
      </c>
      <c r="AC4438" s="306">
        <v>5200</v>
      </c>
      <c r="AD4438" s="306" t="s">
        <v>9630</v>
      </c>
      <c r="AE4438" s="306" t="s">
        <v>10687</v>
      </c>
      <c r="AF4438" s="306">
        <v>1485</v>
      </c>
      <c r="AG4438" s="306"/>
      <c r="AH4438" s="306" t="str">
        <f>IFERROR(_xlfn.XLOOKUP(Table6[[#This Row],[Suburb]],Table5[Travel Surcharge],Table5[$$]),"")</f>
        <v/>
      </c>
      <c r="AI4438" s="306"/>
      <c r="AJ4438" s="306"/>
    </row>
    <row r="4439" spans="1:36">
      <c r="A4439" s="374" t="s">
        <v>9422</v>
      </c>
      <c r="B4439" s="374">
        <v>1</v>
      </c>
      <c r="C4439" s="374" t="s">
        <v>3457</v>
      </c>
      <c r="D4439" s="375" t="str">
        <f t="shared" ref="D4439" si="994">CONCATENATE(A4439,B4439)</f>
        <v>Vista1</v>
      </c>
      <c r="E4439" s="375" t="s">
        <v>9423</v>
      </c>
      <c r="F4439" s="375" t="s">
        <v>9424</v>
      </c>
      <c r="G4439" s="375" t="s">
        <v>9425</v>
      </c>
      <c r="H4439" s="375" t="s">
        <v>9426</v>
      </c>
      <c r="I4439" s="63" t="s">
        <v>9427</v>
      </c>
      <c r="J4439" s="47"/>
      <c r="K4439" s="46" t="s">
        <v>10735</v>
      </c>
      <c r="L4439" s="47"/>
      <c r="M4439" s="47"/>
      <c r="N4439" s="47"/>
      <c r="O4439" s="47"/>
      <c r="P4439" s="47"/>
      <c r="Q4439" s="47" t="s">
        <v>9437</v>
      </c>
      <c r="R4439" s="47">
        <f>R$2</f>
        <v>540</v>
      </c>
      <c r="S4439" s="47"/>
      <c r="T4439" s="47"/>
      <c r="U4439" s="47"/>
      <c r="V4439" s="47"/>
      <c r="W4439" s="47"/>
      <c r="X4439" s="47"/>
      <c r="Y4439" s="47"/>
      <c r="Z4439" s="47">
        <f t="shared" si="990"/>
        <v>4620</v>
      </c>
      <c r="AA4439" s="47"/>
      <c r="AB4439" s="47"/>
      <c r="AC4439" s="47"/>
      <c r="AD4439" s="47"/>
      <c r="AE4439" s="47"/>
      <c r="AF4439" s="47"/>
      <c r="AG4439" s="47"/>
      <c r="AH4439" s="47">
        <f>IFERROR(_xlfn.XLOOKUP(Table6[[#This Row],[Suburb]],Table5[Travel Surcharge],Table5[$$]),"")</f>
        <v>8000</v>
      </c>
      <c r="AI4439" s="47"/>
      <c r="AJ4439" s="47"/>
    </row>
    <row r="4440" spans="1:36">
      <c r="A4440" s="374" t="s">
        <v>9422</v>
      </c>
      <c r="B4440" s="374">
        <v>2</v>
      </c>
      <c r="C4440" s="374" t="s">
        <v>3457</v>
      </c>
      <c r="D4440" s="375" t="str">
        <f t="shared" si="988"/>
        <v>Vista2</v>
      </c>
      <c r="E4440" s="375" t="s">
        <v>9428</v>
      </c>
      <c r="F4440" s="375" t="s">
        <v>9424</v>
      </c>
      <c r="G4440" s="375" t="s">
        <v>9425</v>
      </c>
      <c r="H4440" s="375" t="s">
        <v>9426</v>
      </c>
      <c r="I4440" s="63" t="s">
        <v>9427</v>
      </c>
      <c r="J4440" s="47"/>
      <c r="K4440" s="46" t="s">
        <v>10735</v>
      </c>
      <c r="L4440" s="47"/>
      <c r="M4440" s="47"/>
      <c r="N4440" s="47"/>
      <c r="O4440" s="47"/>
      <c r="P4440" s="47"/>
      <c r="Q4440" s="47"/>
      <c r="R4440" s="47">
        <f>R$2</f>
        <v>540</v>
      </c>
      <c r="S4440" s="47"/>
      <c r="T4440" s="47"/>
      <c r="U4440" s="47"/>
      <c r="V4440" s="47"/>
      <c r="W4440" s="47"/>
      <c r="X4440" s="47"/>
      <c r="Y4440" s="47"/>
      <c r="Z4440" s="47">
        <f t="shared" si="990"/>
        <v>4620</v>
      </c>
      <c r="AA4440" s="47"/>
      <c r="AB4440" s="47"/>
      <c r="AC4440" s="47"/>
      <c r="AD4440" s="47"/>
      <c r="AE4440" s="47"/>
      <c r="AF4440" s="47"/>
      <c r="AG4440" s="47"/>
      <c r="AH4440" s="47">
        <f>IFERROR(_xlfn.XLOOKUP(Table6[[#This Row],[Suburb]],Table5[Travel Surcharge],Table5[$$]),"")</f>
        <v>8000</v>
      </c>
      <c r="AI4440" s="47"/>
      <c r="AJ4440" s="47"/>
    </row>
    <row r="4441" spans="1:36">
      <c r="A4441" s="374" t="s">
        <v>10316</v>
      </c>
      <c r="B4441" s="374">
        <v>1</v>
      </c>
      <c r="C4441" s="374" t="s">
        <v>794</v>
      </c>
      <c r="D4441" s="375" t="str">
        <f>CONCATENATE(A4441,B4441)</f>
        <v>Vista Verde1</v>
      </c>
      <c r="E4441" s="375" t="s">
        <v>10317</v>
      </c>
      <c r="F4441" s="375"/>
      <c r="G4441" s="375" t="s">
        <v>10318</v>
      </c>
      <c r="H4441" s="375" t="s">
        <v>10319</v>
      </c>
      <c r="I4441" s="63" t="s">
        <v>10320</v>
      </c>
      <c r="J4441" s="47">
        <v>3740</v>
      </c>
      <c r="K4441" s="46" t="s">
        <v>10735</v>
      </c>
      <c r="L4441" s="47" t="s">
        <v>10322</v>
      </c>
      <c r="M4441" s="47" t="s">
        <v>10323</v>
      </c>
      <c r="N4441" s="47" t="s">
        <v>10324</v>
      </c>
      <c r="O4441" s="47" t="s">
        <v>10321</v>
      </c>
      <c r="P4441" s="47"/>
      <c r="Q4441" s="47"/>
      <c r="R4441" s="47"/>
      <c r="S4441" s="47"/>
      <c r="T4441" s="47" t="s">
        <v>10326</v>
      </c>
      <c r="U4441" s="47">
        <v>540</v>
      </c>
      <c r="V4441" s="47" t="s">
        <v>10325</v>
      </c>
      <c r="W4441" s="47"/>
      <c r="X4441" s="47"/>
      <c r="Y4441" s="47"/>
      <c r="Z4441" s="47">
        <f>Z$7</f>
        <v>4620</v>
      </c>
      <c r="AA4441" s="47"/>
      <c r="AB4441" s="47"/>
      <c r="AC4441" s="47"/>
      <c r="AD4441" s="47"/>
      <c r="AE4441" s="47"/>
      <c r="AF4441" s="47">
        <v>1485</v>
      </c>
      <c r="AG4441" s="47"/>
      <c r="AH4441" s="47" t="e">
        <f>IF((COUNTIF(#REF!,C4441)&gt;0),(IF('Pricing Sheet'!$C$3&lt;&gt;"",(VLOOKUP(C4441,AQ:AQ,2,FALSE)),(VLOOKUP(C4441,AQ:AQ,3,FALSE)))),"")</f>
        <v>#REF!</v>
      </c>
      <c r="AI4441" s="47"/>
      <c r="AJ4441" s="47"/>
    </row>
    <row r="4442" spans="1:36">
      <c r="A4442" s="374" t="s">
        <v>10316</v>
      </c>
      <c r="B4442" s="374">
        <v>2</v>
      </c>
      <c r="C4442" s="374" t="s">
        <v>794</v>
      </c>
      <c r="D4442" s="375" t="str">
        <f>CONCATENATE(A4442,B4442)</f>
        <v>Vista Verde2</v>
      </c>
      <c r="E4442" s="375" t="s">
        <v>10340</v>
      </c>
      <c r="F4442" s="375"/>
      <c r="G4442" s="375" t="s">
        <v>10318</v>
      </c>
      <c r="H4442" s="375" t="s">
        <v>10319</v>
      </c>
      <c r="I4442" s="63" t="s">
        <v>10320</v>
      </c>
      <c r="J4442" s="47">
        <v>3740</v>
      </c>
      <c r="K4442" s="46" t="s">
        <v>10735</v>
      </c>
      <c r="L4442" s="47" t="s">
        <v>10322</v>
      </c>
      <c r="M4442" s="47" t="s">
        <v>10323</v>
      </c>
      <c r="N4442" s="47" t="s">
        <v>10324</v>
      </c>
      <c r="O4442" s="47" t="s">
        <v>10321</v>
      </c>
      <c r="P4442" s="47"/>
      <c r="Q4442" s="47"/>
      <c r="R4442" s="47"/>
      <c r="S4442" s="47"/>
      <c r="T4442" s="47" t="s">
        <v>10326</v>
      </c>
      <c r="U4442" s="47">
        <v>540</v>
      </c>
      <c r="V4442" s="47" t="s">
        <v>10325</v>
      </c>
      <c r="W4442" s="47"/>
      <c r="X4442" s="47"/>
      <c r="Y4442" s="47"/>
      <c r="Z4442" s="47">
        <f>Z$7</f>
        <v>4620</v>
      </c>
      <c r="AA4442" s="47"/>
      <c r="AB4442" s="47"/>
      <c r="AC4442" s="47"/>
      <c r="AD4442" s="47"/>
      <c r="AE4442" s="47"/>
      <c r="AF4442" s="47">
        <v>1485</v>
      </c>
      <c r="AG4442" s="47"/>
      <c r="AH4442" s="47" t="e">
        <f>IF((COUNTIF(#REF!,C4442)&gt;0),(IF('Pricing Sheet'!$C$3&lt;&gt;"",(VLOOKUP(C4442,AQ:AQ,2,FALSE)),(VLOOKUP(C4442,AQ:AQ,3,FALSE)))),"")</f>
        <v>#REF!</v>
      </c>
      <c r="AI4442" s="47"/>
      <c r="AJ4442" s="47"/>
    </row>
    <row r="4443" spans="1:36">
      <c r="A4443" s="374" t="s">
        <v>6483</v>
      </c>
      <c r="B4443" s="374">
        <v>1</v>
      </c>
      <c r="C4443" s="374" t="s">
        <v>281</v>
      </c>
      <c r="D4443" s="375" t="str">
        <f t="shared" si="988"/>
        <v>Voltaire Estate1</v>
      </c>
      <c r="E4443" s="375" t="s">
        <v>6484</v>
      </c>
      <c r="F4443" s="375"/>
      <c r="G4443" s="375"/>
      <c r="H4443" s="375"/>
      <c r="I4443" s="63"/>
      <c r="J4443" s="47">
        <f>J$7</f>
        <v>3740</v>
      </c>
      <c r="K4443" s="46" t="s">
        <v>10735</v>
      </c>
      <c r="L4443" s="47"/>
      <c r="M4443" s="47"/>
      <c r="N4443" s="47"/>
      <c r="O4443" s="47" t="s">
        <v>1846</v>
      </c>
      <c r="P4443" s="47"/>
      <c r="Q4443" s="47"/>
      <c r="R4443" s="47">
        <f>R$2</f>
        <v>540</v>
      </c>
      <c r="S4443" s="47"/>
      <c r="T4443" s="47" t="s">
        <v>6485</v>
      </c>
      <c r="U4443" s="47" t="s">
        <v>6486</v>
      </c>
      <c r="V4443" s="47"/>
      <c r="W4443" s="47"/>
      <c r="X4443" s="47">
        <f>X$7</f>
        <v>3000</v>
      </c>
      <c r="Y4443" s="47"/>
      <c r="Z4443" s="47">
        <f t="shared" si="990"/>
        <v>4620</v>
      </c>
      <c r="AA4443" s="47">
        <f>AA$7</f>
        <v>1400</v>
      </c>
      <c r="AB4443" s="47"/>
      <c r="AC4443" s="47"/>
      <c r="AD4443" s="47"/>
      <c r="AE4443" s="47"/>
      <c r="AF4443" s="47">
        <f>AF$7</f>
        <v>1485</v>
      </c>
      <c r="AG4443" s="47"/>
      <c r="AH4443" s="47">
        <f>IFERROR(_xlfn.XLOOKUP(Table6[[#This Row],[Suburb]],Table5[Travel Surcharge],Table5[$$]),"")</f>
        <v>1500</v>
      </c>
      <c r="AI4443" s="47"/>
      <c r="AJ4443" s="47"/>
    </row>
    <row r="4444" spans="1:36">
      <c r="A4444" s="374" t="s">
        <v>6490</v>
      </c>
      <c r="B4444" s="374">
        <v>18</v>
      </c>
      <c r="C4444" s="374" t="s">
        <v>2433</v>
      </c>
      <c r="D4444" s="375" t="str">
        <f t="shared" si="988"/>
        <v>Wallan Valley18</v>
      </c>
      <c r="E4444" s="375" t="s">
        <v>6491</v>
      </c>
      <c r="F4444" s="375"/>
      <c r="G4444" s="375"/>
      <c r="H4444" s="375"/>
      <c r="I4444" s="63"/>
      <c r="J4444" s="47"/>
      <c r="K4444" s="46" t="s">
        <v>10735</v>
      </c>
      <c r="L4444" s="47"/>
      <c r="M4444" s="47"/>
      <c r="N4444" s="47"/>
      <c r="O4444" s="47" t="s">
        <v>6492</v>
      </c>
      <c r="P4444" s="47"/>
      <c r="Q4444" s="47">
        <f>Q$2</f>
        <v>0</v>
      </c>
      <c r="R4444" s="47"/>
      <c r="S4444" s="47"/>
      <c r="T4444" s="47"/>
      <c r="U4444" s="47" t="s">
        <v>1192</v>
      </c>
      <c r="V4444" s="47"/>
      <c r="W4444" s="47"/>
      <c r="X4444" s="47"/>
      <c r="Y4444" s="47"/>
      <c r="Z4444" s="47">
        <f t="shared" si="990"/>
        <v>4620</v>
      </c>
      <c r="AA4444" s="47"/>
      <c r="AB4444" s="47"/>
      <c r="AC4444" s="47"/>
      <c r="AD4444" s="47"/>
      <c r="AE4444" s="47"/>
      <c r="AF4444" s="47">
        <f>AF$7</f>
        <v>1485</v>
      </c>
      <c r="AG4444" s="47"/>
      <c r="AH4444" s="47" t="str">
        <f>IFERROR(_xlfn.XLOOKUP(Table6[[#This Row],[Suburb]],Table5[Travel Surcharge],Table5[$$]),"")</f>
        <v/>
      </c>
      <c r="AI4444" s="47"/>
      <c r="AJ4444" s="47"/>
    </row>
    <row r="4445" spans="1:36">
      <c r="A4445" s="374" t="s">
        <v>6487</v>
      </c>
      <c r="B4445" s="374">
        <v>1</v>
      </c>
      <c r="C4445" s="374" t="s">
        <v>2433</v>
      </c>
      <c r="D4445" s="375" t="str">
        <f t="shared" si="988"/>
        <v>Wallanbrae1</v>
      </c>
      <c r="E4445" s="375" t="s">
        <v>6488</v>
      </c>
      <c r="F4445" s="375"/>
      <c r="G4445" s="375" t="s">
        <v>494</v>
      </c>
      <c r="H4445" s="375" t="s">
        <v>1521</v>
      </c>
      <c r="I4445" s="63" t="s">
        <v>1522</v>
      </c>
      <c r="J4445" s="47">
        <f t="shared" ref="J4445:J4467" si="995">J$7</f>
        <v>3740</v>
      </c>
      <c r="K4445" s="46" t="s">
        <v>10735</v>
      </c>
      <c r="L4445" s="47"/>
      <c r="M4445" s="47"/>
      <c r="N4445" s="47" t="s">
        <v>6489</v>
      </c>
      <c r="O4445" s="47"/>
      <c r="P4445" s="47"/>
      <c r="Q4445" s="47"/>
      <c r="R4445" s="47"/>
      <c r="S4445" s="47"/>
      <c r="T4445" s="47"/>
      <c r="U4445" s="47">
        <f>U$2</f>
        <v>430</v>
      </c>
      <c r="V4445" s="47"/>
      <c r="W4445" s="47"/>
      <c r="X4445" s="47"/>
      <c r="Y4445" s="47"/>
      <c r="Z4445" s="47">
        <f t="shared" si="990"/>
        <v>4620</v>
      </c>
      <c r="AA4445" s="47"/>
      <c r="AB4445" s="47"/>
      <c r="AC4445" s="47"/>
      <c r="AD4445" s="47"/>
      <c r="AE4445" s="47"/>
      <c r="AF4445" s="47">
        <f>AF$7</f>
        <v>1485</v>
      </c>
      <c r="AG4445" s="47"/>
      <c r="AH4445" s="47" t="str">
        <f>IFERROR(_xlfn.XLOOKUP(Table6[[#This Row],[Suburb]],Table5[Travel Surcharge],Table5[$$]),"")</f>
        <v/>
      </c>
      <c r="AI4445" s="47"/>
      <c r="AJ4445" s="47"/>
    </row>
    <row r="4446" spans="1:36">
      <c r="A4446" s="374" t="s">
        <v>6493</v>
      </c>
      <c r="B4446" s="374">
        <v>2</v>
      </c>
      <c r="C4446" s="374" t="s">
        <v>2433</v>
      </c>
      <c r="D4446" s="375" t="str">
        <f t="shared" si="988"/>
        <v>Wallara Waters Estate2</v>
      </c>
      <c r="E4446" s="375" t="s">
        <v>6494</v>
      </c>
      <c r="F4446" s="375" t="s">
        <v>1428</v>
      </c>
      <c r="G4446" s="375" t="s">
        <v>5622</v>
      </c>
      <c r="H4446" s="375" t="s">
        <v>5623</v>
      </c>
      <c r="I4446" s="63" t="s">
        <v>5624</v>
      </c>
      <c r="J4446" s="47">
        <f t="shared" si="995"/>
        <v>3740</v>
      </c>
      <c r="K4446" s="46" t="s">
        <v>10735</v>
      </c>
      <c r="L4446" s="47"/>
      <c r="M4446" s="47"/>
      <c r="N4446" s="47"/>
      <c r="O4446" s="47"/>
      <c r="P4446" s="47"/>
      <c r="Q4446" s="47"/>
      <c r="R4446" s="47"/>
      <c r="S4446" s="47"/>
      <c r="T4446" s="47">
        <f t="shared" ref="T4446:T4467" si="996">T$2</f>
        <v>780</v>
      </c>
      <c r="U4446" s="47"/>
      <c r="V4446" s="47"/>
      <c r="W4446" s="47"/>
      <c r="X4446" s="47"/>
      <c r="Y4446" s="47"/>
      <c r="Z4446" s="47">
        <f t="shared" si="990"/>
        <v>4620</v>
      </c>
      <c r="AA4446" s="47"/>
      <c r="AB4446" s="47"/>
      <c r="AC4446" s="47"/>
      <c r="AD4446" s="47"/>
      <c r="AE4446" s="47"/>
      <c r="AF4446" s="47"/>
      <c r="AG4446" s="47"/>
      <c r="AH4446" s="47" t="str">
        <f>IFERROR(_xlfn.XLOOKUP(Table6[[#This Row],[Suburb]],Table5[Travel Surcharge],Table5[$$]),"")</f>
        <v/>
      </c>
      <c r="AI4446" s="47"/>
      <c r="AJ4446" s="47"/>
    </row>
    <row r="4447" spans="1:36">
      <c r="A4447" s="374" t="s">
        <v>6493</v>
      </c>
      <c r="B4447" s="374">
        <v>10</v>
      </c>
      <c r="C4447" s="374" t="s">
        <v>2433</v>
      </c>
      <c r="D4447" s="375" t="str">
        <f t="shared" si="988"/>
        <v>Wallara Waters Estate10</v>
      </c>
      <c r="E4447" s="375" t="s">
        <v>6495</v>
      </c>
      <c r="F4447" s="375" t="s">
        <v>1428</v>
      </c>
      <c r="G4447" s="375" t="s">
        <v>5622</v>
      </c>
      <c r="H4447" s="375" t="s">
        <v>5623</v>
      </c>
      <c r="I4447" s="63" t="s">
        <v>5624</v>
      </c>
      <c r="J4447" s="47">
        <f t="shared" si="995"/>
        <v>3740</v>
      </c>
      <c r="K4447" s="46" t="s">
        <v>10735</v>
      </c>
      <c r="L4447" s="47"/>
      <c r="M4447" s="47"/>
      <c r="N4447" s="47"/>
      <c r="O4447" s="47"/>
      <c r="P4447" s="47"/>
      <c r="Q4447" s="47"/>
      <c r="R4447" s="47"/>
      <c r="S4447" s="47"/>
      <c r="T4447" s="47">
        <f t="shared" si="996"/>
        <v>780</v>
      </c>
      <c r="U4447" s="47"/>
      <c r="V4447" s="47"/>
      <c r="W4447" s="47"/>
      <c r="X4447" s="47"/>
      <c r="Y4447" s="47"/>
      <c r="Z4447" s="47">
        <f t="shared" si="990"/>
        <v>4620</v>
      </c>
      <c r="AA4447" s="47"/>
      <c r="AB4447" s="47"/>
      <c r="AC4447" s="47"/>
      <c r="AD4447" s="47"/>
      <c r="AE4447" s="47"/>
      <c r="AF4447" s="47"/>
      <c r="AG4447" s="47"/>
      <c r="AH4447" s="47" t="str">
        <f>IFERROR(_xlfn.XLOOKUP(Table6[[#This Row],[Suburb]],Table5[Travel Surcharge],Table5[$$]),"")</f>
        <v/>
      </c>
      <c r="AI4447" s="47"/>
      <c r="AJ4447" s="47"/>
    </row>
    <row r="4448" spans="1:36">
      <c r="A4448" s="374" t="s">
        <v>6493</v>
      </c>
      <c r="B4448" s="374">
        <v>11</v>
      </c>
      <c r="C4448" s="374" t="s">
        <v>2433</v>
      </c>
      <c r="D4448" s="375" t="str">
        <f t="shared" si="988"/>
        <v>Wallara Waters Estate11</v>
      </c>
      <c r="E4448" s="375" t="s">
        <v>6496</v>
      </c>
      <c r="F4448" s="375" t="s">
        <v>1428</v>
      </c>
      <c r="G4448" s="375" t="s">
        <v>5622</v>
      </c>
      <c r="H4448" s="375" t="s">
        <v>5623</v>
      </c>
      <c r="I4448" s="63" t="s">
        <v>5624</v>
      </c>
      <c r="J4448" s="47">
        <f t="shared" si="995"/>
        <v>3740</v>
      </c>
      <c r="K4448" s="46" t="s">
        <v>10735</v>
      </c>
      <c r="L4448" s="47"/>
      <c r="M4448" s="47"/>
      <c r="N4448" s="47"/>
      <c r="O4448" s="47"/>
      <c r="P4448" s="47"/>
      <c r="Q4448" s="47"/>
      <c r="R4448" s="47"/>
      <c r="S4448" s="47"/>
      <c r="T4448" s="47">
        <f t="shared" si="996"/>
        <v>780</v>
      </c>
      <c r="U4448" s="47"/>
      <c r="V4448" s="47"/>
      <c r="W4448" s="47"/>
      <c r="X4448" s="47"/>
      <c r="Y4448" s="47"/>
      <c r="Z4448" s="47">
        <f t="shared" si="990"/>
        <v>4620</v>
      </c>
      <c r="AA4448" s="47"/>
      <c r="AB4448" s="47"/>
      <c r="AC4448" s="47"/>
      <c r="AD4448" s="47"/>
      <c r="AE4448" s="47"/>
      <c r="AF4448" s="47"/>
      <c r="AG4448" s="47"/>
      <c r="AH4448" s="47" t="str">
        <f>IFERROR(_xlfn.XLOOKUP(Table6[[#This Row],[Suburb]],Table5[Travel Surcharge],Table5[$$]),"")</f>
        <v/>
      </c>
      <c r="AI4448" s="47"/>
      <c r="AJ4448" s="47"/>
    </row>
    <row r="4449" spans="1:36">
      <c r="A4449" s="374" t="s">
        <v>6493</v>
      </c>
      <c r="B4449" s="374">
        <v>12</v>
      </c>
      <c r="C4449" s="374" t="s">
        <v>2433</v>
      </c>
      <c r="D4449" s="375" t="str">
        <f t="shared" si="988"/>
        <v>Wallara Waters Estate12</v>
      </c>
      <c r="E4449" s="375" t="s">
        <v>6497</v>
      </c>
      <c r="F4449" s="375" t="s">
        <v>1428</v>
      </c>
      <c r="G4449" s="375" t="s">
        <v>5622</v>
      </c>
      <c r="H4449" s="375" t="s">
        <v>5623</v>
      </c>
      <c r="I4449" s="63" t="s">
        <v>5624</v>
      </c>
      <c r="J4449" s="47">
        <f t="shared" si="995"/>
        <v>3740</v>
      </c>
      <c r="K4449" s="46" t="s">
        <v>10735</v>
      </c>
      <c r="L4449" s="47"/>
      <c r="M4449" s="47"/>
      <c r="N4449" s="47"/>
      <c r="O4449" s="47"/>
      <c r="P4449" s="47"/>
      <c r="Q4449" s="47"/>
      <c r="R4449" s="47"/>
      <c r="S4449" s="47"/>
      <c r="T4449" s="47">
        <f t="shared" si="996"/>
        <v>780</v>
      </c>
      <c r="U4449" s="47"/>
      <c r="V4449" s="47"/>
      <c r="W4449" s="47"/>
      <c r="X4449" s="47"/>
      <c r="Y4449" s="47"/>
      <c r="Z4449" s="47">
        <f t="shared" si="990"/>
        <v>4620</v>
      </c>
      <c r="AA4449" s="47"/>
      <c r="AB4449" s="47"/>
      <c r="AC4449" s="47"/>
      <c r="AD4449" s="47"/>
      <c r="AE4449" s="47"/>
      <c r="AF4449" s="47"/>
      <c r="AG4449" s="47"/>
      <c r="AH4449" s="47" t="str">
        <f>IFERROR(_xlfn.XLOOKUP(Table6[[#This Row],[Suburb]],Table5[Travel Surcharge],Table5[$$]),"")</f>
        <v/>
      </c>
      <c r="AI4449" s="47"/>
      <c r="AJ4449" s="47"/>
    </row>
    <row r="4450" spans="1:36">
      <c r="A4450" s="374" t="s">
        <v>6493</v>
      </c>
      <c r="B4450" s="374">
        <v>13</v>
      </c>
      <c r="C4450" s="374" t="s">
        <v>2433</v>
      </c>
      <c r="D4450" s="375" t="str">
        <f t="shared" si="988"/>
        <v>Wallara Waters Estate13</v>
      </c>
      <c r="E4450" s="375" t="s">
        <v>6498</v>
      </c>
      <c r="F4450" s="375" t="s">
        <v>1428</v>
      </c>
      <c r="G4450" s="375" t="s">
        <v>5622</v>
      </c>
      <c r="H4450" s="375" t="s">
        <v>5623</v>
      </c>
      <c r="I4450" s="63" t="s">
        <v>5624</v>
      </c>
      <c r="J4450" s="47">
        <f t="shared" si="995"/>
        <v>3740</v>
      </c>
      <c r="K4450" s="46" t="s">
        <v>10735</v>
      </c>
      <c r="L4450" s="47"/>
      <c r="M4450" s="47"/>
      <c r="N4450" s="47"/>
      <c r="O4450" s="47"/>
      <c r="P4450" s="47"/>
      <c r="Q4450" s="47"/>
      <c r="R4450" s="47"/>
      <c r="S4450" s="47"/>
      <c r="T4450" s="47">
        <f t="shared" si="996"/>
        <v>780</v>
      </c>
      <c r="U4450" s="47"/>
      <c r="V4450" s="47"/>
      <c r="W4450" s="47"/>
      <c r="X4450" s="47"/>
      <c r="Y4450" s="47"/>
      <c r="Z4450" s="47">
        <f t="shared" si="990"/>
        <v>4620</v>
      </c>
      <c r="AA4450" s="47"/>
      <c r="AB4450" s="47"/>
      <c r="AC4450" s="47"/>
      <c r="AD4450" s="47"/>
      <c r="AE4450" s="47"/>
      <c r="AF4450" s="47"/>
      <c r="AG4450" s="47"/>
      <c r="AH4450" s="47" t="str">
        <f>IFERROR(_xlfn.XLOOKUP(Table6[[#This Row],[Suburb]],Table5[Travel Surcharge],Table5[$$]),"")</f>
        <v/>
      </c>
      <c r="AI4450" s="47"/>
      <c r="AJ4450" s="47"/>
    </row>
    <row r="4451" spans="1:36">
      <c r="A4451" s="374" t="s">
        <v>6493</v>
      </c>
      <c r="B4451" s="374">
        <v>14</v>
      </c>
      <c r="C4451" s="374" t="s">
        <v>2433</v>
      </c>
      <c r="D4451" s="375" t="str">
        <f t="shared" si="988"/>
        <v>Wallara Waters Estate14</v>
      </c>
      <c r="E4451" s="375" t="s">
        <v>6499</v>
      </c>
      <c r="F4451" s="375" t="s">
        <v>1428</v>
      </c>
      <c r="G4451" s="375" t="s">
        <v>5622</v>
      </c>
      <c r="H4451" s="375" t="s">
        <v>5623</v>
      </c>
      <c r="I4451" s="63" t="s">
        <v>5624</v>
      </c>
      <c r="J4451" s="47">
        <f t="shared" si="995"/>
        <v>3740</v>
      </c>
      <c r="K4451" s="46" t="s">
        <v>10735</v>
      </c>
      <c r="L4451" s="47"/>
      <c r="M4451" s="47"/>
      <c r="N4451" s="47"/>
      <c r="O4451" s="47"/>
      <c r="P4451" s="47"/>
      <c r="Q4451" s="47"/>
      <c r="R4451" s="47"/>
      <c r="S4451" s="47"/>
      <c r="T4451" s="47">
        <f t="shared" si="996"/>
        <v>780</v>
      </c>
      <c r="U4451" s="47"/>
      <c r="V4451" s="47"/>
      <c r="W4451" s="47"/>
      <c r="X4451" s="47"/>
      <c r="Y4451" s="47"/>
      <c r="Z4451" s="47">
        <f t="shared" si="990"/>
        <v>4620</v>
      </c>
      <c r="AA4451" s="47"/>
      <c r="AB4451" s="47"/>
      <c r="AC4451" s="47"/>
      <c r="AD4451" s="47"/>
      <c r="AE4451" s="47"/>
      <c r="AF4451" s="47"/>
      <c r="AG4451" s="47"/>
      <c r="AH4451" s="47" t="str">
        <f>IFERROR(_xlfn.XLOOKUP(Table6[[#This Row],[Suburb]],Table5[Travel Surcharge],Table5[$$]),"")</f>
        <v/>
      </c>
      <c r="AI4451" s="47"/>
      <c r="AJ4451" s="47"/>
    </row>
    <row r="4452" spans="1:36">
      <c r="A4452" s="374" t="s">
        <v>6493</v>
      </c>
      <c r="B4452" s="374">
        <v>15</v>
      </c>
      <c r="C4452" s="374" t="s">
        <v>2433</v>
      </c>
      <c r="D4452" s="375" t="str">
        <f t="shared" si="988"/>
        <v>Wallara Waters Estate15</v>
      </c>
      <c r="E4452" s="375" t="s">
        <v>6500</v>
      </c>
      <c r="F4452" s="375" t="s">
        <v>1428</v>
      </c>
      <c r="G4452" s="375" t="s">
        <v>5622</v>
      </c>
      <c r="H4452" s="375" t="s">
        <v>5623</v>
      </c>
      <c r="I4452" s="63" t="s">
        <v>5624</v>
      </c>
      <c r="J4452" s="47">
        <f t="shared" si="995"/>
        <v>3740</v>
      </c>
      <c r="K4452" s="46" t="s">
        <v>10735</v>
      </c>
      <c r="L4452" s="47"/>
      <c r="M4452" s="47"/>
      <c r="N4452" s="47"/>
      <c r="O4452" s="47"/>
      <c r="P4452" s="47"/>
      <c r="Q4452" s="47"/>
      <c r="R4452" s="47"/>
      <c r="S4452" s="47"/>
      <c r="T4452" s="47">
        <f t="shared" si="996"/>
        <v>780</v>
      </c>
      <c r="U4452" s="47"/>
      <c r="V4452" s="47"/>
      <c r="W4452" s="47"/>
      <c r="X4452" s="47"/>
      <c r="Y4452" s="47"/>
      <c r="Z4452" s="47">
        <f t="shared" si="990"/>
        <v>4620</v>
      </c>
      <c r="AA4452" s="47"/>
      <c r="AB4452" s="47"/>
      <c r="AC4452" s="47"/>
      <c r="AD4452" s="47"/>
      <c r="AE4452" s="47"/>
      <c r="AF4452" s="47"/>
      <c r="AG4452" s="47"/>
      <c r="AH4452" s="47" t="str">
        <f>IFERROR(_xlfn.XLOOKUP(Table6[[#This Row],[Suburb]],Table5[Travel Surcharge],Table5[$$]),"")</f>
        <v/>
      </c>
      <c r="AI4452" s="47"/>
      <c r="AJ4452" s="47"/>
    </row>
    <row r="4453" spans="1:36">
      <c r="A4453" s="374" t="s">
        <v>6493</v>
      </c>
      <c r="B4453" s="374">
        <v>16</v>
      </c>
      <c r="C4453" s="374" t="s">
        <v>2433</v>
      </c>
      <c r="D4453" s="375" t="str">
        <f t="shared" si="988"/>
        <v>Wallara Waters Estate16</v>
      </c>
      <c r="E4453" s="375" t="s">
        <v>6501</v>
      </c>
      <c r="F4453" s="375" t="s">
        <v>1428</v>
      </c>
      <c r="G4453" s="375" t="s">
        <v>5622</v>
      </c>
      <c r="H4453" s="375" t="s">
        <v>5623</v>
      </c>
      <c r="I4453" s="63" t="s">
        <v>5624</v>
      </c>
      <c r="J4453" s="47">
        <f t="shared" si="995"/>
        <v>3740</v>
      </c>
      <c r="K4453" s="46" t="s">
        <v>10735</v>
      </c>
      <c r="L4453" s="47"/>
      <c r="M4453" s="47"/>
      <c r="N4453" s="47"/>
      <c r="O4453" s="47"/>
      <c r="P4453" s="47"/>
      <c r="Q4453" s="47"/>
      <c r="R4453" s="47"/>
      <c r="S4453" s="47"/>
      <c r="T4453" s="47">
        <f t="shared" si="996"/>
        <v>780</v>
      </c>
      <c r="U4453" s="47"/>
      <c r="V4453" s="47"/>
      <c r="W4453" s="47"/>
      <c r="X4453" s="47"/>
      <c r="Y4453" s="47"/>
      <c r="Z4453" s="47">
        <f t="shared" si="990"/>
        <v>4620</v>
      </c>
      <c r="AA4453" s="47"/>
      <c r="AB4453" s="47"/>
      <c r="AC4453" s="47"/>
      <c r="AD4453" s="47"/>
      <c r="AE4453" s="47"/>
      <c r="AF4453" s="47"/>
      <c r="AG4453" s="47"/>
      <c r="AH4453" s="47" t="str">
        <f>IFERROR(_xlfn.XLOOKUP(Table6[[#This Row],[Suburb]],Table5[Travel Surcharge],Table5[$$]),"")</f>
        <v/>
      </c>
      <c r="AI4453" s="47"/>
      <c r="AJ4453" s="47"/>
    </row>
    <row r="4454" spans="1:36">
      <c r="A4454" s="374" t="s">
        <v>6493</v>
      </c>
      <c r="B4454" s="374">
        <v>22</v>
      </c>
      <c r="C4454" s="374" t="s">
        <v>2433</v>
      </c>
      <c r="D4454" s="375" t="str">
        <f t="shared" si="988"/>
        <v>Wallara Waters Estate22</v>
      </c>
      <c r="E4454" s="375" t="s">
        <v>6502</v>
      </c>
      <c r="F4454" s="375" t="s">
        <v>1428</v>
      </c>
      <c r="G4454" s="375" t="s">
        <v>5622</v>
      </c>
      <c r="H4454" s="375" t="s">
        <v>5623</v>
      </c>
      <c r="I4454" s="63" t="s">
        <v>5624</v>
      </c>
      <c r="J4454" s="47">
        <f t="shared" si="995"/>
        <v>3740</v>
      </c>
      <c r="K4454" s="46" t="s">
        <v>10735</v>
      </c>
      <c r="L4454" s="47"/>
      <c r="M4454" s="47"/>
      <c r="N4454" s="47"/>
      <c r="O4454" s="47"/>
      <c r="P4454" s="47"/>
      <c r="Q4454" s="47"/>
      <c r="R4454" s="47"/>
      <c r="S4454" s="47"/>
      <c r="T4454" s="47">
        <f t="shared" si="996"/>
        <v>780</v>
      </c>
      <c r="U4454" s="47"/>
      <c r="V4454" s="47"/>
      <c r="W4454" s="47"/>
      <c r="X4454" s="47"/>
      <c r="Y4454" s="47"/>
      <c r="Z4454" s="47">
        <f t="shared" si="990"/>
        <v>4620</v>
      </c>
      <c r="AA4454" s="47"/>
      <c r="AB4454" s="47"/>
      <c r="AC4454" s="47"/>
      <c r="AD4454" s="47"/>
      <c r="AE4454" s="47"/>
      <c r="AF4454" s="47"/>
      <c r="AG4454" s="47"/>
      <c r="AH4454" s="47" t="str">
        <f>IFERROR(_xlfn.XLOOKUP(Table6[[#This Row],[Suburb]],Table5[Travel Surcharge],Table5[$$]),"")</f>
        <v/>
      </c>
      <c r="AI4454" s="47"/>
      <c r="AJ4454" s="47"/>
    </row>
    <row r="4455" spans="1:36">
      <c r="A4455" s="374" t="s">
        <v>6493</v>
      </c>
      <c r="B4455" s="374" t="s">
        <v>781</v>
      </c>
      <c r="C4455" s="374" t="s">
        <v>2433</v>
      </c>
      <c r="D4455" s="375" t="str">
        <f t="shared" si="988"/>
        <v>Wallara Waters Estate12B</v>
      </c>
      <c r="E4455" s="375" t="s">
        <v>6497</v>
      </c>
      <c r="F4455" s="375" t="s">
        <v>1428</v>
      </c>
      <c r="G4455" s="375" t="s">
        <v>5622</v>
      </c>
      <c r="H4455" s="375" t="s">
        <v>5623</v>
      </c>
      <c r="I4455" s="63" t="s">
        <v>5624</v>
      </c>
      <c r="J4455" s="47">
        <f t="shared" si="995"/>
        <v>3740</v>
      </c>
      <c r="K4455" s="46" t="s">
        <v>10735</v>
      </c>
      <c r="L4455" s="47"/>
      <c r="M4455" s="47"/>
      <c r="N4455" s="47"/>
      <c r="O4455" s="47"/>
      <c r="P4455" s="47"/>
      <c r="Q4455" s="47"/>
      <c r="R4455" s="47"/>
      <c r="S4455" s="47"/>
      <c r="T4455" s="47">
        <f t="shared" si="996"/>
        <v>780</v>
      </c>
      <c r="U4455" s="47"/>
      <c r="V4455" s="47"/>
      <c r="W4455" s="47"/>
      <c r="X4455" s="47"/>
      <c r="Y4455" s="47"/>
      <c r="Z4455" s="47">
        <f t="shared" si="990"/>
        <v>4620</v>
      </c>
      <c r="AA4455" s="47"/>
      <c r="AB4455" s="47"/>
      <c r="AC4455" s="47"/>
      <c r="AD4455" s="47"/>
      <c r="AE4455" s="47"/>
      <c r="AF4455" s="47"/>
      <c r="AG4455" s="47"/>
      <c r="AH4455" s="47" t="str">
        <f>IFERROR(_xlfn.XLOOKUP(Table6[[#This Row],[Suburb]],Table5[Travel Surcharge],Table5[$$]),"")</f>
        <v/>
      </c>
      <c r="AI4455" s="47"/>
      <c r="AJ4455" s="47"/>
    </row>
    <row r="4456" spans="1:36">
      <c r="A4456" s="374" t="s">
        <v>6493</v>
      </c>
      <c r="B4456" s="374" t="s">
        <v>710</v>
      </c>
      <c r="C4456" s="374" t="s">
        <v>2433</v>
      </c>
      <c r="D4456" s="375" t="str">
        <f t="shared" si="988"/>
        <v>Wallara Waters Estate9B</v>
      </c>
      <c r="E4456" s="375" t="s">
        <v>6503</v>
      </c>
      <c r="F4456" s="375" t="s">
        <v>1428</v>
      </c>
      <c r="G4456" s="375" t="s">
        <v>5622</v>
      </c>
      <c r="H4456" s="375" t="s">
        <v>5623</v>
      </c>
      <c r="I4456" s="63" t="s">
        <v>5624</v>
      </c>
      <c r="J4456" s="47">
        <f t="shared" si="995"/>
        <v>3740</v>
      </c>
      <c r="K4456" s="46" t="s">
        <v>10735</v>
      </c>
      <c r="L4456" s="47"/>
      <c r="M4456" s="47"/>
      <c r="N4456" s="47"/>
      <c r="O4456" s="47"/>
      <c r="P4456" s="47"/>
      <c r="Q4456" s="47"/>
      <c r="R4456" s="47"/>
      <c r="S4456" s="47"/>
      <c r="T4456" s="47">
        <f t="shared" si="996"/>
        <v>780</v>
      </c>
      <c r="U4456" s="47"/>
      <c r="V4456" s="47"/>
      <c r="W4456" s="47"/>
      <c r="X4456" s="47"/>
      <c r="Y4456" s="47"/>
      <c r="Z4456" s="47">
        <f t="shared" si="990"/>
        <v>4620</v>
      </c>
      <c r="AA4456" s="47"/>
      <c r="AB4456" s="47"/>
      <c r="AC4456" s="47"/>
      <c r="AD4456" s="47"/>
      <c r="AE4456" s="47"/>
      <c r="AF4456" s="47"/>
      <c r="AG4456" s="47"/>
      <c r="AH4456" s="47" t="str">
        <f>IFERROR(_xlfn.XLOOKUP(Table6[[#This Row],[Suburb]],Table5[Travel Surcharge],Table5[$$]),"")</f>
        <v/>
      </c>
      <c r="AI4456" s="47"/>
      <c r="AJ4456" s="47"/>
    </row>
    <row r="4457" spans="1:36">
      <c r="A4457" s="374" t="s">
        <v>6504</v>
      </c>
      <c r="B4457" s="374">
        <v>1</v>
      </c>
      <c r="C4457" s="374" t="s">
        <v>6505</v>
      </c>
      <c r="D4457" s="375" t="str">
        <f t="shared" si="988"/>
        <v>Wandana Estate1</v>
      </c>
      <c r="E4457" s="375" t="s">
        <v>6506</v>
      </c>
      <c r="F4457" s="375" t="s">
        <v>1428</v>
      </c>
      <c r="G4457" s="375" t="s">
        <v>1889</v>
      </c>
      <c r="H4457" s="375" t="s">
        <v>6507</v>
      </c>
      <c r="I4457" s="63" t="s">
        <v>6508</v>
      </c>
      <c r="J4457" s="47">
        <f t="shared" si="995"/>
        <v>3740</v>
      </c>
      <c r="K4457" s="46" t="s">
        <v>7938</v>
      </c>
      <c r="L4457" s="47" t="s">
        <v>544</v>
      </c>
      <c r="M4457" s="47"/>
      <c r="N4457" s="47"/>
      <c r="O4457" s="47"/>
      <c r="P4457" s="47" t="s">
        <v>6509</v>
      </c>
      <c r="Q4457" s="47"/>
      <c r="R4457" s="47"/>
      <c r="S4457" s="47"/>
      <c r="T4457" s="47">
        <f t="shared" si="996"/>
        <v>780</v>
      </c>
      <c r="U4457" s="47"/>
      <c r="V4457" s="47"/>
      <c r="W4457" s="47"/>
      <c r="X4457" s="47"/>
      <c r="Y4457" s="47"/>
      <c r="Z4457" s="47">
        <f t="shared" si="990"/>
        <v>4620</v>
      </c>
      <c r="AA4457" s="47"/>
      <c r="AB4457" s="47"/>
      <c r="AC4457" s="47"/>
      <c r="AD4457" s="47"/>
      <c r="AE4457" s="47"/>
      <c r="AF4457" s="47"/>
      <c r="AG4457" s="47"/>
      <c r="AH4457" s="47" t="str">
        <f>IFERROR(_xlfn.XLOOKUP(Table6[[#This Row],[Suburb]],Table5[Travel Surcharge],Table5[$$]),"")</f>
        <v/>
      </c>
      <c r="AI4457" s="47"/>
      <c r="AJ4457" s="47"/>
    </row>
    <row r="4458" spans="1:36">
      <c r="A4458" s="374" t="s">
        <v>6504</v>
      </c>
      <c r="B4458" s="374">
        <v>3</v>
      </c>
      <c r="C4458" s="374" t="s">
        <v>6505</v>
      </c>
      <c r="D4458" s="375" t="str">
        <f t="shared" si="988"/>
        <v>Wandana Estate3</v>
      </c>
      <c r="E4458" s="375" t="s">
        <v>6512</v>
      </c>
      <c r="F4458" s="375" t="s">
        <v>1428</v>
      </c>
      <c r="G4458" s="375" t="s">
        <v>1889</v>
      </c>
      <c r="H4458" s="375" t="s">
        <v>6507</v>
      </c>
      <c r="I4458" s="63" t="s">
        <v>6508</v>
      </c>
      <c r="J4458" s="47">
        <f t="shared" si="995"/>
        <v>3740</v>
      </c>
      <c r="K4458" s="46" t="s">
        <v>7938</v>
      </c>
      <c r="L4458" s="47" t="s">
        <v>544</v>
      </c>
      <c r="M4458" s="47"/>
      <c r="N4458" s="47"/>
      <c r="O4458" s="47"/>
      <c r="P4458" s="47" t="s">
        <v>6509</v>
      </c>
      <c r="Q4458" s="47"/>
      <c r="R4458" s="47"/>
      <c r="S4458" s="47"/>
      <c r="T4458" s="47">
        <f t="shared" si="996"/>
        <v>780</v>
      </c>
      <c r="U4458" s="47"/>
      <c r="V4458" s="47"/>
      <c r="W4458" s="47"/>
      <c r="X4458" s="47"/>
      <c r="Y4458" s="47"/>
      <c r="Z4458" s="47">
        <f t="shared" si="990"/>
        <v>4620</v>
      </c>
      <c r="AA4458" s="47"/>
      <c r="AB4458" s="47"/>
      <c r="AC4458" s="47"/>
      <c r="AD4458" s="47"/>
      <c r="AE4458" s="47"/>
      <c r="AF4458" s="47"/>
      <c r="AG4458" s="47"/>
      <c r="AH4458" s="47" t="str">
        <f>IFERROR(_xlfn.XLOOKUP(Table6[[#This Row],[Suburb]],Table5[Travel Surcharge],Table5[$$]),"")</f>
        <v/>
      </c>
      <c r="AI4458" s="47"/>
      <c r="AJ4458" s="47"/>
    </row>
    <row r="4459" spans="1:36">
      <c r="A4459" s="374" t="s">
        <v>6504</v>
      </c>
      <c r="B4459" s="374">
        <v>4</v>
      </c>
      <c r="C4459" s="374" t="s">
        <v>6505</v>
      </c>
      <c r="D4459" s="375" t="str">
        <f t="shared" si="988"/>
        <v>Wandana Estate4</v>
      </c>
      <c r="E4459" s="375" t="s">
        <v>6513</v>
      </c>
      <c r="F4459" s="375" t="s">
        <v>1428</v>
      </c>
      <c r="G4459" s="375" t="s">
        <v>1889</v>
      </c>
      <c r="H4459" s="375" t="s">
        <v>6507</v>
      </c>
      <c r="I4459" s="63" t="s">
        <v>6508</v>
      </c>
      <c r="J4459" s="47">
        <f t="shared" si="995"/>
        <v>3740</v>
      </c>
      <c r="K4459" s="46" t="s">
        <v>7938</v>
      </c>
      <c r="L4459" s="47" t="s">
        <v>544</v>
      </c>
      <c r="M4459" s="47"/>
      <c r="N4459" s="47"/>
      <c r="O4459" s="47"/>
      <c r="P4459" s="47" t="s">
        <v>6509</v>
      </c>
      <c r="Q4459" s="47"/>
      <c r="R4459" s="47"/>
      <c r="S4459" s="47"/>
      <c r="T4459" s="47">
        <f t="shared" si="996"/>
        <v>780</v>
      </c>
      <c r="U4459" s="47"/>
      <c r="V4459" s="47"/>
      <c r="W4459" s="47"/>
      <c r="X4459" s="47"/>
      <c r="Y4459" s="47"/>
      <c r="Z4459" s="47">
        <f t="shared" si="990"/>
        <v>4620</v>
      </c>
      <c r="AA4459" s="47"/>
      <c r="AB4459" s="47"/>
      <c r="AC4459" s="47"/>
      <c r="AD4459" s="47"/>
      <c r="AE4459" s="47"/>
      <c r="AF4459" s="47"/>
      <c r="AG4459" s="47"/>
      <c r="AH4459" s="47" t="str">
        <f>IFERROR(_xlfn.XLOOKUP(Table6[[#This Row],[Suburb]],Table5[Travel Surcharge],Table5[$$]),"")</f>
        <v/>
      </c>
      <c r="AI4459" s="47"/>
      <c r="AJ4459" s="47"/>
    </row>
    <row r="4460" spans="1:36">
      <c r="A4460" s="374" t="s">
        <v>6504</v>
      </c>
      <c r="B4460" s="374">
        <v>5</v>
      </c>
      <c r="C4460" s="374" t="s">
        <v>6505</v>
      </c>
      <c r="D4460" s="375" t="str">
        <f t="shared" si="988"/>
        <v>Wandana Estate5</v>
      </c>
      <c r="E4460" s="375" t="s">
        <v>6514</v>
      </c>
      <c r="F4460" s="375" t="s">
        <v>1428</v>
      </c>
      <c r="G4460" s="375" t="s">
        <v>1889</v>
      </c>
      <c r="H4460" s="375" t="s">
        <v>6507</v>
      </c>
      <c r="I4460" s="63" t="s">
        <v>6508</v>
      </c>
      <c r="J4460" s="47">
        <f t="shared" si="995"/>
        <v>3740</v>
      </c>
      <c r="K4460" s="46" t="s">
        <v>7938</v>
      </c>
      <c r="L4460" s="47" t="s">
        <v>544</v>
      </c>
      <c r="M4460" s="47"/>
      <c r="N4460" s="47"/>
      <c r="O4460" s="47"/>
      <c r="P4460" s="47" t="s">
        <v>6509</v>
      </c>
      <c r="Q4460" s="47"/>
      <c r="R4460" s="47"/>
      <c r="S4460" s="47"/>
      <c r="T4460" s="47">
        <f t="shared" si="996"/>
        <v>780</v>
      </c>
      <c r="U4460" s="47"/>
      <c r="V4460" s="47"/>
      <c r="W4460" s="47"/>
      <c r="X4460" s="47"/>
      <c r="Y4460" s="47"/>
      <c r="Z4460" s="47">
        <f t="shared" si="990"/>
        <v>4620</v>
      </c>
      <c r="AA4460" s="47"/>
      <c r="AB4460" s="47"/>
      <c r="AC4460" s="47"/>
      <c r="AD4460" s="47"/>
      <c r="AE4460" s="47"/>
      <c r="AF4460" s="47"/>
      <c r="AG4460" s="47"/>
      <c r="AH4460" s="47" t="str">
        <f>IFERROR(_xlfn.XLOOKUP(Table6[[#This Row],[Suburb]],Table5[Travel Surcharge],Table5[$$]),"")</f>
        <v/>
      </c>
      <c r="AI4460" s="47"/>
      <c r="AJ4460" s="47"/>
    </row>
    <row r="4461" spans="1:36">
      <c r="A4461" s="374" t="s">
        <v>6504</v>
      </c>
      <c r="B4461" s="374">
        <v>6</v>
      </c>
      <c r="C4461" s="374" t="s">
        <v>6505</v>
      </c>
      <c r="D4461" s="375" t="str">
        <f t="shared" si="988"/>
        <v>Wandana Estate6</v>
      </c>
      <c r="E4461" s="375" t="s">
        <v>6515</v>
      </c>
      <c r="F4461" s="375" t="s">
        <v>1428</v>
      </c>
      <c r="G4461" s="375" t="s">
        <v>1889</v>
      </c>
      <c r="H4461" s="375" t="s">
        <v>6507</v>
      </c>
      <c r="I4461" s="63" t="s">
        <v>6508</v>
      </c>
      <c r="J4461" s="47">
        <f t="shared" si="995"/>
        <v>3740</v>
      </c>
      <c r="K4461" s="46" t="s">
        <v>7938</v>
      </c>
      <c r="L4461" s="47" t="s">
        <v>544</v>
      </c>
      <c r="M4461" s="47"/>
      <c r="N4461" s="47"/>
      <c r="O4461" s="47"/>
      <c r="P4461" s="47" t="s">
        <v>6509</v>
      </c>
      <c r="Q4461" s="47"/>
      <c r="R4461" s="47"/>
      <c r="S4461" s="47"/>
      <c r="T4461" s="47">
        <f t="shared" si="996"/>
        <v>780</v>
      </c>
      <c r="U4461" s="47"/>
      <c r="V4461" s="47"/>
      <c r="W4461" s="47"/>
      <c r="X4461" s="47"/>
      <c r="Y4461" s="47"/>
      <c r="Z4461" s="47">
        <f t="shared" si="990"/>
        <v>4620</v>
      </c>
      <c r="AA4461" s="47"/>
      <c r="AB4461" s="47"/>
      <c r="AC4461" s="47"/>
      <c r="AD4461" s="47"/>
      <c r="AE4461" s="47"/>
      <c r="AF4461" s="47"/>
      <c r="AG4461" s="47"/>
      <c r="AH4461" s="47" t="str">
        <f>IFERROR(_xlfn.XLOOKUP(Table6[[#This Row],[Suburb]],Table5[Travel Surcharge],Table5[$$]),"")</f>
        <v/>
      </c>
      <c r="AI4461" s="47"/>
      <c r="AJ4461" s="47"/>
    </row>
    <row r="4462" spans="1:36">
      <c r="A4462" s="374" t="s">
        <v>6504</v>
      </c>
      <c r="B4462" s="374" t="s">
        <v>718</v>
      </c>
      <c r="C4462" s="374" t="s">
        <v>6505</v>
      </c>
      <c r="D4462" s="375" t="str">
        <f t="shared" si="988"/>
        <v>Wandana Estate2A</v>
      </c>
      <c r="E4462" s="375" t="s">
        <v>6510</v>
      </c>
      <c r="F4462" s="375" t="s">
        <v>1428</v>
      </c>
      <c r="G4462" s="375" t="s">
        <v>1889</v>
      </c>
      <c r="H4462" s="375" t="s">
        <v>6507</v>
      </c>
      <c r="I4462" s="63" t="s">
        <v>6508</v>
      </c>
      <c r="J4462" s="47">
        <f t="shared" si="995"/>
        <v>3740</v>
      </c>
      <c r="K4462" s="46" t="s">
        <v>7938</v>
      </c>
      <c r="L4462" s="47" t="s">
        <v>544</v>
      </c>
      <c r="M4462" s="47"/>
      <c r="N4462" s="47"/>
      <c r="O4462" s="47"/>
      <c r="P4462" s="47" t="s">
        <v>6509</v>
      </c>
      <c r="Q4462" s="47"/>
      <c r="R4462" s="47"/>
      <c r="S4462" s="47"/>
      <c r="T4462" s="47">
        <f t="shared" si="996"/>
        <v>780</v>
      </c>
      <c r="U4462" s="47"/>
      <c r="V4462" s="47"/>
      <c r="W4462" s="47"/>
      <c r="X4462" s="47"/>
      <c r="Y4462" s="47"/>
      <c r="Z4462" s="47">
        <f t="shared" si="990"/>
        <v>4620</v>
      </c>
      <c r="AA4462" s="47"/>
      <c r="AB4462" s="47"/>
      <c r="AC4462" s="47"/>
      <c r="AD4462" s="47"/>
      <c r="AE4462" s="47"/>
      <c r="AF4462" s="47"/>
      <c r="AG4462" s="47"/>
      <c r="AH4462" s="47" t="str">
        <f>IFERROR(_xlfn.XLOOKUP(Table6[[#This Row],[Suburb]],Table5[Travel Surcharge],Table5[$$]),"")</f>
        <v/>
      </c>
      <c r="AI4462" s="47"/>
      <c r="AJ4462" s="47"/>
    </row>
    <row r="4463" spans="1:36">
      <c r="A4463" s="374" t="s">
        <v>6504</v>
      </c>
      <c r="B4463" s="374" t="s">
        <v>604</v>
      </c>
      <c r="C4463" s="374" t="s">
        <v>6505</v>
      </c>
      <c r="D4463" s="375" t="str">
        <f t="shared" si="988"/>
        <v>Wandana Estate2B</v>
      </c>
      <c r="E4463" s="375" t="s">
        <v>6511</v>
      </c>
      <c r="F4463" s="375" t="s">
        <v>1428</v>
      </c>
      <c r="G4463" s="375" t="s">
        <v>1889</v>
      </c>
      <c r="H4463" s="375" t="s">
        <v>6507</v>
      </c>
      <c r="I4463" s="63" t="s">
        <v>6508</v>
      </c>
      <c r="J4463" s="47">
        <f t="shared" si="995"/>
        <v>3740</v>
      </c>
      <c r="K4463" s="46" t="s">
        <v>7938</v>
      </c>
      <c r="L4463" s="47" t="s">
        <v>544</v>
      </c>
      <c r="M4463" s="47"/>
      <c r="N4463" s="47"/>
      <c r="O4463" s="47"/>
      <c r="P4463" s="47" t="s">
        <v>6509</v>
      </c>
      <c r="Q4463" s="47"/>
      <c r="R4463" s="47"/>
      <c r="S4463" s="47"/>
      <c r="T4463" s="47">
        <f t="shared" si="996"/>
        <v>780</v>
      </c>
      <c r="U4463" s="47"/>
      <c r="V4463" s="47"/>
      <c r="W4463" s="47"/>
      <c r="X4463" s="47"/>
      <c r="Y4463" s="47"/>
      <c r="Z4463" s="47">
        <f t="shared" si="990"/>
        <v>4620</v>
      </c>
      <c r="AA4463" s="47"/>
      <c r="AB4463" s="47"/>
      <c r="AC4463" s="47"/>
      <c r="AD4463" s="47"/>
      <c r="AE4463" s="47"/>
      <c r="AF4463" s="47"/>
      <c r="AG4463" s="47"/>
      <c r="AH4463" s="47" t="str">
        <f>IFERROR(_xlfn.XLOOKUP(Table6[[#This Row],[Suburb]],Table5[Travel Surcharge],Table5[$$]),"")</f>
        <v/>
      </c>
      <c r="AI4463" s="47"/>
      <c r="AJ4463" s="47"/>
    </row>
    <row r="4464" spans="1:36">
      <c r="A4464" s="374" t="s">
        <v>6516</v>
      </c>
      <c r="B4464" s="374">
        <v>1</v>
      </c>
      <c r="C4464" s="374" t="s">
        <v>6517</v>
      </c>
      <c r="D4464" s="375" t="str">
        <f t="shared" ref="D4464:D4502" si="997">CONCATENATE(A4464,B4464)</f>
        <v>Wantirna Rise Estate1</v>
      </c>
      <c r="E4464" s="375" t="s">
        <v>6518</v>
      </c>
      <c r="F4464" s="375"/>
      <c r="G4464" s="375"/>
      <c r="H4464" s="375"/>
      <c r="I4464" s="63"/>
      <c r="J4464" s="47">
        <f t="shared" si="995"/>
        <v>3740</v>
      </c>
      <c r="K4464" s="46" t="s">
        <v>10735</v>
      </c>
      <c r="L4464" s="47" t="s">
        <v>498</v>
      </c>
      <c r="M4464" s="47"/>
      <c r="N4464" s="47"/>
      <c r="O4464" s="47"/>
      <c r="P4464" s="47"/>
      <c r="Q4464" s="47"/>
      <c r="R4464" s="47"/>
      <c r="S4464" s="47"/>
      <c r="T4464" s="47">
        <f t="shared" si="996"/>
        <v>780</v>
      </c>
      <c r="U4464" s="47"/>
      <c r="V4464" s="47"/>
      <c r="W4464" s="47"/>
      <c r="X4464" s="47"/>
      <c r="Y4464" s="47"/>
      <c r="Z4464" s="47">
        <f t="shared" si="990"/>
        <v>4620</v>
      </c>
      <c r="AA4464" s="47"/>
      <c r="AB4464" s="47"/>
      <c r="AC4464" s="47"/>
      <c r="AD4464" s="47"/>
      <c r="AE4464" s="47"/>
      <c r="AF4464" s="47"/>
      <c r="AG4464" s="47"/>
      <c r="AH4464" s="47" t="str">
        <f>IFERROR(_xlfn.XLOOKUP(Table6[[#This Row],[Suburb]],Table5[Travel Surcharge],Table5[$$]),"")</f>
        <v/>
      </c>
      <c r="AI4464" s="47"/>
      <c r="AJ4464" s="47"/>
    </row>
    <row r="4465" spans="1:36">
      <c r="A4465" s="374" t="s">
        <v>6519</v>
      </c>
      <c r="B4465" s="374">
        <v>3</v>
      </c>
      <c r="C4465" s="374" t="s">
        <v>764</v>
      </c>
      <c r="D4465" s="375" t="str">
        <f t="shared" si="997"/>
        <v>Waratah Estate3</v>
      </c>
      <c r="E4465" s="375" t="s">
        <v>6520</v>
      </c>
      <c r="F4465" s="375" t="s">
        <v>1056</v>
      </c>
      <c r="G4465" s="375" t="s">
        <v>1057</v>
      </c>
      <c r="H4465" s="375" t="s">
        <v>1058</v>
      </c>
      <c r="I4465" s="63" t="s">
        <v>1059</v>
      </c>
      <c r="J4465" s="47">
        <f t="shared" si="995"/>
        <v>3740</v>
      </c>
      <c r="K4465" s="46" t="s">
        <v>7938</v>
      </c>
      <c r="L4465" s="47"/>
      <c r="M4465" s="47"/>
      <c r="N4465" s="47"/>
      <c r="O4465" s="47"/>
      <c r="P4465" s="47"/>
      <c r="Q4465" s="47"/>
      <c r="R4465" s="47"/>
      <c r="S4465" s="47"/>
      <c r="T4465" s="47">
        <f t="shared" si="996"/>
        <v>780</v>
      </c>
      <c r="U4465" s="47"/>
      <c r="V4465" s="47"/>
      <c r="W4465" s="47"/>
      <c r="X4465" s="47"/>
      <c r="Y4465" s="47"/>
      <c r="Z4465" s="47">
        <f t="shared" si="990"/>
        <v>4620</v>
      </c>
      <c r="AA4465" s="47"/>
      <c r="AB4465" s="47"/>
      <c r="AC4465" s="47"/>
      <c r="AD4465" s="47"/>
      <c r="AE4465" s="47"/>
      <c r="AF4465" s="47">
        <f>AF$7</f>
        <v>1485</v>
      </c>
      <c r="AG4465" s="47"/>
      <c r="AH4465" s="47" t="str">
        <f>IFERROR(_xlfn.XLOOKUP(Table6[[#This Row],[Suburb]],Table5[Travel Surcharge],Table5[$$]),"")</f>
        <v/>
      </c>
      <c r="AI4465" s="47"/>
      <c r="AJ4465" s="47"/>
    </row>
    <row r="4466" spans="1:36">
      <c r="A4466" s="374" t="s">
        <v>6519</v>
      </c>
      <c r="B4466" s="374">
        <v>9</v>
      </c>
      <c r="C4466" s="374" t="s">
        <v>764</v>
      </c>
      <c r="D4466" s="375" t="str">
        <f t="shared" si="997"/>
        <v>Waratah Estate9</v>
      </c>
      <c r="E4466" s="375" t="s">
        <v>6521</v>
      </c>
      <c r="F4466" s="375" t="s">
        <v>1056</v>
      </c>
      <c r="G4466" s="375" t="s">
        <v>1057</v>
      </c>
      <c r="H4466" s="375" t="s">
        <v>1058</v>
      </c>
      <c r="I4466" s="63" t="s">
        <v>1059</v>
      </c>
      <c r="J4466" s="47">
        <f t="shared" si="995"/>
        <v>3740</v>
      </c>
      <c r="K4466" s="46" t="s">
        <v>7938</v>
      </c>
      <c r="L4466" s="47"/>
      <c r="M4466" s="47"/>
      <c r="N4466" s="47"/>
      <c r="O4466" s="47"/>
      <c r="P4466" s="47"/>
      <c r="Q4466" s="47"/>
      <c r="R4466" s="47"/>
      <c r="S4466" s="47"/>
      <c r="T4466" s="47">
        <f t="shared" si="996"/>
        <v>780</v>
      </c>
      <c r="U4466" s="47"/>
      <c r="V4466" s="47"/>
      <c r="W4466" s="47"/>
      <c r="X4466" s="47"/>
      <c r="Y4466" s="47"/>
      <c r="Z4466" s="47">
        <f t="shared" si="990"/>
        <v>4620</v>
      </c>
      <c r="AA4466" s="47"/>
      <c r="AB4466" s="47"/>
      <c r="AC4466" s="47"/>
      <c r="AD4466" s="47"/>
      <c r="AE4466" s="47"/>
      <c r="AF4466" s="47">
        <f>AF$7</f>
        <v>1485</v>
      </c>
      <c r="AG4466" s="47"/>
      <c r="AH4466" s="47" t="str">
        <f>IFERROR(_xlfn.XLOOKUP(Table6[[#This Row],[Suburb]],Table5[Travel Surcharge],Table5[$$]),"")</f>
        <v/>
      </c>
      <c r="AI4466" s="47"/>
      <c r="AJ4466" s="47"/>
    </row>
    <row r="4467" spans="1:36">
      <c r="A4467" s="374" t="s">
        <v>6519</v>
      </c>
      <c r="B4467" s="374">
        <v>10</v>
      </c>
      <c r="C4467" s="374" t="s">
        <v>764</v>
      </c>
      <c r="D4467" s="375" t="str">
        <f t="shared" si="997"/>
        <v>Waratah Estate10</v>
      </c>
      <c r="E4467" s="375" t="s">
        <v>6522</v>
      </c>
      <c r="F4467" s="375" t="s">
        <v>1056</v>
      </c>
      <c r="G4467" s="375" t="s">
        <v>1057</v>
      </c>
      <c r="H4467" s="375" t="s">
        <v>1058</v>
      </c>
      <c r="I4467" s="63" t="s">
        <v>1059</v>
      </c>
      <c r="J4467" s="47">
        <f t="shared" si="995"/>
        <v>3740</v>
      </c>
      <c r="K4467" s="46" t="s">
        <v>7938</v>
      </c>
      <c r="L4467" s="47"/>
      <c r="M4467" s="47"/>
      <c r="N4467" s="47"/>
      <c r="O4467" s="47"/>
      <c r="P4467" s="47"/>
      <c r="Q4467" s="47"/>
      <c r="R4467" s="47"/>
      <c r="S4467" s="47"/>
      <c r="T4467" s="47">
        <f t="shared" si="996"/>
        <v>780</v>
      </c>
      <c r="U4467" s="47"/>
      <c r="V4467" s="47"/>
      <c r="W4467" s="47"/>
      <c r="X4467" s="47"/>
      <c r="Y4467" s="47"/>
      <c r="Z4467" s="47">
        <f t="shared" si="990"/>
        <v>4620</v>
      </c>
      <c r="AA4467" s="47"/>
      <c r="AB4467" s="47"/>
      <c r="AC4467" s="47"/>
      <c r="AD4467" s="47"/>
      <c r="AE4467" s="47"/>
      <c r="AF4467" s="47">
        <f>AF$7</f>
        <v>1485</v>
      </c>
      <c r="AG4467" s="47"/>
      <c r="AH4467" s="47" t="str">
        <f>IFERROR(_xlfn.XLOOKUP(Table6[[#This Row],[Suburb]],Table5[Travel Surcharge],Table5[$$]),"")</f>
        <v/>
      </c>
      <c r="AI4467" s="47"/>
      <c r="AJ4467" s="47"/>
    </row>
    <row r="4468" spans="1:36">
      <c r="A4468" s="374" t="s">
        <v>6523</v>
      </c>
      <c r="B4468" s="374">
        <v>1</v>
      </c>
      <c r="C4468" s="374" t="s">
        <v>287</v>
      </c>
      <c r="D4468" s="375" t="str">
        <f t="shared" si="997"/>
        <v>Warragul Crownlea Estate1</v>
      </c>
      <c r="E4468" s="375" t="s">
        <v>6524</v>
      </c>
      <c r="F4468" s="375" t="s">
        <v>1428</v>
      </c>
      <c r="G4468" s="375" t="s">
        <v>6525</v>
      </c>
      <c r="H4468" s="375" t="s">
        <v>6526</v>
      </c>
      <c r="I4468" s="63" t="s">
        <v>6527</v>
      </c>
      <c r="J4468" s="47"/>
      <c r="K4468" s="46" t="s">
        <v>10735</v>
      </c>
      <c r="L4468" s="47"/>
      <c r="M4468" s="47"/>
      <c r="N4468" s="47"/>
      <c r="O4468" s="47"/>
      <c r="P4468" s="47"/>
      <c r="Q4468" s="47"/>
      <c r="R4468" s="47"/>
      <c r="S4468" s="47"/>
      <c r="T4468" s="47"/>
      <c r="U4468" s="47">
        <f>U$2</f>
        <v>430</v>
      </c>
      <c r="V4468" s="47" t="s">
        <v>6528</v>
      </c>
      <c r="W4468" s="47" t="s">
        <v>6529</v>
      </c>
      <c r="X4468" s="47"/>
      <c r="Y4468" s="47"/>
      <c r="Z4468" s="47">
        <f t="shared" si="990"/>
        <v>4620</v>
      </c>
      <c r="AA4468" s="47"/>
      <c r="AB4468" s="47"/>
      <c r="AC4468" s="47"/>
      <c r="AD4468" s="47"/>
      <c r="AE4468" s="47"/>
      <c r="AF4468" s="47"/>
      <c r="AG4468" s="47"/>
      <c r="AH4468" s="47">
        <f>IFERROR(_xlfn.XLOOKUP(Table6[[#This Row],[Suburb]],Table5[Travel Surcharge],Table5[$$]),"")</f>
        <v>7000</v>
      </c>
      <c r="AI4468" s="47"/>
      <c r="AJ4468" s="47">
        <v>4400</v>
      </c>
    </row>
    <row r="4469" spans="1:36">
      <c r="A4469" s="374" t="s">
        <v>6523</v>
      </c>
      <c r="B4469" s="374">
        <v>2</v>
      </c>
      <c r="C4469" s="374" t="s">
        <v>287</v>
      </c>
      <c r="D4469" s="375" t="str">
        <f t="shared" si="997"/>
        <v>Warragul Crownlea Estate2</v>
      </c>
      <c r="E4469" s="375" t="s">
        <v>6530</v>
      </c>
      <c r="F4469" s="375" t="s">
        <v>1428</v>
      </c>
      <c r="G4469" s="375" t="s">
        <v>6525</v>
      </c>
      <c r="H4469" s="375" t="s">
        <v>6526</v>
      </c>
      <c r="I4469" s="63" t="s">
        <v>6527</v>
      </c>
      <c r="J4469" s="47"/>
      <c r="K4469" s="46" t="s">
        <v>10735</v>
      </c>
      <c r="L4469" s="47"/>
      <c r="M4469" s="47"/>
      <c r="N4469" s="47"/>
      <c r="O4469" s="47"/>
      <c r="P4469" s="47"/>
      <c r="Q4469" s="47"/>
      <c r="R4469" s="47"/>
      <c r="S4469" s="47"/>
      <c r="T4469" s="47"/>
      <c r="U4469" s="47">
        <f>U$2</f>
        <v>430</v>
      </c>
      <c r="V4469" s="47" t="s">
        <v>6528</v>
      </c>
      <c r="W4469" s="47" t="s">
        <v>6529</v>
      </c>
      <c r="X4469" s="47"/>
      <c r="Y4469" s="47"/>
      <c r="Z4469" s="47">
        <f t="shared" si="990"/>
        <v>4620</v>
      </c>
      <c r="AA4469" s="47"/>
      <c r="AB4469" s="47"/>
      <c r="AC4469" s="47"/>
      <c r="AD4469" s="47"/>
      <c r="AE4469" s="47"/>
      <c r="AF4469" s="47"/>
      <c r="AG4469" s="47"/>
      <c r="AH4469" s="47">
        <f>IFERROR(_xlfn.XLOOKUP(Table6[[#This Row],[Suburb]],Table5[Travel Surcharge],Table5[$$]),"")</f>
        <v>7000</v>
      </c>
      <c r="AI4469" s="47"/>
      <c r="AJ4469" s="47">
        <v>4400</v>
      </c>
    </row>
    <row r="4470" spans="1:36">
      <c r="A4470" s="374" t="s">
        <v>6523</v>
      </c>
      <c r="B4470" s="374">
        <v>3</v>
      </c>
      <c r="C4470" s="374" t="s">
        <v>287</v>
      </c>
      <c r="D4470" s="375" t="str">
        <f t="shared" si="997"/>
        <v>Warragul Crownlea Estate3</v>
      </c>
      <c r="E4470" s="375" t="s">
        <v>6531</v>
      </c>
      <c r="F4470" s="375" t="s">
        <v>1428</v>
      </c>
      <c r="G4470" s="375" t="s">
        <v>6525</v>
      </c>
      <c r="H4470" s="375" t="s">
        <v>6526</v>
      </c>
      <c r="I4470" s="63" t="s">
        <v>6527</v>
      </c>
      <c r="J4470" s="47"/>
      <c r="K4470" s="46" t="s">
        <v>10735</v>
      </c>
      <c r="L4470" s="47"/>
      <c r="M4470" s="47"/>
      <c r="N4470" s="47"/>
      <c r="O4470" s="47"/>
      <c r="P4470" s="47"/>
      <c r="Q4470" s="47"/>
      <c r="R4470" s="47"/>
      <c r="S4470" s="47"/>
      <c r="T4470" s="47"/>
      <c r="U4470" s="47">
        <f>U$2</f>
        <v>430</v>
      </c>
      <c r="V4470" s="47" t="s">
        <v>6528</v>
      </c>
      <c r="W4470" s="47" t="s">
        <v>6529</v>
      </c>
      <c r="X4470" s="47"/>
      <c r="Y4470" s="47"/>
      <c r="Z4470" s="47">
        <f t="shared" si="990"/>
        <v>4620</v>
      </c>
      <c r="AA4470" s="47"/>
      <c r="AB4470" s="47"/>
      <c r="AC4470" s="47"/>
      <c r="AD4470" s="47"/>
      <c r="AE4470" s="47"/>
      <c r="AF4470" s="47"/>
      <c r="AG4470" s="47"/>
      <c r="AH4470" s="47">
        <f>IFERROR(_xlfn.XLOOKUP(Table6[[#This Row],[Suburb]],Table5[Travel Surcharge],Table5[$$]),"")</f>
        <v>7000</v>
      </c>
      <c r="AI4470" s="47"/>
      <c r="AJ4470" s="47">
        <v>4400</v>
      </c>
    </row>
    <row r="4471" spans="1:36">
      <c r="A4471" s="374" t="s">
        <v>6523</v>
      </c>
      <c r="B4471" s="374">
        <v>4</v>
      </c>
      <c r="C4471" s="374" t="s">
        <v>287</v>
      </c>
      <c r="D4471" s="375" t="str">
        <f t="shared" si="997"/>
        <v>Warragul Crownlea Estate4</v>
      </c>
      <c r="E4471" s="375" t="s">
        <v>10085</v>
      </c>
      <c r="F4471" s="375" t="s">
        <v>1428</v>
      </c>
      <c r="G4471" s="375" t="s">
        <v>6525</v>
      </c>
      <c r="H4471" s="375" t="s">
        <v>6526</v>
      </c>
      <c r="I4471" s="63" t="s">
        <v>6527</v>
      </c>
      <c r="J4471" s="47"/>
      <c r="K4471" s="46" t="s">
        <v>10735</v>
      </c>
      <c r="L4471" s="47"/>
      <c r="M4471" s="47"/>
      <c r="N4471" s="47"/>
      <c r="O4471" s="47"/>
      <c r="P4471" s="47"/>
      <c r="Q4471" s="47"/>
      <c r="R4471" s="47"/>
      <c r="S4471" s="47"/>
      <c r="T4471" s="47"/>
      <c r="U4471" s="47">
        <v>540</v>
      </c>
      <c r="V4471" s="47" t="s">
        <v>6528</v>
      </c>
      <c r="W4471" s="47" t="s">
        <v>6529</v>
      </c>
      <c r="X4471" s="47"/>
      <c r="Y4471" s="47"/>
      <c r="Z4471" s="47">
        <v>4620</v>
      </c>
      <c r="AA4471" s="47"/>
      <c r="AB4471" s="47"/>
      <c r="AC4471" s="47"/>
      <c r="AD4471" s="47"/>
      <c r="AE4471" s="47"/>
      <c r="AF4471" s="47"/>
      <c r="AG4471" s="47"/>
      <c r="AH4471" s="47">
        <v>7000</v>
      </c>
      <c r="AI4471" s="47" t="s">
        <v>10086</v>
      </c>
      <c r="AJ4471" s="47">
        <v>4400</v>
      </c>
    </row>
    <row r="4472" spans="1:36">
      <c r="A4472" s="374" t="s">
        <v>6523</v>
      </c>
      <c r="B4472" s="374">
        <v>5</v>
      </c>
      <c r="C4472" s="374" t="s">
        <v>287</v>
      </c>
      <c r="D4472" s="375" t="str">
        <f t="shared" si="997"/>
        <v>Warragul Crownlea Estate5</v>
      </c>
      <c r="E4472" s="375" t="s">
        <v>9876</v>
      </c>
      <c r="F4472" s="375" t="s">
        <v>1428</v>
      </c>
      <c r="G4472" s="375" t="s">
        <v>6525</v>
      </c>
      <c r="H4472" s="375" t="s">
        <v>6526</v>
      </c>
      <c r="I4472" s="63" t="s">
        <v>6527</v>
      </c>
      <c r="J4472" s="47"/>
      <c r="K4472" s="46" t="s">
        <v>10735</v>
      </c>
      <c r="L4472" s="47"/>
      <c r="M4472" s="47"/>
      <c r="N4472" s="47"/>
      <c r="O4472" s="47"/>
      <c r="P4472" s="47"/>
      <c r="Q4472" s="47"/>
      <c r="R4472" s="47"/>
      <c r="S4472" s="47"/>
      <c r="T4472" s="47"/>
      <c r="U4472" s="47">
        <v>540</v>
      </c>
      <c r="V4472" s="47" t="s">
        <v>6528</v>
      </c>
      <c r="W4472" s="47" t="s">
        <v>6529</v>
      </c>
      <c r="X4472" s="47"/>
      <c r="Y4472" s="47"/>
      <c r="Z4472" s="47">
        <v>4620</v>
      </c>
      <c r="AA4472" s="47"/>
      <c r="AB4472" s="47"/>
      <c r="AC4472" s="47"/>
      <c r="AD4472" s="47"/>
      <c r="AE4472" s="47"/>
      <c r="AF4472" s="47"/>
      <c r="AG4472" s="47"/>
      <c r="AH4472" s="47">
        <f>IFERROR(_xlfn.XLOOKUP(Table6[[#This Row],[Suburb]],Table5[Travel Surcharge],Table5[$$]),"")</f>
        <v>7000</v>
      </c>
      <c r="AI4472" s="47"/>
      <c r="AJ4472" s="47">
        <v>4400</v>
      </c>
    </row>
    <row r="4473" spans="1:36">
      <c r="A4473" s="374" t="s">
        <v>6523</v>
      </c>
      <c r="B4473" s="374">
        <v>6</v>
      </c>
      <c r="C4473" s="374" t="s">
        <v>287</v>
      </c>
      <c r="D4473" s="375" t="str">
        <f t="shared" si="997"/>
        <v>Warragul Crownlea Estate6</v>
      </c>
      <c r="E4473" s="375" t="s">
        <v>9839</v>
      </c>
      <c r="F4473" s="375" t="s">
        <v>1428</v>
      </c>
      <c r="G4473" s="375" t="s">
        <v>6525</v>
      </c>
      <c r="H4473" s="375" t="s">
        <v>6526</v>
      </c>
      <c r="I4473" s="63" t="s">
        <v>6527</v>
      </c>
      <c r="J4473" s="47"/>
      <c r="K4473" s="46" t="s">
        <v>10735</v>
      </c>
      <c r="L4473" s="47"/>
      <c r="M4473" s="47"/>
      <c r="N4473" s="47"/>
      <c r="O4473" s="47"/>
      <c r="P4473" s="47"/>
      <c r="Q4473" s="47"/>
      <c r="R4473" s="47"/>
      <c r="S4473" s="47"/>
      <c r="T4473" s="47"/>
      <c r="U4473" s="47">
        <f>U$2</f>
        <v>430</v>
      </c>
      <c r="V4473" s="47" t="s">
        <v>6528</v>
      </c>
      <c r="W4473" s="47" t="s">
        <v>6529</v>
      </c>
      <c r="X4473" s="47"/>
      <c r="Y4473" s="47"/>
      <c r="Z4473" s="47">
        <f t="shared" si="990"/>
        <v>4620</v>
      </c>
      <c r="AA4473" s="47"/>
      <c r="AB4473" s="47"/>
      <c r="AC4473" s="47"/>
      <c r="AD4473" s="47"/>
      <c r="AE4473" s="47"/>
      <c r="AF4473" s="47"/>
      <c r="AG4473" s="47"/>
      <c r="AH4473" s="47">
        <f>IFERROR(_xlfn.XLOOKUP(Table6[[#This Row],[Suburb]],Table5[Travel Surcharge],Table5[$$]),"")</f>
        <v>7000</v>
      </c>
      <c r="AI4473" s="47"/>
      <c r="AJ4473" s="47">
        <v>4400</v>
      </c>
    </row>
    <row r="4474" spans="1:36">
      <c r="A4474" s="374" t="s">
        <v>6523</v>
      </c>
      <c r="B4474" s="374">
        <v>7</v>
      </c>
      <c r="C4474" s="374" t="s">
        <v>287</v>
      </c>
      <c r="D4474" s="375" t="str">
        <f t="shared" si="997"/>
        <v>Warragul Crownlea Estate7</v>
      </c>
      <c r="E4474" s="375" t="s">
        <v>7982</v>
      </c>
      <c r="F4474" s="375" t="s">
        <v>1428</v>
      </c>
      <c r="G4474" s="375" t="s">
        <v>6525</v>
      </c>
      <c r="H4474" s="375" t="s">
        <v>6526</v>
      </c>
      <c r="I4474" s="63" t="s">
        <v>6527</v>
      </c>
      <c r="J4474" s="47"/>
      <c r="K4474" s="46" t="s">
        <v>10735</v>
      </c>
      <c r="L4474" s="47"/>
      <c r="M4474" s="47"/>
      <c r="N4474" s="47"/>
      <c r="O4474" s="47"/>
      <c r="P4474" s="47"/>
      <c r="Q4474" s="47"/>
      <c r="R4474" s="47"/>
      <c r="S4474" s="47"/>
      <c r="T4474" s="47"/>
      <c r="U4474" s="47">
        <f>U$2</f>
        <v>430</v>
      </c>
      <c r="V4474" s="47" t="s">
        <v>6528</v>
      </c>
      <c r="W4474" s="47" t="s">
        <v>6529</v>
      </c>
      <c r="X4474" s="47"/>
      <c r="Y4474" s="47"/>
      <c r="Z4474" s="47">
        <f t="shared" si="990"/>
        <v>4620</v>
      </c>
      <c r="AA4474" s="47"/>
      <c r="AB4474" s="47"/>
      <c r="AC4474" s="47"/>
      <c r="AD4474" s="47"/>
      <c r="AE4474" s="47"/>
      <c r="AF4474" s="47"/>
      <c r="AG4474" s="47"/>
      <c r="AH4474" s="47">
        <f>IFERROR(_xlfn.XLOOKUP(Table6[[#This Row],[Suburb]],Table5[Travel Surcharge],Table5[$$]),"")</f>
        <v>7000</v>
      </c>
      <c r="AI4474" s="47"/>
      <c r="AJ4474" s="47">
        <v>4400</v>
      </c>
    </row>
    <row r="4475" spans="1:36">
      <c r="A4475" s="374" t="s">
        <v>6523</v>
      </c>
      <c r="B4475" s="374">
        <v>8</v>
      </c>
      <c r="C4475" s="374" t="s">
        <v>287</v>
      </c>
      <c r="D4475" s="375" t="str">
        <f t="shared" si="997"/>
        <v>Warragul Crownlea Estate8</v>
      </c>
      <c r="E4475" s="375" t="s">
        <v>10278</v>
      </c>
      <c r="F4475" s="375" t="s">
        <v>1428</v>
      </c>
      <c r="G4475" s="375" t="s">
        <v>6525</v>
      </c>
      <c r="H4475" s="375" t="s">
        <v>6526</v>
      </c>
      <c r="I4475" s="63" t="s">
        <v>6527</v>
      </c>
      <c r="J4475" s="47"/>
      <c r="K4475" s="46" t="s">
        <v>10735</v>
      </c>
      <c r="L4475" s="47"/>
      <c r="M4475" s="47"/>
      <c r="N4475" s="47"/>
      <c r="O4475" s="47"/>
      <c r="P4475" s="47"/>
      <c r="Q4475" s="47"/>
      <c r="R4475" s="47"/>
      <c r="S4475" s="47"/>
      <c r="T4475" s="47"/>
      <c r="U4475" s="47">
        <v>540</v>
      </c>
      <c r="V4475" s="47" t="s">
        <v>6528</v>
      </c>
      <c r="W4475" s="47" t="s">
        <v>6529</v>
      </c>
      <c r="X4475" s="47"/>
      <c r="Y4475" s="47"/>
      <c r="Z4475" s="47">
        <v>4620</v>
      </c>
      <c r="AA4475" s="47"/>
      <c r="AB4475" s="47"/>
      <c r="AC4475" s="47"/>
      <c r="AD4475" s="47"/>
      <c r="AE4475" s="47"/>
      <c r="AF4475" s="47"/>
      <c r="AG4475" s="47"/>
      <c r="AH4475" s="47">
        <v>7000</v>
      </c>
      <c r="AI4475" s="47"/>
      <c r="AJ4475" s="47">
        <v>4400</v>
      </c>
    </row>
    <row r="4476" spans="1:36">
      <c r="A4476" s="374" t="s">
        <v>6523</v>
      </c>
      <c r="B4476" s="374">
        <v>9</v>
      </c>
      <c r="C4476" s="374" t="s">
        <v>287</v>
      </c>
      <c r="D4476" s="375" t="str">
        <f t="shared" si="997"/>
        <v>Warragul Crownlea Estate9</v>
      </c>
      <c r="E4476" s="375" t="s">
        <v>9942</v>
      </c>
      <c r="F4476" s="375" t="s">
        <v>1428</v>
      </c>
      <c r="G4476" s="375" t="s">
        <v>6525</v>
      </c>
      <c r="H4476" s="375" t="s">
        <v>6526</v>
      </c>
      <c r="I4476" s="63" t="s">
        <v>6527</v>
      </c>
      <c r="J4476" s="47"/>
      <c r="K4476" s="46" t="s">
        <v>10735</v>
      </c>
      <c r="L4476" s="47"/>
      <c r="M4476" s="47"/>
      <c r="N4476" s="47"/>
      <c r="O4476" s="47"/>
      <c r="P4476" s="47"/>
      <c r="Q4476" s="47"/>
      <c r="R4476" s="47"/>
      <c r="S4476" s="47"/>
      <c r="T4476" s="47"/>
      <c r="U4476" s="47">
        <v>540</v>
      </c>
      <c r="V4476" s="47" t="s">
        <v>6528</v>
      </c>
      <c r="W4476" s="47" t="s">
        <v>6529</v>
      </c>
      <c r="X4476" s="47"/>
      <c r="Y4476" s="47"/>
      <c r="Z4476" s="47">
        <v>4620</v>
      </c>
      <c r="AA4476" s="47"/>
      <c r="AB4476" s="47"/>
      <c r="AC4476" s="47"/>
      <c r="AD4476" s="47"/>
      <c r="AE4476" s="47"/>
      <c r="AF4476" s="47"/>
      <c r="AG4476" s="47"/>
      <c r="AH4476" s="47">
        <f>IFERROR(_xlfn.XLOOKUP(Table6[[#This Row],[Suburb]],Table5[Travel Surcharge],Table5[$$]),"")</f>
        <v>7000</v>
      </c>
      <c r="AI4476" s="47"/>
      <c r="AJ4476" s="47">
        <v>4400</v>
      </c>
    </row>
    <row r="4477" spans="1:36">
      <c r="A4477" s="374" t="s">
        <v>6523</v>
      </c>
      <c r="B4477" s="374">
        <v>10</v>
      </c>
      <c r="C4477" s="374" t="s">
        <v>287</v>
      </c>
      <c r="D4477" s="375" t="str">
        <f t="shared" si="997"/>
        <v>Warragul Crownlea Estate10</v>
      </c>
      <c r="E4477" s="375" t="s">
        <v>10341</v>
      </c>
      <c r="F4477" s="375" t="s">
        <v>1428</v>
      </c>
      <c r="G4477" s="375" t="s">
        <v>6525</v>
      </c>
      <c r="H4477" s="375" t="s">
        <v>6526</v>
      </c>
      <c r="I4477" s="63" t="s">
        <v>6527</v>
      </c>
      <c r="J4477" s="47"/>
      <c r="K4477" s="46" t="s">
        <v>10735</v>
      </c>
      <c r="L4477" s="47"/>
      <c r="M4477" s="47"/>
      <c r="N4477" s="47"/>
      <c r="O4477" s="47"/>
      <c r="P4477" s="47"/>
      <c r="Q4477" s="47"/>
      <c r="R4477" s="47"/>
      <c r="S4477" s="47"/>
      <c r="T4477" s="47"/>
      <c r="U4477" s="47">
        <v>540</v>
      </c>
      <c r="V4477" s="47" t="s">
        <v>6528</v>
      </c>
      <c r="W4477" s="47" t="s">
        <v>6529</v>
      </c>
      <c r="X4477" s="47"/>
      <c r="Y4477" s="47"/>
      <c r="Z4477" s="47">
        <v>4620</v>
      </c>
      <c r="AA4477" s="47"/>
      <c r="AB4477" s="47"/>
      <c r="AC4477" s="47"/>
      <c r="AD4477" s="47"/>
      <c r="AE4477" s="47"/>
      <c r="AF4477" s="47"/>
      <c r="AG4477" s="47"/>
      <c r="AH4477" s="47">
        <v>7000</v>
      </c>
      <c r="AI4477" s="47"/>
      <c r="AJ4477" s="47">
        <v>4400</v>
      </c>
    </row>
    <row r="4478" spans="1:36">
      <c r="A4478" s="374" t="s">
        <v>6523</v>
      </c>
      <c r="B4478" s="374">
        <v>11</v>
      </c>
      <c r="C4478" s="374" t="s">
        <v>287</v>
      </c>
      <c r="D4478" s="375" t="str">
        <f t="shared" si="997"/>
        <v>Warragul Crownlea Estate11</v>
      </c>
      <c r="E4478" s="375" t="s">
        <v>10861</v>
      </c>
      <c r="F4478" s="375" t="s">
        <v>1428</v>
      </c>
      <c r="G4478" s="375" t="s">
        <v>6525</v>
      </c>
      <c r="H4478" s="375" t="s">
        <v>6526</v>
      </c>
      <c r="I4478" s="63" t="s">
        <v>6527</v>
      </c>
      <c r="J4478" s="47"/>
      <c r="K4478" s="46" t="s">
        <v>10735</v>
      </c>
      <c r="L4478" s="47"/>
      <c r="M4478" s="47"/>
      <c r="N4478" s="47"/>
      <c r="O4478" s="47"/>
      <c r="P4478" s="47"/>
      <c r="Q4478" s="47"/>
      <c r="R4478" s="47"/>
      <c r="S4478" s="47"/>
      <c r="T4478" s="47"/>
      <c r="U4478" s="47">
        <v>540</v>
      </c>
      <c r="V4478" s="47" t="s">
        <v>6528</v>
      </c>
      <c r="W4478" s="47" t="s">
        <v>6529</v>
      </c>
      <c r="X4478" s="47"/>
      <c r="Y4478" s="47"/>
      <c r="Z4478" s="47">
        <v>4620</v>
      </c>
      <c r="AA4478" s="47"/>
      <c r="AB4478" s="47"/>
      <c r="AC4478" s="47"/>
      <c r="AD4478" s="47"/>
      <c r="AE4478" s="47"/>
      <c r="AF4478" s="47"/>
      <c r="AG4478" s="47"/>
      <c r="AH4478" s="47">
        <v>7000</v>
      </c>
      <c r="AI4478" s="47"/>
      <c r="AJ4478" s="47">
        <v>4400</v>
      </c>
    </row>
    <row r="4479" spans="1:36">
      <c r="A4479" s="374" t="s">
        <v>6523</v>
      </c>
      <c r="B4479" s="374">
        <v>12</v>
      </c>
      <c r="C4479" s="374" t="s">
        <v>287</v>
      </c>
      <c r="D4479" s="375" t="str">
        <f t="shared" ref="D4479" si="998">CONCATENATE(A4479,B4479)</f>
        <v>Warragul Crownlea Estate12</v>
      </c>
      <c r="E4479" s="375" t="s">
        <v>10872</v>
      </c>
      <c r="F4479" s="375" t="s">
        <v>1428</v>
      </c>
      <c r="G4479" s="375" t="s">
        <v>6525</v>
      </c>
      <c r="H4479" s="375" t="s">
        <v>6526</v>
      </c>
      <c r="I4479" s="63" t="s">
        <v>6527</v>
      </c>
      <c r="J4479" s="47"/>
      <c r="K4479" s="46" t="s">
        <v>10735</v>
      </c>
      <c r="L4479" s="47"/>
      <c r="M4479" s="47"/>
      <c r="N4479" s="47"/>
      <c r="O4479" s="47"/>
      <c r="P4479" s="47"/>
      <c r="Q4479" s="47"/>
      <c r="R4479" s="47"/>
      <c r="S4479" s="47"/>
      <c r="T4479" s="47"/>
      <c r="U4479" s="47">
        <v>540</v>
      </c>
      <c r="V4479" s="47" t="s">
        <v>6528</v>
      </c>
      <c r="W4479" s="47" t="s">
        <v>6529</v>
      </c>
      <c r="X4479" s="47"/>
      <c r="Y4479" s="47"/>
      <c r="Z4479" s="47">
        <v>4620</v>
      </c>
      <c r="AA4479" s="47"/>
      <c r="AB4479" s="47"/>
      <c r="AC4479" s="47"/>
      <c r="AD4479" s="47"/>
      <c r="AE4479" s="47"/>
      <c r="AF4479" s="47"/>
      <c r="AG4479" s="47"/>
      <c r="AH4479" s="47">
        <v>7000</v>
      </c>
      <c r="AI4479" s="47"/>
      <c r="AJ4479" s="47">
        <v>4400</v>
      </c>
    </row>
    <row r="4480" spans="1:36">
      <c r="A4480" s="374" t="s">
        <v>6532</v>
      </c>
      <c r="B4480" s="374">
        <v>1</v>
      </c>
      <c r="C4480" s="374" t="s">
        <v>281</v>
      </c>
      <c r="D4480" s="375" t="str">
        <f t="shared" si="997"/>
        <v>Warralily Estate1</v>
      </c>
      <c r="E4480" s="375" t="s">
        <v>6538</v>
      </c>
      <c r="F4480" s="375" t="s">
        <v>1440</v>
      </c>
      <c r="G4480" s="375" t="s">
        <v>6535</v>
      </c>
      <c r="H4480" s="375" t="s">
        <v>6536</v>
      </c>
      <c r="I4480" s="63"/>
      <c r="J4480" s="47">
        <f t="shared" ref="J4480:J4511" si="999">J$7</f>
        <v>3740</v>
      </c>
      <c r="K4480" s="46" t="s">
        <v>10735</v>
      </c>
      <c r="L4480" s="47"/>
      <c r="M4480" s="47">
        <f t="shared" ref="M4480:M4511" si="1000">M$7</f>
        <v>1430.0000000000002</v>
      </c>
      <c r="N4480" s="47" t="s">
        <v>6537</v>
      </c>
      <c r="O4480" s="47"/>
      <c r="P4480" s="47"/>
      <c r="Q4480" s="47">
        <f t="shared" ref="Q4480:Q4511" si="1001">Q$2</f>
        <v>0</v>
      </c>
      <c r="R4480" s="47"/>
      <c r="S4480" s="47"/>
      <c r="T4480" s="47" t="s">
        <v>337</v>
      </c>
      <c r="U4480" s="47"/>
      <c r="V4480" s="47"/>
      <c r="W4480" s="47"/>
      <c r="X4480" s="47"/>
      <c r="Y4480" s="47"/>
      <c r="Z4480" s="47">
        <f t="shared" si="990"/>
        <v>4620</v>
      </c>
      <c r="AA4480" s="47">
        <f t="shared" ref="AA4480:AA4511" si="1002">AA$7</f>
        <v>1400</v>
      </c>
      <c r="AB4480" s="47"/>
      <c r="AC4480" s="47"/>
      <c r="AD4480" s="47"/>
      <c r="AE4480" s="47"/>
      <c r="AF4480" s="47">
        <f t="shared" ref="AF4480:AF4511" si="1003">AF$7</f>
        <v>1485</v>
      </c>
      <c r="AG4480" s="47"/>
      <c r="AH4480" s="47">
        <f>IFERROR(_xlfn.XLOOKUP(Table6[[#This Row],[Suburb]],Table5[Travel Surcharge],Table5[$$]),"")</f>
        <v>1500</v>
      </c>
      <c r="AI4480" s="47">
        <f t="shared" ref="AI4480:AI4511" si="1004">AI$7</f>
        <v>1650.0000000000002</v>
      </c>
      <c r="AJ4480" s="47"/>
    </row>
    <row r="4481" spans="1:36">
      <c r="A4481" s="374" t="s">
        <v>6532</v>
      </c>
      <c r="B4481" s="374">
        <v>2</v>
      </c>
      <c r="C4481" s="374" t="s">
        <v>281</v>
      </c>
      <c r="D4481" s="375" t="str">
        <f t="shared" si="997"/>
        <v>Warralily Estate2</v>
      </c>
      <c r="E4481" s="375" t="s">
        <v>6539</v>
      </c>
      <c r="F4481" s="375" t="s">
        <v>1440</v>
      </c>
      <c r="G4481" s="375" t="s">
        <v>6535</v>
      </c>
      <c r="H4481" s="375" t="s">
        <v>6536</v>
      </c>
      <c r="I4481" s="63"/>
      <c r="J4481" s="47">
        <f t="shared" si="999"/>
        <v>3740</v>
      </c>
      <c r="K4481" s="46" t="s">
        <v>10735</v>
      </c>
      <c r="L4481" s="47"/>
      <c r="M4481" s="47">
        <f t="shared" si="1000"/>
        <v>1430.0000000000002</v>
      </c>
      <c r="N4481" s="47" t="s">
        <v>6537</v>
      </c>
      <c r="O4481" s="47"/>
      <c r="P4481" s="47"/>
      <c r="Q4481" s="47">
        <f t="shared" si="1001"/>
        <v>0</v>
      </c>
      <c r="R4481" s="47"/>
      <c r="S4481" s="47"/>
      <c r="T4481" s="47" t="s">
        <v>337</v>
      </c>
      <c r="U4481" s="47"/>
      <c r="V4481" s="47"/>
      <c r="W4481" s="47"/>
      <c r="X4481" s="47"/>
      <c r="Y4481" s="47"/>
      <c r="Z4481" s="47">
        <f t="shared" si="990"/>
        <v>4620</v>
      </c>
      <c r="AA4481" s="47">
        <f t="shared" si="1002"/>
        <v>1400</v>
      </c>
      <c r="AB4481" s="47"/>
      <c r="AC4481" s="47"/>
      <c r="AD4481" s="47"/>
      <c r="AE4481" s="47"/>
      <c r="AF4481" s="47">
        <f t="shared" si="1003"/>
        <v>1485</v>
      </c>
      <c r="AG4481" s="47"/>
      <c r="AH4481" s="47">
        <f>IFERROR(_xlfn.XLOOKUP(Table6[[#This Row],[Suburb]],Table5[Travel Surcharge],Table5[$$]),"")</f>
        <v>1500</v>
      </c>
      <c r="AI4481" s="47">
        <f t="shared" si="1004"/>
        <v>1650.0000000000002</v>
      </c>
      <c r="AJ4481" s="47"/>
    </row>
    <row r="4482" spans="1:36">
      <c r="A4482" s="374" t="s">
        <v>6532</v>
      </c>
      <c r="B4482" s="374">
        <v>3</v>
      </c>
      <c r="C4482" s="374" t="s">
        <v>281</v>
      </c>
      <c r="D4482" s="375" t="str">
        <f t="shared" si="997"/>
        <v>Warralily Estate3</v>
      </c>
      <c r="E4482" s="375" t="s">
        <v>6540</v>
      </c>
      <c r="F4482" s="375" t="s">
        <v>1440</v>
      </c>
      <c r="G4482" s="375" t="s">
        <v>6535</v>
      </c>
      <c r="H4482" s="375" t="s">
        <v>6536</v>
      </c>
      <c r="I4482" s="63"/>
      <c r="J4482" s="47">
        <f t="shared" si="999"/>
        <v>3740</v>
      </c>
      <c r="K4482" s="46" t="s">
        <v>10735</v>
      </c>
      <c r="L4482" s="47"/>
      <c r="M4482" s="47">
        <f t="shared" si="1000"/>
        <v>1430.0000000000002</v>
      </c>
      <c r="N4482" s="47" t="s">
        <v>6537</v>
      </c>
      <c r="O4482" s="47"/>
      <c r="P4482" s="47"/>
      <c r="Q4482" s="47">
        <f t="shared" si="1001"/>
        <v>0</v>
      </c>
      <c r="R4482" s="47"/>
      <c r="S4482" s="47"/>
      <c r="T4482" s="47" t="s">
        <v>337</v>
      </c>
      <c r="U4482" s="47"/>
      <c r="V4482" s="47"/>
      <c r="W4482" s="47"/>
      <c r="X4482" s="47"/>
      <c r="Y4482" s="47"/>
      <c r="Z4482" s="47">
        <f t="shared" si="990"/>
        <v>4620</v>
      </c>
      <c r="AA4482" s="47">
        <f t="shared" si="1002"/>
        <v>1400</v>
      </c>
      <c r="AB4482" s="47"/>
      <c r="AC4482" s="47"/>
      <c r="AD4482" s="47"/>
      <c r="AE4482" s="47"/>
      <c r="AF4482" s="47">
        <f t="shared" si="1003"/>
        <v>1485</v>
      </c>
      <c r="AG4482" s="47"/>
      <c r="AH4482" s="47">
        <f>IFERROR(_xlfn.XLOOKUP(Table6[[#This Row],[Suburb]],Table5[Travel Surcharge],Table5[$$]),"")</f>
        <v>1500</v>
      </c>
      <c r="AI4482" s="47">
        <f t="shared" si="1004"/>
        <v>1650.0000000000002</v>
      </c>
      <c r="AJ4482" s="47"/>
    </row>
    <row r="4483" spans="1:36">
      <c r="A4483" s="374" t="s">
        <v>6532</v>
      </c>
      <c r="B4483" s="374">
        <v>4</v>
      </c>
      <c r="C4483" s="374" t="s">
        <v>281</v>
      </c>
      <c r="D4483" s="375" t="str">
        <f t="shared" si="997"/>
        <v>Warralily Estate4</v>
      </c>
      <c r="E4483" s="375" t="s">
        <v>6541</v>
      </c>
      <c r="F4483" s="375" t="s">
        <v>1440</v>
      </c>
      <c r="G4483" s="375" t="s">
        <v>6535</v>
      </c>
      <c r="H4483" s="375" t="s">
        <v>6536</v>
      </c>
      <c r="I4483" s="63"/>
      <c r="J4483" s="47">
        <f t="shared" si="999"/>
        <v>3740</v>
      </c>
      <c r="K4483" s="46" t="s">
        <v>10735</v>
      </c>
      <c r="L4483" s="47"/>
      <c r="M4483" s="47">
        <f t="shared" si="1000"/>
        <v>1430.0000000000002</v>
      </c>
      <c r="N4483" s="47" t="s">
        <v>6537</v>
      </c>
      <c r="O4483" s="47"/>
      <c r="P4483" s="47"/>
      <c r="Q4483" s="47">
        <f t="shared" si="1001"/>
        <v>0</v>
      </c>
      <c r="R4483" s="47"/>
      <c r="S4483" s="47"/>
      <c r="T4483" s="47" t="s">
        <v>337</v>
      </c>
      <c r="U4483" s="47"/>
      <c r="V4483" s="47"/>
      <c r="W4483" s="47"/>
      <c r="X4483" s="47"/>
      <c r="Y4483" s="47"/>
      <c r="Z4483" s="47">
        <f t="shared" si="990"/>
        <v>4620</v>
      </c>
      <c r="AA4483" s="47">
        <f t="shared" si="1002"/>
        <v>1400</v>
      </c>
      <c r="AB4483" s="47"/>
      <c r="AC4483" s="47"/>
      <c r="AD4483" s="47"/>
      <c r="AE4483" s="47"/>
      <c r="AF4483" s="47">
        <f t="shared" si="1003"/>
        <v>1485</v>
      </c>
      <c r="AG4483" s="47"/>
      <c r="AH4483" s="47">
        <f>IFERROR(_xlfn.XLOOKUP(Table6[[#This Row],[Suburb]],Table5[Travel Surcharge],Table5[$$]),"")</f>
        <v>1500</v>
      </c>
      <c r="AI4483" s="47">
        <f t="shared" si="1004"/>
        <v>1650.0000000000002</v>
      </c>
      <c r="AJ4483" s="47"/>
    </row>
    <row r="4484" spans="1:36">
      <c r="A4484" s="374" t="s">
        <v>6532</v>
      </c>
      <c r="B4484" s="374">
        <v>5</v>
      </c>
      <c r="C4484" s="374" t="s">
        <v>281</v>
      </c>
      <c r="D4484" s="375" t="str">
        <f t="shared" si="997"/>
        <v>Warralily Estate5</v>
      </c>
      <c r="E4484" s="375" t="s">
        <v>6542</v>
      </c>
      <c r="F4484" s="375" t="s">
        <v>1440</v>
      </c>
      <c r="G4484" s="375" t="s">
        <v>6535</v>
      </c>
      <c r="H4484" s="375" t="s">
        <v>6536</v>
      </c>
      <c r="I4484" s="63"/>
      <c r="J4484" s="47">
        <f t="shared" si="999"/>
        <v>3740</v>
      </c>
      <c r="K4484" s="46" t="s">
        <v>10735</v>
      </c>
      <c r="L4484" s="47"/>
      <c r="M4484" s="47">
        <f t="shared" si="1000"/>
        <v>1430.0000000000002</v>
      </c>
      <c r="N4484" s="47" t="s">
        <v>6537</v>
      </c>
      <c r="O4484" s="47"/>
      <c r="P4484" s="47"/>
      <c r="Q4484" s="47">
        <f t="shared" si="1001"/>
        <v>0</v>
      </c>
      <c r="R4484" s="47"/>
      <c r="S4484" s="47"/>
      <c r="T4484" s="47" t="s">
        <v>337</v>
      </c>
      <c r="U4484" s="47"/>
      <c r="V4484" s="47"/>
      <c r="W4484" s="47"/>
      <c r="X4484" s="47"/>
      <c r="Y4484" s="47"/>
      <c r="Z4484" s="47">
        <f t="shared" si="990"/>
        <v>4620</v>
      </c>
      <c r="AA4484" s="47">
        <f t="shared" si="1002"/>
        <v>1400</v>
      </c>
      <c r="AB4484" s="47"/>
      <c r="AC4484" s="47"/>
      <c r="AD4484" s="47"/>
      <c r="AE4484" s="47"/>
      <c r="AF4484" s="47">
        <f t="shared" si="1003"/>
        <v>1485</v>
      </c>
      <c r="AG4484" s="47"/>
      <c r="AH4484" s="47">
        <f>IFERROR(_xlfn.XLOOKUP(Table6[[#This Row],[Suburb]],Table5[Travel Surcharge],Table5[$$]),"")</f>
        <v>1500</v>
      </c>
      <c r="AI4484" s="47">
        <f t="shared" si="1004"/>
        <v>1650.0000000000002</v>
      </c>
      <c r="AJ4484" s="47"/>
    </row>
    <row r="4485" spans="1:36">
      <c r="A4485" s="374" t="s">
        <v>6532</v>
      </c>
      <c r="B4485" s="374">
        <v>7</v>
      </c>
      <c r="C4485" s="374" t="s">
        <v>281</v>
      </c>
      <c r="D4485" s="375" t="str">
        <f t="shared" si="997"/>
        <v>Warralily Estate7</v>
      </c>
      <c r="E4485" s="375" t="s">
        <v>6543</v>
      </c>
      <c r="F4485" s="375" t="s">
        <v>1440</v>
      </c>
      <c r="G4485" s="375" t="s">
        <v>6535</v>
      </c>
      <c r="H4485" s="375" t="s">
        <v>6536</v>
      </c>
      <c r="I4485" s="63"/>
      <c r="J4485" s="47">
        <f t="shared" si="999"/>
        <v>3740</v>
      </c>
      <c r="K4485" s="46" t="s">
        <v>10735</v>
      </c>
      <c r="L4485" s="47"/>
      <c r="M4485" s="47">
        <f t="shared" si="1000"/>
        <v>1430.0000000000002</v>
      </c>
      <c r="N4485" s="47" t="s">
        <v>6537</v>
      </c>
      <c r="O4485" s="47"/>
      <c r="P4485" s="47"/>
      <c r="Q4485" s="47">
        <f t="shared" si="1001"/>
        <v>0</v>
      </c>
      <c r="R4485" s="47"/>
      <c r="S4485" s="47"/>
      <c r="T4485" s="47" t="s">
        <v>337</v>
      </c>
      <c r="U4485" s="47"/>
      <c r="V4485" s="47"/>
      <c r="W4485" s="47"/>
      <c r="X4485" s="47"/>
      <c r="Y4485" s="47"/>
      <c r="Z4485" s="47">
        <f t="shared" si="990"/>
        <v>4620</v>
      </c>
      <c r="AA4485" s="47">
        <f t="shared" si="1002"/>
        <v>1400</v>
      </c>
      <c r="AB4485" s="47"/>
      <c r="AC4485" s="47"/>
      <c r="AD4485" s="47"/>
      <c r="AE4485" s="47"/>
      <c r="AF4485" s="47">
        <f t="shared" si="1003"/>
        <v>1485</v>
      </c>
      <c r="AG4485" s="47"/>
      <c r="AH4485" s="47">
        <f>IFERROR(_xlfn.XLOOKUP(Table6[[#This Row],[Suburb]],Table5[Travel Surcharge],Table5[$$]),"")</f>
        <v>1500</v>
      </c>
      <c r="AI4485" s="47">
        <f t="shared" si="1004"/>
        <v>1650.0000000000002</v>
      </c>
      <c r="AJ4485" s="47"/>
    </row>
    <row r="4486" spans="1:36">
      <c r="A4486" s="374" t="s">
        <v>6532</v>
      </c>
      <c r="B4486" s="374">
        <v>8</v>
      </c>
      <c r="C4486" s="374" t="s">
        <v>281</v>
      </c>
      <c r="D4486" s="375" t="str">
        <f t="shared" si="997"/>
        <v>Warralily Estate8</v>
      </c>
      <c r="E4486" s="375" t="s">
        <v>6544</v>
      </c>
      <c r="F4486" s="375" t="s">
        <v>1440</v>
      </c>
      <c r="G4486" s="375" t="s">
        <v>6535</v>
      </c>
      <c r="H4486" s="375" t="s">
        <v>6536</v>
      </c>
      <c r="I4486" s="63"/>
      <c r="J4486" s="47">
        <f t="shared" si="999"/>
        <v>3740</v>
      </c>
      <c r="K4486" s="46" t="s">
        <v>10735</v>
      </c>
      <c r="L4486" s="47"/>
      <c r="M4486" s="47">
        <f t="shared" si="1000"/>
        <v>1430.0000000000002</v>
      </c>
      <c r="N4486" s="47" t="s">
        <v>6537</v>
      </c>
      <c r="O4486" s="47"/>
      <c r="P4486" s="47"/>
      <c r="Q4486" s="47">
        <f t="shared" si="1001"/>
        <v>0</v>
      </c>
      <c r="R4486" s="47"/>
      <c r="S4486" s="47"/>
      <c r="T4486" s="47" t="s">
        <v>337</v>
      </c>
      <c r="U4486" s="47"/>
      <c r="V4486" s="47"/>
      <c r="W4486" s="47"/>
      <c r="X4486" s="47"/>
      <c r="Y4486" s="47"/>
      <c r="Z4486" s="47">
        <f t="shared" si="990"/>
        <v>4620</v>
      </c>
      <c r="AA4486" s="47">
        <f t="shared" si="1002"/>
        <v>1400</v>
      </c>
      <c r="AB4486" s="47"/>
      <c r="AC4486" s="47"/>
      <c r="AD4486" s="47"/>
      <c r="AE4486" s="47"/>
      <c r="AF4486" s="47">
        <f t="shared" si="1003"/>
        <v>1485</v>
      </c>
      <c r="AG4486" s="47"/>
      <c r="AH4486" s="47">
        <f>IFERROR(_xlfn.XLOOKUP(Table6[[#This Row],[Suburb]],Table5[Travel Surcharge],Table5[$$]),"")</f>
        <v>1500</v>
      </c>
      <c r="AI4486" s="47">
        <f t="shared" si="1004"/>
        <v>1650.0000000000002</v>
      </c>
      <c r="AJ4486" s="47"/>
    </row>
    <row r="4487" spans="1:36">
      <c r="A4487" s="374" t="s">
        <v>6532</v>
      </c>
      <c r="B4487" s="374">
        <v>9</v>
      </c>
      <c r="C4487" s="374" t="s">
        <v>281</v>
      </c>
      <c r="D4487" s="375" t="str">
        <f t="shared" si="997"/>
        <v>Warralily Estate9</v>
      </c>
      <c r="E4487" s="375" t="s">
        <v>6545</v>
      </c>
      <c r="F4487" s="375" t="s">
        <v>1440</v>
      </c>
      <c r="G4487" s="375" t="s">
        <v>6535</v>
      </c>
      <c r="H4487" s="375" t="s">
        <v>6536</v>
      </c>
      <c r="I4487" s="63"/>
      <c r="J4487" s="47">
        <f t="shared" si="999"/>
        <v>3740</v>
      </c>
      <c r="K4487" s="46" t="s">
        <v>10735</v>
      </c>
      <c r="L4487" s="47"/>
      <c r="M4487" s="47">
        <f t="shared" si="1000"/>
        <v>1430.0000000000002</v>
      </c>
      <c r="N4487" s="47" t="s">
        <v>6537</v>
      </c>
      <c r="O4487" s="47"/>
      <c r="P4487" s="47"/>
      <c r="Q4487" s="47">
        <f t="shared" si="1001"/>
        <v>0</v>
      </c>
      <c r="R4487" s="47"/>
      <c r="S4487" s="47"/>
      <c r="T4487" s="47" t="s">
        <v>337</v>
      </c>
      <c r="U4487" s="47"/>
      <c r="V4487" s="47"/>
      <c r="W4487" s="47"/>
      <c r="X4487" s="47"/>
      <c r="Y4487" s="47"/>
      <c r="Z4487" s="47">
        <f t="shared" si="990"/>
        <v>4620</v>
      </c>
      <c r="AA4487" s="47">
        <f t="shared" si="1002"/>
        <v>1400</v>
      </c>
      <c r="AB4487" s="47"/>
      <c r="AC4487" s="47"/>
      <c r="AD4487" s="47"/>
      <c r="AE4487" s="47"/>
      <c r="AF4487" s="47">
        <f t="shared" si="1003"/>
        <v>1485</v>
      </c>
      <c r="AG4487" s="47"/>
      <c r="AH4487" s="47">
        <f>IFERROR(_xlfn.XLOOKUP(Table6[[#This Row],[Suburb]],Table5[Travel Surcharge],Table5[$$]),"")</f>
        <v>1500</v>
      </c>
      <c r="AI4487" s="47">
        <f t="shared" si="1004"/>
        <v>1650.0000000000002</v>
      </c>
      <c r="AJ4487" s="47"/>
    </row>
    <row r="4488" spans="1:36">
      <c r="A4488" s="157" t="s">
        <v>6532</v>
      </c>
      <c r="B4488" s="157">
        <v>10</v>
      </c>
      <c r="C4488" s="157" t="s">
        <v>281</v>
      </c>
      <c r="D4488" s="157" t="str">
        <f t="shared" si="997"/>
        <v>Warralily Estate10</v>
      </c>
      <c r="E4488" s="157" t="s">
        <v>7910</v>
      </c>
      <c r="F4488" s="157" t="s">
        <v>1440</v>
      </c>
      <c r="G4488" s="157" t="s">
        <v>6535</v>
      </c>
      <c r="H4488" s="157" t="s">
        <v>6536</v>
      </c>
      <c r="I4488" s="158"/>
      <c r="J4488" s="47">
        <f t="shared" si="999"/>
        <v>3740</v>
      </c>
      <c r="K4488" s="46" t="s">
        <v>10735</v>
      </c>
      <c r="L4488" s="47"/>
      <c r="M4488" s="47">
        <f t="shared" si="1000"/>
        <v>1430.0000000000002</v>
      </c>
      <c r="N4488" s="47" t="s">
        <v>6537</v>
      </c>
      <c r="O4488" s="47"/>
      <c r="P4488" s="47" t="s">
        <v>7911</v>
      </c>
      <c r="Q4488" s="47">
        <f t="shared" si="1001"/>
        <v>0</v>
      </c>
      <c r="R4488" s="47"/>
      <c r="S4488" s="47"/>
      <c r="T4488" s="47" t="s">
        <v>337</v>
      </c>
      <c r="U4488" s="47"/>
      <c r="V4488" s="47"/>
      <c r="W4488" s="47"/>
      <c r="X4488" s="47"/>
      <c r="Y4488" s="47"/>
      <c r="Z4488" s="47">
        <f t="shared" si="990"/>
        <v>4620</v>
      </c>
      <c r="AA4488" s="47">
        <f t="shared" si="1002"/>
        <v>1400</v>
      </c>
      <c r="AB4488" s="47"/>
      <c r="AC4488" s="47"/>
      <c r="AD4488" s="47"/>
      <c r="AE4488" s="47"/>
      <c r="AF4488" s="47">
        <f t="shared" si="1003"/>
        <v>1485</v>
      </c>
      <c r="AG4488" s="47"/>
      <c r="AH4488" s="47">
        <f>IFERROR(_xlfn.XLOOKUP(Table6[[#This Row],[Suburb]],Table5[Travel Surcharge],Table5[$$]),"")</f>
        <v>1500</v>
      </c>
      <c r="AI4488" s="47">
        <f t="shared" si="1004"/>
        <v>1650.0000000000002</v>
      </c>
      <c r="AJ4488" s="47"/>
    </row>
    <row r="4489" spans="1:36">
      <c r="A4489" s="374" t="s">
        <v>6532</v>
      </c>
      <c r="B4489" s="374">
        <v>12</v>
      </c>
      <c r="C4489" s="374" t="s">
        <v>281</v>
      </c>
      <c r="D4489" s="375" t="str">
        <f t="shared" si="997"/>
        <v>Warralily Estate12</v>
      </c>
      <c r="E4489" s="375" t="s">
        <v>6546</v>
      </c>
      <c r="F4489" s="375" t="s">
        <v>1440</v>
      </c>
      <c r="G4489" s="375" t="s">
        <v>6535</v>
      </c>
      <c r="H4489" s="375" t="s">
        <v>6536</v>
      </c>
      <c r="I4489" s="63"/>
      <c r="J4489" s="47">
        <f t="shared" si="999"/>
        <v>3740</v>
      </c>
      <c r="K4489" s="46" t="s">
        <v>10735</v>
      </c>
      <c r="L4489" s="47"/>
      <c r="M4489" s="47">
        <f t="shared" si="1000"/>
        <v>1430.0000000000002</v>
      </c>
      <c r="N4489" s="47" t="s">
        <v>6537</v>
      </c>
      <c r="O4489" s="47"/>
      <c r="P4489" s="47"/>
      <c r="Q4489" s="47">
        <f t="shared" si="1001"/>
        <v>0</v>
      </c>
      <c r="R4489" s="47"/>
      <c r="S4489" s="47"/>
      <c r="T4489" s="47" t="s">
        <v>337</v>
      </c>
      <c r="U4489" s="47"/>
      <c r="V4489" s="47"/>
      <c r="W4489" s="47"/>
      <c r="X4489" s="47"/>
      <c r="Y4489" s="47"/>
      <c r="Z4489" s="47">
        <f t="shared" si="990"/>
        <v>4620</v>
      </c>
      <c r="AA4489" s="47">
        <f t="shared" si="1002"/>
        <v>1400</v>
      </c>
      <c r="AB4489" s="47"/>
      <c r="AC4489" s="47"/>
      <c r="AD4489" s="47"/>
      <c r="AE4489" s="47"/>
      <c r="AF4489" s="47">
        <f t="shared" si="1003"/>
        <v>1485</v>
      </c>
      <c r="AG4489" s="47"/>
      <c r="AH4489" s="47">
        <f>IFERROR(_xlfn.XLOOKUP(Table6[[#This Row],[Suburb]],Table5[Travel Surcharge],Table5[$$]),"")</f>
        <v>1500</v>
      </c>
      <c r="AI4489" s="47">
        <f t="shared" si="1004"/>
        <v>1650.0000000000002</v>
      </c>
      <c r="AJ4489" s="47"/>
    </row>
    <row r="4490" spans="1:36">
      <c r="A4490" s="374" t="s">
        <v>6532</v>
      </c>
      <c r="B4490" s="374">
        <v>13</v>
      </c>
      <c r="C4490" s="374" t="s">
        <v>281</v>
      </c>
      <c r="D4490" s="375" t="str">
        <f t="shared" si="997"/>
        <v>Warralily Estate13</v>
      </c>
      <c r="E4490" s="375" t="s">
        <v>6547</v>
      </c>
      <c r="F4490" s="375" t="s">
        <v>1440</v>
      </c>
      <c r="G4490" s="375" t="s">
        <v>6535</v>
      </c>
      <c r="H4490" s="375" t="s">
        <v>6536</v>
      </c>
      <c r="I4490" s="63"/>
      <c r="J4490" s="47">
        <f t="shared" si="999"/>
        <v>3740</v>
      </c>
      <c r="K4490" s="46" t="s">
        <v>10735</v>
      </c>
      <c r="L4490" s="47"/>
      <c r="M4490" s="47">
        <f t="shared" si="1000"/>
        <v>1430.0000000000002</v>
      </c>
      <c r="N4490" s="47" t="s">
        <v>6537</v>
      </c>
      <c r="O4490" s="47"/>
      <c r="P4490" s="47" t="s">
        <v>6548</v>
      </c>
      <c r="Q4490" s="47">
        <f t="shared" si="1001"/>
        <v>0</v>
      </c>
      <c r="R4490" s="47"/>
      <c r="S4490" s="47"/>
      <c r="T4490" s="47" t="s">
        <v>337</v>
      </c>
      <c r="U4490" s="47"/>
      <c r="V4490" s="47"/>
      <c r="W4490" s="47"/>
      <c r="X4490" s="47"/>
      <c r="Y4490" s="47"/>
      <c r="Z4490" s="47">
        <f t="shared" si="990"/>
        <v>4620</v>
      </c>
      <c r="AA4490" s="47">
        <f t="shared" si="1002"/>
        <v>1400</v>
      </c>
      <c r="AB4490" s="47"/>
      <c r="AC4490" s="47"/>
      <c r="AD4490" s="47"/>
      <c r="AE4490" s="47"/>
      <c r="AF4490" s="47">
        <f t="shared" si="1003"/>
        <v>1485</v>
      </c>
      <c r="AG4490" s="47"/>
      <c r="AH4490" s="47">
        <f>IFERROR(_xlfn.XLOOKUP(Table6[[#This Row],[Suburb]],Table5[Travel Surcharge],Table5[$$]),"")</f>
        <v>1500</v>
      </c>
      <c r="AI4490" s="47">
        <f t="shared" si="1004"/>
        <v>1650.0000000000002</v>
      </c>
      <c r="AJ4490" s="47"/>
    </row>
    <row r="4491" spans="1:36">
      <c r="A4491" s="374" t="s">
        <v>6532</v>
      </c>
      <c r="B4491" s="374">
        <v>14</v>
      </c>
      <c r="C4491" s="374" t="s">
        <v>281</v>
      </c>
      <c r="D4491" s="375" t="str">
        <f t="shared" si="997"/>
        <v>Warralily Estate14</v>
      </c>
      <c r="E4491" s="375" t="s">
        <v>6549</v>
      </c>
      <c r="F4491" s="375" t="s">
        <v>1440</v>
      </c>
      <c r="G4491" s="375" t="s">
        <v>6535</v>
      </c>
      <c r="H4491" s="375" t="s">
        <v>6536</v>
      </c>
      <c r="I4491" s="63"/>
      <c r="J4491" s="47">
        <f t="shared" si="999"/>
        <v>3740</v>
      </c>
      <c r="K4491" s="46" t="s">
        <v>10735</v>
      </c>
      <c r="L4491" s="47"/>
      <c r="M4491" s="47">
        <f t="shared" si="1000"/>
        <v>1430.0000000000002</v>
      </c>
      <c r="N4491" s="47" t="s">
        <v>6537</v>
      </c>
      <c r="O4491" s="47"/>
      <c r="P4491" s="47"/>
      <c r="Q4491" s="47">
        <f t="shared" si="1001"/>
        <v>0</v>
      </c>
      <c r="R4491" s="47"/>
      <c r="S4491" s="47"/>
      <c r="T4491" s="47" t="s">
        <v>337</v>
      </c>
      <c r="U4491" s="47"/>
      <c r="V4491" s="47"/>
      <c r="W4491" s="47"/>
      <c r="X4491" s="47"/>
      <c r="Y4491" s="47"/>
      <c r="Z4491" s="47">
        <f t="shared" si="990"/>
        <v>4620</v>
      </c>
      <c r="AA4491" s="47">
        <f t="shared" si="1002"/>
        <v>1400</v>
      </c>
      <c r="AB4491" s="47"/>
      <c r="AC4491" s="47"/>
      <c r="AD4491" s="47"/>
      <c r="AE4491" s="47"/>
      <c r="AF4491" s="47">
        <f t="shared" si="1003"/>
        <v>1485</v>
      </c>
      <c r="AG4491" s="47"/>
      <c r="AH4491" s="47">
        <f>IFERROR(_xlfn.XLOOKUP(Table6[[#This Row],[Suburb]],Table5[Travel Surcharge],Table5[$$]),"")</f>
        <v>1500</v>
      </c>
      <c r="AI4491" s="47">
        <f t="shared" si="1004"/>
        <v>1650.0000000000002</v>
      </c>
      <c r="AJ4491" s="47"/>
    </row>
    <row r="4492" spans="1:36">
      <c r="A4492" s="157" t="s">
        <v>6532</v>
      </c>
      <c r="B4492" s="157">
        <v>15</v>
      </c>
      <c r="C4492" s="157" t="s">
        <v>281</v>
      </c>
      <c r="D4492" s="157" t="str">
        <f t="shared" si="997"/>
        <v>Warralily Estate15</v>
      </c>
      <c r="E4492" s="157" t="s">
        <v>8958</v>
      </c>
      <c r="F4492" s="157" t="s">
        <v>1440</v>
      </c>
      <c r="G4492" s="157" t="s">
        <v>6535</v>
      </c>
      <c r="H4492" s="157" t="s">
        <v>6536</v>
      </c>
      <c r="I4492" s="158"/>
      <c r="J4492" s="47">
        <f t="shared" si="999"/>
        <v>3740</v>
      </c>
      <c r="K4492" s="46" t="s">
        <v>10735</v>
      </c>
      <c r="L4492" s="47"/>
      <c r="M4492" s="47">
        <f t="shared" si="1000"/>
        <v>1430.0000000000002</v>
      </c>
      <c r="N4492" s="47" t="s">
        <v>6537</v>
      </c>
      <c r="O4492" s="47"/>
      <c r="P4492" s="47"/>
      <c r="Q4492" s="47">
        <f t="shared" si="1001"/>
        <v>0</v>
      </c>
      <c r="R4492" s="47"/>
      <c r="S4492" s="47"/>
      <c r="T4492" s="47" t="s">
        <v>337</v>
      </c>
      <c r="U4492" s="47"/>
      <c r="V4492" s="47"/>
      <c r="W4492" s="47"/>
      <c r="X4492" s="47"/>
      <c r="Y4492" s="47"/>
      <c r="Z4492" s="47">
        <f t="shared" si="990"/>
        <v>4620</v>
      </c>
      <c r="AA4492" s="47">
        <f t="shared" si="1002"/>
        <v>1400</v>
      </c>
      <c r="AB4492" s="47"/>
      <c r="AC4492" s="47"/>
      <c r="AD4492" s="47"/>
      <c r="AE4492" s="47"/>
      <c r="AF4492" s="47">
        <f t="shared" si="1003"/>
        <v>1485</v>
      </c>
      <c r="AG4492" s="47"/>
      <c r="AH4492" s="47">
        <f>IFERROR(_xlfn.XLOOKUP(Table6[[#This Row],[Suburb]],Table5[Travel Surcharge],Table5[$$]),"")</f>
        <v>1500</v>
      </c>
      <c r="AI4492" s="47">
        <f t="shared" si="1004"/>
        <v>1650.0000000000002</v>
      </c>
      <c r="AJ4492" s="47"/>
    </row>
    <row r="4493" spans="1:36">
      <c r="A4493" s="374" t="s">
        <v>6532</v>
      </c>
      <c r="B4493" s="374">
        <v>19</v>
      </c>
      <c r="C4493" s="374" t="s">
        <v>281</v>
      </c>
      <c r="D4493" s="375" t="str">
        <f t="shared" si="997"/>
        <v>Warralily Estate19</v>
      </c>
      <c r="E4493" s="375" t="s">
        <v>6550</v>
      </c>
      <c r="F4493" s="375" t="s">
        <v>1440</v>
      </c>
      <c r="G4493" s="375" t="s">
        <v>6535</v>
      </c>
      <c r="H4493" s="375" t="s">
        <v>6536</v>
      </c>
      <c r="I4493" s="63"/>
      <c r="J4493" s="47">
        <f t="shared" si="999"/>
        <v>3740</v>
      </c>
      <c r="K4493" s="46" t="s">
        <v>10735</v>
      </c>
      <c r="L4493" s="47"/>
      <c r="M4493" s="47">
        <f t="shared" si="1000"/>
        <v>1430.0000000000002</v>
      </c>
      <c r="N4493" s="47" t="s">
        <v>6537</v>
      </c>
      <c r="O4493" s="47"/>
      <c r="P4493" s="47"/>
      <c r="Q4493" s="47">
        <f t="shared" si="1001"/>
        <v>0</v>
      </c>
      <c r="R4493" s="47"/>
      <c r="S4493" s="47"/>
      <c r="T4493" s="47" t="s">
        <v>337</v>
      </c>
      <c r="U4493" s="47"/>
      <c r="V4493" s="47"/>
      <c r="W4493" s="47"/>
      <c r="X4493" s="47"/>
      <c r="Y4493" s="47"/>
      <c r="Z4493" s="47">
        <f t="shared" si="990"/>
        <v>4620</v>
      </c>
      <c r="AA4493" s="47">
        <f t="shared" si="1002"/>
        <v>1400</v>
      </c>
      <c r="AB4493" s="47"/>
      <c r="AC4493" s="47"/>
      <c r="AD4493" s="47"/>
      <c r="AE4493" s="47"/>
      <c r="AF4493" s="47">
        <f t="shared" si="1003"/>
        <v>1485</v>
      </c>
      <c r="AG4493" s="47"/>
      <c r="AH4493" s="47">
        <f>IFERROR(_xlfn.XLOOKUP(Table6[[#This Row],[Suburb]],Table5[Travel Surcharge],Table5[$$]),"")</f>
        <v>1500</v>
      </c>
      <c r="AI4493" s="47">
        <f t="shared" si="1004"/>
        <v>1650.0000000000002</v>
      </c>
      <c r="AJ4493" s="47"/>
    </row>
    <row r="4494" spans="1:36">
      <c r="A4494" s="374" t="s">
        <v>6532</v>
      </c>
      <c r="B4494" s="374">
        <v>20</v>
      </c>
      <c r="C4494" s="374" t="s">
        <v>281</v>
      </c>
      <c r="D4494" s="375" t="str">
        <f t="shared" si="997"/>
        <v>Warralily Estate20</v>
      </c>
      <c r="E4494" s="375" t="s">
        <v>6551</v>
      </c>
      <c r="F4494" s="375" t="s">
        <v>1440</v>
      </c>
      <c r="G4494" s="375" t="s">
        <v>6535</v>
      </c>
      <c r="H4494" s="375" t="s">
        <v>6536</v>
      </c>
      <c r="I4494" s="63"/>
      <c r="J4494" s="47">
        <f t="shared" si="999"/>
        <v>3740</v>
      </c>
      <c r="K4494" s="46" t="s">
        <v>10735</v>
      </c>
      <c r="L4494" s="47"/>
      <c r="M4494" s="47">
        <f t="shared" si="1000"/>
        <v>1430.0000000000002</v>
      </c>
      <c r="N4494" s="47" t="s">
        <v>6537</v>
      </c>
      <c r="O4494" s="47"/>
      <c r="P4494" s="47"/>
      <c r="Q4494" s="47">
        <f t="shared" si="1001"/>
        <v>0</v>
      </c>
      <c r="R4494" s="47"/>
      <c r="S4494" s="47"/>
      <c r="T4494" s="47" t="s">
        <v>337</v>
      </c>
      <c r="U4494" s="47"/>
      <c r="V4494" s="47"/>
      <c r="W4494" s="47"/>
      <c r="X4494" s="47"/>
      <c r="Y4494" s="47"/>
      <c r="Z4494" s="47">
        <f t="shared" si="990"/>
        <v>4620</v>
      </c>
      <c r="AA4494" s="47">
        <f t="shared" si="1002"/>
        <v>1400</v>
      </c>
      <c r="AB4494" s="47"/>
      <c r="AC4494" s="47"/>
      <c r="AD4494" s="47"/>
      <c r="AE4494" s="47"/>
      <c r="AF4494" s="47">
        <f t="shared" si="1003"/>
        <v>1485</v>
      </c>
      <c r="AG4494" s="47"/>
      <c r="AH4494" s="47">
        <f>IFERROR(_xlfn.XLOOKUP(Table6[[#This Row],[Suburb]],Table5[Travel Surcharge],Table5[$$]),"")</f>
        <v>1500</v>
      </c>
      <c r="AI4494" s="47">
        <f t="shared" si="1004"/>
        <v>1650.0000000000002</v>
      </c>
      <c r="AJ4494" s="47"/>
    </row>
    <row r="4495" spans="1:36">
      <c r="A4495" s="374" t="s">
        <v>6532</v>
      </c>
      <c r="B4495" s="374">
        <v>22</v>
      </c>
      <c r="C4495" s="374" t="s">
        <v>281</v>
      </c>
      <c r="D4495" s="375" t="str">
        <f t="shared" si="997"/>
        <v>Warralily Estate22</v>
      </c>
      <c r="E4495" s="375" t="s">
        <v>753</v>
      </c>
      <c r="F4495" s="375" t="s">
        <v>1440</v>
      </c>
      <c r="G4495" s="375" t="s">
        <v>6535</v>
      </c>
      <c r="H4495" s="375" t="s">
        <v>6536</v>
      </c>
      <c r="I4495" s="63"/>
      <c r="J4495" s="47">
        <f t="shared" si="999"/>
        <v>3740</v>
      </c>
      <c r="K4495" s="46" t="s">
        <v>10735</v>
      </c>
      <c r="L4495" s="47"/>
      <c r="M4495" s="47">
        <f t="shared" si="1000"/>
        <v>1430.0000000000002</v>
      </c>
      <c r="N4495" s="47" t="s">
        <v>6537</v>
      </c>
      <c r="O4495" s="47"/>
      <c r="P4495" s="47"/>
      <c r="Q4495" s="47">
        <f t="shared" si="1001"/>
        <v>0</v>
      </c>
      <c r="R4495" s="47"/>
      <c r="S4495" s="47"/>
      <c r="T4495" s="47" t="s">
        <v>337</v>
      </c>
      <c r="U4495" s="47"/>
      <c r="V4495" s="47"/>
      <c r="W4495" s="47"/>
      <c r="X4495" s="47"/>
      <c r="Y4495" s="47"/>
      <c r="Z4495" s="47">
        <f t="shared" si="990"/>
        <v>4620</v>
      </c>
      <c r="AA4495" s="47">
        <f t="shared" si="1002"/>
        <v>1400</v>
      </c>
      <c r="AB4495" s="47"/>
      <c r="AC4495" s="47"/>
      <c r="AD4495" s="47"/>
      <c r="AE4495" s="47"/>
      <c r="AF4495" s="47">
        <f t="shared" si="1003"/>
        <v>1485</v>
      </c>
      <c r="AG4495" s="47"/>
      <c r="AH4495" s="47">
        <f>IFERROR(_xlfn.XLOOKUP(Table6[[#This Row],[Suburb]],Table5[Travel Surcharge],Table5[$$]),"")</f>
        <v>1500</v>
      </c>
      <c r="AI4495" s="47">
        <f t="shared" si="1004"/>
        <v>1650.0000000000002</v>
      </c>
      <c r="AJ4495" s="47"/>
    </row>
    <row r="4496" spans="1:36">
      <c r="A4496" s="374" t="s">
        <v>6532</v>
      </c>
      <c r="B4496" s="374">
        <v>23</v>
      </c>
      <c r="C4496" s="374" t="s">
        <v>281</v>
      </c>
      <c r="D4496" s="375" t="str">
        <f t="shared" si="997"/>
        <v>Warralily Estate23</v>
      </c>
      <c r="E4496" s="375" t="s">
        <v>6552</v>
      </c>
      <c r="F4496" s="375" t="s">
        <v>1440</v>
      </c>
      <c r="G4496" s="375" t="s">
        <v>6535</v>
      </c>
      <c r="H4496" s="375" t="s">
        <v>6536</v>
      </c>
      <c r="I4496" s="63"/>
      <c r="J4496" s="47">
        <f t="shared" si="999"/>
        <v>3740</v>
      </c>
      <c r="K4496" s="46" t="s">
        <v>10735</v>
      </c>
      <c r="L4496" s="47"/>
      <c r="M4496" s="47">
        <f t="shared" si="1000"/>
        <v>1430.0000000000002</v>
      </c>
      <c r="N4496" s="47" t="s">
        <v>6537</v>
      </c>
      <c r="O4496" s="47"/>
      <c r="P4496" s="47"/>
      <c r="Q4496" s="47">
        <f t="shared" si="1001"/>
        <v>0</v>
      </c>
      <c r="R4496" s="47"/>
      <c r="S4496" s="47"/>
      <c r="T4496" s="47" t="s">
        <v>337</v>
      </c>
      <c r="U4496" s="47"/>
      <c r="V4496" s="47"/>
      <c r="W4496" s="47"/>
      <c r="X4496" s="47"/>
      <c r="Y4496" s="47"/>
      <c r="Z4496" s="47">
        <f t="shared" si="990"/>
        <v>4620</v>
      </c>
      <c r="AA4496" s="47">
        <f t="shared" si="1002"/>
        <v>1400</v>
      </c>
      <c r="AB4496" s="47"/>
      <c r="AC4496" s="47"/>
      <c r="AD4496" s="47"/>
      <c r="AE4496" s="47"/>
      <c r="AF4496" s="47">
        <f t="shared" si="1003"/>
        <v>1485</v>
      </c>
      <c r="AG4496" s="47"/>
      <c r="AH4496" s="47">
        <f>IFERROR(_xlfn.XLOOKUP(Table6[[#This Row],[Suburb]],Table5[Travel Surcharge],Table5[$$]),"")</f>
        <v>1500</v>
      </c>
      <c r="AI4496" s="47">
        <f t="shared" si="1004"/>
        <v>1650.0000000000002</v>
      </c>
      <c r="AJ4496" s="47"/>
    </row>
    <row r="4497" spans="1:36">
      <c r="A4497" s="374" t="s">
        <v>6532</v>
      </c>
      <c r="B4497" s="374">
        <v>25</v>
      </c>
      <c r="C4497" s="374" t="s">
        <v>281</v>
      </c>
      <c r="D4497" s="375" t="str">
        <f t="shared" si="997"/>
        <v>Warralily Estate25</v>
      </c>
      <c r="E4497" s="375" t="s">
        <v>6554</v>
      </c>
      <c r="F4497" s="375" t="s">
        <v>1440</v>
      </c>
      <c r="G4497" s="375" t="s">
        <v>6535</v>
      </c>
      <c r="H4497" s="375" t="s">
        <v>6536</v>
      </c>
      <c r="I4497" s="63"/>
      <c r="J4497" s="47">
        <f t="shared" si="999"/>
        <v>3740</v>
      </c>
      <c r="K4497" s="46" t="s">
        <v>10735</v>
      </c>
      <c r="L4497" s="47"/>
      <c r="M4497" s="47">
        <f t="shared" si="1000"/>
        <v>1430.0000000000002</v>
      </c>
      <c r="N4497" s="47" t="s">
        <v>6537</v>
      </c>
      <c r="O4497" s="47"/>
      <c r="P4497" s="47"/>
      <c r="Q4497" s="47">
        <f t="shared" si="1001"/>
        <v>0</v>
      </c>
      <c r="R4497" s="47"/>
      <c r="S4497" s="47"/>
      <c r="T4497" s="47" t="s">
        <v>337</v>
      </c>
      <c r="U4497" s="47"/>
      <c r="V4497" s="47"/>
      <c r="W4497" s="47"/>
      <c r="X4497" s="47"/>
      <c r="Y4497" s="47"/>
      <c r="Z4497" s="47">
        <f t="shared" si="990"/>
        <v>4620</v>
      </c>
      <c r="AA4497" s="47">
        <f t="shared" si="1002"/>
        <v>1400</v>
      </c>
      <c r="AB4497" s="47"/>
      <c r="AC4497" s="47"/>
      <c r="AD4497" s="47"/>
      <c r="AE4497" s="47"/>
      <c r="AF4497" s="47">
        <f t="shared" si="1003"/>
        <v>1485</v>
      </c>
      <c r="AG4497" s="47"/>
      <c r="AH4497" s="47">
        <f>IFERROR(_xlfn.XLOOKUP(Table6[[#This Row],[Suburb]],Table5[Travel Surcharge],Table5[$$]),"")</f>
        <v>1500</v>
      </c>
      <c r="AI4497" s="47">
        <f t="shared" si="1004"/>
        <v>1650.0000000000002</v>
      </c>
      <c r="AJ4497" s="47"/>
    </row>
    <row r="4498" spans="1:36">
      <c r="A4498" s="374" t="s">
        <v>6532</v>
      </c>
      <c r="B4498" s="374">
        <v>26</v>
      </c>
      <c r="C4498" s="374" t="s">
        <v>281</v>
      </c>
      <c r="D4498" s="375" t="str">
        <f t="shared" si="997"/>
        <v>Warralily Estate26</v>
      </c>
      <c r="E4498" s="375" t="s">
        <v>6555</v>
      </c>
      <c r="F4498" s="375" t="s">
        <v>1440</v>
      </c>
      <c r="G4498" s="375" t="s">
        <v>6535</v>
      </c>
      <c r="H4498" s="375" t="s">
        <v>6536</v>
      </c>
      <c r="I4498" s="63"/>
      <c r="J4498" s="47">
        <f t="shared" si="999"/>
        <v>3740</v>
      </c>
      <c r="K4498" s="46" t="s">
        <v>10735</v>
      </c>
      <c r="L4498" s="47"/>
      <c r="M4498" s="47">
        <f t="shared" si="1000"/>
        <v>1430.0000000000002</v>
      </c>
      <c r="N4498" s="47" t="s">
        <v>6537</v>
      </c>
      <c r="O4498" s="47"/>
      <c r="P4498" s="47"/>
      <c r="Q4498" s="47">
        <f t="shared" si="1001"/>
        <v>0</v>
      </c>
      <c r="R4498" s="47"/>
      <c r="S4498" s="47"/>
      <c r="T4498" s="47" t="s">
        <v>337</v>
      </c>
      <c r="U4498" s="47"/>
      <c r="V4498" s="47"/>
      <c r="W4498" s="47"/>
      <c r="X4498" s="47"/>
      <c r="Y4498" s="47"/>
      <c r="Z4498" s="47">
        <f t="shared" si="990"/>
        <v>4620</v>
      </c>
      <c r="AA4498" s="47">
        <f t="shared" si="1002"/>
        <v>1400</v>
      </c>
      <c r="AB4498" s="47"/>
      <c r="AC4498" s="47"/>
      <c r="AD4498" s="47"/>
      <c r="AE4498" s="47"/>
      <c r="AF4498" s="47">
        <f t="shared" si="1003"/>
        <v>1485</v>
      </c>
      <c r="AG4498" s="47"/>
      <c r="AH4498" s="47">
        <f>IFERROR(_xlfn.XLOOKUP(Table6[[#This Row],[Suburb]],Table5[Travel Surcharge],Table5[$$]),"")</f>
        <v>1500</v>
      </c>
      <c r="AI4498" s="47">
        <f t="shared" si="1004"/>
        <v>1650.0000000000002</v>
      </c>
      <c r="AJ4498" s="47"/>
    </row>
    <row r="4499" spans="1:36">
      <c r="A4499" s="374" t="s">
        <v>6532</v>
      </c>
      <c r="B4499" s="374">
        <v>27</v>
      </c>
      <c r="C4499" s="374" t="s">
        <v>281</v>
      </c>
      <c r="D4499" s="375" t="str">
        <f t="shared" si="997"/>
        <v>Warralily Estate27</v>
      </c>
      <c r="E4499" s="375" t="s">
        <v>6556</v>
      </c>
      <c r="F4499" s="375" t="s">
        <v>1440</v>
      </c>
      <c r="G4499" s="375" t="s">
        <v>6535</v>
      </c>
      <c r="H4499" s="375" t="s">
        <v>6536</v>
      </c>
      <c r="I4499" s="63"/>
      <c r="J4499" s="47">
        <f t="shared" si="999"/>
        <v>3740</v>
      </c>
      <c r="K4499" s="46" t="s">
        <v>10735</v>
      </c>
      <c r="L4499" s="47"/>
      <c r="M4499" s="47">
        <f t="shared" si="1000"/>
        <v>1430.0000000000002</v>
      </c>
      <c r="N4499" s="47" t="s">
        <v>6537</v>
      </c>
      <c r="O4499" s="47"/>
      <c r="P4499" s="47"/>
      <c r="Q4499" s="47">
        <f t="shared" si="1001"/>
        <v>0</v>
      </c>
      <c r="R4499" s="47"/>
      <c r="S4499" s="47"/>
      <c r="T4499" s="47" t="s">
        <v>337</v>
      </c>
      <c r="U4499" s="47"/>
      <c r="V4499" s="47"/>
      <c r="W4499" s="47"/>
      <c r="X4499" s="47"/>
      <c r="Y4499" s="47"/>
      <c r="Z4499" s="47">
        <f t="shared" si="990"/>
        <v>4620</v>
      </c>
      <c r="AA4499" s="47">
        <f t="shared" si="1002"/>
        <v>1400</v>
      </c>
      <c r="AB4499" s="47"/>
      <c r="AC4499" s="47"/>
      <c r="AD4499" s="47"/>
      <c r="AE4499" s="47"/>
      <c r="AF4499" s="47">
        <f t="shared" si="1003"/>
        <v>1485</v>
      </c>
      <c r="AG4499" s="47"/>
      <c r="AH4499" s="47">
        <f>IFERROR(_xlfn.XLOOKUP(Table6[[#This Row],[Suburb]],Table5[Travel Surcharge],Table5[$$]),"")</f>
        <v>1500</v>
      </c>
      <c r="AI4499" s="47">
        <f t="shared" si="1004"/>
        <v>1650.0000000000002</v>
      </c>
      <c r="AJ4499" s="47"/>
    </row>
    <row r="4500" spans="1:36">
      <c r="A4500" s="374" t="s">
        <v>6532</v>
      </c>
      <c r="B4500" s="374">
        <v>35</v>
      </c>
      <c r="C4500" s="374" t="s">
        <v>281</v>
      </c>
      <c r="D4500" s="375" t="str">
        <f t="shared" si="997"/>
        <v>Warralily Estate35</v>
      </c>
      <c r="E4500" s="375" t="s">
        <v>6559</v>
      </c>
      <c r="F4500" s="375" t="s">
        <v>1440</v>
      </c>
      <c r="G4500" s="375" t="s">
        <v>6535</v>
      </c>
      <c r="H4500" s="375" t="s">
        <v>6536</v>
      </c>
      <c r="I4500" s="63"/>
      <c r="J4500" s="47">
        <f t="shared" si="999"/>
        <v>3740</v>
      </c>
      <c r="K4500" s="46" t="s">
        <v>10735</v>
      </c>
      <c r="L4500" s="47"/>
      <c r="M4500" s="47">
        <f t="shared" si="1000"/>
        <v>1430.0000000000002</v>
      </c>
      <c r="N4500" s="47" t="s">
        <v>6537</v>
      </c>
      <c r="O4500" s="47"/>
      <c r="P4500" s="47"/>
      <c r="Q4500" s="47">
        <f t="shared" si="1001"/>
        <v>0</v>
      </c>
      <c r="R4500" s="47"/>
      <c r="S4500" s="47"/>
      <c r="T4500" s="47" t="s">
        <v>337</v>
      </c>
      <c r="U4500" s="47"/>
      <c r="V4500" s="47"/>
      <c r="W4500" s="47"/>
      <c r="X4500" s="47"/>
      <c r="Y4500" s="47"/>
      <c r="Z4500" s="47">
        <f t="shared" si="990"/>
        <v>4620</v>
      </c>
      <c r="AA4500" s="47">
        <f t="shared" si="1002"/>
        <v>1400</v>
      </c>
      <c r="AB4500" s="47"/>
      <c r="AC4500" s="47"/>
      <c r="AD4500" s="47"/>
      <c r="AE4500" s="47"/>
      <c r="AF4500" s="47">
        <f t="shared" si="1003"/>
        <v>1485</v>
      </c>
      <c r="AG4500" s="47"/>
      <c r="AH4500" s="47">
        <f>IFERROR(_xlfn.XLOOKUP(Table6[[#This Row],[Suburb]],Table5[Travel Surcharge],Table5[$$]),"")</f>
        <v>1500</v>
      </c>
      <c r="AI4500" s="47">
        <f t="shared" si="1004"/>
        <v>1650.0000000000002</v>
      </c>
      <c r="AJ4500" s="47"/>
    </row>
    <row r="4501" spans="1:36">
      <c r="A4501" s="374" t="s">
        <v>6532</v>
      </c>
      <c r="B4501" s="374">
        <v>36</v>
      </c>
      <c r="C4501" s="374" t="s">
        <v>281</v>
      </c>
      <c r="D4501" s="375" t="str">
        <f t="shared" si="997"/>
        <v>Warralily Estate36</v>
      </c>
      <c r="E4501" s="375" t="s">
        <v>6561</v>
      </c>
      <c r="F4501" s="375" t="s">
        <v>1440</v>
      </c>
      <c r="G4501" s="375" t="s">
        <v>6535</v>
      </c>
      <c r="H4501" s="375" t="s">
        <v>6536</v>
      </c>
      <c r="I4501" s="63"/>
      <c r="J4501" s="47">
        <f t="shared" si="999"/>
        <v>3740</v>
      </c>
      <c r="K4501" s="46" t="s">
        <v>10735</v>
      </c>
      <c r="L4501" s="47"/>
      <c r="M4501" s="47">
        <f t="shared" si="1000"/>
        <v>1430.0000000000002</v>
      </c>
      <c r="N4501" s="47" t="s">
        <v>6537</v>
      </c>
      <c r="O4501" s="47"/>
      <c r="P4501" s="47"/>
      <c r="Q4501" s="47">
        <f t="shared" si="1001"/>
        <v>0</v>
      </c>
      <c r="R4501" s="47"/>
      <c r="S4501" s="47"/>
      <c r="T4501" s="47" t="s">
        <v>337</v>
      </c>
      <c r="U4501" s="47"/>
      <c r="V4501" s="47"/>
      <c r="W4501" s="47"/>
      <c r="X4501" s="47"/>
      <c r="Y4501" s="47"/>
      <c r="Z4501" s="47">
        <f t="shared" si="990"/>
        <v>4620</v>
      </c>
      <c r="AA4501" s="47">
        <f t="shared" si="1002"/>
        <v>1400</v>
      </c>
      <c r="AB4501" s="47"/>
      <c r="AC4501" s="47"/>
      <c r="AD4501" s="47"/>
      <c r="AE4501" s="47"/>
      <c r="AF4501" s="47">
        <f t="shared" si="1003"/>
        <v>1485</v>
      </c>
      <c r="AG4501" s="47"/>
      <c r="AH4501" s="47">
        <f>IFERROR(_xlfn.XLOOKUP(Table6[[#This Row],[Suburb]],Table5[Travel Surcharge],Table5[$$]),"")</f>
        <v>1500</v>
      </c>
      <c r="AI4501" s="47">
        <f t="shared" si="1004"/>
        <v>1650.0000000000002</v>
      </c>
      <c r="AJ4501" s="47"/>
    </row>
    <row r="4502" spans="1:36">
      <c r="A4502" s="374" t="s">
        <v>6532</v>
      </c>
      <c r="B4502" s="374">
        <v>37</v>
      </c>
      <c r="C4502" s="374" t="s">
        <v>281</v>
      </c>
      <c r="D4502" s="375" t="str">
        <f t="shared" si="997"/>
        <v>Warralily Estate37</v>
      </c>
      <c r="E4502" s="375" t="s">
        <v>6562</v>
      </c>
      <c r="F4502" s="375" t="s">
        <v>1440</v>
      </c>
      <c r="G4502" s="375" t="s">
        <v>6535</v>
      </c>
      <c r="H4502" s="375" t="s">
        <v>6536</v>
      </c>
      <c r="I4502" s="63"/>
      <c r="J4502" s="47">
        <f t="shared" si="999"/>
        <v>3740</v>
      </c>
      <c r="K4502" s="46" t="s">
        <v>10735</v>
      </c>
      <c r="L4502" s="47"/>
      <c r="M4502" s="47">
        <f t="shared" si="1000"/>
        <v>1430.0000000000002</v>
      </c>
      <c r="N4502" s="47" t="s">
        <v>6537</v>
      </c>
      <c r="O4502" s="47"/>
      <c r="P4502" s="47"/>
      <c r="Q4502" s="47">
        <f t="shared" si="1001"/>
        <v>0</v>
      </c>
      <c r="R4502" s="47"/>
      <c r="S4502" s="47"/>
      <c r="T4502" s="47" t="s">
        <v>337</v>
      </c>
      <c r="U4502" s="47"/>
      <c r="V4502" s="47"/>
      <c r="W4502" s="47"/>
      <c r="X4502" s="47"/>
      <c r="Y4502" s="47"/>
      <c r="Z4502" s="47">
        <f t="shared" si="990"/>
        <v>4620</v>
      </c>
      <c r="AA4502" s="47">
        <f t="shared" si="1002"/>
        <v>1400</v>
      </c>
      <c r="AB4502" s="47"/>
      <c r="AC4502" s="47"/>
      <c r="AD4502" s="47"/>
      <c r="AE4502" s="47"/>
      <c r="AF4502" s="47">
        <f t="shared" si="1003"/>
        <v>1485</v>
      </c>
      <c r="AG4502" s="47"/>
      <c r="AH4502" s="47">
        <f>IFERROR(_xlfn.XLOOKUP(Table6[[#This Row],[Suburb]],Table5[Travel Surcharge],Table5[$$]),"")</f>
        <v>1500</v>
      </c>
      <c r="AI4502" s="47">
        <f t="shared" si="1004"/>
        <v>1650.0000000000002</v>
      </c>
      <c r="AJ4502" s="47"/>
    </row>
    <row r="4503" spans="1:36">
      <c r="A4503" s="374" t="s">
        <v>6532</v>
      </c>
      <c r="B4503" s="374">
        <v>40</v>
      </c>
      <c r="C4503" s="374" t="s">
        <v>281</v>
      </c>
      <c r="D4503" s="375" t="str">
        <f t="shared" ref="D4503:D4538" si="1005">CONCATENATE(A4503,B4503)</f>
        <v>Warralily Estate40</v>
      </c>
      <c r="E4503" s="375" t="s">
        <v>6563</v>
      </c>
      <c r="F4503" s="375" t="s">
        <v>1440</v>
      </c>
      <c r="G4503" s="375" t="s">
        <v>6535</v>
      </c>
      <c r="H4503" s="375" t="s">
        <v>6536</v>
      </c>
      <c r="I4503" s="63"/>
      <c r="J4503" s="47">
        <f t="shared" si="999"/>
        <v>3740</v>
      </c>
      <c r="K4503" s="46" t="s">
        <v>10735</v>
      </c>
      <c r="L4503" s="47"/>
      <c r="M4503" s="47">
        <f t="shared" si="1000"/>
        <v>1430.0000000000002</v>
      </c>
      <c r="N4503" s="47" t="s">
        <v>6537</v>
      </c>
      <c r="O4503" s="47"/>
      <c r="P4503" s="47"/>
      <c r="Q4503" s="47">
        <f t="shared" si="1001"/>
        <v>0</v>
      </c>
      <c r="R4503" s="47"/>
      <c r="S4503" s="47"/>
      <c r="T4503" s="47" t="s">
        <v>337</v>
      </c>
      <c r="U4503" s="47"/>
      <c r="V4503" s="47"/>
      <c r="W4503" s="47"/>
      <c r="X4503" s="47"/>
      <c r="Y4503" s="47"/>
      <c r="Z4503" s="47">
        <f t="shared" ref="Z4503:Z4569" si="1006">Z$7</f>
        <v>4620</v>
      </c>
      <c r="AA4503" s="47">
        <f t="shared" si="1002"/>
        <v>1400</v>
      </c>
      <c r="AB4503" s="47"/>
      <c r="AC4503" s="47"/>
      <c r="AD4503" s="47"/>
      <c r="AE4503" s="47"/>
      <c r="AF4503" s="47">
        <f t="shared" si="1003"/>
        <v>1485</v>
      </c>
      <c r="AG4503" s="47"/>
      <c r="AH4503" s="47">
        <f>IFERROR(_xlfn.XLOOKUP(Table6[[#This Row],[Suburb]],Table5[Travel Surcharge],Table5[$$]),"")</f>
        <v>1500</v>
      </c>
      <c r="AI4503" s="47">
        <f t="shared" si="1004"/>
        <v>1650.0000000000002</v>
      </c>
      <c r="AJ4503" s="47"/>
    </row>
    <row r="4504" spans="1:36">
      <c r="A4504" s="374" t="s">
        <v>6532</v>
      </c>
      <c r="B4504" s="374">
        <v>41</v>
      </c>
      <c r="C4504" s="374" t="s">
        <v>281</v>
      </c>
      <c r="D4504" s="375" t="str">
        <f t="shared" si="1005"/>
        <v>Warralily Estate41</v>
      </c>
      <c r="E4504" s="375" t="s">
        <v>6564</v>
      </c>
      <c r="F4504" s="375" t="s">
        <v>1440</v>
      </c>
      <c r="G4504" s="375" t="s">
        <v>6535</v>
      </c>
      <c r="H4504" s="375" t="s">
        <v>6536</v>
      </c>
      <c r="I4504" s="63"/>
      <c r="J4504" s="47">
        <f t="shared" si="999"/>
        <v>3740</v>
      </c>
      <c r="K4504" s="46" t="s">
        <v>10735</v>
      </c>
      <c r="L4504" s="47"/>
      <c r="M4504" s="47">
        <f t="shared" si="1000"/>
        <v>1430.0000000000002</v>
      </c>
      <c r="N4504" s="47" t="s">
        <v>6537</v>
      </c>
      <c r="O4504" s="47"/>
      <c r="P4504" s="47"/>
      <c r="Q4504" s="47">
        <f t="shared" si="1001"/>
        <v>0</v>
      </c>
      <c r="R4504" s="47"/>
      <c r="S4504" s="47"/>
      <c r="T4504" s="47" t="s">
        <v>337</v>
      </c>
      <c r="U4504" s="47"/>
      <c r="V4504" s="47"/>
      <c r="W4504" s="47"/>
      <c r="X4504" s="47"/>
      <c r="Y4504" s="47"/>
      <c r="Z4504" s="47">
        <f t="shared" si="1006"/>
        <v>4620</v>
      </c>
      <c r="AA4504" s="47">
        <f t="shared" si="1002"/>
        <v>1400</v>
      </c>
      <c r="AB4504" s="47"/>
      <c r="AC4504" s="47"/>
      <c r="AD4504" s="47"/>
      <c r="AE4504" s="47"/>
      <c r="AF4504" s="47">
        <f t="shared" si="1003"/>
        <v>1485</v>
      </c>
      <c r="AG4504" s="47"/>
      <c r="AH4504" s="47">
        <f>IFERROR(_xlfn.XLOOKUP(Table6[[#This Row],[Suburb]],Table5[Travel Surcharge],Table5[$$]),"")</f>
        <v>1500</v>
      </c>
      <c r="AI4504" s="47">
        <f t="shared" si="1004"/>
        <v>1650.0000000000002</v>
      </c>
      <c r="AJ4504" s="47"/>
    </row>
    <row r="4505" spans="1:36">
      <c r="A4505" s="374" t="s">
        <v>6532</v>
      </c>
      <c r="B4505" s="374">
        <v>43</v>
      </c>
      <c r="C4505" s="374" t="s">
        <v>281</v>
      </c>
      <c r="D4505" s="375" t="str">
        <f t="shared" si="1005"/>
        <v>Warralily Estate43</v>
      </c>
      <c r="E4505" s="375" t="s">
        <v>6565</v>
      </c>
      <c r="F4505" s="375" t="s">
        <v>1440</v>
      </c>
      <c r="G4505" s="375" t="s">
        <v>6535</v>
      </c>
      <c r="H4505" s="375" t="s">
        <v>6536</v>
      </c>
      <c r="I4505" s="63"/>
      <c r="J4505" s="47">
        <f t="shared" si="999"/>
        <v>3740</v>
      </c>
      <c r="K4505" s="46" t="s">
        <v>10735</v>
      </c>
      <c r="L4505" s="47"/>
      <c r="M4505" s="47">
        <f t="shared" si="1000"/>
        <v>1430.0000000000002</v>
      </c>
      <c r="N4505" s="47" t="s">
        <v>6537</v>
      </c>
      <c r="O4505" s="47"/>
      <c r="P4505" s="47"/>
      <c r="Q4505" s="47">
        <f t="shared" si="1001"/>
        <v>0</v>
      </c>
      <c r="R4505" s="47"/>
      <c r="S4505" s="47"/>
      <c r="T4505" s="47" t="s">
        <v>337</v>
      </c>
      <c r="U4505" s="47"/>
      <c r="V4505" s="47"/>
      <c r="W4505" s="47"/>
      <c r="X4505" s="47"/>
      <c r="Y4505" s="47"/>
      <c r="Z4505" s="47">
        <f t="shared" si="1006"/>
        <v>4620</v>
      </c>
      <c r="AA4505" s="47">
        <f t="shared" si="1002"/>
        <v>1400</v>
      </c>
      <c r="AB4505" s="47"/>
      <c r="AC4505" s="47"/>
      <c r="AD4505" s="47"/>
      <c r="AE4505" s="47"/>
      <c r="AF4505" s="47">
        <f t="shared" si="1003"/>
        <v>1485</v>
      </c>
      <c r="AG4505" s="47"/>
      <c r="AH4505" s="47">
        <f>IFERROR(_xlfn.XLOOKUP(Table6[[#This Row],[Suburb]],Table5[Travel Surcharge],Table5[$$]),"")</f>
        <v>1500</v>
      </c>
      <c r="AI4505" s="47">
        <f t="shared" si="1004"/>
        <v>1650.0000000000002</v>
      </c>
      <c r="AJ4505" s="47"/>
    </row>
    <row r="4506" spans="1:36">
      <c r="A4506" s="374" t="s">
        <v>6532</v>
      </c>
      <c r="B4506" s="374">
        <v>44</v>
      </c>
      <c r="C4506" s="374" t="s">
        <v>281</v>
      </c>
      <c r="D4506" s="375" t="str">
        <f t="shared" si="1005"/>
        <v>Warralily Estate44</v>
      </c>
      <c r="E4506" s="375" t="s">
        <v>6566</v>
      </c>
      <c r="F4506" s="375" t="s">
        <v>1440</v>
      </c>
      <c r="G4506" s="375" t="s">
        <v>6535</v>
      </c>
      <c r="H4506" s="375" t="s">
        <v>6536</v>
      </c>
      <c r="I4506" s="63"/>
      <c r="J4506" s="47">
        <f t="shared" si="999"/>
        <v>3740</v>
      </c>
      <c r="K4506" s="46" t="s">
        <v>10735</v>
      </c>
      <c r="L4506" s="47"/>
      <c r="M4506" s="47">
        <f t="shared" si="1000"/>
        <v>1430.0000000000002</v>
      </c>
      <c r="N4506" s="47" t="s">
        <v>6537</v>
      </c>
      <c r="O4506" s="47"/>
      <c r="P4506" s="47"/>
      <c r="Q4506" s="47">
        <f t="shared" si="1001"/>
        <v>0</v>
      </c>
      <c r="R4506" s="47"/>
      <c r="S4506" s="47"/>
      <c r="T4506" s="47" t="s">
        <v>337</v>
      </c>
      <c r="U4506" s="47"/>
      <c r="V4506" s="47"/>
      <c r="W4506" s="47"/>
      <c r="X4506" s="47"/>
      <c r="Y4506" s="47"/>
      <c r="Z4506" s="47">
        <f t="shared" si="1006"/>
        <v>4620</v>
      </c>
      <c r="AA4506" s="47">
        <f t="shared" si="1002"/>
        <v>1400</v>
      </c>
      <c r="AB4506" s="47"/>
      <c r="AC4506" s="47"/>
      <c r="AD4506" s="47"/>
      <c r="AE4506" s="47"/>
      <c r="AF4506" s="47">
        <f t="shared" si="1003"/>
        <v>1485</v>
      </c>
      <c r="AG4506" s="47"/>
      <c r="AH4506" s="47">
        <f>IFERROR(_xlfn.XLOOKUP(Table6[[#This Row],[Suburb]],Table5[Travel Surcharge],Table5[$$]),"")</f>
        <v>1500</v>
      </c>
      <c r="AI4506" s="47">
        <f t="shared" si="1004"/>
        <v>1650.0000000000002</v>
      </c>
      <c r="AJ4506" s="47"/>
    </row>
    <row r="4507" spans="1:36">
      <c r="A4507" s="374" t="s">
        <v>6532</v>
      </c>
      <c r="B4507" s="374">
        <v>45</v>
      </c>
      <c r="C4507" s="374" t="s">
        <v>281</v>
      </c>
      <c r="D4507" s="375" t="str">
        <f t="shared" si="1005"/>
        <v>Warralily Estate45</v>
      </c>
      <c r="E4507" s="375" t="s">
        <v>6567</v>
      </c>
      <c r="F4507" s="375" t="s">
        <v>1440</v>
      </c>
      <c r="G4507" s="375" t="s">
        <v>6535</v>
      </c>
      <c r="H4507" s="375" t="s">
        <v>6536</v>
      </c>
      <c r="I4507" s="63"/>
      <c r="J4507" s="47">
        <f t="shared" si="999"/>
        <v>3740</v>
      </c>
      <c r="K4507" s="46" t="s">
        <v>10735</v>
      </c>
      <c r="L4507" s="47"/>
      <c r="M4507" s="47">
        <f t="shared" si="1000"/>
        <v>1430.0000000000002</v>
      </c>
      <c r="N4507" s="47" t="s">
        <v>6537</v>
      </c>
      <c r="O4507" s="47"/>
      <c r="P4507" s="47"/>
      <c r="Q4507" s="47">
        <f t="shared" si="1001"/>
        <v>0</v>
      </c>
      <c r="R4507" s="47"/>
      <c r="S4507" s="47"/>
      <c r="T4507" s="47" t="s">
        <v>337</v>
      </c>
      <c r="U4507" s="47"/>
      <c r="V4507" s="47"/>
      <c r="W4507" s="47"/>
      <c r="X4507" s="47"/>
      <c r="Y4507" s="47"/>
      <c r="Z4507" s="47">
        <f t="shared" si="1006"/>
        <v>4620</v>
      </c>
      <c r="AA4507" s="47">
        <f t="shared" si="1002"/>
        <v>1400</v>
      </c>
      <c r="AB4507" s="47"/>
      <c r="AC4507" s="47"/>
      <c r="AD4507" s="47"/>
      <c r="AE4507" s="47"/>
      <c r="AF4507" s="47">
        <f t="shared" si="1003"/>
        <v>1485</v>
      </c>
      <c r="AG4507" s="47"/>
      <c r="AH4507" s="47">
        <f>IFERROR(_xlfn.XLOOKUP(Table6[[#This Row],[Suburb]],Table5[Travel Surcharge],Table5[$$]),"")</f>
        <v>1500</v>
      </c>
      <c r="AI4507" s="47">
        <f t="shared" si="1004"/>
        <v>1650.0000000000002</v>
      </c>
      <c r="AJ4507" s="47"/>
    </row>
    <row r="4508" spans="1:36">
      <c r="A4508" s="374" t="s">
        <v>6532</v>
      </c>
      <c r="B4508" s="374">
        <v>50</v>
      </c>
      <c r="C4508" s="374" t="s">
        <v>281</v>
      </c>
      <c r="D4508" s="375" t="str">
        <f t="shared" si="1005"/>
        <v>Warralily Estate50</v>
      </c>
      <c r="E4508" s="375" t="s">
        <v>6570</v>
      </c>
      <c r="F4508" s="375" t="s">
        <v>1440</v>
      </c>
      <c r="G4508" s="375" t="s">
        <v>6535</v>
      </c>
      <c r="H4508" s="375" t="s">
        <v>6536</v>
      </c>
      <c r="I4508" s="63"/>
      <c r="J4508" s="47">
        <f t="shared" si="999"/>
        <v>3740</v>
      </c>
      <c r="K4508" s="46" t="s">
        <v>10735</v>
      </c>
      <c r="L4508" s="47"/>
      <c r="M4508" s="47">
        <f t="shared" si="1000"/>
        <v>1430.0000000000002</v>
      </c>
      <c r="N4508" s="47" t="s">
        <v>6537</v>
      </c>
      <c r="O4508" s="47"/>
      <c r="P4508" s="47"/>
      <c r="Q4508" s="47">
        <f t="shared" si="1001"/>
        <v>0</v>
      </c>
      <c r="R4508" s="47"/>
      <c r="S4508" s="47"/>
      <c r="T4508" s="47" t="s">
        <v>337</v>
      </c>
      <c r="U4508" s="47"/>
      <c r="V4508" s="47"/>
      <c r="W4508" s="47"/>
      <c r="X4508" s="47"/>
      <c r="Y4508" s="47"/>
      <c r="Z4508" s="47">
        <f t="shared" si="1006"/>
        <v>4620</v>
      </c>
      <c r="AA4508" s="47">
        <f t="shared" si="1002"/>
        <v>1400</v>
      </c>
      <c r="AB4508" s="47"/>
      <c r="AC4508" s="47"/>
      <c r="AD4508" s="47"/>
      <c r="AE4508" s="47"/>
      <c r="AF4508" s="47">
        <f t="shared" si="1003"/>
        <v>1485</v>
      </c>
      <c r="AG4508" s="47"/>
      <c r="AH4508" s="47">
        <f>IFERROR(_xlfn.XLOOKUP(Table6[[#This Row],[Suburb]],Table5[Travel Surcharge],Table5[$$]),"")</f>
        <v>1500</v>
      </c>
      <c r="AI4508" s="47">
        <f t="shared" si="1004"/>
        <v>1650.0000000000002</v>
      </c>
      <c r="AJ4508" s="47"/>
    </row>
    <row r="4509" spans="1:36">
      <c r="A4509" s="374" t="s">
        <v>6532</v>
      </c>
      <c r="B4509" s="374">
        <v>61</v>
      </c>
      <c r="C4509" s="374" t="s">
        <v>281</v>
      </c>
      <c r="D4509" s="375" t="str">
        <f t="shared" si="1005"/>
        <v>Warralily Estate61</v>
      </c>
      <c r="E4509" s="375" t="s">
        <v>6571</v>
      </c>
      <c r="F4509" s="375" t="s">
        <v>1440</v>
      </c>
      <c r="G4509" s="375" t="s">
        <v>6535</v>
      </c>
      <c r="H4509" s="375" t="s">
        <v>6536</v>
      </c>
      <c r="I4509" s="63"/>
      <c r="J4509" s="47">
        <f t="shared" si="999"/>
        <v>3740</v>
      </c>
      <c r="K4509" s="46" t="s">
        <v>10735</v>
      </c>
      <c r="L4509" s="47"/>
      <c r="M4509" s="47">
        <f t="shared" si="1000"/>
        <v>1430.0000000000002</v>
      </c>
      <c r="N4509" s="47" t="s">
        <v>6537</v>
      </c>
      <c r="O4509" s="47"/>
      <c r="P4509" s="47"/>
      <c r="Q4509" s="47">
        <f t="shared" si="1001"/>
        <v>0</v>
      </c>
      <c r="R4509" s="47"/>
      <c r="S4509" s="47"/>
      <c r="T4509" s="47" t="s">
        <v>337</v>
      </c>
      <c r="U4509" s="47"/>
      <c r="V4509" s="47"/>
      <c r="W4509" s="47"/>
      <c r="X4509" s="47"/>
      <c r="Y4509" s="47"/>
      <c r="Z4509" s="47">
        <f t="shared" si="1006"/>
        <v>4620</v>
      </c>
      <c r="AA4509" s="47">
        <f t="shared" si="1002"/>
        <v>1400</v>
      </c>
      <c r="AB4509" s="47"/>
      <c r="AC4509" s="47"/>
      <c r="AD4509" s="47"/>
      <c r="AE4509" s="47"/>
      <c r="AF4509" s="47">
        <f t="shared" si="1003"/>
        <v>1485</v>
      </c>
      <c r="AG4509" s="47"/>
      <c r="AH4509" s="47">
        <f>IFERROR(_xlfn.XLOOKUP(Table6[[#This Row],[Suburb]],Table5[Travel Surcharge],Table5[$$]),"")</f>
        <v>1500</v>
      </c>
      <c r="AI4509" s="47">
        <f t="shared" si="1004"/>
        <v>1650.0000000000002</v>
      </c>
      <c r="AJ4509" s="47"/>
    </row>
    <row r="4510" spans="1:36">
      <c r="A4510" s="374" t="s">
        <v>6532</v>
      </c>
      <c r="B4510" s="374">
        <v>64</v>
      </c>
      <c r="C4510" s="374" t="s">
        <v>281</v>
      </c>
      <c r="D4510" s="375" t="str">
        <f t="shared" si="1005"/>
        <v>Warralily Estate64</v>
      </c>
      <c r="E4510" s="375" t="s">
        <v>6572</v>
      </c>
      <c r="F4510" s="375" t="s">
        <v>1440</v>
      </c>
      <c r="G4510" s="375" t="s">
        <v>6535</v>
      </c>
      <c r="H4510" s="375" t="s">
        <v>6536</v>
      </c>
      <c r="I4510" s="63"/>
      <c r="J4510" s="47">
        <f t="shared" si="999"/>
        <v>3740</v>
      </c>
      <c r="K4510" s="46" t="s">
        <v>10735</v>
      </c>
      <c r="L4510" s="47"/>
      <c r="M4510" s="47">
        <f t="shared" si="1000"/>
        <v>1430.0000000000002</v>
      </c>
      <c r="N4510" s="47" t="s">
        <v>6537</v>
      </c>
      <c r="O4510" s="47"/>
      <c r="P4510" s="47"/>
      <c r="Q4510" s="47">
        <f t="shared" si="1001"/>
        <v>0</v>
      </c>
      <c r="R4510" s="47"/>
      <c r="S4510" s="47"/>
      <c r="T4510" s="47" t="s">
        <v>337</v>
      </c>
      <c r="U4510" s="47"/>
      <c r="V4510" s="47"/>
      <c r="W4510" s="47"/>
      <c r="X4510" s="47"/>
      <c r="Y4510" s="47"/>
      <c r="Z4510" s="47">
        <f t="shared" si="1006"/>
        <v>4620</v>
      </c>
      <c r="AA4510" s="47">
        <f t="shared" si="1002"/>
        <v>1400</v>
      </c>
      <c r="AB4510" s="47"/>
      <c r="AC4510" s="47"/>
      <c r="AD4510" s="47"/>
      <c r="AE4510" s="47"/>
      <c r="AF4510" s="47">
        <f t="shared" si="1003"/>
        <v>1485</v>
      </c>
      <c r="AG4510" s="47"/>
      <c r="AH4510" s="47">
        <f>IFERROR(_xlfn.XLOOKUP(Table6[[#This Row],[Suburb]],Table5[Travel Surcharge],Table5[$$]),"")</f>
        <v>1500</v>
      </c>
      <c r="AI4510" s="47">
        <f t="shared" si="1004"/>
        <v>1650.0000000000002</v>
      </c>
      <c r="AJ4510" s="47"/>
    </row>
    <row r="4511" spans="1:36">
      <c r="A4511" s="374" t="s">
        <v>6532</v>
      </c>
      <c r="B4511" s="374">
        <v>67</v>
      </c>
      <c r="C4511" s="374" t="s">
        <v>281</v>
      </c>
      <c r="D4511" s="375" t="str">
        <f t="shared" si="1005"/>
        <v>Warralily Estate67</v>
      </c>
      <c r="E4511" s="375" t="s">
        <v>6573</v>
      </c>
      <c r="F4511" s="375" t="s">
        <v>1440</v>
      </c>
      <c r="G4511" s="375" t="s">
        <v>6535</v>
      </c>
      <c r="H4511" s="375" t="s">
        <v>6536</v>
      </c>
      <c r="I4511" s="63"/>
      <c r="J4511" s="47">
        <f t="shared" si="999"/>
        <v>3740</v>
      </c>
      <c r="K4511" s="46" t="s">
        <v>10735</v>
      </c>
      <c r="L4511" s="47"/>
      <c r="M4511" s="47">
        <f t="shared" si="1000"/>
        <v>1430.0000000000002</v>
      </c>
      <c r="N4511" s="47" t="s">
        <v>6537</v>
      </c>
      <c r="O4511" s="47"/>
      <c r="P4511" s="47"/>
      <c r="Q4511" s="47">
        <f t="shared" si="1001"/>
        <v>0</v>
      </c>
      <c r="R4511" s="47"/>
      <c r="S4511" s="47"/>
      <c r="T4511" s="47" t="s">
        <v>337</v>
      </c>
      <c r="U4511" s="47"/>
      <c r="V4511" s="47"/>
      <c r="W4511" s="47"/>
      <c r="X4511" s="47"/>
      <c r="Y4511" s="47"/>
      <c r="Z4511" s="47">
        <f t="shared" si="1006"/>
        <v>4620</v>
      </c>
      <c r="AA4511" s="47">
        <f t="shared" si="1002"/>
        <v>1400</v>
      </c>
      <c r="AB4511" s="47"/>
      <c r="AC4511" s="47"/>
      <c r="AD4511" s="47"/>
      <c r="AE4511" s="47"/>
      <c r="AF4511" s="47">
        <f t="shared" si="1003"/>
        <v>1485</v>
      </c>
      <c r="AG4511" s="47"/>
      <c r="AH4511" s="47">
        <f>IFERROR(_xlfn.XLOOKUP(Table6[[#This Row],[Suburb]],Table5[Travel Surcharge],Table5[$$]),"")</f>
        <v>1500</v>
      </c>
      <c r="AI4511" s="47">
        <f t="shared" si="1004"/>
        <v>1650.0000000000002</v>
      </c>
      <c r="AJ4511" s="47"/>
    </row>
    <row r="4512" spans="1:36">
      <c r="A4512" s="374" t="s">
        <v>6532</v>
      </c>
      <c r="B4512" s="374">
        <v>67</v>
      </c>
      <c r="C4512" s="374" t="s">
        <v>281</v>
      </c>
      <c r="D4512" s="375" t="str">
        <f t="shared" si="1005"/>
        <v>Warralily Estate67</v>
      </c>
      <c r="E4512" s="375" t="s">
        <v>6573</v>
      </c>
      <c r="F4512" s="375" t="s">
        <v>1440</v>
      </c>
      <c r="G4512" s="375" t="s">
        <v>6535</v>
      </c>
      <c r="H4512" s="375" t="s">
        <v>6536</v>
      </c>
      <c r="I4512" s="63"/>
      <c r="J4512" s="47">
        <f t="shared" ref="J4512:J4546" si="1007">J$7</f>
        <v>3740</v>
      </c>
      <c r="K4512" s="46" t="s">
        <v>10735</v>
      </c>
      <c r="L4512" s="47"/>
      <c r="M4512" s="47">
        <f t="shared" ref="M4512:M4546" si="1008">M$7</f>
        <v>1430.0000000000002</v>
      </c>
      <c r="N4512" s="47" t="s">
        <v>6537</v>
      </c>
      <c r="O4512" s="47"/>
      <c r="P4512" s="47"/>
      <c r="Q4512" s="47">
        <f t="shared" ref="Q4512:Q4546" si="1009">Q$2</f>
        <v>0</v>
      </c>
      <c r="R4512" s="47"/>
      <c r="S4512" s="47"/>
      <c r="T4512" s="47" t="s">
        <v>337</v>
      </c>
      <c r="U4512" s="47"/>
      <c r="V4512" s="47"/>
      <c r="W4512" s="47"/>
      <c r="X4512" s="47"/>
      <c r="Y4512" s="47"/>
      <c r="Z4512" s="47">
        <f t="shared" si="1006"/>
        <v>4620</v>
      </c>
      <c r="AA4512" s="47">
        <f t="shared" ref="AA4512:AA4546" si="1010">AA$7</f>
        <v>1400</v>
      </c>
      <c r="AB4512" s="47"/>
      <c r="AC4512" s="47"/>
      <c r="AD4512" s="47"/>
      <c r="AE4512" s="47"/>
      <c r="AF4512" s="47">
        <f t="shared" ref="AF4512:AF4546" si="1011">AF$7</f>
        <v>1485</v>
      </c>
      <c r="AG4512" s="47"/>
      <c r="AH4512" s="47">
        <f>IFERROR(_xlfn.XLOOKUP(Table6[[#This Row],[Suburb]],Table5[Travel Surcharge],Table5[$$]),"")</f>
        <v>1500</v>
      </c>
      <c r="AI4512" s="47">
        <f t="shared" ref="AI4512:AI4546" si="1012">AI$7</f>
        <v>1650.0000000000002</v>
      </c>
      <c r="AJ4512" s="47"/>
    </row>
    <row r="4513" spans="1:36">
      <c r="A4513" s="374" t="s">
        <v>6532</v>
      </c>
      <c r="B4513" s="374">
        <v>68</v>
      </c>
      <c r="C4513" s="374" t="s">
        <v>281</v>
      </c>
      <c r="D4513" s="375" t="str">
        <f t="shared" si="1005"/>
        <v>Warralily Estate68</v>
      </c>
      <c r="E4513" s="375" t="s">
        <v>6574</v>
      </c>
      <c r="F4513" s="375" t="s">
        <v>1440</v>
      </c>
      <c r="G4513" s="375" t="s">
        <v>6535</v>
      </c>
      <c r="H4513" s="375" t="s">
        <v>6536</v>
      </c>
      <c r="I4513" s="63"/>
      <c r="J4513" s="47">
        <f t="shared" si="1007"/>
        <v>3740</v>
      </c>
      <c r="K4513" s="46" t="s">
        <v>10735</v>
      </c>
      <c r="L4513" s="47"/>
      <c r="M4513" s="47">
        <f t="shared" si="1008"/>
        <v>1430.0000000000002</v>
      </c>
      <c r="N4513" s="47" t="s">
        <v>6537</v>
      </c>
      <c r="O4513" s="47"/>
      <c r="P4513" s="47"/>
      <c r="Q4513" s="47">
        <f t="shared" si="1009"/>
        <v>0</v>
      </c>
      <c r="R4513" s="47"/>
      <c r="S4513" s="47"/>
      <c r="T4513" s="47" t="s">
        <v>337</v>
      </c>
      <c r="U4513" s="47"/>
      <c r="V4513" s="47"/>
      <c r="W4513" s="47"/>
      <c r="X4513" s="47"/>
      <c r="Y4513" s="47"/>
      <c r="Z4513" s="47">
        <f t="shared" si="1006"/>
        <v>4620</v>
      </c>
      <c r="AA4513" s="47">
        <f t="shared" si="1010"/>
        <v>1400</v>
      </c>
      <c r="AB4513" s="47"/>
      <c r="AC4513" s="47"/>
      <c r="AD4513" s="47"/>
      <c r="AE4513" s="47"/>
      <c r="AF4513" s="47">
        <f t="shared" si="1011"/>
        <v>1485</v>
      </c>
      <c r="AG4513" s="47"/>
      <c r="AH4513" s="47">
        <f>IFERROR(_xlfn.XLOOKUP(Table6[[#This Row],[Suburb]],Table5[Travel Surcharge],Table5[$$]),"")</f>
        <v>1500</v>
      </c>
      <c r="AI4513" s="47">
        <f t="shared" si="1012"/>
        <v>1650.0000000000002</v>
      </c>
      <c r="AJ4513" s="47"/>
    </row>
    <row r="4514" spans="1:36">
      <c r="A4514" s="374" t="s">
        <v>6532</v>
      </c>
      <c r="B4514" s="374">
        <v>69</v>
      </c>
      <c r="C4514" s="374" t="s">
        <v>281</v>
      </c>
      <c r="D4514" s="375" t="str">
        <f t="shared" si="1005"/>
        <v>Warralily Estate69</v>
      </c>
      <c r="E4514" s="375" t="s">
        <v>6575</v>
      </c>
      <c r="F4514" s="375" t="s">
        <v>1440</v>
      </c>
      <c r="G4514" s="375" t="s">
        <v>6535</v>
      </c>
      <c r="H4514" s="375" t="s">
        <v>6536</v>
      </c>
      <c r="I4514" s="63"/>
      <c r="J4514" s="47">
        <f t="shared" si="1007"/>
        <v>3740</v>
      </c>
      <c r="K4514" s="46" t="s">
        <v>10735</v>
      </c>
      <c r="L4514" s="47"/>
      <c r="M4514" s="47">
        <f t="shared" si="1008"/>
        <v>1430.0000000000002</v>
      </c>
      <c r="N4514" s="47" t="s">
        <v>6537</v>
      </c>
      <c r="O4514" s="47"/>
      <c r="P4514" s="47"/>
      <c r="Q4514" s="47">
        <f t="shared" si="1009"/>
        <v>0</v>
      </c>
      <c r="R4514" s="47"/>
      <c r="S4514" s="47"/>
      <c r="T4514" s="47" t="s">
        <v>337</v>
      </c>
      <c r="U4514" s="47"/>
      <c r="V4514" s="47"/>
      <c r="W4514" s="47"/>
      <c r="X4514" s="47"/>
      <c r="Y4514" s="47"/>
      <c r="Z4514" s="47">
        <f t="shared" si="1006"/>
        <v>4620</v>
      </c>
      <c r="AA4514" s="47">
        <f t="shared" si="1010"/>
        <v>1400</v>
      </c>
      <c r="AB4514" s="47"/>
      <c r="AC4514" s="47"/>
      <c r="AD4514" s="47"/>
      <c r="AE4514" s="47"/>
      <c r="AF4514" s="47">
        <f t="shared" si="1011"/>
        <v>1485</v>
      </c>
      <c r="AG4514" s="47"/>
      <c r="AH4514" s="47">
        <f>IFERROR(_xlfn.XLOOKUP(Table6[[#This Row],[Suburb]],Table5[Travel Surcharge],Table5[$$]),"")</f>
        <v>1500</v>
      </c>
      <c r="AI4514" s="47">
        <f t="shared" si="1012"/>
        <v>1650.0000000000002</v>
      </c>
      <c r="AJ4514" s="47"/>
    </row>
    <row r="4515" spans="1:36">
      <c r="A4515" s="374" t="s">
        <v>6532</v>
      </c>
      <c r="B4515" s="374">
        <v>71</v>
      </c>
      <c r="C4515" s="374" t="s">
        <v>281</v>
      </c>
      <c r="D4515" s="375" t="str">
        <f t="shared" si="1005"/>
        <v>Warralily Estate71</v>
      </c>
      <c r="E4515" s="375" t="s">
        <v>6576</v>
      </c>
      <c r="F4515" s="375" t="s">
        <v>1440</v>
      </c>
      <c r="G4515" s="375" t="s">
        <v>6535</v>
      </c>
      <c r="H4515" s="375" t="s">
        <v>6536</v>
      </c>
      <c r="I4515" s="63"/>
      <c r="J4515" s="47">
        <f t="shared" si="1007"/>
        <v>3740</v>
      </c>
      <c r="K4515" s="46" t="s">
        <v>10735</v>
      </c>
      <c r="L4515" s="47"/>
      <c r="M4515" s="47">
        <f t="shared" si="1008"/>
        <v>1430.0000000000002</v>
      </c>
      <c r="N4515" s="47" t="s">
        <v>6537</v>
      </c>
      <c r="O4515" s="47"/>
      <c r="P4515" s="47"/>
      <c r="Q4515" s="47">
        <f t="shared" si="1009"/>
        <v>0</v>
      </c>
      <c r="R4515" s="47"/>
      <c r="S4515" s="47"/>
      <c r="T4515" s="47" t="s">
        <v>337</v>
      </c>
      <c r="U4515" s="47"/>
      <c r="V4515" s="47"/>
      <c r="W4515" s="47"/>
      <c r="X4515" s="47"/>
      <c r="Y4515" s="47"/>
      <c r="Z4515" s="47">
        <f t="shared" si="1006"/>
        <v>4620</v>
      </c>
      <c r="AA4515" s="47">
        <f t="shared" si="1010"/>
        <v>1400</v>
      </c>
      <c r="AB4515" s="47"/>
      <c r="AC4515" s="47"/>
      <c r="AD4515" s="47"/>
      <c r="AE4515" s="47"/>
      <c r="AF4515" s="47">
        <f t="shared" si="1011"/>
        <v>1485</v>
      </c>
      <c r="AG4515" s="47"/>
      <c r="AH4515" s="47">
        <f>IFERROR(_xlfn.XLOOKUP(Table6[[#This Row],[Suburb]],Table5[Travel Surcharge],Table5[$$]),"")</f>
        <v>1500</v>
      </c>
      <c r="AI4515" s="47">
        <f t="shared" si="1012"/>
        <v>1650.0000000000002</v>
      </c>
      <c r="AJ4515" s="47"/>
    </row>
    <row r="4516" spans="1:36">
      <c r="A4516" s="374" t="s">
        <v>6532</v>
      </c>
      <c r="B4516" s="374">
        <v>72</v>
      </c>
      <c r="C4516" s="374" t="s">
        <v>281</v>
      </c>
      <c r="D4516" s="375" t="str">
        <f t="shared" si="1005"/>
        <v>Warralily Estate72</v>
      </c>
      <c r="E4516" s="375" t="s">
        <v>6577</v>
      </c>
      <c r="F4516" s="375" t="s">
        <v>1440</v>
      </c>
      <c r="G4516" s="375" t="s">
        <v>6535</v>
      </c>
      <c r="H4516" s="375" t="s">
        <v>6536</v>
      </c>
      <c r="I4516" s="63"/>
      <c r="J4516" s="47">
        <f t="shared" si="1007"/>
        <v>3740</v>
      </c>
      <c r="K4516" s="46" t="s">
        <v>10735</v>
      </c>
      <c r="L4516" s="47"/>
      <c r="M4516" s="47">
        <f t="shared" si="1008"/>
        <v>1430.0000000000002</v>
      </c>
      <c r="N4516" s="47" t="s">
        <v>6537</v>
      </c>
      <c r="O4516" s="47"/>
      <c r="P4516" s="47"/>
      <c r="Q4516" s="47">
        <f t="shared" si="1009"/>
        <v>0</v>
      </c>
      <c r="R4516" s="47"/>
      <c r="S4516" s="47"/>
      <c r="T4516" s="47" t="s">
        <v>337</v>
      </c>
      <c r="U4516" s="47"/>
      <c r="V4516" s="47"/>
      <c r="W4516" s="47"/>
      <c r="X4516" s="47"/>
      <c r="Y4516" s="47"/>
      <c r="Z4516" s="47">
        <f t="shared" si="1006"/>
        <v>4620</v>
      </c>
      <c r="AA4516" s="47">
        <f t="shared" si="1010"/>
        <v>1400</v>
      </c>
      <c r="AB4516" s="47"/>
      <c r="AC4516" s="47"/>
      <c r="AD4516" s="47"/>
      <c r="AE4516" s="47"/>
      <c r="AF4516" s="47">
        <f t="shared" si="1011"/>
        <v>1485</v>
      </c>
      <c r="AG4516" s="47"/>
      <c r="AH4516" s="47">
        <f>IFERROR(_xlfn.XLOOKUP(Table6[[#This Row],[Suburb]],Table5[Travel Surcharge],Table5[$$]),"")</f>
        <v>1500</v>
      </c>
      <c r="AI4516" s="47">
        <f t="shared" si="1012"/>
        <v>1650.0000000000002</v>
      </c>
      <c r="AJ4516" s="47"/>
    </row>
    <row r="4517" spans="1:36">
      <c r="A4517" s="374" t="s">
        <v>6532</v>
      </c>
      <c r="B4517" s="374">
        <v>73</v>
      </c>
      <c r="C4517" s="374" t="s">
        <v>281</v>
      </c>
      <c r="D4517" s="375" t="str">
        <f t="shared" si="1005"/>
        <v>Warralily Estate73</v>
      </c>
      <c r="E4517" s="375" t="s">
        <v>6578</v>
      </c>
      <c r="F4517" s="375" t="s">
        <v>1440</v>
      </c>
      <c r="G4517" s="375" t="s">
        <v>6535</v>
      </c>
      <c r="H4517" s="375" t="s">
        <v>6536</v>
      </c>
      <c r="I4517" s="63"/>
      <c r="J4517" s="47">
        <f t="shared" si="1007"/>
        <v>3740</v>
      </c>
      <c r="K4517" s="46" t="s">
        <v>10735</v>
      </c>
      <c r="L4517" s="47"/>
      <c r="M4517" s="47">
        <f t="shared" si="1008"/>
        <v>1430.0000000000002</v>
      </c>
      <c r="N4517" s="47" t="s">
        <v>6537</v>
      </c>
      <c r="O4517" s="47"/>
      <c r="P4517" s="47"/>
      <c r="Q4517" s="47">
        <f t="shared" si="1009"/>
        <v>0</v>
      </c>
      <c r="R4517" s="47"/>
      <c r="S4517" s="47"/>
      <c r="T4517" s="47" t="s">
        <v>337</v>
      </c>
      <c r="U4517" s="47"/>
      <c r="V4517" s="47"/>
      <c r="W4517" s="47"/>
      <c r="X4517" s="47"/>
      <c r="Y4517" s="47"/>
      <c r="Z4517" s="47">
        <f t="shared" si="1006"/>
        <v>4620</v>
      </c>
      <c r="AA4517" s="47">
        <f t="shared" si="1010"/>
        <v>1400</v>
      </c>
      <c r="AB4517" s="47"/>
      <c r="AC4517" s="47"/>
      <c r="AD4517" s="47"/>
      <c r="AE4517" s="47"/>
      <c r="AF4517" s="47">
        <f t="shared" si="1011"/>
        <v>1485</v>
      </c>
      <c r="AG4517" s="47"/>
      <c r="AH4517" s="47">
        <f>IFERROR(_xlfn.XLOOKUP(Table6[[#This Row],[Suburb]],Table5[Travel Surcharge],Table5[$$]),"")</f>
        <v>1500</v>
      </c>
      <c r="AI4517" s="47">
        <f t="shared" si="1012"/>
        <v>1650.0000000000002</v>
      </c>
      <c r="AJ4517" s="47"/>
    </row>
    <row r="4518" spans="1:36">
      <c r="A4518" s="374" t="s">
        <v>6532</v>
      </c>
      <c r="B4518" s="374">
        <v>74</v>
      </c>
      <c r="C4518" s="374" t="s">
        <v>281</v>
      </c>
      <c r="D4518" s="375" t="str">
        <f t="shared" si="1005"/>
        <v>Warralily Estate74</v>
      </c>
      <c r="E4518" s="375" t="s">
        <v>6579</v>
      </c>
      <c r="F4518" s="375" t="s">
        <v>1440</v>
      </c>
      <c r="G4518" s="375" t="s">
        <v>6535</v>
      </c>
      <c r="H4518" s="375" t="s">
        <v>6536</v>
      </c>
      <c r="I4518" s="63"/>
      <c r="J4518" s="47">
        <f t="shared" si="1007"/>
        <v>3740</v>
      </c>
      <c r="K4518" s="46" t="s">
        <v>10735</v>
      </c>
      <c r="L4518" s="47"/>
      <c r="M4518" s="47">
        <f t="shared" si="1008"/>
        <v>1430.0000000000002</v>
      </c>
      <c r="N4518" s="47" t="s">
        <v>6537</v>
      </c>
      <c r="O4518" s="47"/>
      <c r="P4518" s="47"/>
      <c r="Q4518" s="47">
        <f t="shared" si="1009"/>
        <v>0</v>
      </c>
      <c r="R4518" s="47"/>
      <c r="S4518" s="47"/>
      <c r="T4518" s="47" t="s">
        <v>337</v>
      </c>
      <c r="U4518" s="47"/>
      <c r="V4518" s="47"/>
      <c r="W4518" s="47"/>
      <c r="X4518" s="47"/>
      <c r="Y4518" s="47"/>
      <c r="Z4518" s="47">
        <f t="shared" si="1006"/>
        <v>4620</v>
      </c>
      <c r="AA4518" s="47">
        <f t="shared" si="1010"/>
        <v>1400</v>
      </c>
      <c r="AB4518" s="47"/>
      <c r="AC4518" s="47"/>
      <c r="AD4518" s="47"/>
      <c r="AE4518" s="47"/>
      <c r="AF4518" s="47">
        <f t="shared" si="1011"/>
        <v>1485</v>
      </c>
      <c r="AG4518" s="47"/>
      <c r="AH4518" s="47">
        <f>IFERROR(_xlfn.XLOOKUP(Table6[[#This Row],[Suburb]],Table5[Travel Surcharge],Table5[$$]),"")</f>
        <v>1500</v>
      </c>
      <c r="AI4518" s="47">
        <f t="shared" si="1012"/>
        <v>1650.0000000000002</v>
      </c>
      <c r="AJ4518" s="47"/>
    </row>
    <row r="4519" spans="1:36">
      <c r="A4519" s="374" t="s">
        <v>6532</v>
      </c>
      <c r="B4519" s="374">
        <v>75</v>
      </c>
      <c r="C4519" s="374" t="s">
        <v>281</v>
      </c>
      <c r="D4519" s="375" t="str">
        <f t="shared" si="1005"/>
        <v>Warralily Estate75</v>
      </c>
      <c r="E4519" s="375" t="s">
        <v>6580</v>
      </c>
      <c r="F4519" s="375" t="s">
        <v>1440</v>
      </c>
      <c r="G4519" s="375" t="s">
        <v>6535</v>
      </c>
      <c r="H4519" s="375" t="s">
        <v>6536</v>
      </c>
      <c r="I4519" s="63"/>
      <c r="J4519" s="47">
        <f t="shared" si="1007"/>
        <v>3740</v>
      </c>
      <c r="K4519" s="46" t="s">
        <v>10735</v>
      </c>
      <c r="L4519" s="47"/>
      <c r="M4519" s="47">
        <f t="shared" si="1008"/>
        <v>1430.0000000000002</v>
      </c>
      <c r="N4519" s="47" t="s">
        <v>6537</v>
      </c>
      <c r="O4519" s="47"/>
      <c r="P4519" s="47"/>
      <c r="Q4519" s="47">
        <f t="shared" si="1009"/>
        <v>0</v>
      </c>
      <c r="R4519" s="47"/>
      <c r="S4519" s="47"/>
      <c r="T4519" s="47" t="s">
        <v>337</v>
      </c>
      <c r="U4519" s="47"/>
      <c r="V4519" s="47"/>
      <c r="W4519" s="47"/>
      <c r="X4519" s="47"/>
      <c r="Y4519" s="47"/>
      <c r="Z4519" s="47">
        <f t="shared" si="1006"/>
        <v>4620</v>
      </c>
      <c r="AA4519" s="47">
        <f t="shared" si="1010"/>
        <v>1400</v>
      </c>
      <c r="AB4519" s="47"/>
      <c r="AC4519" s="47"/>
      <c r="AD4519" s="47"/>
      <c r="AE4519" s="47"/>
      <c r="AF4519" s="47">
        <f t="shared" si="1011"/>
        <v>1485</v>
      </c>
      <c r="AG4519" s="47"/>
      <c r="AH4519" s="47">
        <f>IFERROR(_xlfn.XLOOKUP(Table6[[#This Row],[Suburb]],Table5[Travel Surcharge],Table5[$$]),"")</f>
        <v>1500</v>
      </c>
      <c r="AI4519" s="47">
        <f t="shared" si="1012"/>
        <v>1650.0000000000002</v>
      </c>
      <c r="AJ4519" s="47"/>
    </row>
    <row r="4520" spans="1:36">
      <c r="A4520" s="374" t="s">
        <v>6532</v>
      </c>
      <c r="B4520" s="374">
        <v>79</v>
      </c>
      <c r="C4520" s="374" t="s">
        <v>281</v>
      </c>
      <c r="D4520" s="375" t="str">
        <f t="shared" si="1005"/>
        <v>Warralily Estate79</v>
      </c>
      <c r="E4520" s="375" t="s">
        <v>6581</v>
      </c>
      <c r="F4520" s="375" t="s">
        <v>1440</v>
      </c>
      <c r="G4520" s="375" t="s">
        <v>6535</v>
      </c>
      <c r="H4520" s="375" t="s">
        <v>6536</v>
      </c>
      <c r="I4520" s="63"/>
      <c r="J4520" s="47">
        <f t="shared" si="1007"/>
        <v>3740</v>
      </c>
      <c r="K4520" s="46" t="s">
        <v>10735</v>
      </c>
      <c r="L4520" s="47"/>
      <c r="M4520" s="47">
        <f t="shared" si="1008"/>
        <v>1430.0000000000002</v>
      </c>
      <c r="N4520" s="47" t="s">
        <v>6537</v>
      </c>
      <c r="O4520" s="47"/>
      <c r="P4520" s="47"/>
      <c r="Q4520" s="47">
        <f t="shared" si="1009"/>
        <v>0</v>
      </c>
      <c r="R4520" s="47"/>
      <c r="S4520" s="47"/>
      <c r="T4520" s="47" t="s">
        <v>337</v>
      </c>
      <c r="U4520" s="47"/>
      <c r="V4520" s="47"/>
      <c r="W4520" s="47"/>
      <c r="X4520" s="47"/>
      <c r="Y4520" s="47"/>
      <c r="Z4520" s="47">
        <f t="shared" si="1006"/>
        <v>4620</v>
      </c>
      <c r="AA4520" s="47">
        <f t="shared" si="1010"/>
        <v>1400</v>
      </c>
      <c r="AB4520" s="47"/>
      <c r="AC4520" s="47"/>
      <c r="AD4520" s="47"/>
      <c r="AE4520" s="47"/>
      <c r="AF4520" s="47">
        <f t="shared" si="1011"/>
        <v>1485</v>
      </c>
      <c r="AG4520" s="47"/>
      <c r="AH4520" s="47">
        <f>IFERROR(_xlfn.XLOOKUP(Table6[[#This Row],[Suburb]],Table5[Travel Surcharge],Table5[$$]),"")</f>
        <v>1500</v>
      </c>
      <c r="AI4520" s="47">
        <f t="shared" si="1012"/>
        <v>1650.0000000000002</v>
      </c>
      <c r="AJ4520" s="47"/>
    </row>
    <row r="4521" spans="1:36">
      <c r="A4521" s="374" t="s">
        <v>6532</v>
      </c>
      <c r="B4521" s="374">
        <v>80</v>
      </c>
      <c r="C4521" s="374" t="s">
        <v>281</v>
      </c>
      <c r="D4521" s="375" t="str">
        <f t="shared" si="1005"/>
        <v>Warralily Estate80</v>
      </c>
      <c r="E4521" s="375" t="s">
        <v>6582</v>
      </c>
      <c r="F4521" s="375" t="s">
        <v>1440</v>
      </c>
      <c r="G4521" s="375" t="s">
        <v>6535</v>
      </c>
      <c r="H4521" s="375" t="s">
        <v>6536</v>
      </c>
      <c r="I4521" s="63"/>
      <c r="J4521" s="47">
        <f t="shared" si="1007"/>
        <v>3740</v>
      </c>
      <c r="K4521" s="46" t="s">
        <v>10735</v>
      </c>
      <c r="L4521" s="47"/>
      <c r="M4521" s="47">
        <f t="shared" si="1008"/>
        <v>1430.0000000000002</v>
      </c>
      <c r="N4521" s="47" t="s">
        <v>6537</v>
      </c>
      <c r="O4521" s="47"/>
      <c r="P4521" s="47"/>
      <c r="Q4521" s="47">
        <f t="shared" si="1009"/>
        <v>0</v>
      </c>
      <c r="R4521" s="47"/>
      <c r="S4521" s="47"/>
      <c r="T4521" s="47" t="s">
        <v>337</v>
      </c>
      <c r="U4521" s="47"/>
      <c r="V4521" s="47"/>
      <c r="W4521" s="47"/>
      <c r="X4521" s="47"/>
      <c r="Y4521" s="47"/>
      <c r="Z4521" s="47">
        <f t="shared" si="1006"/>
        <v>4620</v>
      </c>
      <c r="AA4521" s="47">
        <f t="shared" si="1010"/>
        <v>1400</v>
      </c>
      <c r="AB4521" s="47"/>
      <c r="AC4521" s="47"/>
      <c r="AD4521" s="47"/>
      <c r="AE4521" s="47"/>
      <c r="AF4521" s="47">
        <f t="shared" si="1011"/>
        <v>1485</v>
      </c>
      <c r="AG4521" s="47"/>
      <c r="AH4521" s="47">
        <f>IFERROR(_xlfn.XLOOKUP(Table6[[#This Row],[Suburb]],Table5[Travel Surcharge],Table5[$$]),"")</f>
        <v>1500</v>
      </c>
      <c r="AI4521" s="47">
        <f t="shared" si="1012"/>
        <v>1650.0000000000002</v>
      </c>
      <c r="AJ4521" s="47"/>
    </row>
    <row r="4522" spans="1:36">
      <c r="A4522" s="374" t="s">
        <v>6532</v>
      </c>
      <c r="B4522" s="374">
        <v>92</v>
      </c>
      <c r="C4522" s="374" t="s">
        <v>281</v>
      </c>
      <c r="D4522" s="375" t="str">
        <f t="shared" si="1005"/>
        <v>Warralily Estate92</v>
      </c>
      <c r="E4522" s="375" t="s">
        <v>6583</v>
      </c>
      <c r="F4522" s="375" t="s">
        <v>1440</v>
      </c>
      <c r="G4522" s="375" t="s">
        <v>6535</v>
      </c>
      <c r="H4522" s="375" t="s">
        <v>6536</v>
      </c>
      <c r="I4522" s="63"/>
      <c r="J4522" s="47">
        <f t="shared" si="1007"/>
        <v>3740</v>
      </c>
      <c r="K4522" s="46" t="s">
        <v>10735</v>
      </c>
      <c r="L4522" s="47"/>
      <c r="M4522" s="47">
        <f t="shared" si="1008"/>
        <v>1430.0000000000002</v>
      </c>
      <c r="N4522" s="47" t="s">
        <v>6537</v>
      </c>
      <c r="O4522" s="47"/>
      <c r="P4522" s="47"/>
      <c r="Q4522" s="47">
        <f t="shared" si="1009"/>
        <v>0</v>
      </c>
      <c r="R4522" s="47"/>
      <c r="S4522" s="47"/>
      <c r="T4522" s="47" t="s">
        <v>337</v>
      </c>
      <c r="U4522" s="47"/>
      <c r="V4522" s="47"/>
      <c r="W4522" s="47"/>
      <c r="X4522" s="47"/>
      <c r="Y4522" s="47"/>
      <c r="Z4522" s="47">
        <f t="shared" si="1006"/>
        <v>4620</v>
      </c>
      <c r="AA4522" s="47">
        <f t="shared" si="1010"/>
        <v>1400</v>
      </c>
      <c r="AB4522" s="47"/>
      <c r="AC4522" s="47"/>
      <c r="AD4522" s="47"/>
      <c r="AE4522" s="47"/>
      <c r="AF4522" s="47">
        <f t="shared" si="1011"/>
        <v>1485</v>
      </c>
      <c r="AG4522" s="47"/>
      <c r="AH4522" s="47">
        <f>IFERROR(_xlfn.XLOOKUP(Table6[[#This Row],[Suburb]],Table5[Travel Surcharge],Table5[$$]),"")</f>
        <v>1500</v>
      </c>
      <c r="AI4522" s="47">
        <f t="shared" si="1012"/>
        <v>1650.0000000000002</v>
      </c>
      <c r="AJ4522" s="47"/>
    </row>
    <row r="4523" spans="1:36">
      <c r="A4523" s="374" t="s">
        <v>6532</v>
      </c>
      <c r="B4523" s="374">
        <v>94</v>
      </c>
      <c r="C4523" s="374" t="s">
        <v>281</v>
      </c>
      <c r="D4523" s="375" t="str">
        <f t="shared" si="1005"/>
        <v>Warralily Estate94</v>
      </c>
      <c r="E4523" s="375" t="s">
        <v>6584</v>
      </c>
      <c r="F4523" s="375" t="s">
        <v>1440</v>
      </c>
      <c r="G4523" s="375" t="s">
        <v>6535</v>
      </c>
      <c r="H4523" s="375" t="s">
        <v>6536</v>
      </c>
      <c r="I4523" s="63"/>
      <c r="J4523" s="47">
        <f t="shared" si="1007"/>
        <v>3740</v>
      </c>
      <c r="K4523" s="46" t="s">
        <v>10735</v>
      </c>
      <c r="L4523" s="47"/>
      <c r="M4523" s="47">
        <f t="shared" si="1008"/>
        <v>1430.0000000000002</v>
      </c>
      <c r="N4523" s="47" t="s">
        <v>6537</v>
      </c>
      <c r="O4523" s="47"/>
      <c r="P4523" s="47"/>
      <c r="Q4523" s="47">
        <f t="shared" si="1009"/>
        <v>0</v>
      </c>
      <c r="R4523" s="47"/>
      <c r="S4523" s="47"/>
      <c r="T4523" s="47" t="s">
        <v>337</v>
      </c>
      <c r="U4523" s="47"/>
      <c r="V4523" s="47"/>
      <c r="W4523" s="47"/>
      <c r="X4523" s="47"/>
      <c r="Y4523" s="47"/>
      <c r="Z4523" s="47">
        <f t="shared" si="1006"/>
        <v>4620</v>
      </c>
      <c r="AA4523" s="47">
        <f t="shared" si="1010"/>
        <v>1400</v>
      </c>
      <c r="AB4523" s="47"/>
      <c r="AC4523" s="47"/>
      <c r="AD4523" s="47"/>
      <c r="AE4523" s="47"/>
      <c r="AF4523" s="47">
        <f t="shared" si="1011"/>
        <v>1485</v>
      </c>
      <c r="AG4523" s="47"/>
      <c r="AH4523" s="47">
        <f>IFERROR(_xlfn.XLOOKUP(Table6[[#This Row],[Suburb]],Table5[Travel Surcharge],Table5[$$]),"")</f>
        <v>1500</v>
      </c>
      <c r="AI4523" s="47">
        <f t="shared" si="1012"/>
        <v>1650.0000000000002</v>
      </c>
      <c r="AJ4523" s="47"/>
    </row>
    <row r="4524" spans="1:36">
      <c r="A4524" s="374" t="s">
        <v>6532</v>
      </c>
      <c r="B4524" s="374">
        <v>95</v>
      </c>
      <c r="C4524" s="374" t="s">
        <v>281</v>
      </c>
      <c r="D4524" s="375" t="str">
        <f t="shared" si="1005"/>
        <v>Warralily Estate95</v>
      </c>
      <c r="E4524" s="375" t="s">
        <v>10965</v>
      </c>
      <c r="F4524" s="375" t="s">
        <v>1440</v>
      </c>
      <c r="G4524" s="375" t="s">
        <v>6535</v>
      </c>
      <c r="H4524" s="375" t="s">
        <v>6536</v>
      </c>
      <c r="I4524" s="63"/>
      <c r="J4524" s="47">
        <v>3740</v>
      </c>
      <c r="K4524" s="46" t="s">
        <v>10735</v>
      </c>
      <c r="L4524" s="47"/>
      <c r="M4524" s="47">
        <v>1430.0000000000002</v>
      </c>
      <c r="N4524" s="47" t="s">
        <v>6537</v>
      </c>
      <c r="O4524" s="47"/>
      <c r="P4524" s="47"/>
      <c r="Q4524" s="47">
        <v>0</v>
      </c>
      <c r="R4524" s="47"/>
      <c r="S4524" s="47"/>
      <c r="T4524" s="47" t="s">
        <v>337</v>
      </c>
      <c r="U4524" s="47"/>
      <c r="V4524" s="47"/>
      <c r="W4524" s="47"/>
      <c r="X4524" s="47"/>
      <c r="Y4524" s="47"/>
      <c r="Z4524" s="47">
        <v>4620</v>
      </c>
      <c r="AA4524" s="47">
        <v>1400</v>
      </c>
      <c r="AB4524" s="47"/>
      <c r="AC4524" s="47"/>
      <c r="AD4524" s="47"/>
      <c r="AE4524" s="47"/>
      <c r="AF4524" s="47">
        <v>1485</v>
      </c>
      <c r="AG4524" s="47"/>
      <c r="AH4524" s="47">
        <v>1500</v>
      </c>
      <c r="AI4524" s="47">
        <v>1650.0000000000002</v>
      </c>
      <c r="AJ4524" s="47"/>
    </row>
    <row r="4525" spans="1:36">
      <c r="A4525" s="374" t="s">
        <v>6532</v>
      </c>
      <c r="B4525" s="374">
        <v>96</v>
      </c>
      <c r="C4525" s="374" t="s">
        <v>281</v>
      </c>
      <c r="D4525" s="375" t="str">
        <f t="shared" si="1005"/>
        <v>Warralily Estate96</v>
      </c>
      <c r="E4525" s="375" t="s">
        <v>4623</v>
      </c>
      <c r="F4525" s="375" t="s">
        <v>1440</v>
      </c>
      <c r="G4525" s="375" t="s">
        <v>6535</v>
      </c>
      <c r="H4525" s="375" t="s">
        <v>6536</v>
      </c>
      <c r="I4525" s="63"/>
      <c r="J4525" s="47">
        <f t="shared" si="1007"/>
        <v>3740</v>
      </c>
      <c r="K4525" s="46" t="s">
        <v>10735</v>
      </c>
      <c r="L4525" s="47"/>
      <c r="M4525" s="47">
        <f t="shared" si="1008"/>
        <v>1430.0000000000002</v>
      </c>
      <c r="N4525" s="47" t="s">
        <v>6537</v>
      </c>
      <c r="O4525" s="47"/>
      <c r="P4525" s="47"/>
      <c r="Q4525" s="47">
        <f t="shared" si="1009"/>
        <v>0</v>
      </c>
      <c r="R4525" s="47"/>
      <c r="S4525" s="47"/>
      <c r="T4525" s="47" t="s">
        <v>337</v>
      </c>
      <c r="U4525" s="47"/>
      <c r="V4525" s="47"/>
      <c r="W4525" s="47"/>
      <c r="X4525" s="47"/>
      <c r="Y4525" s="47"/>
      <c r="Z4525" s="47">
        <f t="shared" si="1006"/>
        <v>4620</v>
      </c>
      <c r="AA4525" s="47">
        <f t="shared" si="1010"/>
        <v>1400</v>
      </c>
      <c r="AB4525" s="47"/>
      <c r="AC4525" s="47"/>
      <c r="AD4525" s="47"/>
      <c r="AE4525" s="47"/>
      <c r="AF4525" s="47">
        <f t="shared" si="1011"/>
        <v>1485</v>
      </c>
      <c r="AG4525" s="47"/>
      <c r="AH4525" s="47">
        <f>IFERROR(_xlfn.XLOOKUP(Table6[[#This Row],[Suburb]],Table5[Travel Surcharge],Table5[$$]),"")</f>
        <v>1500</v>
      </c>
      <c r="AI4525" s="47">
        <f t="shared" si="1012"/>
        <v>1650.0000000000002</v>
      </c>
      <c r="AJ4525" s="47"/>
    </row>
    <row r="4526" spans="1:36">
      <c r="A4526" s="374" t="s">
        <v>6532</v>
      </c>
      <c r="B4526" s="374">
        <v>97</v>
      </c>
      <c r="C4526" s="374" t="s">
        <v>281</v>
      </c>
      <c r="D4526" s="375" t="str">
        <f t="shared" si="1005"/>
        <v>Warralily Estate97</v>
      </c>
      <c r="E4526" s="375" t="s">
        <v>6585</v>
      </c>
      <c r="F4526" s="375" t="s">
        <v>1440</v>
      </c>
      <c r="G4526" s="375" t="s">
        <v>6535</v>
      </c>
      <c r="H4526" s="375" t="s">
        <v>6536</v>
      </c>
      <c r="I4526" s="63"/>
      <c r="J4526" s="47">
        <f t="shared" si="1007"/>
        <v>3740</v>
      </c>
      <c r="K4526" s="46" t="s">
        <v>10735</v>
      </c>
      <c r="L4526" s="47"/>
      <c r="M4526" s="47">
        <f t="shared" si="1008"/>
        <v>1430.0000000000002</v>
      </c>
      <c r="N4526" s="47" t="s">
        <v>6537</v>
      </c>
      <c r="O4526" s="47"/>
      <c r="P4526" s="47"/>
      <c r="Q4526" s="47">
        <f t="shared" si="1009"/>
        <v>0</v>
      </c>
      <c r="R4526" s="47"/>
      <c r="S4526" s="47"/>
      <c r="T4526" s="47" t="s">
        <v>337</v>
      </c>
      <c r="U4526" s="47"/>
      <c r="V4526" s="47"/>
      <c r="W4526" s="47"/>
      <c r="X4526" s="47"/>
      <c r="Y4526" s="47"/>
      <c r="Z4526" s="47">
        <f t="shared" si="1006"/>
        <v>4620</v>
      </c>
      <c r="AA4526" s="47">
        <f t="shared" si="1010"/>
        <v>1400</v>
      </c>
      <c r="AB4526" s="47"/>
      <c r="AC4526" s="47"/>
      <c r="AD4526" s="47"/>
      <c r="AE4526" s="47"/>
      <c r="AF4526" s="47">
        <f t="shared" si="1011"/>
        <v>1485</v>
      </c>
      <c r="AG4526" s="47"/>
      <c r="AH4526" s="47">
        <f>IFERROR(_xlfn.XLOOKUP(Table6[[#This Row],[Suburb]],Table5[Travel Surcharge],Table5[$$]),"")</f>
        <v>1500</v>
      </c>
      <c r="AI4526" s="47">
        <f t="shared" si="1012"/>
        <v>1650.0000000000002</v>
      </c>
      <c r="AJ4526" s="47"/>
    </row>
    <row r="4527" spans="1:36">
      <c r="A4527" s="374" t="s">
        <v>6532</v>
      </c>
      <c r="B4527" s="374">
        <v>98</v>
      </c>
      <c r="C4527" s="374" t="s">
        <v>281</v>
      </c>
      <c r="D4527" s="375" t="str">
        <f t="shared" si="1005"/>
        <v>Warralily Estate98</v>
      </c>
      <c r="E4527" s="375" t="s">
        <v>6586</v>
      </c>
      <c r="F4527" s="375" t="s">
        <v>1440</v>
      </c>
      <c r="G4527" s="375" t="s">
        <v>6535</v>
      </c>
      <c r="H4527" s="375" t="s">
        <v>6536</v>
      </c>
      <c r="I4527" s="63"/>
      <c r="J4527" s="47">
        <f t="shared" si="1007"/>
        <v>3740</v>
      </c>
      <c r="K4527" s="46" t="s">
        <v>10735</v>
      </c>
      <c r="L4527" s="47"/>
      <c r="M4527" s="47">
        <f t="shared" si="1008"/>
        <v>1430.0000000000002</v>
      </c>
      <c r="N4527" s="47" t="s">
        <v>6537</v>
      </c>
      <c r="O4527" s="47"/>
      <c r="P4527" s="47"/>
      <c r="Q4527" s="47">
        <f t="shared" si="1009"/>
        <v>0</v>
      </c>
      <c r="R4527" s="47"/>
      <c r="S4527" s="47"/>
      <c r="T4527" s="47" t="s">
        <v>337</v>
      </c>
      <c r="U4527" s="47"/>
      <c r="V4527" s="47"/>
      <c r="W4527" s="47"/>
      <c r="X4527" s="47"/>
      <c r="Y4527" s="47"/>
      <c r="Z4527" s="47">
        <f t="shared" si="1006"/>
        <v>4620</v>
      </c>
      <c r="AA4527" s="47">
        <f t="shared" si="1010"/>
        <v>1400</v>
      </c>
      <c r="AB4527" s="47"/>
      <c r="AC4527" s="47"/>
      <c r="AD4527" s="47"/>
      <c r="AE4527" s="47"/>
      <c r="AF4527" s="47">
        <f t="shared" si="1011"/>
        <v>1485</v>
      </c>
      <c r="AG4527" s="47"/>
      <c r="AH4527" s="47">
        <f>IFERROR(_xlfn.XLOOKUP(Table6[[#This Row],[Suburb]],Table5[Travel Surcharge],Table5[$$]),"")</f>
        <v>1500</v>
      </c>
      <c r="AI4527" s="47">
        <f t="shared" si="1012"/>
        <v>1650.0000000000002</v>
      </c>
      <c r="AJ4527" s="47"/>
    </row>
    <row r="4528" spans="1:36">
      <c r="A4528" s="374" t="s">
        <v>6532</v>
      </c>
      <c r="B4528" s="374">
        <v>101</v>
      </c>
      <c r="C4528" s="374" t="s">
        <v>281</v>
      </c>
      <c r="D4528" s="375" t="str">
        <f t="shared" si="1005"/>
        <v>Warralily Estate101</v>
      </c>
      <c r="E4528" s="375" t="s">
        <v>6587</v>
      </c>
      <c r="F4528" s="375" t="s">
        <v>1440</v>
      </c>
      <c r="G4528" s="375" t="s">
        <v>6535</v>
      </c>
      <c r="H4528" s="375" t="s">
        <v>6536</v>
      </c>
      <c r="I4528" s="63"/>
      <c r="J4528" s="47">
        <f t="shared" si="1007"/>
        <v>3740</v>
      </c>
      <c r="K4528" s="46" t="s">
        <v>10735</v>
      </c>
      <c r="L4528" s="47"/>
      <c r="M4528" s="47">
        <f t="shared" si="1008"/>
        <v>1430.0000000000002</v>
      </c>
      <c r="N4528" s="47" t="s">
        <v>6537</v>
      </c>
      <c r="O4528" s="47"/>
      <c r="P4528" s="47"/>
      <c r="Q4528" s="47">
        <f t="shared" si="1009"/>
        <v>0</v>
      </c>
      <c r="R4528" s="47"/>
      <c r="S4528" s="47"/>
      <c r="T4528" s="47" t="s">
        <v>337</v>
      </c>
      <c r="U4528" s="47"/>
      <c r="V4528" s="47"/>
      <c r="W4528" s="47"/>
      <c r="X4528" s="47"/>
      <c r="Y4528" s="47"/>
      <c r="Z4528" s="47">
        <f t="shared" si="1006"/>
        <v>4620</v>
      </c>
      <c r="AA4528" s="47">
        <f t="shared" si="1010"/>
        <v>1400</v>
      </c>
      <c r="AB4528" s="47"/>
      <c r="AC4528" s="47"/>
      <c r="AD4528" s="47"/>
      <c r="AE4528" s="47"/>
      <c r="AF4528" s="47">
        <f t="shared" si="1011"/>
        <v>1485</v>
      </c>
      <c r="AG4528" s="47"/>
      <c r="AH4528" s="47">
        <f>IFERROR(_xlfn.XLOOKUP(Table6[[#This Row],[Suburb]],Table5[Travel Surcharge],Table5[$$]),"")</f>
        <v>1500</v>
      </c>
      <c r="AI4528" s="47">
        <f t="shared" si="1012"/>
        <v>1650.0000000000002</v>
      </c>
      <c r="AJ4528" s="47"/>
    </row>
    <row r="4529" spans="1:36">
      <c r="A4529" s="374" t="s">
        <v>6532</v>
      </c>
      <c r="B4529" s="374">
        <v>102</v>
      </c>
      <c r="C4529" s="374" t="s">
        <v>281</v>
      </c>
      <c r="D4529" s="375" t="str">
        <f t="shared" si="1005"/>
        <v>Warralily Estate102</v>
      </c>
      <c r="E4529" s="375" t="s">
        <v>6588</v>
      </c>
      <c r="F4529" s="375" t="s">
        <v>1440</v>
      </c>
      <c r="G4529" s="375" t="s">
        <v>6535</v>
      </c>
      <c r="H4529" s="375" t="s">
        <v>6536</v>
      </c>
      <c r="I4529" s="63"/>
      <c r="J4529" s="47">
        <f t="shared" si="1007"/>
        <v>3740</v>
      </c>
      <c r="K4529" s="46" t="s">
        <v>10735</v>
      </c>
      <c r="L4529" s="47"/>
      <c r="M4529" s="47">
        <f t="shared" si="1008"/>
        <v>1430.0000000000002</v>
      </c>
      <c r="N4529" s="47" t="s">
        <v>6537</v>
      </c>
      <c r="O4529" s="47"/>
      <c r="P4529" s="47"/>
      <c r="Q4529" s="47">
        <f t="shared" si="1009"/>
        <v>0</v>
      </c>
      <c r="R4529" s="47"/>
      <c r="S4529" s="47"/>
      <c r="T4529" s="47" t="s">
        <v>337</v>
      </c>
      <c r="U4529" s="47"/>
      <c r="V4529" s="47"/>
      <c r="W4529" s="47"/>
      <c r="X4529" s="47"/>
      <c r="Y4529" s="47"/>
      <c r="Z4529" s="47">
        <f t="shared" si="1006"/>
        <v>4620</v>
      </c>
      <c r="AA4529" s="47">
        <f t="shared" si="1010"/>
        <v>1400</v>
      </c>
      <c r="AB4529" s="47"/>
      <c r="AC4529" s="47"/>
      <c r="AD4529" s="47"/>
      <c r="AE4529" s="47"/>
      <c r="AF4529" s="47">
        <f t="shared" si="1011"/>
        <v>1485</v>
      </c>
      <c r="AG4529" s="47"/>
      <c r="AH4529" s="47">
        <f>IFERROR(_xlfn.XLOOKUP(Table6[[#This Row],[Suburb]],Table5[Travel Surcharge],Table5[$$]),"")</f>
        <v>1500</v>
      </c>
      <c r="AI4529" s="47">
        <f t="shared" si="1012"/>
        <v>1650.0000000000002</v>
      </c>
      <c r="AJ4529" s="47"/>
    </row>
    <row r="4530" spans="1:36">
      <c r="A4530" s="374" t="s">
        <v>6532</v>
      </c>
      <c r="B4530" s="374">
        <v>103</v>
      </c>
      <c r="C4530" s="374" t="s">
        <v>281</v>
      </c>
      <c r="D4530" s="375" t="str">
        <f t="shared" si="1005"/>
        <v>Warralily Estate103</v>
      </c>
      <c r="E4530" s="375" t="s">
        <v>6589</v>
      </c>
      <c r="F4530" s="375" t="s">
        <v>1440</v>
      </c>
      <c r="G4530" s="375" t="s">
        <v>6535</v>
      </c>
      <c r="H4530" s="375" t="s">
        <v>6536</v>
      </c>
      <c r="I4530" s="63"/>
      <c r="J4530" s="47">
        <f t="shared" si="1007"/>
        <v>3740</v>
      </c>
      <c r="K4530" s="46" t="s">
        <v>10735</v>
      </c>
      <c r="L4530" s="47"/>
      <c r="M4530" s="47">
        <f t="shared" si="1008"/>
        <v>1430.0000000000002</v>
      </c>
      <c r="N4530" s="47" t="s">
        <v>6537</v>
      </c>
      <c r="O4530" s="47"/>
      <c r="P4530" s="47"/>
      <c r="Q4530" s="47">
        <f t="shared" si="1009"/>
        <v>0</v>
      </c>
      <c r="R4530" s="47"/>
      <c r="S4530" s="47"/>
      <c r="T4530" s="47" t="s">
        <v>337</v>
      </c>
      <c r="U4530" s="47"/>
      <c r="V4530" s="47"/>
      <c r="W4530" s="47"/>
      <c r="X4530" s="47"/>
      <c r="Y4530" s="47"/>
      <c r="Z4530" s="47">
        <f t="shared" si="1006"/>
        <v>4620</v>
      </c>
      <c r="AA4530" s="47">
        <f t="shared" si="1010"/>
        <v>1400</v>
      </c>
      <c r="AB4530" s="47"/>
      <c r="AC4530" s="47"/>
      <c r="AD4530" s="47"/>
      <c r="AE4530" s="47"/>
      <c r="AF4530" s="47">
        <f t="shared" si="1011"/>
        <v>1485</v>
      </c>
      <c r="AG4530" s="47"/>
      <c r="AH4530" s="47">
        <f>IFERROR(_xlfn.XLOOKUP(Table6[[#This Row],[Suburb]],Table5[Travel Surcharge],Table5[$$]),"")</f>
        <v>1500</v>
      </c>
      <c r="AI4530" s="47">
        <f t="shared" si="1012"/>
        <v>1650.0000000000002</v>
      </c>
      <c r="AJ4530" s="47"/>
    </row>
    <row r="4531" spans="1:36">
      <c r="A4531" s="374" t="s">
        <v>6532</v>
      </c>
      <c r="B4531" s="374">
        <v>106</v>
      </c>
      <c r="C4531" s="374" t="s">
        <v>281</v>
      </c>
      <c r="D4531" s="375" t="str">
        <f t="shared" si="1005"/>
        <v>Warralily Estate106</v>
      </c>
      <c r="E4531" s="375" t="s">
        <v>6591</v>
      </c>
      <c r="F4531" s="375" t="s">
        <v>1440</v>
      </c>
      <c r="G4531" s="375" t="s">
        <v>6535</v>
      </c>
      <c r="H4531" s="375" t="s">
        <v>6536</v>
      </c>
      <c r="I4531" s="63"/>
      <c r="J4531" s="47">
        <f t="shared" si="1007"/>
        <v>3740</v>
      </c>
      <c r="K4531" s="46" t="s">
        <v>10735</v>
      </c>
      <c r="L4531" s="47"/>
      <c r="M4531" s="47">
        <f t="shared" si="1008"/>
        <v>1430.0000000000002</v>
      </c>
      <c r="N4531" s="47" t="s">
        <v>6537</v>
      </c>
      <c r="O4531" s="47"/>
      <c r="P4531" s="47"/>
      <c r="Q4531" s="47">
        <f t="shared" si="1009"/>
        <v>0</v>
      </c>
      <c r="R4531" s="47"/>
      <c r="S4531" s="47"/>
      <c r="T4531" s="47" t="s">
        <v>337</v>
      </c>
      <c r="U4531" s="47"/>
      <c r="V4531" s="47"/>
      <c r="W4531" s="47"/>
      <c r="X4531" s="47"/>
      <c r="Y4531" s="47"/>
      <c r="Z4531" s="47">
        <f t="shared" si="1006"/>
        <v>4620</v>
      </c>
      <c r="AA4531" s="47">
        <f t="shared" si="1010"/>
        <v>1400</v>
      </c>
      <c r="AB4531" s="47"/>
      <c r="AC4531" s="47"/>
      <c r="AD4531" s="47"/>
      <c r="AE4531" s="47"/>
      <c r="AF4531" s="47">
        <f t="shared" si="1011"/>
        <v>1485</v>
      </c>
      <c r="AG4531" s="47"/>
      <c r="AH4531" s="47">
        <f>IFERROR(_xlfn.XLOOKUP(Table6[[#This Row],[Suburb]],Table5[Travel Surcharge],Table5[$$]),"")</f>
        <v>1500</v>
      </c>
      <c r="AI4531" s="47">
        <f t="shared" si="1012"/>
        <v>1650.0000000000002</v>
      </c>
      <c r="AJ4531" s="47"/>
    </row>
    <row r="4532" spans="1:36">
      <c r="A4532" s="374" t="s">
        <v>6532</v>
      </c>
      <c r="B4532" s="374">
        <v>108</v>
      </c>
      <c r="C4532" s="374" t="s">
        <v>281</v>
      </c>
      <c r="D4532" s="375" t="str">
        <f t="shared" si="1005"/>
        <v>Warralily Estate108</v>
      </c>
      <c r="E4532" s="375" t="s">
        <v>6592</v>
      </c>
      <c r="F4532" s="375" t="s">
        <v>1440</v>
      </c>
      <c r="G4532" s="375" t="s">
        <v>6535</v>
      </c>
      <c r="H4532" s="375" t="s">
        <v>6536</v>
      </c>
      <c r="I4532" s="63"/>
      <c r="J4532" s="47">
        <f t="shared" si="1007"/>
        <v>3740</v>
      </c>
      <c r="K4532" s="46" t="s">
        <v>10735</v>
      </c>
      <c r="L4532" s="47"/>
      <c r="M4532" s="47">
        <f t="shared" si="1008"/>
        <v>1430.0000000000002</v>
      </c>
      <c r="N4532" s="47" t="s">
        <v>6537</v>
      </c>
      <c r="O4532" s="47"/>
      <c r="P4532" s="47"/>
      <c r="Q4532" s="47">
        <f t="shared" si="1009"/>
        <v>0</v>
      </c>
      <c r="R4532" s="47"/>
      <c r="S4532" s="47"/>
      <c r="T4532" s="47" t="s">
        <v>337</v>
      </c>
      <c r="U4532" s="47"/>
      <c r="V4532" s="47"/>
      <c r="W4532" s="47"/>
      <c r="X4532" s="47"/>
      <c r="Y4532" s="47"/>
      <c r="Z4532" s="47">
        <f t="shared" si="1006"/>
        <v>4620</v>
      </c>
      <c r="AA4532" s="47">
        <f t="shared" si="1010"/>
        <v>1400</v>
      </c>
      <c r="AB4532" s="47"/>
      <c r="AC4532" s="47"/>
      <c r="AD4532" s="47"/>
      <c r="AE4532" s="47"/>
      <c r="AF4532" s="47">
        <f t="shared" si="1011"/>
        <v>1485</v>
      </c>
      <c r="AG4532" s="47"/>
      <c r="AH4532" s="47">
        <f>IFERROR(_xlfn.XLOOKUP(Table6[[#This Row],[Suburb]],Table5[Travel Surcharge],Table5[$$]),"")</f>
        <v>1500</v>
      </c>
      <c r="AI4532" s="47">
        <f t="shared" si="1012"/>
        <v>1650.0000000000002</v>
      </c>
      <c r="AJ4532" s="47"/>
    </row>
    <row r="4533" spans="1:36">
      <c r="A4533" s="374" t="s">
        <v>6532</v>
      </c>
      <c r="B4533" s="374">
        <v>110</v>
      </c>
      <c r="C4533" s="374" t="s">
        <v>281</v>
      </c>
      <c r="D4533" s="375" t="str">
        <f t="shared" si="1005"/>
        <v>Warralily Estate110</v>
      </c>
      <c r="E4533" s="375" t="s">
        <v>6593</v>
      </c>
      <c r="F4533" s="375" t="s">
        <v>1440</v>
      </c>
      <c r="G4533" s="375" t="s">
        <v>6535</v>
      </c>
      <c r="H4533" s="375" t="s">
        <v>6536</v>
      </c>
      <c r="I4533" s="63"/>
      <c r="J4533" s="47">
        <f t="shared" si="1007"/>
        <v>3740</v>
      </c>
      <c r="K4533" s="46" t="s">
        <v>10735</v>
      </c>
      <c r="L4533" s="47"/>
      <c r="M4533" s="47">
        <f t="shared" si="1008"/>
        <v>1430.0000000000002</v>
      </c>
      <c r="N4533" s="47" t="s">
        <v>6537</v>
      </c>
      <c r="O4533" s="47"/>
      <c r="P4533" s="47"/>
      <c r="Q4533" s="47">
        <f t="shared" si="1009"/>
        <v>0</v>
      </c>
      <c r="R4533" s="47"/>
      <c r="S4533" s="47"/>
      <c r="T4533" s="47" t="s">
        <v>337</v>
      </c>
      <c r="U4533" s="47"/>
      <c r="V4533" s="47"/>
      <c r="W4533" s="47"/>
      <c r="X4533" s="47"/>
      <c r="Y4533" s="47"/>
      <c r="Z4533" s="47">
        <f t="shared" si="1006"/>
        <v>4620</v>
      </c>
      <c r="AA4533" s="47">
        <f t="shared" si="1010"/>
        <v>1400</v>
      </c>
      <c r="AB4533" s="47"/>
      <c r="AC4533" s="47"/>
      <c r="AD4533" s="47"/>
      <c r="AE4533" s="47"/>
      <c r="AF4533" s="47">
        <f t="shared" si="1011"/>
        <v>1485</v>
      </c>
      <c r="AG4533" s="47"/>
      <c r="AH4533" s="47">
        <f>IFERROR(_xlfn.XLOOKUP(Table6[[#This Row],[Suburb]],Table5[Travel Surcharge],Table5[$$]),"")</f>
        <v>1500</v>
      </c>
      <c r="AI4533" s="47">
        <f t="shared" si="1012"/>
        <v>1650.0000000000002</v>
      </c>
      <c r="AJ4533" s="47"/>
    </row>
    <row r="4534" spans="1:36">
      <c r="A4534" s="374" t="s">
        <v>6532</v>
      </c>
      <c r="B4534" s="374">
        <v>111</v>
      </c>
      <c r="C4534" s="374" t="s">
        <v>281</v>
      </c>
      <c r="D4534" s="375" t="str">
        <f t="shared" si="1005"/>
        <v>Warralily Estate111</v>
      </c>
      <c r="E4534" s="375" t="s">
        <v>6594</v>
      </c>
      <c r="F4534" s="375" t="s">
        <v>1440</v>
      </c>
      <c r="G4534" s="375" t="s">
        <v>6535</v>
      </c>
      <c r="H4534" s="375" t="s">
        <v>6536</v>
      </c>
      <c r="I4534" s="63"/>
      <c r="J4534" s="47">
        <f t="shared" si="1007"/>
        <v>3740</v>
      </c>
      <c r="K4534" s="46" t="s">
        <v>10735</v>
      </c>
      <c r="L4534" s="47"/>
      <c r="M4534" s="47">
        <f t="shared" si="1008"/>
        <v>1430.0000000000002</v>
      </c>
      <c r="N4534" s="47" t="s">
        <v>6537</v>
      </c>
      <c r="O4534" s="47"/>
      <c r="P4534" s="47"/>
      <c r="Q4534" s="47">
        <f t="shared" si="1009"/>
        <v>0</v>
      </c>
      <c r="R4534" s="47"/>
      <c r="S4534" s="47"/>
      <c r="T4534" s="47" t="s">
        <v>337</v>
      </c>
      <c r="U4534" s="47"/>
      <c r="V4534" s="47"/>
      <c r="W4534" s="47"/>
      <c r="X4534" s="47"/>
      <c r="Y4534" s="47"/>
      <c r="Z4534" s="47">
        <f t="shared" si="1006"/>
        <v>4620</v>
      </c>
      <c r="AA4534" s="47">
        <f t="shared" si="1010"/>
        <v>1400</v>
      </c>
      <c r="AB4534" s="47"/>
      <c r="AC4534" s="47"/>
      <c r="AD4534" s="47"/>
      <c r="AE4534" s="47"/>
      <c r="AF4534" s="47">
        <f t="shared" si="1011"/>
        <v>1485</v>
      </c>
      <c r="AG4534" s="47"/>
      <c r="AH4534" s="47">
        <f>IFERROR(_xlfn.XLOOKUP(Table6[[#This Row],[Suburb]],Table5[Travel Surcharge],Table5[$$]),"")</f>
        <v>1500</v>
      </c>
      <c r="AI4534" s="47">
        <f t="shared" si="1012"/>
        <v>1650.0000000000002</v>
      </c>
      <c r="AJ4534" s="47"/>
    </row>
    <row r="4535" spans="1:36">
      <c r="A4535" s="374" t="s">
        <v>6532</v>
      </c>
      <c r="B4535" s="374">
        <v>113</v>
      </c>
      <c r="C4535" s="374" t="s">
        <v>281</v>
      </c>
      <c r="D4535" s="375" t="str">
        <f t="shared" si="1005"/>
        <v>Warralily Estate113</v>
      </c>
      <c r="E4535" s="375" t="s">
        <v>6595</v>
      </c>
      <c r="F4535" s="375" t="s">
        <v>1440</v>
      </c>
      <c r="G4535" s="375" t="s">
        <v>6535</v>
      </c>
      <c r="H4535" s="375" t="s">
        <v>6536</v>
      </c>
      <c r="I4535" s="63"/>
      <c r="J4535" s="47">
        <f t="shared" si="1007"/>
        <v>3740</v>
      </c>
      <c r="K4535" s="46" t="s">
        <v>10735</v>
      </c>
      <c r="L4535" s="47"/>
      <c r="M4535" s="47">
        <f t="shared" si="1008"/>
        <v>1430.0000000000002</v>
      </c>
      <c r="N4535" s="47" t="s">
        <v>6537</v>
      </c>
      <c r="O4535" s="47"/>
      <c r="P4535" s="47"/>
      <c r="Q4535" s="47">
        <f t="shared" si="1009"/>
        <v>0</v>
      </c>
      <c r="R4535" s="47"/>
      <c r="S4535" s="47"/>
      <c r="T4535" s="47" t="s">
        <v>337</v>
      </c>
      <c r="U4535" s="47"/>
      <c r="V4535" s="47"/>
      <c r="W4535" s="47"/>
      <c r="X4535" s="47"/>
      <c r="Y4535" s="47"/>
      <c r="Z4535" s="47">
        <f t="shared" si="1006"/>
        <v>4620</v>
      </c>
      <c r="AA4535" s="47">
        <f t="shared" si="1010"/>
        <v>1400</v>
      </c>
      <c r="AB4535" s="47"/>
      <c r="AC4535" s="47"/>
      <c r="AD4535" s="47"/>
      <c r="AE4535" s="47"/>
      <c r="AF4535" s="47">
        <f t="shared" si="1011"/>
        <v>1485</v>
      </c>
      <c r="AG4535" s="47"/>
      <c r="AH4535" s="47">
        <f>IFERROR(_xlfn.XLOOKUP(Table6[[#This Row],[Suburb]],Table5[Travel Surcharge],Table5[$$]),"")</f>
        <v>1500</v>
      </c>
      <c r="AI4535" s="47">
        <f t="shared" si="1012"/>
        <v>1650.0000000000002</v>
      </c>
      <c r="AJ4535" s="47"/>
    </row>
    <row r="4536" spans="1:36">
      <c r="A4536" s="374" t="s">
        <v>6532</v>
      </c>
      <c r="B4536" s="374">
        <v>114</v>
      </c>
      <c r="C4536" s="374" t="s">
        <v>281</v>
      </c>
      <c r="D4536" s="375" t="str">
        <f t="shared" si="1005"/>
        <v>Warralily Estate114</v>
      </c>
      <c r="E4536" s="375" t="s">
        <v>6596</v>
      </c>
      <c r="F4536" s="375" t="s">
        <v>1440</v>
      </c>
      <c r="G4536" s="375" t="s">
        <v>6535</v>
      </c>
      <c r="H4536" s="375" t="s">
        <v>6536</v>
      </c>
      <c r="I4536" s="63"/>
      <c r="J4536" s="47">
        <f t="shared" si="1007"/>
        <v>3740</v>
      </c>
      <c r="K4536" s="46" t="s">
        <v>10735</v>
      </c>
      <c r="L4536" s="47"/>
      <c r="M4536" s="47">
        <f t="shared" si="1008"/>
        <v>1430.0000000000002</v>
      </c>
      <c r="N4536" s="47" t="s">
        <v>6537</v>
      </c>
      <c r="O4536" s="47"/>
      <c r="P4536" s="47"/>
      <c r="Q4536" s="47">
        <f t="shared" si="1009"/>
        <v>0</v>
      </c>
      <c r="R4536" s="47"/>
      <c r="S4536" s="47"/>
      <c r="T4536" s="47" t="s">
        <v>337</v>
      </c>
      <c r="U4536" s="47"/>
      <c r="V4536" s="47"/>
      <c r="W4536" s="47"/>
      <c r="X4536" s="47"/>
      <c r="Y4536" s="47"/>
      <c r="Z4536" s="47">
        <f t="shared" si="1006"/>
        <v>4620</v>
      </c>
      <c r="AA4536" s="47">
        <f t="shared" si="1010"/>
        <v>1400</v>
      </c>
      <c r="AB4536" s="47"/>
      <c r="AC4536" s="47"/>
      <c r="AD4536" s="47"/>
      <c r="AE4536" s="47"/>
      <c r="AF4536" s="47">
        <f t="shared" si="1011"/>
        <v>1485</v>
      </c>
      <c r="AG4536" s="47"/>
      <c r="AH4536" s="47">
        <f>IFERROR(_xlfn.XLOOKUP(Table6[[#This Row],[Suburb]],Table5[Travel Surcharge],Table5[$$]),"")</f>
        <v>1500</v>
      </c>
      <c r="AI4536" s="47">
        <f t="shared" si="1012"/>
        <v>1650.0000000000002</v>
      </c>
      <c r="AJ4536" s="47"/>
    </row>
    <row r="4537" spans="1:36">
      <c r="A4537" s="374" t="s">
        <v>6532</v>
      </c>
      <c r="B4537" s="374">
        <v>115</v>
      </c>
      <c r="C4537" s="374" t="s">
        <v>281</v>
      </c>
      <c r="D4537" s="375" t="str">
        <f t="shared" si="1005"/>
        <v>Warralily Estate115</v>
      </c>
      <c r="E4537" s="375" t="s">
        <v>9543</v>
      </c>
      <c r="F4537" s="375" t="s">
        <v>1440</v>
      </c>
      <c r="G4537" s="375" t="s">
        <v>6535</v>
      </c>
      <c r="H4537" s="375" t="s">
        <v>6536</v>
      </c>
      <c r="I4537" s="63"/>
      <c r="J4537" s="47">
        <f t="shared" si="1007"/>
        <v>3740</v>
      </c>
      <c r="K4537" s="46" t="s">
        <v>10735</v>
      </c>
      <c r="L4537" s="47"/>
      <c r="M4537" s="47">
        <f t="shared" si="1008"/>
        <v>1430.0000000000002</v>
      </c>
      <c r="N4537" s="47" t="s">
        <v>6537</v>
      </c>
      <c r="O4537" s="47"/>
      <c r="P4537" s="47"/>
      <c r="Q4537" s="47">
        <f t="shared" si="1009"/>
        <v>0</v>
      </c>
      <c r="R4537" s="47"/>
      <c r="S4537" s="47"/>
      <c r="T4537" s="47" t="s">
        <v>337</v>
      </c>
      <c r="U4537" s="47"/>
      <c r="V4537" s="47"/>
      <c r="W4537" s="47"/>
      <c r="X4537" s="47"/>
      <c r="Y4537" s="47"/>
      <c r="Z4537" s="47">
        <f t="shared" si="1006"/>
        <v>4620</v>
      </c>
      <c r="AA4537" s="47">
        <f t="shared" si="1010"/>
        <v>1400</v>
      </c>
      <c r="AB4537" s="47"/>
      <c r="AC4537" s="47"/>
      <c r="AD4537" s="47"/>
      <c r="AE4537" s="47"/>
      <c r="AF4537" s="47">
        <f t="shared" si="1011"/>
        <v>1485</v>
      </c>
      <c r="AG4537" s="47"/>
      <c r="AH4537" s="47">
        <f>IFERROR(_xlfn.XLOOKUP(Table6[[#This Row],[Suburb]],Table5[Travel Surcharge],Table5[$$]),"")</f>
        <v>1500</v>
      </c>
      <c r="AI4537" s="47">
        <f t="shared" si="1012"/>
        <v>1650.0000000000002</v>
      </c>
      <c r="AJ4537" s="47"/>
    </row>
    <row r="4538" spans="1:36">
      <c r="A4538" s="374" t="s">
        <v>6532</v>
      </c>
      <c r="B4538" s="374" t="s">
        <v>10479</v>
      </c>
      <c r="C4538" s="374" t="s">
        <v>281</v>
      </c>
      <c r="D4538" s="375" t="str">
        <f t="shared" si="1005"/>
        <v>Warralily Estate115B</v>
      </c>
      <c r="E4538" s="375" t="s">
        <v>10480</v>
      </c>
      <c r="F4538" s="375" t="s">
        <v>1440</v>
      </c>
      <c r="G4538" s="375" t="s">
        <v>6535</v>
      </c>
      <c r="H4538" s="375" t="s">
        <v>6536</v>
      </c>
      <c r="I4538" s="63"/>
      <c r="J4538" s="47">
        <v>3740</v>
      </c>
      <c r="K4538" s="46" t="s">
        <v>10735</v>
      </c>
      <c r="L4538" s="47"/>
      <c r="M4538" s="47">
        <v>1430.0000000000002</v>
      </c>
      <c r="N4538" s="47" t="s">
        <v>6537</v>
      </c>
      <c r="O4538" s="47"/>
      <c r="P4538" s="47"/>
      <c r="Q4538" s="47">
        <v>0</v>
      </c>
      <c r="R4538" s="47"/>
      <c r="S4538" s="47"/>
      <c r="T4538" s="47" t="s">
        <v>337</v>
      </c>
      <c r="U4538" s="47"/>
      <c r="V4538" s="47"/>
      <c r="W4538" s="47"/>
      <c r="X4538" s="47"/>
      <c r="Y4538" s="47"/>
      <c r="Z4538" s="47">
        <v>4620</v>
      </c>
      <c r="AA4538" s="47">
        <v>1400</v>
      </c>
      <c r="AB4538" s="47"/>
      <c r="AC4538" s="47"/>
      <c r="AD4538" s="47"/>
      <c r="AE4538" s="47"/>
      <c r="AF4538" s="47">
        <v>1485</v>
      </c>
      <c r="AG4538" s="47"/>
      <c r="AH4538" s="47">
        <v>1500</v>
      </c>
      <c r="AI4538" s="47">
        <v>1650.0000000000002</v>
      </c>
      <c r="AJ4538" s="47"/>
    </row>
    <row r="4539" spans="1:36">
      <c r="A4539" s="374" t="s">
        <v>6532</v>
      </c>
      <c r="B4539" s="374">
        <v>116</v>
      </c>
      <c r="C4539" s="374" t="s">
        <v>281</v>
      </c>
      <c r="D4539" s="375" t="s">
        <v>6597</v>
      </c>
      <c r="E4539" s="375" t="s">
        <v>6598</v>
      </c>
      <c r="F4539" s="375" t="s">
        <v>1440</v>
      </c>
      <c r="G4539" s="375" t="s">
        <v>6535</v>
      </c>
      <c r="H4539" s="375" t="s">
        <v>6536</v>
      </c>
      <c r="I4539" s="63"/>
      <c r="J4539" s="47">
        <f t="shared" si="1007"/>
        <v>3740</v>
      </c>
      <c r="K4539" s="46" t="s">
        <v>10735</v>
      </c>
      <c r="L4539" s="47"/>
      <c r="M4539" s="47">
        <f t="shared" si="1008"/>
        <v>1430.0000000000002</v>
      </c>
      <c r="N4539" s="47" t="s">
        <v>6537</v>
      </c>
      <c r="O4539" s="47"/>
      <c r="P4539" s="47"/>
      <c r="Q4539" s="47">
        <f t="shared" si="1009"/>
        <v>0</v>
      </c>
      <c r="R4539" s="47"/>
      <c r="S4539" s="47"/>
      <c r="T4539" s="47" t="s">
        <v>337</v>
      </c>
      <c r="U4539" s="47"/>
      <c r="V4539" s="47"/>
      <c r="W4539" s="47"/>
      <c r="X4539" s="47"/>
      <c r="Y4539" s="47"/>
      <c r="Z4539" s="47">
        <f t="shared" si="1006"/>
        <v>4620</v>
      </c>
      <c r="AA4539" s="47">
        <f t="shared" si="1010"/>
        <v>1400</v>
      </c>
      <c r="AB4539" s="47"/>
      <c r="AC4539" s="47"/>
      <c r="AD4539" s="47"/>
      <c r="AE4539" s="47"/>
      <c r="AF4539" s="47">
        <f t="shared" si="1011"/>
        <v>1485</v>
      </c>
      <c r="AG4539" s="47"/>
      <c r="AH4539" s="47">
        <f>IFERROR(_xlfn.XLOOKUP(Table6[[#This Row],[Suburb]],Table5[Travel Surcharge],Table5[$$]),"")</f>
        <v>1500</v>
      </c>
      <c r="AI4539" s="47">
        <f t="shared" si="1012"/>
        <v>1650.0000000000002</v>
      </c>
      <c r="AJ4539" s="47"/>
    </row>
    <row r="4540" spans="1:36">
      <c r="A4540" s="374" t="s">
        <v>6532</v>
      </c>
      <c r="B4540" s="374">
        <v>117</v>
      </c>
      <c r="C4540" s="374" t="s">
        <v>281</v>
      </c>
      <c r="D4540" s="375" t="str">
        <f t="shared" ref="D4540:D4572" si="1013">CONCATENATE(A4540,B4540)</f>
        <v>Warralily Estate117</v>
      </c>
      <c r="E4540" s="375" t="s">
        <v>6599</v>
      </c>
      <c r="F4540" s="375" t="s">
        <v>1440</v>
      </c>
      <c r="G4540" s="375" t="s">
        <v>6535</v>
      </c>
      <c r="H4540" s="375" t="s">
        <v>6536</v>
      </c>
      <c r="I4540" s="63"/>
      <c r="J4540" s="47">
        <f t="shared" si="1007"/>
        <v>3740</v>
      </c>
      <c r="K4540" s="46" t="s">
        <v>10735</v>
      </c>
      <c r="L4540" s="47"/>
      <c r="M4540" s="47">
        <f t="shared" si="1008"/>
        <v>1430.0000000000002</v>
      </c>
      <c r="N4540" s="47" t="s">
        <v>6537</v>
      </c>
      <c r="O4540" s="47"/>
      <c r="P4540" s="47"/>
      <c r="Q4540" s="47">
        <f t="shared" si="1009"/>
        <v>0</v>
      </c>
      <c r="R4540" s="47"/>
      <c r="S4540" s="47"/>
      <c r="T4540" s="47" t="s">
        <v>337</v>
      </c>
      <c r="U4540" s="47"/>
      <c r="V4540" s="47"/>
      <c r="W4540" s="47"/>
      <c r="X4540" s="47"/>
      <c r="Y4540" s="47"/>
      <c r="Z4540" s="47">
        <f t="shared" si="1006"/>
        <v>4620</v>
      </c>
      <c r="AA4540" s="47">
        <f t="shared" si="1010"/>
        <v>1400</v>
      </c>
      <c r="AB4540" s="47"/>
      <c r="AC4540" s="47"/>
      <c r="AD4540" s="47"/>
      <c r="AE4540" s="47"/>
      <c r="AF4540" s="47">
        <f t="shared" si="1011"/>
        <v>1485</v>
      </c>
      <c r="AG4540" s="47"/>
      <c r="AH4540" s="47">
        <f>IFERROR(_xlfn.XLOOKUP(Table6[[#This Row],[Suburb]],Table5[Travel Surcharge],Table5[$$]),"")</f>
        <v>1500</v>
      </c>
      <c r="AI4540" s="47">
        <f t="shared" si="1012"/>
        <v>1650.0000000000002</v>
      </c>
      <c r="AJ4540" s="47"/>
    </row>
    <row r="4541" spans="1:36">
      <c r="A4541" s="374" t="s">
        <v>6532</v>
      </c>
      <c r="B4541" s="374">
        <v>119</v>
      </c>
      <c r="C4541" s="374" t="s">
        <v>281</v>
      </c>
      <c r="D4541" s="375" t="str">
        <f t="shared" si="1013"/>
        <v>Warralily Estate119</v>
      </c>
      <c r="E4541" s="375" t="s">
        <v>10824</v>
      </c>
      <c r="F4541" s="375" t="s">
        <v>1440</v>
      </c>
      <c r="G4541" s="375" t="s">
        <v>6535</v>
      </c>
      <c r="H4541" s="375" t="s">
        <v>6536</v>
      </c>
      <c r="I4541" s="63"/>
      <c r="J4541" s="47">
        <v>3740</v>
      </c>
      <c r="K4541" s="46" t="s">
        <v>10735</v>
      </c>
      <c r="L4541" s="47"/>
      <c r="M4541" s="47">
        <v>1430.0000000000002</v>
      </c>
      <c r="N4541" s="47" t="s">
        <v>6537</v>
      </c>
      <c r="O4541" s="47"/>
      <c r="P4541" s="47"/>
      <c r="Q4541" s="47">
        <v>0</v>
      </c>
      <c r="R4541" s="47"/>
      <c r="S4541" s="47"/>
      <c r="T4541" s="47" t="s">
        <v>337</v>
      </c>
      <c r="U4541" s="47"/>
      <c r="V4541" s="47"/>
      <c r="W4541" s="47"/>
      <c r="X4541" s="47"/>
      <c r="Y4541" s="47"/>
      <c r="Z4541" s="47">
        <v>4620</v>
      </c>
      <c r="AA4541" s="47">
        <v>1400</v>
      </c>
      <c r="AB4541" s="47"/>
      <c r="AC4541" s="47"/>
      <c r="AD4541" s="47"/>
      <c r="AE4541" s="47"/>
      <c r="AF4541" s="47">
        <v>1485</v>
      </c>
      <c r="AG4541" s="47"/>
      <c r="AH4541" s="47">
        <v>1500</v>
      </c>
      <c r="AI4541" s="47">
        <v>1650.0000000000002</v>
      </c>
      <c r="AJ4541" s="47"/>
    </row>
    <row r="4542" spans="1:36">
      <c r="A4542" s="374" t="s">
        <v>6532</v>
      </c>
      <c r="B4542" s="374" t="s">
        <v>6533</v>
      </c>
      <c r="C4542" s="374" t="s">
        <v>281</v>
      </c>
      <c r="D4542" s="375" t="str">
        <f t="shared" si="1013"/>
        <v>Warralily Estate1 - Springs</v>
      </c>
      <c r="E4542" s="375" t="s">
        <v>6534</v>
      </c>
      <c r="F4542" s="375" t="s">
        <v>1440</v>
      </c>
      <c r="G4542" s="375" t="s">
        <v>6535</v>
      </c>
      <c r="H4542" s="375" t="s">
        <v>6536</v>
      </c>
      <c r="I4542" s="63"/>
      <c r="J4542" s="47">
        <f t="shared" si="1007"/>
        <v>3740</v>
      </c>
      <c r="K4542" s="46" t="s">
        <v>10735</v>
      </c>
      <c r="L4542" s="47"/>
      <c r="M4542" s="47">
        <f t="shared" si="1008"/>
        <v>1430.0000000000002</v>
      </c>
      <c r="N4542" s="47" t="s">
        <v>6537</v>
      </c>
      <c r="O4542" s="47"/>
      <c r="P4542" s="47"/>
      <c r="Q4542" s="47">
        <f t="shared" si="1009"/>
        <v>0</v>
      </c>
      <c r="R4542" s="47"/>
      <c r="S4542" s="47"/>
      <c r="T4542" s="47" t="s">
        <v>337</v>
      </c>
      <c r="U4542" s="47"/>
      <c r="V4542" s="47"/>
      <c r="W4542" s="47"/>
      <c r="X4542" s="47"/>
      <c r="Y4542" s="47"/>
      <c r="Z4542" s="47">
        <f t="shared" si="1006"/>
        <v>4620</v>
      </c>
      <c r="AA4542" s="47">
        <f t="shared" si="1010"/>
        <v>1400</v>
      </c>
      <c r="AB4542" s="47"/>
      <c r="AC4542" s="47"/>
      <c r="AD4542" s="47"/>
      <c r="AE4542" s="47"/>
      <c r="AF4542" s="47">
        <f t="shared" si="1011"/>
        <v>1485</v>
      </c>
      <c r="AG4542" s="47"/>
      <c r="AH4542" s="47">
        <f>IFERROR(_xlfn.XLOOKUP(Table6[[#This Row],[Suburb]],Table5[Travel Surcharge],Table5[$$]),"")</f>
        <v>1500</v>
      </c>
      <c r="AI4542" s="47">
        <f t="shared" si="1012"/>
        <v>1650.0000000000002</v>
      </c>
      <c r="AJ4542" s="47"/>
    </row>
    <row r="4543" spans="1:36">
      <c r="A4543" s="374" t="s">
        <v>6532</v>
      </c>
      <c r="B4543" s="374" t="s">
        <v>6590</v>
      </c>
      <c r="C4543" s="374" t="s">
        <v>281</v>
      </c>
      <c r="D4543" s="375" t="str">
        <f t="shared" si="1013"/>
        <v>Warralily Estate105A</v>
      </c>
      <c r="E4543" s="375" t="s">
        <v>6587</v>
      </c>
      <c r="F4543" s="375" t="s">
        <v>1440</v>
      </c>
      <c r="G4543" s="375" t="s">
        <v>6535</v>
      </c>
      <c r="H4543" s="375" t="s">
        <v>6536</v>
      </c>
      <c r="I4543" s="63"/>
      <c r="J4543" s="47">
        <f t="shared" si="1007"/>
        <v>3740</v>
      </c>
      <c r="K4543" s="46" t="s">
        <v>10735</v>
      </c>
      <c r="L4543" s="47"/>
      <c r="M4543" s="47">
        <f t="shared" si="1008"/>
        <v>1430.0000000000002</v>
      </c>
      <c r="N4543" s="47" t="s">
        <v>6537</v>
      </c>
      <c r="O4543" s="47"/>
      <c r="P4543" s="47"/>
      <c r="Q4543" s="47">
        <f t="shared" si="1009"/>
        <v>0</v>
      </c>
      <c r="R4543" s="47"/>
      <c r="S4543" s="47"/>
      <c r="T4543" s="47" t="s">
        <v>337</v>
      </c>
      <c r="U4543" s="47"/>
      <c r="V4543" s="47"/>
      <c r="W4543" s="47"/>
      <c r="X4543" s="47"/>
      <c r="Y4543" s="47"/>
      <c r="Z4543" s="47">
        <f t="shared" si="1006"/>
        <v>4620</v>
      </c>
      <c r="AA4543" s="47">
        <f t="shared" si="1010"/>
        <v>1400</v>
      </c>
      <c r="AB4543" s="47"/>
      <c r="AC4543" s="47"/>
      <c r="AD4543" s="47"/>
      <c r="AE4543" s="47"/>
      <c r="AF4543" s="47">
        <f t="shared" si="1011"/>
        <v>1485</v>
      </c>
      <c r="AG4543" s="47"/>
      <c r="AH4543" s="47">
        <f>IFERROR(_xlfn.XLOOKUP(Table6[[#This Row],[Suburb]],Table5[Travel Surcharge],Table5[$$]),"")</f>
        <v>1500</v>
      </c>
      <c r="AI4543" s="47">
        <f t="shared" si="1012"/>
        <v>1650.0000000000002</v>
      </c>
      <c r="AJ4543" s="47"/>
    </row>
    <row r="4544" spans="1:36">
      <c r="A4544" s="374" t="s">
        <v>6532</v>
      </c>
      <c r="B4544" s="374" t="s">
        <v>5891</v>
      </c>
      <c r="C4544" s="374" t="s">
        <v>281</v>
      </c>
      <c r="D4544" s="375" t="str">
        <f t="shared" si="1013"/>
        <v>Warralily Estate24A</v>
      </c>
      <c r="E4544" s="375" t="s">
        <v>6553</v>
      </c>
      <c r="F4544" s="375" t="s">
        <v>1440</v>
      </c>
      <c r="G4544" s="375" t="s">
        <v>6535</v>
      </c>
      <c r="H4544" s="375" t="s">
        <v>6536</v>
      </c>
      <c r="I4544" s="63"/>
      <c r="J4544" s="47">
        <f t="shared" si="1007"/>
        <v>3740</v>
      </c>
      <c r="K4544" s="46" t="s">
        <v>10735</v>
      </c>
      <c r="L4544" s="47"/>
      <c r="M4544" s="47">
        <f t="shared" si="1008"/>
        <v>1430.0000000000002</v>
      </c>
      <c r="N4544" s="47" t="s">
        <v>6537</v>
      </c>
      <c r="O4544" s="47"/>
      <c r="P4544" s="47"/>
      <c r="Q4544" s="47">
        <f t="shared" si="1009"/>
        <v>0</v>
      </c>
      <c r="R4544" s="47"/>
      <c r="S4544" s="47"/>
      <c r="T4544" s="47" t="s">
        <v>337</v>
      </c>
      <c r="U4544" s="47"/>
      <c r="V4544" s="47"/>
      <c r="W4544" s="47"/>
      <c r="X4544" s="47"/>
      <c r="Y4544" s="47"/>
      <c r="Z4544" s="47">
        <f t="shared" si="1006"/>
        <v>4620</v>
      </c>
      <c r="AA4544" s="47">
        <f t="shared" si="1010"/>
        <v>1400</v>
      </c>
      <c r="AB4544" s="47"/>
      <c r="AC4544" s="47"/>
      <c r="AD4544" s="47"/>
      <c r="AE4544" s="47"/>
      <c r="AF4544" s="47">
        <f t="shared" si="1011"/>
        <v>1485</v>
      </c>
      <c r="AG4544" s="47"/>
      <c r="AH4544" s="47">
        <f>IFERROR(_xlfn.XLOOKUP(Table6[[#This Row],[Suburb]],Table5[Travel Surcharge],Table5[$$]),"")</f>
        <v>1500</v>
      </c>
      <c r="AI4544" s="47">
        <f t="shared" si="1012"/>
        <v>1650.0000000000002</v>
      </c>
      <c r="AJ4544" s="47"/>
    </row>
    <row r="4545" spans="1:36">
      <c r="A4545" s="374" t="s">
        <v>6532</v>
      </c>
      <c r="B4545" s="374" t="s">
        <v>889</v>
      </c>
      <c r="C4545" s="374" t="s">
        <v>281</v>
      </c>
      <c r="D4545" s="375" t="str">
        <f t="shared" si="1013"/>
        <v>Warralily Estate27B</v>
      </c>
      <c r="E4545" s="375" t="s">
        <v>6556</v>
      </c>
      <c r="F4545" s="375" t="s">
        <v>1440</v>
      </c>
      <c r="G4545" s="375" t="s">
        <v>6535</v>
      </c>
      <c r="H4545" s="375" t="s">
        <v>6536</v>
      </c>
      <c r="I4545" s="63"/>
      <c r="J4545" s="47">
        <f t="shared" si="1007"/>
        <v>3740</v>
      </c>
      <c r="K4545" s="46" t="s">
        <v>10735</v>
      </c>
      <c r="L4545" s="47"/>
      <c r="M4545" s="47">
        <f t="shared" si="1008"/>
        <v>1430.0000000000002</v>
      </c>
      <c r="N4545" s="47" t="s">
        <v>6537</v>
      </c>
      <c r="O4545" s="47"/>
      <c r="P4545" s="47"/>
      <c r="Q4545" s="47">
        <f t="shared" si="1009"/>
        <v>0</v>
      </c>
      <c r="R4545" s="47"/>
      <c r="S4545" s="47"/>
      <c r="T4545" s="47" t="s">
        <v>337</v>
      </c>
      <c r="U4545" s="47"/>
      <c r="V4545" s="47"/>
      <c r="W4545" s="47"/>
      <c r="X4545" s="47"/>
      <c r="Y4545" s="47"/>
      <c r="Z4545" s="47">
        <f t="shared" si="1006"/>
        <v>4620</v>
      </c>
      <c r="AA4545" s="47">
        <f t="shared" si="1010"/>
        <v>1400</v>
      </c>
      <c r="AB4545" s="47"/>
      <c r="AC4545" s="47"/>
      <c r="AD4545" s="47"/>
      <c r="AE4545" s="47"/>
      <c r="AF4545" s="47">
        <f t="shared" si="1011"/>
        <v>1485</v>
      </c>
      <c r="AG4545" s="47"/>
      <c r="AH4545" s="47">
        <f>IFERROR(_xlfn.XLOOKUP(Table6[[#This Row],[Suburb]],Table5[Travel Surcharge],Table5[$$]),"")</f>
        <v>1500</v>
      </c>
      <c r="AI4545" s="47">
        <f t="shared" si="1012"/>
        <v>1650.0000000000002</v>
      </c>
      <c r="AJ4545" s="47"/>
    </row>
    <row r="4546" spans="1:36">
      <c r="A4546" s="374" t="s">
        <v>6532</v>
      </c>
      <c r="B4546" s="374" t="s">
        <v>5465</v>
      </c>
      <c r="C4546" s="374" t="s">
        <v>281</v>
      </c>
      <c r="D4546" s="375" t="str">
        <f t="shared" si="1013"/>
        <v>Warralily Estate34A</v>
      </c>
      <c r="E4546" s="375" t="s">
        <v>6600</v>
      </c>
      <c r="F4546" s="375" t="s">
        <v>1440</v>
      </c>
      <c r="G4546" s="375" t="s">
        <v>6535</v>
      </c>
      <c r="H4546" s="375" t="s">
        <v>6536</v>
      </c>
      <c r="I4546" s="63"/>
      <c r="J4546" s="47">
        <f t="shared" si="1007"/>
        <v>3740</v>
      </c>
      <c r="K4546" s="46" t="s">
        <v>10735</v>
      </c>
      <c r="L4546" s="47"/>
      <c r="M4546" s="47">
        <f t="shared" si="1008"/>
        <v>1430.0000000000002</v>
      </c>
      <c r="N4546" s="47" t="s">
        <v>6537</v>
      </c>
      <c r="O4546" s="47"/>
      <c r="P4546" s="47"/>
      <c r="Q4546" s="47">
        <f t="shared" si="1009"/>
        <v>0</v>
      </c>
      <c r="R4546" s="47"/>
      <c r="S4546" s="47"/>
      <c r="T4546" s="47" t="s">
        <v>337</v>
      </c>
      <c r="U4546" s="47"/>
      <c r="V4546" s="47"/>
      <c r="W4546" s="47"/>
      <c r="X4546" s="47"/>
      <c r="Y4546" s="47"/>
      <c r="Z4546" s="47">
        <f t="shared" si="1006"/>
        <v>4620</v>
      </c>
      <c r="AA4546" s="47">
        <f t="shared" si="1010"/>
        <v>1400</v>
      </c>
      <c r="AB4546" s="47"/>
      <c r="AC4546" s="47"/>
      <c r="AD4546" s="47"/>
      <c r="AE4546" s="47"/>
      <c r="AF4546" s="47">
        <f t="shared" si="1011"/>
        <v>1485</v>
      </c>
      <c r="AG4546" s="47"/>
      <c r="AH4546" s="47">
        <f>IFERROR(_xlfn.XLOOKUP(Table6[[#This Row],[Suburb]],Table5[Travel Surcharge],Table5[$$]),"")</f>
        <v>1500</v>
      </c>
      <c r="AI4546" s="47">
        <f t="shared" si="1012"/>
        <v>1650.0000000000002</v>
      </c>
      <c r="AJ4546" s="47"/>
    </row>
    <row r="4547" spans="1:36">
      <c r="A4547" s="374" t="s">
        <v>6532</v>
      </c>
      <c r="B4547" s="374" t="s">
        <v>6557</v>
      </c>
      <c r="C4547" s="374" t="s">
        <v>281</v>
      </c>
      <c r="D4547" s="375" t="str">
        <f t="shared" si="1013"/>
        <v>Warralily Estate34B</v>
      </c>
      <c r="E4547" s="375" t="s">
        <v>6558</v>
      </c>
      <c r="F4547" s="375" t="s">
        <v>1440</v>
      </c>
      <c r="G4547" s="375" t="s">
        <v>6535</v>
      </c>
      <c r="H4547" s="375" t="s">
        <v>6536</v>
      </c>
      <c r="I4547" s="63"/>
      <c r="J4547" s="47">
        <f t="shared" ref="J4547:J4557" si="1014">J$7</f>
        <v>3740</v>
      </c>
      <c r="K4547" s="46" t="s">
        <v>10735</v>
      </c>
      <c r="L4547" s="47"/>
      <c r="M4547" s="47">
        <f t="shared" ref="M4547:M4552" si="1015">M$7</f>
        <v>1430.0000000000002</v>
      </c>
      <c r="N4547" s="47" t="s">
        <v>6537</v>
      </c>
      <c r="O4547" s="47"/>
      <c r="P4547" s="47"/>
      <c r="Q4547" s="47">
        <f t="shared" ref="Q4547:Q4552" si="1016">Q$2</f>
        <v>0</v>
      </c>
      <c r="R4547" s="47"/>
      <c r="S4547" s="47"/>
      <c r="T4547" s="47" t="s">
        <v>337</v>
      </c>
      <c r="U4547" s="47"/>
      <c r="V4547" s="47"/>
      <c r="W4547" s="47"/>
      <c r="X4547" s="47"/>
      <c r="Y4547" s="47"/>
      <c r="Z4547" s="47">
        <f t="shared" si="1006"/>
        <v>4620</v>
      </c>
      <c r="AA4547" s="47">
        <f t="shared" ref="AA4547:AA4552" si="1017">AA$7</f>
        <v>1400</v>
      </c>
      <c r="AB4547" s="47"/>
      <c r="AC4547" s="47"/>
      <c r="AD4547" s="47"/>
      <c r="AE4547" s="47"/>
      <c r="AF4547" s="47">
        <f t="shared" ref="AF4547:AF4552" si="1018">AF$7</f>
        <v>1485</v>
      </c>
      <c r="AG4547" s="47"/>
      <c r="AH4547" s="47">
        <f>IFERROR(_xlfn.XLOOKUP(Table6[[#This Row],[Suburb]],Table5[Travel Surcharge],Table5[$$]),"")</f>
        <v>1500</v>
      </c>
      <c r="AI4547" s="47">
        <f t="shared" ref="AI4547:AI4552" si="1019">AI$7</f>
        <v>1650.0000000000002</v>
      </c>
      <c r="AJ4547" s="47"/>
    </row>
    <row r="4548" spans="1:36">
      <c r="A4548" s="374" t="s">
        <v>6532</v>
      </c>
      <c r="B4548" s="374" t="s">
        <v>1068</v>
      </c>
      <c r="C4548" s="374" t="s">
        <v>281</v>
      </c>
      <c r="D4548" s="375" t="str">
        <f t="shared" si="1013"/>
        <v>Warralily Estate35B</v>
      </c>
      <c r="E4548" s="375" t="s">
        <v>6560</v>
      </c>
      <c r="F4548" s="375" t="s">
        <v>1440</v>
      </c>
      <c r="G4548" s="375" t="s">
        <v>6535</v>
      </c>
      <c r="H4548" s="375" t="s">
        <v>6536</v>
      </c>
      <c r="I4548" s="63"/>
      <c r="J4548" s="47">
        <f t="shared" si="1014"/>
        <v>3740</v>
      </c>
      <c r="K4548" s="46" t="s">
        <v>10735</v>
      </c>
      <c r="L4548" s="47"/>
      <c r="M4548" s="47">
        <f t="shared" si="1015"/>
        <v>1430.0000000000002</v>
      </c>
      <c r="N4548" s="47" t="s">
        <v>6537</v>
      </c>
      <c r="O4548" s="47"/>
      <c r="P4548" s="47"/>
      <c r="Q4548" s="47">
        <f t="shared" si="1016"/>
        <v>0</v>
      </c>
      <c r="R4548" s="47"/>
      <c r="S4548" s="47"/>
      <c r="T4548" s="47" t="s">
        <v>337</v>
      </c>
      <c r="U4548" s="47"/>
      <c r="V4548" s="47"/>
      <c r="W4548" s="47"/>
      <c r="X4548" s="47"/>
      <c r="Y4548" s="47"/>
      <c r="Z4548" s="47">
        <f t="shared" si="1006"/>
        <v>4620</v>
      </c>
      <c r="AA4548" s="47">
        <f t="shared" si="1017"/>
        <v>1400</v>
      </c>
      <c r="AB4548" s="47"/>
      <c r="AC4548" s="47"/>
      <c r="AD4548" s="47"/>
      <c r="AE4548" s="47"/>
      <c r="AF4548" s="47">
        <f t="shared" si="1018"/>
        <v>1485</v>
      </c>
      <c r="AG4548" s="47"/>
      <c r="AH4548" s="47">
        <f>IFERROR(_xlfn.XLOOKUP(Table6[[#This Row],[Suburb]],Table5[Travel Surcharge],Table5[$$]),"")</f>
        <v>1500</v>
      </c>
      <c r="AI4548" s="47">
        <f t="shared" si="1019"/>
        <v>1650.0000000000002</v>
      </c>
      <c r="AJ4548" s="47"/>
    </row>
    <row r="4549" spans="1:36">
      <c r="A4549" s="374" t="s">
        <v>6532</v>
      </c>
      <c r="B4549" s="374" t="s">
        <v>6568</v>
      </c>
      <c r="C4549" s="374" t="s">
        <v>281</v>
      </c>
      <c r="D4549" s="375" t="str">
        <f t="shared" si="1013"/>
        <v>Warralily Estate46a</v>
      </c>
      <c r="E4549" s="375" t="s">
        <v>6569</v>
      </c>
      <c r="F4549" s="375" t="s">
        <v>1440</v>
      </c>
      <c r="G4549" s="375" t="s">
        <v>6535</v>
      </c>
      <c r="H4549" s="375" t="s">
        <v>6536</v>
      </c>
      <c r="I4549" s="63"/>
      <c r="J4549" s="47">
        <f t="shared" si="1014"/>
        <v>3740</v>
      </c>
      <c r="K4549" s="46" t="s">
        <v>10735</v>
      </c>
      <c r="L4549" s="47"/>
      <c r="M4549" s="47">
        <f t="shared" si="1015"/>
        <v>1430.0000000000002</v>
      </c>
      <c r="N4549" s="47" t="s">
        <v>6537</v>
      </c>
      <c r="O4549" s="47"/>
      <c r="P4549" s="47"/>
      <c r="Q4549" s="47">
        <f t="shared" si="1016"/>
        <v>0</v>
      </c>
      <c r="R4549" s="47"/>
      <c r="S4549" s="47"/>
      <c r="T4549" s="47" t="s">
        <v>337</v>
      </c>
      <c r="U4549" s="47"/>
      <c r="V4549" s="47"/>
      <c r="W4549" s="47"/>
      <c r="X4549" s="47"/>
      <c r="Y4549" s="47"/>
      <c r="Z4549" s="47">
        <f t="shared" si="1006"/>
        <v>4620</v>
      </c>
      <c r="AA4549" s="47">
        <f t="shared" si="1017"/>
        <v>1400</v>
      </c>
      <c r="AB4549" s="47"/>
      <c r="AC4549" s="47"/>
      <c r="AD4549" s="47"/>
      <c r="AE4549" s="47"/>
      <c r="AF4549" s="47">
        <f t="shared" si="1018"/>
        <v>1485</v>
      </c>
      <c r="AG4549" s="47"/>
      <c r="AH4549" s="47">
        <f>IFERROR(_xlfn.XLOOKUP(Table6[[#This Row],[Suburb]],Table5[Travel Surcharge],Table5[$$]),"")</f>
        <v>1500</v>
      </c>
      <c r="AI4549" s="47">
        <f t="shared" si="1019"/>
        <v>1650.0000000000002</v>
      </c>
      <c r="AJ4549" s="47"/>
    </row>
    <row r="4550" spans="1:36">
      <c r="A4550" s="374" t="s">
        <v>6532</v>
      </c>
      <c r="B4550" s="374" t="s">
        <v>622</v>
      </c>
      <c r="C4550" s="374" t="s">
        <v>281</v>
      </c>
      <c r="D4550" s="375" t="str">
        <f t="shared" si="1013"/>
        <v>Warralily Estate6A</v>
      </c>
      <c r="E4550" s="375" t="s">
        <v>6601</v>
      </c>
      <c r="F4550" s="375" t="s">
        <v>1440</v>
      </c>
      <c r="G4550" s="375" t="s">
        <v>6535</v>
      </c>
      <c r="H4550" s="375" t="s">
        <v>6536</v>
      </c>
      <c r="I4550" s="63"/>
      <c r="J4550" s="47">
        <f t="shared" si="1014"/>
        <v>3740</v>
      </c>
      <c r="K4550" s="46" t="s">
        <v>10735</v>
      </c>
      <c r="L4550" s="47"/>
      <c r="M4550" s="47">
        <f t="shared" si="1015"/>
        <v>1430.0000000000002</v>
      </c>
      <c r="N4550" s="47" t="s">
        <v>6537</v>
      </c>
      <c r="O4550" s="47"/>
      <c r="P4550" s="47"/>
      <c r="Q4550" s="47">
        <f t="shared" si="1016"/>
        <v>0</v>
      </c>
      <c r="R4550" s="47"/>
      <c r="S4550" s="47"/>
      <c r="T4550" s="47" t="s">
        <v>337</v>
      </c>
      <c r="U4550" s="47"/>
      <c r="V4550" s="47"/>
      <c r="W4550" s="47"/>
      <c r="X4550" s="47"/>
      <c r="Y4550" s="47"/>
      <c r="Z4550" s="47">
        <f t="shared" si="1006"/>
        <v>4620</v>
      </c>
      <c r="AA4550" s="47">
        <f t="shared" si="1017"/>
        <v>1400</v>
      </c>
      <c r="AB4550" s="47"/>
      <c r="AC4550" s="47"/>
      <c r="AD4550" s="47"/>
      <c r="AE4550" s="47"/>
      <c r="AF4550" s="47">
        <f t="shared" si="1018"/>
        <v>1485</v>
      </c>
      <c r="AG4550" s="47"/>
      <c r="AH4550" s="47">
        <f>IFERROR(_xlfn.XLOOKUP(Table6[[#This Row],[Suburb]],Table5[Travel Surcharge],Table5[$$]),"")</f>
        <v>1500</v>
      </c>
      <c r="AI4550" s="47">
        <f t="shared" si="1019"/>
        <v>1650.0000000000002</v>
      </c>
      <c r="AJ4550" s="47"/>
    </row>
    <row r="4551" spans="1:36">
      <c r="A4551" s="374" t="s">
        <v>6532</v>
      </c>
      <c r="B4551" s="374" t="s">
        <v>6602</v>
      </c>
      <c r="C4551" s="374" t="s">
        <v>281</v>
      </c>
      <c r="D4551" s="375" t="str">
        <f t="shared" si="1013"/>
        <v>Warralily Estate71B</v>
      </c>
      <c r="E4551" s="375" t="s">
        <v>6603</v>
      </c>
      <c r="F4551" s="375" t="s">
        <v>1440</v>
      </c>
      <c r="G4551" s="375" t="s">
        <v>6535</v>
      </c>
      <c r="H4551" s="375" t="s">
        <v>6536</v>
      </c>
      <c r="I4551" s="63"/>
      <c r="J4551" s="47">
        <f t="shared" si="1014"/>
        <v>3740</v>
      </c>
      <c r="K4551" s="46" t="s">
        <v>10735</v>
      </c>
      <c r="L4551" s="47"/>
      <c r="M4551" s="47">
        <f t="shared" si="1015"/>
        <v>1430.0000000000002</v>
      </c>
      <c r="N4551" s="47" t="s">
        <v>6537</v>
      </c>
      <c r="O4551" s="47"/>
      <c r="P4551" s="47"/>
      <c r="Q4551" s="47">
        <f t="shared" si="1016"/>
        <v>0</v>
      </c>
      <c r="R4551" s="47"/>
      <c r="S4551" s="47"/>
      <c r="T4551" s="47" t="s">
        <v>337</v>
      </c>
      <c r="U4551" s="47"/>
      <c r="V4551" s="47"/>
      <c r="W4551" s="47"/>
      <c r="X4551" s="47"/>
      <c r="Y4551" s="47"/>
      <c r="Z4551" s="47">
        <f t="shared" si="1006"/>
        <v>4620</v>
      </c>
      <c r="AA4551" s="47">
        <f t="shared" si="1017"/>
        <v>1400</v>
      </c>
      <c r="AB4551" s="47"/>
      <c r="AC4551" s="47"/>
      <c r="AD4551" s="47"/>
      <c r="AE4551" s="47"/>
      <c r="AF4551" s="47">
        <f t="shared" si="1018"/>
        <v>1485</v>
      </c>
      <c r="AG4551" s="47"/>
      <c r="AH4551" s="47">
        <f>IFERROR(_xlfn.XLOOKUP(Table6[[#This Row],[Suburb]],Table5[Travel Surcharge],Table5[$$]),"")</f>
        <v>1500</v>
      </c>
      <c r="AI4551" s="47">
        <f t="shared" si="1019"/>
        <v>1650.0000000000002</v>
      </c>
      <c r="AJ4551" s="47"/>
    </row>
    <row r="4552" spans="1:36">
      <c r="A4552" s="374" t="s">
        <v>6532</v>
      </c>
      <c r="B4552" s="374" t="s">
        <v>6604</v>
      </c>
      <c r="C4552" s="374" t="s">
        <v>281</v>
      </c>
      <c r="D4552" s="375" t="str">
        <f t="shared" si="1013"/>
        <v>Warralily Estate78B</v>
      </c>
      <c r="E4552" s="375" t="s">
        <v>6605</v>
      </c>
      <c r="F4552" s="375" t="s">
        <v>1440</v>
      </c>
      <c r="G4552" s="375" t="s">
        <v>6535</v>
      </c>
      <c r="H4552" s="375" t="s">
        <v>6536</v>
      </c>
      <c r="I4552" s="63"/>
      <c r="J4552" s="47">
        <f t="shared" si="1014"/>
        <v>3740</v>
      </c>
      <c r="K4552" s="46" t="s">
        <v>10735</v>
      </c>
      <c r="L4552" s="47"/>
      <c r="M4552" s="47">
        <f t="shared" si="1015"/>
        <v>1430.0000000000002</v>
      </c>
      <c r="N4552" s="47" t="s">
        <v>6537</v>
      </c>
      <c r="O4552" s="47"/>
      <c r="P4552" s="47"/>
      <c r="Q4552" s="47">
        <f t="shared" si="1016"/>
        <v>0</v>
      </c>
      <c r="R4552" s="47"/>
      <c r="S4552" s="47"/>
      <c r="T4552" s="47" t="s">
        <v>337</v>
      </c>
      <c r="U4552" s="47"/>
      <c r="V4552" s="47"/>
      <c r="W4552" s="47"/>
      <c r="X4552" s="47"/>
      <c r="Y4552" s="47"/>
      <c r="Z4552" s="47">
        <f t="shared" si="1006"/>
        <v>4620</v>
      </c>
      <c r="AA4552" s="47">
        <f t="shared" si="1017"/>
        <v>1400</v>
      </c>
      <c r="AB4552" s="47"/>
      <c r="AC4552" s="47"/>
      <c r="AD4552" s="47"/>
      <c r="AE4552" s="47"/>
      <c r="AF4552" s="47">
        <f t="shared" si="1018"/>
        <v>1485</v>
      </c>
      <c r="AG4552" s="47"/>
      <c r="AH4552" s="47">
        <f>IFERROR(_xlfn.XLOOKUP(Table6[[#This Row],[Suburb]],Table5[Travel Surcharge],Table5[$$]),"")</f>
        <v>1500</v>
      </c>
      <c r="AI4552" s="47">
        <f t="shared" si="1019"/>
        <v>1650.0000000000002</v>
      </c>
      <c r="AJ4552" s="47"/>
    </row>
    <row r="4553" spans="1:36">
      <c r="A4553" s="374" t="s">
        <v>6606</v>
      </c>
      <c r="B4553" s="374">
        <v>2</v>
      </c>
      <c r="C4553" s="374" t="s">
        <v>5483</v>
      </c>
      <c r="D4553" s="375" t="str">
        <f t="shared" si="1013"/>
        <v>Water Edge Estate2</v>
      </c>
      <c r="E4553" s="375" t="s">
        <v>6607</v>
      </c>
      <c r="F4553" s="375" t="s">
        <v>6608</v>
      </c>
      <c r="G4553" s="375" t="s">
        <v>804</v>
      </c>
      <c r="H4553" s="375" t="s">
        <v>6609</v>
      </c>
      <c r="I4553" s="63" t="s">
        <v>6610</v>
      </c>
      <c r="J4553" s="47">
        <f t="shared" si="1014"/>
        <v>3740</v>
      </c>
      <c r="K4553" s="46" t="s">
        <v>10735</v>
      </c>
      <c r="L4553" s="47">
        <f>L$7</f>
        <v>1210</v>
      </c>
      <c r="M4553" s="47"/>
      <c r="N4553" s="47"/>
      <c r="O4553" s="47">
        <f>O$7</f>
        <v>4950</v>
      </c>
      <c r="P4553" s="47"/>
      <c r="Q4553" s="47"/>
      <c r="R4553" s="47"/>
      <c r="S4553" s="47"/>
      <c r="T4553" s="47">
        <f t="shared" ref="T4553:T4579" si="1020">T$2</f>
        <v>780</v>
      </c>
      <c r="U4553" s="47"/>
      <c r="V4553" s="47" t="s">
        <v>1355</v>
      </c>
      <c r="W4553" s="47"/>
      <c r="X4553" s="47"/>
      <c r="Y4553" s="47"/>
      <c r="Z4553" s="47">
        <f t="shared" si="1006"/>
        <v>4620</v>
      </c>
      <c r="AA4553" s="47"/>
      <c r="AB4553" s="47"/>
      <c r="AC4553" s="47"/>
      <c r="AD4553" s="47"/>
      <c r="AE4553" s="47"/>
      <c r="AF4553" s="47"/>
      <c r="AG4553" s="47"/>
      <c r="AH4553" s="47" t="str">
        <f>IFERROR(_xlfn.XLOOKUP(Table6[[#This Row],[Suburb]],Table5[Travel Surcharge],Table5[$$]),"")</f>
        <v/>
      </c>
      <c r="AI4553" s="47"/>
      <c r="AJ4553" s="47"/>
    </row>
    <row r="4554" spans="1:36">
      <c r="A4554" s="374" t="s">
        <v>6606</v>
      </c>
      <c r="B4554" s="374">
        <v>3</v>
      </c>
      <c r="C4554" s="374" t="s">
        <v>5483</v>
      </c>
      <c r="D4554" s="375" t="str">
        <f t="shared" si="1013"/>
        <v>Water Edge Estate3</v>
      </c>
      <c r="E4554" s="375" t="s">
        <v>6611</v>
      </c>
      <c r="F4554" s="375" t="s">
        <v>6608</v>
      </c>
      <c r="G4554" s="375" t="s">
        <v>804</v>
      </c>
      <c r="H4554" s="375" t="s">
        <v>6609</v>
      </c>
      <c r="I4554" s="63" t="s">
        <v>6610</v>
      </c>
      <c r="J4554" s="47">
        <f t="shared" si="1014"/>
        <v>3740</v>
      </c>
      <c r="K4554" s="46" t="s">
        <v>10735</v>
      </c>
      <c r="L4554" s="47">
        <f>L$7</f>
        <v>1210</v>
      </c>
      <c r="M4554" s="47"/>
      <c r="N4554" s="47"/>
      <c r="O4554" s="47">
        <f>O$7</f>
        <v>4950</v>
      </c>
      <c r="P4554" s="47"/>
      <c r="Q4554" s="47"/>
      <c r="R4554" s="47"/>
      <c r="S4554" s="47"/>
      <c r="T4554" s="47">
        <f t="shared" si="1020"/>
        <v>780</v>
      </c>
      <c r="U4554" s="47"/>
      <c r="V4554" s="47" t="s">
        <v>1355</v>
      </c>
      <c r="W4554" s="47"/>
      <c r="X4554" s="47"/>
      <c r="Y4554" s="47"/>
      <c r="Z4554" s="47">
        <f t="shared" si="1006"/>
        <v>4620</v>
      </c>
      <c r="AA4554" s="47"/>
      <c r="AB4554" s="47"/>
      <c r="AC4554" s="47"/>
      <c r="AD4554" s="47"/>
      <c r="AE4554" s="47"/>
      <c r="AF4554" s="47"/>
      <c r="AG4554" s="47"/>
      <c r="AH4554" s="47" t="str">
        <f>IFERROR(_xlfn.XLOOKUP(Table6[[#This Row],[Suburb]],Table5[Travel Surcharge],Table5[$$]),"")</f>
        <v/>
      </c>
      <c r="AI4554" s="47"/>
      <c r="AJ4554" s="47"/>
    </row>
    <row r="4555" spans="1:36">
      <c r="A4555" s="374" t="s">
        <v>6606</v>
      </c>
      <c r="B4555" s="374">
        <v>4</v>
      </c>
      <c r="C4555" s="374" t="s">
        <v>5483</v>
      </c>
      <c r="D4555" s="375" t="str">
        <f t="shared" si="1013"/>
        <v>Water Edge Estate4</v>
      </c>
      <c r="E4555" s="375" t="s">
        <v>6612</v>
      </c>
      <c r="F4555" s="375" t="s">
        <v>6608</v>
      </c>
      <c r="G4555" s="375" t="s">
        <v>804</v>
      </c>
      <c r="H4555" s="375" t="s">
        <v>6609</v>
      </c>
      <c r="I4555" s="63" t="s">
        <v>6610</v>
      </c>
      <c r="J4555" s="47">
        <f t="shared" si="1014"/>
        <v>3740</v>
      </c>
      <c r="K4555" s="46" t="s">
        <v>10735</v>
      </c>
      <c r="L4555" s="47">
        <f>L$7</f>
        <v>1210</v>
      </c>
      <c r="M4555" s="47"/>
      <c r="N4555" s="47"/>
      <c r="O4555" s="47">
        <f>O$7</f>
        <v>4950</v>
      </c>
      <c r="P4555" s="47"/>
      <c r="Q4555" s="47"/>
      <c r="R4555" s="47"/>
      <c r="S4555" s="47"/>
      <c r="T4555" s="47">
        <f t="shared" si="1020"/>
        <v>780</v>
      </c>
      <c r="U4555" s="47"/>
      <c r="V4555" s="47" t="s">
        <v>1355</v>
      </c>
      <c r="W4555" s="47"/>
      <c r="X4555" s="47"/>
      <c r="Y4555" s="47"/>
      <c r="Z4555" s="47">
        <f t="shared" si="1006"/>
        <v>4620</v>
      </c>
      <c r="AA4555" s="47"/>
      <c r="AB4555" s="47"/>
      <c r="AC4555" s="47"/>
      <c r="AD4555" s="47"/>
      <c r="AE4555" s="47"/>
      <c r="AF4555" s="47"/>
      <c r="AG4555" s="47"/>
      <c r="AH4555" s="47" t="str">
        <f>IFERROR(_xlfn.XLOOKUP(Table6[[#This Row],[Suburb]],Table5[Travel Surcharge],Table5[$$]),"")</f>
        <v/>
      </c>
      <c r="AI4555" s="47"/>
      <c r="AJ4555" s="47"/>
    </row>
    <row r="4556" spans="1:36">
      <c r="A4556" s="374" t="s">
        <v>6613</v>
      </c>
      <c r="B4556" s="374">
        <v>8</v>
      </c>
      <c r="C4556" s="374" t="s">
        <v>1412</v>
      </c>
      <c r="D4556" s="375" t="str">
        <f t="shared" si="1013"/>
        <v>Waterford Estate8</v>
      </c>
      <c r="E4556" s="375" t="s">
        <v>2669</v>
      </c>
      <c r="F4556" s="375" t="s">
        <v>2664</v>
      </c>
      <c r="G4556" s="375" t="s">
        <v>6614</v>
      </c>
      <c r="H4556" s="375"/>
      <c r="I4556" s="63" t="s">
        <v>6615</v>
      </c>
      <c r="J4556" s="47">
        <f t="shared" si="1014"/>
        <v>3740</v>
      </c>
      <c r="K4556" s="46" t="s">
        <v>7938</v>
      </c>
      <c r="L4556" s="47"/>
      <c r="M4556" s="47"/>
      <c r="N4556" s="47"/>
      <c r="O4556" s="47"/>
      <c r="P4556" s="47"/>
      <c r="Q4556" s="47"/>
      <c r="R4556" s="47"/>
      <c r="S4556" s="47"/>
      <c r="T4556" s="47">
        <f t="shared" si="1020"/>
        <v>780</v>
      </c>
      <c r="U4556" s="47"/>
      <c r="V4556" s="47"/>
      <c r="W4556" s="47"/>
      <c r="X4556" s="47"/>
      <c r="Y4556" s="47"/>
      <c r="Z4556" s="47">
        <f t="shared" si="1006"/>
        <v>4620</v>
      </c>
      <c r="AA4556" s="47"/>
      <c r="AB4556" s="47"/>
      <c r="AC4556" s="47"/>
      <c r="AD4556" s="47"/>
      <c r="AE4556" s="47"/>
      <c r="AF4556" s="47"/>
      <c r="AG4556" s="47"/>
      <c r="AH4556" s="47" t="str">
        <f>IFERROR(_xlfn.XLOOKUP(Table6[[#This Row],[Suburb]],Table5[Travel Surcharge],Table5[$$]),"")</f>
        <v/>
      </c>
      <c r="AI4556" s="47"/>
      <c r="AJ4556" s="47"/>
    </row>
    <row r="4557" spans="1:36">
      <c r="A4557" s="374" t="s">
        <v>6613</v>
      </c>
      <c r="B4557" s="374">
        <v>11</v>
      </c>
      <c r="C4557" s="374" t="s">
        <v>1412</v>
      </c>
      <c r="D4557" s="375" t="str">
        <f t="shared" si="1013"/>
        <v>Waterford Estate11</v>
      </c>
      <c r="E4557" s="375" t="s">
        <v>6616</v>
      </c>
      <c r="F4557" s="375" t="s">
        <v>2664</v>
      </c>
      <c r="G4557" s="375" t="s">
        <v>6614</v>
      </c>
      <c r="H4557" s="375"/>
      <c r="I4557" s="63" t="s">
        <v>6615</v>
      </c>
      <c r="J4557" s="47">
        <f t="shared" si="1014"/>
        <v>3740</v>
      </c>
      <c r="K4557" s="46" t="s">
        <v>7938</v>
      </c>
      <c r="L4557" s="47"/>
      <c r="M4557" s="47"/>
      <c r="N4557" s="47"/>
      <c r="O4557" s="47"/>
      <c r="P4557" s="47"/>
      <c r="Q4557" s="47"/>
      <c r="R4557" s="47"/>
      <c r="S4557" s="47"/>
      <c r="T4557" s="47">
        <f t="shared" si="1020"/>
        <v>780</v>
      </c>
      <c r="U4557" s="47"/>
      <c r="V4557" s="47"/>
      <c r="W4557" s="47"/>
      <c r="X4557" s="47"/>
      <c r="Y4557" s="47"/>
      <c r="Z4557" s="47">
        <f t="shared" si="1006"/>
        <v>4620</v>
      </c>
      <c r="AA4557" s="47"/>
      <c r="AB4557" s="47"/>
      <c r="AC4557" s="47"/>
      <c r="AD4557" s="47"/>
      <c r="AE4557" s="47"/>
      <c r="AF4557" s="47"/>
      <c r="AG4557" s="47"/>
      <c r="AH4557" s="47" t="str">
        <f>IFERROR(_xlfn.XLOOKUP(Table6[[#This Row],[Suburb]],Table5[Travel Surcharge],Table5[$$]),"")</f>
        <v/>
      </c>
      <c r="AI4557" s="47"/>
      <c r="AJ4557" s="47"/>
    </row>
    <row r="4558" spans="1:36">
      <c r="A4558" s="374" t="s">
        <v>9088</v>
      </c>
      <c r="B4558" s="374" t="s">
        <v>9089</v>
      </c>
      <c r="C4558" s="374" t="s">
        <v>8331</v>
      </c>
      <c r="D4558" s="375" t="str">
        <f t="shared" si="1013"/>
        <v>Waterford Rise Sanctuary Release</v>
      </c>
      <c r="E4558" s="375" t="s">
        <v>8560</v>
      </c>
      <c r="F4558" s="375" t="s">
        <v>1428</v>
      </c>
      <c r="G4558" s="375" t="s">
        <v>6619</v>
      </c>
      <c r="H4558" s="375" t="s">
        <v>8332</v>
      </c>
      <c r="I4558" s="63"/>
      <c r="J4558" s="47"/>
      <c r="K4558" s="46" t="s">
        <v>314</v>
      </c>
      <c r="L4558" s="47">
        <f>L$7</f>
        <v>1210</v>
      </c>
      <c r="M4558" s="47" t="s">
        <v>2646</v>
      </c>
      <c r="N4558" s="47" t="s">
        <v>9093</v>
      </c>
      <c r="O4558" s="47">
        <f>O$7</f>
        <v>4950</v>
      </c>
      <c r="P4558" s="47" t="s">
        <v>9090</v>
      </c>
      <c r="Q4558" s="47"/>
      <c r="R4558" s="47"/>
      <c r="S4558" s="47"/>
      <c r="T4558" s="47">
        <f t="shared" si="1020"/>
        <v>780</v>
      </c>
      <c r="U4558" s="47"/>
      <c r="V4558" s="47" t="s">
        <v>9091</v>
      </c>
      <c r="W4558" s="47" t="s">
        <v>9092</v>
      </c>
      <c r="X4558" s="47"/>
      <c r="Y4558" s="47"/>
      <c r="Z4558" s="47">
        <f t="shared" si="1006"/>
        <v>4620</v>
      </c>
      <c r="AA4558" s="47"/>
      <c r="AB4558" s="47"/>
      <c r="AC4558" s="47"/>
      <c r="AD4558" s="47"/>
      <c r="AE4558" s="47"/>
      <c r="AF4558" s="47"/>
      <c r="AG4558" s="47"/>
      <c r="AH4558" s="47" t="str">
        <f>IFERROR(_xlfn.XLOOKUP(Table6[[#This Row],[Suburb]],Table5[Travel Surcharge],Table5[$$]),"")</f>
        <v/>
      </c>
      <c r="AI4558" s="47"/>
      <c r="AJ4558" s="47"/>
    </row>
    <row r="4559" spans="1:36">
      <c r="A4559" s="374" t="s">
        <v>6617</v>
      </c>
      <c r="B4559" s="374">
        <v>1</v>
      </c>
      <c r="C4559" s="374" t="s">
        <v>287</v>
      </c>
      <c r="D4559" s="375" t="str">
        <f t="shared" si="1013"/>
        <v>Waterford Rise Estate1</v>
      </c>
      <c r="E4559" s="375" t="s">
        <v>8560</v>
      </c>
      <c r="F4559" s="375" t="s">
        <v>1428</v>
      </c>
      <c r="G4559" s="375" t="s">
        <v>6619</v>
      </c>
      <c r="H4559" s="375" t="s">
        <v>6526</v>
      </c>
      <c r="I4559" s="63"/>
      <c r="J4559" s="47"/>
      <c r="K4559" s="46" t="s">
        <v>314</v>
      </c>
      <c r="L4559" s="47"/>
      <c r="M4559" s="47"/>
      <c r="N4559" s="47" t="s">
        <v>6620</v>
      </c>
      <c r="O4559" s="47"/>
      <c r="P4559" s="47"/>
      <c r="Q4559" s="47"/>
      <c r="R4559" s="47"/>
      <c r="S4559" s="47"/>
      <c r="T4559" s="47">
        <f t="shared" si="1020"/>
        <v>780</v>
      </c>
      <c r="U4559" s="47"/>
      <c r="V4559" s="47"/>
      <c r="W4559" s="47"/>
      <c r="X4559" s="47"/>
      <c r="Y4559" s="47"/>
      <c r="Z4559" s="47">
        <f t="shared" si="1006"/>
        <v>4620</v>
      </c>
      <c r="AA4559" s="47"/>
      <c r="AB4559" s="47"/>
      <c r="AC4559" s="47"/>
      <c r="AD4559" s="47"/>
      <c r="AE4559" s="47"/>
      <c r="AF4559" s="47"/>
      <c r="AG4559" s="47"/>
      <c r="AH4559" s="47">
        <f>IFERROR(_xlfn.XLOOKUP(Table6[[#This Row],[Suburb]],Table5[Travel Surcharge],Table5[$$]),"")</f>
        <v>7000</v>
      </c>
      <c r="AI4559" s="47"/>
      <c r="AJ4559" s="47"/>
    </row>
    <row r="4560" spans="1:36">
      <c r="A4560" s="374" t="s">
        <v>6617</v>
      </c>
      <c r="B4560" s="374">
        <v>30</v>
      </c>
      <c r="C4560" s="374" t="s">
        <v>287</v>
      </c>
      <c r="D4560" s="375" t="str">
        <f t="shared" si="1013"/>
        <v>Waterford Rise Estate30</v>
      </c>
      <c r="E4560" s="375" t="s">
        <v>6618</v>
      </c>
      <c r="F4560" s="375" t="s">
        <v>1428</v>
      </c>
      <c r="G4560" s="375" t="s">
        <v>6619</v>
      </c>
      <c r="H4560" s="375" t="s">
        <v>6526</v>
      </c>
      <c r="I4560" s="63"/>
      <c r="J4560" s="47"/>
      <c r="K4560" s="46" t="s">
        <v>314</v>
      </c>
      <c r="L4560" s="47"/>
      <c r="M4560" s="47"/>
      <c r="N4560" s="47" t="s">
        <v>6620</v>
      </c>
      <c r="O4560" s="47"/>
      <c r="P4560" s="47"/>
      <c r="Q4560" s="47"/>
      <c r="R4560" s="47"/>
      <c r="S4560" s="47"/>
      <c r="T4560" s="47">
        <f t="shared" si="1020"/>
        <v>780</v>
      </c>
      <c r="U4560" s="47"/>
      <c r="V4560" s="47"/>
      <c r="W4560" s="47"/>
      <c r="X4560" s="47"/>
      <c r="Y4560" s="47"/>
      <c r="Z4560" s="47">
        <f t="shared" si="1006"/>
        <v>4620</v>
      </c>
      <c r="AA4560" s="47"/>
      <c r="AB4560" s="47"/>
      <c r="AC4560" s="47"/>
      <c r="AD4560" s="47"/>
      <c r="AE4560" s="47"/>
      <c r="AF4560" s="47"/>
      <c r="AG4560" s="47"/>
      <c r="AH4560" s="47">
        <f>IFERROR(_xlfn.XLOOKUP(Table6[[#This Row],[Suburb]],Table5[Travel Surcharge],Table5[$$]),"")</f>
        <v>7000</v>
      </c>
      <c r="AI4560" s="47"/>
      <c r="AJ4560" s="47"/>
    </row>
    <row r="4561" spans="1:36">
      <c r="A4561" s="374" t="s">
        <v>6617</v>
      </c>
      <c r="B4561" s="374">
        <v>32</v>
      </c>
      <c r="C4561" s="374" t="s">
        <v>287</v>
      </c>
      <c r="D4561" s="375" t="str">
        <f t="shared" si="1013"/>
        <v>Waterford Rise Estate32</v>
      </c>
      <c r="E4561" s="375" t="s">
        <v>6621</v>
      </c>
      <c r="F4561" s="375" t="s">
        <v>1428</v>
      </c>
      <c r="G4561" s="375" t="s">
        <v>6619</v>
      </c>
      <c r="H4561" s="375" t="s">
        <v>6526</v>
      </c>
      <c r="I4561" s="63"/>
      <c r="J4561" s="47"/>
      <c r="K4561" s="46" t="s">
        <v>314</v>
      </c>
      <c r="L4561" s="47"/>
      <c r="M4561" s="47"/>
      <c r="N4561" s="47" t="s">
        <v>6620</v>
      </c>
      <c r="O4561" s="47"/>
      <c r="P4561" s="47"/>
      <c r="Q4561" s="47"/>
      <c r="R4561" s="47"/>
      <c r="S4561" s="47"/>
      <c r="T4561" s="47">
        <f t="shared" si="1020"/>
        <v>780</v>
      </c>
      <c r="U4561" s="47"/>
      <c r="V4561" s="47"/>
      <c r="W4561" s="47"/>
      <c r="X4561" s="47"/>
      <c r="Y4561" s="47"/>
      <c r="Z4561" s="47">
        <f t="shared" si="1006"/>
        <v>4620</v>
      </c>
      <c r="AA4561" s="47"/>
      <c r="AB4561" s="47"/>
      <c r="AC4561" s="47"/>
      <c r="AD4561" s="47"/>
      <c r="AE4561" s="47"/>
      <c r="AF4561" s="47"/>
      <c r="AG4561" s="47"/>
      <c r="AH4561" s="47">
        <f>IFERROR(_xlfn.XLOOKUP(Table6[[#This Row],[Suburb]],Table5[Travel Surcharge],Table5[$$]),"")</f>
        <v>7000</v>
      </c>
      <c r="AI4561" s="47"/>
      <c r="AJ4561" s="47"/>
    </row>
    <row r="4562" spans="1:36">
      <c r="A4562" s="374" t="s">
        <v>6617</v>
      </c>
      <c r="B4562" s="374">
        <v>48</v>
      </c>
      <c r="C4562" s="374" t="s">
        <v>287</v>
      </c>
      <c r="D4562" s="375" t="str">
        <f t="shared" si="1013"/>
        <v>Waterford Rise Estate48</v>
      </c>
      <c r="E4562" s="375" t="s">
        <v>6622</v>
      </c>
      <c r="F4562" s="375" t="s">
        <v>1428</v>
      </c>
      <c r="G4562" s="375" t="s">
        <v>6619</v>
      </c>
      <c r="H4562" s="375" t="s">
        <v>6526</v>
      </c>
      <c r="I4562" s="63"/>
      <c r="J4562" s="47"/>
      <c r="K4562" s="46" t="s">
        <v>314</v>
      </c>
      <c r="L4562" s="47"/>
      <c r="M4562" s="47"/>
      <c r="N4562" s="47" t="s">
        <v>6620</v>
      </c>
      <c r="O4562" s="47"/>
      <c r="P4562" s="47"/>
      <c r="Q4562" s="47"/>
      <c r="R4562" s="47"/>
      <c r="S4562" s="47"/>
      <c r="T4562" s="47">
        <f t="shared" si="1020"/>
        <v>780</v>
      </c>
      <c r="U4562" s="47"/>
      <c r="V4562" s="47"/>
      <c r="W4562" s="47"/>
      <c r="X4562" s="47"/>
      <c r="Y4562" s="47"/>
      <c r="Z4562" s="47">
        <f t="shared" si="1006"/>
        <v>4620</v>
      </c>
      <c r="AA4562" s="47"/>
      <c r="AB4562" s="47"/>
      <c r="AC4562" s="47"/>
      <c r="AD4562" s="47"/>
      <c r="AE4562" s="47"/>
      <c r="AF4562" s="47"/>
      <c r="AG4562" s="47"/>
      <c r="AH4562" s="47">
        <f>IFERROR(_xlfn.XLOOKUP(Table6[[#This Row],[Suburb]],Table5[Travel Surcharge],Table5[$$]),"")</f>
        <v>7000</v>
      </c>
      <c r="AI4562" s="47"/>
      <c r="AJ4562" s="47"/>
    </row>
    <row r="4563" spans="1:36">
      <c r="A4563" s="374" t="s">
        <v>6617</v>
      </c>
      <c r="B4563" s="374">
        <v>49</v>
      </c>
      <c r="C4563" s="374" t="s">
        <v>287</v>
      </c>
      <c r="D4563" s="375" t="str">
        <f t="shared" si="1013"/>
        <v>Waterford Rise Estate49</v>
      </c>
      <c r="E4563" s="375" t="s">
        <v>6622</v>
      </c>
      <c r="F4563" s="375" t="s">
        <v>1428</v>
      </c>
      <c r="G4563" s="375" t="s">
        <v>6619</v>
      </c>
      <c r="H4563" s="375" t="s">
        <v>6526</v>
      </c>
      <c r="I4563" s="63"/>
      <c r="J4563" s="47"/>
      <c r="K4563" s="46" t="s">
        <v>314</v>
      </c>
      <c r="L4563" s="47"/>
      <c r="M4563" s="47"/>
      <c r="N4563" s="47" t="s">
        <v>6620</v>
      </c>
      <c r="O4563" s="47"/>
      <c r="P4563" s="47"/>
      <c r="Q4563" s="47"/>
      <c r="R4563" s="47"/>
      <c r="S4563" s="47"/>
      <c r="T4563" s="47">
        <f t="shared" si="1020"/>
        <v>780</v>
      </c>
      <c r="U4563" s="47"/>
      <c r="V4563" s="47"/>
      <c r="W4563" s="47"/>
      <c r="X4563" s="47"/>
      <c r="Y4563" s="47"/>
      <c r="Z4563" s="47">
        <f t="shared" si="1006"/>
        <v>4620</v>
      </c>
      <c r="AA4563" s="47"/>
      <c r="AB4563" s="47"/>
      <c r="AC4563" s="47"/>
      <c r="AD4563" s="47"/>
      <c r="AE4563" s="47"/>
      <c r="AF4563" s="47"/>
      <c r="AG4563" s="47"/>
      <c r="AH4563" s="47">
        <f>IFERROR(_xlfn.XLOOKUP(Table6[[#This Row],[Suburb]],Table5[Travel Surcharge],Table5[$$]),"")</f>
        <v>7000</v>
      </c>
      <c r="AI4563" s="47"/>
      <c r="AJ4563" s="47"/>
    </row>
    <row r="4564" spans="1:36">
      <c r="A4564" s="374" t="s">
        <v>6617</v>
      </c>
      <c r="B4564" s="374">
        <v>51</v>
      </c>
      <c r="C4564" s="374" t="s">
        <v>287</v>
      </c>
      <c r="D4564" s="375" t="str">
        <f t="shared" si="1013"/>
        <v>Waterford Rise Estate51</v>
      </c>
      <c r="E4564" s="375" t="s">
        <v>6623</v>
      </c>
      <c r="F4564" s="375" t="s">
        <v>1428</v>
      </c>
      <c r="G4564" s="375" t="s">
        <v>6619</v>
      </c>
      <c r="H4564" s="375" t="s">
        <v>6526</v>
      </c>
      <c r="I4564" s="63"/>
      <c r="J4564" s="47"/>
      <c r="K4564" s="46" t="s">
        <v>314</v>
      </c>
      <c r="L4564" s="47"/>
      <c r="M4564" s="47"/>
      <c r="N4564" s="47" t="s">
        <v>6620</v>
      </c>
      <c r="O4564" s="47"/>
      <c r="P4564" s="47"/>
      <c r="Q4564" s="47"/>
      <c r="R4564" s="47"/>
      <c r="S4564" s="47"/>
      <c r="T4564" s="47">
        <f t="shared" si="1020"/>
        <v>780</v>
      </c>
      <c r="U4564" s="47"/>
      <c r="V4564" s="47"/>
      <c r="W4564" s="47"/>
      <c r="X4564" s="47"/>
      <c r="Y4564" s="47"/>
      <c r="Z4564" s="47">
        <f t="shared" si="1006"/>
        <v>4620</v>
      </c>
      <c r="AA4564" s="47"/>
      <c r="AB4564" s="47"/>
      <c r="AC4564" s="47"/>
      <c r="AD4564" s="47"/>
      <c r="AE4564" s="47"/>
      <c r="AF4564" s="47"/>
      <c r="AG4564" s="47"/>
      <c r="AH4564" s="47">
        <f>IFERROR(_xlfn.XLOOKUP(Table6[[#This Row],[Suburb]],Table5[Travel Surcharge],Table5[$$]),"")</f>
        <v>7000</v>
      </c>
      <c r="AI4564" s="47"/>
      <c r="AJ4564" s="47"/>
    </row>
    <row r="4565" spans="1:36">
      <c r="A4565" s="374" t="s">
        <v>6617</v>
      </c>
      <c r="B4565" s="374">
        <v>55</v>
      </c>
      <c r="C4565" s="374" t="s">
        <v>287</v>
      </c>
      <c r="D4565" s="375" t="str">
        <f t="shared" si="1013"/>
        <v>Waterford Rise Estate55</v>
      </c>
      <c r="E4565" s="375" t="s">
        <v>6624</v>
      </c>
      <c r="F4565" s="375" t="s">
        <v>1428</v>
      </c>
      <c r="G4565" s="375" t="s">
        <v>6619</v>
      </c>
      <c r="H4565" s="375" t="s">
        <v>6526</v>
      </c>
      <c r="I4565" s="63"/>
      <c r="J4565" s="47"/>
      <c r="K4565" s="46" t="s">
        <v>314</v>
      </c>
      <c r="L4565" s="47"/>
      <c r="M4565" s="47"/>
      <c r="N4565" s="47" t="s">
        <v>6620</v>
      </c>
      <c r="O4565" s="47"/>
      <c r="P4565" s="47"/>
      <c r="Q4565" s="47"/>
      <c r="R4565" s="47"/>
      <c r="S4565" s="47"/>
      <c r="T4565" s="47">
        <f t="shared" si="1020"/>
        <v>780</v>
      </c>
      <c r="U4565" s="47"/>
      <c r="V4565" s="47"/>
      <c r="W4565" s="47"/>
      <c r="X4565" s="47"/>
      <c r="Y4565" s="47"/>
      <c r="Z4565" s="47">
        <f t="shared" si="1006"/>
        <v>4620</v>
      </c>
      <c r="AA4565" s="47"/>
      <c r="AB4565" s="47"/>
      <c r="AC4565" s="47"/>
      <c r="AD4565" s="47"/>
      <c r="AE4565" s="47"/>
      <c r="AF4565" s="47"/>
      <c r="AG4565" s="47"/>
      <c r="AH4565" s="47">
        <f>IFERROR(_xlfn.XLOOKUP(Table6[[#This Row],[Suburb]],Table5[Travel Surcharge],Table5[$$]),"")</f>
        <v>7000</v>
      </c>
      <c r="AI4565" s="47"/>
      <c r="AJ4565" s="47"/>
    </row>
    <row r="4566" spans="1:36">
      <c r="A4566" s="374" t="s">
        <v>6617</v>
      </c>
      <c r="B4566" s="374">
        <v>56</v>
      </c>
      <c r="C4566" s="374" t="s">
        <v>287</v>
      </c>
      <c r="D4566" s="375" t="str">
        <f t="shared" si="1013"/>
        <v>Waterford Rise Estate56</v>
      </c>
      <c r="E4566" s="375" t="s">
        <v>6625</v>
      </c>
      <c r="F4566" s="375" t="s">
        <v>1428</v>
      </c>
      <c r="G4566" s="375" t="s">
        <v>6619</v>
      </c>
      <c r="H4566" s="375" t="s">
        <v>6526</v>
      </c>
      <c r="I4566" s="63"/>
      <c r="J4566" s="47"/>
      <c r="K4566" s="46" t="s">
        <v>314</v>
      </c>
      <c r="L4566" s="47"/>
      <c r="M4566" s="47"/>
      <c r="N4566" s="47" t="s">
        <v>6620</v>
      </c>
      <c r="O4566" s="47"/>
      <c r="P4566" s="47"/>
      <c r="Q4566" s="47"/>
      <c r="R4566" s="47"/>
      <c r="S4566" s="47"/>
      <c r="T4566" s="47">
        <f t="shared" si="1020"/>
        <v>780</v>
      </c>
      <c r="U4566" s="47"/>
      <c r="V4566" s="47"/>
      <c r="W4566" s="47"/>
      <c r="X4566" s="47"/>
      <c r="Y4566" s="47"/>
      <c r="Z4566" s="47">
        <f t="shared" si="1006"/>
        <v>4620</v>
      </c>
      <c r="AA4566" s="47"/>
      <c r="AB4566" s="47"/>
      <c r="AC4566" s="47"/>
      <c r="AD4566" s="47"/>
      <c r="AE4566" s="47"/>
      <c r="AF4566" s="47"/>
      <c r="AG4566" s="47"/>
      <c r="AH4566" s="47">
        <f>IFERROR(_xlfn.XLOOKUP(Table6[[#This Row],[Suburb]],Table5[Travel Surcharge],Table5[$$]),"")</f>
        <v>7000</v>
      </c>
      <c r="AI4566" s="47"/>
      <c r="AJ4566" s="47"/>
    </row>
    <row r="4567" spans="1:36">
      <c r="A4567" s="374" t="s">
        <v>6617</v>
      </c>
      <c r="B4567" s="374">
        <v>57</v>
      </c>
      <c r="C4567" s="374" t="s">
        <v>287</v>
      </c>
      <c r="D4567" s="375" t="str">
        <f t="shared" si="1013"/>
        <v>Waterford Rise Estate57</v>
      </c>
      <c r="E4567" s="375" t="s">
        <v>6625</v>
      </c>
      <c r="F4567" s="375" t="s">
        <v>1428</v>
      </c>
      <c r="G4567" s="375" t="s">
        <v>6619</v>
      </c>
      <c r="H4567" s="375" t="s">
        <v>6526</v>
      </c>
      <c r="I4567" s="63"/>
      <c r="J4567" s="47"/>
      <c r="K4567" s="46" t="s">
        <v>314</v>
      </c>
      <c r="L4567" s="47"/>
      <c r="M4567" s="47"/>
      <c r="N4567" s="47" t="s">
        <v>6620</v>
      </c>
      <c r="O4567" s="47"/>
      <c r="P4567" s="47"/>
      <c r="Q4567" s="47"/>
      <c r="R4567" s="47"/>
      <c r="S4567" s="47"/>
      <c r="T4567" s="47">
        <f t="shared" si="1020"/>
        <v>780</v>
      </c>
      <c r="U4567" s="47"/>
      <c r="V4567" s="47"/>
      <c r="W4567" s="47"/>
      <c r="X4567" s="47"/>
      <c r="Y4567" s="47"/>
      <c r="Z4567" s="47">
        <f t="shared" si="1006"/>
        <v>4620</v>
      </c>
      <c r="AA4567" s="47"/>
      <c r="AB4567" s="47"/>
      <c r="AC4567" s="47"/>
      <c r="AD4567" s="47"/>
      <c r="AE4567" s="47"/>
      <c r="AF4567" s="47"/>
      <c r="AG4567" s="47"/>
      <c r="AH4567" s="47">
        <f>IFERROR(_xlfn.XLOOKUP(Table6[[#This Row],[Suburb]],Table5[Travel Surcharge],Table5[$$]),"")</f>
        <v>7000</v>
      </c>
      <c r="AI4567" s="47"/>
      <c r="AJ4567" s="47"/>
    </row>
    <row r="4568" spans="1:36">
      <c r="A4568" s="374" t="s">
        <v>6617</v>
      </c>
      <c r="B4568" s="374">
        <v>58</v>
      </c>
      <c r="C4568" s="374" t="s">
        <v>287</v>
      </c>
      <c r="D4568" s="375" t="str">
        <f t="shared" si="1013"/>
        <v>Waterford Rise Estate58</v>
      </c>
      <c r="E4568" s="375" t="s">
        <v>6626</v>
      </c>
      <c r="F4568" s="375" t="s">
        <v>1428</v>
      </c>
      <c r="G4568" s="375" t="s">
        <v>6619</v>
      </c>
      <c r="H4568" s="375" t="s">
        <v>6526</v>
      </c>
      <c r="I4568" s="63"/>
      <c r="J4568" s="47"/>
      <c r="K4568" s="46" t="s">
        <v>314</v>
      </c>
      <c r="L4568" s="47"/>
      <c r="M4568" s="47"/>
      <c r="N4568" s="47" t="s">
        <v>6620</v>
      </c>
      <c r="O4568" s="47"/>
      <c r="P4568" s="47"/>
      <c r="Q4568" s="47"/>
      <c r="R4568" s="47"/>
      <c r="S4568" s="47"/>
      <c r="T4568" s="47">
        <f t="shared" si="1020"/>
        <v>780</v>
      </c>
      <c r="U4568" s="47"/>
      <c r="V4568" s="47"/>
      <c r="W4568" s="47"/>
      <c r="X4568" s="47"/>
      <c r="Y4568" s="47"/>
      <c r="Z4568" s="47">
        <f t="shared" si="1006"/>
        <v>4620</v>
      </c>
      <c r="AA4568" s="47"/>
      <c r="AB4568" s="47"/>
      <c r="AC4568" s="47"/>
      <c r="AD4568" s="47"/>
      <c r="AE4568" s="47"/>
      <c r="AF4568" s="47"/>
      <c r="AG4568" s="47"/>
      <c r="AH4568" s="47">
        <f>IFERROR(_xlfn.XLOOKUP(Table6[[#This Row],[Suburb]],Table5[Travel Surcharge],Table5[$$]),"")</f>
        <v>7000</v>
      </c>
      <c r="AI4568" s="47"/>
      <c r="AJ4568" s="47"/>
    </row>
    <row r="4569" spans="1:36">
      <c r="A4569" s="374" t="s">
        <v>6617</v>
      </c>
      <c r="B4569" s="374">
        <v>59</v>
      </c>
      <c r="C4569" s="374" t="s">
        <v>287</v>
      </c>
      <c r="D4569" s="375" t="str">
        <f t="shared" si="1013"/>
        <v>Waterford Rise Estate59</v>
      </c>
      <c r="E4569" s="375" t="s">
        <v>6626</v>
      </c>
      <c r="F4569" s="375" t="s">
        <v>1428</v>
      </c>
      <c r="G4569" s="375" t="s">
        <v>6619</v>
      </c>
      <c r="H4569" s="375" t="s">
        <v>6526</v>
      </c>
      <c r="I4569" s="63"/>
      <c r="J4569" s="47"/>
      <c r="K4569" s="46" t="s">
        <v>314</v>
      </c>
      <c r="L4569" s="47"/>
      <c r="M4569" s="47"/>
      <c r="N4569" s="47" t="s">
        <v>6620</v>
      </c>
      <c r="O4569" s="47"/>
      <c r="P4569" s="47"/>
      <c r="Q4569" s="47"/>
      <c r="R4569" s="47"/>
      <c r="S4569" s="47"/>
      <c r="T4569" s="47">
        <f t="shared" si="1020"/>
        <v>780</v>
      </c>
      <c r="U4569" s="47"/>
      <c r="V4569" s="47"/>
      <c r="W4569" s="47"/>
      <c r="X4569" s="47"/>
      <c r="Y4569" s="47"/>
      <c r="Z4569" s="47">
        <f t="shared" si="1006"/>
        <v>4620</v>
      </c>
      <c r="AA4569" s="47"/>
      <c r="AB4569" s="47"/>
      <c r="AC4569" s="47"/>
      <c r="AD4569" s="47"/>
      <c r="AE4569" s="47"/>
      <c r="AF4569" s="47"/>
      <c r="AG4569" s="47"/>
      <c r="AH4569" s="47">
        <f>IFERROR(_xlfn.XLOOKUP(Table6[[#This Row],[Suburb]],Table5[Travel Surcharge],Table5[$$]),"")</f>
        <v>7000</v>
      </c>
      <c r="AI4569" s="47"/>
      <c r="AJ4569" s="47"/>
    </row>
    <row r="4570" spans="1:36">
      <c r="A4570" s="374" t="s">
        <v>6617</v>
      </c>
      <c r="B4570" s="374">
        <v>60</v>
      </c>
      <c r="C4570" s="374" t="s">
        <v>287</v>
      </c>
      <c r="D4570" s="375" t="str">
        <f t="shared" si="1013"/>
        <v>Waterford Rise Estate60</v>
      </c>
      <c r="E4570" s="375" t="s">
        <v>6627</v>
      </c>
      <c r="F4570" s="375" t="s">
        <v>1428</v>
      </c>
      <c r="G4570" s="375" t="s">
        <v>6619</v>
      </c>
      <c r="H4570" s="375" t="s">
        <v>6526</v>
      </c>
      <c r="I4570" s="63"/>
      <c r="J4570" s="47"/>
      <c r="K4570" s="46" t="s">
        <v>314</v>
      </c>
      <c r="L4570" s="47"/>
      <c r="M4570" s="47"/>
      <c r="N4570" s="47" t="s">
        <v>6620</v>
      </c>
      <c r="O4570" s="47"/>
      <c r="P4570" s="47"/>
      <c r="Q4570" s="47"/>
      <c r="R4570" s="47"/>
      <c r="S4570" s="47"/>
      <c r="T4570" s="47">
        <f t="shared" si="1020"/>
        <v>780</v>
      </c>
      <c r="U4570" s="47"/>
      <c r="V4570" s="47"/>
      <c r="W4570" s="47"/>
      <c r="X4570" s="47"/>
      <c r="Y4570" s="47"/>
      <c r="Z4570" s="47">
        <f t="shared" ref="Z4570:Z4639" si="1021">Z$7</f>
        <v>4620</v>
      </c>
      <c r="AA4570" s="47"/>
      <c r="AB4570" s="47"/>
      <c r="AC4570" s="47"/>
      <c r="AD4570" s="47"/>
      <c r="AE4570" s="47"/>
      <c r="AF4570" s="47"/>
      <c r="AG4570" s="47"/>
      <c r="AH4570" s="47">
        <f>IFERROR(_xlfn.XLOOKUP(Table6[[#This Row],[Suburb]],Table5[Travel Surcharge],Table5[$$]),"")</f>
        <v>7000</v>
      </c>
      <c r="AI4570" s="47"/>
      <c r="AJ4570" s="47"/>
    </row>
    <row r="4571" spans="1:36">
      <c r="A4571" s="374" t="s">
        <v>6617</v>
      </c>
      <c r="B4571" s="374">
        <v>61</v>
      </c>
      <c r="C4571" s="374" t="s">
        <v>287</v>
      </c>
      <c r="D4571" s="375" t="str">
        <f t="shared" si="1013"/>
        <v>Waterford Rise Estate61</v>
      </c>
      <c r="E4571" s="375" t="s">
        <v>6627</v>
      </c>
      <c r="F4571" s="375" t="s">
        <v>1428</v>
      </c>
      <c r="G4571" s="375" t="s">
        <v>6619</v>
      </c>
      <c r="H4571" s="375" t="s">
        <v>6526</v>
      </c>
      <c r="I4571" s="63"/>
      <c r="J4571" s="47"/>
      <c r="K4571" s="46" t="s">
        <v>314</v>
      </c>
      <c r="L4571" s="47"/>
      <c r="M4571" s="47"/>
      <c r="N4571" s="47" t="s">
        <v>6620</v>
      </c>
      <c r="O4571" s="47"/>
      <c r="P4571" s="47"/>
      <c r="Q4571" s="47"/>
      <c r="R4571" s="47"/>
      <c r="S4571" s="47"/>
      <c r="T4571" s="47">
        <f t="shared" si="1020"/>
        <v>780</v>
      </c>
      <c r="U4571" s="47"/>
      <c r="V4571" s="47"/>
      <c r="W4571" s="47"/>
      <c r="X4571" s="47"/>
      <c r="Y4571" s="47"/>
      <c r="Z4571" s="47">
        <f t="shared" si="1021"/>
        <v>4620</v>
      </c>
      <c r="AA4571" s="47"/>
      <c r="AB4571" s="47"/>
      <c r="AC4571" s="47"/>
      <c r="AD4571" s="47"/>
      <c r="AE4571" s="47"/>
      <c r="AF4571" s="47"/>
      <c r="AG4571" s="47"/>
      <c r="AH4571" s="47">
        <f>IFERROR(_xlfn.XLOOKUP(Table6[[#This Row],[Suburb]],Table5[Travel Surcharge],Table5[$$]),"")</f>
        <v>7000</v>
      </c>
      <c r="AI4571" s="47"/>
      <c r="AJ4571" s="47"/>
    </row>
    <row r="4572" spans="1:36">
      <c r="A4572" s="374" t="s">
        <v>6617</v>
      </c>
      <c r="B4572" s="374">
        <v>62</v>
      </c>
      <c r="C4572" s="374" t="s">
        <v>287</v>
      </c>
      <c r="D4572" s="375" t="str">
        <f t="shared" si="1013"/>
        <v>Waterford Rise Estate62</v>
      </c>
      <c r="E4572" s="375" t="s">
        <v>6628</v>
      </c>
      <c r="F4572" s="375" t="s">
        <v>1428</v>
      </c>
      <c r="G4572" s="375" t="s">
        <v>6619</v>
      </c>
      <c r="H4572" s="375" t="s">
        <v>6526</v>
      </c>
      <c r="I4572" s="63"/>
      <c r="J4572" s="47"/>
      <c r="K4572" s="46" t="s">
        <v>314</v>
      </c>
      <c r="L4572" s="47"/>
      <c r="M4572" s="47"/>
      <c r="N4572" s="47" t="s">
        <v>6620</v>
      </c>
      <c r="O4572" s="47"/>
      <c r="P4572" s="47"/>
      <c r="Q4572" s="47"/>
      <c r="R4572" s="47"/>
      <c r="S4572" s="47"/>
      <c r="T4572" s="47">
        <f t="shared" si="1020"/>
        <v>780</v>
      </c>
      <c r="U4572" s="47"/>
      <c r="V4572" s="47"/>
      <c r="W4572" s="47"/>
      <c r="X4572" s="47"/>
      <c r="Y4572" s="47"/>
      <c r="Z4572" s="47">
        <f t="shared" si="1021"/>
        <v>4620</v>
      </c>
      <c r="AA4572" s="47"/>
      <c r="AB4572" s="47"/>
      <c r="AC4572" s="47"/>
      <c r="AD4572" s="47"/>
      <c r="AE4572" s="47"/>
      <c r="AF4572" s="47"/>
      <c r="AG4572" s="47"/>
      <c r="AH4572" s="47">
        <f>IFERROR(_xlfn.XLOOKUP(Table6[[#This Row],[Suburb]],Table5[Travel Surcharge],Table5[$$]),"")</f>
        <v>7000</v>
      </c>
      <c r="AI4572" s="47"/>
      <c r="AJ4572" s="47"/>
    </row>
    <row r="4573" spans="1:36">
      <c r="A4573" s="374" t="s">
        <v>6617</v>
      </c>
      <c r="B4573" s="374">
        <v>63</v>
      </c>
      <c r="C4573" s="374" t="s">
        <v>287</v>
      </c>
      <c r="D4573" s="375" t="str">
        <f t="shared" ref="D4573:D4605" si="1022">CONCATENATE(A4573,B4573)</f>
        <v>Waterford Rise Estate63</v>
      </c>
      <c r="E4573" s="375" t="s">
        <v>6629</v>
      </c>
      <c r="F4573" s="375" t="s">
        <v>1428</v>
      </c>
      <c r="G4573" s="375" t="s">
        <v>6619</v>
      </c>
      <c r="H4573" s="375" t="s">
        <v>6526</v>
      </c>
      <c r="I4573" s="63"/>
      <c r="J4573" s="47"/>
      <c r="K4573" s="46" t="s">
        <v>314</v>
      </c>
      <c r="L4573" s="47"/>
      <c r="M4573" s="47"/>
      <c r="N4573" s="47" t="s">
        <v>6620</v>
      </c>
      <c r="O4573" s="47"/>
      <c r="P4573" s="47"/>
      <c r="Q4573" s="47"/>
      <c r="R4573" s="47"/>
      <c r="S4573" s="47"/>
      <c r="T4573" s="47">
        <f t="shared" si="1020"/>
        <v>780</v>
      </c>
      <c r="U4573" s="47"/>
      <c r="V4573" s="47"/>
      <c r="W4573" s="47"/>
      <c r="X4573" s="47"/>
      <c r="Y4573" s="47"/>
      <c r="Z4573" s="47">
        <f t="shared" si="1021"/>
        <v>4620</v>
      </c>
      <c r="AA4573" s="47"/>
      <c r="AB4573" s="47"/>
      <c r="AC4573" s="47"/>
      <c r="AD4573" s="47"/>
      <c r="AE4573" s="47"/>
      <c r="AF4573" s="47"/>
      <c r="AG4573" s="47"/>
      <c r="AH4573" s="47">
        <f>IFERROR(_xlfn.XLOOKUP(Table6[[#This Row],[Suburb]],Table5[Travel Surcharge],Table5[$$]),"")</f>
        <v>7000</v>
      </c>
      <c r="AI4573" s="47"/>
      <c r="AJ4573" s="47"/>
    </row>
    <row r="4574" spans="1:36">
      <c r="A4574" s="374" t="s">
        <v>6617</v>
      </c>
      <c r="B4574" s="374">
        <v>64</v>
      </c>
      <c r="C4574" s="374" t="s">
        <v>287</v>
      </c>
      <c r="D4574" s="375" t="str">
        <f t="shared" si="1022"/>
        <v>Waterford Rise Estate64</v>
      </c>
      <c r="E4574" s="375" t="s">
        <v>6629</v>
      </c>
      <c r="F4574" s="375" t="s">
        <v>1428</v>
      </c>
      <c r="G4574" s="375" t="s">
        <v>6619</v>
      </c>
      <c r="H4574" s="375" t="s">
        <v>6526</v>
      </c>
      <c r="I4574" s="63"/>
      <c r="J4574" s="47"/>
      <c r="K4574" s="46" t="s">
        <v>314</v>
      </c>
      <c r="L4574" s="47"/>
      <c r="M4574" s="47"/>
      <c r="N4574" s="47" t="s">
        <v>6620</v>
      </c>
      <c r="O4574" s="47"/>
      <c r="P4574" s="47"/>
      <c r="Q4574" s="47"/>
      <c r="R4574" s="47"/>
      <c r="S4574" s="47"/>
      <c r="T4574" s="47">
        <f t="shared" si="1020"/>
        <v>780</v>
      </c>
      <c r="U4574" s="47"/>
      <c r="V4574" s="47"/>
      <c r="W4574" s="47"/>
      <c r="X4574" s="47"/>
      <c r="Y4574" s="47"/>
      <c r="Z4574" s="47">
        <f t="shared" si="1021"/>
        <v>4620</v>
      </c>
      <c r="AA4574" s="47"/>
      <c r="AB4574" s="47"/>
      <c r="AC4574" s="47"/>
      <c r="AD4574" s="47"/>
      <c r="AE4574" s="47"/>
      <c r="AF4574" s="47"/>
      <c r="AG4574" s="47"/>
      <c r="AH4574" s="47">
        <f>IFERROR(_xlfn.XLOOKUP(Table6[[#This Row],[Suburb]],Table5[Travel Surcharge],Table5[$$]),"")</f>
        <v>7000</v>
      </c>
      <c r="AI4574" s="47"/>
      <c r="AJ4574" s="47"/>
    </row>
    <row r="4575" spans="1:36">
      <c r="A4575" s="374" t="s">
        <v>6617</v>
      </c>
      <c r="B4575" s="374">
        <v>66</v>
      </c>
      <c r="C4575" s="374" t="s">
        <v>287</v>
      </c>
      <c r="D4575" s="375" t="str">
        <f t="shared" si="1022"/>
        <v>Waterford Rise Estate66</v>
      </c>
      <c r="E4575" s="375" t="s">
        <v>6630</v>
      </c>
      <c r="F4575" s="375" t="s">
        <v>1428</v>
      </c>
      <c r="G4575" s="375" t="s">
        <v>6619</v>
      </c>
      <c r="H4575" s="375" t="s">
        <v>6526</v>
      </c>
      <c r="I4575" s="63"/>
      <c r="J4575" s="47"/>
      <c r="K4575" s="46" t="s">
        <v>314</v>
      </c>
      <c r="L4575" s="47"/>
      <c r="M4575" s="47"/>
      <c r="N4575" s="47" t="s">
        <v>6620</v>
      </c>
      <c r="O4575" s="47"/>
      <c r="P4575" s="47"/>
      <c r="Q4575" s="47"/>
      <c r="R4575" s="47"/>
      <c r="S4575" s="47"/>
      <c r="T4575" s="47">
        <f t="shared" si="1020"/>
        <v>780</v>
      </c>
      <c r="U4575" s="47"/>
      <c r="V4575" s="47"/>
      <c r="W4575" s="47"/>
      <c r="X4575" s="47"/>
      <c r="Y4575" s="47"/>
      <c r="Z4575" s="47">
        <f t="shared" si="1021"/>
        <v>4620</v>
      </c>
      <c r="AA4575" s="47"/>
      <c r="AB4575" s="47"/>
      <c r="AC4575" s="47"/>
      <c r="AD4575" s="47"/>
      <c r="AE4575" s="47"/>
      <c r="AF4575" s="47"/>
      <c r="AG4575" s="47"/>
      <c r="AH4575" s="47">
        <f>IFERROR(_xlfn.XLOOKUP(Table6[[#This Row],[Suburb]],Table5[Travel Surcharge],Table5[$$]),"")</f>
        <v>7000</v>
      </c>
      <c r="AI4575" s="47"/>
      <c r="AJ4575" s="47"/>
    </row>
    <row r="4576" spans="1:36">
      <c r="A4576" s="157" t="s">
        <v>6617</v>
      </c>
      <c r="B4576" s="157">
        <v>67</v>
      </c>
      <c r="C4576" s="157" t="s">
        <v>287</v>
      </c>
      <c r="D4576" s="157" t="str">
        <f t="shared" si="1022"/>
        <v>Waterford Rise Estate67</v>
      </c>
      <c r="E4576" s="157" t="s">
        <v>7918</v>
      </c>
      <c r="F4576" s="157" t="s">
        <v>1428</v>
      </c>
      <c r="G4576" s="157" t="s">
        <v>6619</v>
      </c>
      <c r="H4576" s="157" t="s">
        <v>6526</v>
      </c>
      <c r="I4576" s="158"/>
      <c r="J4576" s="47"/>
      <c r="K4576" s="46" t="s">
        <v>314</v>
      </c>
      <c r="L4576" s="47"/>
      <c r="M4576" s="47"/>
      <c r="N4576" s="47" t="s">
        <v>6620</v>
      </c>
      <c r="O4576" s="47"/>
      <c r="P4576" s="47"/>
      <c r="Q4576" s="47"/>
      <c r="R4576" s="47"/>
      <c r="S4576" s="47"/>
      <c r="T4576" s="47">
        <f t="shared" si="1020"/>
        <v>780</v>
      </c>
      <c r="U4576" s="47"/>
      <c r="V4576" s="47"/>
      <c r="W4576" s="47"/>
      <c r="X4576" s="47"/>
      <c r="Y4576" s="47"/>
      <c r="Z4576" s="47">
        <f t="shared" si="1021"/>
        <v>4620</v>
      </c>
      <c r="AA4576" s="47"/>
      <c r="AB4576" s="47"/>
      <c r="AC4576" s="47"/>
      <c r="AD4576" s="47"/>
      <c r="AE4576" s="47"/>
      <c r="AF4576" s="47"/>
      <c r="AG4576" s="47"/>
      <c r="AH4576" s="47">
        <f>IFERROR(_xlfn.XLOOKUP(Table6[[#This Row],[Suburb]],Table5[Travel Surcharge],Table5[$$]),"")</f>
        <v>7000</v>
      </c>
      <c r="AI4576" s="47"/>
      <c r="AJ4576" s="47"/>
    </row>
    <row r="4577" spans="1:36">
      <c r="A4577" s="157" t="s">
        <v>6617</v>
      </c>
      <c r="B4577" s="157">
        <v>68</v>
      </c>
      <c r="C4577" s="157" t="s">
        <v>8331</v>
      </c>
      <c r="D4577" s="157" t="str">
        <f t="shared" si="1022"/>
        <v>Waterford Rise Estate68</v>
      </c>
      <c r="E4577" s="157" t="s">
        <v>8333</v>
      </c>
      <c r="F4577" s="157" t="s">
        <v>1428</v>
      </c>
      <c r="G4577" s="157" t="s">
        <v>6619</v>
      </c>
      <c r="H4577" s="157" t="s">
        <v>8332</v>
      </c>
      <c r="I4577" s="158"/>
      <c r="J4577" s="47"/>
      <c r="K4577" s="46" t="s">
        <v>314</v>
      </c>
      <c r="L4577" s="47"/>
      <c r="M4577" s="47"/>
      <c r="N4577" s="47" t="s">
        <v>6620</v>
      </c>
      <c r="O4577" s="47"/>
      <c r="P4577" s="47"/>
      <c r="Q4577" s="47"/>
      <c r="R4577" s="47"/>
      <c r="S4577" s="47"/>
      <c r="T4577" s="47">
        <f t="shared" si="1020"/>
        <v>780</v>
      </c>
      <c r="U4577" s="47"/>
      <c r="V4577" s="47"/>
      <c r="W4577" s="47"/>
      <c r="X4577" s="47"/>
      <c r="Y4577" s="47"/>
      <c r="Z4577" s="47">
        <f t="shared" si="1021"/>
        <v>4620</v>
      </c>
      <c r="AA4577" s="47"/>
      <c r="AB4577" s="47"/>
      <c r="AC4577" s="47"/>
      <c r="AD4577" s="47"/>
      <c r="AE4577" s="47"/>
      <c r="AF4577" s="47"/>
      <c r="AG4577" s="47"/>
      <c r="AH4577" s="47" t="str">
        <f>IFERROR(_xlfn.XLOOKUP(Table6[[#This Row],[Suburb]],Table5[Travel Surcharge],Table5[$$]),"")</f>
        <v/>
      </c>
      <c r="AI4577" s="47"/>
      <c r="AJ4577" s="47"/>
    </row>
    <row r="4578" spans="1:36">
      <c r="A4578" s="374" t="s">
        <v>6617</v>
      </c>
      <c r="B4578" s="374">
        <v>71</v>
      </c>
      <c r="C4578" s="374" t="s">
        <v>287</v>
      </c>
      <c r="D4578" s="375" t="str">
        <f t="shared" si="1022"/>
        <v>Waterford Rise Estate71</v>
      </c>
      <c r="E4578" s="375" t="s">
        <v>6631</v>
      </c>
      <c r="F4578" s="375" t="s">
        <v>1428</v>
      </c>
      <c r="G4578" s="375" t="s">
        <v>6619</v>
      </c>
      <c r="H4578" s="375" t="s">
        <v>6526</v>
      </c>
      <c r="I4578" s="63"/>
      <c r="J4578" s="47"/>
      <c r="K4578" s="46" t="s">
        <v>314</v>
      </c>
      <c r="L4578" s="47"/>
      <c r="M4578" s="47"/>
      <c r="N4578" s="47" t="s">
        <v>6620</v>
      </c>
      <c r="O4578" s="47"/>
      <c r="P4578" s="47"/>
      <c r="Q4578" s="47"/>
      <c r="R4578" s="47"/>
      <c r="S4578" s="47"/>
      <c r="T4578" s="47">
        <f t="shared" si="1020"/>
        <v>780</v>
      </c>
      <c r="U4578" s="47"/>
      <c r="V4578" s="47"/>
      <c r="W4578" s="47"/>
      <c r="X4578" s="47"/>
      <c r="Y4578" s="47"/>
      <c r="Z4578" s="47">
        <f t="shared" si="1021"/>
        <v>4620</v>
      </c>
      <c r="AA4578" s="47"/>
      <c r="AB4578" s="47"/>
      <c r="AC4578" s="47"/>
      <c r="AD4578" s="47"/>
      <c r="AE4578" s="47"/>
      <c r="AF4578" s="47"/>
      <c r="AG4578" s="47"/>
      <c r="AH4578" s="47">
        <f>IFERROR(_xlfn.XLOOKUP(Table6[[#This Row],[Suburb]],Table5[Travel Surcharge],Table5[$$]),"")</f>
        <v>7000</v>
      </c>
      <c r="AI4578" s="47"/>
      <c r="AJ4578" s="47"/>
    </row>
    <row r="4579" spans="1:36">
      <c r="A4579" s="374" t="s">
        <v>6617</v>
      </c>
      <c r="B4579" s="374">
        <v>72</v>
      </c>
      <c r="C4579" s="374" t="s">
        <v>287</v>
      </c>
      <c r="D4579" s="375" t="str">
        <f t="shared" si="1022"/>
        <v>Waterford Rise Estate72</v>
      </c>
      <c r="E4579" s="375" t="s">
        <v>9010</v>
      </c>
      <c r="F4579" s="375" t="s">
        <v>1428</v>
      </c>
      <c r="G4579" s="375" t="s">
        <v>6619</v>
      </c>
      <c r="H4579" s="375" t="s">
        <v>6526</v>
      </c>
      <c r="I4579" s="63"/>
      <c r="J4579" s="47"/>
      <c r="K4579" s="46" t="s">
        <v>314</v>
      </c>
      <c r="L4579" s="47"/>
      <c r="M4579" s="47"/>
      <c r="N4579" s="47" t="s">
        <v>6620</v>
      </c>
      <c r="O4579" s="47"/>
      <c r="P4579" s="47"/>
      <c r="Q4579" s="47"/>
      <c r="R4579" s="47"/>
      <c r="S4579" s="47"/>
      <c r="T4579" s="47">
        <f t="shared" si="1020"/>
        <v>780</v>
      </c>
      <c r="U4579" s="47"/>
      <c r="V4579" s="47"/>
      <c r="W4579" s="47"/>
      <c r="X4579" s="47"/>
      <c r="Y4579" s="47"/>
      <c r="Z4579" s="47">
        <f t="shared" si="1021"/>
        <v>4620</v>
      </c>
      <c r="AA4579" s="47"/>
      <c r="AB4579" s="47"/>
      <c r="AC4579" s="47"/>
      <c r="AD4579" s="47"/>
      <c r="AE4579" s="47"/>
      <c r="AF4579" s="47"/>
      <c r="AG4579" s="47"/>
      <c r="AH4579" s="47">
        <f>IFERROR(_xlfn.XLOOKUP(Table6[[#This Row],[Suburb]],Table5[Travel Surcharge],Table5[$$]),"")</f>
        <v>7000</v>
      </c>
      <c r="AI4579" s="47"/>
      <c r="AJ4579" s="47"/>
    </row>
    <row r="4580" spans="1:36">
      <c r="A4580" s="374" t="s">
        <v>6632</v>
      </c>
      <c r="B4580" s="374">
        <v>1</v>
      </c>
      <c r="C4580" s="374" t="s">
        <v>675</v>
      </c>
      <c r="D4580" s="375" t="str">
        <f t="shared" si="1022"/>
        <v>Watergrass Estate1</v>
      </c>
      <c r="E4580" s="375" t="s">
        <v>6633</v>
      </c>
      <c r="F4580" s="375" t="s">
        <v>1731</v>
      </c>
      <c r="G4580" s="375" t="s">
        <v>1732</v>
      </c>
      <c r="H4580" s="375" t="s">
        <v>1733</v>
      </c>
      <c r="I4580" s="63" t="s">
        <v>1734</v>
      </c>
      <c r="J4580" s="47">
        <f>J$7</f>
        <v>3740</v>
      </c>
      <c r="K4580" s="46" t="s">
        <v>314</v>
      </c>
      <c r="L4580" s="47"/>
      <c r="M4580" s="47"/>
      <c r="N4580" s="47"/>
      <c r="O4580" s="47"/>
      <c r="P4580" s="47"/>
      <c r="Q4580" s="47"/>
      <c r="R4580" s="47"/>
      <c r="S4580" s="47" t="s">
        <v>463</v>
      </c>
      <c r="T4580" s="47"/>
      <c r="U4580" s="47"/>
      <c r="V4580" s="47"/>
      <c r="W4580" s="47"/>
      <c r="X4580" s="47"/>
      <c r="Y4580" s="47"/>
      <c r="Z4580" s="47">
        <f t="shared" si="1021"/>
        <v>4620</v>
      </c>
      <c r="AA4580" s="47"/>
      <c r="AB4580" s="47"/>
      <c r="AC4580" s="47"/>
      <c r="AD4580" s="47"/>
      <c r="AE4580" s="47"/>
      <c r="AF4580" s="47"/>
      <c r="AG4580" s="47"/>
      <c r="AH4580" s="47" t="str">
        <f>IFERROR(_xlfn.XLOOKUP(Table6[[#This Row],[Suburb]],Table5[Travel Surcharge],Table5[$$]),"")</f>
        <v/>
      </c>
      <c r="AI4580" s="47"/>
      <c r="AJ4580" s="47"/>
    </row>
    <row r="4581" spans="1:36">
      <c r="A4581" s="374" t="s">
        <v>6632</v>
      </c>
      <c r="B4581" s="374">
        <v>2</v>
      </c>
      <c r="C4581" s="374" t="s">
        <v>675</v>
      </c>
      <c r="D4581" s="375" t="str">
        <f t="shared" si="1022"/>
        <v>Watergrass Estate2</v>
      </c>
      <c r="E4581" s="375" t="s">
        <v>6634</v>
      </c>
      <c r="F4581" s="375" t="s">
        <v>1731</v>
      </c>
      <c r="G4581" s="375" t="s">
        <v>1732</v>
      </c>
      <c r="H4581" s="375" t="s">
        <v>1733</v>
      </c>
      <c r="I4581" s="63" t="s">
        <v>1734</v>
      </c>
      <c r="J4581" s="47">
        <f>J$7</f>
        <v>3740</v>
      </c>
      <c r="K4581" s="46" t="s">
        <v>314</v>
      </c>
      <c r="L4581" s="47"/>
      <c r="M4581" s="47"/>
      <c r="N4581" s="47"/>
      <c r="O4581" s="47"/>
      <c r="P4581" s="47"/>
      <c r="Q4581" s="47"/>
      <c r="R4581" s="47"/>
      <c r="S4581" s="47" t="s">
        <v>463</v>
      </c>
      <c r="T4581" s="47"/>
      <c r="U4581" s="47"/>
      <c r="V4581" s="47"/>
      <c r="W4581" s="47"/>
      <c r="X4581" s="47"/>
      <c r="Y4581" s="47"/>
      <c r="Z4581" s="47">
        <f t="shared" si="1021"/>
        <v>4620</v>
      </c>
      <c r="AA4581" s="47"/>
      <c r="AB4581" s="47"/>
      <c r="AC4581" s="47"/>
      <c r="AD4581" s="47"/>
      <c r="AE4581" s="47"/>
      <c r="AF4581" s="47"/>
      <c r="AG4581" s="47"/>
      <c r="AH4581" s="47" t="str">
        <f>IFERROR(_xlfn.XLOOKUP(Table6[[#This Row],[Suburb]],Table5[Travel Surcharge],Table5[$$]),"")</f>
        <v/>
      </c>
      <c r="AI4581" s="47"/>
      <c r="AJ4581" s="47"/>
    </row>
    <row r="4582" spans="1:36">
      <c r="A4582" s="374" t="s">
        <v>6632</v>
      </c>
      <c r="B4582" s="374" t="s">
        <v>501</v>
      </c>
      <c r="C4582" s="374" t="s">
        <v>675</v>
      </c>
      <c r="D4582" s="375" t="str">
        <f t="shared" si="1022"/>
        <v>Watergrass Estate1A</v>
      </c>
      <c r="E4582" s="375" t="s">
        <v>6635</v>
      </c>
      <c r="F4582" s="375" t="s">
        <v>1731</v>
      </c>
      <c r="G4582" s="375" t="s">
        <v>1732</v>
      </c>
      <c r="H4582" s="375" t="s">
        <v>1733</v>
      </c>
      <c r="I4582" s="63" t="s">
        <v>1734</v>
      </c>
      <c r="J4582" s="47">
        <f>J$7</f>
        <v>3740</v>
      </c>
      <c r="K4582" s="46" t="s">
        <v>314</v>
      </c>
      <c r="L4582" s="47"/>
      <c r="M4582" s="47"/>
      <c r="N4582" s="47"/>
      <c r="O4582" s="47"/>
      <c r="P4582" s="47"/>
      <c r="Q4582" s="47"/>
      <c r="R4582" s="47"/>
      <c r="S4582" s="47" t="s">
        <v>463</v>
      </c>
      <c r="T4582" s="47"/>
      <c r="U4582" s="47"/>
      <c r="V4582" s="47"/>
      <c r="W4582" s="47"/>
      <c r="X4582" s="47"/>
      <c r="Y4582" s="47"/>
      <c r="Z4582" s="47">
        <f t="shared" si="1021"/>
        <v>4620</v>
      </c>
      <c r="AA4582" s="47"/>
      <c r="AB4582" s="47"/>
      <c r="AC4582" s="47"/>
      <c r="AD4582" s="47"/>
      <c r="AE4582" s="47"/>
      <c r="AF4582" s="47"/>
      <c r="AG4582" s="47"/>
      <c r="AH4582" s="47" t="str">
        <f>IFERROR(_xlfn.XLOOKUP(Table6[[#This Row],[Suburb]],Table5[Travel Surcharge],Table5[$$]),"")</f>
        <v/>
      </c>
      <c r="AI4582" s="47"/>
      <c r="AJ4582" s="47"/>
    </row>
    <row r="4583" spans="1:36">
      <c r="A4583" s="374" t="s">
        <v>6636</v>
      </c>
      <c r="B4583" s="374">
        <v>12</v>
      </c>
      <c r="C4583" s="374" t="s">
        <v>1590</v>
      </c>
      <c r="D4583" s="375" t="str">
        <f t="shared" si="1022"/>
        <v>Waterhaven Estate12</v>
      </c>
      <c r="E4583" s="375" t="s">
        <v>6637</v>
      </c>
      <c r="F4583" s="375" t="s">
        <v>6638</v>
      </c>
      <c r="G4583" s="375" t="s">
        <v>6639</v>
      </c>
      <c r="H4583" s="375" t="s">
        <v>6640</v>
      </c>
      <c r="I4583" s="63" t="s">
        <v>6641</v>
      </c>
      <c r="J4583" s="47"/>
      <c r="K4583" s="46" t="s">
        <v>10735</v>
      </c>
      <c r="L4583" s="47"/>
      <c r="M4583" s="47"/>
      <c r="N4583" s="47" t="s">
        <v>6642</v>
      </c>
      <c r="O4583" s="47"/>
      <c r="P4583" s="47"/>
      <c r="Q4583" s="47"/>
      <c r="R4583" s="47"/>
      <c r="S4583" s="47"/>
      <c r="T4583" s="47">
        <f>T$2</f>
        <v>780</v>
      </c>
      <c r="U4583" s="47"/>
      <c r="V4583" s="47"/>
      <c r="W4583" s="47"/>
      <c r="X4583" s="47"/>
      <c r="Y4583" s="47"/>
      <c r="Z4583" s="47">
        <f t="shared" si="1021"/>
        <v>4620</v>
      </c>
      <c r="AA4583" s="47"/>
      <c r="AB4583" s="47"/>
      <c r="AC4583" s="47">
        <f>AC$7</f>
        <v>5200</v>
      </c>
      <c r="AD4583" s="47"/>
      <c r="AE4583" s="47"/>
      <c r="AF4583" s="47"/>
      <c r="AG4583" s="47"/>
      <c r="AH4583" s="47" t="str">
        <f>IFERROR(_xlfn.XLOOKUP(Table6[[#This Row],[Suburb]],Table5[Travel Surcharge],Table5[$$]),"")</f>
        <v/>
      </c>
      <c r="AI4583" s="47"/>
      <c r="AJ4583" s="47"/>
    </row>
    <row r="4584" spans="1:36">
      <c r="A4584" s="374" t="s">
        <v>6636</v>
      </c>
      <c r="B4584" s="374">
        <v>13</v>
      </c>
      <c r="C4584" s="374" t="s">
        <v>1590</v>
      </c>
      <c r="D4584" s="375" t="str">
        <f t="shared" si="1022"/>
        <v>Waterhaven Estate13</v>
      </c>
      <c r="E4584" s="375" t="s">
        <v>6643</v>
      </c>
      <c r="F4584" s="375" t="s">
        <v>6638</v>
      </c>
      <c r="G4584" s="375" t="s">
        <v>6639</v>
      </c>
      <c r="H4584" s="375" t="s">
        <v>6640</v>
      </c>
      <c r="I4584" s="63" t="s">
        <v>6641</v>
      </c>
      <c r="J4584" s="47"/>
      <c r="K4584" s="46" t="s">
        <v>10735</v>
      </c>
      <c r="L4584" s="47"/>
      <c r="M4584" s="47"/>
      <c r="N4584" s="47" t="s">
        <v>6642</v>
      </c>
      <c r="O4584" s="47"/>
      <c r="P4584" s="47"/>
      <c r="Q4584" s="47"/>
      <c r="R4584" s="47"/>
      <c r="S4584" s="47"/>
      <c r="T4584" s="47">
        <f>T$2</f>
        <v>780</v>
      </c>
      <c r="U4584" s="47"/>
      <c r="V4584" s="47"/>
      <c r="W4584" s="47"/>
      <c r="X4584" s="47"/>
      <c r="Y4584" s="47"/>
      <c r="Z4584" s="47">
        <f t="shared" si="1021"/>
        <v>4620</v>
      </c>
      <c r="AA4584" s="47"/>
      <c r="AB4584" s="47"/>
      <c r="AC4584" s="47">
        <f>AC$7</f>
        <v>5200</v>
      </c>
      <c r="AD4584" s="47"/>
      <c r="AE4584" s="47"/>
      <c r="AF4584" s="47"/>
      <c r="AG4584" s="47"/>
      <c r="AH4584" s="47" t="str">
        <f>IFERROR(_xlfn.XLOOKUP(Table6[[#This Row],[Suburb]],Table5[Travel Surcharge],Table5[$$]),"")</f>
        <v/>
      </c>
      <c r="AI4584" s="47"/>
      <c r="AJ4584" s="47"/>
    </row>
    <row r="4585" spans="1:36">
      <c r="A4585" s="374" t="s">
        <v>6644</v>
      </c>
      <c r="B4585" s="374">
        <v>1</v>
      </c>
      <c r="C4585" s="374" t="s">
        <v>284</v>
      </c>
      <c r="D4585" s="375" t="str">
        <f t="shared" si="1022"/>
        <v>Watermark Estate1</v>
      </c>
      <c r="E4585" s="375" t="s">
        <v>6645</v>
      </c>
      <c r="F4585" s="375" t="s">
        <v>3887</v>
      </c>
      <c r="G4585" s="375" t="s">
        <v>6646</v>
      </c>
      <c r="H4585" s="375" t="s">
        <v>6647</v>
      </c>
      <c r="I4585" s="63" t="s">
        <v>6648</v>
      </c>
      <c r="J4585" s="47">
        <f t="shared" ref="J4585:J4596" si="1023">J$7</f>
        <v>3740</v>
      </c>
      <c r="K4585" s="46" t="s">
        <v>10735</v>
      </c>
      <c r="L4585" s="47">
        <f t="shared" ref="L4585:L4596" si="1024">L$7</f>
        <v>1210</v>
      </c>
      <c r="M4585" s="47"/>
      <c r="N4585" s="47"/>
      <c r="O4585" s="47"/>
      <c r="P4585" s="47"/>
      <c r="Q4585" s="47"/>
      <c r="R4585" s="47"/>
      <c r="S4585" s="47" t="s">
        <v>4679</v>
      </c>
      <c r="T4585" s="47" t="s">
        <v>536</v>
      </c>
      <c r="U4585" s="47">
        <f t="shared" ref="U4585:U4596" si="1025">U$2</f>
        <v>430</v>
      </c>
      <c r="V4585" s="47"/>
      <c r="W4585" s="47"/>
      <c r="X4585" s="47"/>
      <c r="Y4585" s="47"/>
      <c r="Z4585" s="47">
        <f t="shared" si="1021"/>
        <v>4620</v>
      </c>
      <c r="AA4585" s="47"/>
      <c r="AB4585" s="47"/>
      <c r="AC4585" s="47"/>
      <c r="AD4585" s="47"/>
      <c r="AE4585" s="47"/>
      <c r="AF4585" s="47"/>
      <c r="AG4585" s="47" t="s">
        <v>1904</v>
      </c>
      <c r="AH4585" s="47">
        <f>IFERROR(_xlfn.XLOOKUP(Table6[[#This Row],[Suburb]],Table5[Travel Surcharge],Table5[$$]),"")</f>
        <v>1500</v>
      </c>
      <c r="AI4585" s="47"/>
      <c r="AJ4585" s="47"/>
    </row>
    <row r="4586" spans="1:36">
      <c r="A4586" s="374" t="s">
        <v>6644</v>
      </c>
      <c r="B4586" s="374">
        <v>2</v>
      </c>
      <c r="C4586" s="374" t="s">
        <v>284</v>
      </c>
      <c r="D4586" s="375" t="str">
        <f t="shared" si="1022"/>
        <v>Watermark Estate2</v>
      </c>
      <c r="E4586" s="375" t="s">
        <v>6649</v>
      </c>
      <c r="F4586" s="375" t="s">
        <v>3887</v>
      </c>
      <c r="G4586" s="375" t="s">
        <v>6646</v>
      </c>
      <c r="H4586" s="375" t="s">
        <v>6647</v>
      </c>
      <c r="I4586" s="63" t="s">
        <v>6648</v>
      </c>
      <c r="J4586" s="47">
        <f t="shared" si="1023"/>
        <v>3740</v>
      </c>
      <c r="K4586" s="46" t="s">
        <v>10735</v>
      </c>
      <c r="L4586" s="47">
        <f t="shared" si="1024"/>
        <v>1210</v>
      </c>
      <c r="M4586" s="47"/>
      <c r="N4586" s="47"/>
      <c r="O4586" s="47"/>
      <c r="P4586" s="47"/>
      <c r="Q4586" s="47"/>
      <c r="R4586" s="47"/>
      <c r="S4586" s="47" t="s">
        <v>4679</v>
      </c>
      <c r="T4586" s="47" t="s">
        <v>536</v>
      </c>
      <c r="U4586" s="47">
        <f t="shared" si="1025"/>
        <v>430</v>
      </c>
      <c r="V4586" s="47"/>
      <c r="W4586" s="47"/>
      <c r="X4586" s="47"/>
      <c r="Y4586" s="47"/>
      <c r="Z4586" s="47">
        <f t="shared" si="1021"/>
        <v>4620</v>
      </c>
      <c r="AA4586" s="47"/>
      <c r="AB4586" s="47"/>
      <c r="AC4586" s="47"/>
      <c r="AD4586" s="47"/>
      <c r="AE4586" s="47"/>
      <c r="AF4586" s="47"/>
      <c r="AG4586" s="47" t="s">
        <v>1904</v>
      </c>
      <c r="AH4586" s="47">
        <f>IFERROR(_xlfn.XLOOKUP(Table6[[#This Row],[Suburb]],Table5[Travel Surcharge],Table5[$$]),"")</f>
        <v>1500</v>
      </c>
      <c r="AI4586" s="47"/>
      <c r="AJ4586" s="47"/>
    </row>
    <row r="4587" spans="1:36">
      <c r="A4587" s="374" t="s">
        <v>6644</v>
      </c>
      <c r="B4587" s="374">
        <v>3</v>
      </c>
      <c r="C4587" s="374" t="s">
        <v>284</v>
      </c>
      <c r="D4587" s="375" t="str">
        <f t="shared" si="1022"/>
        <v>Watermark Estate3</v>
      </c>
      <c r="E4587" s="375" t="s">
        <v>6650</v>
      </c>
      <c r="F4587" s="375" t="s">
        <v>3887</v>
      </c>
      <c r="G4587" s="375" t="s">
        <v>6646</v>
      </c>
      <c r="H4587" s="375" t="s">
        <v>6647</v>
      </c>
      <c r="I4587" s="63" t="s">
        <v>6648</v>
      </c>
      <c r="J4587" s="47">
        <f t="shared" si="1023"/>
        <v>3740</v>
      </c>
      <c r="K4587" s="46" t="s">
        <v>10735</v>
      </c>
      <c r="L4587" s="47">
        <f t="shared" si="1024"/>
        <v>1210</v>
      </c>
      <c r="M4587" s="47"/>
      <c r="N4587" s="47"/>
      <c r="O4587" s="47"/>
      <c r="P4587" s="47"/>
      <c r="Q4587" s="47"/>
      <c r="R4587" s="47"/>
      <c r="S4587" s="47" t="s">
        <v>4679</v>
      </c>
      <c r="T4587" s="47" t="s">
        <v>536</v>
      </c>
      <c r="U4587" s="47">
        <f t="shared" si="1025"/>
        <v>430</v>
      </c>
      <c r="V4587" s="47"/>
      <c r="W4587" s="47"/>
      <c r="X4587" s="47"/>
      <c r="Y4587" s="47"/>
      <c r="Z4587" s="47">
        <f t="shared" si="1021"/>
        <v>4620</v>
      </c>
      <c r="AA4587" s="47"/>
      <c r="AB4587" s="47"/>
      <c r="AC4587" s="47"/>
      <c r="AD4587" s="47"/>
      <c r="AE4587" s="47"/>
      <c r="AF4587" s="47"/>
      <c r="AG4587" s="47" t="s">
        <v>1904</v>
      </c>
      <c r="AH4587" s="47">
        <f>IFERROR(_xlfn.XLOOKUP(Table6[[#This Row],[Suburb]],Table5[Travel Surcharge],Table5[$$]),"")</f>
        <v>1500</v>
      </c>
      <c r="AI4587" s="47"/>
      <c r="AJ4587" s="47"/>
    </row>
    <row r="4588" spans="1:36">
      <c r="A4588" s="374" t="s">
        <v>6644</v>
      </c>
      <c r="B4588" s="374">
        <v>4</v>
      </c>
      <c r="C4588" s="374" t="s">
        <v>284</v>
      </c>
      <c r="D4588" s="375" t="str">
        <f t="shared" si="1022"/>
        <v>Watermark Estate4</v>
      </c>
      <c r="E4588" s="375" t="s">
        <v>6651</v>
      </c>
      <c r="F4588" s="375" t="s">
        <v>3887</v>
      </c>
      <c r="G4588" s="375" t="s">
        <v>6646</v>
      </c>
      <c r="H4588" s="375" t="s">
        <v>6647</v>
      </c>
      <c r="I4588" s="63" t="s">
        <v>6648</v>
      </c>
      <c r="J4588" s="47">
        <f t="shared" si="1023"/>
        <v>3740</v>
      </c>
      <c r="K4588" s="46" t="s">
        <v>10735</v>
      </c>
      <c r="L4588" s="47">
        <f t="shared" si="1024"/>
        <v>1210</v>
      </c>
      <c r="M4588" s="47"/>
      <c r="N4588" s="47"/>
      <c r="O4588" s="47"/>
      <c r="P4588" s="47"/>
      <c r="Q4588" s="47"/>
      <c r="R4588" s="47"/>
      <c r="S4588" s="47" t="s">
        <v>4679</v>
      </c>
      <c r="T4588" s="47" t="s">
        <v>536</v>
      </c>
      <c r="U4588" s="47">
        <f t="shared" si="1025"/>
        <v>430</v>
      </c>
      <c r="V4588" s="47"/>
      <c r="W4588" s="47"/>
      <c r="X4588" s="47"/>
      <c r="Y4588" s="47"/>
      <c r="Z4588" s="47">
        <f t="shared" si="1021"/>
        <v>4620</v>
      </c>
      <c r="AA4588" s="47"/>
      <c r="AB4588" s="47"/>
      <c r="AC4588" s="47"/>
      <c r="AD4588" s="47"/>
      <c r="AE4588" s="47"/>
      <c r="AF4588" s="47"/>
      <c r="AG4588" s="47" t="s">
        <v>1904</v>
      </c>
      <c r="AH4588" s="47">
        <f>IFERROR(_xlfn.XLOOKUP(Table6[[#This Row],[Suburb]],Table5[Travel Surcharge],Table5[$$]),"")</f>
        <v>1500</v>
      </c>
      <c r="AI4588" s="47"/>
      <c r="AJ4588" s="47"/>
    </row>
    <row r="4589" spans="1:36">
      <c r="A4589" s="374" t="s">
        <v>6644</v>
      </c>
      <c r="B4589" s="374">
        <v>5</v>
      </c>
      <c r="C4589" s="374" t="s">
        <v>284</v>
      </c>
      <c r="D4589" s="375" t="str">
        <f t="shared" si="1022"/>
        <v>Watermark Estate5</v>
      </c>
      <c r="E4589" s="375" t="s">
        <v>6652</v>
      </c>
      <c r="F4589" s="375" t="s">
        <v>3887</v>
      </c>
      <c r="G4589" s="375" t="s">
        <v>6646</v>
      </c>
      <c r="H4589" s="375" t="s">
        <v>6647</v>
      </c>
      <c r="I4589" s="63" t="s">
        <v>6648</v>
      </c>
      <c r="J4589" s="47">
        <f t="shared" si="1023"/>
        <v>3740</v>
      </c>
      <c r="K4589" s="46" t="s">
        <v>10735</v>
      </c>
      <c r="L4589" s="47">
        <f t="shared" si="1024"/>
        <v>1210</v>
      </c>
      <c r="M4589" s="47"/>
      <c r="N4589" s="47"/>
      <c r="O4589" s="47"/>
      <c r="P4589" s="47"/>
      <c r="Q4589" s="47"/>
      <c r="R4589" s="47"/>
      <c r="S4589" s="47" t="s">
        <v>4679</v>
      </c>
      <c r="T4589" s="47" t="s">
        <v>536</v>
      </c>
      <c r="U4589" s="47">
        <f t="shared" si="1025"/>
        <v>430</v>
      </c>
      <c r="V4589" s="47"/>
      <c r="W4589" s="47"/>
      <c r="X4589" s="47"/>
      <c r="Y4589" s="47"/>
      <c r="Z4589" s="47">
        <f t="shared" si="1021"/>
        <v>4620</v>
      </c>
      <c r="AA4589" s="47"/>
      <c r="AB4589" s="47"/>
      <c r="AC4589" s="47"/>
      <c r="AD4589" s="47"/>
      <c r="AE4589" s="47"/>
      <c r="AF4589" s="47"/>
      <c r="AG4589" s="47" t="s">
        <v>1904</v>
      </c>
      <c r="AH4589" s="47">
        <f>IFERROR(_xlfn.XLOOKUP(Table6[[#This Row],[Suburb]],Table5[Travel Surcharge],Table5[$$]),"")</f>
        <v>1500</v>
      </c>
      <c r="AI4589" s="47"/>
      <c r="AJ4589" s="47"/>
    </row>
    <row r="4590" spans="1:36">
      <c r="A4590" s="374" t="s">
        <v>6644</v>
      </c>
      <c r="B4590" s="374">
        <v>6</v>
      </c>
      <c r="C4590" s="374" t="s">
        <v>284</v>
      </c>
      <c r="D4590" s="375" t="str">
        <f t="shared" si="1022"/>
        <v>Watermark Estate6</v>
      </c>
      <c r="E4590" s="375" t="s">
        <v>6653</v>
      </c>
      <c r="F4590" s="375" t="s">
        <v>3887</v>
      </c>
      <c r="G4590" s="375" t="s">
        <v>6646</v>
      </c>
      <c r="H4590" s="375" t="s">
        <v>6647</v>
      </c>
      <c r="I4590" s="63" t="s">
        <v>6648</v>
      </c>
      <c r="J4590" s="47">
        <f t="shared" si="1023"/>
        <v>3740</v>
      </c>
      <c r="K4590" s="46" t="s">
        <v>10735</v>
      </c>
      <c r="L4590" s="47">
        <f t="shared" si="1024"/>
        <v>1210</v>
      </c>
      <c r="M4590" s="47"/>
      <c r="N4590" s="47"/>
      <c r="O4590" s="47"/>
      <c r="P4590" s="47"/>
      <c r="Q4590" s="47"/>
      <c r="R4590" s="47"/>
      <c r="S4590" s="47" t="s">
        <v>4679</v>
      </c>
      <c r="T4590" s="47" t="s">
        <v>536</v>
      </c>
      <c r="U4590" s="47">
        <f t="shared" si="1025"/>
        <v>430</v>
      </c>
      <c r="V4590" s="47"/>
      <c r="W4590" s="47"/>
      <c r="X4590" s="47"/>
      <c r="Y4590" s="47"/>
      <c r="Z4590" s="47">
        <f t="shared" si="1021"/>
        <v>4620</v>
      </c>
      <c r="AA4590" s="47"/>
      <c r="AB4590" s="47"/>
      <c r="AC4590" s="47"/>
      <c r="AD4590" s="47"/>
      <c r="AE4590" s="47"/>
      <c r="AF4590" s="47"/>
      <c r="AG4590" s="47" t="s">
        <v>1904</v>
      </c>
      <c r="AH4590" s="47">
        <f>IFERROR(_xlfn.XLOOKUP(Table6[[#This Row],[Suburb]],Table5[Travel Surcharge],Table5[$$]),"")</f>
        <v>1500</v>
      </c>
      <c r="AI4590" s="47"/>
      <c r="AJ4590" s="47"/>
    </row>
    <row r="4591" spans="1:36">
      <c r="A4591" s="374" t="s">
        <v>6644</v>
      </c>
      <c r="B4591" s="374">
        <v>7</v>
      </c>
      <c r="C4591" s="374" t="s">
        <v>284</v>
      </c>
      <c r="D4591" s="375" t="str">
        <f t="shared" si="1022"/>
        <v>Watermark Estate7</v>
      </c>
      <c r="E4591" s="375" t="s">
        <v>6654</v>
      </c>
      <c r="F4591" s="375" t="s">
        <v>3887</v>
      </c>
      <c r="G4591" s="375" t="s">
        <v>6646</v>
      </c>
      <c r="H4591" s="375" t="s">
        <v>6647</v>
      </c>
      <c r="I4591" s="63" t="s">
        <v>6648</v>
      </c>
      <c r="J4591" s="47">
        <f t="shared" si="1023"/>
        <v>3740</v>
      </c>
      <c r="K4591" s="46" t="s">
        <v>10735</v>
      </c>
      <c r="L4591" s="47">
        <f t="shared" si="1024"/>
        <v>1210</v>
      </c>
      <c r="M4591" s="47"/>
      <c r="N4591" s="47"/>
      <c r="O4591" s="47"/>
      <c r="P4591" s="47"/>
      <c r="Q4591" s="47"/>
      <c r="R4591" s="47"/>
      <c r="S4591" s="47" t="s">
        <v>4679</v>
      </c>
      <c r="T4591" s="47" t="s">
        <v>536</v>
      </c>
      <c r="U4591" s="47">
        <f t="shared" si="1025"/>
        <v>430</v>
      </c>
      <c r="V4591" s="47"/>
      <c r="W4591" s="47"/>
      <c r="X4591" s="47"/>
      <c r="Y4591" s="47"/>
      <c r="Z4591" s="47">
        <f t="shared" si="1021"/>
        <v>4620</v>
      </c>
      <c r="AA4591" s="47"/>
      <c r="AB4591" s="47"/>
      <c r="AC4591" s="47"/>
      <c r="AD4591" s="47"/>
      <c r="AE4591" s="47"/>
      <c r="AF4591" s="47"/>
      <c r="AG4591" s="47" t="s">
        <v>1904</v>
      </c>
      <c r="AH4591" s="47">
        <f>IFERROR(_xlfn.XLOOKUP(Table6[[#This Row],[Suburb]],Table5[Travel Surcharge],Table5[$$]),"")</f>
        <v>1500</v>
      </c>
      <c r="AI4591" s="47"/>
      <c r="AJ4591" s="47"/>
    </row>
    <row r="4592" spans="1:36">
      <c r="A4592" s="374" t="s">
        <v>6644</v>
      </c>
      <c r="B4592" s="374">
        <v>8</v>
      </c>
      <c r="C4592" s="374" t="s">
        <v>284</v>
      </c>
      <c r="D4592" s="375" t="str">
        <f t="shared" si="1022"/>
        <v>Watermark Estate8</v>
      </c>
      <c r="E4592" s="375" t="s">
        <v>6655</v>
      </c>
      <c r="F4592" s="375" t="s">
        <v>3887</v>
      </c>
      <c r="G4592" s="375" t="s">
        <v>6646</v>
      </c>
      <c r="H4592" s="375" t="s">
        <v>6647</v>
      </c>
      <c r="I4592" s="63" t="s">
        <v>6648</v>
      </c>
      <c r="J4592" s="47">
        <f t="shared" si="1023"/>
        <v>3740</v>
      </c>
      <c r="K4592" s="46" t="s">
        <v>10735</v>
      </c>
      <c r="L4592" s="47">
        <f t="shared" si="1024"/>
        <v>1210</v>
      </c>
      <c r="M4592" s="47"/>
      <c r="N4592" s="47"/>
      <c r="O4592" s="47"/>
      <c r="P4592" s="47"/>
      <c r="Q4592" s="47"/>
      <c r="R4592" s="47"/>
      <c r="S4592" s="47" t="s">
        <v>4679</v>
      </c>
      <c r="T4592" s="47" t="s">
        <v>536</v>
      </c>
      <c r="U4592" s="47">
        <f t="shared" si="1025"/>
        <v>430</v>
      </c>
      <c r="V4592" s="47"/>
      <c r="W4592" s="47"/>
      <c r="X4592" s="47"/>
      <c r="Y4592" s="47"/>
      <c r="Z4592" s="47">
        <f t="shared" si="1021"/>
        <v>4620</v>
      </c>
      <c r="AA4592" s="47"/>
      <c r="AB4592" s="47"/>
      <c r="AC4592" s="47"/>
      <c r="AD4592" s="47"/>
      <c r="AE4592" s="47"/>
      <c r="AF4592" s="47"/>
      <c r="AG4592" s="47" t="s">
        <v>1904</v>
      </c>
      <c r="AH4592" s="47">
        <f>IFERROR(_xlfn.XLOOKUP(Table6[[#This Row],[Suburb]],Table5[Travel Surcharge],Table5[$$]),"")</f>
        <v>1500</v>
      </c>
      <c r="AI4592" s="47"/>
      <c r="AJ4592" s="47"/>
    </row>
    <row r="4593" spans="1:36">
      <c r="A4593" s="374" t="s">
        <v>6644</v>
      </c>
      <c r="B4593" s="374">
        <v>9</v>
      </c>
      <c r="C4593" s="374" t="s">
        <v>284</v>
      </c>
      <c r="D4593" s="375" t="str">
        <f t="shared" si="1022"/>
        <v>Watermark Estate9</v>
      </c>
      <c r="E4593" s="375" t="s">
        <v>6656</v>
      </c>
      <c r="F4593" s="375" t="s">
        <v>3887</v>
      </c>
      <c r="G4593" s="375" t="s">
        <v>6646</v>
      </c>
      <c r="H4593" s="375" t="s">
        <v>6647</v>
      </c>
      <c r="I4593" s="63" t="s">
        <v>6648</v>
      </c>
      <c r="J4593" s="47">
        <f t="shared" si="1023"/>
        <v>3740</v>
      </c>
      <c r="K4593" s="46" t="s">
        <v>10735</v>
      </c>
      <c r="L4593" s="47">
        <f t="shared" si="1024"/>
        <v>1210</v>
      </c>
      <c r="M4593" s="47"/>
      <c r="N4593" s="47"/>
      <c r="O4593" s="47"/>
      <c r="P4593" s="47"/>
      <c r="Q4593" s="47"/>
      <c r="R4593" s="47"/>
      <c r="S4593" s="47" t="s">
        <v>4679</v>
      </c>
      <c r="T4593" s="47" t="s">
        <v>536</v>
      </c>
      <c r="U4593" s="47">
        <f t="shared" si="1025"/>
        <v>430</v>
      </c>
      <c r="V4593" s="47"/>
      <c r="W4593" s="47"/>
      <c r="X4593" s="47"/>
      <c r="Y4593" s="47"/>
      <c r="Z4593" s="47">
        <f t="shared" si="1021"/>
        <v>4620</v>
      </c>
      <c r="AA4593" s="47"/>
      <c r="AB4593" s="47"/>
      <c r="AC4593" s="47"/>
      <c r="AD4593" s="47"/>
      <c r="AE4593" s="47"/>
      <c r="AF4593" s="47"/>
      <c r="AG4593" s="47" t="s">
        <v>1904</v>
      </c>
      <c r="AH4593" s="47">
        <f>IFERROR(_xlfn.XLOOKUP(Table6[[#This Row],[Suburb]],Table5[Travel Surcharge],Table5[$$]),"")</f>
        <v>1500</v>
      </c>
      <c r="AI4593" s="47"/>
      <c r="AJ4593" s="47"/>
    </row>
    <row r="4594" spans="1:36">
      <c r="A4594" s="374" t="s">
        <v>6644</v>
      </c>
      <c r="B4594" s="374">
        <v>10</v>
      </c>
      <c r="C4594" s="374" t="s">
        <v>284</v>
      </c>
      <c r="D4594" s="375" t="str">
        <f t="shared" si="1022"/>
        <v>Watermark Estate10</v>
      </c>
      <c r="E4594" s="375" t="s">
        <v>6657</v>
      </c>
      <c r="F4594" s="375" t="s">
        <v>3887</v>
      </c>
      <c r="G4594" s="375" t="s">
        <v>6646</v>
      </c>
      <c r="H4594" s="375" t="s">
        <v>6647</v>
      </c>
      <c r="I4594" s="63" t="s">
        <v>6648</v>
      </c>
      <c r="J4594" s="47">
        <f t="shared" si="1023"/>
        <v>3740</v>
      </c>
      <c r="K4594" s="46" t="s">
        <v>10735</v>
      </c>
      <c r="L4594" s="47">
        <f t="shared" si="1024"/>
        <v>1210</v>
      </c>
      <c r="M4594" s="47"/>
      <c r="N4594" s="47"/>
      <c r="O4594" s="47"/>
      <c r="P4594" s="47"/>
      <c r="Q4594" s="47"/>
      <c r="R4594" s="47"/>
      <c r="S4594" s="47" t="s">
        <v>4679</v>
      </c>
      <c r="T4594" s="47" t="s">
        <v>536</v>
      </c>
      <c r="U4594" s="47">
        <f t="shared" si="1025"/>
        <v>430</v>
      </c>
      <c r="V4594" s="47"/>
      <c r="W4594" s="47"/>
      <c r="X4594" s="47"/>
      <c r="Y4594" s="47"/>
      <c r="Z4594" s="47">
        <f t="shared" si="1021"/>
        <v>4620</v>
      </c>
      <c r="AA4594" s="47"/>
      <c r="AB4594" s="47"/>
      <c r="AC4594" s="47"/>
      <c r="AD4594" s="47"/>
      <c r="AE4594" s="47"/>
      <c r="AF4594" s="47"/>
      <c r="AG4594" s="47" t="s">
        <v>1904</v>
      </c>
      <c r="AH4594" s="47">
        <f>IFERROR(_xlfn.XLOOKUP(Table6[[#This Row],[Suburb]],Table5[Travel Surcharge],Table5[$$]),"")</f>
        <v>1500</v>
      </c>
      <c r="AI4594" s="47"/>
      <c r="AJ4594" s="47"/>
    </row>
    <row r="4595" spans="1:36">
      <c r="A4595" s="374" t="s">
        <v>6644</v>
      </c>
      <c r="B4595" s="374">
        <v>11</v>
      </c>
      <c r="C4595" s="374" t="s">
        <v>284</v>
      </c>
      <c r="D4595" s="375" t="str">
        <f t="shared" si="1022"/>
        <v>Watermark Estate11</v>
      </c>
      <c r="E4595" s="375" t="s">
        <v>6658</v>
      </c>
      <c r="F4595" s="375" t="s">
        <v>3887</v>
      </c>
      <c r="G4595" s="375" t="s">
        <v>6646</v>
      </c>
      <c r="H4595" s="375" t="s">
        <v>6647</v>
      </c>
      <c r="I4595" s="63" t="s">
        <v>6648</v>
      </c>
      <c r="J4595" s="47">
        <f t="shared" si="1023"/>
        <v>3740</v>
      </c>
      <c r="K4595" s="46" t="s">
        <v>10735</v>
      </c>
      <c r="L4595" s="47">
        <f t="shared" si="1024"/>
        <v>1210</v>
      </c>
      <c r="M4595" s="47"/>
      <c r="N4595" s="47"/>
      <c r="O4595" s="47"/>
      <c r="P4595" s="47"/>
      <c r="Q4595" s="47"/>
      <c r="R4595" s="47"/>
      <c r="S4595" s="47" t="s">
        <v>4679</v>
      </c>
      <c r="T4595" s="47" t="s">
        <v>536</v>
      </c>
      <c r="U4595" s="47">
        <f t="shared" si="1025"/>
        <v>430</v>
      </c>
      <c r="V4595" s="47"/>
      <c r="W4595" s="47"/>
      <c r="X4595" s="47"/>
      <c r="Y4595" s="47"/>
      <c r="Z4595" s="47">
        <f t="shared" si="1021"/>
        <v>4620</v>
      </c>
      <c r="AA4595" s="47"/>
      <c r="AB4595" s="47"/>
      <c r="AC4595" s="47"/>
      <c r="AD4595" s="47"/>
      <c r="AE4595" s="47"/>
      <c r="AF4595" s="47"/>
      <c r="AG4595" s="47" t="s">
        <v>1904</v>
      </c>
      <c r="AH4595" s="47">
        <f>IFERROR(_xlfn.XLOOKUP(Table6[[#This Row],[Suburb]],Table5[Travel Surcharge],Table5[$$]),"")</f>
        <v>1500</v>
      </c>
      <c r="AI4595" s="47"/>
      <c r="AJ4595" s="47"/>
    </row>
    <row r="4596" spans="1:36">
      <c r="A4596" s="374" t="s">
        <v>6644</v>
      </c>
      <c r="B4596" s="374">
        <v>12</v>
      </c>
      <c r="C4596" s="374" t="s">
        <v>284</v>
      </c>
      <c r="D4596" s="375" t="str">
        <f t="shared" si="1022"/>
        <v>Watermark Estate12</v>
      </c>
      <c r="E4596" s="375" t="s">
        <v>6659</v>
      </c>
      <c r="F4596" s="375" t="s">
        <v>3887</v>
      </c>
      <c r="G4596" s="375" t="s">
        <v>6646</v>
      </c>
      <c r="H4596" s="375" t="s">
        <v>6647</v>
      </c>
      <c r="I4596" s="63" t="s">
        <v>6648</v>
      </c>
      <c r="J4596" s="47">
        <f t="shared" si="1023"/>
        <v>3740</v>
      </c>
      <c r="K4596" s="46" t="s">
        <v>10735</v>
      </c>
      <c r="L4596" s="47">
        <f t="shared" si="1024"/>
        <v>1210</v>
      </c>
      <c r="M4596" s="47"/>
      <c r="N4596" s="47"/>
      <c r="O4596" s="47"/>
      <c r="P4596" s="47"/>
      <c r="Q4596" s="47"/>
      <c r="R4596" s="47"/>
      <c r="S4596" s="47" t="s">
        <v>4679</v>
      </c>
      <c r="T4596" s="47" t="s">
        <v>536</v>
      </c>
      <c r="U4596" s="47">
        <f t="shared" si="1025"/>
        <v>430</v>
      </c>
      <c r="V4596" s="47"/>
      <c r="W4596" s="47"/>
      <c r="X4596" s="47"/>
      <c r="Y4596" s="47"/>
      <c r="Z4596" s="47">
        <f t="shared" si="1021"/>
        <v>4620</v>
      </c>
      <c r="AA4596" s="47"/>
      <c r="AB4596" s="47"/>
      <c r="AC4596" s="47"/>
      <c r="AD4596" s="47"/>
      <c r="AE4596" s="47"/>
      <c r="AF4596" s="47"/>
      <c r="AG4596" s="47" t="s">
        <v>1904</v>
      </c>
      <c r="AH4596" s="47">
        <f>IFERROR(_xlfn.XLOOKUP(Table6[[#This Row],[Suburb]],Table5[Travel Surcharge],Table5[$$]),"")</f>
        <v>1500</v>
      </c>
      <c r="AI4596" s="47"/>
      <c r="AJ4596" s="47"/>
    </row>
    <row r="4597" spans="1:36">
      <c r="A4597" s="374" t="s">
        <v>6660</v>
      </c>
      <c r="B4597" s="374">
        <v>5</v>
      </c>
      <c r="C4597" s="374" t="s">
        <v>5982</v>
      </c>
      <c r="D4597" s="375" t="str">
        <f t="shared" si="1022"/>
        <v>Waterways5</v>
      </c>
      <c r="E4597" s="375" t="s">
        <v>6661</v>
      </c>
      <c r="F4597" s="375"/>
      <c r="G4597" s="375" t="s">
        <v>6662</v>
      </c>
      <c r="H4597" s="375" t="s">
        <v>6663</v>
      </c>
      <c r="I4597" s="63" t="s">
        <v>6664</v>
      </c>
      <c r="J4597" s="47"/>
      <c r="K4597" s="46" t="s">
        <v>10735</v>
      </c>
      <c r="L4597" s="47"/>
      <c r="M4597" s="47">
        <f>M$7</f>
        <v>1430.0000000000002</v>
      </c>
      <c r="N4597" s="47"/>
      <c r="O4597" s="47"/>
      <c r="P4597" s="47"/>
      <c r="Q4597" s="47"/>
      <c r="R4597" s="47">
        <f>R$2</f>
        <v>540</v>
      </c>
      <c r="S4597" s="47"/>
      <c r="T4597" s="47"/>
      <c r="U4597" s="47"/>
      <c r="V4597" s="47"/>
      <c r="W4597" s="47"/>
      <c r="X4597" s="47"/>
      <c r="Y4597" s="47"/>
      <c r="Z4597" s="47">
        <f t="shared" si="1021"/>
        <v>4620</v>
      </c>
      <c r="AA4597" s="47"/>
      <c r="AB4597" s="47" t="s">
        <v>6665</v>
      </c>
      <c r="AC4597" s="47"/>
      <c r="AD4597" s="47"/>
      <c r="AE4597" s="47"/>
      <c r="AF4597" s="47">
        <f>AF$7</f>
        <v>1485</v>
      </c>
      <c r="AG4597" s="47"/>
      <c r="AH4597" s="47" t="str">
        <f>IFERROR(_xlfn.XLOOKUP(Table6[[#This Row],[Suburb]],Table5[Travel Surcharge],Table5[$$]),"")</f>
        <v/>
      </c>
      <c r="AI4597" s="47"/>
      <c r="AJ4597" s="47"/>
    </row>
    <row r="4598" spans="1:36">
      <c r="A4598" s="374" t="s">
        <v>6660</v>
      </c>
      <c r="B4598" s="374">
        <v>6</v>
      </c>
      <c r="C4598" s="374" t="s">
        <v>5982</v>
      </c>
      <c r="D4598" s="375" t="str">
        <f t="shared" si="1022"/>
        <v>Waterways6</v>
      </c>
      <c r="E4598" s="375" t="s">
        <v>6666</v>
      </c>
      <c r="F4598" s="375"/>
      <c r="G4598" s="375" t="s">
        <v>6662</v>
      </c>
      <c r="H4598" s="375" t="s">
        <v>6663</v>
      </c>
      <c r="I4598" s="63" t="s">
        <v>6664</v>
      </c>
      <c r="J4598" s="47"/>
      <c r="K4598" s="46" t="s">
        <v>10735</v>
      </c>
      <c r="L4598" s="47"/>
      <c r="M4598" s="47">
        <f>M$7</f>
        <v>1430.0000000000002</v>
      </c>
      <c r="N4598" s="47"/>
      <c r="O4598" s="47"/>
      <c r="P4598" s="47"/>
      <c r="Q4598" s="47"/>
      <c r="R4598" s="47">
        <f>R$2</f>
        <v>540</v>
      </c>
      <c r="S4598" s="47"/>
      <c r="T4598" s="47"/>
      <c r="U4598" s="47"/>
      <c r="V4598" s="47"/>
      <c r="W4598" s="47"/>
      <c r="X4598" s="47"/>
      <c r="Y4598" s="47"/>
      <c r="Z4598" s="47">
        <f t="shared" si="1021"/>
        <v>4620</v>
      </c>
      <c r="AA4598" s="47"/>
      <c r="AB4598" s="47" t="s">
        <v>6665</v>
      </c>
      <c r="AC4598" s="47"/>
      <c r="AD4598" s="47"/>
      <c r="AE4598" s="47"/>
      <c r="AF4598" s="47">
        <f>AF$7</f>
        <v>1485</v>
      </c>
      <c r="AG4598" s="47"/>
      <c r="AH4598" s="47" t="str">
        <f>IFERROR(_xlfn.XLOOKUP(Table6[[#This Row],[Suburb]],Table5[Travel Surcharge],Table5[$$]),"")</f>
        <v/>
      </c>
      <c r="AI4598" s="47"/>
      <c r="AJ4598" s="47"/>
    </row>
    <row r="4599" spans="1:36">
      <c r="A4599" s="374" t="s">
        <v>10798</v>
      </c>
      <c r="B4599" s="374">
        <v>1</v>
      </c>
      <c r="C4599" s="374" t="s">
        <v>567</v>
      </c>
      <c r="D4599" s="375" t="str">
        <f>CONCATENATE(A4599,B4599)</f>
        <v>Watsons Reach1</v>
      </c>
      <c r="E4599" s="375" t="s">
        <v>10799</v>
      </c>
      <c r="F4599" s="375"/>
      <c r="G4599" s="375"/>
      <c r="H4599" s="375"/>
      <c r="I4599" s="63"/>
      <c r="J4599" s="47" t="s">
        <v>10803</v>
      </c>
      <c r="K4599" s="46" t="s">
        <v>10735</v>
      </c>
      <c r="L4599" s="47">
        <v>1210</v>
      </c>
      <c r="M4599" s="47" t="s">
        <v>10800</v>
      </c>
      <c r="N4599" s="47" t="s">
        <v>10801</v>
      </c>
      <c r="O4599" s="47" t="s">
        <v>10802</v>
      </c>
      <c r="P4599" s="47"/>
      <c r="Q4599" s="47"/>
      <c r="R4599" s="47"/>
      <c r="S4599" s="47"/>
      <c r="T4599" s="47">
        <v>780</v>
      </c>
      <c r="U4599" s="47"/>
      <c r="V4599" s="47"/>
      <c r="W4599" s="47"/>
      <c r="X4599" s="47"/>
      <c r="Y4599" s="47"/>
      <c r="Z4599" s="47">
        <f>Z$7</f>
        <v>4620</v>
      </c>
      <c r="AA4599" s="47">
        <v>1400</v>
      </c>
      <c r="AB4599" s="47"/>
      <c r="AC4599" s="47"/>
      <c r="AD4599" s="47"/>
      <c r="AE4599" s="47"/>
      <c r="AF4599" s="47">
        <v>1485</v>
      </c>
      <c r="AG4599" s="47"/>
      <c r="AH4599" s="47">
        <v>0</v>
      </c>
      <c r="AI4599" s="47"/>
      <c r="AJ4599" s="47"/>
    </row>
    <row r="4600" spans="1:36">
      <c r="A4600" s="374" t="s">
        <v>6667</v>
      </c>
      <c r="B4600" s="374">
        <v>1</v>
      </c>
      <c r="C4600" s="374" t="s">
        <v>1381</v>
      </c>
      <c r="D4600" s="375" t="str">
        <f t="shared" si="1022"/>
        <v>Wattle Estate1</v>
      </c>
      <c r="E4600" s="375" t="s">
        <v>6668</v>
      </c>
      <c r="F4600" s="375"/>
      <c r="G4600" s="375"/>
      <c r="H4600" s="375"/>
      <c r="I4600" s="63"/>
      <c r="J4600" s="47">
        <f>J$7</f>
        <v>3740</v>
      </c>
      <c r="K4600" s="46" t="s">
        <v>10735</v>
      </c>
      <c r="L4600" s="47"/>
      <c r="M4600" s="47">
        <f>M$7</f>
        <v>1430.0000000000002</v>
      </c>
      <c r="N4600" s="47" t="s">
        <v>6669</v>
      </c>
      <c r="O4600" s="47"/>
      <c r="P4600" s="47" t="s">
        <v>6670</v>
      </c>
      <c r="Q4600" s="47"/>
      <c r="R4600" s="47">
        <f>R$2</f>
        <v>540</v>
      </c>
      <c r="S4600" s="47"/>
      <c r="T4600" s="47"/>
      <c r="U4600" s="47"/>
      <c r="V4600" s="47"/>
      <c r="W4600" s="47"/>
      <c r="X4600" s="47"/>
      <c r="Y4600" s="47"/>
      <c r="Z4600" s="47">
        <f t="shared" si="1021"/>
        <v>4620</v>
      </c>
      <c r="AA4600" s="47">
        <f>AA$7</f>
        <v>1400</v>
      </c>
      <c r="AB4600" s="47"/>
      <c r="AC4600" s="47"/>
      <c r="AD4600" s="47"/>
      <c r="AE4600" s="47"/>
      <c r="AF4600" s="47"/>
      <c r="AG4600" s="47"/>
      <c r="AH4600" s="47" t="str">
        <f>IFERROR(_xlfn.XLOOKUP(Table6[[#This Row],[Suburb]],Table5[Travel Surcharge],Table5[$$]),"")</f>
        <v/>
      </c>
      <c r="AI4600" s="47"/>
      <c r="AJ4600" s="47"/>
    </row>
    <row r="4601" spans="1:36">
      <c r="A4601" s="374" t="s">
        <v>6667</v>
      </c>
      <c r="B4601" s="374">
        <v>2</v>
      </c>
      <c r="C4601" s="374" t="s">
        <v>1381</v>
      </c>
      <c r="D4601" s="375" t="str">
        <f t="shared" si="1022"/>
        <v>Wattle Estate2</v>
      </c>
      <c r="E4601" s="375" t="s">
        <v>6671</v>
      </c>
      <c r="F4601" s="375"/>
      <c r="G4601" s="375"/>
      <c r="H4601" s="375"/>
      <c r="I4601" s="63"/>
      <c r="J4601" s="47">
        <f>J$7</f>
        <v>3740</v>
      </c>
      <c r="K4601" s="46" t="s">
        <v>10735</v>
      </c>
      <c r="L4601" s="47"/>
      <c r="M4601" s="47">
        <f>M$7</f>
        <v>1430.0000000000002</v>
      </c>
      <c r="N4601" s="47" t="s">
        <v>6669</v>
      </c>
      <c r="O4601" s="47"/>
      <c r="P4601" s="47" t="s">
        <v>6670</v>
      </c>
      <c r="Q4601" s="47"/>
      <c r="R4601" s="47">
        <f>R$2</f>
        <v>540</v>
      </c>
      <c r="S4601" s="47"/>
      <c r="T4601" s="47"/>
      <c r="U4601" s="47"/>
      <c r="V4601" s="47"/>
      <c r="W4601" s="47"/>
      <c r="X4601" s="47"/>
      <c r="Y4601" s="47"/>
      <c r="Z4601" s="47">
        <f t="shared" si="1021"/>
        <v>4620</v>
      </c>
      <c r="AA4601" s="47">
        <f>AA$7</f>
        <v>1400</v>
      </c>
      <c r="AB4601" s="47"/>
      <c r="AC4601" s="47"/>
      <c r="AD4601" s="47"/>
      <c r="AE4601" s="47"/>
      <c r="AF4601" s="47"/>
      <c r="AG4601" s="47"/>
      <c r="AH4601" s="47" t="str">
        <f>IFERROR(_xlfn.XLOOKUP(Table6[[#This Row],[Suburb]],Table5[Travel Surcharge],Table5[$$]),"")</f>
        <v/>
      </c>
      <c r="AI4601" s="47"/>
      <c r="AJ4601" s="47"/>
    </row>
    <row r="4602" spans="1:36">
      <c r="A4602" s="374" t="s">
        <v>6667</v>
      </c>
      <c r="B4602" s="374">
        <v>3</v>
      </c>
      <c r="C4602" s="374" t="s">
        <v>1381</v>
      </c>
      <c r="D4602" s="375" t="str">
        <f t="shared" si="1022"/>
        <v>Wattle Estate3</v>
      </c>
      <c r="E4602" s="375" t="s">
        <v>9537</v>
      </c>
      <c r="F4602" s="375"/>
      <c r="G4602" s="375"/>
      <c r="H4602" s="375"/>
      <c r="I4602" s="63"/>
      <c r="J4602" s="47">
        <f>J$7</f>
        <v>3740</v>
      </c>
      <c r="K4602" s="46" t="s">
        <v>10735</v>
      </c>
      <c r="L4602" s="47"/>
      <c r="M4602" s="47">
        <f>M$7</f>
        <v>1430.0000000000002</v>
      </c>
      <c r="N4602" s="47" t="s">
        <v>6669</v>
      </c>
      <c r="O4602" s="47"/>
      <c r="P4602" s="47" t="s">
        <v>6670</v>
      </c>
      <c r="Q4602" s="47"/>
      <c r="R4602" s="47">
        <f>R$2</f>
        <v>540</v>
      </c>
      <c r="S4602" s="47"/>
      <c r="T4602" s="47"/>
      <c r="U4602" s="47"/>
      <c r="V4602" s="47"/>
      <c r="W4602" s="47"/>
      <c r="X4602" s="47"/>
      <c r="Y4602" s="47"/>
      <c r="Z4602" s="47">
        <f t="shared" si="1021"/>
        <v>4620</v>
      </c>
      <c r="AA4602" s="47">
        <f>AA$7</f>
        <v>1400</v>
      </c>
      <c r="AB4602" s="47"/>
      <c r="AC4602" s="47"/>
      <c r="AD4602" s="47"/>
      <c r="AE4602" s="47"/>
      <c r="AF4602" s="47"/>
      <c r="AG4602" s="47"/>
      <c r="AH4602" s="47" t="str">
        <f>IFERROR(_xlfn.XLOOKUP(Table6[[#This Row],[Suburb]],Table5[Travel Surcharge],Table5[$$]),"")</f>
        <v/>
      </c>
      <c r="AI4602" s="47"/>
      <c r="AJ4602" s="47"/>
    </row>
    <row r="4603" spans="1:36">
      <c r="A4603" s="374" t="s">
        <v>6680</v>
      </c>
      <c r="B4603" s="374">
        <v>1</v>
      </c>
      <c r="C4603" s="374" t="s">
        <v>2794</v>
      </c>
      <c r="D4603" s="375" t="str">
        <f t="shared" si="1022"/>
        <v>Wattle Grove Estate1</v>
      </c>
      <c r="E4603" s="375" t="s">
        <v>6681</v>
      </c>
      <c r="F4603" s="375" t="s">
        <v>6682</v>
      </c>
      <c r="G4603" s="375" t="s">
        <v>6683</v>
      </c>
      <c r="H4603" s="375" t="s">
        <v>6684</v>
      </c>
      <c r="I4603" s="63" t="s">
        <v>1368</v>
      </c>
      <c r="J4603" s="47"/>
      <c r="K4603" s="46" t="s">
        <v>7938</v>
      </c>
      <c r="L4603" s="47"/>
      <c r="M4603" s="47"/>
      <c r="N4603" s="47"/>
      <c r="O4603" s="47"/>
      <c r="P4603" s="47"/>
      <c r="Q4603" s="47">
        <f>Q$2</f>
        <v>0</v>
      </c>
      <c r="R4603" s="47" t="s">
        <v>6685</v>
      </c>
      <c r="S4603" s="47"/>
      <c r="T4603" s="47"/>
      <c r="U4603" s="47"/>
      <c r="V4603" s="47"/>
      <c r="W4603" s="47"/>
      <c r="X4603" s="47"/>
      <c r="Y4603" s="47"/>
      <c r="Z4603" s="47">
        <f t="shared" si="1021"/>
        <v>4620</v>
      </c>
      <c r="AA4603" s="47"/>
      <c r="AB4603" s="47"/>
      <c r="AC4603" s="47"/>
      <c r="AD4603" s="47"/>
      <c r="AE4603" s="47"/>
      <c r="AF4603" s="47"/>
      <c r="AG4603" s="47"/>
      <c r="AH4603" s="47" t="str">
        <f>IFERROR(_xlfn.XLOOKUP(Table6[[#This Row],[Suburb]],Table5[Travel Surcharge],Table5[$$]),"")</f>
        <v/>
      </c>
      <c r="AI4603" s="47"/>
      <c r="AJ4603" s="47"/>
    </row>
    <row r="4604" spans="1:36">
      <c r="A4604" s="374" t="s">
        <v>6680</v>
      </c>
      <c r="B4604" s="374">
        <v>2</v>
      </c>
      <c r="C4604" s="374" t="s">
        <v>2794</v>
      </c>
      <c r="D4604" s="375" t="str">
        <f t="shared" si="1022"/>
        <v>Wattle Grove Estate2</v>
      </c>
      <c r="E4604" s="375" t="s">
        <v>6686</v>
      </c>
      <c r="F4604" s="375" t="s">
        <v>6682</v>
      </c>
      <c r="G4604" s="375" t="s">
        <v>6683</v>
      </c>
      <c r="H4604" s="375" t="s">
        <v>6684</v>
      </c>
      <c r="I4604" s="63" t="s">
        <v>1368</v>
      </c>
      <c r="J4604" s="47"/>
      <c r="K4604" s="46" t="s">
        <v>7938</v>
      </c>
      <c r="L4604" s="47"/>
      <c r="M4604" s="47"/>
      <c r="N4604" s="47"/>
      <c r="O4604" s="47"/>
      <c r="P4604" s="47"/>
      <c r="Q4604" s="47">
        <f>Q$2</f>
        <v>0</v>
      </c>
      <c r="R4604" s="47" t="s">
        <v>6685</v>
      </c>
      <c r="S4604" s="47"/>
      <c r="T4604" s="47"/>
      <c r="U4604" s="47"/>
      <c r="V4604" s="47"/>
      <c r="W4604" s="47"/>
      <c r="X4604" s="47"/>
      <c r="Y4604" s="47"/>
      <c r="Z4604" s="47">
        <f t="shared" si="1021"/>
        <v>4620</v>
      </c>
      <c r="AA4604" s="47"/>
      <c r="AB4604" s="47"/>
      <c r="AC4604" s="47"/>
      <c r="AD4604" s="47"/>
      <c r="AE4604" s="47"/>
      <c r="AF4604" s="47"/>
      <c r="AG4604" s="47"/>
      <c r="AH4604" s="47" t="str">
        <f>IFERROR(_xlfn.XLOOKUP(Table6[[#This Row],[Suburb]],Table5[Travel Surcharge],Table5[$$]),"")</f>
        <v/>
      </c>
      <c r="AI4604" s="47"/>
      <c r="AJ4604" s="47"/>
    </row>
    <row r="4605" spans="1:36">
      <c r="A4605" s="374" t="s">
        <v>6680</v>
      </c>
      <c r="B4605" s="374">
        <v>3</v>
      </c>
      <c r="C4605" s="374" t="s">
        <v>2794</v>
      </c>
      <c r="D4605" s="375" t="str">
        <f t="shared" si="1022"/>
        <v>Wattle Grove Estate3</v>
      </c>
      <c r="E4605" s="375" t="s">
        <v>6687</v>
      </c>
      <c r="F4605" s="375" t="s">
        <v>6682</v>
      </c>
      <c r="G4605" s="375" t="s">
        <v>6683</v>
      </c>
      <c r="H4605" s="375" t="s">
        <v>6684</v>
      </c>
      <c r="I4605" s="63" t="s">
        <v>1368</v>
      </c>
      <c r="J4605" s="47"/>
      <c r="K4605" s="46" t="s">
        <v>7938</v>
      </c>
      <c r="L4605" s="47"/>
      <c r="M4605" s="47"/>
      <c r="N4605" s="47"/>
      <c r="O4605" s="47"/>
      <c r="P4605" s="47"/>
      <c r="Q4605" s="47">
        <f>Q$2</f>
        <v>0</v>
      </c>
      <c r="R4605" s="47" t="s">
        <v>6685</v>
      </c>
      <c r="S4605" s="47"/>
      <c r="T4605" s="47"/>
      <c r="U4605" s="47"/>
      <c r="V4605" s="47"/>
      <c r="W4605" s="47"/>
      <c r="X4605" s="47"/>
      <c r="Y4605" s="47"/>
      <c r="Z4605" s="47">
        <f t="shared" si="1021"/>
        <v>4620</v>
      </c>
      <c r="AA4605" s="47"/>
      <c r="AB4605" s="47"/>
      <c r="AC4605" s="47"/>
      <c r="AD4605" s="47"/>
      <c r="AE4605" s="47"/>
      <c r="AF4605" s="47"/>
      <c r="AG4605" s="47"/>
      <c r="AH4605" s="47" t="str">
        <f>IFERROR(_xlfn.XLOOKUP(Table6[[#This Row],[Suburb]],Table5[Travel Surcharge],Table5[$$]),"")</f>
        <v/>
      </c>
      <c r="AI4605" s="47"/>
      <c r="AJ4605" s="47"/>
    </row>
    <row r="4606" spans="1:36">
      <c r="A4606" s="374" t="s">
        <v>6680</v>
      </c>
      <c r="B4606" s="374">
        <v>4</v>
      </c>
      <c r="C4606" s="374" t="s">
        <v>2794</v>
      </c>
      <c r="D4606" s="375" t="str">
        <f t="shared" ref="D4606:D4642" si="1026">CONCATENATE(A4606,B4606)</f>
        <v>Wattle Grove Estate4</v>
      </c>
      <c r="E4606" s="375" t="s">
        <v>6688</v>
      </c>
      <c r="F4606" s="375" t="s">
        <v>6682</v>
      </c>
      <c r="G4606" s="375" t="s">
        <v>6683</v>
      </c>
      <c r="H4606" s="375" t="s">
        <v>6684</v>
      </c>
      <c r="I4606" s="63" t="s">
        <v>1368</v>
      </c>
      <c r="J4606" s="47"/>
      <c r="K4606" s="46" t="s">
        <v>7938</v>
      </c>
      <c r="L4606" s="47"/>
      <c r="M4606" s="47"/>
      <c r="N4606" s="47"/>
      <c r="O4606" s="47"/>
      <c r="P4606" s="47"/>
      <c r="Q4606" s="47">
        <f>Q$2</f>
        <v>0</v>
      </c>
      <c r="R4606" s="47" t="s">
        <v>6685</v>
      </c>
      <c r="S4606" s="47"/>
      <c r="T4606" s="47"/>
      <c r="U4606" s="47"/>
      <c r="V4606" s="47"/>
      <c r="W4606" s="47"/>
      <c r="X4606" s="47"/>
      <c r="Y4606" s="47"/>
      <c r="Z4606" s="47">
        <f t="shared" si="1021"/>
        <v>4620</v>
      </c>
      <c r="AA4606" s="47"/>
      <c r="AB4606" s="47"/>
      <c r="AC4606" s="47"/>
      <c r="AD4606" s="47"/>
      <c r="AE4606" s="47"/>
      <c r="AF4606" s="47"/>
      <c r="AG4606" s="47"/>
      <c r="AH4606" s="47" t="str">
        <f>IFERROR(_xlfn.XLOOKUP(Table6[[#This Row],[Suburb]],Table5[Travel Surcharge],Table5[$$]),"")</f>
        <v/>
      </c>
      <c r="AI4606" s="47"/>
      <c r="AJ4606" s="47"/>
    </row>
    <row r="4607" spans="1:36">
      <c r="A4607" s="374" t="s">
        <v>6680</v>
      </c>
      <c r="B4607" s="374">
        <v>5</v>
      </c>
      <c r="C4607" s="374" t="s">
        <v>2794</v>
      </c>
      <c r="D4607" s="375" t="str">
        <f t="shared" si="1026"/>
        <v>Wattle Grove Estate5</v>
      </c>
      <c r="E4607" s="375" t="s">
        <v>6689</v>
      </c>
      <c r="F4607" s="375" t="s">
        <v>6682</v>
      </c>
      <c r="G4607" s="375" t="s">
        <v>6683</v>
      </c>
      <c r="H4607" s="375" t="s">
        <v>6684</v>
      </c>
      <c r="I4607" s="63" t="s">
        <v>1368</v>
      </c>
      <c r="J4607" s="47"/>
      <c r="K4607" s="46" t="s">
        <v>7938</v>
      </c>
      <c r="L4607" s="47"/>
      <c r="M4607" s="47"/>
      <c r="N4607" s="47"/>
      <c r="O4607" s="47"/>
      <c r="P4607" s="47"/>
      <c r="Q4607" s="47">
        <f>Q$2</f>
        <v>0</v>
      </c>
      <c r="R4607" s="47" t="s">
        <v>6685</v>
      </c>
      <c r="S4607" s="47"/>
      <c r="T4607" s="47"/>
      <c r="U4607" s="47"/>
      <c r="V4607" s="47"/>
      <c r="W4607" s="47"/>
      <c r="X4607" s="47"/>
      <c r="Y4607" s="47"/>
      <c r="Z4607" s="47">
        <f t="shared" si="1021"/>
        <v>4620</v>
      </c>
      <c r="AA4607" s="47"/>
      <c r="AB4607" s="47"/>
      <c r="AC4607" s="47"/>
      <c r="AD4607" s="47"/>
      <c r="AE4607" s="47"/>
      <c r="AF4607" s="47"/>
      <c r="AG4607" s="47"/>
      <c r="AH4607" s="47" t="str">
        <f>IFERROR(_xlfn.XLOOKUP(Table6[[#This Row],[Suburb]],Table5[Travel Surcharge],Table5[$$]),"")</f>
        <v/>
      </c>
      <c r="AI4607" s="47"/>
      <c r="AJ4607" s="47"/>
    </row>
    <row r="4608" spans="1:36">
      <c r="A4608" s="157" t="s">
        <v>7950</v>
      </c>
      <c r="B4608" s="157">
        <v>1</v>
      </c>
      <c r="C4608" s="157" t="s">
        <v>502</v>
      </c>
      <c r="D4608" s="157" t="str">
        <f t="shared" si="1026"/>
        <v>Wattle Park1</v>
      </c>
      <c r="E4608" s="157" t="s">
        <v>8479</v>
      </c>
      <c r="F4608" s="157"/>
      <c r="G4608" s="157"/>
      <c r="H4608" s="157"/>
      <c r="I4608" s="158"/>
      <c r="J4608" s="47">
        <f>J$7</f>
        <v>3740</v>
      </c>
      <c r="K4608" s="46" t="s">
        <v>7938</v>
      </c>
      <c r="L4608" s="47" t="s">
        <v>7952</v>
      </c>
      <c r="M4608" s="47">
        <f>$M$7</f>
        <v>1430.0000000000002</v>
      </c>
      <c r="N4608" s="47"/>
      <c r="O4608" s="47"/>
      <c r="P4608" s="47"/>
      <c r="Q4608" s="47"/>
      <c r="R4608" s="47" t="s">
        <v>967</v>
      </c>
      <c r="S4608" s="47" t="s">
        <v>7957</v>
      </c>
      <c r="T4608" s="47"/>
      <c r="U4608" s="47"/>
      <c r="V4608" s="47"/>
      <c r="W4608" s="47" t="s">
        <v>7953</v>
      </c>
      <c r="X4608" s="47" t="s">
        <v>7954</v>
      </c>
      <c r="Y4608" s="47"/>
      <c r="Z4608" s="47">
        <f t="shared" si="1021"/>
        <v>4620</v>
      </c>
      <c r="AA4608" s="47"/>
      <c r="AB4608" s="47"/>
      <c r="AC4608" s="47"/>
      <c r="AD4608" s="47" t="s">
        <v>1</v>
      </c>
      <c r="AE4608" s="47"/>
      <c r="AF4608" s="47">
        <f>AF$7</f>
        <v>1485</v>
      </c>
      <c r="AG4608" s="47" t="s">
        <v>7956</v>
      </c>
      <c r="AH4608" s="47" t="str">
        <f>IFERROR(_xlfn.XLOOKUP(Table6[[#This Row],[Suburb]],Table5[Travel Surcharge],Table5[$$]),"")</f>
        <v/>
      </c>
      <c r="AI4608" s="47" t="s">
        <v>7955</v>
      </c>
      <c r="AJ4608" s="47"/>
    </row>
    <row r="4609" spans="1:36">
      <c r="A4609" s="157" t="s">
        <v>7950</v>
      </c>
      <c r="B4609" s="157">
        <v>2</v>
      </c>
      <c r="C4609" s="157" t="s">
        <v>502</v>
      </c>
      <c r="D4609" s="157" t="str">
        <f t="shared" si="1026"/>
        <v>Wattle Park2</v>
      </c>
      <c r="E4609" s="157" t="s">
        <v>9301</v>
      </c>
      <c r="F4609" s="157"/>
      <c r="G4609" s="157"/>
      <c r="H4609" s="157"/>
      <c r="I4609" s="158"/>
      <c r="J4609" s="47">
        <f>J$7</f>
        <v>3740</v>
      </c>
      <c r="K4609" s="46" t="s">
        <v>7938</v>
      </c>
      <c r="L4609" s="47" t="s">
        <v>7952</v>
      </c>
      <c r="M4609" s="47">
        <f>$M$7</f>
        <v>1430.0000000000002</v>
      </c>
      <c r="N4609" s="47"/>
      <c r="O4609" s="47"/>
      <c r="P4609" s="47"/>
      <c r="Q4609" s="47"/>
      <c r="R4609" s="47" t="s">
        <v>967</v>
      </c>
      <c r="S4609" s="47" t="s">
        <v>7957</v>
      </c>
      <c r="T4609" s="47"/>
      <c r="U4609" s="47"/>
      <c r="V4609" s="47"/>
      <c r="W4609" s="47" t="s">
        <v>7953</v>
      </c>
      <c r="X4609" s="47" t="s">
        <v>7954</v>
      </c>
      <c r="Y4609" s="47"/>
      <c r="Z4609" s="47">
        <f t="shared" si="1021"/>
        <v>4620</v>
      </c>
      <c r="AA4609" s="47"/>
      <c r="AB4609" s="47"/>
      <c r="AC4609" s="47"/>
      <c r="AD4609" s="47" t="s">
        <v>1</v>
      </c>
      <c r="AE4609" s="47"/>
      <c r="AF4609" s="47">
        <f>AF$7</f>
        <v>1485</v>
      </c>
      <c r="AG4609" s="47" t="s">
        <v>7956</v>
      </c>
      <c r="AH4609" s="47" t="str">
        <f>IFERROR(_xlfn.XLOOKUP(Table6[[#This Row],[Suburb]],Table5[Travel Surcharge],Table5[$$]),"")</f>
        <v/>
      </c>
      <c r="AI4609" s="47" t="s">
        <v>7955</v>
      </c>
      <c r="AJ4609" s="47"/>
    </row>
    <row r="4610" spans="1:36">
      <c r="A4610" s="157" t="s">
        <v>7950</v>
      </c>
      <c r="B4610" s="157">
        <v>3</v>
      </c>
      <c r="C4610" s="157" t="s">
        <v>502</v>
      </c>
      <c r="D4610" s="157" t="str">
        <f t="shared" si="1026"/>
        <v>Wattle Park3</v>
      </c>
      <c r="E4610" s="157" t="s">
        <v>7951</v>
      </c>
      <c r="F4610" s="157"/>
      <c r="G4610" s="157"/>
      <c r="H4610" s="157"/>
      <c r="I4610" s="158"/>
      <c r="J4610" s="47">
        <f>J$7</f>
        <v>3740</v>
      </c>
      <c r="K4610" s="46" t="s">
        <v>7938</v>
      </c>
      <c r="L4610" s="47" t="s">
        <v>7952</v>
      </c>
      <c r="M4610" s="47">
        <f>$M$7</f>
        <v>1430.0000000000002</v>
      </c>
      <c r="N4610" s="47"/>
      <c r="O4610" s="47"/>
      <c r="P4610" s="47"/>
      <c r="Q4610" s="47"/>
      <c r="R4610" s="47" t="s">
        <v>967</v>
      </c>
      <c r="S4610" s="47" t="s">
        <v>7957</v>
      </c>
      <c r="T4610" s="47"/>
      <c r="U4610" s="47"/>
      <c r="V4610" s="47"/>
      <c r="W4610" s="47" t="s">
        <v>7953</v>
      </c>
      <c r="X4610" s="47" t="s">
        <v>7954</v>
      </c>
      <c r="Y4610" s="47"/>
      <c r="Z4610" s="47">
        <f t="shared" si="1021"/>
        <v>4620</v>
      </c>
      <c r="AA4610" s="47"/>
      <c r="AB4610" s="47"/>
      <c r="AC4610" s="47"/>
      <c r="AD4610" s="47" t="s">
        <v>1</v>
      </c>
      <c r="AE4610" s="47"/>
      <c r="AF4610" s="47">
        <f>AF$7</f>
        <v>1485</v>
      </c>
      <c r="AG4610" s="47" t="s">
        <v>7956</v>
      </c>
      <c r="AH4610" s="47" t="str">
        <f>IFERROR(_xlfn.XLOOKUP(Table6[[#This Row],[Suburb]],Table5[Travel Surcharge],Table5[$$]),"")</f>
        <v/>
      </c>
      <c r="AI4610" s="47" t="s">
        <v>7955</v>
      </c>
      <c r="AJ4610" s="47"/>
    </row>
    <row r="4611" spans="1:36">
      <c r="A4611" s="157" t="s">
        <v>7950</v>
      </c>
      <c r="B4611" s="157">
        <v>4</v>
      </c>
      <c r="C4611" s="157" t="s">
        <v>502</v>
      </c>
      <c r="D4611" s="157" t="str">
        <f t="shared" si="1026"/>
        <v>Wattle Park4</v>
      </c>
      <c r="E4611" s="157" t="s">
        <v>8220</v>
      </c>
      <c r="F4611" s="157"/>
      <c r="G4611" s="157"/>
      <c r="H4611" s="157"/>
      <c r="I4611" s="158"/>
      <c r="J4611" s="47">
        <f>J$7</f>
        <v>3740</v>
      </c>
      <c r="K4611" s="46" t="s">
        <v>7938</v>
      </c>
      <c r="L4611" s="47" t="s">
        <v>7952</v>
      </c>
      <c r="M4611" s="47">
        <f>$M$7</f>
        <v>1430.0000000000002</v>
      </c>
      <c r="N4611" s="47"/>
      <c r="O4611" s="47"/>
      <c r="P4611" s="47"/>
      <c r="Q4611" s="47"/>
      <c r="R4611" s="47" t="s">
        <v>967</v>
      </c>
      <c r="S4611" s="47" t="s">
        <v>7957</v>
      </c>
      <c r="T4611" s="47"/>
      <c r="U4611" s="47"/>
      <c r="V4611" s="47"/>
      <c r="W4611" s="47" t="s">
        <v>7953</v>
      </c>
      <c r="X4611" s="47" t="s">
        <v>7954</v>
      </c>
      <c r="Y4611" s="47"/>
      <c r="Z4611" s="47">
        <f t="shared" si="1021"/>
        <v>4620</v>
      </c>
      <c r="AA4611" s="47"/>
      <c r="AB4611" s="47"/>
      <c r="AC4611" s="47" t="s">
        <v>8221</v>
      </c>
      <c r="AD4611" s="47" t="s">
        <v>1</v>
      </c>
      <c r="AE4611" s="47"/>
      <c r="AF4611" s="47">
        <f>AF$7</f>
        <v>1485</v>
      </c>
      <c r="AG4611" s="47" t="s">
        <v>7956</v>
      </c>
      <c r="AH4611" s="47" t="str">
        <f>IFERROR(_xlfn.XLOOKUP(Table6[[#This Row],[Suburb]],Table5[Travel Surcharge],Table5[$$]),"")</f>
        <v/>
      </c>
      <c r="AI4611" s="47" t="s">
        <v>7955</v>
      </c>
      <c r="AJ4611" s="47"/>
    </row>
    <row r="4612" spans="1:36">
      <c r="A4612" s="374" t="s">
        <v>7950</v>
      </c>
      <c r="B4612" s="374">
        <v>5</v>
      </c>
      <c r="C4612" s="374" t="s">
        <v>502</v>
      </c>
      <c r="D4612" s="375" t="str">
        <f t="shared" si="1026"/>
        <v>Wattle Park5</v>
      </c>
      <c r="E4612" s="375" t="s">
        <v>10280</v>
      </c>
      <c r="F4612" s="375"/>
      <c r="G4612" s="375"/>
      <c r="H4612" s="375"/>
      <c r="I4612" s="63"/>
      <c r="J4612" s="47">
        <v>3740</v>
      </c>
      <c r="K4612" s="46" t="s">
        <v>7938</v>
      </c>
      <c r="L4612" s="47" t="s">
        <v>7952</v>
      </c>
      <c r="M4612" s="47">
        <v>1430.0000000000002</v>
      </c>
      <c r="N4612" s="47"/>
      <c r="O4612" s="47"/>
      <c r="P4612" s="47"/>
      <c r="Q4612" s="47"/>
      <c r="R4612" s="47" t="s">
        <v>967</v>
      </c>
      <c r="S4612" s="47" t="s">
        <v>7957</v>
      </c>
      <c r="T4612" s="47"/>
      <c r="U4612" s="47"/>
      <c r="V4612" s="47"/>
      <c r="W4612" s="47" t="s">
        <v>7953</v>
      </c>
      <c r="X4612" s="47" t="s">
        <v>7954</v>
      </c>
      <c r="Y4612" s="47"/>
      <c r="Z4612" s="47">
        <v>4620</v>
      </c>
      <c r="AA4612" s="47"/>
      <c r="AB4612" s="47"/>
      <c r="AC4612" s="47" t="s">
        <v>8221</v>
      </c>
      <c r="AD4612" s="47" t="s">
        <v>1</v>
      </c>
      <c r="AE4612" s="47"/>
      <c r="AF4612" s="47">
        <v>1485</v>
      </c>
      <c r="AG4612" s="47" t="s">
        <v>7956</v>
      </c>
      <c r="AH4612" s="47" t="s">
        <v>9976</v>
      </c>
      <c r="AI4612" s="47" t="s">
        <v>7955</v>
      </c>
      <c r="AJ4612" s="47"/>
    </row>
    <row r="4613" spans="1:36">
      <c r="A4613" s="374" t="s">
        <v>7950</v>
      </c>
      <c r="B4613" s="374">
        <v>6</v>
      </c>
      <c r="C4613" s="374" t="s">
        <v>502</v>
      </c>
      <c r="D4613" s="375" t="str">
        <f t="shared" si="1026"/>
        <v>Wattle Park6</v>
      </c>
      <c r="E4613" s="375" t="s">
        <v>10157</v>
      </c>
      <c r="F4613" s="375"/>
      <c r="G4613" s="375"/>
      <c r="H4613" s="375"/>
      <c r="I4613" s="63"/>
      <c r="J4613" s="47">
        <v>3740</v>
      </c>
      <c r="K4613" s="46" t="s">
        <v>7938</v>
      </c>
      <c r="L4613" s="47" t="s">
        <v>7952</v>
      </c>
      <c r="M4613" s="47">
        <v>1430.0000000000002</v>
      </c>
      <c r="N4613" s="47"/>
      <c r="O4613" s="47"/>
      <c r="P4613" s="47"/>
      <c r="Q4613" s="47"/>
      <c r="R4613" s="47" t="s">
        <v>967</v>
      </c>
      <c r="S4613" s="47" t="s">
        <v>7957</v>
      </c>
      <c r="T4613" s="47"/>
      <c r="U4613" s="47"/>
      <c r="V4613" s="47"/>
      <c r="W4613" s="47" t="s">
        <v>7953</v>
      </c>
      <c r="X4613" s="47" t="s">
        <v>7954</v>
      </c>
      <c r="Y4613" s="47"/>
      <c r="Z4613" s="47">
        <v>4620</v>
      </c>
      <c r="AA4613" s="47"/>
      <c r="AB4613" s="47"/>
      <c r="AC4613" s="47" t="s">
        <v>8221</v>
      </c>
      <c r="AD4613" s="47" t="s">
        <v>1</v>
      </c>
      <c r="AE4613" s="47"/>
      <c r="AF4613" s="47">
        <v>1485</v>
      </c>
      <c r="AG4613" s="47" t="s">
        <v>7956</v>
      </c>
      <c r="AH4613" s="47" t="s">
        <v>9976</v>
      </c>
      <c r="AI4613" s="47" t="s">
        <v>7955</v>
      </c>
      <c r="AJ4613" s="47"/>
    </row>
    <row r="4614" spans="1:36">
      <c r="A4614" s="374" t="s">
        <v>7950</v>
      </c>
      <c r="B4614" s="374">
        <v>7</v>
      </c>
      <c r="C4614" s="374" t="s">
        <v>502</v>
      </c>
      <c r="D4614" s="375" t="str">
        <f t="shared" si="1026"/>
        <v>Wattle Park7</v>
      </c>
      <c r="E4614" s="375" t="s">
        <v>10239</v>
      </c>
      <c r="F4614" s="375"/>
      <c r="G4614" s="375"/>
      <c r="H4614" s="375"/>
      <c r="I4614" s="63"/>
      <c r="J4614" s="47">
        <v>3740</v>
      </c>
      <c r="K4614" s="46" t="s">
        <v>7938</v>
      </c>
      <c r="L4614" s="47" t="s">
        <v>7952</v>
      </c>
      <c r="M4614" s="47">
        <v>1430.0000000000002</v>
      </c>
      <c r="N4614" s="47"/>
      <c r="O4614" s="47"/>
      <c r="P4614" s="47"/>
      <c r="Q4614" s="47"/>
      <c r="R4614" s="47" t="s">
        <v>967</v>
      </c>
      <c r="S4614" s="47" t="s">
        <v>7957</v>
      </c>
      <c r="T4614" s="47"/>
      <c r="U4614" s="47"/>
      <c r="V4614" s="47"/>
      <c r="W4614" s="47" t="s">
        <v>7953</v>
      </c>
      <c r="X4614" s="47" t="s">
        <v>7954</v>
      </c>
      <c r="Y4614" s="47"/>
      <c r="Z4614" s="47">
        <v>4620</v>
      </c>
      <c r="AA4614" s="47"/>
      <c r="AB4614" s="47"/>
      <c r="AC4614" s="47" t="s">
        <v>8221</v>
      </c>
      <c r="AD4614" s="47" t="s">
        <v>1</v>
      </c>
      <c r="AE4614" s="47"/>
      <c r="AF4614" s="47">
        <v>1485</v>
      </c>
      <c r="AG4614" s="47" t="s">
        <v>7956</v>
      </c>
      <c r="AH4614" s="47" t="s">
        <v>9976</v>
      </c>
      <c r="AI4614" s="47" t="s">
        <v>7955</v>
      </c>
      <c r="AJ4614" s="47"/>
    </row>
    <row r="4615" spans="1:36">
      <c r="A4615" s="374" t="s">
        <v>6672</v>
      </c>
      <c r="B4615" s="374">
        <v>5</v>
      </c>
      <c r="C4615" s="374" t="s">
        <v>6673</v>
      </c>
      <c r="D4615" s="375" t="str">
        <f t="shared" si="1026"/>
        <v>Wattlewood Estate5</v>
      </c>
      <c r="E4615" s="375" t="s">
        <v>6674</v>
      </c>
      <c r="F4615" s="375" t="s">
        <v>6675</v>
      </c>
      <c r="G4615" s="375" t="s">
        <v>6676</v>
      </c>
      <c r="H4615" s="375" t="s">
        <v>6677</v>
      </c>
      <c r="I4615" s="63" t="s">
        <v>6678</v>
      </c>
      <c r="J4615" s="47"/>
      <c r="K4615" s="46" t="s">
        <v>10735</v>
      </c>
      <c r="L4615" s="47"/>
      <c r="M4615" s="47"/>
      <c r="N4615" s="47"/>
      <c r="O4615" s="47">
        <f>O$7</f>
        <v>4950</v>
      </c>
      <c r="P4615" s="47"/>
      <c r="Q4615" s="47"/>
      <c r="R4615" s="47" t="s">
        <v>6679</v>
      </c>
      <c r="S4615" s="47"/>
      <c r="T4615" s="47"/>
      <c r="U4615" s="47"/>
      <c r="V4615" s="47"/>
      <c r="W4615" s="47"/>
      <c r="X4615" s="47">
        <f>X$7</f>
        <v>3000</v>
      </c>
      <c r="Y4615" s="47"/>
      <c r="Z4615" s="47">
        <f t="shared" si="1021"/>
        <v>4620</v>
      </c>
      <c r="AA4615" s="47"/>
      <c r="AB4615" s="47"/>
      <c r="AC4615" s="47"/>
      <c r="AD4615" s="47"/>
      <c r="AE4615" s="47"/>
      <c r="AF4615" s="47"/>
      <c r="AG4615" s="47"/>
      <c r="AH4615" s="47" t="str">
        <f>IFERROR(_xlfn.XLOOKUP(Table6[[#This Row],[Suburb]],Table5[Travel Surcharge],Table5[$$]),"")</f>
        <v/>
      </c>
      <c r="AI4615" s="47"/>
      <c r="AJ4615" s="47"/>
    </row>
    <row r="4616" spans="1:36">
      <c r="A4616" s="374" t="s">
        <v>6690</v>
      </c>
      <c r="B4616" s="374">
        <v>16</v>
      </c>
      <c r="C4616" s="374" t="s">
        <v>6691</v>
      </c>
      <c r="D4616" s="375" t="str">
        <f t="shared" si="1026"/>
        <v>Waverley Park16</v>
      </c>
      <c r="E4616" s="375" t="s">
        <v>6692</v>
      </c>
      <c r="F4616" s="375" t="s">
        <v>3077</v>
      </c>
      <c r="G4616" s="375"/>
      <c r="H4616" s="375"/>
      <c r="I4616" s="63"/>
      <c r="J4616" s="47">
        <f>J$7</f>
        <v>3740</v>
      </c>
      <c r="K4616" s="46" t="s">
        <v>10735</v>
      </c>
      <c r="L4616" s="47" t="s">
        <v>6693</v>
      </c>
      <c r="M4616" s="47"/>
      <c r="N4616" s="47"/>
      <c r="O4616" s="47"/>
      <c r="P4616" s="47"/>
      <c r="Q4616" s="47"/>
      <c r="R4616" s="47"/>
      <c r="S4616" s="47"/>
      <c r="T4616" s="47"/>
      <c r="U4616" s="47">
        <f>U$2</f>
        <v>430</v>
      </c>
      <c r="V4616" s="47"/>
      <c r="W4616" s="47"/>
      <c r="X4616" s="47">
        <f>X$7</f>
        <v>3000</v>
      </c>
      <c r="Y4616" s="47"/>
      <c r="Z4616" s="47">
        <f t="shared" si="1021"/>
        <v>4620</v>
      </c>
      <c r="AA4616" s="47"/>
      <c r="AB4616" s="47"/>
      <c r="AC4616" s="47"/>
      <c r="AD4616" s="47"/>
      <c r="AE4616" s="47"/>
      <c r="AF4616" s="47">
        <f>AF$7</f>
        <v>1485</v>
      </c>
      <c r="AG4616" s="47"/>
      <c r="AH4616" s="47" t="str">
        <f>IFERROR(_xlfn.XLOOKUP(Table6[[#This Row],[Suburb]],Table5[Travel Surcharge],Table5[$$]),"")</f>
        <v/>
      </c>
      <c r="AI4616" s="47"/>
      <c r="AJ4616" s="47"/>
    </row>
    <row r="4617" spans="1:36">
      <c r="A4617" s="374" t="s">
        <v>6694</v>
      </c>
      <c r="B4617" s="374">
        <v>1</v>
      </c>
      <c r="C4617" s="374" t="s">
        <v>294</v>
      </c>
      <c r="D4617" s="375" t="str">
        <f t="shared" si="1026"/>
        <v>Webb1</v>
      </c>
      <c r="E4617" s="375" t="s">
        <v>6695</v>
      </c>
      <c r="F4617" s="375"/>
      <c r="G4617" s="375"/>
      <c r="H4617" s="375"/>
      <c r="I4617" s="63"/>
      <c r="J4617" s="47"/>
      <c r="K4617" s="46" t="s">
        <v>10735</v>
      </c>
      <c r="L4617" s="47"/>
      <c r="M4617" s="47"/>
      <c r="N4617" s="47"/>
      <c r="O4617" s="47">
        <v>4950</v>
      </c>
      <c r="P4617" s="47" t="s">
        <v>8788</v>
      </c>
      <c r="Q4617" s="47">
        <f>Q$2</f>
        <v>0</v>
      </c>
      <c r="R4617" s="47"/>
      <c r="S4617" s="47"/>
      <c r="T4617" s="47"/>
      <c r="U4617" s="47"/>
      <c r="V4617" s="47"/>
      <c r="W4617" s="47"/>
      <c r="X4617" s="47"/>
      <c r="Y4617" s="47"/>
      <c r="Z4617" s="47">
        <f t="shared" si="1021"/>
        <v>4620</v>
      </c>
      <c r="AA4617" s="47"/>
      <c r="AB4617" s="47"/>
      <c r="AC4617" s="47"/>
      <c r="AD4617" s="47"/>
      <c r="AE4617" s="47"/>
      <c r="AF4617" s="47"/>
      <c r="AG4617" s="47"/>
      <c r="AH4617" s="47">
        <f>IFERROR(_xlfn.XLOOKUP(Table6[[#This Row],[Suburb]],Table5[Travel Surcharge],Table5[$$]),"")</f>
        <v>8000</v>
      </c>
      <c r="AI4617" s="47"/>
      <c r="AJ4617" s="47">
        <f>AJ$7</f>
        <v>4400</v>
      </c>
    </row>
    <row r="4618" spans="1:36">
      <c r="A4618" s="374" t="s">
        <v>6694</v>
      </c>
      <c r="B4618" s="374">
        <v>2</v>
      </c>
      <c r="C4618" s="374" t="s">
        <v>294</v>
      </c>
      <c r="D4618" s="375" t="str">
        <f t="shared" si="1026"/>
        <v>Webb2</v>
      </c>
      <c r="E4618" s="375" t="s">
        <v>6696</v>
      </c>
      <c r="F4618" s="375"/>
      <c r="G4618" s="375"/>
      <c r="H4618" s="375"/>
      <c r="I4618" s="63"/>
      <c r="J4618" s="47"/>
      <c r="K4618" s="46" t="s">
        <v>10735</v>
      </c>
      <c r="L4618" s="47"/>
      <c r="M4618" s="47"/>
      <c r="N4618" s="47"/>
      <c r="O4618" s="47">
        <v>4950</v>
      </c>
      <c r="P4618" s="47" t="s">
        <v>8788</v>
      </c>
      <c r="Q4618" s="47">
        <f>Q$2</f>
        <v>0</v>
      </c>
      <c r="R4618" s="47"/>
      <c r="S4618" s="47"/>
      <c r="T4618" s="47"/>
      <c r="U4618" s="47"/>
      <c r="V4618" s="47"/>
      <c r="W4618" s="47"/>
      <c r="X4618" s="47"/>
      <c r="Y4618" s="47"/>
      <c r="Z4618" s="47">
        <f t="shared" si="1021"/>
        <v>4620</v>
      </c>
      <c r="AA4618" s="47"/>
      <c r="AB4618" s="47"/>
      <c r="AC4618" s="47"/>
      <c r="AD4618" s="47"/>
      <c r="AE4618" s="47"/>
      <c r="AF4618" s="47"/>
      <c r="AG4618" s="47"/>
      <c r="AH4618" s="47">
        <f>IFERROR(_xlfn.XLOOKUP(Table6[[#This Row],[Suburb]],Table5[Travel Surcharge],Table5[$$]),"")</f>
        <v>8000</v>
      </c>
      <c r="AI4618" s="47"/>
      <c r="AJ4618" s="47">
        <f>AJ$7</f>
        <v>4400</v>
      </c>
    </row>
    <row r="4619" spans="1:36">
      <c r="A4619" s="157" t="s">
        <v>8368</v>
      </c>
      <c r="B4619" s="157">
        <v>1</v>
      </c>
      <c r="C4619" s="157" t="s">
        <v>8369</v>
      </c>
      <c r="D4619" s="157" t="str">
        <f t="shared" si="1026"/>
        <v>Wedge Road. Skye 1</v>
      </c>
      <c r="E4619" s="157" t="s">
        <v>8370</v>
      </c>
      <c r="F4619" s="157" t="s">
        <v>8371</v>
      </c>
      <c r="G4619" s="157"/>
      <c r="H4619" s="157" t="s">
        <v>8373</v>
      </c>
      <c r="I4619" s="158" t="s">
        <v>8372</v>
      </c>
      <c r="J4619" s="47"/>
      <c r="K4619" s="46" t="s">
        <v>10735</v>
      </c>
      <c r="L4619" s="47" t="s">
        <v>8377</v>
      </c>
      <c r="M4619" s="47">
        <v>1430</v>
      </c>
      <c r="N4619" s="47"/>
      <c r="O4619" s="47">
        <v>4950</v>
      </c>
      <c r="P4619" s="47" t="s">
        <v>8374</v>
      </c>
      <c r="Q4619" s="47"/>
      <c r="R4619" s="47"/>
      <c r="S4619" s="47"/>
      <c r="T4619" s="47">
        <v>1420</v>
      </c>
      <c r="U4619" s="47"/>
      <c r="V4619" s="47" t="s">
        <v>8375</v>
      </c>
      <c r="W4619" s="47"/>
      <c r="X4619" s="47"/>
      <c r="Y4619" s="47"/>
      <c r="Z4619" s="47">
        <f t="shared" si="1021"/>
        <v>4620</v>
      </c>
      <c r="AA4619" s="47">
        <v>1400</v>
      </c>
      <c r="AB4619" s="47"/>
      <c r="AC4619" s="47"/>
      <c r="AD4619" s="47" t="s">
        <v>1</v>
      </c>
      <c r="AE4619" s="47" t="s">
        <v>8376</v>
      </c>
      <c r="AF4619" s="47"/>
      <c r="AG4619" s="47"/>
      <c r="AH4619" s="47" t="str">
        <f>IFERROR(_xlfn.XLOOKUP(Table6[[#This Row],[Suburb]],Table5[Travel Surcharge],Table5[$$]),"")</f>
        <v/>
      </c>
      <c r="AI4619" s="47"/>
      <c r="AJ4619" s="47"/>
    </row>
    <row r="4620" spans="1:36">
      <c r="A4620" s="157" t="s">
        <v>8368</v>
      </c>
      <c r="B4620" s="157">
        <v>2</v>
      </c>
      <c r="C4620" s="157" t="s">
        <v>8369</v>
      </c>
      <c r="D4620" s="157" t="str">
        <f t="shared" si="1026"/>
        <v>Wedge Road. Skye 2</v>
      </c>
      <c r="E4620" s="157" t="s">
        <v>8378</v>
      </c>
      <c r="F4620" s="157" t="s">
        <v>8371</v>
      </c>
      <c r="G4620" s="157"/>
      <c r="H4620" s="157" t="s">
        <v>8373</v>
      </c>
      <c r="I4620" s="158" t="s">
        <v>8372</v>
      </c>
      <c r="J4620" s="47"/>
      <c r="K4620" s="46" t="s">
        <v>10735</v>
      </c>
      <c r="L4620" s="47" t="s">
        <v>8377</v>
      </c>
      <c r="M4620" s="47">
        <v>1430</v>
      </c>
      <c r="N4620" s="47"/>
      <c r="O4620" s="47">
        <v>4950</v>
      </c>
      <c r="P4620" s="47" t="s">
        <v>8374</v>
      </c>
      <c r="Q4620" s="47"/>
      <c r="R4620" s="47"/>
      <c r="S4620" s="47"/>
      <c r="T4620" s="47">
        <v>1420</v>
      </c>
      <c r="U4620" s="47"/>
      <c r="V4620" s="47" t="s">
        <v>8375</v>
      </c>
      <c r="W4620" s="47"/>
      <c r="X4620" s="47"/>
      <c r="Y4620" s="47"/>
      <c r="Z4620" s="47">
        <f t="shared" si="1021"/>
        <v>4620</v>
      </c>
      <c r="AA4620" s="47">
        <v>1400</v>
      </c>
      <c r="AB4620" s="47"/>
      <c r="AC4620" s="47"/>
      <c r="AD4620" s="47" t="s">
        <v>1</v>
      </c>
      <c r="AE4620" s="47" t="s">
        <v>8376</v>
      </c>
      <c r="AF4620" s="47"/>
      <c r="AG4620" s="47"/>
      <c r="AH4620" s="47" t="str">
        <f>IFERROR(_xlfn.XLOOKUP(Table6[[#This Row],[Suburb]],Table5[Travel Surcharge],Table5[$$]),"")</f>
        <v/>
      </c>
      <c r="AI4620" s="47"/>
      <c r="AJ4620" s="47"/>
    </row>
    <row r="4621" spans="1:36">
      <c r="A4621" s="157" t="s">
        <v>8368</v>
      </c>
      <c r="B4621" s="157">
        <v>3</v>
      </c>
      <c r="C4621" s="157" t="s">
        <v>8369</v>
      </c>
      <c r="D4621" s="157" t="str">
        <f t="shared" si="1026"/>
        <v>Wedge Road. Skye 3</v>
      </c>
      <c r="E4621" s="157" t="s">
        <v>9476</v>
      </c>
      <c r="F4621" s="157" t="s">
        <v>8371</v>
      </c>
      <c r="G4621" s="157"/>
      <c r="H4621" s="157" t="s">
        <v>8373</v>
      </c>
      <c r="I4621" s="158" t="s">
        <v>8372</v>
      </c>
      <c r="J4621" s="47"/>
      <c r="K4621" s="46" t="s">
        <v>10735</v>
      </c>
      <c r="L4621" s="47" t="s">
        <v>8377</v>
      </c>
      <c r="M4621" s="47">
        <v>1430</v>
      </c>
      <c r="N4621" s="47"/>
      <c r="O4621" s="47">
        <v>4950</v>
      </c>
      <c r="P4621" s="47" t="s">
        <v>8374</v>
      </c>
      <c r="Q4621" s="47"/>
      <c r="R4621" s="47"/>
      <c r="S4621" s="47"/>
      <c r="T4621" s="47">
        <v>1420</v>
      </c>
      <c r="U4621" s="47"/>
      <c r="V4621" s="47" t="s">
        <v>8375</v>
      </c>
      <c r="W4621" s="47"/>
      <c r="X4621" s="47"/>
      <c r="Y4621" s="47"/>
      <c r="Z4621" s="47">
        <f t="shared" si="1021"/>
        <v>4620</v>
      </c>
      <c r="AA4621" s="47">
        <v>1400</v>
      </c>
      <c r="AB4621" s="47"/>
      <c r="AC4621" s="47"/>
      <c r="AD4621" s="47" t="s">
        <v>1</v>
      </c>
      <c r="AE4621" s="47" t="s">
        <v>8376</v>
      </c>
      <c r="AF4621" s="47"/>
      <c r="AG4621" s="47"/>
      <c r="AH4621" s="47" t="str">
        <f>IFERROR(_xlfn.XLOOKUP(Table6[[#This Row],[Suburb]],Table5[Travel Surcharge],Table5[$$]),"")</f>
        <v/>
      </c>
      <c r="AI4621" s="47"/>
      <c r="AJ4621" s="47"/>
    </row>
    <row r="4622" spans="1:36">
      <c r="A4622" s="374" t="s">
        <v>8368</v>
      </c>
      <c r="B4622" s="374">
        <v>4</v>
      </c>
      <c r="C4622" s="374" t="s">
        <v>8369</v>
      </c>
      <c r="D4622" s="157" t="str">
        <f t="shared" si="1026"/>
        <v>Wedge Road. Skye 4</v>
      </c>
      <c r="E4622" s="375" t="s">
        <v>10218</v>
      </c>
      <c r="F4622" s="375" t="s">
        <v>8371</v>
      </c>
      <c r="G4622" s="375"/>
      <c r="H4622" s="375" t="s">
        <v>8373</v>
      </c>
      <c r="I4622" s="63" t="s">
        <v>8372</v>
      </c>
      <c r="J4622" s="47"/>
      <c r="K4622" s="46" t="s">
        <v>10735</v>
      </c>
      <c r="L4622" s="47" t="s">
        <v>8377</v>
      </c>
      <c r="M4622" s="47">
        <v>1430</v>
      </c>
      <c r="N4622" s="47"/>
      <c r="O4622" s="47">
        <v>4950</v>
      </c>
      <c r="P4622" s="47" t="s">
        <v>8374</v>
      </c>
      <c r="Q4622" s="47"/>
      <c r="R4622" s="47"/>
      <c r="S4622" s="47"/>
      <c r="T4622" s="47">
        <v>1420</v>
      </c>
      <c r="U4622" s="47"/>
      <c r="V4622" s="47" t="s">
        <v>8375</v>
      </c>
      <c r="W4622" s="47"/>
      <c r="X4622" s="47"/>
      <c r="Y4622" s="47"/>
      <c r="Z4622" s="47">
        <v>4620</v>
      </c>
      <c r="AA4622" s="47">
        <v>1400</v>
      </c>
      <c r="AB4622" s="47"/>
      <c r="AC4622" s="47"/>
      <c r="AD4622" s="47" t="s">
        <v>1</v>
      </c>
      <c r="AE4622" s="47" t="s">
        <v>8376</v>
      </c>
      <c r="AF4622" s="47"/>
      <c r="AG4622" s="47"/>
      <c r="AH4622" s="47" t="s">
        <v>9976</v>
      </c>
      <c r="AI4622" s="47"/>
      <c r="AJ4622" s="47"/>
    </row>
    <row r="4623" spans="1:36">
      <c r="A4623" s="374" t="s">
        <v>6697</v>
      </c>
      <c r="B4623" s="374">
        <v>4</v>
      </c>
      <c r="C4623" s="374" t="s">
        <v>409</v>
      </c>
      <c r="D4623" s="375" t="str">
        <f t="shared" si="1026"/>
        <v>Wellington Rise Estate4</v>
      </c>
      <c r="E4623" s="375" t="s">
        <v>6698</v>
      </c>
      <c r="F4623" s="375" t="s">
        <v>3550</v>
      </c>
      <c r="G4623" s="375" t="s">
        <v>6699</v>
      </c>
      <c r="H4623" s="375" t="s">
        <v>6700</v>
      </c>
      <c r="I4623" s="63"/>
      <c r="J4623" s="47"/>
      <c r="K4623" s="46" t="s">
        <v>10735</v>
      </c>
      <c r="L4623" s="47"/>
      <c r="M4623" s="47"/>
      <c r="N4623" s="47" t="s">
        <v>6701</v>
      </c>
      <c r="O4623" s="47"/>
      <c r="P4623" s="47"/>
      <c r="Q4623" s="47">
        <f>Q$2</f>
        <v>0</v>
      </c>
      <c r="R4623" s="47"/>
      <c r="S4623" s="47" t="s">
        <v>4679</v>
      </c>
      <c r="T4623" s="47" t="s">
        <v>536</v>
      </c>
      <c r="U4623" s="47"/>
      <c r="V4623" s="47"/>
      <c r="W4623" s="47"/>
      <c r="X4623" s="47"/>
      <c r="Y4623" s="47"/>
      <c r="Z4623" s="47">
        <f t="shared" si="1021"/>
        <v>4620</v>
      </c>
      <c r="AA4623" s="47"/>
      <c r="AB4623" s="47"/>
      <c r="AC4623" s="47"/>
      <c r="AD4623" s="47"/>
      <c r="AE4623" s="47"/>
      <c r="AF4623" s="47"/>
      <c r="AG4623" s="47"/>
      <c r="AH4623" s="47" t="str">
        <f>IFERROR(_xlfn.XLOOKUP(Table6[[#This Row],[Suburb]],Table5[Travel Surcharge],Table5[$$]),"")</f>
        <v/>
      </c>
      <c r="AI4623" s="47"/>
      <c r="AJ4623" s="47"/>
    </row>
    <row r="4624" spans="1:36">
      <c r="A4624" s="374" t="s">
        <v>6697</v>
      </c>
      <c r="B4624" s="374">
        <v>5</v>
      </c>
      <c r="C4624" s="374" t="s">
        <v>409</v>
      </c>
      <c r="D4624" s="375" t="str">
        <f t="shared" si="1026"/>
        <v>Wellington Rise Estate5</v>
      </c>
      <c r="E4624" s="375" t="s">
        <v>6702</v>
      </c>
      <c r="F4624" s="375" t="s">
        <v>3550</v>
      </c>
      <c r="G4624" s="375" t="s">
        <v>6699</v>
      </c>
      <c r="H4624" s="375" t="s">
        <v>6700</v>
      </c>
      <c r="I4624" s="63"/>
      <c r="J4624" s="47"/>
      <c r="K4624" s="46" t="s">
        <v>10735</v>
      </c>
      <c r="L4624" s="47"/>
      <c r="M4624" s="47"/>
      <c r="N4624" s="47" t="s">
        <v>6701</v>
      </c>
      <c r="O4624" s="47"/>
      <c r="P4624" s="47"/>
      <c r="Q4624" s="47">
        <f>Q$2</f>
        <v>0</v>
      </c>
      <c r="R4624" s="47"/>
      <c r="S4624" s="47" t="s">
        <v>4679</v>
      </c>
      <c r="T4624" s="47" t="s">
        <v>536</v>
      </c>
      <c r="U4624" s="47"/>
      <c r="V4624" s="47"/>
      <c r="W4624" s="47"/>
      <c r="X4624" s="47"/>
      <c r="Y4624" s="47"/>
      <c r="Z4624" s="47">
        <f t="shared" si="1021"/>
        <v>4620</v>
      </c>
      <c r="AA4624" s="47"/>
      <c r="AB4624" s="47"/>
      <c r="AC4624" s="47"/>
      <c r="AD4624" s="47"/>
      <c r="AE4624" s="47"/>
      <c r="AF4624" s="47"/>
      <c r="AG4624" s="47"/>
      <c r="AH4624" s="47" t="str">
        <f>IFERROR(_xlfn.XLOOKUP(Table6[[#This Row],[Suburb]],Table5[Travel Surcharge],Table5[$$]),"")</f>
        <v/>
      </c>
      <c r="AI4624" s="47"/>
      <c r="AJ4624" s="47"/>
    </row>
    <row r="4625" spans="1:36">
      <c r="A4625" s="374" t="s">
        <v>6703</v>
      </c>
      <c r="B4625" s="374">
        <v>1</v>
      </c>
      <c r="C4625" s="374" t="s">
        <v>5483</v>
      </c>
      <c r="D4625" s="375" t="str">
        <f t="shared" si="1026"/>
        <v>Werona Waters Estate1</v>
      </c>
      <c r="E4625" s="375" t="s">
        <v>6704</v>
      </c>
      <c r="F4625" s="375" t="s">
        <v>6705</v>
      </c>
      <c r="G4625" s="375" t="s">
        <v>6706</v>
      </c>
      <c r="H4625" s="375" t="s">
        <v>6707</v>
      </c>
      <c r="I4625" s="63" t="s">
        <v>6708</v>
      </c>
      <c r="J4625" s="47"/>
      <c r="K4625" s="46" t="s">
        <v>10735</v>
      </c>
      <c r="L4625" s="47"/>
      <c r="M4625" s="47"/>
      <c r="N4625" s="47"/>
      <c r="O4625" s="47"/>
      <c r="P4625" s="47"/>
      <c r="Q4625" s="47">
        <f>Q$2</f>
        <v>0</v>
      </c>
      <c r="R4625" s="47"/>
      <c r="S4625" s="47"/>
      <c r="T4625" s="47"/>
      <c r="U4625" s="47"/>
      <c r="V4625" s="47"/>
      <c r="W4625" s="47"/>
      <c r="X4625" s="47"/>
      <c r="Y4625" s="47"/>
      <c r="Z4625" s="47">
        <f t="shared" si="1021"/>
        <v>4620</v>
      </c>
      <c r="AA4625" s="47"/>
      <c r="AB4625" s="47"/>
      <c r="AC4625" s="47"/>
      <c r="AD4625" s="47"/>
      <c r="AE4625" s="47"/>
      <c r="AF4625" s="47"/>
      <c r="AG4625" s="47"/>
      <c r="AH4625" s="47" t="str">
        <f>IFERROR(_xlfn.XLOOKUP(Table6[[#This Row],[Suburb]],Table5[Travel Surcharge],Table5[$$]),"")</f>
        <v/>
      </c>
      <c r="AI4625" s="47"/>
      <c r="AJ4625" s="47"/>
    </row>
    <row r="4626" spans="1:36">
      <c r="A4626" s="374" t="s">
        <v>9918</v>
      </c>
      <c r="B4626" s="374">
        <v>1</v>
      </c>
      <c r="C4626" s="374" t="s">
        <v>2371</v>
      </c>
      <c r="D4626" s="375" t="str">
        <f>CONCATENATE(A4626,B4626)</f>
        <v>Westbrook Kilmore1</v>
      </c>
      <c r="E4626" s="375" t="s">
        <v>8303</v>
      </c>
      <c r="F4626" s="375"/>
      <c r="G4626" s="375"/>
      <c r="H4626" s="375"/>
      <c r="I4626" s="63"/>
      <c r="J4626" s="47"/>
      <c r="K4626" s="46" t="s">
        <v>10735</v>
      </c>
      <c r="L4626" s="47"/>
      <c r="M4626" s="47"/>
      <c r="N4626" s="47"/>
      <c r="O4626" s="47">
        <v>4950</v>
      </c>
      <c r="P4626" s="47"/>
      <c r="Q4626" s="47">
        <v>0</v>
      </c>
      <c r="R4626" s="47"/>
      <c r="S4626" s="47"/>
      <c r="T4626" s="47"/>
      <c r="U4626" s="47"/>
      <c r="V4626" s="47"/>
      <c r="W4626" s="47"/>
      <c r="X4626" s="47"/>
      <c r="Y4626" s="47"/>
      <c r="Z4626" s="47">
        <f>Z$7</f>
        <v>4620</v>
      </c>
      <c r="AA4626" s="47"/>
      <c r="AB4626" s="47"/>
      <c r="AC4626" s="47"/>
      <c r="AD4626" s="47"/>
      <c r="AE4626" s="47"/>
      <c r="AF4626" s="47"/>
      <c r="AG4626" s="47" t="s">
        <v>9919</v>
      </c>
      <c r="AH4626" s="47">
        <f>IFERROR(_xlfn.XLOOKUP(Table6[[#This Row],[Suburb]],Table5[Travel Surcharge],Table5[$$]),"")</f>
        <v>4000</v>
      </c>
      <c r="AI4626" s="47" t="s">
        <v>9920</v>
      </c>
      <c r="AJ4626" s="47"/>
    </row>
    <row r="4627" spans="1:36">
      <c r="A4627" s="374" t="s">
        <v>7750</v>
      </c>
      <c r="B4627" s="374">
        <v>35</v>
      </c>
      <c r="C4627" s="374" t="s">
        <v>538</v>
      </c>
      <c r="D4627" s="375" t="str">
        <f t="shared" si="1026"/>
        <v>Westbrook Estate - Northern Precinct35</v>
      </c>
      <c r="E4627" s="375" t="s">
        <v>6721</v>
      </c>
      <c r="F4627" s="375" t="s">
        <v>6710</v>
      </c>
      <c r="G4627" s="375" t="s">
        <v>6711</v>
      </c>
      <c r="H4627" s="375" t="s">
        <v>6712</v>
      </c>
      <c r="I4627" s="63" t="s">
        <v>6713</v>
      </c>
      <c r="J4627" s="47">
        <f t="shared" ref="J4627:J4655" si="1027">J$7</f>
        <v>3740</v>
      </c>
      <c r="K4627" s="46" t="s">
        <v>7938</v>
      </c>
      <c r="L4627" s="47"/>
      <c r="M4627" s="47">
        <f t="shared" ref="M4627:M4655" si="1028">M$7</f>
        <v>1430.0000000000002</v>
      </c>
      <c r="N4627" s="47"/>
      <c r="O4627" s="47"/>
      <c r="P4627" s="47" t="s">
        <v>6714</v>
      </c>
      <c r="Q4627" s="47"/>
      <c r="R4627" s="47"/>
      <c r="S4627" s="47"/>
      <c r="T4627" s="47">
        <f t="shared" ref="T4627:T4655" si="1029">T$2</f>
        <v>780</v>
      </c>
      <c r="U4627" s="47" t="s">
        <v>7752</v>
      </c>
      <c r="V4627" s="47" t="s">
        <v>6715</v>
      </c>
      <c r="W4627" s="47"/>
      <c r="X4627" s="47"/>
      <c r="Y4627" s="47"/>
      <c r="Z4627" s="47">
        <f t="shared" si="1021"/>
        <v>4620</v>
      </c>
      <c r="AA4627" s="47">
        <v>1400</v>
      </c>
      <c r="AB4627" s="47"/>
      <c r="AC4627" s="47"/>
      <c r="AD4627" s="47"/>
      <c r="AE4627" s="47"/>
      <c r="AF4627" s="47">
        <f t="shared" ref="AF4627:AF4655" si="1030">AF$7</f>
        <v>1485</v>
      </c>
      <c r="AG4627" s="47"/>
      <c r="AH4627" s="47" t="str">
        <f>IFERROR(_xlfn.XLOOKUP(Table6[[#This Row],[Suburb]],Table5[Travel Surcharge],Table5[$$]),"")</f>
        <v/>
      </c>
      <c r="AI4627" s="47" t="s">
        <v>7753</v>
      </c>
      <c r="AJ4627" s="47"/>
    </row>
    <row r="4628" spans="1:36">
      <c r="A4628" s="374" t="s">
        <v>7750</v>
      </c>
      <c r="B4628" s="374">
        <v>36</v>
      </c>
      <c r="C4628" s="374" t="s">
        <v>538</v>
      </c>
      <c r="D4628" s="375" t="str">
        <f t="shared" si="1026"/>
        <v>Westbrook Estate - Northern Precinct36</v>
      </c>
      <c r="E4628" s="375" t="s">
        <v>6722</v>
      </c>
      <c r="F4628" s="375" t="s">
        <v>6710</v>
      </c>
      <c r="G4628" s="375" t="s">
        <v>6711</v>
      </c>
      <c r="H4628" s="375" t="s">
        <v>6712</v>
      </c>
      <c r="I4628" s="63" t="s">
        <v>6713</v>
      </c>
      <c r="J4628" s="47">
        <f t="shared" si="1027"/>
        <v>3740</v>
      </c>
      <c r="K4628" s="46" t="s">
        <v>7938</v>
      </c>
      <c r="L4628" s="47"/>
      <c r="M4628" s="47">
        <f t="shared" si="1028"/>
        <v>1430.0000000000002</v>
      </c>
      <c r="N4628" s="47"/>
      <c r="O4628" s="47"/>
      <c r="P4628" s="47" t="s">
        <v>6714</v>
      </c>
      <c r="Q4628" s="47"/>
      <c r="R4628" s="47"/>
      <c r="S4628" s="47"/>
      <c r="T4628" s="47">
        <f t="shared" si="1029"/>
        <v>780</v>
      </c>
      <c r="U4628" s="47" t="s">
        <v>7752</v>
      </c>
      <c r="V4628" s="47" t="s">
        <v>6715</v>
      </c>
      <c r="W4628" s="47"/>
      <c r="X4628" s="47"/>
      <c r="Y4628" s="47"/>
      <c r="Z4628" s="47">
        <f t="shared" si="1021"/>
        <v>4620</v>
      </c>
      <c r="AA4628" s="47">
        <v>1400</v>
      </c>
      <c r="AB4628" s="47"/>
      <c r="AC4628" s="47"/>
      <c r="AD4628" s="47"/>
      <c r="AE4628" s="47"/>
      <c r="AF4628" s="47">
        <f t="shared" si="1030"/>
        <v>1485</v>
      </c>
      <c r="AG4628" s="47"/>
      <c r="AH4628" s="47" t="str">
        <f>IFERROR(_xlfn.XLOOKUP(Table6[[#This Row],[Suburb]],Table5[Travel Surcharge],Table5[$$]),"")</f>
        <v/>
      </c>
      <c r="AI4628" s="47" t="s">
        <v>7753</v>
      </c>
      <c r="AJ4628" s="47"/>
    </row>
    <row r="4629" spans="1:36">
      <c r="A4629" s="374" t="s">
        <v>7750</v>
      </c>
      <c r="B4629" s="374">
        <v>37</v>
      </c>
      <c r="C4629" s="374" t="s">
        <v>538</v>
      </c>
      <c r="D4629" s="375" t="str">
        <f t="shared" si="1026"/>
        <v>Westbrook Estate - Northern Precinct37</v>
      </c>
      <c r="E4629" s="375" t="s">
        <v>6723</v>
      </c>
      <c r="F4629" s="375" t="s">
        <v>6710</v>
      </c>
      <c r="G4629" s="375" t="s">
        <v>6711</v>
      </c>
      <c r="H4629" s="375" t="s">
        <v>6712</v>
      </c>
      <c r="I4629" s="63" t="s">
        <v>6713</v>
      </c>
      <c r="J4629" s="47">
        <f t="shared" si="1027"/>
        <v>3740</v>
      </c>
      <c r="K4629" s="46" t="s">
        <v>7938</v>
      </c>
      <c r="L4629" s="47"/>
      <c r="M4629" s="47">
        <f t="shared" si="1028"/>
        <v>1430.0000000000002</v>
      </c>
      <c r="N4629" s="47"/>
      <c r="O4629" s="47"/>
      <c r="P4629" s="47" t="s">
        <v>6714</v>
      </c>
      <c r="Q4629" s="47"/>
      <c r="R4629" s="47"/>
      <c r="S4629" s="47"/>
      <c r="T4629" s="47">
        <f t="shared" si="1029"/>
        <v>780</v>
      </c>
      <c r="U4629" s="47" t="s">
        <v>7752</v>
      </c>
      <c r="V4629" s="47" t="s">
        <v>6715</v>
      </c>
      <c r="W4629" s="47"/>
      <c r="X4629" s="47"/>
      <c r="Y4629" s="47"/>
      <c r="Z4629" s="47">
        <f t="shared" si="1021"/>
        <v>4620</v>
      </c>
      <c r="AA4629" s="47">
        <v>1400</v>
      </c>
      <c r="AB4629" s="47"/>
      <c r="AC4629" s="47"/>
      <c r="AD4629" s="47"/>
      <c r="AE4629" s="47"/>
      <c r="AF4629" s="47">
        <f t="shared" si="1030"/>
        <v>1485</v>
      </c>
      <c r="AG4629" s="47"/>
      <c r="AH4629" s="47" t="str">
        <f>IFERROR(_xlfn.XLOOKUP(Table6[[#This Row],[Suburb]],Table5[Travel Surcharge],Table5[$$]),"")</f>
        <v/>
      </c>
      <c r="AI4629" s="47" t="s">
        <v>7753</v>
      </c>
      <c r="AJ4629" s="47"/>
    </row>
    <row r="4630" spans="1:36">
      <c r="A4630" s="374" t="s">
        <v>7750</v>
      </c>
      <c r="B4630" s="374">
        <v>38</v>
      </c>
      <c r="C4630" s="374" t="s">
        <v>538</v>
      </c>
      <c r="D4630" s="375" t="str">
        <f t="shared" si="1026"/>
        <v>Westbrook Estate - Northern Precinct38</v>
      </c>
      <c r="E4630" s="375" t="s">
        <v>6724</v>
      </c>
      <c r="F4630" s="375" t="s">
        <v>6710</v>
      </c>
      <c r="G4630" s="375" t="s">
        <v>6711</v>
      </c>
      <c r="H4630" s="375" t="s">
        <v>6712</v>
      </c>
      <c r="I4630" s="63" t="s">
        <v>6713</v>
      </c>
      <c r="J4630" s="47">
        <f t="shared" si="1027"/>
        <v>3740</v>
      </c>
      <c r="K4630" s="46" t="s">
        <v>7938</v>
      </c>
      <c r="L4630" s="47"/>
      <c r="M4630" s="47">
        <f t="shared" si="1028"/>
        <v>1430.0000000000002</v>
      </c>
      <c r="N4630" s="47"/>
      <c r="O4630" s="47"/>
      <c r="P4630" s="47" t="s">
        <v>6714</v>
      </c>
      <c r="Q4630" s="47"/>
      <c r="R4630" s="47"/>
      <c r="S4630" s="47"/>
      <c r="T4630" s="47">
        <f t="shared" si="1029"/>
        <v>780</v>
      </c>
      <c r="U4630" s="47" t="s">
        <v>7752</v>
      </c>
      <c r="V4630" s="47" t="s">
        <v>6715</v>
      </c>
      <c r="W4630" s="47"/>
      <c r="X4630" s="47"/>
      <c r="Y4630" s="47"/>
      <c r="Z4630" s="47">
        <f t="shared" si="1021"/>
        <v>4620</v>
      </c>
      <c r="AA4630" s="47">
        <v>1400</v>
      </c>
      <c r="AB4630" s="47"/>
      <c r="AC4630" s="47"/>
      <c r="AD4630" s="47"/>
      <c r="AE4630" s="47"/>
      <c r="AF4630" s="47">
        <f t="shared" si="1030"/>
        <v>1485</v>
      </c>
      <c r="AG4630" s="47"/>
      <c r="AH4630" s="47" t="str">
        <f>IFERROR(_xlfn.XLOOKUP(Table6[[#This Row],[Suburb]],Table5[Travel Surcharge],Table5[$$]),"")</f>
        <v/>
      </c>
      <c r="AI4630" s="47" t="s">
        <v>7753</v>
      </c>
      <c r="AJ4630" s="47"/>
    </row>
    <row r="4631" spans="1:36">
      <c r="A4631" s="374" t="s">
        <v>7750</v>
      </c>
      <c r="B4631" s="374">
        <v>39</v>
      </c>
      <c r="C4631" s="374" t="s">
        <v>538</v>
      </c>
      <c r="D4631" s="375" t="str">
        <f t="shared" si="1026"/>
        <v>Westbrook Estate - Northern Precinct39</v>
      </c>
      <c r="E4631" s="375" t="s">
        <v>6725</v>
      </c>
      <c r="F4631" s="375" t="s">
        <v>6710</v>
      </c>
      <c r="G4631" s="375" t="s">
        <v>6711</v>
      </c>
      <c r="H4631" s="375" t="s">
        <v>6712</v>
      </c>
      <c r="I4631" s="63" t="s">
        <v>6713</v>
      </c>
      <c r="J4631" s="47">
        <f t="shared" si="1027"/>
        <v>3740</v>
      </c>
      <c r="K4631" s="46" t="s">
        <v>7938</v>
      </c>
      <c r="L4631" s="47"/>
      <c r="M4631" s="47">
        <f t="shared" si="1028"/>
        <v>1430.0000000000002</v>
      </c>
      <c r="N4631" s="47"/>
      <c r="O4631" s="47"/>
      <c r="P4631" s="47" t="s">
        <v>6714</v>
      </c>
      <c r="Q4631" s="47"/>
      <c r="R4631" s="47"/>
      <c r="S4631" s="47"/>
      <c r="T4631" s="47">
        <f t="shared" si="1029"/>
        <v>780</v>
      </c>
      <c r="U4631" s="47" t="s">
        <v>7752</v>
      </c>
      <c r="V4631" s="47" t="s">
        <v>6715</v>
      </c>
      <c r="W4631" s="47"/>
      <c r="X4631" s="47"/>
      <c r="Y4631" s="47"/>
      <c r="Z4631" s="47">
        <f t="shared" si="1021"/>
        <v>4620</v>
      </c>
      <c r="AA4631" s="47">
        <v>1400</v>
      </c>
      <c r="AB4631" s="47"/>
      <c r="AC4631" s="47"/>
      <c r="AD4631" s="47"/>
      <c r="AE4631" s="47"/>
      <c r="AF4631" s="47">
        <f t="shared" si="1030"/>
        <v>1485</v>
      </c>
      <c r="AG4631" s="47"/>
      <c r="AH4631" s="47" t="str">
        <f>IFERROR(_xlfn.XLOOKUP(Table6[[#This Row],[Suburb]],Table5[Travel Surcharge],Table5[$$]),"")</f>
        <v/>
      </c>
      <c r="AI4631" s="47" t="s">
        <v>7753</v>
      </c>
      <c r="AJ4631" s="47"/>
    </row>
    <row r="4632" spans="1:36">
      <c r="A4632" s="374" t="s">
        <v>7750</v>
      </c>
      <c r="B4632" s="374">
        <v>40</v>
      </c>
      <c r="C4632" s="374" t="s">
        <v>538</v>
      </c>
      <c r="D4632" s="375" t="str">
        <f t="shared" si="1026"/>
        <v>Westbrook Estate - Northern Precinct40</v>
      </c>
      <c r="E4632" s="375" t="s">
        <v>6726</v>
      </c>
      <c r="F4632" s="375" t="s">
        <v>6710</v>
      </c>
      <c r="G4632" s="375" t="s">
        <v>6711</v>
      </c>
      <c r="H4632" s="375" t="s">
        <v>6712</v>
      </c>
      <c r="I4632" s="63" t="s">
        <v>6713</v>
      </c>
      <c r="J4632" s="47">
        <f t="shared" si="1027"/>
        <v>3740</v>
      </c>
      <c r="K4632" s="46" t="s">
        <v>7938</v>
      </c>
      <c r="L4632" s="47"/>
      <c r="M4632" s="47">
        <f t="shared" si="1028"/>
        <v>1430.0000000000002</v>
      </c>
      <c r="N4632" s="47"/>
      <c r="O4632" s="47"/>
      <c r="P4632" s="47" t="s">
        <v>6714</v>
      </c>
      <c r="Q4632" s="47"/>
      <c r="R4632" s="47"/>
      <c r="S4632" s="47"/>
      <c r="T4632" s="47">
        <f t="shared" si="1029"/>
        <v>780</v>
      </c>
      <c r="U4632" s="47" t="s">
        <v>7752</v>
      </c>
      <c r="V4632" s="47" t="s">
        <v>6715</v>
      </c>
      <c r="W4632" s="47"/>
      <c r="X4632" s="47"/>
      <c r="Y4632" s="47"/>
      <c r="Z4632" s="47">
        <f t="shared" si="1021"/>
        <v>4620</v>
      </c>
      <c r="AA4632" s="47">
        <v>1400</v>
      </c>
      <c r="AB4632" s="47"/>
      <c r="AC4632" s="47"/>
      <c r="AD4632" s="47"/>
      <c r="AE4632" s="47"/>
      <c r="AF4632" s="47">
        <f t="shared" si="1030"/>
        <v>1485</v>
      </c>
      <c r="AG4632" s="47"/>
      <c r="AH4632" s="47" t="str">
        <f>IFERROR(_xlfn.XLOOKUP(Table6[[#This Row],[Suburb]],Table5[Travel Surcharge],Table5[$$]),"")</f>
        <v/>
      </c>
      <c r="AI4632" s="47" t="s">
        <v>7753</v>
      </c>
      <c r="AJ4632" s="47"/>
    </row>
    <row r="4633" spans="1:36">
      <c r="A4633" s="374" t="s">
        <v>7750</v>
      </c>
      <c r="B4633" s="374">
        <v>41</v>
      </c>
      <c r="C4633" s="374" t="s">
        <v>538</v>
      </c>
      <c r="D4633" s="375" t="str">
        <f t="shared" si="1026"/>
        <v>Westbrook Estate - Northern Precinct41</v>
      </c>
      <c r="E4633" s="375" t="s">
        <v>6727</v>
      </c>
      <c r="F4633" s="375" t="s">
        <v>6710</v>
      </c>
      <c r="G4633" s="375" t="s">
        <v>6711</v>
      </c>
      <c r="H4633" s="375" t="s">
        <v>6712</v>
      </c>
      <c r="I4633" s="63" t="s">
        <v>6713</v>
      </c>
      <c r="J4633" s="47">
        <f t="shared" si="1027"/>
        <v>3740</v>
      </c>
      <c r="K4633" s="46" t="s">
        <v>7938</v>
      </c>
      <c r="L4633" s="47"/>
      <c r="M4633" s="47">
        <f t="shared" si="1028"/>
        <v>1430.0000000000002</v>
      </c>
      <c r="N4633" s="47"/>
      <c r="O4633" s="47"/>
      <c r="P4633" s="47" t="s">
        <v>6714</v>
      </c>
      <c r="Q4633" s="47"/>
      <c r="R4633" s="47"/>
      <c r="S4633" s="47"/>
      <c r="T4633" s="47">
        <f t="shared" si="1029"/>
        <v>780</v>
      </c>
      <c r="U4633" s="47" t="s">
        <v>7752</v>
      </c>
      <c r="V4633" s="47" t="s">
        <v>6715</v>
      </c>
      <c r="W4633" s="47"/>
      <c r="X4633" s="47"/>
      <c r="Y4633" s="47"/>
      <c r="Z4633" s="47">
        <f t="shared" si="1021"/>
        <v>4620</v>
      </c>
      <c r="AA4633" s="47">
        <v>1400</v>
      </c>
      <c r="AB4633" s="47"/>
      <c r="AC4633" s="47"/>
      <c r="AD4633" s="47"/>
      <c r="AE4633" s="47"/>
      <c r="AF4633" s="47">
        <f t="shared" si="1030"/>
        <v>1485</v>
      </c>
      <c r="AG4633" s="47"/>
      <c r="AH4633" s="47" t="str">
        <f>IFERROR(_xlfn.XLOOKUP(Table6[[#This Row],[Suburb]],Table5[Travel Surcharge],Table5[$$]),"")</f>
        <v/>
      </c>
      <c r="AI4633" s="47" t="s">
        <v>7753</v>
      </c>
      <c r="AJ4633" s="47"/>
    </row>
    <row r="4634" spans="1:36">
      <c r="A4634" s="374" t="s">
        <v>7750</v>
      </c>
      <c r="B4634" s="374">
        <v>42</v>
      </c>
      <c r="C4634" s="374" t="s">
        <v>538</v>
      </c>
      <c r="D4634" s="375" t="str">
        <f t="shared" si="1026"/>
        <v>Westbrook Estate - Northern Precinct42</v>
      </c>
      <c r="E4634" s="375" t="s">
        <v>6728</v>
      </c>
      <c r="F4634" s="375" t="s">
        <v>6710</v>
      </c>
      <c r="G4634" s="375" t="s">
        <v>6711</v>
      </c>
      <c r="H4634" s="375" t="s">
        <v>6712</v>
      </c>
      <c r="I4634" s="63" t="s">
        <v>6713</v>
      </c>
      <c r="J4634" s="47">
        <f t="shared" si="1027"/>
        <v>3740</v>
      </c>
      <c r="K4634" s="46" t="s">
        <v>7938</v>
      </c>
      <c r="L4634" s="47"/>
      <c r="M4634" s="47">
        <f t="shared" si="1028"/>
        <v>1430.0000000000002</v>
      </c>
      <c r="N4634" s="47"/>
      <c r="O4634" s="47"/>
      <c r="P4634" s="47" t="s">
        <v>6714</v>
      </c>
      <c r="Q4634" s="47"/>
      <c r="R4634" s="47"/>
      <c r="S4634" s="47"/>
      <c r="T4634" s="47">
        <f t="shared" si="1029"/>
        <v>780</v>
      </c>
      <c r="U4634" s="47" t="s">
        <v>7752</v>
      </c>
      <c r="V4634" s="47" t="s">
        <v>6715</v>
      </c>
      <c r="W4634" s="47"/>
      <c r="X4634" s="47"/>
      <c r="Y4634" s="47"/>
      <c r="Z4634" s="47">
        <f t="shared" si="1021"/>
        <v>4620</v>
      </c>
      <c r="AA4634" s="47">
        <v>1400</v>
      </c>
      <c r="AB4634" s="47"/>
      <c r="AC4634" s="47"/>
      <c r="AD4634" s="47"/>
      <c r="AE4634" s="47"/>
      <c r="AF4634" s="47">
        <f t="shared" si="1030"/>
        <v>1485</v>
      </c>
      <c r="AG4634" s="47"/>
      <c r="AH4634" s="47" t="str">
        <f>IFERROR(_xlfn.XLOOKUP(Table6[[#This Row],[Suburb]],Table5[Travel Surcharge],Table5[$$]),"")</f>
        <v/>
      </c>
      <c r="AI4634" s="47" t="s">
        <v>7753</v>
      </c>
      <c r="AJ4634" s="47"/>
    </row>
    <row r="4635" spans="1:36">
      <c r="A4635" s="374" t="s">
        <v>7750</v>
      </c>
      <c r="B4635" s="374">
        <v>43</v>
      </c>
      <c r="C4635" s="374" t="s">
        <v>538</v>
      </c>
      <c r="D4635" s="375" t="str">
        <f t="shared" si="1026"/>
        <v>Westbrook Estate - Northern Precinct43</v>
      </c>
      <c r="E4635" s="375" t="s">
        <v>6729</v>
      </c>
      <c r="F4635" s="375" t="s">
        <v>6710</v>
      </c>
      <c r="G4635" s="375" t="s">
        <v>6711</v>
      </c>
      <c r="H4635" s="375" t="s">
        <v>6712</v>
      </c>
      <c r="I4635" s="63" t="s">
        <v>6713</v>
      </c>
      <c r="J4635" s="47">
        <f t="shared" si="1027"/>
        <v>3740</v>
      </c>
      <c r="K4635" s="46" t="s">
        <v>7938</v>
      </c>
      <c r="L4635" s="47"/>
      <c r="M4635" s="47">
        <f t="shared" si="1028"/>
        <v>1430.0000000000002</v>
      </c>
      <c r="N4635" s="47"/>
      <c r="O4635" s="47"/>
      <c r="P4635" s="47" t="s">
        <v>6714</v>
      </c>
      <c r="Q4635" s="47"/>
      <c r="R4635" s="47"/>
      <c r="S4635" s="47"/>
      <c r="T4635" s="47">
        <f t="shared" si="1029"/>
        <v>780</v>
      </c>
      <c r="U4635" s="47" t="s">
        <v>7752</v>
      </c>
      <c r="V4635" s="47" t="s">
        <v>6715</v>
      </c>
      <c r="W4635" s="47"/>
      <c r="X4635" s="47"/>
      <c r="Y4635" s="47"/>
      <c r="Z4635" s="47">
        <f t="shared" si="1021"/>
        <v>4620</v>
      </c>
      <c r="AA4635" s="47">
        <v>1400</v>
      </c>
      <c r="AB4635" s="47"/>
      <c r="AC4635" s="47"/>
      <c r="AD4635" s="47"/>
      <c r="AE4635" s="47"/>
      <c r="AF4635" s="47">
        <f t="shared" si="1030"/>
        <v>1485</v>
      </c>
      <c r="AG4635" s="47"/>
      <c r="AH4635" s="47" t="str">
        <f>IFERROR(_xlfn.XLOOKUP(Table6[[#This Row],[Suburb]],Table5[Travel Surcharge],Table5[$$]),"")</f>
        <v/>
      </c>
      <c r="AI4635" s="47" t="s">
        <v>7753</v>
      </c>
      <c r="AJ4635" s="47"/>
    </row>
    <row r="4636" spans="1:36">
      <c r="A4636" s="374" t="s">
        <v>7750</v>
      </c>
      <c r="B4636" s="374">
        <v>44</v>
      </c>
      <c r="C4636" s="374" t="s">
        <v>538</v>
      </c>
      <c r="D4636" s="375" t="str">
        <f t="shared" si="1026"/>
        <v>Westbrook Estate - Northern Precinct44</v>
      </c>
      <c r="E4636" s="375" t="s">
        <v>6730</v>
      </c>
      <c r="F4636" s="375" t="s">
        <v>6710</v>
      </c>
      <c r="G4636" s="375" t="s">
        <v>6711</v>
      </c>
      <c r="H4636" s="375" t="s">
        <v>6712</v>
      </c>
      <c r="I4636" s="63" t="s">
        <v>6713</v>
      </c>
      <c r="J4636" s="47">
        <f t="shared" si="1027"/>
        <v>3740</v>
      </c>
      <c r="K4636" s="46" t="s">
        <v>7938</v>
      </c>
      <c r="L4636" s="47"/>
      <c r="M4636" s="47">
        <f t="shared" si="1028"/>
        <v>1430.0000000000002</v>
      </c>
      <c r="N4636" s="47"/>
      <c r="O4636" s="47"/>
      <c r="P4636" s="47" t="s">
        <v>6714</v>
      </c>
      <c r="Q4636" s="47"/>
      <c r="R4636" s="47"/>
      <c r="S4636" s="47"/>
      <c r="T4636" s="47">
        <f t="shared" si="1029"/>
        <v>780</v>
      </c>
      <c r="U4636" s="47" t="s">
        <v>7752</v>
      </c>
      <c r="V4636" s="47" t="s">
        <v>6715</v>
      </c>
      <c r="W4636" s="47"/>
      <c r="X4636" s="47"/>
      <c r="Y4636" s="47"/>
      <c r="Z4636" s="47">
        <f t="shared" si="1021"/>
        <v>4620</v>
      </c>
      <c r="AA4636" s="47">
        <v>1400</v>
      </c>
      <c r="AB4636" s="47"/>
      <c r="AC4636" s="47"/>
      <c r="AD4636" s="47"/>
      <c r="AE4636" s="47"/>
      <c r="AF4636" s="47">
        <f t="shared" si="1030"/>
        <v>1485</v>
      </c>
      <c r="AG4636" s="47"/>
      <c r="AH4636" s="47" t="str">
        <f>IFERROR(_xlfn.XLOOKUP(Table6[[#This Row],[Suburb]],Table5[Travel Surcharge],Table5[$$]),"")</f>
        <v/>
      </c>
      <c r="AI4636" s="47" t="s">
        <v>7753</v>
      </c>
      <c r="AJ4636" s="47"/>
    </row>
    <row r="4637" spans="1:36">
      <c r="A4637" s="374" t="s">
        <v>7750</v>
      </c>
      <c r="B4637" s="374">
        <v>45</v>
      </c>
      <c r="C4637" s="374" t="s">
        <v>538</v>
      </c>
      <c r="D4637" s="375" t="str">
        <f t="shared" si="1026"/>
        <v>Westbrook Estate - Northern Precinct45</v>
      </c>
      <c r="E4637" s="375" t="s">
        <v>6731</v>
      </c>
      <c r="F4637" s="375" t="s">
        <v>6710</v>
      </c>
      <c r="G4637" s="375" t="s">
        <v>6711</v>
      </c>
      <c r="H4637" s="375" t="s">
        <v>6712</v>
      </c>
      <c r="I4637" s="63" t="s">
        <v>6713</v>
      </c>
      <c r="J4637" s="47">
        <f t="shared" si="1027"/>
        <v>3740</v>
      </c>
      <c r="K4637" s="46" t="s">
        <v>7938</v>
      </c>
      <c r="L4637" s="47"/>
      <c r="M4637" s="47">
        <f t="shared" si="1028"/>
        <v>1430.0000000000002</v>
      </c>
      <c r="N4637" s="47"/>
      <c r="O4637" s="47"/>
      <c r="P4637" s="47" t="s">
        <v>6714</v>
      </c>
      <c r="Q4637" s="47"/>
      <c r="R4637" s="47"/>
      <c r="S4637" s="47"/>
      <c r="T4637" s="47">
        <f t="shared" si="1029"/>
        <v>780</v>
      </c>
      <c r="U4637" s="47" t="s">
        <v>7752</v>
      </c>
      <c r="V4637" s="47" t="s">
        <v>6715</v>
      </c>
      <c r="W4637" s="47"/>
      <c r="X4637" s="47"/>
      <c r="Y4637" s="47"/>
      <c r="Z4637" s="47">
        <f t="shared" si="1021"/>
        <v>4620</v>
      </c>
      <c r="AA4637" s="47">
        <v>1400</v>
      </c>
      <c r="AB4637" s="47"/>
      <c r="AC4637" s="47"/>
      <c r="AD4637" s="47"/>
      <c r="AE4637" s="47"/>
      <c r="AF4637" s="47">
        <f t="shared" si="1030"/>
        <v>1485</v>
      </c>
      <c r="AG4637" s="47"/>
      <c r="AH4637" s="47" t="str">
        <f>IFERROR(_xlfn.XLOOKUP(Table6[[#This Row],[Suburb]],Table5[Travel Surcharge],Table5[$$]),"")</f>
        <v/>
      </c>
      <c r="AI4637" s="47" t="s">
        <v>7753</v>
      </c>
      <c r="AJ4637" s="47"/>
    </row>
    <row r="4638" spans="1:36">
      <c r="A4638" s="374" t="s">
        <v>7750</v>
      </c>
      <c r="B4638" s="374">
        <v>46</v>
      </c>
      <c r="C4638" s="374" t="s">
        <v>538</v>
      </c>
      <c r="D4638" s="375" t="str">
        <f t="shared" si="1026"/>
        <v>Westbrook Estate - Northern Precinct46</v>
      </c>
      <c r="E4638" s="375" t="s">
        <v>6732</v>
      </c>
      <c r="F4638" s="375" t="s">
        <v>6710</v>
      </c>
      <c r="G4638" s="375" t="s">
        <v>6711</v>
      </c>
      <c r="H4638" s="375" t="s">
        <v>6712</v>
      </c>
      <c r="I4638" s="63" t="s">
        <v>6713</v>
      </c>
      <c r="J4638" s="47">
        <f t="shared" si="1027"/>
        <v>3740</v>
      </c>
      <c r="K4638" s="46" t="s">
        <v>7938</v>
      </c>
      <c r="L4638" s="47"/>
      <c r="M4638" s="47">
        <f t="shared" si="1028"/>
        <v>1430.0000000000002</v>
      </c>
      <c r="N4638" s="47"/>
      <c r="O4638" s="47"/>
      <c r="P4638" s="47" t="s">
        <v>6714</v>
      </c>
      <c r="Q4638" s="47"/>
      <c r="R4638" s="47"/>
      <c r="S4638" s="47"/>
      <c r="T4638" s="47">
        <f t="shared" si="1029"/>
        <v>780</v>
      </c>
      <c r="U4638" s="47" t="s">
        <v>7752</v>
      </c>
      <c r="V4638" s="47" t="s">
        <v>6715</v>
      </c>
      <c r="W4638" s="47"/>
      <c r="X4638" s="47"/>
      <c r="Y4638" s="47"/>
      <c r="Z4638" s="47">
        <f t="shared" si="1021"/>
        <v>4620</v>
      </c>
      <c r="AA4638" s="47">
        <v>1400</v>
      </c>
      <c r="AB4638" s="47"/>
      <c r="AC4638" s="47"/>
      <c r="AD4638" s="47"/>
      <c r="AE4638" s="47"/>
      <c r="AF4638" s="47">
        <f t="shared" si="1030"/>
        <v>1485</v>
      </c>
      <c r="AG4638" s="47"/>
      <c r="AH4638" s="47" t="str">
        <f>IFERROR(_xlfn.XLOOKUP(Table6[[#This Row],[Suburb]],Table5[Travel Surcharge],Table5[$$]),"")</f>
        <v/>
      </c>
      <c r="AI4638" s="47" t="s">
        <v>7753</v>
      </c>
      <c r="AJ4638" s="47"/>
    </row>
    <row r="4639" spans="1:36">
      <c r="A4639" s="374" t="s">
        <v>7750</v>
      </c>
      <c r="B4639" s="374">
        <v>47</v>
      </c>
      <c r="C4639" s="374" t="s">
        <v>538</v>
      </c>
      <c r="D4639" s="375" t="str">
        <f t="shared" si="1026"/>
        <v>Westbrook Estate - Northern Precinct47</v>
      </c>
      <c r="E4639" s="375" t="s">
        <v>6733</v>
      </c>
      <c r="F4639" s="375" t="s">
        <v>6710</v>
      </c>
      <c r="G4639" s="375" t="s">
        <v>6711</v>
      </c>
      <c r="H4639" s="375" t="s">
        <v>6712</v>
      </c>
      <c r="I4639" s="63" t="s">
        <v>6713</v>
      </c>
      <c r="J4639" s="47">
        <f t="shared" si="1027"/>
        <v>3740</v>
      </c>
      <c r="K4639" s="46" t="s">
        <v>7938</v>
      </c>
      <c r="L4639" s="47"/>
      <c r="M4639" s="47">
        <f t="shared" si="1028"/>
        <v>1430.0000000000002</v>
      </c>
      <c r="N4639" s="47"/>
      <c r="O4639" s="47"/>
      <c r="P4639" s="47" t="s">
        <v>6714</v>
      </c>
      <c r="Q4639" s="47"/>
      <c r="R4639" s="47"/>
      <c r="S4639" s="47"/>
      <c r="T4639" s="47">
        <f t="shared" si="1029"/>
        <v>780</v>
      </c>
      <c r="U4639" s="47" t="s">
        <v>7752</v>
      </c>
      <c r="V4639" s="47" t="s">
        <v>6715</v>
      </c>
      <c r="W4639" s="47"/>
      <c r="X4639" s="47"/>
      <c r="Y4639" s="47"/>
      <c r="Z4639" s="47">
        <f t="shared" si="1021"/>
        <v>4620</v>
      </c>
      <c r="AA4639" s="47">
        <v>1400</v>
      </c>
      <c r="AB4639" s="47"/>
      <c r="AC4639" s="47"/>
      <c r="AD4639" s="47"/>
      <c r="AE4639" s="47"/>
      <c r="AF4639" s="47">
        <f t="shared" si="1030"/>
        <v>1485</v>
      </c>
      <c r="AG4639" s="47"/>
      <c r="AH4639" s="47" t="str">
        <f>IFERROR(_xlfn.XLOOKUP(Table6[[#This Row],[Suburb]],Table5[Travel Surcharge],Table5[$$]),"")</f>
        <v/>
      </c>
      <c r="AI4639" s="47" t="s">
        <v>7753</v>
      </c>
      <c r="AJ4639" s="47"/>
    </row>
    <row r="4640" spans="1:36">
      <c r="A4640" s="374" t="s">
        <v>7750</v>
      </c>
      <c r="B4640" s="374">
        <v>48</v>
      </c>
      <c r="C4640" s="374" t="s">
        <v>538</v>
      </c>
      <c r="D4640" s="375" t="str">
        <f t="shared" si="1026"/>
        <v>Westbrook Estate - Northern Precinct48</v>
      </c>
      <c r="E4640" s="375" t="s">
        <v>6734</v>
      </c>
      <c r="F4640" s="375" t="s">
        <v>6710</v>
      </c>
      <c r="G4640" s="375" t="s">
        <v>6711</v>
      </c>
      <c r="H4640" s="375" t="s">
        <v>6712</v>
      </c>
      <c r="I4640" s="63" t="s">
        <v>6713</v>
      </c>
      <c r="J4640" s="47">
        <f t="shared" si="1027"/>
        <v>3740</v>
      </c>
      <c r="K4640" s="46" t="s">
        <v>7938</v>
      </c>
      <c r="L4640" s="47"/>
      <c r="M4640" s="47">
        <f t="shared" si="1028"/>
        <v>1430.0000000000002</v>
      </c>
      <c r="N4640" s="47"/>
      <c r="O4640" s="47"/>
      <c r="P4640" s="47" t="s">
        <v>6714</v>
      </c>
      <c r="Q4640" s="47"/>
      <c r="R4640" s="47"/>
      <c r="S4640" s="47"/>
      <c r="T4640" s="47">
        <f t="shared" si="1029"/>
        <v>780</v>
      </c>
      <c r="U4640" s="47" t="s">
        <v>7752</v>
      </c>
      <c r="V4640" s="47" t="s">
        <v>6715</v>
      </c>
      <c r="W4640" s="47"/>
      <c r="X4640" s="47"/>
      <c r="Y4640" s="47"/>
      <c r="Z4640" s="47">
        <f t="shared" ref="Z4640:Z4655" si="1031">Z$7</f>
        <v>4620</v>
      </c>
      <c r="AA4640" s="47">
        <v>1400</v>
      </c>
      <c r="AB4640" s="47"/>
      <c r="AC4640" s="47"/>
      <c r="AD4640" s="47"/>
      <c r="AE4640" s="47"/>
      <c r="AF4640" s="47">
        <f t="shared" si="1030"/>
        <v>1485</v>
      </c>
      <c r="AG4640" s="47"/>
      <c r="AH4640" s="47" t="str">
        <f>IFERROR(_xlfn.XLOOKUP(Table6[[#This Row],[Suburb]],Table5[Travel Surcharge],Table5[$$]),"")</f>
        <v/>
      </c>
      <c r="AI4640" s="47" t="s">
        <v>7753</v>
      </c>
      <c r="AJ4640" s="47"/>
    </row>
    <row r="4641" spans="1:36">
      <c r="A4641" s="374" t="s">
        <v>7750</v>
      </c>
      <c r="B4641" s="374">
        <v>49</v>
      </c>
      <c r="C4641" s="374" t="s">
        <v>538</v>
      </c>
      <c r="D4641" s="375" t="str">
        <f t="shared" si="1026"/>
        <v>Westbrook Estate - Northern Precinct49</v>
      </c>
      <c r="E4641" s="375" t="s">
        <v>6735</v>
      </c>
      <c r="F4641" s="375" t="s">
        <v>6710</v>
      </c>
      <c r="G4641" s="375" t="s">
        <v>6711</v>
      </c>
      <c r="H4641" s="375" t="s">
        <v>6712</v>
      </c>
      <c r="I4641" s="63" t="s">
        <v>6713</v>
      </c>
      <c r="J4641" s="47">
        <f t="shared" si="1027"/>
        <v>3740</v>
      </c>
      <c r="K4641" s="46" t="s">
        <v>7938</v>
      </c>
      <c r="L4641" s="47"/>
      <c r="M4641" s="47">
        <f t="shared" si="1028"/>
        <v>1430.0000000000002</v>
      </c>
      <c r="N4641" s="47"/>
      <c r="O4641" s="47"/>
      <c r="P4641" s="47" t="s">
        <v>6714</v>
      </c>
      <c r="Q4641" s="47"/>
      <c r="R4641" s="47"/>
      <c r="S4641" s="47"/>
      <c r="T4641" s="47">
        <f t="shared" si="1029"/>
        <v>780</v>
      </c>
      <c r="U4641" s="47" t="s">
        <v>7752</v>
      </c>
      <c r="V4641" s="47" t="s">
        <v>6715</v>
      </c>
      <c r="W4641" s="47"/>
      <c r="X4641" s="47"/>
      <c r="Y4641" s="47"/>
      <c r="Z4641" s="47">
        <f t="shared" si="1031"/>
        <v>4620</v>
      </c>
      <c r="AA4641" s="47">
        <v>1400</v>
      </c>
      <c r="AB4641" s="47"/>
      <c r="AC4641" s="47"/>
      <c r="AD4641" s="47"/>
      <c r="AE4641" s="47"/>
      <c r="AF4641" s="47">
        <f t="shared" si="1030"/>
        <v>1485</v>
      </c>
      <c r="AG4641" s="47"/>
      <c r="AH4641" s="47" t="str">
        <f>IFERROR(_xlfn.XLOOKUP(Table6[[#This Row],[Suburb]],Table5[Travel Surcharge],Table5[$$]),"")</f>
        <v/>
      </c>
      <c r="AI4641" s="47" t="s">
        <v>498</v>
      </c>
      <c r="AJ4641" s="47"/>
    </row>
    <row r="4642" spans="1:36">
      <c r="A4642" s="374" t="s">
        <v>7750</v>
      </c>
      <c r="B4642" s="374">
        <v>50</v>
      </c>
      <c r="C4642" s="374" t="s">
        <v>7442</v>
      </c>
      <c r="D4642" s="375" t="str">
        <f t="shared" si="1026"/>
        <v>Westbrook Estate - Northern Precinct50</v>
      </c>
      <c r="E4642" s="375" t="s">
        <v>6735</v>
      </c>
      <c r="F4642" s="375" t="s">
        <v>6710</v>
      </c>
      <c r="G4642" s="375" t="s">
        <v>6711</v>
      </c>
      <c r="H4642" s="375" t="s">
        <v>7443</v>
      </c>
      <c r="I4642" s="63" t="s">
        <v>6713</v>
      </c>
      <c r="J4642" s="47">
        <f t="shared" si="1027"/>
        <v>3740</v>
      </c>
      <c r="K4642" s="46" t="s">
        <v>7938</v>
      </c>
      <c r="L4642" s="47"/>
      <c r="M4642" s="47">
        <f t="shared" si="1028"/>
        <v>1430.0000000000002</v>
      </c>
      <c r="N4642" s="47"/>
      <c r="O4642" s="47"/>
      <c r="P4642" s="47" t="s">
        <v>6714</v>
      </c>
      <c r="Q4642" s="47"/>
      <c r="R4642" s="47"/>
      <c r="S4642" s="47"/>
      <c r="T4642" s="47">
        <f t="shared" si="1029"/>
        <v>780</v>
      </c>
      <c r="U4642" s="47" t="s">
        <v>7752</v>
      </c>
      <c r="V4642" s="47" t="s">
        <v>6715</v>
      </c>
      <c r="W4642" s="47"/>
      <c r="X4642" s="47"/>
      <c r="Y4642" s="47"/>
      <c r="Z4642" s="47">
        <f t="shared" si="1031"/>
        <v>4620</v>
      </c>
      <c r="AA4642" s="47">
        <v>1401</v>
      </c>
      <c r="AB4642" s="47"/>
      <c r="AC4642" s="47"/>
      <c r="AD4642" s="47"/>
      <c r="AE4642" s="47"/>
      <c r="AF4642" s="47">
        <f t="shared" si="1030"/>
        <v>1485</v>
      </c>
      <c r="AG4642" s="47"/>
      <c r="AH4642" s="47" t="str">
        <f>IFERROR(_xlfn.XLOOKUP(Table6[[#This Row],[Suburb]],Table5[Travel Surcharge],Table5[$$]),"")</f>
        <v/>
      </c>
      <c r="AI4642" s="47" t="s">
        <v>498</v>
      </c>
      <c r="AJ4642" s="47"/>
    </row>
    <row r="4643" spans="1:36">
      <c r="A4643" s="157" t="s">
        <v>7750</v>
      </c>
      <c r="B4643" s="157">
        <v>51</v>
      </c>
      <c r="C4643" s="157" t="s">
        <v>538</v>
      </c>
      <c r="D4643" s="157" t="str">
        <f t="shared" ref="D4643:D4655" si="1032">CONCATENATE(A4643,B4643)</f>
        <v>Westbrook Estate - Northern Precinct51</v>
      </c>
      <c r="E4643" s="157" t="s">
        <v>8222</v>
      </c>
      <c r="F4643" s="157" t="s">
        <v>6710</v>
      </c>
      <c r="G4643" s="157" t="s">
        <v>6711</v>
      </c>
      <c r="H4643" s="157" t="s">
        <v>6712</v>
      </c>
      <c r="I4643" s="158" t="s">
        <v>6713</v>
      </c>
      <c r="J4643" s="47">
        <f t="shared" si="1027"/>
        <v>3740</v>
      </c>
      <c r="K4643" s="46" t="s">
        <v>7938</v>
      </c>
      <c r="L4643" s="47"/>
      <c r="M4643" s="47">
        <f t="shared" si="1028"/>
        <v>1430.0000000000002</v>
      </c>
      <c r="N4643" s="47"/>
      <c r="O4643" s="47"/>
      <c r="P4643" s="47" t="s">
        <v>6714</v>
      </c>
      <c r="Q4643" s="47"/>
      <c r="R4643" s="47"/>
      <c r="S4643" s="47"/>
      <c r="T4643" s="47">
        <f t="shared" si="1029"/>
        <v>780</v>
      </c>
      <c r="U4643" s="47" t="s">
        <v>7752</v>
      </c>
      <c r="V4643" s="47" t="s">
        <v>6715</v>
      </c>
      <c r="W4643" s="47"/>
      <c r="X4643" s="47"/>
      <c r="Y4643" s="47"/>
      <c r="Z4643" s="47">
        <f t="shared" si="1031"/>
        <v>4620</v>
      </c>
      <c r="AA4643" s="47">
        <v>1400</v>
      </c>
      <c r="AB4643" s="47"/>
      <c r="AC4643" s="47"/>
      <c r="AD4643" s="47"/>
      <c r="AE4643" s="47"/>
      <c r="AF4643" s="47">
        <f t="shared" si="1030"/>
        <v>1485</v>
      </c>
      <c r="AG4643" s="47"/>
      <c r="AH4643" s="47" t="str">
        <f>IFERROR(_xlfn.XLOOKUP(Table6[[#This Row],[Suburb]],Table5[Travel Surcharge],Table5[$$]),"")</f>
        <v/>
      </c>
      <c r="AI4643" s="47" t="s">
        <v>498</v>
      </c>
      <c r="AJ4643" s="47"/>
    </row>
    <row r="4644" spans="1:36">
      <c r="A4644" s="374" t="s">
        <v>7750</v>
      </c>
      <c r="B4644" s="374">
        <v>52</v>
      </c>
      <c r="C4644" s="374" t="s">
        <v>538</v>
      </c>
      <c r="D4644" s="375" t="str">
        <f t="shared" si="1032"/>
        <v>Westbrook Estate - Northern Precinct52</v>
      </c>
      <c r="E4644" s="375" t="s">
        <v>6736</v>
      </c>
      <c r="F4644" s="375" t="s">
        <v>6710</v>
      </c>
      <c r="G4644" s="375" t="s">
        <v>6711</v>
      </c>
      <c r="H4644" s="375" t="s">
        <v>6712</v>
      </c>
      <c r="I4644" s="63" t="s">
        <v>6713</v>
      </c>
      <c r="J4644" s="47">
        <f t="shared" si="1027"/>
        <v>3740</v>
      </c>
      <c r="K4644" s="46" t="s">
        <v>7938</v>
      </c>
      <c r="L4644" s="47"/>
      <c r="M4644" s="47">
        <f t="shared" si="1028"/>
        <v>1430.0000000000002</v>
      </c>
      <c r="N4644" s="47"/>
      <c r="O4644" s="47"/>
      <c r="P4644" s="47" t="s">
        <v>6714</v>
      </c>
      <c r="Q4644" s="47"/>
      <c r="R4644" s="47"/>
      <c r="S4644" s="47"/>
      <c r="T4644" s="47">
        <f t="shared" si="1029"/>
        <v>780</v>
      </c>
      <c r="U4644" s="47" t="s">
        <v>7752</v>
      </c>
      <c r="V4644" s="47" t="s">
        <v>6715</v>
      </c>
      <c r="W4644" s="47"/>
      <c r="X4644" s="47"/>
      <c r="Y4644" s="47"/>
      <c r="Z4644" s="47">
        <f t="shared" si="1031"/>
        <v>4620</v>
      </c>
      <c r="AA4644" s="47">
        <v>1400</v>
      </c>
      <c r="AB4644" s="47"/>
      <c r="AC4644" s="47"/>
      <c r="AD4644" s="47"/>
      <c r="AE4644" s="47"/>
      <c r="AF4644" s="47">
        <f t="shared" si="1030"/>
        <v>1485</v>
      </c>
      <c r="AG4644" s="47"/>
      <c r="AH4644" s="47" t="str">
        <f>IFERROR(_xlfn.XLOOKUP(Table6[[#This Row],[Suburb]],Table5[Travel Surcharge],Table5[$$]),"")</f>
        <v/>
      </c>
      <c r="AI4644" s="47" t="s">
        <v>7753</v>
      </c>
      <c r="AJ4644" s="47"/>
    </row>
    <row r="4645" spans="1:36">
      <c r="A4645" s="374" t="s">
        <v>7750</v>
      </c>
      <c r="B4645" s="374">
        <v>53</v>
      </c>
      <c r="C4645" s="374" t="s">
        <v>538</v>
      </c>
      <c r="D4645" s="375" t="str">
        <f t="shared" si="1032"/>
        <v>Westbrook Estate - Northern Precinct53</v>
      </c>
      <c r="E4645" s="375" t="s">
        <v>6737</v>
      </c>
      <c r="F4645" s="375" t="s">
        <v>6710</v>
      </c>
      <c r="G4645" s="375" t="s">
        <v>6711</v>
      </c>
      <c r="H4645" s="375" t="s">
        <v>6712</v>
      </c>
      <c r="I4645" s="63" t="s">
        <v>6713</v>
      </c>
      <c r="J4645" s="47">
        <f t="shared" si="1027"/>
        <v>3740</v>
      </c>
      <c r="K4645" s="46" t="s">
        <v>7938</v>
      </c>
      <c r="L4645" s="47"/>
      <c r="M4645" s="47">
        <f t="shared" si="1028"/>
        <v>1430.0000000000002</v>
      </c>
      <c r="N4645" s="47"/>
      <c r="O4645" s="47"/>
      <c r="P4645" s="47" t="s">
        <v>6714</v>
      </c>
      <c r="Q4645" s="47"/>
      <c r="R4645" s="47"/>
      <c r="S4645" s="47"/>
      <c r="T4645" s="47">
        <f t="shared" si="1029"/>
        <v>780</v>
      </c>
      <c r="U4645" s="47" t="s">
        <v>7752</v>
      </c>
      <c r="V4645" s="47" t="s">
        <v>6715</v>
      </c>
      <c r="W4645" s="47"/>
      <c r="X4645" s="47"/>
      <c r="Y4645" s="47"/>
      <c r="Z4645" s="47">
        <f t="shared" si="1031"/>
        <v>4620</v>
      </c>
      <c r="AA4645" s="47">
        <v>1400</v>
      </c>
      <c r="AB4645" s="47"/>
      <c r="AC4645" s="47"/>
      <c r="AD4645" s="47"/>
      <c r="AE4645" s="47"/>
      <c r="AF4645" s="47">
        <f t="shared" si="1030"/>
        <v>1485</v>
      </c>
      <c r="AG4645" s="47"/>
      <c r="AH4645" s="47" t="str">
        <f>IFERROR(_xlfn.XLOOKUP(Table6[[#This Row],[Suburb]],Table5[Travel Surcharge],Table5[$$]),"")</f>
        <v/>
      </c>
      <c r="AI4645" s="47" t="s">
        <v>7753</v>
      </c>
      <c r="AJ4645" s="47"/>
    </row>
    <row r="4646" spans="1:36">
      <c r="A4646" s="374" t="s">
        <v>7750</v>
      </c>
      <c r="B4646" s="374">
        <v>54</v>
      </c>
      <c r="C4646" s="374" t="s">
        <v>538</v>
      </c>
      <c r="D4646" s="375" t="str">
        <f t="shared" si="1032"/>
        <v>Westbrook Estate - Northern Precinct54</v>
      </c>
      <c r="E4646" s="375" t="s">
        <v>6738</v>
      </c>
      <c r="F4646" s="375" t="s">
        <v>6710</v>
      </c>
      <c r="G4646" s="375" t="s">
        <v>6711</v>
      </c>
      <c r="H4646" s="375" t="s">
        <v>6712</v>
      </c>
      <c r="I4646" s="63" t="s">
        <v>6713</v>
      </c>
      <c r="J4646" s="47">
        <f t="shared" si="1027"/>
        <v>3740</v>
      </c>
      <c r="K4646" s="46" t="s">
        <v>7938</v>
      </c>
      <c r="L4646" s="47"/>
      <c r="M4646" s="47">
        <f t="shared" si="1028"/>
        <v>1430.0000000000002</v>
      </c>
      <c r="N4646" s="47"/>
      <c r="O4646" s="47"/>
      <c r="P4646" s="47" t="s">
        <v>6714</v>
      </c>
      <c r="Q4646" s="47"/>
      <c r="R4646" s="47"/>
      <c r="S4646" s="47"/>
      <c r="T4646" s="47">
        <f t="shared" si="1029"/>
        <v>780</v>
      </c>
      <c r="U4646" s="47" t="s">
        <v>7752</v>
      </c>
      <c r="V4646" s="47" t="s">
        <v>6715</v>
      </c>
      <c r="W4646" s="47"/>
      <c r="X4646" s="47"/>
      <c r="Y4646" s="47"/>
      <c r="Z4646" s="47">
        <f t="shared" si="1031"/>
        <v>4620</v>
      </c>
      <c r="AA4646" s="47">
        <v>1400</v>
      </c>
      <c r="AB4646" s="47"/>
      <c r="AC4646" s="47"/>
      <c r="AD4646" s="47"/>
      <c r="AE4646" s="47"/>
      <c r="AF4646" s="47">
        <f t="shared" si="1030"/>
        <v>1485</v>
      </c>
      <c r="AG4646" s="47"/>
      <c r="AH4646" s="47" t="str">
        <f>IFERROR(_xlfn.XLOOKUP(Table6[[#This Row],[Suburb]],Table5[Travel Surcharge],Table5[$$]),"")</f>
        <v/>
      </c>
      <c r="AI4646" s="47" t="s">
        <v>7753</v>
      </c>
      <c r="AJ4646" s="47"/>
    </row>
    <row r="4647" spans="1:36">
      <c r="A4647" s="374" t="s">
        <v>7750</v>
      </c>
      <c r="B4647" s="374">
        <v>56</v>
      </c>
      <c r="C4647" s="374" t="s">
        <v>538</v>
      </c>
      <c r="D4647" s="375" t="str">
        <f t="shared" si="1032"/>
        <v>Westbrook Estate - Northern Precinct56</v>
      </c>
      <c r="E4647" s="375" t="s">
        <v>6750</v>
      </c>
      <c r="F4647" s="375" t="s">
        <v>6710</v>
      </c>
      <c r="G4647" s="375" t="s">
        <v>6711</v>
      </c>
      <c r="H4647" s="375" t="s">
        <v>6712</v>
      </c>
      <c r="I4647" s="63" t="s">
        <v>6713</v>
      </c>
      <c r="J4647" s="47">
        <f t="shared" si="1027"/>
        <v>3740</v>
      </c>
      <c r="K4647" s="46" t="s">
        <v>7938</v>
      </c>
      <c r="L4647" s="47"/>
      <c r="M4647" s="47">
        <f t="shared" si="1028"/>
        <v>1430.0000000000002</v>
      </c>
      <c r="N4647" s="47"/>
      <c r="O4647" s="47"/>
      <c r="P4647" s="47" t="s">
        <v>6714</v>
      </c>
      <c r="Q4647" s="47"/>
      <c r="R4647" s="47"/>
      <c r="S4647" s="47"/>
      <c r="T4647" s="47">
        <f t="shared" si="1029"/>
        <v>780</v>
      </c>
      <c r="U4647" s="47" t="s">
        <v>7752</v>
      </c>
      <c r="V4647" s="47" t="s">
        <v>6715</v>
      </c>
      <c r="W4647" s="47"/>
      <c r="X4647" s="47"/>
      <c r="Y4647" s="47"/>
      <c r="Z4647" s="47">
        <f t="shared" si="1031"/>
        <v>4620</v>
      </c>
      <c r="AA4647" s="47">
        <v>1400</v>
      </c>
      <c r="AB4647" s="47"/>
      <c r="AC4647" s="47"/>
      <c r="AD4647" s="47"/>
      <c r="AE4647" s="47"/>
      <c r="AF4647" s="47">
        <f t="shared" si="1030"/>
        <v>1485</v>
      </c>
      <c r="AG4647" s="47"/>
      <c r="AH4647" s="47" t="str">
        <f>IFERROR(_xlfn.XLOOKUP(Table6[[#This Row],[Suburb]],Table5[Travel Surcharge],Table5[$$]),"")</f>
        <v/>
      </c>
      <c r="AI4647" s="47" t="s">
        <v>7753</v>
      </c>
      <c r="AJ4647" s="47"/>
    </row>
    <row r="4648" spans="1:36">
      <c r="A4648" s="374" t="s">
        <v>7750</v>
      </c>
      <c r="B4648" s="374">
        <v>57</v>
      </c>
      <c r="C4648" s="374" t="s">
        <v>538</v>
      </c>
      <c r="D4648" s="375" t="str">
        <f t="shared" si="1032"/>
        <v>Westbrook Estate - Northern Precinct57</v>
      </c>
      <c r="E4648" s="375" t="s">
        <v>6751</v>
      </c>
      <c r="F4648" s="375" t="s">
        <v>6710</v>
      </c>
      <c r="G4648" s="375" t="s">
        <v>6711</v>
      </c>
      <c r="H4648" s="375" t="s">
        <v>6712</v>
      </c>
      <c r="I4648" s="63" t="s">
        <v>6713</v>
      </c>
      <c r="J4648" s="47">
        <f t="shared" si="1027"/>
        <v>3740</v>
      </c>
      <c r="K4648" s="46" t="s">
        <v>7938</v>
      </c>
      <c r="L4648" s="47"/>
      <c r="M4648" s="47">
        <f t="shared" si="1028"/>
        <v>1430.0000000000002</v>
      </c>
      <c r="N4648" s="47"/>
      <c r="O4648" s="47"/>
      <c r="P4648" s="47" t="s">
        <v>6714</v>
      </c>
      <c r="Q4648" s="47"/>
      <c r="R4648" s="47"/>
      <c r="S4648" s="47"/>
      <c r="T4648" s="47">
        <f t="shared" si="1029"/>
        <v>780</v>
      </c>
      <c r="U4648" s="47" t="s">
        <v>7752</v>
      </c>
      <c r="V4648" s="47" t="s">
        <v>6715</v>
      </c>
      <c r="W4648" s="47"/>
      <c r="X4648" s="47"/>
      <c r="Y4648" s="47"/>
      <c r="Z4648" s="47">
        <f t="shared" si="1031"/>
        <v>4620</v>
      </c>
      <c r="AA4648" s="47">
        <v>1400</v>
      </c>
      <c r="AB4648" s="47"/>
      <c r="AC4648" s="47"/>
      <c r="AD4648" s="47"/>
      <c r="AE4648" s="47"/>
      <c r="AF4648" s="47">
        <f t="shared" si="1030"/>
        <v>1485</v>
      </c>
      <c r="AG4648" s="47"/>
      <c r="AH4648" s="47" t="str">
        <f>IFERROR(_xlfn.XLOOKUP(Table6[[#This Row],[Suburb]],Table5[Travel Surcharge],Table5[$$]),"")</f>
        <v/>
      </c>
      <c r="AI4648" s="47" t="s">
        <v>7753</v>
      </c>
      <c r="AJ4648" s="47"/>
    </row>
    <row r="4649" spans="1:36">
      <c r="A4649" s="374" t="s">
        <v>7750</v>
      </c>
      <c r="B4649" s="374">
        <v>61</v>
      </c>
      <c r="C4649" s="374" t="s">
        <v>538</v>
      </c>
      <c r="D4649" s="375" t="str">
        <f t="shared" si="1032"/>
        <v>Westbrook Estate - Northern Precinct61</v>
      </c>
      <c r="E4649" s="375" t="s">
        <v>6754</v>
      </c>
      <c r="F4649" s="375" t="s">
        <v>6710</v>
      </c>
      <c r="G4649" s="375" t="s">
        <v>6711</v>
      </c>
      <c r="H4649" s="375" t="s">
        <v>6712</v>
      </c>
      <c r="I4649" s="63" t="s">
        <v>6713</v>
      </c>
      <c r="J4649" s="47">
        <f t="shared" si="1027"/>
        <v>3740</v>
      </c>
      <c r="K4649" s="46" t="s">
        <v>7938</v>
      </c>
      <c r="L4649" s="47"/>
      <c r="M4649" s="47">
        <f t="shared" si="1028"/>
        <v>1430.0000000000002</v>
      </c>
      <c r="N4649" s="47"/>
      <c r="O4649" s="47"/>
      <c r="P4649" s="47" t="s">
        <v>6714</v>
      </c>
      <c r="Q4649" s="47"/>
      <c r="R4649" s="47"/>
      <c r="S4649" s="47"/>
      <c r="T4649" s="47">
        <f t="shared" si="1029"/>
        <v>780</v>
      </c>
      <c r="U4649" s="47" t="s">
        <v>7752</v>
      </c>
      <c r="V4649" s="47" t="s">
        <v>6715</v>
      </c>
      <c r="W4649" s="47"/>
      <c r="X4649" s="47"/>
      <c r="Y4649" s="47"/>
      <c r="Z4649" s="47">
        <f t="shared" si="1031"/>
        <v>4620</v>
      </c>
      <c r="AA4649" s="47">
        <v>1400</v>
      </c>
      <c r="AB4649" s="47"/>
      <c r="AC4649" s="47"/>
      <c r="AD4649" s="47"/>
      <c r="AE4649" s="47"/>
      <c r="AF4649" s="47">
        <f t="shared" si="1030"/>
        <v>1485</v>
      </c>
      <c r="AG4649" s="47"/>
      <c r="AH4649" s="47" t="str">
        <f>IFERROR(_xlfn.XLOOKUP(Table6[[#This Row],[Suburb]],Table5[Travel Surcharge],Table5[$$]),"")</f>
        <v/>
      </c>
      <c r="AI4649" s="47" t="s">
        <v>7753</v>
      </c>
      <c r="AJ4649" s="47"/>
    </row>
    <row r="4650" spans="1:36">
      <c r="A4650" s="374" t="s">
        <v>7750</v>
      </c>
      <c r="B4650" s="374">
        <v>63</v>
      </c>
      <c r="C4650" s="374" t="s">
        <v>538</v>
      </c>
      <c r="D4650" s="375" t="str">
        <f t="shared" si="1032"/>
        <v>Westbrook Estate - Northern Precinct63</v>
      </c>
      <c r="E4650" s="375" t="s">
        <v>6755</v>
      </c>
      <c r="F4650" s="375" t="s">
        <v>6710</v>
      </c>
      <c r="G4650" s="375" t="s">
        <v>6711</v>
      </c>
      <c r="H4650" s="375" t="s">
        <v>6712</v>
      </c>
      <c r="I4650" s="63" t="s">
        <v>6713</v>
      </c>
      <c r="J4650" s="47">
        <f t="shared" si="1027"/>
        <v>3740</v>
      </c>
      <c r="K4650" s="46" t="s">
        <v>7938</v>
      </c>
      <c r="L4650" s="47"/>
      <c r="M4650" s="47">
        <f t="shared" si="1028"/>
        <v>1430.0000000000002</v>
      </c>
      <c r="N4650" s="47"/>
      <c r="O4650" s="47"/>
      <c r="P4650" s="47" t="s">
        <v>6714</v>
      </c>
      <c r="Q4650" s="47"/>
      <c r="R4650" s="47"/>
      <c r="S4650" s="47"/>
      <c r="T4650" s="47">
        <f t="shared" si="1029"/>
        <v>780</v>
      </c>
      <c r="U4650" s="47" t="s">
        <v>7752</v>
      </c>
      <c r="V4650" s="47" t="s">
        <v>6715</v>
      </c>
      <c r="W4650" s="47"/>
      <c r="X4650" s="47"/>
      <c r="Y4650" s="47"/>
      <c r="Z4650" s="47">
        <f t="shared" si="1031"/>
        <v>4620</v>
      </c>
      <c r="AA4650" s="47">
        <v>1400</v>
      </c>
      <c r="AB4650" s="47"/>
      <c r="AC4650" s="47"/>
      <c r="AD4650" s="47"/>
      <c r="AE4650" s="47"/>
      <c r="AF4650" s="47">
        <f t="shared" si="1030"/>
        <v>1485</v>
      </c>
      <c r="AG4650" s="47"/>
      <c r="AH4650" s="47" t="str">
        <f>IFERROR(_xlfn.XLOOKUP(Table6[[#This Row],[Suburb]],Table5[Travel Surcharge],Table5[$$]),"")</f>
        <v/>
      </c>
      <c r="AI4650" s="47" t="s">
        <v>7753</v>
      </c>
      <c r="AJ4650" s="47"/>
    </row>
    <row r="4651" spans="1:36">
      <c r="A4651" s="374" t="s">
        <v>7750</v>
      </c>
      <c r="B4651" s="374">
        <v>64</v>
      </c>
      <c r="C4651" s="374" t="s">
        <v>538</v>
      </c>
      <c r="D4651" s="375" t="str">
        <f t="shared" si="1032"/>
        <v>Westbrook Estate - Northern Precinct64</v>
      </c>
      <c r="E4651" s="375" t="s">
        <v>6756</v>
      </c>
      <c r="F4651" s="375" t="s">
        <v>6710</v>
      </c>
      <c r="G4651" s="375" t="s">
        <v>6711</v>
      </c>
      <c r="H4651" s="375" t="s">
        <v>6712</v>
      </c>
      <c r="I4651" s="63" t="s">
        <v>6713</v>
      </c>
      <c r="J4651" s="47">
        <f t="shared" si="1027"/>
        <v>3740</v>
      </c>
      <c r="K4651" s="46" t="s">
        <v>7938</v>
      </c>
      <c r="L4651" s="47"/>
      <c r="M4651" s="47">
        <f t="shared" si="1028"/>
        <v>1430.0000000000002</v>
      </c>
      <c r="N4651" s="47"/>
      <c r="O4651" s="47"/>
      <c r="P4651" s="47" t="s">
        <v>6714</v>
      </c>
      <c r="Q4651" s="47"/>
      <c r="R4651" s="47"/>
      <c r="S4651" s="47"/>
      <c r="T4651" s="47">
        <f t="shared" si="1029"/>
        <v>780</v>
      </c>
      <c r="U4651" s="47" t="s">
        <v>7752</v>
      </c>
      <c r="V4651" s="47" t="s">
        <v>6715</v>
      </c>
      <c r="W4651" s="47"/>
      <c r="X4651" s="47"/>
      <c r="Y4651" s="47"/>
      <c r="Z4651" s="47">
        <f t="shared" si="1031"/>
        <v>4620</v>
      </c>
      <c r="AA4651" s="47">
        <v>1400</v>
      </c>
      <c r="AB4651" s="47"/>
      <c r="AC4651" s="47"/>
      <c r="AD4651" s="47"/>
      <c r="AE4651" s="47"/>
      <c r="AF4651" s="47">
        <f t="shared" si="1030"/>
        <v>1485</v>
      </c>
      <c r="AG4651" s="47"/>
      <c r="AH4651" s="47" t="str">
        <f>IFERROR(_xlfn.XLOOKUP(Table6[[#This Row],[Suburb]],Table5[Travel Surcharge],Table5[$$]),"")</f>
        <v/>
      </c>
      <c r="AI4651" s="47" t="s">
        <v>7753</v>
      </c>
      <c r="AJ4651" s="47"/>
    </row>
    <row r="4652" spans="1:36">
      <c r="A4652" s="374" t="s">
        <v>7750</v>
      </c>
      <c r="B4652" s="374">
        <v>66</v>
      </c>
      <c r="C4652" s="374" t="s">
        <v>538</v>
      </c>
      <c r="D4652" s="375" t="str">
        <f t="shared" si="1032"/>
        <v>Westbrook Estate - Northern Precinct66</v>
      </c>
      <c r="E4652" s="375" t="s">
        <v>6757</v>
      </c>
      <c r="F4652" s="375" t="s">
        <v>6710</v>
      </c>
      <c r="G4652" s="375" t="s">
        <v>6711</v>
      </c>
      <c r="H4652" s="375" t="s">
        <v>6712</v>
      </c>
      <c r="I4652" s="63" t="s">
        <v>6713</v>
      </c>
      <c r="J4652" s="47">
        <f t="shared" si="1027"/>
        <v>3740</v>
      </c>
      <c r="K4652" s="46" t="s">
        <v>7938</v>
      </c>
      <c r="L4652" s="47"/>
      <c r="M4652" s="47">
        <f t="shared" si="1028"/>
        <v>1430.0000000000002</v>
      </c>
      <c r="N4652" s="47"/>
      <c r="O4652" s="47"/>
      <c r="P4652" s="47" t="s">
        <v>6714</v>
      </c>
      <c r="Q4652" s="47"/>
      <c r="R4652" s="47"/>
      <c r="S4652" s="47"/>
      <c r="T4652" s="47">
        <f t="shared" si="1029"/>
        <v>780</v>
      </c>
      <c r="U4652" s="47" t="s">
        <v>7752</v>
      </c>
      <c r="V4652" s="47" t="s">
        <v>6715</v>
      </c>
      <c r="W4652" s="47"/>
      <c r="X4652" s="47"/>
      <c r="Y4652" s="47"/>
      <c r="Z4652" s="47">
        <f t="shared" si="1031"/>
        <v>4620</v>
      </c>
      <c r="AA4652" s="47">
        <v>1400</v>
      </c>
      <c r="AB4652" s="47"/>
      <c r="AC4652" s="47" t="s">
        <v>1904</v>
      </c>
      <c r="AD4652" s="47"/>
      <c r="AE4652" s="47"/>
      <c r="AF4652" s="47">
        <f t="shared" si="1030"/>
        <v>1485</v>
      </c>
      <c r="AG4652" s="47"/>
      <c r="AH4652" s="47" t="str">
        <f>IFERROR(_xlfn.XLOOKUP(Table6[[#This Row],[Suburb]],Table5[Travel Surcharge],Table5[$$]),"")</f>
        <v/>
      </c>
      <c r="AI4652" s="47" t="s">
        <v>7673</v>
      </c>
      <c r="AJ4652" s="47"/>
    </row>
    <row r="4653" spans="1:36">
      <c r="A4653" s="157" t="s">
        <v>7750</v>
      </c>
      <c r="B4653" s="157">
        <v>68</v>
      </c>
      <c r="C4653" s="157" t="s">
        <v>7442</v>
      </c>
      <c r="D4653" s="157" t="str">
        <f t="shared" si="1032"/>
        <v>Westbrook Estate - Northern Precinct68</v>
      </c>
      <c r="E4653" s="157" t="s">
        <v>7444</v>
      </c>
      <c r="F4653" s="157" t="s">
        <v>6710</v>
      </c>
      <c r="G4653" s="157" t="s">
        <v>6711</v>
      </c>
      <c r="H4653" s="157" t="s">
        <v>7443</v>
      </c>
      <c r="I4653" s="158" t="s">
        <v>6713</v>
      </c>
      <c r="J4653" s="47">
        <f t="shared" si="1027"/>
        <v>3740</v>
      </c>
      <c r="K4653" s="46" t="s">
        <v>7938</v>
      </c>
      <c r="L4653" s="47"/>
      <c r="M4653" s="47">
        <f t="shared" si="1028"/>
        <v>1430.0000000000002</v>
      </c>
      <c r="N4653" s="47"/>
      <c r="O4653" s="47"/>
      <c r="P4653" s="47" t="s">
        <v>6714</v>
      </c>
      <c r="Q4653" s="47"/>
      <c r="R4653" s="47"/>
      <c r="S4653" s="47"/>
      <c r="T4653" s="47">
        <f t="shared" si="1029"/>
        <v>780</v>
      </c>
      <c r="U4653" s="47" t="s">
        <v>7752</v>
      </c>
      <c r="V4653" s="47" t="s">
        <v>6715</v>
      </c>
      <c r="W4653" s="47"/>
      <c r="X4653" s="47"/>
      <c r="Y4653" s="47"/>
      <c r="Z4653" s="47">
        <f t="shared" si="1031"/>
        <v>4620</v>
      </c>
      <c r="AA4653" s="47">
        <v>1400</v>
      </c>
      <c r="AB4653" s="47"/>
      <c r="AC4653" s="47" t="s">
        <v>1904</v>
      </c>
      <c r="AD4653" s="47"/>
      <c r="AE4653" s="47"/>
      <c r="AF4653" s="47">
        <f t="shared" si="1030"/>
        <v>1485</v>
      </c>
      <c r="AG4653" s="47"/>
      <c r="AH4653" s="47" t="str">
        <f>IFERROR(_xlfn.XLOOKUP(Table6[[#This Row],[Suburb]],Table5[Travel Surcharge],Table5[$$]),"")</f>
        <v/>
      </c>
      <c r="AI4653" s="47" t="s">
        <v>7753</v>
      </c>
      <c r="AJ4653" s="47"/>
    </row>
    <row r="4654" spans="1:36">
      <c r="A4654" s="157" t="s">
        <v>7750</v>
      </c>
      <c r="B4654" s="157">
        <v>69</v>
      </c>
      <c r="C4654" s="157" t="s">
        <v>7442</v>
      </c>
      <c r="D4654" s="157" t="str">
        <f t="shared" si="1032"/>
        <v>Westbrook Estate - Northern Precinct69</v>
      </c>
      <c r="E4654" s="157" t="s">
        <v>7667</v>
      </c>
      <c r="F4654" s="157" t="s">
        <v>6710</v>
      </c>
      <c r="G4654" s="157" t="s">
        <v>6711</v>
      </c>
      <c r="H4654" s="157" t="s">
        <v>7443</v>
      </c>
      <c r="I4654" s="158" t="s">
        <v>6713</v>
      </c>
      <c r="J4654" s="47">
        <f t="shared" si="1027"/>
        <v>3740</v>
      </c>
      <c r="K4654" s="46" t="s">
        <v>7938</v>
      </c>
      <c r="L4654" s="47"/>
      <c r="M4654" s="47">
        <f t="shared" si="1028"/>
        <v>1430.0000000000002</v>
      </c>
      <c r="N4654" s="47"/>
      <c r="O4654" s="47"/>
      <c r="P4654" s="47" t="s">
        <v>6714</v>
      </c>
      <c r="Q4654" s="47"/>
      <c r="R4654" s="47"/>
      <c r="S4654" s="47"/>
      <c r="T4654" s="47">
        <f t="shared" si="1029"/>
        <v>780</v>
      </c>
      <c r="U4654" s="47" t="s">
        <v>7752</v>
      </c>
      <c r="V4654" s="47" t="s">
        <v>6715</v>
      </c>
      <c r="W4654" s="47"/>
      <c r="X4654" s="47"/>
      <c r="Y4654" s="47"/>
      <c r="Z4654" s="47">
        <f t="shared" si="1031"/>
        <v>4620</v>
      </c>
      <c r="AA4654" s="47">
        <v>1400</v>
      </c>
      <c r="AB4654" s="47"/>
      <c r="AC4654" s="47" t="s">
        <v>1904</v>
      </c>
      <c r="AD4654" s="47"/>
      <c r="AE4654" s="47"/>
      <c r="AF4654" s="47">
        <f t="shared" si="1030"/>
        <v>1485</v>
      </c>
      <c r="AG4654" s="47"/>
      <c r="AH4654" s="47" t="str">
        <f>IFERROR(_xlfn.XLOOKUP(Table6[[#This Row],[Suburb]],Table5[Travel Surcharge],Table5[$$]),"")</f>
        <v/>
      </c>
      <c r="AI4654" s="47" t="s">
        <v>7672</v>
      </c>
      <c r="AJ4654" s="47"/>
    </row>
    <row r="4655" spans="1:36">
      <c r="A4655" s="157" t="s">
        <v>7750</v>
      </c>
      <c r="B4655" s="157">
        <v>73</v>
      </c>
      <c r="C4655" s="157" t="s">
        <v>8581</v>
      </c>
      <c r="D4655" s="157" t="str">
        <f t="shared" si="1032"/>
        <v>Westbrook Estate - Northern Precinct73</v>
      </c>
      <c r="E4655" s="157" t="s">
        <v>8583</v>
      </c>
      <c r="F4655" s="157" t="s">
        <v>6710</v>
      </c>
      <c r="G4655" s="157" t="s">
        <v>6711</v>
      </c>
      <c r="H4655" s="157" t="s">
        <v>8582</v>
      </c>
      <c r="I4655" s="158" t="s">
        <v>6713</v>
      </c>
      <c r="J4655" s="47">
        <f t="shared" si="1027"/>
        <v>3740</v>
      </c>
      <c r="K4655" s="46" t="s">
        <v>7938</v>
      </c>
      <c r="L4655" s="47"/>
      <c r="M4655" s="47">
        <f t="shared" si="1028"/>
        <v>1430.0000000000002</v>
      </c>
      <c r="N4655" s="47"/>
      <c r="O4655" s="47"/>
      <c r="P4655" s="47" t="s">
        <v>6714</v>
      </c>
      <c r="Q4655" s="47"/>
      <c r="R4655" s="47"/>
      <c r="S4655" s="47"/>
      <c r="T4655" s="47">
        <f t="shared" si="1029"/>
        <v>780</v>
      </c>
      <c r="U4655" s="47" t="s">
        <v>7752</v>
      </c>
      <c r="V4655" s="47" t="s">
        <v>6715</v>
      </c>
      <c r="W4655" s="47"/>
      <c r="X4655" s="47"/>
      <c r="Y4655" s="47"/>
      <c r="Z4655" s="47">
        <f t="shared" si="1031"/>
        <v>4620</v>
      </c>
      <c r="AA4655" s="47">
        <v>1401</v>
      </c>
      <c r="AB4655" s="47"/>
      <c r="AC4655" s="47" t="s">
        <v>1904</v>
      </c>
      <c r="AD4655" s="47"/>
      <c r="AE4655" s="47"/>
      <c r="AF4655" s="47">
        <f t="shared" si="1030"/>
        <v>1485</v>
      </c>
      <c r="AG4655" s="47"/>
      <c r="AH4655" s="47" t="str">
        <f>IFERROR(_xlfn.XLOOKUP(Table6[[#This Row],[Suburb]],Table5[Travel Surcharge],Table5[$$]),"")</f>
        <v/>
      </c>
      <c r="AI4655" s="47" t="s">
        <v>7672</v>
      </c>
      <c r="AJ4655" s="47"/>
    </row>
    <row r="4656" spans="1:36">
      <c r="A4656" s="374" t="s">
        <v>7750</v>
      </c>
      <c r="B4656" s="374">
        <v>59</v>
      </c>
      <c r="C4656" s="374" t="s">
        <v>8581</v>
      </c>
      <c r="D4656" s="375" t="s">
        <v>9546</v>
      </c>
      <c r="E4656" s="375" t="s">
        <v>8197</v>
      </c>
      <c r="F4656" s="375" t="s">
        <v>6710</v>
      </c>
      <c r="G4656" s="375" t="s">
        <v>6711</v>
      </c>
      <c r="H4656" s="375" t="s">
        <v>8582</v>
      </c>
      <c r="I4656" s="63" t="s">
        <v>6713</v>
      </c>
      <c r="J4656" s="47">
        <v>3740</v>
      </c>
      <c r="K4656" s="46" t="s">
        <v>7938</v>
      </c>
      <c r="L4656" s="47"/>
      <c r="M4656" s="47">
        <v>1430.0000000000002</v>
      </c>
      <c r="N4656" s="47"/>
      <c r="O4656" s="47"/>
      <c r="P4656" s="47" t="s">
        <v>6714</v>
      </c>
      <c r="Q4656" s="47"/>
      <c r="R4656" s="47"/>
      <c r="S4656" s="47"/>
      <c r="T4656" s="47">
        <v>1420</v>
      </c>
      <c r="U4656" s="47" t="s">
        <v>7752</v>
      </c>
      <c r="V4656" s="47" t="s">
        <v>6715</v>
      </c>
      <c r="W4656" s="47"/>
      <c r="X4656" s="47"/>
      <c r="Y4656" s="47"/>
      <c r="Z4656" s="47">
        <v>4620</v>
      </c>
      <c r="AA4656" s="47">
        <v>1401</v>
      </c>
      <c r="AB4656" s="47"/>
      <c r="AC4656" s="47" t="s">
        <v>1904</v>
      </c>
      <c r="AD4656" s="47"/>
      <c r="AE4656" s="47"/>
      <c r="AF4656" s="47">
        <v>1650.0000000000002</v>
      </c>
      <c r="AG4656" s="47"/>
      <c r="AH4656" s="47" t="str">
        <f>IFERROR(_xlfn.XLOOKUP(Table6[[#This Row],[Suburb]],Table5[Travel Surcharge],Table5[$$]),"")</f>
        <v/>
      </c>
      <c r="AI4656" s="47" t="s">
        <v>7672</v>
      </c>
      <c r="AJ4656" s="47"/>
    </row>
    <row r="4657" spans="1:36">
      <c r="A4657" s="374" t="s">
        <v>7750</v>
      </c>
      <c r="B4657" s="374" t="s">
        <v>6758</v>
      </c>
      <c r="C4657" s="374" t="s">
        <v>538</v>
      </c>
      <c r="D4657" s="375" t="str">
        <f t="shared" ref="D4657:D4690" si="1033">CONCATENATE(A4657,B4657)</f>
        <v>Westbrook Estate - Northern Precinct67A</v>
      </c>
      <c r="E4657" s="375" t="s">
        <v>6759</v>
      </c>
      <c r="F4657" s="375" t="s">
        <v>6710</v>
      </c>
      <c r="G4657" s="375" t="s">
        <v>6711</v>
      </c>
      <c r="H4657" s="375" t="s">
        <v>6712</v>
      </c>
      <c r="I4657" s="63" t="s">
        <v>6713</v>
      </c>
      <c r="J4657" s="47">
        <f t="shared" ref="J4657:J4674" si="1034">J$7</f>
        <v>3740</v>
      </c>
      <c r="K4657" s="46" t="s">
        <v>7938</v>
      </c>
      <c r="L4657" s="47"/>
      <c r="M4657" s="47">
        <f t="shared" ref="M4657:M4664" si="1035">M$7</f>
        <v>1430.0000000000002</v>
      </c>
      <c r="N4657" s="47"/>
      <c r="O4657" s="47"/>
      <c r="P4657" s="47" t="s">
        <v>6714</v>
      </c>
      <c r="Q4657" s="47"/>
      <c r="R4657" s="47"/>
      <c r="S4657" s="47"/>
      <c r="T4657" s="47">
        <f t="shared" ref="T4657:T4664" si="1036">T$2</f>
        <v>780</v>
      </c>
      <c r="U4657" s="47" t="s">
        <v>7752</v>
      </c>
      <c r="V4657" s="47" t="s">
        <v>6715</v>
      </c>
      <c r="W4657" s="47"/>
      <c r="X4657" s="47"/>
      <c r="Y4657" s="47"/>
      <c r="Z4657" s="47">
        <f t="shared" ref="Z4657:Z4690" si="1037">Z$7</f>
        <v>4620</v>
      </c>
      <c r="AA4657" s="47">
        <v>1400</v>
      </c>
      <c r="AB4657" s="47"/>
      <c r="AC4657" s="47" t="s">
        <v>1904</v>
      </c>
      <c r="AD4657" s="47"/>
      <c r="AE4657" s="47"/>
      <c r="AF4657" s="47">
        <f t="shared" ref="AF4657:AF4664" si="1038">AF$7</f>
        <v>1485</v>
      </c>
      <c r="AG4657" s="47"/>
      <c r="AH4657" s="47" t="str">
        <f>IFERROR(_xlfn.XLOOKUP(Table6[[#This Row],[Suburb]],Table5[Travel Surcharge],Table5[$$]),"")</f>
        <v/>
      </c>
      <c r="AI4657" s="47" t="s">
        <v>7674</v>
      </c>
      <c r="AJ4657" s="47"/>
    </row>
    <row r="4658" spans="1:36">
      <c r="A4658" s="374" t="s">
        <v>7749</v>
      </c>
      <c r="B4658" s="374">
        <v>3</v>
      </c>
      <c r="C4658" s="374" t="s">
        <v>538</v>
      </c>
      <c r="D4658" s="375" t="str">
        <f t="shared" si="1033"/>
        <v>Westbrook Estate - Southern Precinct3</v>
      </c>
      <c r="E4658" s="375" t="s">
        <v>6709</v>
      </c>
      <c r="F4658" s="375" t="s">
        <v>6710</v>
      </c>
      <c r="G4658" s="375" t="s">
        <v>6711</v>
      </c>
      <c r="H4658" s="375" t="s">
        <v>6712</v>
      </c>
      <c r="I4658" s="63" t="s">
        <v>6713</v>
      </c>
      <c r="J4658" s="47">
        <f t="shared" si="1034"/>
        <v>3740</v>
      </c>
      <c r="K4658" s="46" t="s">
        <v>7938</v>
      </c>
      <c r="L4658" s="47"/>
      <c r="M4658" s="47">
        <f t="shared" si="1035"/>
        <v>1430.0000000000002</v>
      </c>
      <c r="N4658" s="47"/>
      <c r="O4658" s="47"/>
      <c r="P4658" s="47" t="s">
        <v>6714</v>
      </c>
      <c r="Q4658" s="47"/>
      <c r="R4658" s="47"/>
      <c r="S4658" s="47"/>
      <c r="T4658" s="47">
        <f t="shared" si="1036"/>
        <v>780</v>
      </c>
      <c r="U4658" s="47" t="s">
        <v>7752</v>
      </c>
      <c r="V4658" s="47" t="s">
        <v>6715</v>
      </c>
      <c r="W4658" s="47"/>
      <c r="X4658" s="47"/>
      <c r="Y4658" s="47"/>
      <c r="Z4658" s="47">
        <f t="shared" si="1037"/>
        <v>4620</v>
      </c>
      <c r="AA4658" s="47">
        <v>1400</v>
      </c>
      <c r="AB4658" s="47"/>
      <c r="AC4658" s="47"/>
      <c r="AD4658" s="47"/>
      <c r="AE4658" s="47"/>
      <c r="AF4658" s="47">
        <f t="shared" si="1038"/>
        <v>1485</v>
      </c>
      <c r="AG4658" s="47"/>
      <c r="AH4658" s="47" t="str">
        <f>IFERROR(_xlfn.XLOOKUP(Table6[[#This Row],[Suburb]],Table5[Travel Surcharge],Table5[$$]),"")</f>
        <v/>
      </c>
      <c r="AI4658" s="47" t="s">
        <v>7753</v>
      </c>
      <c r="AJ4658" s="47"/>
    </row>
    <row r="4659" spans="1:36">
      <c r="A4659" s="374" t="s">
        <v>7749</v>
      </c>
      <c r="B4659" s="374">
        <v>7</v>
      </c>
      <c r="C4659" s="374" t="s">
        <v>538</v>
      </c>
      <c r="D4659" s="375" t="str">
        <f t="shared" si="1033"/>
        <v>Westbrook Estate - Southern Precinct7</v>
      </c>
      <c r="E4659" s="375" t="s">
        <v>6716</v>
      </c>
      <c r="F4659" s="375" t="s">
        <v>6710</v>
      </c>
      <c r="G4659" s="375" t="s">
        <v>6711</v>
      </c>
      <c r="H4659" s="375" t="s">
        <v>6712</v>
      </c>
      <c r="I4659" s="63" t="s">
        <v>6713</v>
      </c>
      <c r="J4659" s="47">
        <f t="shared" si="1034"/>
        <v>3740</v>
      </c>
      <c r="K4659" s="46" t="s">
        <v>7938</v>
      </c>
      <c r="L4659" s="47"/>
      <c r="M4659" s="47">
        <f t="shared" si="1035"/>
        <v>1430.0000000000002</v>
      </c>
      <c r="N4659" s="47"/>
      <c r="O4659" s="47"/>
      <c r="P4659" s="47" t="s">
        <v>6714</v>
      </c>
      <c r="Q4659" s="47"/>
      <c r="R4659" s="47"/>
      <c r="S4659" s="47"/>
      <c r="T4659" s="47">
        <f t="shared" si="1036"/>
        <v>780</v>
      </c>
      <c r="U4659" s="47" t="s">
        <v>7752</v>
      </c>
      <c r="V4659" s="47" t="s">
        <v>6715</v>
      </c>
      <c r="W4659" s="47"/>
      <c r="X4659" s="47"/>
      <c r="Y4659" s="47"/>
      <c r="Z4659" s="47">
        <f t="shared" si="1037"/>
        <v>4620</v>
      </c>
      <c r="AA4659" s="47">
        <v>1400</v>
      </c>
      <c r="AB4659" s="47"/>
      <c r="AC4659" s="47"/>
      <c r="AD4659" s="47"/>
      <c r="AE4659" s="47"/>
      <c r="AF4659" s="47">
        <f t="shared" si="1038"/>
        <v>1485</v>
      </c>
      <c r="AG4659" s="47"/>
      <c r="AH4659" s="47" t="str">
        <f>IFERROR(_xlfn.XLOOKUP(Table6[[#This Row],[Suburb]],Table5[Travel Surcharge],Table5[$$]),"")</f>
        <v/>
      </c>
      <c r="AI4659" s="47" t="s">
        <v>7753</v>
      </c>
      <c r="AJ4659" s="47"/>
    </row>
    <row r="4660" spans="1:36">
      <c r="A4660" s="374" t="s">
        <v>7749</v>
      </c>
      <c r="B4660" s="374">
        <v>16</v>
      </c>
      <c r="C4660" s="374" t="s">
        <v>538</v>
      </c>
      <c r="D4660" s="375" t="str">
        <f t="shared" si="1033"/>
        <v>Westbrook Estate - Southern Precinct16</v>
      </c>
      <c r="E4660" s="375" t="s">
        <v>6717</v>
      </c>
      <c r="F4660" s="375" t="s">
        <v>6710</v>
      </c>
      <c r="G4660" s="375" t="s">
        <v>6711</v>
      </c>
      <c r="H4660" s="375" t="s">
        <v>6712</v>
      </c>
      <c r="I4660" s="63" t="s">
        <v>6713</v>
      </c>
      <c r="J4660" s="47">
        <f t="shared" si="1034"/>
        <v>3740</v>
      </c>
      <c r="K4660" s="46" t="s">
        <v>7938</v>
      </c>
      <c r="L4660" s="47"/>
      <c r="M4660" s="47">
        <f t="shared" si="1035"/>
        <v>1430.0000000000002</v>
      </c>
      <c r="N4660" s="47"/>
      <c r="O4660" s="47"/>
      <c r="P4660" s="47" t="s">
        <v>6714</v>
      </c>
      <c r="Q4660" s="47"/>
      <c r="R4660" s="47"/>
      <c r="S4660" s="47"/>
      <c r="T4660" s="47">
        <f t="shared" si="1036"/>
        <v>780</v>
      </c>
      <c r="U4660" s="47" t="s">
        <v>7752</v>
      </c>
      <c r="V4660" s="47" t="s">
        <v>6715</v>
      </c>
      <c r="W4660" s="47"/>
      <c r="X4660" s="47"/>
      <c r="Y4660" s="47"/>
      <c r="Z4660" s="47">
        <f t="shared" si="1037"/>
        <v>4620</v>
      </c>
      <c r="AA4660" s="47">
        <v>1400</v>
      </c>
      <c r="AB4660" s="47"/>
      <c r="AC4660" s="47"/>
      <c r="AD4660" s="47"/>
      <c r="AE4660" s="47"/>
      <c r="AF4660" s="47">
        <f t="shared" si="1038"/>
        <v>1485</v>
      </c>
      <c r="AG4660" s="47"/>
      <c r="AH4660" s="47" t="str">
        <f>IFERROR(_xlfn.XLOOKUP(Table6[[#This Row],[Suburb]],Table5[Travel Surcharge],Table5[$$]),"")</f>
        <v/>
      </c>
      <c r="AI4660" s="47" t="s">
        <v>7753</v>
      </c>
      <c r="AJ4660" s="47"/>
    </row>
    <row r="4661" spans="1:36">
      <c r="A4661" s="374" t="s">
        <v>7749</v>
      </c>
      <c r="B4661" s="374">
        <v>29</v>
      </c>
      <c r="C4661" s="374" t="s">
        <v>538</v>
      </c>
      <c r="D4661" s="375" t="str">
        <f t="shared" si="1033"/>
        <v>Westbrook Estate - Southern Precinct29</v>
      </c>
      <c r="E4661" s="375" t="s">
        <v>6718</v>
      </c>
      <c r="F4661" s="375" t="s">
        <v>6710</v>
      </c>
      <c r="G4661" s="375" t="s">
        <v>6711</v>
      </c>
      <c r="H4661" s="375" t="s">
        <v>6712</v>
      </c>
      <c r="I4661" s="63" t="s">
        <v>6713</v>
      </c>
      <c r="J4661" s="47">
        <f t="shared" si="1034"/>
        <v>3740</v>
      </c>
      <c r="K4661" s="46" t="s">
        <v>7938</v>
      </c>
      <c r="L4661" s="47"/>
      <c r="M4661" s="47">
        <f t="shared" si="1035"/>
        <v>1430.0000000000002</v>
      </c>
      <c r="N4661" s="47"/>
      <c r="O4661" s="47"/>
      <c r="P4661" s="47" t="s">
        <v>6714</v>
      </c>
      <c r="Q4661" s="47"/>
      <c r="R4661" s="47"/>
      <c r="S4661" s="47"/>
      <c r="T4661" s="47">
        <f t="shared" si="1036"/>
        <v>780</v>
      </c>
      <c r="U4661" s="47" t="s">
        <v>7752</v>
      </c>
      <c r="V4661" s="47" t="s">
        <v>6715</v>
      </c>
      <c r="W4661" s="47"/>
      <c r="X4661" s="47"/>
      <c r="Y4661" s="47"/>
      <c r="Z4661" s="47">
        <f t="shared" si="1037"/>
        <v>4620</v>
      </c>
      <c r="AA4661" s="47">
        <v>1400</v>
      </c>
      <c r="AB4661" s="47"/>
      <c r="AC4661" s="47"/>
      <c r="AD4661" s="47"/>
      <c r="AE4661" s="47"/>
      <c r="AF4661" s="47">
        <f t="shared" si="1038"/>
        <v>1485</v>
      </c>
      <c r="AG4661" s="47"/>
      <c r="AH4661" s="47" t="str">
        <f>IFERROR(_xlfn.XLOOKUP(Table6[[#This Row],[Suburb]],Table5[Travel Surcharge],Table5[$$]),"")</f>
        <v/>
      </c>
      <c r="AI4661" s="47" t="s">
        <v>7753</v>
      </c>
      <c r="AJ4661" s="47"/>
    </row>
    <row r="4662" spans="1:36">
      <c r="A4662" s="374" t="s">
        <v>7749</v>
      </c>
      <c r="B4662" s="374">
        <v>30</v>
      </c>
      <c r="C4662" s="374" t="s">
        <v>538</v>
      </c>
      <c r="D4662" s="375" t="str">
        <f t="shared" si="1033"/>
        <v>Westbrook Estate - Southern Precinct30</v>
      </c>
      <c r="E4662" s="375" t="s">
        <v>6719</v>
      </c>
      <c r="F4662" s="375" t="s">
        <v>6710</v>
      </c>
      <c r="G4662" s="375" t="s">
        <v>6711</v>
      </c>
      <c r="H4662" s="375" t="s">
        <v>6712</v>
      </c>
      <c r="I4662" s="63" t="s">
        <v>6713</v>
      </c>
      <c r="J4662" s="47">
        <f t="shared" si="1034"/>
        <v>3740</v>
      </c>
      <c r="K4662" s="46" t="s">
        <v>7938</v>
      </c>
      <c r="L4662" s="47"/>
      <c r="M4662" s="47">
        <f t="shared" si="1035"/>
        <v>1430.0000000000002</v>
      </c>
      <c r="N4662" s="47"/>
      <c r="O4662" s="47"/>
      <c r="P4662" s="47" t="s">
        <v>6714</v>
      </c>
      <c r="Q4662" s="47"/>
      <c r="R4662" s="47"/>
      <c r="S4662" s="47"/>
      <c r="T4662" s="47">
        <f t="shared" si="1036"/>
        <v>780</v>
      </c>
      <c r="U4662" s="47" t="s">
        <v>7752</v>
      </c>
      <c r="V4662" s="47" t="s">
        <v>6715</v>
      </c>
      <c r="W4662" s="47"/>
      <c r="X4662" s="47"/>
      <c r="Y4662" s="47"/>
      <c r="Z4662" s="47">
        <f t="shared" si="1037"/>
        <v>4620</v>
      </c>
      <c r="AA4662" s="47">
        <v>1400</v>
      </c>
      <c r="AB4662" s="47"/>
      <c r="AC4662" s="47"/>
      <c r="AD4662" s="47"/>
      <c r="AE4662" s="47"/>
      <c r="AF4662" s="47">
        <f t="shared" si="1038"/>
        <v>1485</v>
      </c>
      <c r="AG4662" s="47"/>
      <c r="AH4662" s="47" t="str">
        <f>IFERROR(_xlfn.XLOOKUP(Table6[[#This Row],[Suburb]],Table5[Travel Surcharge],Table5[$$]),"")</f>
        <v/>
      </c>
      <c r="AI4662" s="47" t="s">
        <v>7753</v>
      </c>
      <c r="AJ4662" s="47"/>
    </row>
    <row r="4663" spans="1:36">
      <c r="A4663" s="157" t="s">
        <v>7749</v>
      </c>
      <c r="B4663" s="157">
        <v>31</v>
      </c>
      <c r="C4663" s="157" t="s">
        <v>7442</v>
      </c>
      <c r="D4663" s="157" t="str">
        <f t="shared" si="1033"/>
        <v>Westbrook Estate - Southern Precinct31</v>
      </c>
      <c r="E4663" s="157" t="s">
        <v>8599</v>
      </c>
      <c r="F4663" s="157" t="s">
        <v>6710</v>
      </c>
      <c r="G4663" s="157" t="s">
        <v>6711</v>
      </c>
      <c r="H4663" s="157" t="s">
        <v>7443</v>
      </c>
      <c r="I4663" s="158" t="s">
        <v>6713</v>
      </c>
      <c r="J4663" s="47">
        <f t="shared" si="1034"/>
        <v>3740</v>
      </c>
      <c r="K4663" s="46" t="s">
        <v>7938</v>
      </c>
      <c r="L4663" s="47"/>
      <c r="M4663" s="47">
        <f t="shared" si="1035"/>
        <v>1430.0000000000002</v>
      </c>
      <c r="N4663" s="47"/>
      <c r="O4663" s="47"/>
      <c r="P4663" s="47" t="s">
        <v>6714</v>
      </c>
      <c r="Q4663" s="47"/>
      <c r="R4663" s="47"/>
      <c r="S4663" s="47"/>
      <c r="T4663" s="47">
        <f t="shared" si="1036"/>
        <v>780</v>
      </c>
      <c r="U4663" s="47" t="s">
        <v>7752</v>
      </c>
      <c r="V4663" s="47" t="s">
        <v>6715</v>
      </c>
      <c r="W4663" s="47"/>
      <c r="X4663" s="47"/>
      <c r="Y4663" s="47"/>
      <c r="Z4663" s="47">
        <f t="shared" si="1037"/>
        <v>4620</v>
      </c>
      <c r="AA4663" s="47">
        <v>1401</v>
      </c>
      <c r="AB4663" s="47"/>
      <c r="AC4663" s="47"/>
      <c r="AD4663" s="47"/>
      <c r="AE4663" s="47"/>
      <c r="AF4663" s="47">
        <f t="shared" si="1038"/>
        <v>1485</v>
      </c>
      <c r="AG4663" s="47"/>
      <c r="AH4663" s="47" t="str">
        <f>IFERROR(_xlfn.XLOOKUP(Table6[[#This Row],[Suburb]],Table5[Travel Surcharge],Table5[$$]),"")</f>
        <v/>
      </c>
      <c r="AI4663" s="47" t="s">
        <v>7753</v>
      </c>
      <c r="AJ4663" s="47"/>
    </row>
    <row r="4664" spans="1:36">
      <c r="A4664" s="374" t="s">
        <v>7749</v>
      </c>
      <c r="B4664" s="374">
        <v>33</v>
      </c>
      <c r="C4664" s="374" t="s">
        <v>538</v>
      </c>
      <c r="D4664" s="375" t="str">
        <f t="shared" si="1033"/>
        <v>Westbrook Estate - Southern Precinct33</v>
      </c>
      <c r="E4664" s="375" t="s">
        <v>6720</v>
      </c>
      <c r="F4664" s="375" t="s">
        <v>6710</v>
      </c>
      <c r="G4664" s="375" t="s">
        <v>6711</v>
      </c>
      <c r="H4664" s="375" t="s">
        <v>6712</v>
      </c>
      <c r="I4664" s="63" t="s">
        <v>6713</v>
      </c>
      <c r="J4664" s="47">
        <f t="shared" si="1034"/>
        <v>3740</v>
      </c>
      <c r="K4664" s="46" t="s">
        <v>7938</v>
      </c>
      <c r="L4664" s="47"/>
      <c r="M4664" s="47">
        <f t="shared" si="1035"/>
        <v>1430.0000000000002</v>
      </c>
      <c r="N4664" s="47"/>
      <c r="O4664" s="47"/>
      <c r="P4664" s="47" t="s">
        <v>6714</v>
      </c>
      <c r="Q4664" s="47"/>
      <c r="R4664" s="47"/>
      <c r="S4664" s="47"/>
      <c r="T4664" s="47">
        <f t="shared" si="1036"/>
        <v>780</v>
      </c>
      <c r="U4664" s="47" t="s">
        <v>7752</v>
      </c>
      <c r="V4664" s="47" t="s">
        <v>6715</v>
      </c>
      <c r="W4664" s="47"/>
      <c r="X4664" s="47"/>
      <c r="Y4664" s="47"/>
      <c r="Z4664" s="47">
        <f t="shared" si="1037"/>
        <v>4620</v>
      </c>
      <c r="AA4664" s="47">
        <v>1400</v>
      </c>
      <c r="AB4664" s="47"/>
      <c r="AC4664" s="47"/>
      <c r="AD4664" s="47"/>
      <c r="AE4664" s="47"/>
      <c r="AF4664" s="47">
        <f t="shared" si="1038"/>
        <v>1485</v>
      </c>
      <c r="AG4664" s="47"/>
      <c r="AH4664" s="47" t="str">
        <f>IFERROR(_xlfn.XLOOKUP(Table6[[#This Row],[Suburb]],Table5[Travel Surcharge],Table5[$$]),"")</f>
        <v/>
      </c>
      <c r="AI4664" s="47" t="s">
        <v>7748</v>
      </c>
      <c r="AJ4664" s="47"/>
    </row>
    <row r="4665" spans="1:36">
      <c r="A4665" s="374" t="s">
        <v>7751</v>
      </c>
      <c r="B4665" s="374">
        <v>55</v>
      </c>
      <c r="C4665" s="374" t="s">
        <v>538</v>
      </c>
      <c r="D4665" s="375" t="str">
        <f t="shared" si="1033"/>
        <v>Westbrook Estate - The Edge55</v>
      </c>
      <c r="E4665" s="375" t="s">
        <v>6739</v>
      </c>
      <c r="F4665" s="375" t="s">
        <v>6710</v>
      </c>
      <c r="G4665" s="375" t="s">
        <v>6711</v>
      </c>
      <c r="H4665" s="375" t="s">
        <v>6712</v>
      </c>
      <c r="I4665" s="63" t="s">
        <v>6713</v>
      </c>
      <c r="J4665" s="47">
        <f t="shared" si="1034"/>
        <v>3740</v>
      </c>
      <c r="K4665" s="46" t="s">
        <v>7938</v>
      </c>
      <c r="L4665" s="47" t="s">
        <v>6740</v>
      </c>
      <c r="M4665" s="47" t="s">
        <v>6741</v>
      </c>
      <c r="N4665" s="47"/>
      <c r="O4665" s="47" t="s">
        <v>6742</v>
      </c>
      <c r="P4665" s="47" t="s">
        <v>6743</v>
      </c>
      <c r="Q4665" s="47"/>
      <c r="R4665" s="47" t="s">
        <v>6744</v>
      </c>
      <c r="S4665" s="47" t="s">
        <v>8199</v>
      </c>
      <c r="T4665" s="47" t="s">
        <v>6745</v>
      </c>
      <c r="U4665" s="47"/>
      <c r="V4665" s="47" t="s">
        <v>6746</v>
      </c>
      <c r="W4665" s="47" t="s">
        <v>6747</v>
      </c>
      <c r="X4665" s="47" t="s">
        <v>6748</v>
      </c>
      <c r="Y4665" s="47"/>
      <c r="Z4665" s="47">
        <f t="shared" si="1037"/>
        <v>4620</v>
      </c>
      <c r="AA4665" s="47">
        <f t="shared" ref="AA4665:AC4667" si="1039">AA$7</f>
        <v>1400</v>
      </c>
      <c r="AB4665" s="47">
        <f t="shared" si="1039"/>
        <v>2800</v>
      </c>
      <c r="AC4665" s="47">
        <f t="shared" si="1039"/>
        <v>5200</v>
      </c>
      <c r="AD4665" s="47"/>
      <c r="AE4665" s="47">
        <f>AE$7</f>
        <v>5000</v>
      </c>
      <c r="AF4665" s="47"/>
      <c r="AG4665" s="47"/>
      <c r="AH4665" s="47" t="str">
        <f>IFERROR(_xlfn.XLOOKUP(Table6[[#This Row],[Suburb]],Table5[Travel Surcharge],Table5[$$]),"")</f>
        <v/>
      </c>
      <c r="AI4665" s="47" t="s">
        <v>6749</v>
      </c>
      <c r="AJ4665" s="47"/>
    </row>
    <row r="4666" spans="1:36">
      <c r="A4666" s="374" t="s">
        <v>7751</v>
      </c>
      <c r="B4666" s="374">
        <v>58</v>
      </c>
      <c r="C4666" s="374" t="s">
        <v>538</v>
      </c>
      <c r="D4666" s="375" t="str">
        <f t="shared" si="1033"/>
        <v>Westbrook Estate - The Edge58</v>
      </c>
      <c r="E4666" s="375" t="s">
        <v>6752</v>
      </c>
      <c r="F4666" s="375" t="s">
        <v>6710</v>
      </c>
      <c r="G4666" s="375" t="s">
        <v>6711</v>
      </c>
      <c r="H4666" s="375" t="s">
        <v>6712</v>
      </c>
      <c r="I4666" s="63" t="s">
        <v>6713</v>
      </c>
      <c r="J4666" s="47">
        <f t="shared" si="1034"/>
        <v>3740</v>
      </c>
      <c r="K4666" s="46" t="s">
        <v>7938</v>
      </c>
      <c r="L4666" s="47" t="s">
        <v>6740</v>
      </c>
      <c r="M4666" s="47" t="s">
        <v>6741</v>
      </c>
      <c r="N4666" s="47"/>
      <c r="O4666" s="47" t="s">
        <v>6742</v>
      </c>
      <c r="P4666" s="47" t="s">
        <v>6743</v>
      </c>
      <c r="Q4666" s="47"/>
      <c r="R4666" s="47" t="s">
        <v>6744</v>
      </c>
      <c r="S4666" s="47" t="s">
        <v>8199</v>
      </c>
      <c r="T4666" s="47" t="s">
        <v>6745</v>
      </c>
      <c r="U4666" s="47"/>
      <c r="V4666" s="47" t="s">
        <v>6746</v>
      </c>
      <c r="W4666" s="47" t="s">
        <v>6747</v>
      </c>
      <c r="X4666" s="47" t="s">
        <v>6748</v>
      </c>
      <c r="Y4666" s="47"/>
      <c r="Z4666" s="47">
        <f t="shared" si="1037"/>
        <v>4620</v>
      </c>
      <c r="AA4666" s="47">
        <f t="shared" si="1039"/>
        <v>1400</v>
      </c>
      <c r="AB4666" s="47">
        <f t="shared" si="1039"/>
        <v>2800</v>
      </c>
      <c r="AC4666" s="47">
        <f t="shared" si="1039"/>
        <v>5200</v>
      </c>
      <c r="AD4666" s="47" t="s">
        <v>8198</v>
      </c>
      <c r="AE4666" s="47">
        <f>AE$7</f>
        <v>5000</v>
      </c>
      <c r="AF4666" s="47"/>
      <c r="AG4666" s="47"/>
      <c r="AH4666" s="47" t="str">
        <f>IFERROR(_xlfn.XLOOKUP(Table6[[#This Row],[Suburb]],Table5[Travel Surcharge],Table5[$$]),"")</f>
        <v/>
      </c>
      <c r="AI4666" s="47" t="s">
        <v>6753</v>
      </c>
      <c r="AJ4666" s="47"/>
    </row>
    <row r="4667" spans="1:36">
      <c r="A4667" s="374" t="s">
        <v>7751</v>
      </c>
      <c r="B4667" s="374">
        <v>59</v>
      </c>
      <c r="C4667" s="374" t="s">
        <v>538</v>
      </c>
      <c r="D4667" s="375" t="str">
        <f t="shared" si="1033"/>
        <v>Westbrook Estate - The Edge59</v>
      </c>
      <c r="E4667" s="375" t="s">
        <v>8197</v>
      </c>
      <c r="F4667" s="375" t="s">
        <v>6710</v>
      </c>
      <c r="G4667" s="375" t="s">
        <v>6711</v>
      </c>
      <c r="H4667" s="375" t="s">
        <v>6712</v>
      </c>
      <c r="I4667" s="63" t="s">
        <v>6713</v>
      </c>
      <c r="J4667" s="47">
        <f t="shared" si="1034"/>
        <v>3740</v>
      </c>
      <c r="K4667" s="46" t="s">
        <v>7938</v>
      </c>
      <c r="L4667" s="47" t="s">
        <v>6740</v>
      </c>
      <c r="M4667" s="47" t="s">
        <v>6741</v>
      </c>
      <c r="N4667" s="47"/>
      <c r="O4667" s="47" t="s">
        <v>6742</v>
      </c>
      <c r="P4667" s="47" t="s">
        <v>6743</v>
      </c>
      <c r="Q4667" s="47"/>
      <c r="R4667" s="47" t="s">
        <v>6744</v>
      </c>
      <c r="S4667" s="47" t="s">
        <v>8199</v>
      </c>
      <c r="T4667" s="47" t="s">
        <v>6745</v>
      </c>
      <c r="U4667" s="47"/>
      <c r="V4667" s="47" t="s">
        <v>6746</v>
      </c>
      <c r="W4667" s="47" t="s">
        <v>6747</v>
      </c>
      <c r="X4667" s="47" t="s">
        <v>6748</v>
      </c>
      <c r="Y4667" s="47"/>
      <c r="Z4667" s="47">
        <f t="shared" si="1037"/>
        <v>4620</v>
      </c>
      <c r="AA4667" s="47">
        <f t="shared" si="1039"/>
        <v>1400</v>
      </c>
      <c r="AB4667" s="47">
        <f t="shared" si="1039"/>
        <v>2800</v>
      </c>
      <c r="AC4667" s="47">
        <f t="shared" si="1039"/>
        <v>5200</v>
      </c>
      <c r="AD4667" s="47" t="s">
        <v>8198</v>
      </c>
      <c r="AE4667" s="47">
        <f>AE$7</f>
        <v>5000</v>
      </c>
      <c r="AF4667" s="47"/>
      <c r="AG4667" s="47"/>
      <c r="AH4667" s="47" t="str">
        <f>IFERROR(_xlfn.XLOOKUP(Table6[[#This Row],[Suburb]],Table5[Travel Surcharge],Table5[$$]),"")</f>
        <v/>
      </c>
      <c r="AI4667" s="47" t="s">
        <v>6753</v>
      </c>
      <c r="AJ4667" s="47"/>
    </row>
    <row r="4668" spans="1:36">
      <c r="A4668" s="374" t="s">
        <v>6760</v>
      </c>
      <c r="B4668" s="374">
        <v>1</v>
      </c>
      <c r="C4668" s="374" t="s">
        <v>502</v>
      </c>
      <c r="D4668" s="375" t="str">
        <f t="shared" si="1033"/>
        <v>Western Gardenia1</v>
      </c>
      <c r="E4668" s="375" t="s">
        <v>6761</v>
      </c>
      <c r="F4668" s="375"/>
      <c r="G4668" s="375" t="s">
        <v>5200</v>
      </c>
      <c r="H4668" s="375" t="s">
        <v>5201</v>
      </c>
      <c r="I4668" s="63" t="s">
        <v>6762</v>
      </c>
      <c r="J4668" s="47">
        <f t="shared" si="1034"/>
        <v>3740</v>
      </c>
      <c r="K4668" s="46" t="s">
        <v>10735</v>
      </c>
      <c r="L4668" s="47" t="s">
        <v>504</v>
      </c>
      <c r="M4668" s="47">
        <f t="shared" ref="M4668:M4691" si="1040">M$7</f>
        <v>1430.0000000000002</v>
      </c>
      <c r="N4668" s="47"/>
      <c r="O4668" s="47" t="s">
        <v>6763</v>
      </c>
      <c r="P4668" s="47" t="s">
        <v>6764</v>
      </c>
      <c r="Q4668" s="47"/>
      <c r="R4668" s="47"/>
      <c r="S4668" s="47"/>
      <c r="T4668" s="47"/>
      <c r="U4668" s="47">
        <f>U$2</f>
        <v>430</v>
      </c>
      <c r="V4668" s="47"/>
      <c r="W4668" s="47"/>
      <c r="X4668" s="47"/>
      <c r="Y4668" s="47"/>
      <c r="Z4668" s="47">
        <f t="shared" si="1037"/>
        <v>4620</v>
      </c>
      <c r="AA4668" s="47"/>
      <c r="AB4668" s="47"/>
      <c r="AC4668" s="47"/>
      <c r="AD4668" s="47"/>
      <c r="AE4668" s="47"/>
      <c r="AF4668" s="47"/>
      <c r="AG4668" s="47"/>
      <c r="AH4668" s="47" t="str">
        <f>IFERROR(_xlfn.XLOOKUP(Table6[[#This Row],[Suburb]],Table5[Travel Surcharge],Table5[$$]),"")</f>
        <v/>
      </c>
      <c r="AI4668" s="47"/>
      <c r="AJ4668" s="47"/>
    </row>
    <row r="4669" spans="1:36">
      <c r="A4669" s="374" t="s">
        <v>6760</v>
      </c>
      <c r="B4669" s="374">
        <v>2</v>
      </c>
      <c r="C4669" s="374" t="s">
        <v>502</v>
      </c>
      <c r="D4669" s="375" t="str">
        <f t="shared" si="1033"/>
        <v>Western Gardenia2</v>
      </c>
      <c r="E4669" s="375" t="s">
        <v>6765</v>
      </c>
      <c r="F4669" s="375"/>
      <c r="G4669" s="375" t="s">
        <v>5200</v>
      </c>
      <c r="H4669" s="375" t="s">
        <v>5201</v>
      </c>
      <c r="I4669" s="63" t="s">
        <v>6762</v>
      </c>
      <c r="J4669" s="47">
        <f t="shared" si="1034"/>
        <v>3740</v>
      </c>
      <c r="K4669" s="46" t="s">
        <v>10735</v>
      </c>
      <c r="L4669" s="47" t="s">
        <v>504</v>
      </c>
      <c r="M4669" s="47">
        <f t="shared" si="1040"/>
        <v>1430.0000000000002</v>
      </c>
      <c r="N4669" s="47"/>
      <c r="O4669" s="47" t="s">
        <v>6763</v>
      </c>
      <c r="P4669" s="47" t="s">
        <v>6764</v>
      </c>
      <c r="Q4669" s="47"/>
      <c r="R4669" s="47"/>
      <c r="S4669" s="47"/>
      <c r="T4669" s="47"/>
      <c r="U4669" s="47">
        <f>U$2</f>
        <v>430</v>
      </c>
      <c r="V4669" s="47"/>
      <c r="W4669" s="47"/>
      <c r="X4669" s="47"/>
      <c r="Y4669" s="47"/>
      <c r="Z4669" s="47">
        <f t="shared" si="1037"/>
        <v>4620</v>
      </c>
      <c r="AA4669" s="47"/>
      <c r="AB4669" s="47"/>
      <c r="AC4669" s="47"/>
      <c r="AD4669" s="47"/>
      <c r="AE4669" s="47"/>
      <c r="AF4669" s="47"/>
      <c r="AG4669" s="47"/>
      <c r="AH4669" s="47" t="str">
        <f>IFERROR(_xlfn.XLOOKUP(Table6[[#This Row],[Suburb]],Table5[Travel Surcharge],Table5[$$]),"")</f>
        <v/>
      </c>
      <c r="AI4669" s="47"/>
      <c r="AJ4669" s="47"/>
    </row>
    <row r="4670" spans="1:36">
      <c r="A4670" s="374" t="s">
        <v>6785</v>
      </c>
      <c r="B4670" s="374">
        <v>1</v>
      </c>
      <c r="C4670" s="374" t="s">
        <v>550</v>
      </c>
      <c r="D4670" s="375" t="str">
        <f t="shared" si="1033"/>
        <v>Westwood Place Estate1</v>
      </c>
      <c r="E4670" s="375" t="s">
        <v>6786</v>
      </c>
      <c r="F4670" s="375"/>
      <c r="G4670" s="375" t="s">
        <v>4431</v>
      </c>
      <c r="H4670" s="375" t="s">
        <v>4432</v>
      </c>
      <c r="I4670" s="63" t="s">
        <v>4872</v>
      </c>
      <c r="J4670" s="47">
        <f t="shared" si="1034"/>
        <v>3740</v>
      </c>
      <c r="K4670" s="46" t="s">
        <v>10735</v>
      </c>
      <c r="L4670" s="47" t="s">
        <v>504</v>
      </c>
      <c r="M4670" s="47">
        <f t="shared" si="1040"/>
        <v>1430.0000000000002</v>
      </c>
      <c r="N4670" s="47" t="s">
        <v>6787</v>
      </c>
      <c r="O4670" s="47" t="s">
        <v>6788</v>
      </c>
      <c r="P4670" s="47" t="s">
        <v>6789</v>
      </c>
      <c r="Q4670" s="47"/>
      <c r="R4670" s="47"/>
      <c r="S4670" s="47" t="s">
        <v>463</v>
      </c>
      <c r="T4670" s="47"/>
      <c r="U4670" s="47"/>
      <c r="V4670" s="47"/>
      <c r="W4670" s="47"/>
      <c r="X4670" s="47"/>
      <c r="Y4670" s="47"/>
      <c r="Z4670" s="47">
        <f t="shared" si="1037"/>
        <v>4620</v>
      </c>
      <c r="AA4670" s="47">
        <f>AA$7</f>
        <v>1400</v>
      </c>
      <c r="AB4670" s="47"/>
      <c r="AC4670" s="47"/>
      <c r="AD4670" s="47"/>
      <c r="AE4670" s="47"/>
      <c r="AF4670" s="47">
        <f t="shared" ref="AF4670:AF4691" si="1041">AF$7</f>
        <v>1485</v>
      </c>
      <c r="AG4670" s="47"/>
      <c r="AH4670" s="47" t="str">
        <f>IFERROR(_xlfn.XLOOKUP(Table6[[#This Row],[Suburb]],Table5[Travel Surcharge],Table5[$$]),"")</f>
        <v/>
      </c>
      <c r="AI4670" s="47">
        <f t="shared" ref="AI4670:AI4691" si="1042">AI$7</f>
        <v>1650.0000000000002</v>
      </c>
      <c r="AJ4670" s="47"/>
    </row>
    <row r="4671" spans="1:36">
      <c r="A4671" s="374" t="s">
        <v>6785</v>
      </c>
      <c r="B4671" s="374" t="s">
        <v>718</v>
      </c>
      <c r="C4671" s="374" t="s">
        <v>550</v>
      </c>
      <c r="D4671" s="375" t="str">
        <f t="shared" si="1033"/>
        <v>Westwood Place Estate2A</v>
      </c>
      <c r="E4671" s="375" t="s">
        <v>6790</v>
      </c>
      <c r="F4671" s="375"/>
      <c r="G4671" s="375" t="s">
        <v>4431</v>
      </c>
      <c r="H4671" s="375" t="s">
        <v>4432</v>
      </c>
      <c r="I4671" s="63" t="s">
        <v>4872</v>
      </c>
      <c r="J4671" s="47">
        <f t="shared" si="1034"/>
        <v>3740</v>
      </c>
      <c r="K4671" s="46" t="s">
        <v>10735</v>
      </c>
      <c r="L4671" s="47" t="s">
        <v>504</v>
      </c>
      <c r="M4671" s="47">
        <f t="shared" si="1040"/>
        <v>1430.0000000000002</v>
      </c>
      <c r="N4671" s="47" t="s">
        <v>6787</v>
      </c>
      <c r="O4671" s="47" t="s">
        <v>6788</v>
      </c>
      <c r="P4671" s="47" t="s">
        <v>6789</v>
      </c>
      <c r="Q4671" s="47"/>
      <c r="R4671" s="47"/>
      <c r="S4671" s="47" t="s">
        <v>463</v>
      </c>
      <c r="T4671" s="47"/>
      <c r="U4671" s="47"/>
      <c r="V4671" s="47"/>
      <c r="W4671" s="47"/>
      <c r="X4671" s="47"/>
      <c r="Y4671" s="47"/>
      <c r="Z4671" s="47">
        <f t="shared" si="1037"/>
        <v>4620</v>
      </c>
      <c r="AA4671" s="47">
        <f>AA$7</f>
        <v>1400</v>
      </c>
      <c r="AB4671" s="47"/>
      <c r="AC4671" s="47"/>
      <c r="AD4671" s="47"/>
      <c r="AE4671" s="47"/>
      <c r="AF4671" s="47">
        <f t="shared" si="1041"/>
        <v>1485</v>
      </c>
      <c r="AG4671" s="47"/>
      <c r="AH4671" s="47" t="str">
        <f>IFERROR(_xlfn.XLOOKUP(Table6[[#This Row],[Suburb]],Table5[Travel Surcharge],Table5[$$]),"")</f>
        <v/>
      </c>
      <c r="AI4671" s="47">
        <f t="shared" si="1042"/>
        <v>1650.0000000000002</v>
      </c>
      <c r="AJ4671" s="47"/>
    </row>
    <row r="4672" spans="1:36">
      <c r="A4672" s="374" t="s">
        <v>6785</v>
      </c>
      <c r="B4672" s="374" t="s">
        <v>604</v>
      </c>
      <c r="C4672" s="374" t="s">
        <v>550</v>
      </c>
      <c r="D4672" s="375" t="str">
        <f t="shared" si="1033"/>
        <v>Westwood Place Estate2B</v>
      </c>
      <c r="E4672" s="375" t="s">
        <v>6791</v>
      </c>
      <c r="F4672" s="375"/>
      <c r="G4672" s="375" t="s">
        <v>4431</v>
      </c>
      <c r="H4672" s="375" t="s">
        <v>4432</v>
      </c>
      <c r="I4672" s="63" t="s">
        <v>4872</v>
      </c>
      <c r="J4672" s="47">
        <f t="shared" si="1034"/>
        <v>3740</v>
      </c>
      <c r="K4672" s="46" t="s">
        <v>10735</v>
      </c>
      <c r="L4672" s="47" t="s">
        <v>504</v>
      </c>
      <c r="M4672" s="47">
        <f t="shared" si="1040"/>
        <v>1430.0000000000002</v>
      </c>
      <c r="N4672" s="47" t="s">
        <v>6787</v>
      </c>
      <c r="O4672" s="47" t="s">
        <v>6788</v>
      </c>
      <c r="P4672" s="47" t="s">
        <v>6789</v>
      </c>
      <c r="Q4672" s="47"/>
      <c r="R4672" s="47"/>
      <c r="S4672" s="47" t="s">
        <v>463</v>
      </c>
      <c r="T4672" s="47"/>
      <c r="U4672" s="47"/>
      <c r="V4672" s="47"/>
      <c r="W4672" s="47"/>
      <c r="X4672" s="47"/>
      <c r="Y4672" s="47"/>
      <c r="Z4672" s="47">
        <f t="shared" si="1037"/>
        <v>4620</v>
      </c>
      <c r="AA4672" s="47">
        <f>AA$7</f>
        <v>1400</v>
      </c>
      <c r="AB4672" s="47"/>
      <c r="AC4672" s="47"/>
      <c r="AD4672" s="47"/>
      <c r="AE4672" s="47"/>
      <c r="AF4672" s="47">
        <f t="shared" si="1041"/>
        <v>1485</v>
      </c>
      <c r="AG4672" s="47"/>
      <c r="AH4672" s="47" t="str">
        <f>IFERROR(_xlfn.XLOOKUP(Table6[[#This Row],[Suburb]],Table5[Travel Surcharge],Table5[$$]),"")</f>
        <v/>
      </c>
      <c r="AI4672" s="47">
        <f t="shared" si="1042"/>
        <v>1650.0000000000002</v>
      </c>
      <c r="AJ4672" s="47"/>
    </row>
    <row r="4673" spans="1:36">
      <c r="A4673" s="374" t="s">
        <v>6785</v>
      </c>
      <c r="B4673" s="374">
        <v>4</v>
      </c>
      <c r="C4673" s="374" t="s">
        <v>550</v>
      </c>
      <c r="D4673" s="375" t="str">
        <f t="shared" si="1033"/>
        <v>Westwood Place Estate4</v>
      </c>
      <c r="E4673" s="375" t="s">
        <v>10332</v>
      </c>
      <c r="F4673" s="375"/>
      <c r="G4673" s="375" t="s">
        <v>4431</v>
      </c>
      <c r="H4673" s="375" t="s">
        <v>4432</v>
      </c>
      <c r="I4673" s="63" t="s">
        <v>4872</v>
      </c>
      <c r="J4673" s="47">
        <v>3740</v>
      </c>
      <c r="K4673" s="46" t="s">
        <v>10735</v>
      </c>
      <c r="L4673" s="47" t="s">
        <v>504</v>
      </c>
      <c r="M4673" s="47">
        <v>1430.0000000000002</v>
      </c>
      <c r="N4673" s="47" t="s">
        <v>6787</v>
      </c>
      <c r="O4673" s="47" t="s">
        <v>6788</v>
      </c>
      <c r="P4673" s="47" t="s">
        <v>6789</v>
      </c>
      <c r="Q4673" s="47"/>
      <c r="R4673" s="47"/>
      <c r="S4673" s="47" t="s">
        <v>463</v>
      </c>
      <c r="T4673" s="47"/>
      <c r="U4673" s="47"/>
      <c r="V4673" s="47"/>
      <c r="W4673" s="47"/>
      <c r="X4673" s="47"/>
      <c r="Y4673" s="47"/>
      <c r="Z4673" s="47">
        <v>4620</v>
      </c>
      <c r="AA4673" s="47">
        <v>1400</v>
      </c>
      <c r="AB4673" s="47"/>
      <c r="AC4673" s="47"/>
      <c r="AD4673" s="47"/>
      <c r="AE4673" s="47"/>
      <c r="AF4673" s="47">
        <v>1485</v>
      </c>
      <c r="AG4673" s="47"/>
      <c r="AH4673" s="47" t="s">
        <v>9976</v>
      </c>
      <c r="AI4673" s="47">
        <v>1650.0000000000002</v>
      </c>
      <c r="AJ4673" s="47"/>
    </row>
    <row r="4674" spans="1:36">
      <c r="A4674" s="374" t="s">
        <v>6785</v>
      </c>
      <c r="B4674" s="374" t="s">
        <v>748</v>
      </c>
      <c r="C4674" s="374" t="s">
        <v>550</v>
      </c>
      <c r="D4674" s="375" t="str">
        <f t="shared" si="1033"/>
        <v>Westwood Place Estate8A</v>
      </c>
      <c r="E4674" s="375" t="s">
        <v>6792</v>
      </c>
      <c r="F4674" s="375"/>
      <c r="G4674" s="375" t="s">
        <v>4431</v>
      </c>
      <c r="H4674" s="375" t="s">
        <v>4432</v>
      </c>
      <c r="I4674" s="63" t="s">
        <v>4872</v>
      </c>
      <c r="J4674" s="47">
        <f t="shared" si="1034"/>
        <v>3740</v>
      </c>
      <c r="K4674" s="46" t="s">
        <v>10735</v>
      </c>
      <c r="L4674" s="47" t="s">
        <v>504</v>
      </c>
      <c r="M4674" s="47">
        <f t="shared" si="1040"/>
        <v>1430.0000000000002</v>
      </c>
      <c r="N4674" s="47" t="s">
        <v>6787</v>
      </c>
      <c r="O4674" s="47" t="s">
        <v>6788</v>
      </c>
      <c r="P4674" s="47" t="s">
        <v>6789</v>
      </c>
      <c r="Q4674" s="47"/>
      <c r="R4674" s="47"/>
      <c r="S4674" s="47" t="s">
        <v>463</v>
      </c>
      <c r="T4674" s="47"/>
      <c r="U4674" s="47"/>
      <c r="V4674" s="47"/>
      <c r="W4674" s="47"/>
      <c r="X4674" s="47"/>
      <c r="Y4674" s="47"/>
      <c r="Z4674" s="47">
        <f t="shared" si="1037"/>
        <v>4620</v>
      </c>
      <c r="AA4674" s="47">
        <f>AA$7</f>
        <v>1400</v>
      </c>
      <c r="AB4674" s="47"/>
      <c r="AC4674" s="47"/>
      <c r="AD4674" s="47"/>
      <c r="AE4674" s="47"/>
      <c r="AF4674" s="47">
        <f t="shared" si="1041"/>
        <v>1485</v>
      </c>
      <c r="AG4674" s="47"/>
      <c r="AH4674" s="47" t="str">
        <f>IFERROR(_xlfn.XLOOKUP(Table6[[#This Row],[Suburb]],Table5[Travel Surcharge],Table5[$$]),"")</f>
        <v/>
      </c>
      <c r="AI4674" s="47">
        <f t="shared" si="1042"/>
        <v>1650.0000000000002</v>
      </c>
      <c r="AJ4674" s="47"/>
    </row>
    <row r="4675" spans="1:36">
      <c r="A4675" s="374" t="s">
        <v>6766</v>
      </c>
      <c r="B4675" s="374">
        <v>1</v>
      </c>
      <c r="C4675" s="374" t="s">
        <v>550</v>
      </c>
      <c r="D4675" s="375" t="str">
        <f t="shared" si="1033"/>
        <v>Westwood Walk Estate1</v>
      </c>
      <c r="E4675" s="375" t="s">
        <v>6767</v>
      </c>
      <c r="F4675" s="375" t="s">
        <v>1402</v>
      </c>
      <c r="G4675" s="375" t="s">
        <v>2859</v>
      </c>
      <c r="H4675" s="375" t="s">
        <v>6768</v>
      </c>
      <c r="I4675" s="63" t="s">
        <v>6769</v>
      </c>
      <c r="J4675" s="47"/>
      <c r="K4675" s="46" t="s">
        <v>7938</v>
      </c>
      <c r="L4675" s="47" t="s">
        <v>504</v>
      </c>
      <c r="M4675" s="47">
        <f t="shared" si="1040"/>
        <v>1430.0000000000002</v>
      </c>
      <c r="N4675" s="47"/>
      <c r="O4675" s="47" t="s">
        <v>6770</v>
      </c>
      <c r="P4675" s="47"/>
      <c r="Q4675" s="47" t="s">
        <v>6771</v>
      </c>
      <c r="R4675" s="47"/>
      <c r="S4675" s="47"/>
      <c r="T4675" s="47"/>
      <c r="U4675" s="47">
        <f t="shared" ref="U4675:U4691" si="1043">U$2</f>
        <v>430</v>
      </c>
      <c r="V4675" s="47"/>
      <c r="W4675" s="47"/>
      <c r="X4675" s="47"/>
      <c r="Y4675" s="47"/>
      <c r="Z4675" s="47">
        <f t="shared" si="1037"/>
        <v>4620</v>
      </c>
      <c r="AA4675" s="47"/>
      <c r="AB4675" s="47"/>
      <c r="AC4675" s="47"/>
      <c r="AD4675" s="47"/>
      <c r="AE4675" s="47"/>
      <c r="AF4675" s="47">
        <f t="shared" si="1041"/>
        <v>1485</v>
      </c>
      <c r="AG4675" s="47"/>
      <c r="AH4675" s="47" t="str">
        <f>IFERROR(_xlfn.XLOOKUP(Table6[[#This Row],[Suburb]],Table5[Travel Surcharge],Table5[$$]),"")</f>
        <v/>
      </c>
      <c r="AI4675" s="47">
        <f t="shared" si="1042"/>
        <v>1650.0000000000002</v>
      </c>
      <c r="AJ4675" s="47"/>
    </row>
    <row r="4676" spans="1:36">
      <c r="A4676" s="374" t="s">
        <v>6766</v>
      </c>
      <c r="B4676" s="374">
        <v>2</v>
      </c>
      <c r="C4676" s="374" t="s">
        <v>550</v>
      </c>
      <c r="D4676" s="375" t="str">
        <f t="shared" si="1033"/>
        <v>Westwood Walk Estate2</v>
      </c>
      <c r="E4676" s="375" t="s">
        <v>6772</v>
      </c>
      <c r="F4676" s="375" t="s">
        <v>1402</v>
      </c>
      <c r="G4676" s="375" t="s">
        <v>2859</v>
      </c>
      <c r="H4676" s="375" t="s">
        <v>6768</v>
      </c>
      <c r="I4676" s="63" t="s">
        <v>6769</v>
      </c>
      <c r="J4676" s="47"/>
      <c r="K4676" s="46" t="s">
        <v>7938</v>
      </c>
      <c r="L4676" s="47" t="s">
        <v>504</v>
      </c>
      <c r="M4676" s="47">
        <f t="shared" si="1040"/>
        <v>1430.0000000000002</v>
      </c>
      <c r="N4676" s="47"/>
      <c r="O4676" s="47" t="s">
        <v>6770</v>
      </c>
      <c r="P4676" s="47"/>
      <c r="Q4676" s="47" t="s">
        <v>6771</v>
      </c>
      <c r="R4676" s="47"/>
      <c r="S4676" s="47"/>
      <c r="T4676" s="47"/>
      <c r="U4676" s="47">
        <f t="shared" si="1043"/>
        <v>430</v>
      </c>
      <c r="V4676" s="47"/>
      <c r="W4676" s="47"/>
      <c r="X4676" s="47"/>
      <c r="Y4676" s="47"/>
      <c r="Z4676" s="47">
        <f t="shared" si="1037"/>
        <v>4620</v>
      </c>
      <c r="AA4676" s="47"/>
      <c r="AB4676" s="47"/>
      <c r="AC4676" s="47"/>
      <c r="AD4676" s="47"/>
      <c r="AE4676" s="47"/>
      <c r="AF4676" s="47">
        <f t="shared" si="1041"/>
        <v>1485</v>
      </c>
      <c r="AG4676" s="47"/>
      <c r="AH4676" s="47" t="str">
        <f>IFERROR(_xlfn.XLOOKUP(Table6[[#This Row],[Suburb]],Table5[Travel Surcharge],Table5[$$]),"")</f>
        <v/>
      </c>
      <c r="AI4676" s="47">
        <f t="shared" si="1042"/>
        <v>1650.0000000000002</v>
      </c>
      <c r="AJ4676" s="47"/>
    </row>
    <row r="4677" spans="1:36">
      <c r="A4677" s="374" t="s">
        <v>6766</v>
      </c>
      <c r="B4677" s="374">
        <v>3</v>
      </c>
      <c r="C4677" s="374" t="s">
        <v>550</v>
      </c>
      <c r="D4677" s="375" t="str">
        <f t="shared" si="1033"/>
        <v>Westwood Walk Estate3</v>
      </c>
      <c r="E4677" s="375" t="s">
        <v>6773</v>
      </c>
      <c r="F4677" s="375" t="s">
        <v>1402</v>
      </c>
      <c r="G4677" s="375" t="s">
        <v>2859</v>
      </c>
      <c r="H4677" s="375" t="s">
        <v>6768</v>
      </c>
      <c r="I4677" s="63" t="s">
        <v>6769</v>
      </c>
      <c r="J4677" s="47"/>
      <c r="K4677" s="46" t="s">
        <v>7938</v>
      </c>
      <c r="L4677" s="47" t="s">
        <v>504</v>
      </c>
      <c r="M4677" s="47">
        <f t="shared" si="1040"/>
        <v>1430.0000000000002</v>
      </c>
      <c r="N4677" s="47"/>
      <c r="O4677" s="47" t="s">
        <v>6770</v>
      </c>
      <c r="P4677" s="47"/>
      <c r="Q4677" s="47" t="s">
        <v>6771</v>
      </c>
      <c r="R4677" s="47"/>
      <c r="S4677" s="47"/>
      <c r="T4677" s="47"/>
      <c r="U4677" s="47">
        <f t="shared" si="1043"/>
        <v>430</v>
      </c>
      <c r="V4677" s="47"/>
      <c r="W4677" s="47"/>
      <c r="X4677" s="47"/>
      <c r="Y4677" s="47"/>
      <c r="Z4677" s="47">
        <f t="shared" si="1037"/>
        <v>4620</v>
      </c>
      <c r="AA4677" s="47"/>
      <c r="AB4677" s="47"/>
      <c r="AC4677" s="47"/>
      <c r="AD4677" s="47"/>
      <c r="AE4677" s="47"/>
      <c r="AF4677" s="47">
        <f t="shared" si="1041"/>
        <v>1485</v>
      </c>
      <c r="AG4677" s="47"/>
      <c r="AH4677" s="47" t="str">
        <f>IFERROR(_xlfn.XLOOKUP(Table6[[#This Row],[Suburb]],Table5[Travel Surcharge],Table5[$$]),"")</f>
        <v/>
      </c>
      <c r="AI4677" s="47">
        <f t="shared" si="1042"/>
        <v>1650.0000000000002</v>
      </c>
      <c r="AJ4677" s="47"/>
    </row>
    <row r="4678" spans="1:36">
      <c r="A4678" s="374" t="s">
        <v>6766</v>
      </c>
      <c r="B4678" s="374">
        <v>4</v>
      </c>
      <c r="C4678" s="374" t="s">
        <v>550</v>
      </c>
      <c r="D4678" s="375" t="str">
        <f t="shared" si="1033"/>
        <v>Westwood Walk Estate4</v>
      </c>
      <c r="E4678" s="375" t="s">
        <v>6774</v>
      </c>
      <c r="F4678" s="375" t="s">
        <v>1402</v>
      </c>
      <c r="G4678" s="375" t="s">
        <v>2859</v>
      </c>
      <c r="H4678" s="375" t="s">
        <v>6768</v>
      </c>
      <c r="I4678" s="63" t="s">
        <v>6769</v>
      </c>
      <c r="J4678" s="47"/>
      <c r="K4678" s="46" t="s">
        <v>7938</v>
      </c>
      <c r="L4678" s="47" t="s">
        <v>504</v>
      </c>
      <c r="M4678" s="47">
        <f t="shared" si="1040"/>
        <v>1430.0000000000002</v>
      </c>
      <c r="N4678" s="47"/>
      <c r="O4678" s="47" t="s">
        <v>6770</v>
      </c>
      <c r="P4678" s="47"/>
      <c r="Q4678" s="47" t="s">
        <v>6771</v>
      </c>
      <c r="R4678" s="47"/>
      <c r="S4678" s="47"/>
      <c r="T4678" s="47"/>
      <c r="U4678" s="47">
        <f t="shared" si="1043"/>
        <v>430</v>
      </c>
      <c r="V4678" s="47"/>
      <c r="W4678" s="47"/>
      <c r="X4678" s="47"/>
      <c r="Y4678" s="47"/>
      <c r="Z4678" s="47">
        <f t="shared" si="1037"/>
        <v>4620</v>
      </c>
      <c r="AA4678" s="47"/>
      <c r="AB4678" s="47"/>
      <c r="AC4678" s="47"/>
      <c r="AD4678" s="47"/>
      <c r="AE4678" s="47"/>
      <c r="AF4678" s="47">
        <f t="shared" si="1041"/>
        <v>1485</v>
      </c>
      <c r="AG4678" s="47"/>
      <c r="AH4678" s="47" t="str">
        <f>IFERROR(_xlfn.XLOOKUP(Table6[[#This Row],[Suburb]],Table5[Travel Surcharge],Table5[$$]),"")</f>
        <v/>
      </c>
      <c r="AI4678" s="47">
        <f t="shared" si="1042"/>
        <v>1650.0000000000002</v>
      </c>
      <c r="AJ4678" s="47"/>
    </row>
    <row r="4679" spans="1:36">
      <c r="A4679" s="374" t="s">
        <v>6766</v>
      </c>
      <c r="B4679" s="374">
        <v>5</v>
      </c>
      <c r="C4679" s="374" t="s">
        <v>550</v>
      </c>
      <c r="D4679" s="375" t="str">
        <f t="shared" si="1033"/>
        <v>Westwood Walk Estate5</v>
      </c>
      <c r="E4679" s="375" t="s">
        <v>6775</v>
      </c>
      <c r="F4679" s="375" t="s">
        <v>1402</v>
      </c>
      <c r="G4679" s="375" t="s">
        <v>2859</v>
      </c>
      <c r="H4679" s="375" t="s">
        <v>6768</v>
      </c>
      <c r="I4679" s="63" t="s">
        <v>6769</v>
      </c>
      <c r="J4679" s="47"/>
      <c r="K4679" s="46" t="s">
        <v>7938</v>
      </c>
      <c r="L4679" s="47" t="s">
        <v>504</v>
      </c>
      <c r="M4679" s="47">
        <f t="shared" si="1040"/>
        <v>1430.0000000000002</v>
      </c>
      <c r="N4679" s="47"/>
      <c r="O4679" s="47" t="s">
        <v>6770</v>
      </c>
      <c r="P4679" s="47"/>
      <c r="Q4679" s="47" t="s">
        <v>6771</v>
      </c>
      <c r="R4679" s="47"/>
      <c r="S4679" s="47"/>
      <c r="T4679" s="47"/>
      <c r="U4679" s="47">
        <f t="shared" si="1043"/>
        <v>430</v>
      </c>
      <c r="V4679" s="47"/>
      <c r="W4679" s="47"/>
      <c r="X4679" s="47"/>
      <c r="Y4679" s="47"/>
      <c r="Z4679" s="47">
        <f t="shared" si="1037"/>
        <v>4620</v>
      </c>
      <c r="AA4679" s="47"/>
      <c r="AB4679" s="47"/>
      <c r="AC4679" s="47"/>
      <c r="AD4679" s="47"/>
      <c r="AE4679" s="47"/>
      <c r="AF4679" s="47">
        <f t="shared" si="1041"/>
        <v>1485</v>
      </c>
      <c r="AG4679" s="47"/>
      <c r="AH4679" s="47" t="str">
        <f>IFERROR(_xlfn.XLOOKUP(Table6[[#This Row],[Suburb]],Table5[Travel Surcharge],Table5[$$]),"")</f>
        <v/>
      </c>
      <c r="AI4679" s="47">
        <f t="shared" si="1042"/>
        <v>1650.0000000000002</v>
      </c>
      <c r="AJ4679" s="47"/>
    </row>
    <row r="4680" spans="1:36">
      <c r="A4680" s="374" t="s">
        <v>6766</v>
      </c>
      <c r="B4680" s="374">
        <v>8</v>
      </c>
      <c r="C4680" s="374" t="s">
        <v>550</v>
      </c>
      <c r="D4680" s="375" t="str">
        <f t="shared" si="1033"/>
        <v>Westwood Walk Estate8</v>
      </c>
      <c r="E4680" s="375" t="s">
        <v>6776</v>
      </c>
      <c r="F4680" s="375" t="s">
        <v>1402</v>
      </c>
      <c r="G4680" s="375" t="s">
        <v>2859</v>
      </c>
      <c r="H4680" s="375" t="s">
        <v>6768</v>
      </c>
      <c r="I4680" s="63" t="s">
        <v>6769</v>
      </c>
      <c r="J4680" s="47"/>
      <c r="K4680" s="46" t="s">
        <v>7938</v>
      </c>
      <c r="L4680" s="47" t="s">
        <v>504</v>
      </c>
      <c r="M4680" s="47">
        <f t="shared" si="1040"/>
        <v>1430.0000000000002</v>
      </c>
      <c r="N4680" s="47"/>
      <c r="O4680" s="47" t="s">
        <v>6770</v>
      </c>
      <c r="P4680" s="47"/>
      <c r="Q4680" s="47" t="s">
        <v>6771</v>
      </c>
      <c r="R4680" s="47"/>
      <c r="S4680" s="47"/>
      <c r="T4680" s="47"/>
      <c r="U4680" s="47">
        <f t="shared" si="1043"/>
        <v>430</v>
      </c>
      <c r="V4680" s="47"/>
      <c r="W4680" s="47"/>
      <c r="X4680" s="47"/>
      <c r="Y4680" s="47"/>
      <c r="Z4680" s="47">
        <f t="shared" si="1037"/>
        <v>4620</v>
      </c>
      <c r="AA4680" s="47"/>
      <c r="AB4680" s="47"/>
      <c r="AC4680" s="47"/>
      <c r="AD4680" s="47"/>
      <c r="AE4680" s="47"/>
      <c r="AF4680" s="47">
        <f t="shared" si="1041"/>
        <v>1485</v>
      </c>
      <c r="AG4680" s="47"/>
      <c r="AH4680" s="47" t="str">
        <f>IFERROR(_xlfn.XLOOKUP(Table6[[#This Row],[Suburb]],Table5[Travel Surcharge],Table5[$$]),"")</f>
        <v/>
      </c>
      <c r="AI4680" s="47">
        <f t="shared" si="1042"/>
        <v>1650.0000000000002</v>
      </c>
      <c r="AJ4680" s="47"/>
    </row>
    <row r="4681" spans="1:36">
      <c r="A4681" s="374" t="s">
        <v>6766</v>
      </c>
      <c r="B4681" s="374">
        <v>9</v>
      </c>
      <c r="C4681" s="374" t="s">
        <v>550</v>
      </c>
      <c r="D4681" s="375" t="str">
        <f t="shared" si="1033"/>
        <v>Westwood Walk Estate9</v>
      </c>
      <c r="E4681" s="375" t="s">
        <v>6777</v>
      </c>
      <c r="F4681" s="375" t="s">
        <v>1402</v>
      </c>
      <c r="G4681" s="375" t="s">
        <v>2859</v>
      </c>
      <c r="H4681" s="375" t="s">
        <v>6768</v>
      </c>
      <c r="I4681" s="63" t="s">
        <v>6769</v>
      </c>
      <c r="J4681" s="47"/>
      <c r="K4681" s="46" t="s">
        <v>7938</v>
      </c>
      <c r="L4681" s="47" t="s">
        <v>504</v>
      </c>
      <c r="M4681" s="47">
        <f t="shared" si="1040"/>
        <v>1430.0000000000002</v>
      </c>
      <c r="N4681" s="47"/>
      <c r="O4681" s="47" t="s">
        <v>6770</v>
      </c>
      <c r="P4681" s="47"/>
      <c r="Q4681" s="47" t="s">
        <v>6771</v>
      </c>
      <c r="R4681" s="47"/>
      <c r="S4681" s="47"/>
      <c r="T4681" s="47"/>
      <c r="U4681" s="47">
        <f t="shared" si="1043"/>
        <v>430</v>
      </c>
      <c r="V4681" s="47"/>
      <c r="W4681" s="47"/>
      <c r="X4681" s="47"/>
      <c r="Y4681" s="47"/>
      <c r="Z4681" s="47">
        <f t="shared" si="1037"/>
        <v>4620</v>
      </c>
      <c r="AA4681" s="47"/>
      <c r="AB4681" s="47"/>
      <c r="AC4681" s="47"/>
      <c r="AD4681" s="47"/>
      <c r="AE4681" s="47"/>
      <c r="AF4681" s="47">
        <f t="shared" si="1041"/>
        <v>1485</v>
      </c>
      <c r="AG4681" s="47"/>
      <c r="AH4681" s="47" t="str">
        <f>IFERROR(_xlfn.XLOOKUP(Table6[[#This Row],[Suburb]],Table5[Travel Surcharge],Table5[$$]),"")</f>
        <v/>
      </c>
      <c r="AI4681" s="47">
        <f t="shared" si="1042"/>
        <v>1650.0000000000002</v>
      </c>
      <c r="AJ4681" s="47"/>
    </row>
    <row r="4682" spans="1:36">
      <c r="A4682" s="374" t="s">
        <v>6766</v>
      </c>
      <c r="B4682" s="374">
        <v>10</v>
      </c>
      <c r="C4682" s="374" t="s">
        <v>550</v>
      </c>
      <c r="D4682" s="375" t="str">
        <f t="shared" si="1033"/>
        <v>Westwood Walk Estate10</v>
      </c>
      <c r="E4682" s="375" t="s">
        <v>6778</v>
      </c>
      <c r="F4682" s="375" t="s">
        <v>1402</v>
      </c>
      <c r="G4682" s="375" t="s">
        <v>2859</v>
      </c>
      <c r="H4682" s="375" t="s">
        <v>6768</v>
      </c>
      <c r="I4682" s="63" t="s">
        <v>6769</v>
      </c>
      <c r="J4682" s="47"/>
      <c r="K4682" s="46" t="s">
        <v>7938</v>
      </c>
      <c r="L4682" s="47" t="s">
        <v>504</v>
      </c>
      <c r="M4682" s="47">
        <f t="shared" si="1040"/>
        <v>1430.0000000000002</v>
      </c>
      <c r="N4682" s="47"/>
      <c r="O4682" s="47" t="s">
        <v>6770</v>
      </c>
      <c r="P4682" s="47"/>
      <c r="Q4682" s="47" t="s">
        <v>6771</v>
      </c>
      <c r="R4682" s="47"/>
      <c r="S4682" s="47"/>
      <c r="T4682" s="47"/>
      <c r="U4682" s="47">
        <f t="shared" si="1043"/>
        <v>430</v>
      </c>
      <c r="V4682" s="47"/>
      <c r="W4682" s="47"/>
      <c r="X4682" s="47"/>
      <c r="Y4682" s="47"/>
      <c r="Z4682" s="47">
        <f t="shared" si="1037"/>
        <v>4620</v>
      </c>
      <c r="AA4682" s="47"/>
      <c r="AB4682" s="47"/>
      <c r="AC4682" s="47"/>
      <c r="AD4682" s="47"/>
      <c r="AE4682" s="47"/>
      <c r="AF4682" s="47">
        <f t="shared" si="1041"/>
        <v>1485</v>
      </c>
      <c r="AG4682" s="47"/>
      <c r="AH4682" s="47" t="str">
        <f>IFERROR(_xlfn.XLOOKUP(Table6[[#This Row],[Suburb]],Table5[Travel Surcharge],Table5[$$]),"")</f>
        <v/>
      </c>
      <c r="AI4682" s="47">
        <f t="shared" si="1042"/>
        <v>1650.0000000000002</v>
      </c>
      <c r="AJ4682" s="47"/>
    </row>
    <row r="4683" spans="1:36">
      <c r="A4683" s="157" t="s">
        <v>6766</v>
      </c>
      <c r="B4683" s="157">
        <v>13</v>
      </c>
      <c r="C4683" s="157" t="s">
        <v>7458</v>
      </c>
      <c r="D4683" s="157" t="str">
        <f t="shared" si="1033"/>
        <v>Westwood Walk Estate13</v>
      </c>
      <c r="E4683" s="157" t="s">
        <v>7461</v>
      </c>
      <c r="F4683" s="157" t="s">
        <v>1402</v>
      </c>
      <c r="G4683" s="157" t="s">
        <v>2859</v>
      </c>
      <c r="H4683" s="157" t="s">
        <v>7459</v>
      </c>
      <c r="I4683" s="158" t="s">
        <v>6769</v>
      </c>
      <c r="J4683" s="47"/>
      <c r="K4683" s="46" t="s">
        <v>7938</v>
      </c>
      <c r="L4683" s="47" t="s">
        <v>7430</v>
      </c>
      <c r="M4683" s="47">
        <f t="shared" si="1040"/>
        <v>1430.0000000000002</v>
      </c>
      <c r="N4683" s="47"/>
      <c r="O4683" s="47" t="s">
        <v>7460</v>
      </c>
      <c r="P4683" s="47"/>
      <c r="Q4683" s="47" t="s">
        <v>6771</v>
      </c>
      <c r="R4683" s="47"/>
      <c r="S4683" s="47"/>
      <c r="T4683" s="47"/>
      <c r="U4683" s="47">
        <f t="shared" si="1043"/>
        <v>430</v>
      </c>
      <c r="V4683" s="47"/>
      <c r="W4683" s="47"/>
      <c r="X4683" s="47"/>
      <c r="Y4683" s="47"/>
      <c r="Z4683" s="47">
        <f t="shared" si="1037"/>
        <v>4620</v>
      </c>
      <c r="AA4683" s="47"/>
      <c r="AB4683" s="47"/>
      <c r="AC4683" s="47"/>
      <c r="AD4683" s="47"/>
      <c r="AE4683" s="47"/>
      <c r="AF4683" s="47">
        <f t="shared" si="1041"/>
        <v>1485</v>
      </c>
      <c r="AG4683" s="47"/>
      <c r="AH4683" s="47" t="str">
        <f>IFERROR(_xlfn.XLOOKUP(Table6[[#This Row],[Suburb]],Table5[Travel Surcharge],Table5[$$]),"")</f>
        <v/>
      </c>
      <c r="AI4683" s="47">
        <f t="shared" si="1042"/>
        <v>1650.0000000000002</v>
      </c>
      <c r="AJ4683" s="47"/>
    </row>
    <row r="4684" spans="1:36">
      <c r="A4684" s="374" t="s">
        <v>6766</v>
      </c>
      <c r="B4684" s="374">
        <v>14</v>
      </c>
      <c r="C4684" s="374" t="s">
        <v>550</v>
      </c>
      <c r="D4684" s="375" t="str">
        <f t="shared" si="1033"/>
        <v>Westwood Walk Estate14</v>
      </c>
      <c r="E4684" s="375" t="s">
        <v>6779</v>
      </c>
      <c r="F4684" s="375" t="s">
        <v>1402</v>
      </c>
      <c r="G4684" s="375" t="s">
        <v>2859</v>
      </c>
      <c r="H4684" s="375" t="s">
        <v>6768</v>
      </c>
      <c r="I4684" s="63" t="s">
        <v>6769</v>
      </c>
      <c r="J4684" s="47"/>
      <c r="K4684" s="46" t="s">
        <v>7938</v>
      </c>
      <c r="L4684" s="47" t="s">
        <v>504</v>
      </c>
      <c r="M4684" s="47">
        <f t="shared" si="1040"/>
        <v>1430.0000000000002</v>
      </c>
      <c r="N4684" s="47"/>
      <c r="O4684" s="47" t="s">
        <v>6770</v>
      </c>
      <c r="P4684" s="47"/>
      <c r="Q4684" s="47" t="s">
        <v>6771</v>
      </c>
      <c r="R4684" s="47"/>
      <c r="S4684" s="47"/>
      <c r="T4684" s="47"/>
      <c r="U4684" s="47">
        <f t="shared" si="1043"/>
        <v>430</v>
      </c>
      <c r="V4684" s="47"/>
      <c r="W4684" s="47"/>
      <c r="X4684" s="47"/>
      <c r="Y4684" s="47"/>
      <c r="Z4684" s="47">
        <f t="shared" si="1037"/>
        <v>4620</v>
      </c>
      <c r="AA4684" s="47"/>
      <c r="AB4684" s="47"/>
      <c r="AC4684" s="47"/>
      <c r="AD4684" s="47"/>
      <c r="AE4684" s="47"/>
      <c r="AF4684" s="47">
        <f t="shared" si="1041"/>
        <v>1485</v>
      </c>
      <c r="AG4684" s="47"/>
      <c r="AH4684" s="47" t="str">
        <f>IFERROR(_xlfn.XLOOKUP(Table6[[#This Row],[Suburb]],Table5[Travel Surcharge],Table5[$$]),"")</f>
        <v/>
      </c>
      <c r="AI4684" s="47">
        <f t="shared" si="1042"/>
        <v>1650.0000000000002</v>
      </c>
      <c r="AJ4684" s="47"/>
    </row>
    <row r="4685" spans="1:36">
      <c r="A4685" s="374" t="s">
        <v>6766</v>
      </c>
      <c r="B4685" s="374">
        <v>15</v>
      </c>
      <c r="C4685" s="374" t="s">
        <v>550</v>
      </c>
      <c r="D4685" s="375" t="str">
        <f t="shared" si="1033"/>
        <v>Westwood Walk Estate15</v>
      </c>
      <c r="E4685" s="375" t="s">
        <v>6781</v>
      </c>
      <c r="F4685" s="375" t="s">
        <v>1402</v>
      </c>
      <c r="G4685" s="375" t="s">
        <v>2859</v>
      </c>
      <c r="H4685" s="375" t="s">
        <v>6768</v>
      </c>
      <c r="I4685" s="63" t="s">
        <v>6769</v>
      </c>
      <c r="J4685" s="47"/>
      <c r="K4685" s="46" t="s">
        <v>7938</v>
      </c>
      <c r="L4685" s="47" t="s">
        <v>504</v>
      </c>
      <c r="M4685" s="47">
        <f t="shared" si="1040"/>
        <v>1430.0000000000002</v>
      </c>
      <c r="N4685" s="47"/>
      <c r="O4685" s="47" t="s">
        <v>6770</v>
      </c>
      <c r="P4685" s="47"/>
      <c r="Q4685" s="47" t="s">
        <v>6771</v>
      </c>
      <c r="R4685" s="47"/>
      <c r="S4685" s="47"/>
      <c r="T4685" s="47"/>
      <c r="U4685" s="47">
        <f t="shared" si="1043"/>
        <v>430</v>
      </c>
      <c r="V4685" s="47"/>
      <c r="W4685" s="47"/>
      <c r="X4685" s="47"/>
      <c r="Y4685" s="47"/>
      <c r="Z4685" s="47">
        <f t="shared" si="1037"/>
        <v>4620</v>
      </c>
      <c r="AA4685" s="47"/>
      <c r="AB4685" s="47"/>
      <c r="AC4685" s="47"/>
      <c r="AD4685" s="47"/>
      <c r="AE4685" s="47"/>
      <c r="AF4685" s="47">
        <f t="shared" si="1041"/>
        <v>1485</v>
      </c>
      <c r="AG4685" s="47"/>
      <c r="AH4685" s="47" t="str">
        <f>IFERROR(_xlfn.XLOOKUP(Table6[[#This Row],[Suburb]],Table5[Travel Surcharge],Table5[$$]),"")</f>
        <v/>
      </c>
      <c r="AI4685" s="47">
        <f t="shared" si="1042"/>
        <v>1650.0000000000002</v>
      </c>
      <c r="AJ4685" s="47"/>
    </row>
    <row r="4686" spans="1:36">
      <c r="A4686" s="374" t="s">
        <v>6766</v>
      </c>
      <c r="B4686" s="374" t="s">
        <v>1936</v>
      </c>
      <c r="C4686" s="374" t="s">
        <v>550</v>
      </c>
      <c r="D4686" s="375" t="str">
        <f t="shared" ref="D4686" si="1044">CONCATENATE(A4686,B4686)</f>
        <v>Westwood Walk Estate15A</v>
      </c>
      <c r="E4686" s="375" t="s">
        <v>10742</v>
      </c>
      <c r="F4686" s="375" t="s">
        <v>1402</v>
      </c>
      <c r="G4686" s="375" t="s">
        <v>2859</v>
      </c>
      <c r="H4686" s="375" t="s">
        <v>6768</v>
      </c>
      <c r="I4686" s="63" t="s">
        <v>6769</v>
      </c>
      <c r="J4686" s="47"/>
      <c r="K4686" s="46" t="s">
        <v>7938</v>
      </c>
      <c r="L4686" s="47" t="s">
        <v>504</v>
      </c>
      <c r="M4686" s="47">
        <f t="shared" si="1040"/>
        <v>1430.0000000000002</v>
      </c>
      <c r="N4686" s="47"/>
      <c r="O4686" s="47" t="s">
        <v>6770</v>
      </c>
      <c r="P4686" s="47"/>
      <c r="Q4686" s="47" t="s">
        <v>6771</v>
      </c>
      <c r="R4686" s="47"/>
      <c r="S4686" s="47"/>
      <c r="T4686" s="47"/>
      <c r="U4686" s="47">
        <f t="shared" si="1043"/>
        <v>430</v>
      </c>
      <c r="V4686" s="47"/>
      <c r="W4686" s="47"/>
      <c r="X4686" s="47"/>
      <c r="Y4686" s="47"/>
      <c r="Z4686" s="47">
        <f t="shared" si="1037"/>
        <v>4620</v>
      </c>
      <c r="AA4686" s="47"/>
      <c r="AB4686" s="47"/>
      <c r="AC4686" s="47"/>
      <c r="AD4686" s="47"/>
      <c r="AE4686" s="47"/>
      <c r="AF4686" s="47">
        <f t="shared" si="1041"/>
        <v>1485</v>
      </c>
      <c r="AG4686" s="47"/>
      <c r="AH4686" s="47" t="str">
        <f>IFERROR(_xlfn.XLOOKUP(Table6[[#This Row],[Suburb]],Table5[Travel Surcharge],Table5[$$]),"")</f>
        <v/>
      </c>
      <c r="AI4686" s="47">
        <f t="shared" si="1042"/>
        <v>1650.0000000000002</v>
      </c>
      <c r="AJ4686" s="47"/>
    </row>
    <row r="4687" spans="1:36">
      <c r="A4687" s="374" t="s">
        <v>6766</v>
      </c>
      <c r="B4687" s="374">
        <v>16</v>
      </c>
      <c r="C4687" s="374" t="s">
        <v>550</v>
      </c>
      <c r="D4687" s="375" t="str">
        <f t="shared" si="1033"/>
        <v>Westwood Walk Estate16</v>
      </c>
      <c r="E4687" s="375" t="s">
        <v>6780</v>
      </c>
      <c r="F4687" s="375" t="s">
        <v>1402</v>
      </c>
      <c r="G4687" s="375" t="s">
        <v>2859</v>
      </c>
      <c r="H4687" s="375" t="s">
        <v>6768</v>
      </c>
      <c r="I4687" s="63" t="s">
        <v>6769</v>
      </c>
      <c r="J4687" s="47"/>
      <c r="K4687" s="46" t="s">
        <v>7938</v>
      </c>
      <c r="L4687" s="47" t="s">
        <v>504</v>
      </c>
      <c r="M4687" s="47">
        <f t="shared" si="1040"/>
        <v>1430.0000000000002</v>
      </c>
      <c r="N4687" s="47"/>
      <c r="O4687" s="47" t="s">
        <v>6770</v>
      </c>
      <c r="P4687" s="47"/>
      <c r="Q4687" s="47" t="s">
        <v>6771</v>
      </c>
      <c r="R4687" s="47"/>
      <c r="S4687" s="47"/>
      <c r="T4687" s="47"/>
      <c r="U4687" s="47">
        <f t="shared" si="1043"/>
        <v>430</v>
      </c>
      <c r="V4687" s="47"/>
      <c r="W4687" s="47"/>
      <c r="X4687" s="47"/>
      <c r="Y4687" s="47"/>
      <c r="Z4687" s="47">
        <f t="shared" si="1037"/>
        <v>4620</v>
      </c>
      <c r="AA4687" s="47"/>
      <c r="AB4687" s="47"/>
      <c r="AC4687" s="47"/>
      <c r="AD4687" s="47"/>
      <c r="AE4687" s="47"/>
      <c r="AF4687" s="47">
        <f t="shared" si="1041"/>
        <v>1485</v>
      </c>
      <c r="AG4687" s="47"/>
      <c r="AH4687" s="47" t="str">
        <f>IFERROR(_xlfn.XLOOKUP(Table6[[#This Row],[Suburb]],Table5[Travel Surcharge],Table5[$$]),"")</f>
        <v/>
      </c>
      <c r="AI4687" s="47">
        <f t="shared" si="1042"/>
        <v>1650.0000000000002</v>
      </c>
      <c r="AJ4687" s="47"/>
    </row>
    <row r="4688" spans="1:36">
      <c r="A4688" s="374" t="s">
        <v>6766</v>
      </c>
      <c r="B4688" s="374">
        <v>17</v>
      </c>
      <c r="C4688" s="374" t="s">
        <v>550</v>
      </c>
      <c r="D4688" s="375" t="str">
        <f t="shared" si="1033"/>
        <v>Westwood Walk Estate17</v>
      </c>
      <c r="E4688" s="375" t="s">
        <v>6782</v>
      </c>
      <c r="F4688" s="375" t="s">
        <v>1402</v>
      </c>
      <c r="G4688" s="375" t="s">
        <v>2859</v>
      </c>
      <c r="H4688" s="375" t="s">
        <v>6768</v>
      </c>
      <c r="I4688" s="63" t="s">
        <v>6769</v>
      </c>
      <c r="J4688" s="47"/>
      <c r="K4688" s="46" t="s">
        <v>7938</v>
      </c>
      <c r="L4688" s="47" t="s">
        <v>504</v>
      </c>
      <c r="M4688" s="47">
        <f t="shared" si="1040"/>
        <v>1430.0000000000002</v>
      </c>
      <c r="N4688" s="47"/>
      <c r="O4688" s="47" t="s">
        <v>6770</v>
      </c>
      <c r="P4688" s="47"/>
      <c r="Q4688" s="47" t="s">
        <v>6771</v>
      </c>
      <c r="R4688" s="47"/>
      <c r="S4688" s="47"/>
      <c r="T4688" s="47"/>
      <c r="U4688" s="47">
        <f t="shared" si="1043"/>
        <v>430</v>
      </c>
      <c r="V4688" s="47"/>
      <c r="W4688" s="47"/>
      <c r="X4688" s="47"/>
      <c r="Y4688" s="47"/>
      <c r="Z4688" s="47">
        <f t="shared" si="1037"/>
        <v>4620</v>
      </c>
      <c r="AA4688" s="47"/>
      <c r="AB4688" s="47"/>
      <c r="AC4688" s="47"/>
      <c r="AD4688" s="47"/>
      <c r="AE4688" s="47"/>
      <c r="AF4688" s="47">
        <f t="shared" si="1041"/>
        <v>1485</v>
      </c>
      <c r="AG4688" s="47"/>
      <c r="AH4688" s="47" t="str">
        <f>IFERROR(_xlfn.XLOOKUP(Table6[[#This Row],[Suburb]],Table5[Travel Surcharge],Table5[$$]),"")</f>
        <v/>
      </c>
      <c r="AI4688" s="47">
        <f t="shared" si="1042"/>
        <v>1650.0000000000002</v>
      </c>
      <c r="AJ4688" s="47"/>
    </row>
    <row r="4689" spans="1:36">
      <c r="A4689" s="157" t="s">
        <v>6766</v>
      </c>
      <c r="B4689" s="157">
        <v>18</v>
      </c>
      <c r="C4689" s="157" t="s">
        <v>7458</v>
      </c>
      <c r="D4689" s="157" t="str">
        <f t="shared" si="1033"/>
        <v>Westwood Walk Estate18</v>
      </c>
      <c r="E4689" s="157" t="s">
        <v>8460</v>
      </c>
      <c r="F4689" s="157" t="s">
        <v>1402</v>
      </c>
      <c r="G4689" s="157" t="s">
        <v>2859</v>
      </c>
      <c r="H4689" s="157" t="s">
        <v>7459</v>
      </c>
      <c r="I4689" s="158" t="s">
        <v>6769</v>
      </c>
      <c r="J4689" s="47"/>
      <c r="K4689" s="46" t="s">
        <v>7938</v>
      </c>
      <c r="L4689" s="47" t="s">
        <v>7430</v>
      </c>
      <c r="M4689" s="47">
        <f t="shared" si="1040"/>
        <v>1430.0000000000002</v>
      </c>
      <c r="N4689" s="47"/>
      <c r="O4689" s="47" t="s">
        <v>7460</v>
      </c>
      <c r="P4689" s="47"/>
      <c r="Q4689" s="47" t="s">
        <v>6771</v>
      </c>
      <c r="R4689" s="47"/>
      <c r="S4689" s="47"/>
      <c r="T4689" s="47"/>
      <c r="U4689" s="47">
        <f t="shared" si="1043"/>
        <v>430</v>
      </c>
      <c r="V4689" s="47"/>
      <c r="W4689" s="47"/>
      <c r="X4689" s="47"/>
      <c r="Y4689" s="47"/>
      <c r="Z4689" s="47">
        <f t="shared" si="1037"/>
        <v>4620</v>
      </c>
      <c r="AA4689" s="47"/>
      <c r="AB4689" s="47"/>
      <c r="AC4689" s="47"/>
      <c r="AD4689" s="47"/>
      <c r="AE4689" s="47"/>
      <c r="AF4689" s="47">
        <f t="shared" si="1041"/>
        <v>1485</v>
      </c>
      <c r="AG4689" s="47"/>
      <c r="AH4689" s="47" t="str">
        <f>IFERROR(_xlfn.XLOOKUP(Table6[[#This Row],[Suburb]],Table5[Travel Surcharge],Table5[$$]),"")</f>
        <v/>
      </c>
      <c r="AI4689" s="47">
        <f t="shared" si="1042"/>
        <v>1650.0000000000002</v>
      </c>
      <c r="AJ4689" s="47"/>
    </row>
    <row r="4690" spans="1:36">
      <c r="A4690" s="374" t="s">
        <v>6766</v>
      </c>
      <c r="B4690" s="374">
        <v>19</v>
      </c>
      <c r="C4690" s="374" t="s">
        <v>550</v>
      </c>
      <c r="D4690" s="375" t="str">
        <f t="shared" si="1033"/>
        <v>Westwood Walk Estate19</v>
      </c>
      <c r="E4690" s="375" t="s">
        <v>6783</v>
      </c>
      <c r="F4690" s="375" t="s">
        <v>1402</v>
      </c>
      <c r="G4690" s="375" t="s">
        <v>2859</v>
      </c>
      <c r="H4690" s="375" t="s">
        <v>6768</v>
      </c>
      <c r="I4690" s="63" t="s">
        <v>6769</v>
      </c>
      <c r="J4690" s="47"/>
      <c r="K4690" s="46" t="s">
        <v>7938</v>
      </c>
      <c r="L4690" s="47" t="s">
        <v>504</v>
      </c>
      <c r="M4690" s="47">
        <f t="shared" si="1040"/>
        <v>1430.0000000000002</v>
      </c>
      <c r="N4690" s="47"/>
      <c r="O4690" s="47" t="s">
        <v>6770</v>
      </c>
      <c r="P4690" s="47"/>
      <c r="Q4690" s="47" t="s">
        <v>6771</v>
      </c>
      <c r="R4690" s="47"/>
      <c r="S4690" s="47"/>
      <c r="T4690" s="47"/>
      <c r="U4690" s="47">
        <f t="shared" si="1043"/>
        <v>430</v>
      </c>
      <c r="V4690" s="47"/>
      <c r="W4690" s="47"/>
      <c r="X4690" s="47"/>
      <c r="Y4690" s="47"/>
      <c r="Z4690" s="47">
        <f t="shared" si="1037"/>
        <v>4620</v>
      </c>
      <c r="AA4690" s="47"/>
      <c r="AB4690" s="47"/>
      <c r="AC4690" s="47"/>
      <c r="AD4690" s="47"/>
      <c r="AE4690" s="47"/>
      <c r="AF4690" s="47">
        <f t="shared" si="1041"/>
        <v>1485</v>
      </c>
      <c r="AG4690" s="47"/>
      <c r="AH4690" s="47" t="str">
        <f>IFERROR(_xlfn.XLOOKUP(Table6[[#This Row],[Suburb]],Table5[Travel Surcharge],Table5[$$]),"")</f>
        <v/>
      </c>
      <c r="AI4690" s="47">
        <f t="shared" si="1042"/>
        <v>1650.0000000000002</v>
      </c>
      <c r="AJ4690" s="47"/>
    </row>
    <row r="4691" spans="1:36">
      <c r="A4691" s="374" t="s">
        <v>6766</v>
      </c>
      <c r="B4691" s="374">
        <v>20</v>
      </c>
      <c r="C4691" s="374" t="s">
        <v>550</v>
      </c>
      <c r="D4691" s="375" t="str">
        <f t="shared" ref="D4691:D4723" si="1045">CONCATENATE(A4691,B4691)</f>
        <v>Westwood Walk Estate20</v>
      </c>
      <c r="E4691" s="375" t="s">
        <v>6784</v>
      </c>
      <c r="F4691" s="375" t="s">
        <v>1402</v>
      </c>
      <c r="G4691" s="375" t="s">
        <v>2859</v>
      </c>
      <c r="H4691" s="375" t="s">
        <v>6768</v>
      </c>
      <c r="I4691" s="63" t="s">
        <v>6769</v>
      </c>
      <c r="J4691" s="47"/>
      <c r="K4691" s="46" t="s">
        <v>7938</v>
      </c>
      <c r="L4691" s="47" t="s">
        <v>504</v>
      </c>
      <c r="M4691" s="47">
        <f t="shared" si="1040"/>
        <v>1430.0000000000002</v>
      </c>
      <c r="N4691" s="47"/>
      <c r="O4691" s="47" t="s">
        <v>6770</v>
      </c>
      <c r="P4691" s="47"/>
      <c r="Q4691" s="47" t="s">
        <v>6771</v>
      </c>
      <c r="R4691" s="47"/>
      <c r="S4691" s="47"/>
      <c r="T4691" s="47"/>
      <c r="U4691" s="47">
        <f t="shared" si="1043"/>
        <v>430</v>
      </c>
      <c r="V4691" s="47"/>
      <c r="W4691" s="47"/>
      <c r="X4691" s="47"/>
      <c r="Y4691" s="47"/>
      <c r="Z4691" s="47">
        <f t="shared" ref="Z4691:Z4723" si="1046">Z$7</f>
        <v>4620</v>
      </c>
      <c r="AA4691" s="47"/>
      <c r="AB4691" s="47"/>
      <c r="AC4691" s="47"/>
      <c r="AD4691" s="47"/>
      <c r="AE4691" s="47"/>
      <c r="AF4691" s="47">
        <f t="shared" si="1041"/>
        <v>1485</v>
      </c>
      <c r="AG4691" s="47"/>
      <c r="AH4691" s="47" t="str">
        <f>IFERROR(_xlfn.XLOOKUP(Table6[[#This Row],[Suburb]],Table5[Travel Surcharge],Table5[$$]),"")</f>
        <v/>
      </c>
      <c r="AI4691" s="47">
        <f t="shared" si="1042"/>
        <v>1650.0000000000002</v>
      </c>
      <c r="AJ4691" s="47"/>
    </row>
    <row r="4692" spans="1:36">
      <c r="A4692" s="374" t="s">
        <v>6766</v>
      </c>
      <c r="B4692" s="374">
        <v>21</v>
      </c>
      <c r="C4692" s="374" t="s">
        <v>550</v>
      </c>
      <c r="D4692" s="375" t="str">
        <f t="shared" si="1045"/>
        <v>Westwood Walk Estate21</v>
      </c>
      <c r="E4692" s="375" t="s">
        <v>10809</v>
      </c>
      <c r="F4692" s="375" t="s">
        <v>1402</v>
      </c>
      <c r="G4692" s="375" t="s">
        <v>2859</v>
      </c>
      <c r="H4692" s="375" t="s">
        <v>6768</v>
      </c>
      <c r="I4692" s="63" t="s">
        <v>6769</v>
      </c>
      <c r="J4692" s="47"/>
      <c r="K4692" s="46" t="s">
        <v>7938</v>
      </c>
      <c r="L4692" s="47" t="s">
        <v>504</v>
      </c>
      <c r="M4692" s="47">
        <v>1430.0000000000002</v>
      </c>
      <c r="N4692" s="47"/>
      <c r="O4692" s="47" t="s">
        <v>6770</v>
      </c>
      <c r="P4692" s="47"/>
      <c r="Q4692" s="47" t="s">
        <v>6771</v>
      </c>
      <c r="R4692" s="47"/>
      <c r="S4692" s="47"/>
      <c r="T4692" s="47"/>
      <c r="U4692" s="47">
        <v>430</v>
      </c>
      <c r="V4692" s="47"/>
      <c r="W4692" s="47"/>
      <c r="X4692" s="47"/>
      <c r="Y4692" s="47"/>
      <c r="Z4692" s="47">
        <v>4620</v>
      </c>
      <c r="AA4692" s="47"/>
      <c r="AB4692" s="47"/>
      <c r="AC4692" s="47"/>
      <c r="AD4692" s="47"/>
      <c r="AE4692" s="47"/>
      <c r="AF4692" s="47">
        <v>1485</v>
      </c>
      <c r="AG4692" s="47"/>
      <c r="AH4692" s="47" t="s">
        <v>9976</v>
      </c>
      <c r="AI4692" s="47">
        <v>1650.0000000000002</v>
      </c>
      <c r="AJ4692" s="47"/>
    </row>
    <row r="4693" spans="1:36">
      <c r="A4693" s="374" t="s">
        <v>6793</v>
      </c>
      <c r="B4693" s="374">
        <v>3</v>
      </c>
      <c r="C4693" s="374" t="s">
        <v>290</v>
      </c>
      <c r="D4693" s="375" t="str">
        <f t="shared" si="1045"/>
        <v>Whitehill3</v>
      </c>
      <c r="E4693" s="375" t="s">
        <v>6794</v>
      </c>
      <c r="F4693" s="375"/>
      <c r="G4693" s="375" t="s">
        <v>6795</v>
      </c>
      <c r="H4693" s="375" t="s">
        <v>6796</v>
      </c>
      <c r="I4693" s="63" t="s">
        <v>6797</v>
      </c>
      <c r="J4693" s="47">
        <f>J$7</f>
        <v>3740</v>
      </c>
      <c r="K4693" s="46" t="s">
        <v>10735</v>
      </c>
      <c r="L4693" s="47"/>
      <c r="M4693" s="47"/>
      <c r="N4693" s="47"/>
      <c r="O4693" s="47"/>
      <c r="P4693" s="47" t="s">
        <v>6798</v>
      </c>
      <c r="Q4693" s="47">
        <f>Q$2</f>
        <v>0</v>
      </c>
      <c r="R4693" s="47"/>
      <c r="S4693" s="47"/>
      <c r="T4693" s="47"/>
      <c r="U4693" s="47"/>
      <c r="V4693" s="47"/>
      <c r="W4693" s="47"/>
      <c r="X4693" s="47"/>
      <c r="Y4693" s="47"/>
      <c r="Z4693" s="47">
        <f t="shared" si="1046"/>
        <v>4620</v>
      </c>
      <c r="AA4693" s="47"/>
      <c r="AB4693" s="47"/>
      <c r="AC4693" s="47"/>
      <c r="AD4693" s="47"/>
      <c r="AE4693" s="47"/>
      <c r="AF4693" s="47"/>
      <c r="AG4693" s="47"/>
      <c r="AH4693" s="47">
        <f>IFERROR(_xlfn.XLOOKUP(Table6[[#This Row],[Suburb]],Table5[Travel Surcharge],Table5[$$]),"")</f>
        <v>7000</v>
      </c>
      <c r="AI4693" s="47"/>
      <c r="AJ4693" s="47"/>
    </row>
    <row r="4694" spans="1:36">
      <c r="A4694" s="374" t="s">
        <v>6799</v>
      </c>
      <c r="B4694" s="374">
        <v>7</v>
      </c>
      <c r="C4694" s="374" t="s">
        <v>1412</v>
      </c>
      <c r="D4694" s="375" t="str">
        <f t="shared" si="1045"/>
        <v>Willandra  Estate7</v>
      </c>
      <c r="E4694" s="375" t="s">
        <v>6800</v>
      </c>
      <c r="F4694" s="375" t="s">
        <v>6801</v>
      </c>
      <c r="G4694" s="375" t="s">
        <v>6802</v>
      </c>
      <c r="H4694" s="375" t="s">
        <v>6803</v>
      </c>
      <c r="I4694" s="63"/>
      <c r="J4694" s="47"/>
      <c r="K4694" s="46" t="s">
        <v>10735</v>
      </c>
      <c r="L4694" s="47">
        <f t="shared" ref="L4694:L4700" si="1047">L$7</f>
        <v>1210</v>
      </c>
      <c r="M4694" s="47"/>
      <c r="N4694" s="47"/>
      <c r="O4694" s="47"/>
      <c r="P4694" s="47"/>
      <c r="Q4694" s="47"/>
      <c r="R4694" s="47"/>
      <c r="S4694" s="47" t="s">
        <v>463</v>
      </c>
      <c r="T4694" s="47"/>
      <c r="U4694" s="47"/>
      <c r="V4694" s="47"/>
      <c r="W4694" s="47"/>
      <c r="X4694" s="47">
        <f t="shared" ref="X4694:X4718" si="1048">X$7</f>
        <v>3000</v>
      </c>
      <c r="Y4694" s="47"/>
      <c r="Z4694" s="47">
        <f t="shared" si="1046"/>
        <v>4620</v>
      </c>
      <c r="AA4694" s="47"/>
      <c r="AB4694" s="47"/>
      <c r="AC4694" s="47"/>
      <c r="AD4694" s="47"/>
      <c r="AE4694" s="47"/>
      <c r="AF4694" s="47">
        <f t="shared" ref="AF4694:AF4700" si="1049">AF$7</f>
        <v>1485</v>
      </c>
      <c r="AG4694" s="47"/>
      <c r="AH4694" s="47" t="str">
        <f>IFERROR(_xlfn.XLOOKUP(Table6[[#This Row],[Suburb]],Table5[Travel Surcharge],Table5[$$]),"")</f>
        <v/>
      </c>
      <c r="AI4694" s="47"/>
      <c r="AJ4694" s="47"/>
    </row>
    <row r="4695" spans="1:36">
      <c r="A4695" s="374" t="s">
        <v>6799</v>
      </c>
      <c r="B4695" s="374">
        <v>8</v>
      </c>
      <c r="C4695" s="374" t="s">
        <v>1412</v>
      </c>
      <c r="D4695" s="375" t="str">
        <f t="shared" si="1045"/>
        <v>Willandra  Estate8</v>
      </c>
      <c r="E4695" s="375" t="s">
        <v>6804</v>
      </c>
      <c r="F4695" s="375" t="s">
        <v>6801</v>
      </c>
      <c r="G4695" s="375" t="s">
        <v>6802</v>
      </c>
      <c r="H4695" s="375" t="s">
        <v>6803</v>
      </c>
      <c r="I4695" s="63"/>
      <c r="J4695" s="47"/>
      <c r="K4695" s="46" t="s">
        <v>10735</v>
      </c>
      <c r="L4695" s="47">
        <f t="shared" si="1047"/>
        <v>1210</v>
      </c>
      <c r="M4695" s="47"/>
      <c r="N4695" s="47"/>
      <c r="O4695" s="47"/>
      <c r="P4695" s="47"/>
      <c r="Q4695" s="47"/>
      <c r="R4695" s="47"/>
      <c r="S4695" s="47" t="s">
        <v>463</v>
      </c>
      <c r="T4695" s="47"/>
      <c r="U4695" s="47"/>
      <c r="V4695" s="47"/>
      <c r="W4695" s="47"/>
      <c r="X4695" s="47">
        <f t="shared" si="1048"/>
        <v>3000</v>
      </c>
      <c r="Y4695" s="47"/>
      <c r="Z4695" s="47">
        <f t="shared" si="1046"/>
        <v>4620</v>
      </c>
      <c r="AA4695" s="47"/>
      <c r="AB4695" s="47"/>
      <c r="AC4695" s="47"/>
      <c r="AD4695" s="47"/>
      <c r="AE4695" s="47"/>
      <c r="AF4695" s="47">
        <f t="shared" si="1049"/>
        <v>1485</v>
      </c>
      <c r="AG4695" s="47"/>
      <c r="AH4695" s="47" t="str">
        <f>IFERROR(_xlfn.XLOOKUP(Table6[[#This Row],[Suburb]],Table5[Travel Surcharge],Table5[$$]),"")</f>
        <v/>
      </c>
      <c r="AI4695" s="47"/>
      <c r="AJ4695" s="47"/>
    </row>
    <row r="4696" spans="1:36">
      <c r="A4696" s="374" t="s">
        <v>6799</v>
      </c>
      <c r="B4696" s="374">
        <v>11</v>
      </c>
      <c r="C4696" s="374" t="s">
        <v>1412</v>
      </c>
      <c r="D4696" s="375" t="str">
        <f t="shared" si="1045"/>
        <v>Willandra  Estate11</v>
      </c>
      <c r="E4696" s="375" t="s">
        <v>6805</v>
      </c>
      <c r="F4696" s="375" t="s">
        <v>6801</v>
      </c>
      <c r="G4696" s="375" t="s">
        <v>6802</v>
      </c>
      <c r="H4696" s="375" t="s">
        <v>6803</v>
      </c>
      <c r="I4696" s="63"/>
      <c r="J4696" s="47"/>
      <c r="K4696" s="46" t="s">
        <v>10735</v>
      </c>
      <c r="L4696" s="47">
        <f t="shared" si="1047"/>
        <v>1210</v>
      </c>
      <c r="M4696" s="47"/>
      <c r="N4696" s="47"/>
      <c r="O4696" s="47"/>
      <c r="P4696" s="47"/>
      <c r="Q4696" s="47"/>
      <c r="R4696" s="47"/>
      <c r="S4696" s="47" t="s">
        <v>463</v>
      </c>
      <c r="T4696" s="47"/>
      <c r="U4696" s="47"/>
      <c r="V4696" s="47"/>
      <c r="W4696" s="47"/>
      <c r="X4696" s="47">
        <f t="shared" si="1048"/>
        <v>3000</v>
      </c>
      <c r="Y4696" s="47"/>
      <c r="Z4696" s="47">
        <f t="shared" si="1046"/>
        <v>4620</v>
      </c>
      <c r="AA4696" s="47"/>
      <c r="AB4696" s="47"/>
      <c r="AC4696" s="47"/>
      <c r="AD4696" s="47"/>
      <c r="AE4696" s="47"/>
      <c r="AF4696" s="47">
        <f t="shared" si="1049"/>
        <v>1485</v>
      </c>
      <c r="AG4696" s="47"/>
      <c r="AH4696" s="47" t="str">
        <f>IFERROR(_xlfn.XLOOKUP(Table6[[#This Row],[Suburb]],Table5[Travel Surcharge],Table5[$$]),"")</f>
        <v/>
      </c>
      <c r="AI4696" s="47"/>
      <c r="AJ4696" s="47"/>
    </row>
    <row r="4697" spans="1:36">
      <c r="A4697" s="374" t="s">
        <v>6799</v>
      </c>
      <c r="B4697" s="374">
        <v>12</v>
      </c>
      <c r="C4697" s="374" t="s">
        <v>1412</v>
      </c>
      <c r="D4697" s="375" t="str">
        <f t="shared" si="1045"/>
        <v>Willandra  Estate12</v>
      </c>
      <c r="E4697" s="375" t="s">
        <v>6806</v>
      </c>
      <c r="F4697" s="375" t="s">
        <v>6801</v>
      </c>
      <c r="G4697" s="375" t="s">
        <v>6802</v>
      </c>
      <c r="H4697" s="375" t="s">
        <v>6803</v>
      </c>
      <c r="I4697" s="63"/>
      <c r="J4697" s="47"/>
      <c r="K4697" s="46" t="s">
        <v>10735</v>
      </c>
      <c r="L4697" s="47">
        <f t="shared" si="1047"/>
        <v>1210</v>
      </c>
      <c r="M4697" s="47"/>
      <c r="N4697" s="47"/>
      <c r="O4697" s="47"/>
      <c r="P4697" s="47"/>
      <c r="Q4697" s="47"/>
      <c r="R4697" s="47"/>
      <c r="S4697" s="47" t="s">
        <v>463</v>
      </c>
      <c r="T4697" s="47"/>
      <c r="U4697" s="47"/>
      <c r="V4697" s="47"/>
      <c r="W4697" s="47"/>
      <c r="X4697" s="47">
        <f t="shared" si="1048"/>
        <v>3000</v>
      </c>
      <c r="Y4697" s="47"/>
      <c r="Z4697" s="47">
        <f t="shared" si="1046"/>
        <v>4620</v>
      </c>
      <c r="AA4697" s="47"/>
      <c r="AB4697" s="47"/>
      <c r="AC4697" s="47"/>
      <c r="AD4697" s="47"/>
      <c r="AE4697" s="47"/>
      <c r="AF4697" s="47">
        <f t="shared" si="1049"/>
        <v>1485</v>
      </c>
      <c r="AG4697" s="47"/>
      <c r="AH4697" s="47" t="str">
        <f>IFERROR(_xlfn.XLOOKUP(Table6[[#This Row],[Suburb]],Table5[Travel Surcharge],Table5[$$]),"")</f>
        <v/>
      </c>
      <c r="AI4697" s="47"/>
      <c r="AJ4697" s="47"/>
    </row>
    <row r="4698" spans="1:36">
      <c r="A4698" s="374" t="s">
        <v>6799</v>
      </c>
      <c r="B4698" s="374">
        <v>13</v>
      </c>
      <c r="C4698" s="374" t="s">
        <v>1412</v>
      </c>
      <c r="D4698" s="375" t="str">
        <f t="shared" si="1045"/>
        <v>Willandra  Estate13</v>
      </c>
      <c r="E4698" s="375" t="s">
        <v>6807</v>
      </c>
      <c r="F4698" s="375" t="s">
        <v>6801</v>
      </c>
      <c r="G4698" s="375" t="s">
        <v>6802</v>
      </c>
      <c r="H4698" s="375" t="s">
        <v>6803</v>
      </c>
      <c r="I4698" s="63"/>
      <c r="J4698" s="47"/>
      <c r="K4698" s="46" t="s">
        <v>10735</v>
      </c>
      <c r="L4698" s="47">
        <f t="shared" si="1047"/>
        <v>1210</v>
      </c>
      <c r="M4698" s="47"/>
      <c r="N4698" s="47"/>
      <c r="O4698" s="47"/>
      <c r="P4698" s="47"/>
      <c r="Q4698" s="47"/>
      <c r="R4698" s="47"/>
      <c r="S4698" s="47" t="s">
        <v>463</v>
      </c>
      <c r="T4698" s="47"/>
      <c r="U4698" s="47"/>
      <c r="V4698" s="47"/>
      <c r="W4698" s="47"/>
      <c r="X4698" s="47">
        <f t="shared" si="1048"/>
        <v>3000</v>
      </c>
      <c r="Y4698" s="47"/>
      <c r="Z4698" s="47">
        <f t="shared" si="1046"/>
        <v>4620</v>
      </c>
      <c r="AA4698" s="47"/>
      <c r="AB4698" s="47"/>
      <c r="AC4698" s="47"/>
      <c r="AD4698" s="47"/>
      <c r="AE4698" s="47"/>
      <c r="AF4698" s="47">
        <f t="shared" si="1049"/>
        <v>1485</v>
      </c>
      <c r="AG4698" s="47"/>
      <c r="AH4698" s="47" t="str">
        <f>IFERROR(_xlfn.XLOOKUP(Table6[[#This Row],[Suburb]],Table5[Travel Surcharge],Table5[$$]),"")</f>
        <v/>
      </c>
      <c r="AI4698" s="47"/>
      <c r="AJ4698" s="47"/>
    </row>
    <row r="4699" spans="1:36">
      <c r="A4699" s="374" t="s">
        <v>6799</v>
      </c>
      <c r="B4699" s="374">
        <v>15</v>
      </c>
      <c r="C4699" s="374" t="s">
        <v>1412</v>
      </c>
      <c r="D4699" s="375" t="str">
        <f t="shared" si="1045"/>
        <v>Willandra  Estate15</v>
      </c>
      <c r="E4699" s="375" t="s">
        <v>6808</v>
      </c>
      <c r="F4699" s="375" t="s">
        <v>6801</v>
      </c>
      <c r="G4699" s="375" t="s">
        <v>6802</v>
      </c>
      <c r="H4699" s="375" t="s">
        <v>6803</v>
      </c>
      <c r="I4699" s="63"/>
      <c r="J4699" s="47"/>
      <c r="K4699" s="46" t="s">
        <v>10735</v>
      </c>
      <c r="L4699" s="47">
        <f t="shared" si="1047"/>
        <v>1210</v>
      </c>
      <c r="M4699" s="47"/>
      <c r="N4699" s="47"/>
      <c r="O4699" s="47"/>
      <c r="P4699" s="47"/>
      <c r="Q4699" s="47"/>
      <c r="R4699" s="47"/>
      <c r="S4699" s="47" t="s">
        <v>463</v>
      </c>
      <c r="T4699" s="47"/>
      <c r="U4699" s="47"/>
      <c r="V4699" s="47"/>
      <c r="W4699" s="47"/>
      <c r="X4699" s="47">
        <f t="shared" si="1048"/>
        <v>3000</v>
      </c>
      <c r="Y4699" s="47"/>
      <c r="Z4699" s="47">
        <f t="shared" si="1046"/>
        <v>4620</v>
      </c>
      <c r="AA4699" s="47"/>
      <c r="AB4699" s="47"/>
      <c r="AC4699" s="47"/>
      <c r="AD4699" s="47"/>
      <c r="AE4699" s="47"/>
      <c r="AF4699" s="47">
        <f t="shared" si="1049"/>
        <v>1485</v>
      </c>
      <c r="AG4699" s="47"/>
      <c r="AH4699" s="47" t="str">
        <f>IFERROR(_xlfn.XLOOKUP(Table6[[#This Row],[Suburb]],Table5[Travel Surcharge],Table5[$$]),"")</f>
        <v/>
      </c>
      <c r="AI4699" s="47"/>
      <c r="AJ4699" s="47"/>
    </row>
    <row r="4700" spans="1:36">
      <c r="A4700" s="374" t="s">
        <v>6799</v>
      </c>
      <c r="B4700" s="374">
        <v>16</v>
      </c>
      <c r="C4700" s="374" t="s">
        <v>1412</v>
      </c>
      <c r="D4700" s="375" t="str">
        <f t="shared" si="1045"/>
        <v>Willandra  Estate16</v>
      </c>
      <c r="E4700" s="375" t="s">
        <v>6809</v>
      </c>
      <c r="F4700" s="375" t="s">
        <v>6801</v>
      </c>
      <c r="G4700" s="375" t="s">
        <v>6802</v>
      </c>
      <c r="H4700" s="375" t="s">
        <v>6803</v>
      </c>
      <c r="I4700" s="63"/>
      <c r="J4700" s="47"/>
      <c r="K4700" s="46" t="s">
        <v>10735</v>
      </c>
      <c r="L4700" s="47">
        <f t="shared" si="1047"/>
        <v>1210</v>
      </c>
      <c r="M4700" s="47"/>
      <c r="N4700" s="47"/>
      <c r="O4700" s="47"/>
      <c r="P4700" s="47"/>
      <c r="Q4700" s="47"/>
      <c r="R4700" s="47"/>
      <c r="S4700" s="47" t="s">
        <v>463</v>
      </c>
      <c r="T4700" s="47"/>
      <c r="U4700" s="47"/>
      <c r="V4700" s="47"/>
      <c r="W4700" s="47"/>
      <c r="X4700" s="47">
        <f t="shared" si="1048"/>
        <v>3000</v>
      </c>
      <c r="Y4700" s="47"/>
      <c r="Z4700" s="47">
        <f t="shared" si="1046"/>
        <v>4620</v>
      </c>
      <c r="AA4700" s="47"/>
      <c r="AB4700" s="47"/>
      <c r="AC4700" s="47"/>
      <c r="AD4700" s="47"/>
      <c r="AE4700" s="47"/>
      <c r="AF4700" s="47">
        <f t="shared" si="1049"/>
        <v>1485</v>
      </c>
      <c r="AG4700" s="47"/>
      <c r="AH4700" s="47" t="str">
        <f>IFERROR(_xlfn.XLOOKUP(Table6[[#This Row],[Suburb]],Table5[Travel Surcharge],Table5[$$]),"")</f>
        <v/>
      </c>
      <c r="AI4700" s="47"/>
      <c r="AJ4700" s="47"/>
    </row>
    <row r="4701" spans="1:36">
      <c r="A4701" s="374" t="s">
        <v>6810</v>
      </c>
      <c r="B4701" s="374" t="s">
        <v>528</v>
      </c>
      <c r="C4701" s="374" t="s">
        <v>6811</v>
      </c>
      <c r="D4701" s="375" t="str">
        <f t="shared" si="1045"/>
        <v>Williams Landing - Addison Estate4A</v>
      </c>
      <c r="E4701" s="375" t="s">
        <v>6812</v>
      </c>
      <c r="F4701" s="375" t="s">
        <v>6813</v>
      </c>
      <c r="G4701" s="375" t="s">
        <v>6814</v>
      </c>
      <c r="H4701" s="375" t="s">
        <v>6815</v>
      </c>
      <c r="I4701" s="63" t="s">
        <v>6816</v>
      </c>
      <c r="J4701" s="47">
        <f t="shared" ref="J4701:J4718" si="1050">J$7</f>
        <v>3740</v>
      </c>
      <c r="K4701" s="46" t="s">
        <v>10735</v>
      </c>
      <c r="L4701" s="47"/>
      <c r="M4701" s="47"/>
      <c r="N4701" s="47"/>
      <c r="O4701" s="47" t="s">
        <v>6817</v>
      </c>
      <c r="P4701" s="47"/>
      <c r="Q4701" s="47"/>
      <c r="R4701" s="47"/>
      <c r="S4701" s="47"/>
      <c r="T4701" s="47"/>
      <c r="U4701" s="47" t="s">
        <v>6818</v>
      </c>
      <c r="V4701" s="47" t="s">
        <v>1355</v>
      </c>
      <c r="W4701" s="47"/>
      <c r="X4701" s="47">
        <f t="shared" si="1048"/>
        <v>3000</v>
      </c>
      <c r="Y4701" s="47"/>
      <c r="Z4701" s="47">
        <f t="shared" si="1046"/>
        <v>4620</v>
      </c>
      <c r="AA4701" s="47">
        <f t="shared" ref="AA4701:AA4718" si="1051">AA$7</f>
        <v>1400</v>
      </c>
      <c r="AB4701" s="47"/>
      <c r="AC4701" s="47">
        <f t="shared" ref="AC4701:AC4718" si="1052">AC$7</f>
        <v>5200</v>
      </c>
      <c r="AD4701" s="47"/>
      <c r="AE4701" s="47"/>
      <c r="AF4701" s="47"/>
      <c r="AG4701" s="47">
        <f t="shared" ref="AG4701:AG4718" si="1053">AG$7</f>
        <v>3300.0000000000005</v>
      </c>
      <c r="AH4701" s="47" t="str">
        <f>IFERROR(_xlfn.XLOOKUP(Table6[[#This Row],[Suburb]],Table5[Travel Surcharge],Table5[$$]),"")</f>
        <v/>
      </c>
      <c r="AI4701" s="47"/>
      <c r="AJ4701" s="47"/>
    </row>
    <row r="4702" spans="1:36">
      <c r="A4702" s="374" t="s">
        <v>6810</v>
      </c>
      <c r="B4702" s="374" t="s">
        <v>6819</v>
      </c>
      <c r="C4702" s="374" t="s">
        <v>6811</v>
      </c>
      <c r="D4702" s="375" t="str">
        <f t="shared" si="1045"/>
        <v>Williams Landing - Addison EstateA1</v>
      </c>
      <c r="E4702" s="375" t="s">
        <v>6820</v>
      </c>
      <c r="F4702" s="375" t="s">
        <v>6813</v>
      </c>
      <c r="G4702" s="375" t="s">
        <v>6814</v>
      </c>
      <c r="H4702" s="375" t="s">
        <v>6815</v>
      </c>
      <c r="I4702" s="63" t="s">
        <v>6816</v>
      </c>
      <c r="J4702" s="47">
        <f t="shared" si="1050"/>
        <v>3740</v>
      </c>
      <c r="K4702" s="46" t="s">
        <v>10735</v>
      </c>
      <c r="L4702" s="47"/>
      <c r="M4702" s="47"/>
      <c r="N4702" s="47"/>
      <c r="O4702" s="47" t="s">
        <v>6817</v>
      </c>
      <c r="P4702" s="47"/>
      <c r="Q4702" s="47"/>
      <c r="R4702" s="47"/>
      <c r="S4702" s="47"/>
      <c r="T4702" s="47"/>
      <c r="U4702" s="47" t="s">
        <v>6818</v>
      </c>
      <c r="V4702" s="47" t="s">
        <v>1355</v>
      </c>
      <c r="W4702" s="47"/>
      <c r="X4702" s="47">
        <f t="shared" si="1048"/>
        <v>3000</v>
      </c>
      <c r="Y4702" s="47"/>
      <c r="Z4702" s="47">
        <f t="shared" si="1046"/>
        <v>4620</v>
      </c>
      <c r="AA4702" s="47">
        <f t="shared" si="1051"/>
        <v>1400</v>
      </c>
      <c r="AB4702" s="47"/>
      <c r="AC4702" s="47">
        <f t="shared" si="1052"/>
        <v>5200</v>
      </c>
      <c r="AD4702" s="47"/>
      <c r="AE4702" s="47"/>
      <c r="AF4702" s="47"/>
      <c r="AG4702" s="47">
        <f t="shared" si="1053"/>
        <v>3300.0000000000005</v>
      </c>
      <c r="AH4702" s="47" t="str">
        <f>IFERROR(_xlfn.XLOOKUP(Table6[[#This Row],[Suburb]],Table5[Travel Surcharge],Table5[$$]),"")</f>
        <v/>
      </c>
      <c r="AI4702" s="47"/>
      <c r="AJ4702" s="47"/>
    </row>
    <row r="4703" spans="1:36">
      <c r="A4703" s="374" t="s">
        <v>6810</v>
      </c>
      <c r="B4703" s="374" t="s">
        <v>6821</v>
      </c>
      <c r="C4703" s="374" t="s">
        <v>6811</v>
      </c>
      <c r="D4703" s="375" t="str">
        <f t="shared" si="1045"/>
        <v>Williams Landing - Addison EstateA2</v>
      </c>
      <c r="E4703" s="375" t="s">
        <v>6822</v>
      </c>
      <c r="F4703" s="375" t="s">
        <v>6813</v>
      </c>
      <c r="G4703" s="375" t="s">
        <v>6814</v>
      </c>
      <c r="H4703" s="375" t="s">
        <v>6815</v>
      </c>
      <c r="I4703" s="63" t="s">
        <v>6816</v>
      </c>
      <c r="J4703" s="47">
        <f t="shared" si="1050"/>
        <v>3740</v>
      </c>
      <c r="K4703" s="46" t="s">
        <v>10735</v>
      </c>
      <c r="L4703" s="47"/>
      <c r="M4703" s="47"/>
      <c r="N4703" s="47"/>
      <c r="O4703" s="47" t="s">
        <v>6817</v>
      </c>
      <c r="P4703" s="47"/>
      <c r="Q4703" s="47"/>
      <c r="R4703" s="47"/>
      <c r="S4703" s="47"/>
      <c r="T4703" s="47"/>
      <c r="U4703" s="47" t="s">
        <v>6818</v>
      </c>
      <c r="V4703" s="47" t="s">
        <v>1355</v>
      </c>
      <c r="W4703" s="47"/>
      <c r="X4703" s="47">
        <f t="shared" si="1048"/>
        <v>3000</v>
      </c>
      <c r="Y4703" s="47"/>
      <c r="Z4703" s="47">
        <f t="shared" si="1046"/>
        <v>4620</v>
      </c>
      <c r="AA4703" s="47">
        <f t="shared" si="1051"/>
        <v>1400</v>
      </c>
      <c r="AB4703" s="47"/>
      <c r="AC4703" s="47">
        <f t="shared" si="1052"/>
        <v>5200</v>
      </c>
      <c r="AD4703" s="47"/>
      <c r="AE4703" s="47"/>
      <c r="AF4703" s="47"/>
      <c r="AG4703" s="47">
        <f t="shared" si="1053"/>
        <v>3300.0000000000005</v>
      </c>
      <c r="AH4703" s="47" t="str">
        <f>IFERROR(_xlfn.XLOOKUP(Table6[[#This Row],[Suburb]],Table5[Travel Surcharge],Table5[$$]),"")</f>
        <v/>
      </c>
      <c r="AI4703" s="47"/>
      <c r="AJ4703" s="47"/>
    </row>
    <row r="4704" spans="1:36">
      <c r="A4704" s="374" t="s">
        <v>6810</v>
      </c>
      <c r="B4704" s="374" t="s">
        <v>6823</v>
      </c>
      <c r="C4704" s="374" t="s">
        <v>6811</v>
      </c>
      <c r="D4704" s="375" t="str">
        <f t="shared" si="1045"/>
        <v>Williams Landing - Addison EstateA3</v>
      </c>
      <c r="E4704" s="375" t="s">
        <v>6824</v>
      </c>
      <c r="F4704" s="375" t="s">
        <v>6813</v>
      </c>
      <c r="G4704" s="375" t="s">
        <v>6814</v>
      </c>
      <c r="H4704" s="375" t="s">
        <v>6815</v>
      </c>
      <c r="I4704" s="63" t="s">
        <v>6816</v>
      </c>
      <c r="J4704" s="47">
        <f t="shared" si="1050"/>
        <v>3740</v>
      </c>
      <c r="K4704" s="46" t="s">
        <v>10735</v>
      </c>
      <c r="L4704" s="47"/>
      <c r="M4704" s="47"/>
      <c r="N4704" s="47"/>
      <c r="O4704" s="47" t="s">
        <v>6817</v>
      </c>
      <c r="P4704" s="47"/>
      <c r="Q4704" s="47"/>
      <c r="R4704" s="47"/>
      <c r="S4704" s="47"/>
      <c r="T4704" s="47"/>
      <c r="U4704" s="47" t="s">
        <v>6818</v>
      </c>
      <c r="V4704" s="47" t="s">
        <v>1355</v>
      </c>
      <c r="W4704" s="47"/>
      <c r="X4704" s="47">
        <f t="shared" si="1048"/>
        <v>3000</v>
      </c>
      <c r="Y4704" s="47"/>
      <c r="Z4704" s="47">
        <f t="shared" si="1046"/>
        <v>4620</v>
      </c>
      <c r="AA4704" s="47">
        <f t="shared" si="1051"/>
        <v>1400</v>
      </c>
      <c r="AB4704" s="47"/>
      <c r="AC4704" s="47">
        <f t="shared" si="1052"/>
        <v>5200</v>
      </c>
      <c r="AD4704" s="47"/>
      <c r="AE4704" s="47"/>
      <c r="AF4704" s="47"/>
      <c r="AG4704" s="47">
        <f t="shared" si="1053"/>
        <v>3300.0000000000005</v>
      </c>
      <c r="AH4704" s="47" t="str">
        <f>IFERROR(_xlfn.XLOOKUP(Table6[[#This Row],[Suburb]],Table5[Travel Surcharge],Table5[$$]),"")</f>
        <v/>
      </c>
      <c r="AI4704" s="47"/>
      <c r="AJ4704" s="47"/>
    </row>
    <row r="4705" spans="1:36">
      <c r="A4705" s="374" t="s">
        <v>6810</v>
      </c>
      <c r="B4705" s="374" t="s">
        <v>6825</v>
      </c>
      <c r="C4705" s="374" t="s">
        <v>6811</v>
      </c>
      <c r="D4705" s="375" t="str">
        <f t="shared" si="1045"/>
        <v>Williams Landing - Addison EstateAW2</v>
      </c>
      <c r="E4705" s="375" t="s">
        <v>6826</v>
      </c>
      <c r="F4705" s="375" t="s">
        <v>6813</v>
      </c>
      <c r="G4705" s="375" t="s">
        <v>6814</v>
      </c>
      <c r="H4705" s="375" t="s">
        <v>6815</v>
      </c>
      <c r="I4705" s="63" t="s">
        <v>6816</v>
      </c>
      <c r="J4705" s="47">
        <f t="shared" si="1050"/>
        <v>3740</v>
      </c>
      <c r="K4705" s="46" t="s">
        <v>10735</v>
      </c>
      <c r="L4705" s="47"/>
      <c r="M4705" s="47"/>
      <c r="N4705" s="47"/>
      <c r="O4705" s="47" t="s">
        <v>6817</v>
      </c>
      <c r="P4705" s="47"/>
      <c r="Q4705" s="47"/>
      <c r="R4705" s="47"/>
      <c r="S4705" s="47"/>
      <c r="T4705" s="47"/>
      <c r="U4705" s="47" t="s">
        <v>6818</v>
      </c>
      <c r="V4705" s="47" t="s">
        <v>1355</v>
      </c>
      <c r="W4705" s="47"/>
      <c r="X4705" s="47">
        <f t="shared" si="1048"/>
        <v>3000</v>
      </c>
      <c r="Y4705" s="47"/>
      <c r="Z4705" s="47">
        <f t="shared" si="1046"/>
        <v>4620</v>
      </c>
      <c r="AA4705" s="47">
        <f t="shared" si="1051"/>
        <v>1400</v>
      </c>
      <c r="AB4705" s="47"/>
      <c r="AC4705" s="47">
        <f t="shared" si="1052"/>
        <v>5200</v>
      </c>
      <c r="AD4705" s="47"/>
      <c r="AE4705" s="47"/>
      <c r="AF4705" s="47"/>
      <c r="AG4705" s="47">
        <f t="shared" si="1053"/>
        <v>3300.0000000000005</v>
      </c>
      <c r="AH4705" s="47" t="str">
        <f>IFERROR(_xlfn.XLOOKUP(Table6[[#This Row],[Suburb]],Table5[Travel Surcharge],Table5[$$]),"")</f>
        <v/>
      </c>
      <c r="AI4705" s="47"/>
      <c r="AJ4705" s="47"/>
    </row>
    <row r="4706" spans="1:36">
      <c r="A4706" s="374" t="s">
        <v>6810</v>
      </c>
      <c r="B4706" s="374" t="s">
        <v>6827</v>
      </c>
      <c r="C4706" s="374" t="s">
        <v>6811</v>
      </c>
      <c r="D4706" s="375" t="str">
        <f t="shared" si="1045"/>
        <v>Williams Landing - Addison EstateAW2C</v>
      </c>
      <c r="E4706" s="375" t="s">
        <v>6828</v>
      </c>
      <c r="F4706" s="375" t="s">
        <v>6813</v>
      </c>
      <c r="G4706" s="375" t="s">
        <v>6814</v>
      </c>
      <c r="H4706" s="375" t="s">
        <v>6815</v>
      </c>
      <c r="I4706" s="63" t="s">
        <v>6816</v>
      </c>
      <c r="J4706" s="47">
        <f t="shared" si="1050"/>
        <v>3740</v>
      </c>
      <c r="K4706" s="46" t="s">
        <v>10735</v>
      </c>
      <c r="L4706" s="47"/>
      <c r="M4706" s="47"/>
      <c r="N4706" s="47"/>
      <c r="O4706" s="47" t="s">
        <v>6817</v>
      </c>
      <c r="P4706" s="47"/>
      <c r="Q4706" s="47"/>
      <c r="R4706" s="47"/>
      <c r="S4706" s="47"/>
      <c r="T4706" s="47"/>
      <c r="U4706" s="47" t="s">
        <v>6818</v>
      </c>
      <c r="V4706" s="47" t="s">
        <v>1355</v>
      </c>
      <c r="W4706" s="47"/>
      <c r="X4706" s="47">
        <f t="shared" si="1048"/>
        <v>3000</v>
      </c>
      <c r="Y4706" s="47"/>
      <c r="Z4706" s="47">
        <f t="shared" si="1046"/>
        <v>4620</v>
      </c>
      <c r="AA4706" s="47">
        <f t="shared" si="1051"/>
        <v>1400</v>
      </c>
      <c r="AB4706" s="47"/>
      <c r="AC4706" s="47">
        <f t="shared" si="1052"/>
        <v>5200</v>
      </c>
      <c r="AD4706" s="47"/>
      <c r="AE4706" s="47"/>
      <c r="AF4706" s="47"/>
      <c r="AG4706" s="47">
        <f t="shared" si="1053"/>
        <v>3300.0000000000005</v>
      </c>
      <c r="AH4706" s="47" t="str">
        <f>IFERROR(_xlfn.XLOOKUP(Table6[[#This Row],[Suburb]],Table5[Travel Surcharge],Table5[$$]),"")</f>
        <v/>
      </c>
      <c r="AI4706" s="47"/>
      <c r="AJ4706" s="47"/>
    </row>
    <row r="4707" spans="1:36">
      <c r="A4707" s="374" t="s">
        <v>6829</v>
      </c>
      <c r="B4707" s="374" t="s">
        <v>3936</v>
      </c>
      <c r="C4707" s="374" t="s">
        <v>6811</v>
      </c>
      <c r="D4707" s="375" t="str">
        <f t="shared" si="1045"/>
        <v>Williams Landing - Elmstead EstateE2</v>
      </c>
      <c r="E4707" s="375"/>
      <c r="F4707" s="375" t="s">
        <v>6813</v>
      </c>
      <c r="G4707" s="375" t="s">
        <v>6814</v>
      </c>
      <c r="H4707" s="375" t="s">
        <v>6815</v>
      </c>
      <c r="I4707" s="63" t="s">
        <v>6816</v>
      </c>
      <c r="J4707" s="47">
        <f t="shared" si="1050"/>
        <v>3740</v>
      </c>
      <c r="K4707" s="46" t="s">
        <v>10735</v>
      </c>
      <c r="L4707" s="47"/>
      <c r="M4707" s="47"/>
      <c r="N4707" s="47"/>
      <c r="O4707" s="47"/>
      <c r="P4707" s="47"/>
      <c r="Q4707" s="47"/>
      <c r="R4707" s="47"/>
      <c r="S4707" s="47"/>
      <c r="T4707" s="47"/>
      <c r="U4707" s="47">
        <f t="shared" ref="U4707:U4730" si="1054">U$2</f>
        <v>430</v>
      </c>
      <c r="V4707" s="47" t="s">
        <v>1355</v>
      </c>
      <c r="W4707" s="47"/>
      <c r="X4707" s="47">
        <f t="shared" si="1048"/>
        <v>3000</v>
      </c>
      <c r="Y4707" s="47"/>
      <c r="Z4707" s="47">
        <f t="shared" si="1046"/>
        <v>4620</v>
      </c>
      <c r="AA4707" s="47">
        <f t="shared" si="1051"/>
        <v>1400</v>
      </c>
      <c r="AB4707" s="47"/>
      <c r="AC4707" s="47">
        <f t="shared" si="1052"/>
        <v>5200</v>
      </c>
      <c r="AD4707" s="47"/>
      <c r="AE4707" s="47"/>
      <c r="AF4707" s="47"/>
      <c r="AG4707" s="47">
        <f t="shared" si="1053"/>
        <v>3300.0000000000005</v>
      </c>
      <c r="AH4707" s="47" t="str">
        <f>IFERROR(_xlfn.XLOOKUP(Table6[[#This Row],[Suburb]],Table5[Travel Surcharge],Table5[$$]),"")</f>
        <v/>
      </c>
      <c r="AI4707" s="47"/>
      <c r="AJ4707" s="47"/>
    </row>
    <row r="4708" spans="1:36">
      <c r="A4708" s="374" t="s">
        <v>6829</v>
      </c>
      <c r="B4708" s="374" t="s">
        <v>5404</v>
      </c>
      <c r="C4708" s="374" t="s">
        <v>6811</v>
      </c>
      <c r="D4708" s="375" t="str">
        <f t="shared" si="1045"/>
        <v>Williams Landing - Elmstead EstateE4</v>
      </c>
      <c r="E4708" s="375" t="s">
        <v>6830</v>
      </c>
      <c r="F4708" s="375" t="s">
        <v>6813</v>
      </c>
      <c r="G4708" s="375" t="s">
        <v>6814</v>
      </c>
      <c r="H4708" s="375" t="s">
        <v>6815</v>
      </c>
      <c r="I4708" s="63" t="s">
        <v>6816</v>
      </c>
      <c r="J4708" s="47">
        <f t="shared" si="1050"/>
        <v>3740</v>
      </c>
      <c r="K4708" s="46" t="s">
        <v>10735</v>
      </c>
      <c r="L4708" s="47"/>
      <c r="M4708" s="47"/>
      <c r="N4708" s="47"/>
      <c r="O4708" s="47"/>
      <c r="P4708" s="47"/>
      <c r="Q4708" s="47"/>
      <c r="R4708" s="47"/>
      <c r="S4708" s="47"/>
      <c r="T4708" s="47"/>
      <c r="U4708" s="47">
        <f t="shared" si="1054"/>
        <v>430</v>
      </c>
      <c r="V4708" s="47" t="s">
        <v>1355</v>
      </c>
      <c r="W4708" s="47"/>
      <c r="X4708" s="47">
        <f t="shared" si="1048"/>
        <v>3000</v>
      </c>
      <c r="Y4708" s="47"/>
      <c r="Z4708" s="47">
        <f t="shared" si="1046"/>
        <v>4620</v>
      </c>
      <c r="AA4708" s="47">
        <f t="shared" si="1051"/>
        <v>1400</v>
      </c>
      <c r="AB4708" s="47"/>
      <c r="AC4708" s="47">
        <f t="shared" si="1052"/>
        <v>5200</v>
      </c>
      <c r="AD4708" s="47"/>
      <c r="AE4708" s="47"/>
      <c r="AF4708" s="47"/>
      <c r="AG4708" s="47">
        <f t="shared" si="1053"/>
        <v>3300.0000000000005</v>
      </c>
      <c r="AH4708" s="47" t="str">
        <f>IFERROR(_xlfn.XLOOKUP(Table6[[#This Row],[Suburb]],Table5[Travel Surcharge],Table5[$$]),"")</f>
        <v/>
      </c>
      <c r="AI4708" s="47"/>
      <c r="AJ4708" s="47"/>
    </row>
    <row r="4709" spans="1:36">
      <c r="A4709" s="374" t="s">
        <v>6829</v>
      </c>
      <c r="B4709" s="374" t="s">
        <v>5406</v>
      </c>
      <c r="C4709" s="374" t="s">
        <v>6811</v>
      </c>
      <c r="D4709" s="375" t="str">
        <f t="shared" si="1045"/>
        <v>Williams Landing - Elmstead EstateE5</v>
      </c>
      <c r="E4709" s="375" t="s">
        <v>6831</v>
      </c>
      <c r="F4709" s="375" t="s">
        <v>6813</v>
      </c>
      <c r="G4709" s="375" t="s">
        <v>6814</v>
      </c>
      <c r="H4709" s="375" t="s">
        <v>6815</v>
      </c>
      <c r="I4709" s="63" t="s">
        <v>6816</v>
      </c>
      <c r="J4709" s="47">
        <f t="shared" si="1050"/>
        <v>3740</v>
      </c>
      <c r="K4709" s="46" t="s">
        <v>10735</v>
      </c>
      <c r="L4709" s="47"/>
      <c r="M4709" s="47"/>
      <c r="N4709" s="47"/>
      <c r="O4709" s="47"/>
      <c r="P4709" s="47"/>
      <c r="Q4709" s="47"/>
      <c r="R4709" s="47"/>
      <c r="S4709" s="47"/>
      <c r="T4709" s="47"/>
      <c r="U4709" s="47">
        <f t="shared" si="1054"/>
        <v>430</v>
      </c>
      <c r="V4709" s="47" t="s">
        <v>1355</v>
      </c>
      <c r="W4709" s="47"/>
      <c r="X4709" s="47">
        <f t="shared" si="1048"/>
        <v>3000</v>
      </c>
      <c r="Y4709" s="47"/>
      <c r="Z4709" s="47">
        <f t="shared" si="1046"/>
        <v>4620</v>
      </c>
      <c r="AA4709" s="47">
        <f t="shared" si="1051"/>
        <v>1400</v>
      </c>
      <c r="AB4709" s="47"/>
      <c r="AC4709" s="47">
        <f t="shared" si="1052"/>
        <v>5200</v>
      </c>
      <c r="AD4709" s="47"/>
      <c r="AE4709" s="47"/>
      <c r="AF4709" s="47"/>
      <c r="AG4709" s="47">
        <f t="shared" si="1053"/>
        <v>3300.0000000000005</v>
      </c>
      <c r="AH4709" s="47" t="str">
        <f>IFERROR(_xlfn.XLOOKUP(Table6[[#This Row],[Suburb]],Table5[Travel Surcharge],Table5[$$]),"")</f>
        <v/>
      </c>
      <c r="AI4709" s="47"/>
      <c r="AJ4709" s="47"/>
    </row>
    <row r="4710" spans="1:36">
      <c r="A4710" s="374" t="s">
        <v>6829</v>
      </c>
      <c r="B4710" s="374" t="s">
        <v>6832</v>
      </c>
      <c r="C4710" s="374" t="s">
        <v>6811</v>
      </c>
      <c r="D4710" s="375" t="str">
        <f t="shared" si="1045"/>
        <v>Williams Landing - Elmstead EstateE6</v>
      </c>
      <c r="E4710" s="375" t="s">
        <v>6833</v>
      </c>
      <c r="F4710" s="375" t="s">
        <v>6813</v>
      </c>
      <c r="G4710" s="375" t="s">
        <v>6814</v>
      </c>
      <c r="H4710" s="375" t="s">
        <v>6815</v>
      </c>
      <c r="I4710" s="63" t="s">
        <v>6816</v>
      </c>
      <c r="J4710" s="47">
        <f t="shared" si="1050"/>
        <v>3740</v>
      </c>
      <c r="K4710" s="46" t="s">
        <v>10735</v>
      </c>
      <c r="L4710" s="47"/>
      <c r="M4710" s="47"/>
      <c r="N4710" s="47"/>
      <c r="O4710" s="47"/>
      <c r="P4710" s="47"/>
      <c r="Q4710" s="47"/>
      <c r="R4710" s="47"/>
      <c r="S4710" s="47"/>
      <c r="T4710" s="47"/>
      <c r="U4710" s="47">
        <f t="shared" si="1054"/>
        <v>430</v>
      </c>
      <c r="V4710" s="47" t="s">
        <v>1355</v>
      </c>
      <c r="W4710" s="47"/>
      <c r="X4710" s="47">
        <f t="shared" si="1048"/>
        <v>3000</v>
      </c>
      <c r="Y4710" s="47"/>
      <c r="Z4710" s="47">
        <f t="shared" si="1046"/>
        <v>4620</v>
      </c>
      <c r="AA4710" s="47">
        <f t="shared" si="1051"/>
        <v>1400</v>
      </c>
      <c r="AB4710" s="47"/>
      <c r="AC4710" s="47">
        <f t="shared" si="1052"/>
        <v>5200</v>
      </c>
      <c r="AD4710" s="47"/>
      <c r="AE4710" s="47"/>
      <c r="AF4710" s="47"/>
      <c r="AG4710" s="47">
        <f t="shared" si="1053"/>
        <v>3300.0000000000005</v>
      </c>
      <c r="AH4710" s="47" t="str">
        <f>IFERROR(_xlfn.XLOOKUP(Table6[[#This Row],[Suburb]],Table5[Travel Surcharge],Table5[$$]),"")</f>
        <v/>
      </c>
      <c r="AI4710" s="47"/>
      <c r="AJ4710" s="47"/>
    </row>
    <row r="4711" spans="1:36">
      <c r="A4711" s="374" t="s">
        <v>6834</v>
      </c>
      <c r="B4711" s="374">
        <v>3</v>
      </c>
      <c r="C4711" s="374" t="s">
        <v>6811</v>
      </c>
      <c r="D4711" s="375" t="str">
        <f t="shared" si="1045"/>
        <v>Williams Landing Estate3</v>
      </c>
      <c r="E4711" s="375" t="s">
        <v>6835</v>
      </c>
      <c r="F4711" s="375" t="s">
        <v>6813</v>
      </c>
      <c r="G4711" s="375" t="s">
        <v>6814</v>
      </c>
      <c r="H4711" s="375" t="s">
        <v>6815</v>
      </c>
      <c r="I4711" s="63" t="s">
        <v>6816</v>
      </c>
      <c r="J4711" s="47">
        <f t="shared" si="1050"/>
        <v>3740</v>
      </c>
      <c r="K4711" s="46" t="s">
        <v>10735</v>
      </c>
      <c r="L4711" s="47"/>
      <c r="M4711" s="47"/>
      <c r="N4711" s="47"/>
      <c r="O4711" s="47"/>
      <c r="P4711" s="47"/>
      <c r="Q4711" s="47"/>
      <c r="R4711" s="47"/>
      <c r="S4711" s="47"/>
      <c r="T4711" s="47"/>
      <c r="U4711" s="47">
        <f t="shared" si="1054"/>
        <v>430</v>
      </c>
      <c r="V4711" s="47" t="s">
        <v>1355</v>
      </c>
      <c r="W4711" s="47"/>
      <c r="X4711" s="47">
        <f t="shared" si="1048"/>
        <v>3000</v>
      </c>
      <c r="Y4711" s="47"/>
      <c r="Z4711" s="47">
        <f t="shared" si="1046"/>
        <v>4620</v>
      </c>
      <c r="AA4711" s="47">
        <f t="shared" si="1051"/>
        <v>1400</v>
      </c>
      <c r="AB4711" s="47"/>
      <c r="AC4711" s="47">
        <f t="shared" si="1052"/>
        <v>5200</v>
      </c>
      <c r="AD4711" s="47"/>
      <c r="AE4711" s="47"/>
      <c r="AF4711" s="47"/>
      <c r="AG4711" s="47">
        <f t="shared" si="1053"/>
        <v>3300.0000000000005</v>
      </c>
      <c r="AH4711" s="47" t="str">
        <f>IFERROR(_xlfn.XLOOKUP(Table6[[#This Row],[Suburb]],Table5[Travel Surcharge],Table5[$$]),"")</f>
        <v/>
      </c>
      <c r="AI4711" s="47"/>
      <c r="AJ4711" s="47"/>
    </row>
    <row r="4712" spans="1:36">
      <c r="A4712" s="374" t="s">
        <v>6834</v>
      </c>
      <c r="B4712" s="374">
        <v>5</v>
      </c>
      <c r="C4712" s="374" t="s">
        <v>6811</v>
      </c>
      <c r="D4712" s="375" t="str">
        <f t="shared" si="1045"/>
        <v>Williams Landing Estate5</v>
      </c>
      <c r="E4712" s="375" t="s">
        <v>6836</v>
      </c>
      <c r="F4712" s="375" t="s">
        <v>6813</v>
      </c>
      <c r="G4712" s="375" t="s">
        <v>6814</v>
      </c>
      <c r="H4712" s="375" t="s">
        <v>6815</v>
      </c>
      <c r="I4712" s="63" t="s">
        <v>6816</v>
      </c>
      <c r="J4712" s="47">
        <f t="shared" si="1050"/>
        <v>3740</v>
      </c>
      <c r="K4712" s="46" t="s">
        <v>10735</v>
      </c>
      <c r="L4712" s="47"/>
      <c r="M4712" s="47"/>
      <c r="N4712" s="47"/>
      <c r="O4712" s="47"/>
      <c r="P4712" s="47"/>
      <c r="Q4712" s="47"/>
      <c r="R4712" s="47"/>
      <c r="S4712" s="47"/>
      <c r="T4712" s="47"/>
      <c r="U4712" s="47">
        <f t="shared" si="1054"/>
        <v>430</v>
      </c>
      <c r="V4712" s="47" t="s">
        <v>1355</v>
      </c>
      <c r="W4712" s="47"/>
      <c r="X4712" s="47">
        <f t="shared" si="1048"/>
        <v>3000</v>
      </c>
      <c r="Y4712" s="47"/>
      <c r="Z4712" s="47">
        <f t="shared" si="1046"/>
        <v>4620</v>
      </c>
      <c r="AA4712" s="47">
        <f t="shared" si="1051"/>
        <v>1400</v>
      </c>
      <c r="AB4712" s="47"/>
      <c r="AC4712" s="47">
        <f t="shared" si="1052"/>
        <v>5200</v>
      </c>
      <c r="AD4712" s="47"/>
      <c r="AE4712" s="47"/>
      <c r="AF4712" s="47"/>
      <c r="AG4712" s="47">
        <f t="shared" si="1053"/>
        <v>3300.0000000000005</v>
      </c>
      <c r="AH4712" s="47" t="str">
        <f>IFERROR(_xlfn.XLOOKUP(Table6[[#This Row],[Suburb]],Table5[Travel Surcharge],Table5[$$]),"")</f>
        <v/>
      </c>
      <c r="AI4712" s="47"/>
      <c r="AJ4712" s="47"/>
    </row>
    <row r="4713" spans="1:36">
      <c r="A4713" s="374" t="s">
        <v>6834</v>
      </c>
      <c r="B4713" s="374">
        <v>22</v>
      </c>
      <c r="C4713" s="374" t="s">
        <v>6811</v>
      </c>
      <c r="D4713" s="375" t="str">
        <f t="shared" si="1045"/>
        <v>Williams Landing Estate22</v>
      </c>
      <c r="E4713" s="375" t="s">
        <v>6822</v>
      </c>
      <c r="F4713" s="375" t="s">
        <v>6813</v>
      </c>
      <c r="G4713" s="375" t="s">
        <v>6814</v>
      </c>
      <c r="H4713" s="375" t="s">
        <v>6815</v>
      </c>
      <c r="I4713" s="63" t="s">
        <v>6816</v>
      </c>
      <c r="J4713" s="47">
        <f t="shared" si="1050"/>
        <v>3740</v>
      </c>
      <c r="K4713" s="46" t="s">
        <v>10735</v>
      </c>
      <c r="L4713" s="47"/>
      <c r="M4713" s="47"/>
      <c r="N4713" s="47"/>
      <c r="O4713" s="47"/>
      <c r="P4713" s="47"/>
      <c r="Q4713" s="47"/>
      <c r="R4713" s="47"/>
      <c r="S4713" s="47"/>
      <c r="T4713" s="47"/>
      <c r="U4713" s="47">
        <f t="shared" si="1054"/>
        <v>430</v>
      </c>
      <c r="V4713" s="47" t="s">
        <v>1355</v>
      </c>
      <c r="W4713" s="47"/>
      <c r="X4713" s="47">
        <f t="shared" si="1048"/>
        <v>3000</v>
      </c>
      <c r="Y4713" s="47"/>
      <c r="Z4713" s="47">
        <f t="shared" si="1046"/>
        <v>4620</v>
      </c>
      <c r="AA4713" s="47">
        <f t="shared" si="1051"/>
        <v>1400</v>
      </c>
      <c r="AB4713" s="47"/>
      <c r="AC4713" s="47">
        <f t="shared" si="1052"/>
        <v>5200</v>
      </c>
      <c r="AD4713" s="47"/>
      <c r="AE4713" s="47"/>
      <c r="AF4713" s="47"/>
      <c r="AG4713" s="47">
        <f t="shared" si="1053"/>
        <v>3300.0000000000005</v>
      </c>
      <c r="AH4713" s="47" t="str">
        <f>IFERROR(_xlfn.XLOOKUP(Table6[[#This Row],[Suburb]],Table5[Travel Surcharge],Table5[$$]),"")</f>
        <v/>
      </c>
      <c r="AI4713" s="47"/>
      <c r="AJ4713" s="47"/>
    </row>
    <row r="4714" spans="1:36">
      <c r="A4714" s="374" t="s">
        <v>6834</v>
      </c>
      <c r="B4714" s="374">
        <v>25</v>
      </c>
      <c r="C4714" s="374" t="s">
        <v>6811</v>
      </c>
      <c r="D4714" s="375" t="str">
        <f t="shared" si="1045"/>
        <v>Williams Landing Estate25</v>
      </c>
      <c r="E4714" s="375" t="s">
        <v>6837</v>
      </c>
      <c r="F4714" s="375" t="s">
        <v>6813</v>
      </c>
      <c r="G4714" s="375" t="s">
        <v>6814</v>
      </c>
      <c r="H4714" s="375" t="s">
        <v>6815</v>
      </c>
      <c r="I4714" s="63" t="s">
        <v>6816</v>
      </c>
      <c r="J4714" s="47">
        <f t="shared" si="1050"/>
        <v>3740</v>
      </c>
      <c r="K4714" s="46" t="s">
        <v>10735</v>
      </c>
      <c r="L4714" s="47"/>
      <c r="M4714" s="47"/>
      <c r="N4714" s="47"/>
      <c r="O4714" s="47"/>
      <c r="P4714" s="47"/>
      <c r="Q4714" s="47"/>
      <c r="R4714" s="47"/>
      <c r="S4714" s="47"/>
      <c r="T4714" s="47"/>
      <c r="U4714" s="47">
        <f t="shared" si="1054"/>
        <v>430</v>
      </c>
      <c r="V4714" s="47" t="s">
        <v>1355</v>
      </c>
      <c r="W4714" s="47"/>
      <c r="X4714" s="47">
        <f t="shared" si="1048"/>
        <v>3000</v>
      </c>
      <c r="Y4714" s="47"/>
      <c r="Z4714" s="47">
        <f t="shared" si="1046"/>
        <v>4620</v>
      </c>
      <c r="AA4714" s="47">
        <f t="shared" si="1051"/>
        <v>1400</v>
      </c>
      <c r="AB4714" s="47"/>
      <c r="AC4714" s="47">
        <f t="shared" si="1052"/>
        <v>5200</v>
      </c>
      <c r="AD4714" s="47"/>
      <c r="AE4714" s="47"/>
      <c r="AF4714" s="47"/>
      <c r="AG4714" s="47">
        <f t="shared" si="1053"/>
        <v>3300.0000000000005</v>
      </c>
      <c r="AH4714" s="47" t="str">
        <f>IFERROR(_xlfn.XLOOKUP(Table6[[#This Row],[Suburb]],Table5[Travel Surcharge],Table5[$$]),"")</f>
        <v/>
      </c>
      <c r="AI4714" s="47"/>
      <c r="AJ4714" s="47"/>
    </row>
    <row r="4715" spans="1:36">
      <c r="A4715" s="374" t="s">
        <v>6834</v>
      </c>
      <c r="B4715" s="374" t="s">
        <v>3290</v>
      </c>
      <c r="C4715" s="374" t="s">
        <v>6811</v>
      </c>
      <c r="D4715" s="375" t="str">
        <f t="shared" si="1045"/>
        <v>Williams Landing Estate3D</v>
      </c>
      <c r="E4715" s="375" t="s">
        <v>6838</v>
      </c>
      <c r="F4715" s="375" t="s">
        <v>6813</v>
      </c>
      <c r="G4715" s="375" t="s">
        <v>6814</v>
      </c>
      <c r="H4715" s="375" t="s">
        <v>6815</v>
      </c>
      <c r="I4715" s="63" t="s">
        <v>6816</v>
      </c>
      <c r="J4715" s="47">
        <f t="shared" si="1050"/>
        <v>3740</v>
      </c>
      <c r="K4715" s="46" t="s">
        <v>10735</v>
      </c>
      <c r="L4715" s="47"/>
      <c r="M4715" s="47"/>
      <c r="N4715" s="47"/>
      <c r="O4715" s="47"/>
      <c r="P4715" s="47"/>
      <c r="Q4715" s="47"/>
      <c r="R4715" s="47"/>
      <c r="S4715" s="47"/>
      <c r="T4715" s="47"/>
      <c r="U4715" s="47">
        <f t="shared" si="1054"/>
        <v>430</v>
      </c>
      <c r="V4715" s="47" t="s">
        <v>1355</v>
      </c>
      <c r="W4715" s="47"/>
      <c r="X4715" s="47">
        <f t="shared" si="1048"/>
        <v>3000</v>
      </c>
      <c r="Y4715" s="47"/>
      <c r="Z4715" s="47">
        <f t="shared" si="1046"/>
        <v>4620</v>
      </c>
      <c r="AA4715" s="47">
        <f t="shared" si="1051"/>
        <v>1400</v>
      </c>
      <c r="AB4715" s="47"/>
      <c r="AC4715" s="47">
        <f t="shared" si="1052"/>
        <v>5200</v>
      </c>
      <c r="AD4715" s="47"/>
      <c r="AE4715" s="47"/>
      <c r="AF4715" s="47"/>
      <c r="AG4715" s="47">
        <f t="shared" si="1053"/>
        <v>3300.0000000000005</v>
      </c>
      <c r="AH4715" s="47" t="str">
        <f>IFERROR(_xlfn.XLOOKUP(Table6[[#This Row],[Suburb]],Table5[Travel Surcharge],Table5[$$]),"")</f>
        <v/>
      </c>
      <c r="AI4715" s="47"/>
      <c r="AJ4715" s="47"/>
    </row>
    <row r="4716" spans="1:36">
      <c r="A4716" s="374" t="s">
        <v>6834</v>
      </c>
      <c r="B4716" s="374" t="s">
        <v>3966</v>
      </c>
      <c r="C4716" s="374" t="s">
        <v>6811</v>
      </c>
      <c r="D4716" s="375" t="str">
        <f t="shared" si="1045"/>
        <v>Williams Landing EstateK1</v>
      </c>
      <c r="E4716" s="375" t="s">
        <v>6839</v>
      </c>
      <c r="F4716" s="375" t="s">
        <v>6813</v>
      </c>
      <c r="G4716" s="375" t="s">
        <v>6814</v>
      </c>
      <c r="H4716" s="375" t="s">
        <v>6815</v>
      </c>
      <c r="I4716" s="63" t="s">
        <v>6816</v>
      </c>
      <c r="J4716" s="47">
        <f t="shared" si="1050"/>
        <v>3740</v>
      </c>
      <c r="K4716" s="46" t="s">
        <v>10735</v>
      </c>
      <c r="L4716" s="47"/>
      <c r="M4716" s="47"/>
      <c r="N4716" s="47"/>
      <c r="O4716" s="47"/>
      <c r="P4716" s="47"/>
      <c r="Q4716" s="47"/>
      <c r="R4716" s="47"/>
      <c r="S4716" s="47"/>
      <c r="T4716" s="47"/>
      <c r="U4716" s="47">
        <f t="shared" si="1054"/>
        <v>430</v>
      </c>
      <c r="V4716" s="47" t="s">
        <v>1355</v>
      </c>
      <c r="W4716" s="47"/>
      <c r="X4716" s="47">
        <f t="shared" si="1048"/>
        <v>3000</v>
      </c>
      <c r="Y4716" s="47"/>
      <c r="Z4716" s="47">
        <f t="shared" si="1046"/>
        <v>4620</v>
      </c>
      <c r="AA4716" s="47">
        <f t="shared" si="1051"/>
        <v>1400</v>
      </c>
      <c r="AB4716" s="47"/>
      <c r="AC4716" s="47">
        <f t="shared" si="1052"/>
        <v>5200</v>
      </c>
      <c r="AD4716" s="47"/>
      <c r="AE4716" s="47"/>
      <c r="AF4716" s="47"/>
      <c r="AG4716" s="47">
        <f t="shared" si="1053"/>
        <v>3300.0000000000005</v>
      </c>
      <c r="AH4716" s="47" t="str">
        <f>IFERROR(_xlfn.XLOOKUP(Table6[[#This Row],[Suburb]],Table5[Travel Surcharge],Table5[$$]),"")</f>
        <v/>
      </c>
      <c r="AI4716" s="47"/>
      <c r="AJ4716" s="47"/>
    </row>
    <row r="4717" spans="1:36">
      <c r="A4717" s="374" t="s">
        <v>6834</v>
      </c>
      <c r="B4717" s="374" t="s">
        <v>6840</v>
      </c>
      <c r="C4717" s="374" t="s">
        <v>6811</v>
      </c>
      <c r="D4717" s="375" t="str">
        <f t="shared" si="1045"/>
        <v>Williams Landing EstateW1</v>
      </c>
      <c r="E4717" s="375" t="s">
        <v>6835</v>
      </c>
      <c r="F4717" s="375" t="s">
        <v>6813</v>
      </c>
      <c r="G4717" s="375" t="s">
        <v>6814</v>
      </c>
      <c r="H4717" s="375" t="s">
        <v>6815</v>
      </c>
      <c r="I4717" s="63" t="s">
        <v>6816</v>
      </c>
      <c r="J4717" s="47">
        <f t="shared" si="1050"/>
        <v>3740</v>
      </c>
      <c r="K4717" s="46" t="s">
        <v>10735</v>
      </c>
      <c r="L4717" s="47"/>
      <c r="M4717" s="47"/>
      <c r="N4717" s="47"/>
      <c r="O4717" s="47"/>
      <c r="P4717" s="47"/>
      <c r="Q4717" s="47"/>
      <c r="R4717" s="47"/>
      <c r="S4717" s="47"/>
      <c r="T4717" s="47"/>
      <c r="U4717" s="47">
        <f t="shared" si="1054"/>
        <v>430</v>
      </c>
      <c r="V4717" s="47" t="s">
        <v>1355</v>
      </c>
      <c r="W4717" s="47"/>
      <c r="X4717" s="47">
        <f t="shared" si="1048"/>
        <v>3000</v>
      </c>
      <c r="Y4717" s="47"/>
      <c r="Z4717" s="47">
        <f t="shared" si="1046"/>
        <v>4620</v>
      </c>
      <c r="AA4717" s="47">
        <f t="shared" si="1051"/>
        <v>1400</v>
      </c>
      <c r="AB4717" s="47"/>
      <c r="AC4717" s="47">
        <f t="shared" si="1052"/>
        <v>5200</v>
      </c>
      <c r="AD4717" s="47"/>
      <c r="AE4717" s="47"/>
      <c r="AF4717" s="47"/>
      <c r="AG4717" s="47">
        <f t="shared" si="1053"/>
        <v>3300.0000000000005</v>
      </c>
      <c r="AH4717" s="47" t="str">
        <f>IFERROR(_xlfn.XLOOKUP(Table6[[#This Row],[Suburb]],Table5[Travel Surcharge],Table5[$$]),"")</f>
        <v/>
      </c>
      <c r="AI4717" s="47"/>
      <c r="AJ4717" s="47"/>
    </row>
    <row r="4718" spans="1:36">
      <c r="A4718" s="374" t="s">
        <v>6834</v>
      </c>
      <c r="B4718" s="374" t="s">
        <v>5410</v>
      </c>
      <c r="C4718" s="374" t="s">
        <v>6811</v>
      </c>
      <c r="D4718" s="375" t="str">
        <f t="shared" si="1045"/>
        <v>Williams Landing EstateW3</v>
      </c>
      <c r="E4718" s="375" t="s">
        <v>6841</v>
      </c>
      <c r="F4718" s="375" t="s">
        <v>6813</v>
      </c>
      <c r="G4718" s="375" t="s">
        <v>6814</v>
      </c>
      <c r="H4718" s="375" t="s">
        <v>6815</v>
      </c>
      <c r="I4718" s="63" t="s">
        <v>6816</v>
      </c>
      <c r="J4718" s="47">
        <f t="shared" si="1050"/>
        <v>3740</v>
      </c>
      <c r="K4718" s="46" t="s">
        <v>10735</v>
      </c>
      <c r="L4718" s="47"/>
      <c r="M4718" s="47"/>
      <c r="N4718" s="47"/>
      <c r="O4718" s="47"/>
      <c r="P4718" s="47"/>
      <c r="Q4718" s="47"/>
      <c r="R4718" s="47"/>
      <c r="S4718" s="47"/>
      <c r="T4718" s="47"/>
      <c r="U4718" s="47">
        <f t="shared" si="1054"/>
        <v>430</v>
      </c>
      <c r="V4718" s="47" t="s">
        <v>1355</v>
      </c>
      <c r="W4718" s="47"/>
      <c r="X4718" s="47">
        <f t="shared" si="1048"/>
        <v>3000</v>
      </c>
      <c r="Y4718" s="47"/>
      <c r="Z4718" s="47">
        <f t="shared" si="1046"/>
        <v>4620</v>
      </c>
      <c r="AA4718" s="47">
        <f t="shared" si="1051"/>
        <v>1400</v>
      </c>
      <c r="AB4718" s="47"/>
      <c r="AC4718" s="47">
        <f t="shared" si="1052"/>
        <v>5200</v>
      </c>
      <c r="AD4718" s="47"/>
      <c r="AE4718" s="47"/>
      <c r="AF4718" s="47"/>
      <c r="AG4718" s="47">
        <f t="shared" si="1053"/>
        <v>3300.0000000000005</v>
      </c>
      <c r="AH4718" s="47" t="str">
        <f>IFERROR(_xlfn.XLOOKUP(Table6[[#This Row],[Suburb]],Table5[Travel Surcharge],Table5[$$]),"")</f>
        <v/>
      </c>
      <c r="AI4718" s="47"/>
      <c r="AJ4718" s="47"/>
    </row>
    <row r="4719" spans="1:36">
      <c r="A4719" s="374" t="s">
        <v>6842</v>
      </c>
      <c r="B4719" s="374">
        <v>1</v>
      </c>
      <c r="C4719" s="374" t="s">
        <v>468</v>
      </c>
      <c r="D4719" s="375" t="str">
        <f t="shared" si="1045"/>
        <v>Williams Walk Estate1</v>
      </c>
      <c r="E4719" s="375" t="s">
        <v>6843</v>
      </c>
      <c r="F4719" s="375" t="s">
        <v>1056</v>
      </c>
      <c r="G4719" s="375" t="s">
        <v>6844</v>
      </c>
      <c r="H4719" s="375" t="s">
        <v>6352</v>
      </c>
      <c r="I4719" s="63" t="s">
        <v>6845</v>
      </c>
      <c r="J4719" s="47"/>
      <c r="K4719" s="46" t="s">
        <v>7938</v>
      </c>
      <c r="L4719" s="47" t="s">
        <v>6846</v>
      </c>
      <c r="M4719" s="47">
        <f>M$7</f>
        <v>1430.0000000000002</v>
      </c>
      <c r="N4719" s="47"/>
      <c r="O4719" s="47" t="s">
        <v>6473</v>
      </c>
      <c r="P4719" s="47"/>
      <c r="Q4719" s="47"/>
      <c r="R4719" s="47"/>
      <c r="S4719" s="47"/>
      <c r="T4719" s="47"/>
      <c r="U4719" s="47">
        <f t="shared" si="1054"/>
        <v>430</v>
      </c>
      <c r="V4719" s="47"/>
      <c r="W4719" s="47"/>
      <c r="X4719" s="47"/>
      <c r="Y4719" s="47"/>
      <c r="Z4719" s="47">
        <f t="shared" si="1046"/>
        <v>4620</v>
      </c>
      <c r="AA4719" s="47"/>
      <c r="AB4719" s="47"/>
      <c r="AC4719" s="47"/>
      <c r="AD4719" s="47"/>
      <c r="AE4719" s="47"/>
      <c r="AF4719" s="47">
        <f t="shared" ref="AF4719:AF4730" si="1055">AF$7</f>
        <v>1485</v>
      </c>
      <c r="AG4719" s="47"/>
      <c r="AH4719" s="47" t="str">
        <f>IFERROR(_xlfn.XLOOKUP(Table6[[#This Row],[Suburb]],Table5[Travel Surcharge],Table5[$$]),"")</f>
        <v/>
      </c>
      <c r="AI4719" s="47"/>
      <c r="AJ4719" s="47"/>
    </row>
    <row r="4720" spans="1:36">
      <c r="A4720" s="374" t="s">
        <v>6842</v>
      </c>
      <c r="B4720" s="374">
        <v>2</v>
      </c>
      <c r="C4720" s="374" t="s">
        <v>468</v>
      </c>
      <c r="D4720" s="375" t="str">
        <f t="shared" si="1045"/>
        <v>Williams Walk Estate2</v>
      </c>
      <c r="E4720" s="375" t="s">
        <v>6847</v>
      </c>
      <c r="F4720" s="375" t="s">
        <v>1056</v>
      </c>
      <c r="G4720" s="375" t="s">
        <v>6844</v>
      </c>
      <c r="H4720" s="375" t="s">
        <v>6352</v>
      </c>
      <c r="I4720" s="63" t="s">
        <v>6845</v>
      </c>
      <c r="J4720" s="47"/>
      <c r="K4720" s="46" t="s">
        <v>7938</v>
      </c>
      <c r="L4720" s="47" t="s">
        <v>6846</v>
      </c>
      <c r="M4720" s="47">
        <f>M$7</f>
        <v>1430.0000000000002</v>
      </c>
      <c r="N4720" s="47"/>
      <c r="O4720" s="47" t="s">
        <v>6473</v>
      </c>
      <c r="P4720" s="47"/>
      <c r="Q4720" s="47"/>
      <c r="R4720" s="47"/>
      <c r="S4720" s="47"/>
      <c r="T4720" s="47"/>
      <c r="U4720" s="47">
        <f t="shared" si="1054"/>
        <v>430</v>
      </c>
      <c r="V4720" s="47"/>
      <c r="W4720" s="47"/>
      <c r="X4720" s="47"/>
      <c r="Y4720" s="47"/>
      <c r="Z4720" s="47">
        <f t="shared" si="1046"/>
        <v>4620</v>
      </c>
      <c r="AA4720" s="47"/>
      <c r="AB4720" s="47"/>
      <c r="AC4720" s="47"/>
      <c r="AD4720" s="47"/>
      <c r="AE4720" s="47"/>
      <c r="AF4720" s="47">
        <f t="shared" si="1055"/>
        <v>1485</v>
      </c>
      <c r="AG4720" s="47"/>
      <c r="AH4720" s="47" t="str">
        <f>IFERROR(_xlfn.XLOOKUP(Table6[[#This Row],[Suburb]],Table5[Travel Surcharge],Table5[$$]),"")</f>
        <v/>
      </c>
      <c r="AI4720" s="47"/>
      <c r="AJ4720" s="47"/>
    </row>
    <row r="4721" spans="1:36">
      <c r="A4721" s="374" t="s">
        <v>6842</v>
      </c>
      <c r="B4721" s="374">
        <v>3</v>
      </c>
      <c r="C4721" s="374" t="s">
        <v>468</v>
      </c>
      <c r="D4721" s="375" t="str">
        <f t="shared" si="1045"/>
        <v>Williams Walk Estate3</v>
      </c>
      <c r="E4721" s="375" t="s">
        <v>6848</v>
      </c>
      <c r="F4721" s="375" t="s">
        <v>1056</v>
      </c>
      <c r="G4721" s="375" t="s">
        <v>6844</v>
      </c>
      <c r="H4721" s="375" t="s">
        <v>6352</v>
      </c>
      <c r="I4721" s="63" t="s">
        <v>6845</v>
      </c>
      <c r="J4721" s="47"/>
      <c r="K4721" s="46" t="s">
        <v>7938</v>
      </c>
      <c r="L4721" s="47" t="s">
        <v>6846</v>
      </c>
      <c r="M4721" s="47">
        <f>M$7</f>
        <v>1430.0000000000002</v>
      </c>
      <c r="N4721" s="47"/>
      <c r="O4721" s="47" t="s">
        <v>6473</v>
      </c>
      <c r="P4721" s="47"/>
      <c r="Q4721" s="47"/>
      <c r="R4721" s="47"/>
      <c r="S4721" s="47"/>
      <c r="T4721" s="47"/>
      <c r="U4721" s="47">
        <f t="shared" si="1054"/>
        <v>430</v>
      </c>
      <c r="V4721" s="47"/>
      <c r="W4721" s="47"/>
      <c r="X4721" s="47"/>
      <c r="Y4721" s="47"/>
      <c r="Z4721" s="47">
        <f t="shared" si="1046"/>
        <v>4620</v>
      </c>
      <c r="AA4721" s="47"/>
      <c r="AB4721" s="47"/>
      <c r="AC4721" s="47"/>
      <c r="AD4721" s="47"/>
      <c r="AE4721" s="47"/>
      <c r="AF4721" s="47">
        <f t="shared" si="1055"/>
        <v>1485</v>
      </c>
      <c r="AG4721" s="47"/>
      <c r="AH4721" s="47" t="str">
        <f>IFERROR(_xlfn.XLOOKUP(Table6[[#This Row],[Suburb]],Table5[Travel Surcharge],Table5[$$]),"")</f>
        <v/>
      </c>
      <c r="AI4721" s="47"/>
      <c r="AJ4721" s="47"/>
    </row>
    <row r="4722" spans="1:36">
      <c r="A4722" s="374" t="s">
        <v>6842</v>
      </c>
      <c r="B4722" s="374">
        <v>4</v>
      </c>
      <c r="C4722" s="374" t="s">
        <v>468</v>
      </c>
      <c r="D4722" s="375" t="str">
        <f t="shared" si="1045"/>
        <v>Williams Walk Estate4</v>
      </c>
      <c r="E4722" s="375" t="s">
        <v>6849</v>
      </c>
      <c r="F4722" s="375" t="s">
        <v>1056</v>
      </c>
      <c r="G4722" s="375" t="s">
        <v>6844</v>
      </c>
      <c r="H4722" s="375" t="s">
        <v>6352</v>
      </c>
      <c r="I4722" s="63" t="s">
        <v>6845</v>
      </c>
      <c r="J4722" s="47"/>
      <c r="K4722" s="46" t="s">
        <v>7938</v>
      </c>
      <c r="L4722" s="47" t="s">
        <v>6846</v>
      </c>
      <c r="M4722" s="47">
        <f>M$7</f>
        <v>1430.0000000000002</v>
      </c>
      <c r="N4722" s="47"/>
      <c r="O4722" s="47" t="s">
        <v>6473</v>
      </c>
      <c r="P4722" s="47"/>
      <c r="Q4722" s="47"/>
      <c r="R4722" s="47"/>
      <c r="S4722" s="47"/>
      <c r="T4722" s="47"/>
      <c r="U4722" s="47">
        <f t="shared" si="1054"/>
        <v>430</v>
      </c>
      <c r="V4722" s="47"/>
      <c r="W4722" s="47"/>
      <c r="X4722" s="47"/>
      <c r="Y4722" s="47"/>
      <c r="Z4722" s="47">
        <f t="shared" si="1046"/>
        <v>4620</v>
      </c>
      <c r="AA4722" s="47"/>
      <c r="AB4722" s="47"/>
      <c r="AC4722" s="47"/>
      <c r="AD4722" s="47"/>
      <c r="AE4722" s="47"/>
      <c r="AF4722" s="47">
        <f t="shared" si="1055"/>
        <v>1485</v>
      </c>
      <c r="AG4722" s="47"/>
      <c r="AH4722" s="47" t="str">
        <f>IFERROR(_xlfn.XLOOKUP(Table6[[#This Row],[Suburb]],Table5[Travel Surcharge],Table5[$$]),"")</f>
        <v/>
      </c>
      <c r="AI4722" s="47"/>
      <c r="AJ4722" s="47"/>
    </row>
    <row r="4723" spans="1:36">
      <c r="A4723" s="374" t="s">
        <v>6850</v>
      </c>
      <c r="B4723" s="374">
        <v>1</v>
      </c>
      <c r="C4723" s="374" t="s">
        <v>8436</v>
      </c>
      <c r="D4723" s="375" t="str">
        <f t="shared" si="1045"/>
        <v>Willow Estate - Gisborne1</v>
      </c>
      <c r="E4723" s="375" t="s">
        <v>6851</v>
      </c>
      <c r="F4723" s="375"/>
      <c r="G4723" s="375" t="s">
        <v>6802</v>
      </c>
      <c r="H4723" s="375" t="s">
        <v>6852</v>
      </c>
      <c r="I4723" s="63" t="s">
        <v>6853</v>
      </c>
      <c r="J4723" s="47"/>
      <c r="K4723" s="46" t="s">
        <v>10735</v>
      </c>
      <c r="L4723" s="47">
        <f t="shared" ref="L4723:L4730" si="1056">L$7</f>
        <v>1210</v>
      </c>
      <c r="M4723" s="47" t="s">
        <v>6179</v>
      </c>
      <c r="N4723" s="47" t="s">
        <v>1846</v>
      </c>
      <c r="O4723" s="47" t="s">
        <v>6854</v>
      </c>
      <c r="P4723" s="47"/>
      <c r="Q4723" s="47"/>
      <c r="R4723" s="47"/>
      <c r="S4723" s="47"/>
      <c r="T4723" s="47"/>
      <c r="U4723" s="47">
        <f t="shared" si="1054"/>
        <v>430</v>
      </c>
      <c r="V4723" s="47" t="s">
        <v>6855</v>
      </c>
      <c r="W4723" s="47" t="s">
        <v>536</v>
      </c>
      <c r="X4723" s="47"/>
      <c r="Y4723" s="47"/>
      <c r="Z4723" s="47">
        <f t="shared" si="1046"/>
        <v>4620</v>
      </c>
      <c r="AA4723" s="47"/>
      <c r="AB4723" s="47"/>
      <c r="AC4723" s="47"/>
      <c r="AD4723" s="47"/>
      <c r="AE4723" s="47"/>
      <c r="AF4723" s="47">
        <f t="shared" si="1055"/>
        <v>1485</v>
      </c>
      <c r="AG4723" s="47"/>
      <c r="AH4723" s="47" t="str">
        <f>IFERROR(_xlfn.XLOOKUP(Table6[[#This Row],[Suburb]],Table5[Travel Surcharge],Table5[$$]),"")</f>
        <v/>
      </c>
      <c r="AI4723" s="47"/>
      <c r="AJ4723" s="47"/>
    </row>
    <row r="4724" spans="1:36">
      <c r="A4724" s="374" t="s">
        <v>6850</v>
      </c>
      <c r="B4724" s="374">
        <v>2</v>
      </c>
      <c r="C4724" s="374" t="s">
        <v>8436</v>
      </c>
      <c r="D4724" s="375" t="str">
        <f t="shared" ref="D4724:D4730" si="1057">CONCATENATE(A4724,B4724)</f>
        <v>Willow Estate - Gisborne2</v>
      </c>
      <c r="E4724" s="375" t="s">
        <v>6856</v>
      </c>
      <c r="F4724" s="375"/>
      <c r="G4724" s="375" t="s">
        <v>6802</v>
      </c>
      <c r="H4724" s="375" t="s">
        <v>6852</v>
      </c>
      <c r="I4724" s="63" t="s">
        <v>6853</v>
      </c>
      <c r="J4724" s="47"/>
      <c r="K4724" s="46" t="s">
        <v>10735</v>
      </c>
      <c r="L4724" s="47">
        <f t="shared" si="1056"/>
        <v>1210</v>
      </c>
      <c r="M4724" s="47" t="s">
        <v>6179</v>
      </c>
      <c r="N4724" s="47" t="s">
        <v>1846</v>
      </c>
      <c r="O4724" s="47" t="s">
        <v>6854</v>
      </c>
      <c r="P4724" s="47"/>
      <c r="Q4724" s="47"/>
      <c r="R4724" s="47"/>
      <c r="S4724" s="47"/>
      <c r="T4724" s="47"/>
      <c r="U4724" s="47">
        <f t="shared" si="1054"/>
        <v>430</v>
      </c>
      <c r="V4724" s="47" t="s">
        <v>6855</v>
      </c>
      <c r="W4724" s="47" t="s">
        <v>536</v>
      </c>
      <c r="X4724" s="47"/>
      <c r="Y4724" s="47"/>
      <c r="Z4724" s="47">
        <f t="shared" ref="Z4724:Z4730" si="1058">Z$7</f>
        <v>4620</v>
      </c>
      <c r="AA4724" s="47"/>
      <c r="AB4724" s="47"/>
      <c r="AC4724" s="47"/>
      <c r="AD4724" s="47"/>
      <c r="AE4724" s="47"/>
      <c r="AF4724" s="47">
        <f t="shared" si="1055"/>
        <v>1485</v>
      </c>
      <c r="AG4724" s="47"/>
      <c r="AH4724" s="47" t="str">
        <f>IFERROR(_xlfn.XLOOKUP(Table6[[#This Row],[Suburb]],Table5[Travel Surcharge],Table5[$$]),"")</f>
        <v/>
      </c>
      <c r="AI4724" s="47"/>
      <c r="AJ4724" s="47"/>
    </row>
    <row r="4725" spans="1:36">
      <c r="A4725" s="374" t="s">
        <v>6850</v>
      </c>
      <c r="B4725" s="374">
        <v>3</v>
      </c>
      <c r="C4725" s="374" t="s">
        <v>8436</v>
      </c>
      <c r="D4725" s="375" t="str">
        <f t="shared" si="1057"/>
        <v>Willow Estate - Gisborne3</v>
      </c>
      <c r="E4725" s="375" t="s">
        <v>6857</v>
      </c>
      <c r="F4725" s="375"/>
      <c r="G4725" s="375" t="s">
        <v>6802</v>
      </c>
      <c r="H4725" s="375" t="s">
        <v>6852</v>
      </c>
      <c r="I4725" s="63" t="s">
        <v>6853</v>
      </c>
      <c r="J4725" s="47"/>
      <c r="K4725" s="46" t="s">
        <v>10735</v>
      </c>
      <c r="L4725" s="47">
        <f t="shared" si="1056"/>
        <v>1210</v>
      </c>
      <c r="M4725" s="47" t="s">
        <v>6179</v>
      </c>
      <c r="N4725" s="47" t="s">
        <v>1846</v>
      </c>
      <c r="O4725" s="47" t="s">
        <v>6854</v>
      </c>
      <c r="P4725" s="47"/>
      <c r="Q4725" s="47"/>
      <c r="R4725" s="47"/>
      <c r="S4725" s="47"/>
      <c r="T4725" s="47"/>
      <c r="U4725" s="47">
        <f t="shared" si="1054"/>
        <v>430</v>
      </c>
      <c r="V4725" s="47" t="s">
        <v>6855</v>
      </c>
      <c r="W4725" s="47" t="s">
        <v>536</v>
      </c>
      <c r="X4725" s="47"/>
      <c r="Y4725" s="47"/>
      <c r="Z4725" s="47">
        <f t="shared" si="1058"/>
        <v>4620</v>
      </c>
      <c r="AA4725" s="47"/>
      <c r="AB4725" s="47"/>
      <c r="AC4725" s="47"/>
      <c r="AD4725" s="47"/>
      <c r="AE4725" s="47"/>
      <c r="AF4725" s="47">
        <f t="shared" si="1055"/>
        <v>1485</v>
      </c>
      <c r="AG4725" s="47"/>
      <c r="AH4725" s="47" t="str">
        <f>IFERROR(_xlfn.XLOOKUP(Table6[[#This Row],[Suburb]],Table5[Travel Surcharge],Table5[$$]),"")</f>
        <v/>
      </c>
      <c r="AI4725" s="47"/>
      <c r="AJ4725" s="47"/>
    </row>
    <row r="4726" spans="1:36">
      <c r="A4726" s="374" t="s">
        <v>6850</v>
      </c>
      <c r="B4726" s="374">
        <v>4</v>
      </c>
      <c r="C4726" s="374" t="s">
        <v>8436</v>
      </c>
      <c r="D4726" s="375" t="str">
        <f t="shared" si="1057"/>
        <v>Willow Estate - Gisborne4</v>
      </c>
      <c r="E4726" s="375" t="s">
        <v>6858</v>
      </c>
      <c r="F4726" s="375"/>
      <c r="G4726" s="375" t="s">
        <v>6802</v>
      </c>
      <c r="H4726" s="375" t="s">
        <v>6852</v>
      </c>
      <c r="I4726" s="63" t="s">
        <v>6853</v>
      </c>
      <c r="J4726" s="47"/>
      <c r="K4726" s="46" t="s">
        <v>10735</v>
      </c>
      <c r="L4726" s="47">
        <f t="shared" si="1056"/>
        <v>1210</v>
      </c>
      <c r="M4726" s="47" t="s">
        <v>6179</v>
      </c>
      <c r="N4726" s="47" t="s">
        <v>1846</v>
      </c>
      <c r="O4726" s="47" t="s">
        <v>6854</v>
      </c>
      <c r="P4726" s="47"/>
      <c r="Q4726" s="47"/>
      <c r="R4726" s="47"/>
      <c r="S4726" s="47"/>
      <c r="T4726" s="47"/>
      <c r="U4726" s="47">
        <f t="shared" si="1054"/>
        <v>430</v>
      </c>
      <c r="V4726" s="47" t="s">
        <v>6855</v>
      </c>
      <c r="W4726" s="47" t="s">
        <v>536</v>
      </c>
      <c r="X4726" s="47"/>
      <c r="Y4726" s="47"/>
      <c r="Z4726" s="47">
        <f t="shared" si="1058"/>
        <v>4620</v>
      </c>
      <c r="AA4726" s="47"/>
      <c r="AB4726" s="47"/>
      <c r="AC4726" s="47"/>
      <c r="AD4726" s="47"/>
      <c r="AE4726" s="47"/>
      <c r="AF4726" s="47">
        <f t="shared" si="1055"/>
        <v>1485</v>
      </c>
      <c r="AG4726" s="47"/>
      <c r="AH4726" s="47" t="str">
        <f>IFERROR(_xlfn.XLOOKUP(Table6[[#This Row],[Suburb]],Table5[Travel Surcharge],Table5[$$]),"")</f>
        <v/>
      </c>
      <c r="AI4726" s="47"/>
      <c r="AJ4726" s="47"/>
    </row>
    <row r="4727" spans="1:36">
      <c r="A4727" s="374" t="s">
        <v>6850</v>
      </c>
      <c r="B4727" s="374">
        <v>5</v>
      </c>
      <c r="C4727" s="374" t="s">
        <v>8436</v>
      </c>
      <c r="D4727" s="375" t="str">
        <f t="shared" si="1057"/>
        <v>Willow Estate - Gisborne5</v>
      </c>
      <c r="E4727" s="375" t="s">
        <v>6859</v>
      </c>
      <c r="F4727" s="375"/>
      <c r="G4727" s="375" t="s">
        <v>6802</v>
      </c>
      <c r="H4727" s="375" t="s">
        <v>6852</v>
      </c>
      <c r="I4727" s="63" t="s">
        <v>6853</v>
      </c>
      <c r="J4727" s="47"/>
      <c r="K4727" s="46" t="s">
        <v>10735</v>
      </c>
      <c r="L4727" s="47">
        <f t="shared" si="1056"/>
        <v>1210</v>
      </c>
      <c r="M4727" s="47" t="s">
        <v>6179</v>
      </c>
      <c r="N4727" s="47" t="s">
        <v>1846</v>
      </c>
      <c r="O4727" s="47" t="s">
        <v>6854</v>
      </c>
      <c r="P4727" s="47"/>
      <c r="Q4727" s="47"/>
      <c r="R4727" s="47"/>
      <c r="S4727" s="47"/>
      <c r="T4727" s="47"/>
      <c r="U4727" s="47">
        <f t="shared" si="1054"/>
        <v>430</v>
      </c>
      <c r="V4727" s="47" t="s">
        <v>6855</v>
      </c>
      <c r="W4727" s="47" t="s">
        <v>536</v>
      </c>
      <c r="X4727" s="47"/>
      <c r="Y4727" s="47"/>
      <c r="Z4727" s="47">
        <f t="shared" si="1058"/>
        <v>4620</v>
      </c>
      <c r="AA4727" s="47"/>
      <c r="AB4727" s="47"/>
      <c r="AC4727" s="47"/>
      <c r="AD4727" s="47"/>
      <c r="AE4727" s="47"/>
      <c r="AF4727" s="47">
        <f t="shared" si="1055"/>
        <v>1485</v>
      </c>
      <c r="AG4727" s="47"/>
      <c r="AH4727" s="47" t="str">
        <f>IFERROR(_xlfn.XLOOKUP(Table6[[#This Row],[Suburb]],Table5[Travel Surcharge],Table5[$$]),"")</f>
        <v/>
      </c>
      <c r="AI4727" s="47"/>
      <c r="AJ4727" s="47"/>
    </row>
    <row r="4728" spans="1:36">
      <c r="A4728" s="157" t="s">
        <v>6850</v>
      </c>
      <c r="B4728" s="157">
        <v>7</v>
      </c>
      <c r="C4728" s="157" t="s">
        <v>8436</v>
      </c>
      <c r="D4728" s="157" t="str">
        <f t="shared" si="1057"/>
        <v>Willow Estate - Gisborne7</v>
      </c>
      <c r="E4728" s="157" t="s">
        <v>8549</v>
      </c>
      <c r="F4728" s="157"/>
      <c r="G4728" s="157" t="s">
        <v>6802</v>
      </c>
      <c r="H4728" s="157" t="s">
        <v>6852</v>
      </c>
      <c r="I4728" s="158" t="s">
        <v>6853</v>
      </c>
      <c r="J4728" s="47"/>
      <c r="K4728" s="46" t="s">
        <v>10735</v>
      </c>
      <c r="L4728" s="47">
        <f t="shared" si="1056"/>
        <v>1210</v>
      </c>
      <c r="M4728" s="47" t="s">
        <v>6179</v>
      </c>
      <c r="N4728" s="47" t="s">
        <v>1846</v>
      </c>
      <c r="O4728" s="47" t="s">
        <v>6854</v>
      </c>
      <c r="P4728" s="47"/>
      <c r="Q4728" s="47"/>
      <c r="R4728" s="47"/>
      <c r="S4728" s="47"/>
      <c r="T4728" s="47"/>
      <c r="U4728" s="47">
        <f t="shared" si="1054"/>
        <v>430</v>
      </c>
      <c r="V4728" s="47" t="s">
        <v>6855</v>
      </c>
      <c r="W4728" s="47" t="s">
        <v>536</v>
      </c>
      <c r="X4728" s="47"/>
      <c r="Y4728" s="47"/>
      <c r="Z4728" s="47">
        <f t="shared" si="1058"/>
        <v>4620</v>
      </c>
      <c r="AA4728" s="47"/>
      <c r="AB4728" s="47"/>
      <c r="AC4728" s="47"/>
      <c r="AD4728" s="47"/>
      <c r="AE4728" s="47"/>
      <c r="AF4728" s="47">
        <f t="shared" si="1055"/>
        <v>1485</v>
      </c>
      <c r="AG4728" s="47"/>
      <c r="AH4728" s="47" t="str">
        <f>IFERROR(_xlfn.XLOOKUP(Table6[[#This Row],[Suburb]],Table5[Travel Surcharge],Table5[$$]),"")</f>
        <v/>
      </c>
      <c r="AI4728" s="47"/>
      <c r="AJ4728" s="47"/>
    </row>
    <row r="4729" spans="1:36">
      <c r="A4729" s="157" t="s">
        <v>6850</v>
      </c>
      <c r="B4729" s="157">
        <v>9</v>
      </c>
      <c r="C4729" s="157" t="s">
        <v>8436</v>
      </c>
      <c r="D4729" s="157" t="str">
        <f t="shared" si="1057"/>
        <v>Willow Estate - Gisborne9</v>
      </c>
      <c r="E4729" s="157" t="s">
        <v>8724</v>
      </c>
      <c r="F4729" s="157"/>
      <c r="G4729" s="157" t="s">
        <v>6802</v>
      </c>
      <c r="H4729" s="157" t="s">
        <v>6852</v>
      </c>
      <c r="I4729" s="158" t="s">
        <v>6853</v>
      </c>
      <c r="J4729" s="47"/>
      <c r="K4729" s="46" t="s">
        <v>10735</v>
      </c>
      <c r="L4729" s="47">
        <f t="shared" si="1056"/>
        <v>1210</v>
      </c>
      <c r="M4729" s="47" t="s">
        <v>6179</v>
      </c>
      <c r="N4729" s="47" t="s">
        <v>1846</v>
      </c>
      <c r="O4729" s="47" t="s">
        <v>6854</v>
      </c>
      <c r="P4729" s="47"/>
      <c r="Q4729" s="47"/>
      <c r="R4729" s="47"/>
      <c r="S4729" s="47"/>
      <c r="T4729" s="47"/>
      <c r="U4729" s="47">
        <f t="shared" si="1054"/>
        <v>430</v>
      </c>
      <c r="V4729" s="47" t="s">
        <v>6855</v>
      </c>
      <c r="W4729" s="47" t="s">
        <v>536</v>
      </c>
      <c r="X4729" s="47"/>
      <c r="Y4729" s="47"/>
      <c r="Z4729" s="47">
        <f t="shared" si="1058"/>
        <v>4620</v>
      </c>
      <c r="AA4729" s="47"/>
      <c r="AB4729" s="47"/>
      <c r="AC4729" s="47"/>
      <c r="AD4729" s="47"/>
      <c r="AE4729" s="47"/>
      <c r="AF4729" s="47">
        <f t="shared" si="1055"/>
        <v>1485</v>
      </c>
      <c r="AG4729" s="47"/>
      <c r="AH4729" s="47" t="str">
        <f>IFERROR(_xlfn.XLOOKUP(Table6[[#This Row],[Suburb]],Table5[Travel Surcharge],Table5[$$]),"")</f>
        <v/>
      </c>
      <c r="AI4729" s="47"/>
      <c r="AJ4729" s="47"/>
    </row>
    <row r="4730" spans="1:36">
      <c r="A4730" s="157" t="s">
        <v>6850</v>
      </c>
      <c r="B4730" s="157">
        <v>11</v>
      </c>
      <c r="C4730" s="157" t="s">
        <v>8436</v>
      </c>
      <c r="D4730" s="157" t="str">
        <f t="shared" si="1057"/>
        <v>Willow Estate - Gisborne11</v>
      </c>
      <c r="E4730" s="157" t="s">
        <v>8437</v>
      </c>
      <c r="F4730" s="157"/>
      <c r="G4730" s="157" t="s">
        <v>6802</v>
      </c>
      <c r="H4730" s="157" t="s">
        <v>6852</v>
      </c>
      <c r="I4730" s="158" t="s">
        <v>6853</v>
      </c>
      <c r="J4730" s="47"/>
      <c r="K4730" s="46" t="s">
        <v>10735</v>
      </c>
      <c r="L4730" s="47">
        <f t="shared" si="1056"/>
        <v>1210</v>
      </c>
      <c r="M4730" s="47" t="s">
        <v>6179</v>
      </c>
      <c r="N4730" s="47" t="s">
        <v>1846</v>
      </c>
      <c r="O4730" s="47" t="s">
        <v>6854</v>
      </c>
      <c r="P4730" s="47"/>
      <c r="Q4730" s="47"/>
      <c r="R4730" s="47"/>
      <c r="S4730" s="47"/>
      <c r="T4730" s="47"/>
      <c r="U4730" s="47">
        <f t="shared" si="1054"/>
        <v>430</v>
      </c>
      <c r="V4730" s="47" t="s">
        <v>6855</v>
      </c>
      <c r="W4730" s="47" t="s">
        <v>536</v>
      </c>
      <c r="X4730" s="47"/>
      <c r="Y4730" s="47"/>
      <c r="Z4730" s="47">
        <f t="shared" si="1058"/>
        <v>4620</v>
      </c>
      <c r="AA4730" s="47"/>
      <c r="AB4730" s="47"/>
      <c r="AC4730" s="47"/>
      <c r="AD4730" s="47"/>
      <c r="AE4730" s="47"/>
      <c r="AF4730" s="47">
        <f t="shared" si="1055"/>
        <v>1485</v>
      </c>
      <c r="AG4730" s="47"/>
      <c r="AH4730" s="47" t="str">
        <f>IFERROR(_xlfn.XLOOKUP(Table6[[#This Row],[Suburb]],Table5[Travel Surcharge],Table5[$$]),"")</f>
        <v/>
      </c>
      <c r="AI4730" s="47"/>
      <c r="AJ4730" s="47"/>
    </row>
    <row r="4731" spans="1:36">
      <c r="A4731" s="157" t="s">
        <v>6850</v>
      </c>
      <c r="B4731" s="157">
        <v>13</v>
      </c>
      <c r="C4731" s="157" t="s">
        <v>8436</v>
      </c>
      <c r="D4731" s="157" t="s">
        <v>8722</v>
      </c>
      <c r="E4731" s="157" t="s">
        <v>8723</v>
      </c>
      <c r="F4731" s="157"/>
      <c r="G4731" s="157" t="s">
        <v>6802</v>
      </c>
      <c r="H4731" s="157" t="s">
        <v>6852</v>
      </c>
      <c r="I4731" s="158" t="s">
        <v>6853</v>
      </c>
      <c r="J4731" s="47"/>
      <c r="K4731" s="46" t="s">
        <v>10735</v>
      </c>
      <c r="L4731" s="47">
        <v>1210</v>
      </c>
      <c r="M4731" s="47" t="s">
        <v>6179</v>
      </c>
      <c r="N4731" s="47" t="s">
        <v>1846</v>
      </c>
      <c r="O4731" s="47" t="s">
        <v>6854</v>
      </c>
      <c r="P4731" s="47"/>
      <c r="Q4731" s="47"/>
      <c r="R4731" s="47"/>
      <c r="S4731" s="47"/>
      <c r="T4731" s="47"/>
      <c r="U4731" s="47">
        <v>540</v>
      </c>
      <c r="V4731" s="47" t="s">
        <v>6855</v>
      </c>
      <c r="W4731" s="47" t="s">
        <v>536</v>
      </c>
      <c r="X4731" s="47"/>
      <c r="Y4731" s="47"/>
      <c r="Z4731" s="47">
        <v>4620</v>
      </c>
      <c r="AA4731" s="47"/>
      <c r="AB4731" s="47"/>
      <c r="AC4731" s="47"/>
      <c r="AD4731" s="47"/>
      <c r="AE4731" s="47"/>
      <c r="AF4731" s="47">
        <v>1650.0000000000002</v>
      </c>
      <c r="AG4731" s="47"/>
      <c r="AH4731" s="47" t="str">
        <f>IFERROR(_xlfn.XLOOKUP(Table6[[#This Row],[Suburb]],Table5[Travel Surcharge],Table5[$$]),"")</f>
        <v/>
      </c>
      <c r="AI4731" s="47"/>
      <c r="AJ4731" s="47"/>
    </row>
    <row r="4732" spans="1:36">
      <c r="A4732" s="374" t="s">
        <v>6850</v>
      </c>
      <c r="B4732" s="374">
        <v>14</v>
      </c>
      <c r="C4732" s="374" t="s">
        <v>8436</v>
      </c>
      <c r="D4732" s="375" t="str">
        <f t="shared" ref="D4732:D4762" si="1059">CONCATENATE(A4732,B4732)</f>
        <v>Willow Estate - Gisborne14</v>
      </c>
      <c r="E4732" s="375" t="s">
        <v>6860</v>
      </c>
      <c r="F4732" s="375"/>
      <c r="G4732" s="375" t="s">
        <v>6802</v>
      </c>
      <c r="H4732" s="375" t="s">
        <v>6852</v>
      </c>
      <c r="I4732" s="63" t="s">
        <v>6853</v>
      </c>
      <c r="J4732" s="47"/>
      <c r="K4732" s="46" t="s">
        <v>10735</v>
      </c>
      <c r="L4732" s="47">
        <f>L$7</f>
        <v>1210</v>
      </c>
      <c r="M4732" s="47" t="s">
        <v>6179</v>
      </c>
      <c r="N4732" s="47" t="s">
        <v>1846</v>
      </c>
      <c r="O4732" s="47" t="s">
        <v>6854</v>
      </c>
      <c r="P4732" s="47"/>
      <c r="Q4732" s="47"/>
      <c r="R4732" s="47"/>
      <c r="S4732" s="47"/>
      <c r="T4732" s="47"/>
      <c r="U4732" s="47">
        <f>U$2</f>
        <v>430</v>
      </c>
      <c r="V4732" s="47" t="s">
        <v>6855</v>
      </c>
      <c r="W4732" s="47" t="s">
        <v>536</v>
      </c>
      <c r="X4732" s="47"/>
      <c r="Y4732" s="47"/>
      <c r="Z4732" s="47">
        <f t="shared" ref="Z4732:Z4762" si="1060">Z$7</f>
        <v>4620</v>
      </c>
      <c r="AA4732" s="47"/>
      <c r="AB4732" s="47"/>
      <c r="AC4732" s="47"/>
      <c r="AD4732" s="47"/>
      <c r="AE4732" s="47"/>
      <c r="AF4732" s="47">
        <f t="shared" ref="AF4732:AF4762" si="1061">AF$7</f>
        <v>1485</v>
      </c>
      <c r="AG4732" s="47"/>
      <c r="AH4732" s="47" t="str">
        <f>IFERROR(_xlfn.XLOOKUP(Table6[[#This Row],[Suburb]],Table5[Travel Surcharge],Table5[$$]),"")</f>
        <v/>
      </c>
      <c r="AI4732" s="47"/>
      <c r="AJ4732" s="47"/>
    </row>
    <row r="4733" spans="1:36">
      <c r="A4733" s="374" t="s">
        <v>6861</v>
      </c>
      <c r="B4733" s="374">
        <v>1</v>
      </c>
      <c r="C4733" s="374" t="s">
        <v>6862</v>
      </c>
      <c r="D4733" s="375" t="str">
        <f t="shared" si="1059"/>
        <v>Willow Estate - Mt Duneed1</v>
      </c>
      <c r="E4733" s="375" t="s">
        <v>6863</v>
      </c>
      <c r="F4733" s="375"/>
      <c r="G4733" s="375" t="s">
        <v>6864</v>
      </c>
      <c r="H4733" s="375" t="s">
        <v>6865</v>
      </c>
      <c r="I4733" s="63" t="s">
        <v>6866</v>
      </c>
      <c r="J4733" s="47">
        <f t="shared" ref="J4733:J4762" si="1062">J$7</f>
        <v>3740</v>
      </c>
      <c r="K4733" s="46" t="s">
        <v>10735</v>
      </c>
      <c r="L4733" s="47" t="s">
        <v>504</v>
      </c>
      <c r="M4733" s="47">
        <f>M$7</f>
        <v>1430.0000000000002</v>
      </c>
      <c r="N4733" s="47" t="s">
        <v>6867</v>
      </c>
      <c r="O4733" s="47"/>
      <c r="P4733" s="47" t="s">
        <v>6868</v>
      </c>
      <c r="Q4733" s="47"/>
      <c r="R4733" s="47"/>
      <c r="S4733" s="47"/>
      <c r="T4733" s="47"/>
      <c r="U4733" s="47">
        <f>U$2</f>
        <v>430</v>
      </c>
      <c r="V4733" s="47"/>
      <c r="W4733" s="47"/>
      <c r="X4733" s="47">
        <f>X$7</f>
        <v>3000</v>
      </c>
      <c r="Y4733" s="47"/>
      <c r="Z4733" s="47">
        <f t="shared" si="1060"/>
        <v>4620</v>
      </c>
      <c r="AA4733" s="47"/>
      <c r="AB4733" s="47"/>
      <c r="AC4733" s="47"/>
      <c r="AD4733" s="47"/>
      <c r="AE4733" s="47"/>
      <c r="AF4733" s="47">
        <f t="shared" si="1061"/>
        <v>1485</v>
      </c>
      <c r="AG4733" s="47"/>
      <c r="AH4733" s="47" t="str">
        <f>IFERROR(_xlfn.XLOOKUP(Table6[[#This Row],[Suburb]],Table5[Travel Surcharge],Table5[$$]),"")</f>
        <v/>
      </c>
      <c r="AI4733" s="47"/>
      <c r="AJ4733" s="47"/>
    </row>
    <row r="4734" spans="1:36">
      <c r="A4734" s="374" t="s">
        <v>6861</v>
      </c>
      <c r="B4734" s="374">
        <v>2</v>
      </c>
      <c r="C4734" s="374" t="s">
        <v>6862</v>
      </c>
      <c r="D4734" s="375" t="str">
        <f t="shared" si="1059"/>
        <v>Willow Estate - Mt Duneed2</v>
      </c>
      <c r="E4734" s="375" t="s">
        <v>6869</v>
      </c>
      <c r="F4734" s="375"/>
      <c r="G4734" s="375" t="s">
        <v>6864</v>
      </c>
      <c r="H4734" s="375" t="s">
        <v>6865</v>
      </c>
      <c r="I4734" s="63" t="s">
        <v>6866</v>
      </c>
      <c r="J4734" s="47">
        <f t="shared" si="1062"/>
        <v>3740</v>
      </c>
      <c r="K4734" s="46" t="s">
        <v>10735</v>
      </c>
      <c r="L4734" s="47" t="s">
        <v>504</v>
      </c>
      <c r="M4734" s="47">
        <f>M$7</f>
        <v>1430.0000000000002</v>
      </c>
      <c r="N4734" s="47" t="s">
        <v>6867</v>
      </c>
      <c r="O4734" s="47"/>
      <c r="P4734" s="47" t="s">
        <v>6868</v>
      </c>
      <c r="Q4734" s="47"/>
      <c r="R4734" s="47"/>
      <c r="S4734" s="47"/>
      <c r="T4734" s="47"/>
      <c r="U4734" s="47">
        <f>U$2</f>
        <v>430</v>
      </c>
      <c r="V4734" s="47"/>
      <c r="W4734" s="47"/>
      <c r="X4734" s="47">
        <f>X$7</f>
        <v>3000</v>
      </c>
      <c r="Y4734" s="47"/>
      <c r="Z4734" s="47">
        <f t="shared" si="1060"/>
        <v>4620</v>
      </c>
      <c r="AA4734" s="47"/>
      <c r="AB4734" s="47"/>
      <c r="AC4734" s="47"/>
      <c r="AD4734" s="47"/>
      <c r="AE4734" s="47"/>
      <c r="AF4734" s="47">
        <f t="shared" si="1061"/>
        <v>1485</v>
      </c>
      <c r="AG4734" s="47"/>
      <c r="AH4734" s="47" t="str">
        <f>IFERROR(_xlfn.XLOOKUP(Table6[[#This Row],[Suburb]],Table5[Travel Surcharge],Table5[$$]),"")</f>
        <v/>
      </c>
      <c r="AI4734" s="47"/>
      <c r="AJ4734" s="47"/>
    </row>
    <row r="4735" spans="1:36">
      <c r="A4735" s="374" t="s">
        <v>6870</v>
      </c>
      <c r="B4735" s="374">
        <v>1</v>
      </c>
      <c r="C4735" s="374" t="s">
        <v>468</v>
      </c>
      <c r="D4735" s="375" t="str">
        <f t="shared" si="1059"/>
        <v>Willow Springs1</v>
      </c>
      <c r="E4735" s="375" t="s">
        <v>6871</v>
      </c>
      <c r="F4735" s="375"/>
      <c r="G4735" s="375" t="s">
        <v>6872</v>
      </c>
      <c r="H4735" s="375" t="s">
        <v>6873</v>
      </c>
      <c r="I4735" s="63" t="s">
        <v>6874</v>
      </c>
      <c r="J4735" s="47">
        <f t="shared" si="1062"/>
        <v>3740</v>
      </c>
      <c r="K4735" s="46" t="s">
        <v>10735</v>
      </c>
      <c r="L4735" s="47">
        <f t="shared" ref="L4735:L4762" si="1063">L$7</f>
        <v>1210</v>
      </c>
      <c r="M4735" s="47"/>
      <c r="N4735" s="47" t="s">
        <v>6875</v>
      </c>
      <c r="O4735" s="47" t="s">
        <v>1593</v>
      </c>
      <c r="P4735" s="47" t="s">
        <v>6876</v>
      </c>
      <c r="Q4735" s="47"/>
      <c r="R4735" s="47"/>
      <c r="S4735" s="47" t="s">
        <v>637</v>
      </c>
      <c r="T4735" s="47" t="s">
        <v>6877</v>
      </c>
      <c r="U4735" s="47"/>
      <c r="V4735" s="47"/>
      <c r="W4735" s="47"/>
      <c r="X4735" s="47"/>
      <c r="Y4735" s="47"/>
      <c r="Z4735" s="47">
        <f t="shared" si="1060"/>
        <v>4620</v>
      </c>
      <c r="AA4735" s="47"/>
      <c r="AB4735" s="47"/>
      <c r="AC4735" s="47"/>
      <c r="AD4735" s="47"/>
      <c r="AE4735" s="47"/>
      <c r="AF4735" s="47">
        <f t="shared" si="1061"/>
        <v>1485</v>
      </c>
      <c r="AG4735" s="47"/>
      <c r="AH4735" s="47" t="str">
        <f>IFERROR(_xlfn.XLOOKUP(Table6[[#This Row],[Suburb]],Table5[Travel Surcharge],Table5[$$]),"")</f>
        <v/>
      </c>
      <c r="AI4735" s="47"/>
      <c r="AJ4735" s="47"/>
    </row>
    <row r="4736" spans="1:36">
      <c r="A4736" s="374" t="s">
        <v>6870</v>
      </c>
      <c r="B4736" s="374">
        <v>2</v>
      </c>
      <c r="C4736" s="374" t="s">
        <v>468</v>
      </c>
      <c r="D4736" s="375" t="str">
        <f t="shared" si="1059"/>
        <v>Willow Springs2</v>
      </c>
      <c r="E4736" s="375" t="s">
        <v>6878</v>
      </c>
      <c r="F4736" s="375"/>
      <c r="G4736" s="375" t="s">
        <v>6872</v>
      </c>
      <c r="H4736" s="375" t="s">
        <v>6873</v>
      </c>
      <c r="I4736" s="63" t="s">
        <v>6874</v>
      </c>
      <c r="J4736" s="47">
        <f t="shared" si="1062"/>
        <v>3740</v>
      </c>
      <c r="K4736" s="46" t="s">
        <v>10735</v>
      </c>
      <c r="L4736" s="47">
        <f t="shared" si="1063"/>
        <v>1210</v>
      </c>
      <c r="M4736" s="47"/>
      <c r="N4736" s="47" t="s">
        <v>6875</v>
      </c>
      <c r="O4736" s="47" t="s">
        <v>1593</v>
      </c>
      <c r="P4736" s="47" t="s">
        <v>6876</v>
      </c>
      <c r="Q4736" s="47"/>
      <c r="R4736" s="47"/>
      <c r="S4736" s="47" t="s">
        <v>637</v>
      </c>
      <c r="T4736" s="47" t="s">
        <v>6877</v>
      </c>
      <c r="U4736" s="47"/>
      <c r="V4736" s="47"/>
      <c r="W4736" s="47"/>
      <c r="X4736" s="47"/>
      <c r="Y4736" s="47"/>
      <c r="Z4736" s="47">
        <f t="shared" si="1060"/>
        <v>4620</v>
      </c>
      <c r="AA4736" s="47"/>
      <c r="AB4736" s="47"/>
      <c r="AC4736" s="47"/>
      <c r="AD4736" s="47"/>
      <c r="AE4736" s="47"/>
      <c r="AF4736" s="47">
        <f t="shared" si="1061"/>
        <v>1485</v>
      </c>
      <c r="AG4736" s="47"/>
      <c r="AH4736" s="47" t="str">
        <f>IFERROR(_xlfn.XLOOKUP(Table6[[#This Row],[Suburb]],Table5[Travel Surcharge],Table5[$$]),"")</f>
        <v/>
      </c>
      <c r="AI4736" s="47"/>
      <c r="AJ4736" s="47"/>
    </row>
    <row r="4737" spans="1:36">
      <c r="A4737" s="374" t="s">
        <v>6870</v>
      </c>
      <c r="B4737" s="374">
        <v>3</v>
      </c>
      <c r="C4737" s="374" t="s">
        <v>7445</v>
      </c>
      <c r="D4737" s="375" t="str">
        <f t="shared" si="1059"/>
        <v>Willow Springs3</v>
      </c>
      <c r="E4737" s="375" t="s">
        <v>8536</v>
      </c>
      <c r="F4737" s="375"/>
      <c r="G4737" s="375" t="s">
        <v>6872</v>
      </c>
      <c r="H4737" s="375" t="s">
        <v>8534</v>
      </c>
      <c r="I4737" s="63" t="s">
        <v>6874</v>
      </c>
      <c r="J4737" s="47">
        <f t="shared" si="1062"/>
        <v>3740</v>
      </c>
      <c r="K4737" s="46" t="s">
        <v>10735</v>
      </c>
      <c r="L4737" s="47">
        <f t="shared" si="1063"/>
        <v>1210</v>
      </c>
      <c r="M4737" s="47"/>
      <c r="N4737" s="47" t="s">
        <v>6875</v>
      </c>
      <c r="O4737" s="47" t="s">
        <v>8535</v>
      </c>
      <c r="P4737" s="47" t="s">
        <v>6876</v>
      </c>
      <c r="Q4737" s="47"/>
      <c r="R4737" s="47"/>
      <c r="S4737" s="47" t="s">
        <v>637</v>
      </c>
      <c r="T4737" s="47" t="s">
        <v>6877</v>
      </c>
      <c r="U4737" s="47"/>
      <c r="V4737" s="47"/>
      <c r="W4737" s="47"/>
      <c r="X4737" s="47"/>
      <c r="Y4737" s="47"/>
      <c r="Z4737" s="47">
        <f t="shared" si="1060"/>
        <v>4620</v>
      </c>
      <c r="AA4737" s="47"/>
      <c r="AB4737" s="47"/>
      <c r="AC4737" s="47"/>
      <c r="AD4737" s="47"/>
      <c r="AE4737" s="47"/>
      <c r="AF4737" s="47">
        <f t="shared" si="1061"/>
        <v>1485</v>
      </c>
      <c r="AG4737" s="47"/>
      <c r="AH4737" s="47" t="str">
        <f>IFERROR(_xlfn.XLOOKUP(Table6[[#This Row],[Suburb]],Table5[Travel Surcharge],Table5[$$]),"")</f>
        <v/>
      </c>
      <c r="AI4737" s="47"/>
      <c r="AJ4737" s="47"/>
    </row>
    <row r="4738" spans="1:36">
      <c r="A4738" s="374" t="s">
        <v>6870</v>
      </c>
      <c r="B4738" s="374">
        <v>4</v>
      </c>
      <c r="C4738" s="374" t="s">
        <v>468</v>
      </c>
      <c r="D4738" s="375" t="str">
        <f t="shared" si="1059"/>
        <v>Willow Springs4</v>
      </c>
      <c r="E4738" s="375" t="s">
        <v>6879</v>
      </c>
      <c r="F4738" s="375"/>
      <c r="G4738" s="375" t="s">
        <v>6872</v>
      </c>
      <c r="H4738" s="375" t="s">
        <v>6873</v>
      </c>
      <c r="I4738" s="63" t="s">
        <v>6874</v>
      </c>
      <c r="J4738" s="47">
        <f t="shared" si="1062"/>
        <v>3740</v>
      </c>
      <c r="K4738" s="46" t="s">
        <v>10735</v>
      </c>
      <c r="L4738" s="47">
        <f t="shared" si="1063"/>
        <v>1210</v>
      </c>
      <c r="M4738" s="47"/>
      <c r="N4738" s="47" t="s">
        <v>6875</v>
      </c>
      <c r="O4738" s="47" t="s">
        <v>1593</v>
      </c>
      <c r="P4738" s="47" t="s">
        <v>6876</v>
      </c>
      <c r="Q4738" s="47"/>
      <c r="R4738" s="47"/>
      <c r="S4738" s="47" t="s">
        <v>637</v>
      </c>
      <c r="T4738" s="47" t="s">
        <v>6877</v>
      </c>
      <c r="U4738" s="47"/>
      <c r="V4738" s="47"/>
      <c r="W4738" s="47"/>
      <c r="X4738" s="47"/>
      <c r="Y4738" s="47"/>
      <c r="Z4738" s="47">
        <f t="shared" si="1060"/>
        <v>4620</v>
      </c>
      <c r="AA4738" s="47"/>
      <c r="AB4738" s="47"/>
      <c r="AC4738" s="47"/>
      <c r="AD4738" s="47"/>
      <c r="AE4738" s="47"/>
      <c r="AF4738" s="47">
        <f t="shared" si="1061"/>
        <v>1485</v>
      </c>
      <c r="AG4738" s="47"/>
      <c r="AH4738" s="47" t="str">
        <f>IFERROR(_xlfn.XLOOKUP(Table6[[#This Row],[Suburb]],Table5[Travel Surcharge],Table5[$$]),"")</f>
        <v/>
      </c>
      <c r="AI4738" s="47"/>
      <c r="AJ4738" s="47"/>
    </row>
    <row r="4739" spans="1:36">
      <c r="A4739" s="374" t="s">
        <v>10810</v>
      </c>
      <c r="B4739" s="374">
        <v>6</v>
      </c>
      <c r="C4739" s="374" t="s">
        <v>728</v>
      </c>
      <c r="D4739" s="375" t="str">
        <f>CONCATENATE(A4739,B4739)</f>
        <v>Willowstone6</v>
      </c>
      <c r="E4739" s="375" t="s">
        <v>10807</v>
      </c>
      <c r="F4739" s="375"/>
      <c r="G4739" s="375"/>
      <c r="H4739" s="375"/>
      <c r="I4739" s="63"/>
      <c r="J4739" s="47">
        <v>3740</v>
      </c>
      <c r="K4739" s="46" t="s">
        <v>10735</v>
      </c>
      <c r="L4739" s="47" t="s">
        <v>10811</v>
      </c>
      <c r="M4739" s="47">
        <v>1430</v>
      </c>
      <c r="N4739" s="47" t="s">
        <v>10813</v>
      </c>
      <c r="O4739" s="47"/>
      <c r="P4739" s="47"/>
      <c r="Q4739" s="47"/>
      <c r="R4739" s="47"/>
      <c r="S4739" s="47" t="s">
        <v>463</v>
      </c>
      <c r="T4739" s="47"/>
      <c r="U4739" s="47"/>
      <c r="V4739" s="47"/>
      <c r="W4739" s="47"/>
      <c r="X4739" s="47"/>
      <c r="Y4739" s="47"/>
      <c r="Z4739" s="47">
        <f>Z$7</f>
        <v>4620</v>
      </c>
      <c r="AA4739" s="47"/>
      <c r="AB4739" s="47"/>
      <c r="AC4739" s="47"/>
      <c r="AD4739" s="47"/>
      <c r="AE4739" s="47"/>
      <c r="AF4739" s="47"/>
      <c r="AG4739" s="47"/>
      <c r="AH4739" s="47"/>
      <c r="AI4739" s="47"/>
      <c r="AJ4739" s="47"/>
    </row>
    <row r="4740" spans="1:36">
      <c r="A4740" s="374" t="s">
        <v>6880</v>
      </c>
      <c r="B4740" s="374">
        <v>1</v>
      </c>
      <c r="C4740" s="374" t="s">
        <v>6881</v>
      </c>
      <c r="D4740" s="375" t="str">
        <f t="shared" si="1059"/>
        <v>Windermere Estate1</v>
      </c>
      <c r="E4740" s="375" t="s">
        <v>6882</v>
      </c>
      <c r="F4740" s="375" t="s">
        <v>6883</v>
      </c>
      <c r="G4740" s="375" t="s">
        <v>6884</v>
      </c>
      <c r="H4740" s="375" t="s">
        <v>6885</v>
      </c>
      <c r="I4740" s="63" t="s">
        <v>6886</v>
      </c>
      <c r="J4740" s="47">
        <f t="shared" si="1062"/>
        <v>3740</v>
      </c>
      <c r="K4740" s="46" t="s">
        <v>315</v>
      </c>
      <c r="L4740" s="47" t="s">
        <v>10812</v>
      </c>
      <c r="M4740" s="47"/>
      <c r="N4740" s="47"/>
      <c r="O4740" s="47"/>
      <c r="P4740" s="47"/>
      <c r="Q4740" s="47"/>
      <c r="R4740" s="47">
        <f t="shared" ref="R4740:R4762" si="1064">R$2</f>
        <v>540</v>
      </c>
      <c r="S4740" s="47"/>
      <c r="T4740" s="47" t="s">
        <v>641</v>
      </c>
      <c r="U4740" s="47"/>
      <c r="V4740" s="47"/>
      <c r="W4740" s="47"/>
      <c r="X4740" s="47">
        <f t="shared" ref="X4740:X4762" si="1065">X$7</f>
        <v>3000</v>
      </c>
      <c r="Y4740" s="47"/>
      <c r="Z4740" s="47">
        <f t="shared" si="1060"/>
        <v>4620</v>
      </c>
      <c r="AA4740" s="47"/>
      <c r="AB4740" s="47"/>
      <c r="AC4740" s="47"/>
      <c r="AD4740" s="47"/>
      <c r="AE4740" s="47"/>
      <c r="AF4740" s="47">
        <f t="shared" si="1061"/>
        <v>1485</v>
      </c>
      <c r="AG4740" s="47"/>
      <c r="AH4740" s="47" t="str">
        <f>IFERROR(_xlfn.XLOOKUP(Table6[[#This Row],[Suburb]],Table5[Travel Surcharge],Table5[$$]),"")</f>
        <v/>
      </c>
      <c r="AI4740" s="47">
        <v>1650.0000000000002</v>
      </c>
      <c r="AJ4740" s="47"/>
    </row>
    <row r="4741" spans="1:36">
      <c r="A4741" s="374" t="s">
        <v>6880</v>
      </c>
      <c r="B4741" s="374">
        <v>2</v>
      </c>
      <c r="C4741" s="374" t="s">
        <v>6881</v>
      </c>
      <c r="D4741" s="375" t="str">
        <f t="shared" si="1059"/>
        <v>Windermere Estate2</v>
      </c>
      <c r="E4741" s="375" t="s">
        <v>6887</v>
      </c>
      <c r="F4741" s="375" t="s">
        <v>6883</v>
      </c>
      <c r="G4741" s="375" t="s">
        <v>6884</v>
      </c>
      <c r="H4741" s="375" t="s">
        <v>6885</v>
      </c>
      <c r="I4741" s="63" t="s">
        <v>6886</v>
      </c>
      <c r="J4741" s="47">
        <f t="shared" si="1062"/>
        <v>3740</v>
      </c>
      <c r="K4741" s="46" t="s">
        <v>315</v>
      </c>
      <c r="L4741" s="47">
        <f t="shared" si="1063"/>
        <v>1210</v>
      </c>
      <c r="M4741" s="47"/>
      <c r="N4741" s="47"/>
      <c r="O4741" s="47"/>
      <c r="P4741" s="47"/>
      <c r="Q4741" s="47"/>
      <c r="R4741" s="47">
        <f t="shared" si="1064"/>
        <v>540</v>
      </c>
      <c r="S4741" s="47"/>
      <c r="T4741" s="47" t="s">
        <v>641</v>
      </c>
      <c r="U4741" s="47"/>
      <c r="V4741" s="47"/>
      <c r="W4741" s="47"/>
      <c r="X4741" s="47">
        <f t="shared" si="1065"/>
        <v>3000</v>
      </c>
      <c r="Y4741" s="47"/>
      <c r="Z4741" s="47">
        <f t="shared" si="1060"/>
        <v>4620</v>
      </c>
      <c r="AA4741" s="47"/>
      <c r="AB4741" s="47"/>
      <c r="AC4741" s="47"/>
      <c r="AD4741" s="47"/>
      <c r="AE4741" s="47"/>
      <c r="AF4741" s="47">
        <f t="shared" si="1061"/>
        <v>1485</v>
      </c>
      <c r="AG4741" s="47"/>
      <c r="AH4741" s="47" t="str">
        <f>IFERROR(_xlfn.XLOOKUP(Table6[[#This Row],[Suburb]],Table5[Travel Surcharge],Table5[$$]),"")</f>
        <v/>
      </c>
      <c r="AI4741" s="47">
        <v>1650.0000000000002</v>
      </c>
      <c r="AJ4741" s="47"/>
    </row>
    <row r="4742" spans="1:36">
      <c r="A4742" s="374" t="s">
        <v>6880</v>
      </c>
      <c r="B4742" s="374">
        <v>3</v>
      </c>
      <c r="C4742" s="374" t="s">
        <v>6881</v>
      </c>
      <c r="D4742" s="375" t="str">
        <f t="shared" si="1059"/>
        <v>Windermere Estate3</v>
      </c>
      <c r="E4742" s="375" t="s">
        <v>6888</v>
      </c>
      <c r="F4742" s="375" t="s">
        <v>6883</v>
      </c>
      <c r="G4742" s="375" t="s">
        <v>6884</v>
      </c>
      <c r="H4742" s="375" t="s">
        <v>6885</v>
      </c>
      <c r="I4742" s="63" t="s">
        <v>6886</v>
      </c>
      <c r="J4742" s="47">
        <f t="shared" si="1062"/>
        <v>3740</v>
      </c>
      <c r="K4742" s="46" t="s">
        <v>315</v>
      </c>
      <c r="L4742" s="47">
        <f t="shared" si="1063"/>
        <v>1210</v>
      </c>
      <c r="M4742" s="47"/>
      <c r="N4742" s="47"/>
      <c r="O4742" s="47"/>
      <c r="P4742" s="47"/>
      <c r="Q4742" s="47"/>
      <c r="R4742" s="47">
        <f t="shared" si="1064"/>
        <v>540</v>
      </c>
      <c r="S4742" s="47"/>
      <c r="T4742" s="47" t="s">
        <v>641</v>
      </c>
      <c r="U4742" s="47"/>
      <c r="V4742" s="47"/>
      <c r="W4742" s="47"/>
      <c r="X4742" s="47">
        <f t="shared" si="1065"/>
        <v>3000</v>
      </c>
      <c r="Y4742" s="47"/>
      <c r="Z4742" s="47">
        <f t="shared" si="1060"/>
        <v>4620</v>
      </c>
      <c r="AA4742" s="47"/>
      <c r="AB4742" s="47"/>
      <c r="AC4742" s="47"/>
      <c r="AD4742" s="47"/>
      <c r="AE4742" s="47"/>
      <c r="AF4742" s="47">
        <f t="shared" si="1061"/>
        <v>1485</v>
      </c>
      <c r="AG4742" s="47"/>
      <c r="AH4742" s="47" t="str">
        <f>IFERROR(_xlfn.XLOOKUP(Table6[[#This Row],[Suburb]],Table5[Travel Surcharge],Table5[$$]),"")</f>
        <v/>
      </c>
      <c r="AI4742" s="47">
        <v>1650.0000000000002</v>
      </c>
      <c r="AJ4742" s="47"/>
    </row>
    <row r="4743" spans="1:36">
      <c r="A4743" s="374" t="s">
        <v>6880</v>
      </c>
      <c r="B4743" s="374">
        <v>4</v>
      </c>
      <c r="C4743" s="374" t="s">
        <v>6881</v>
      </c>
      <c r="D4743" s="375" t="str">
        <f t="shared" si="1059"/>
        <v>Windermere Estate4</v>
      </c>
      <c r="E4743" s="375" t="s">
        <v>6887</v>
      </c>
      <c r="F4743" s="375" t="s">
        <v>6883</v>
      </c>
      <c r="G4743" s="375" t="s">
        <v>6884</v>
      </c>
      <c r="H4743" s="375" t="s">
        <v>6885</v>
      </c>
      <c r="I4743" s="63" t="s">
        <v>6886</v>
      </c>
      <c r="J4743" s="47">
        <f t="shared" si="1062"/>
        <v>3740</v>
      </c>
      <c r="K4743" s="46" t="s">
        <v>315</v>
      </c>
      <c r="L4743" s="47">
        <f t="shared" si="1063"/>
        <v>1210</v>
      </c>
      <c r="M4743" s="47"/>
      <c r="N4743" s="47"/>
      <c r="O4743" s="47"/>
      <c r="P4743" s="47"/>
      <c r="Q4743" s="47"/>
      <c r="R4743" s="47">
        <f t="shared" si="1064"/>
        <v>540</v>
      </c>
      <c r="S4743" s="47"/>
      <c r="T4743" s="47" t="s">
        <v>641</v>
      </c>
      <c r="U4743" s="47"/>
      <c r="V4743" s="47"/>
      <c r="W4743" s="47"/>
      <c r="X4743" s="47">
        <f t="shared" si="1065"/>
        <v>3000</v>
      </c>
      <c r="Y4743" s="47"/>
      <c r="Z4743" s="47">
        <f t="shared" si="1060"/>
        <v>4620</v>
      </c>
      <c r="AA4743" s="47"/>
      <c r="AB4743" s="47"/>
      <c r="AC4743" s="47"/>
      <c r="AD4743" s="47"/>
      <c r="AE4743" s="47"/>
      <c r="AF4743" s="47">
        <f t="shared" si="1061"/>
        <v>1485</v>
      </c>
      <c r="AG4743" s="47"/>
      <c r="AH4743" s="47" t="str">
        <f>IFERROR(_xlfn.XLOOKUP(Table6[[#This Row],[Suburb]],Table5[Travel Surcharge],Table5[$$]),"")</f>
        <v/>
      </c>
      <c r="AI4743" s="47">
        <v>1650.0000000000002</v>
      </c>
      <c r="AJ4743" s="47"/>
    </row>
    <row r="4744" spans="1:36">
      <c r="A4744" s="374" t="s">
        <v>6880</v>
      </c>
      <c r="B4744" s="374">
        <v>5</v>
      </c>
      <c r="C4744" s="374" t="s">
        <v>6881</v>
      </c>
      <c r="D4744" s="375" t="str">
        <f t="shared" si="1059"/>
        <v>Windermere Estate5</v>
      </c>
      <c r="E4744" s="375" t="s">
        <v>6889</v>
      </c>
      <c r="F4744" s="375" t="s">
        <v>6883</v>
      </c>
      <c r="G4744" s="375" t="s">
        <v>6884</v>
      </c>
      <c r="H4744" s="375" t="s">
        <v>6885</v>
      </c>
      <c r="I4744" s="63" t="s">
        <v>6886</v>
      </c>
      <c r="J4744" s="47">
        <f t="shared" si="1062"/>
        <v>3740</v>
      </c>
      <c r="K4744" s="46" t="s">
        <v>315</v>
      </c>
      <c r="L4744" s="47">
        <f t="shared" si="1063"/>
        <v>1210</v>
      </c>
      <c r="M4744" s="47"/>
      <c r="N4744" s="47"/>
      <c r="O4744" s="47"/>
      <c r="P4744" s="47"/>
      <c r="Q4744" s="47"/>
      <c r="R4744" s="47">
        <f t="shared" si="1064"/>
        <v>540</v>
      </c>
      <c r="S4744" s="47"/>
      <c r="T4744" s="47" t="s">
        <v>641</v>
      </c>
      <c r="U4744" s="47"/>
      <c r="V4744" s="47"/>
      <c r="W4744" s="47"/>
      <c r="X4744" s="47">
        <f t="shared" si="1065"/>
        <v>3000</v>
      </c>
      <c r="Y4744" s="47"/>
      <c r="Z4744" s="47">
        <f t="shared" si="1060"/>
        <v>4620</v>
      </c>
      <c r="AA4744" s="47"/>
      <c r="AB4744" s="47"/>
      <c r="AC4744" s="47"/>
      <c r="AD4744" s="47"/>
      <c r="AE4744" s="47"/>
      <c r="AF4744" s="47">
        <f t="shared" si="1061"/>
        <v>1485</v>
      </c>
      <c r="AG4744" s="47"/>
      <c r="AH4744" s="47" t="str">
        <f>IFERROR(_xlfn.XLOOKUP(Table6[[#This Row],[Suburb]],Table5[Travel Surcharge],Table5[$$]),"")</f>
        <v/>
      </c>
      <c r="AI4744" s="47">
        <v>1650.0000000000002</v>
      </c>
      <c r="AJ4744" s="47"/>
    </row>
    <row r="4745" spans="1:36">
      <c r="A4745" s="374" t="s">
        <v>6880</v>
      </c>
      <c r="B4745" s="374">
        <v>6</v>
      </c>
      <c r="C4745" s="374" t="s">
        <v>6881</v>
      </c>
      <c r="D4745" s="375" t="str">
        <f t="shared" si="1059"/>
        <v>Windermere Estate6</v>
      </c>
      <c r="E4745" s="375" t="s">
        <v>6890</v>
      </c>
      <c r="F4745" s="375" t="s">
        <v>6883</v>
      </c>
      <c r="G4745" s="375" t="s">
        <v>6884</v>
      </c>
      <c r="H4745" s="375" t="s">
        <v>6885</v>
      </c>
      <c r="I4745" s="63" t="s">
        <v>6886</v>
      </c>
      <c r="J4745" s="47">
        <f t="shared" si="1062"/>
        <v>3740</v>
      </c>
      <c r="K4745" s="46" t="s">
        <v>315</v>
      </c>
      <c r="L4745" s="47">
        <f t="shared" si="1063"/>
        <v>1210</v>
      </c>
      <c r="M4745" s="47"/>
      <c r="N4745" s="47"/>
      <c r="O4745" s="47"/>
      <c r="P4745" s="47"/>
      <c r="Q4745" s="47"/>
      <c r="R4745" s="47">
        <f t="shared" si="1064"/>
        <v>540</v>
      </c>
      <c r="S4745" s="47"/>
      <c r="T4745" s="47" t="s">
        <v>641</v>
      </c>
      <c r="U4745" s="47"/>
      <c r="V4745" s="47"/>
      <c r="W4745" s="47"/>
      <c r="X4745" s="47">
        <f t="shared" si="1065"/>
        <v>3000</v>
      </c>
      <c r="Y4745" s="47"/>
      <c r="Z4745" s="47">
        <f t="shared" si="1060"/>
        <v>4620</v>
      </c>
      <c r="AA4745" s="47"/>
      <c r="AB4745" s="47"/>
      <c r="AC4745" s="47"/>
      <c r="AD4745" s="47"/>
      <c r="AE4745" s="47"/>
      <c r="AF4745" s="47">
        <f t="shared" si="1061"/>
        <v>1485</v>
      </c>
      <c r="AG4745" s="47"/>
      <c r="AH4745" s="47" t="str">
        <f>IFERROR(_xlfn.XLOOKUP(Table6[[#This Row],[Suburb]],Table5[Travel Surcharge],Table5[$$]),"")</f>
        <v/>
      </c>
      <c r="AI4745" s="47">
        <v>1650.0000000000002</v>
      </c>
      <c r="AJ4745" s="47"/>
    </row>
    <row r="4746" spans="1:36">
      <c r="A4746" s="374" t="s">
        <v>6880</v>
      </c>
      <c r="B4746" s="374">
        <v>7</v>
      </c>
      <c r="C4746" s="374" t="s">
        <v>6881</v>
      </c>
      <c r="D4746" s="375" t="str">
        <f t="shared" si="1059"/>
        <v>Windermere Estate7</v>
      </c>
      <c r="E4746" s="375" t="s">
        <v>6891</v>
      </c>
      <c r="F4746" s="375" t="s">
        <v>6883</v>
      </c>
      <c r="G4746" s="375" t="s">
        <v>6884</v>
      </c>
      <c r="H4746" s="375" t="s">
        <v>6885</v>
      </c>
      <c r="I4746" s="63" t="s">
        <v>6886</v>
      </c>
      <c r="J4746" s="47">
        <f t="shared" si="1062"/>
        <v>3740</v>
      </c>
      <c r="K4746" s="46" t="s">
        <v>315</v>
      </c>
      <c r="L4746" s="47">
        <f t="shared" si="1063"/>
        <v>1210</v>
      </c>
      <c r="M4746" s="47"/>
      <c r="N4746" s="47"/>
      <c r="O4746" s="47"/>
      <c r="P4746" s="47"/>
      <c r="Q4746" s="47"/>
      <c r="R4746" s="47">
        <f t="shared" si="1064"/>
        <v>540</v>
      </c>
      <c r="S4746" s="47"/>
      <c r="T4746" s="47" t="s">
        <v>641</v>
      </c>
      <c r="U4746" s="47"/>
      <c r="V4746" s="47"/>
      <c r="W4746" s="47"/>
      <c r="X4746" s="47">
        <f t="shared" si="1065"/>
        <v>3000</v>
      </c>
      <c r="Y4746" s="47"/>
      <c r="Z4746" s="47">
        <f t="shared" si="1060"/>
        <v>4620</v>
      </c>
      <c r="AA4746" s="47"/>
      <c r="AB4746" s="47"/>
      <c r="AC4746" s="47"/>
      <c r="AD4746" s="47"/>
      <c r="AE4746" s="47"/>
      <c r="AF4746" s="47">
        <f t="shared" si="1061"/>
        <v>1485</v>
      </c>
      <c r="AG4746" s="47"/>
      <c r="AH4746" s="47" t="str">
        <f>IFERROR(_xlfn.XLOOKUP(Table6[[#This Row],[Suburb]],Table5[Travel Surcharge],Table5[$$]),"")</f>
        <v/>
      </c>
      <c r="AI4746" s="47">
        <v>1650.0000000000002</v>
      </c>
      <c r="AJ4746" s="47"/>
    </row>
    <row r="4747" spans="1:36">
      <c r="A4747" s="374" t="s">
        <v>6880</v>
      </c>
      <c r="B4747" s="374">
        <v>8</v>
      </c>
      <c r="C4747" s="374" t="s">
        <v>6881</v>
      </c>
      <c r="D4747" s="375" t="str">
        <f t="shared" si="1059"/>
        <v>Windermere Estate8</v>
      </c>
      <c r="E4747" s="375" t="s">
        <v>6892</v>
      </c>
      <c r="F4747" s="375" t="s">
        <v>6883</v>
      </c>
      <c r="G4747" s="375" t="s">
        <v>6884</v>
      </c>
      <c r="H4747" s="375" t="s">
        <v>6885</v>
      </c>
      <c r="I4747" s="63" t="s">
        <v>6886</v>
      </c>
      <c r="J4747" s="47">
        <f t="shared" si="1062"/>
        <v>3740</v>
      </c>
      <c r="K4747" s="46" t="s">
        <v>315</v>
      </c>
      <c r="L4747" s="47">
        <f t="shared" si="1063"/>
        <v>1210</v>
      </c>
      <c r="M4747" s="47"/>
      <c r="N4747" s="47"/>
      <c r="O4747" s="47"/>
      <c r="P4747" s="47"/>
      <c r="Q4747" s="47"/>
      <c r="R4747" s="47">
        <f t="shared" si="1064"/>
        <v>540</v>
      </c>
      <c r="S4747" s="47"/>
      <c r="T4747" s="47" t="s">
        <v>641</v>
      </c>
      <c r="U4747" s="47"/>
      <c r="V4747" s="47"/>
      <c r="W4747" s="47"/>
      <c r="X4747" s="47">
        <f t="shared" si="1065"/>
        <v>3000</v>
      </c>
      <c r="Y4747" s="47"/>
      <c r="Z4747" s="47">
        <f t="shared" si="1060"/>
        <v>4620</v>
      </c>
      <c r="AA4747" s="47"/>
      <c r="AB4747" s="47"/>
      <c r="AC4747" s="47"/>
      <c r="AD4747" s="47"/>
      <c r="AE4747" s="47"/>
      <c r="AF4747" s="47">
        <f t="shared" si="1061"/>
        <v>1485</v>
      </c>
      <c r="AG4747" s="47"/>
      <c r="AH4747" s="47" t="str">
        <f>IFERROR(_xlfn.XLOOKUP(Table6[[#This Row],[Suburb]],Table5[Travel Surcharge],Table5[$$]),"")</f>
        <v/>
      </c>
      <c r="AI4747" s="47">
        <v>1650.0000000000002</v>
      </c>
      <c r="AJ4747" s="47"/>
    </row>
    <row r="4748" spans="1:36">
      <c r="A4748" s="374" t="s">
        <v>6880</v>
      </c>
      <c r="B4748" s="374">
        <v>9</v>
      </c>
      <c r="C4748" s="374" t="s">
        <v>6881</v>
      </c>
      <c r="D4748" s="375" t="str">
        <f t="shared" si="1059"/>
        <v>Windermere Estate9</v>
      </c>
      <c r="E4748" s="375" t="s">
        <v>6893</v>
      </c>
      <c r="F4748" s="375" t="s">
        <v>6883</v>
      </c>
      <c r="G4748" s="375" t="s">
        <v>6884</v>
      </c>
      <c r="H4748" s="375" t="s">
        <v>6885</v>
      </c>
      <c r="I4748" s="63" t="s">
        <v>6886</v>
      </c>
      <c r="J4748" s="47">
        <f t="shared" si="1062"/>
        <v>3740</v>
      </c>
      <c r="K4748" s="46" t="s">
        <v>315</v>
      </c>
      <c r="L4748" s="47">
        <f t="shared" si="1063"/>
        <v>1210</v>
      </c>
      <c r="M4748" s="47"/>
      <c r="N4748" s="47"/>
      <c r="O4748" s="47"/>
      <c r="P4748" s="47"/>
      <c r="Q4748" s="47"/>
      <c r="R4748" s="47">
        <f t="shared" si="1064"/>
        <v>540</v>
      </c>
      <c r="S4748" s="47"/>
      <c r="T4748" s="47" t="s">
        <v>641</v>
      </c>
      <c r="U4748" s="47"/>
      <c r="V4748" s="47"/>
      <c r="W4748" s="47"/>
      <c r="X4748" s="47">
        <f t="shared" si="1065"/>
        <v>3000</v>
      </c>
      <c r="Y4748" s="47"/>
      <c r="Z4748" s="47">
        <f t="shared" si="1060"/>
        <v>4620</v>
      </c>
      <c r="AA4748" s="47"/>
      <c r="AB4748" s="47"/>
      <c r="AC4748" s="47"/>
      <c r="AD4748" s="47"/>
      <c r="AE4748" s="47"/>
      <c r="AF4748" s="47">
        <f t="shared" si="1061"/>
        <v>1485</v>
      </c>
      <c r="AG4748" s="47"/>
      <c r="AH4748" s="47" t="str">
        <f>IFERROR(_xlfn.XLOOKUP(Table6[[#This Row],[Suburb]],Table5[Travel Surcharge],Table5[$$]),"")</f>
        <v/>
      </c>
      <c r="AI4748" s="47">
        <v>1650.0000000000002</v>
      </c>
      <c r="AJ4748" s="47"/>
    </row>
    <row r="4749" spans="1:36">
      <c r="A4749" s="374" t="s">
        <v>6880</v>
      </c>
      <c r="B4749" s="374">
        <v>10</v>
      </c>
      <c r="C4749" s="374" t="s">
        <v>6881</v>
      </c>
      <c r="D4749" s="375" t="str">
        <f t="shared" si="1059"/>
        <v>Windermere Estate10</v>
      </c>
      <c r="E4749" s="375" t="s">
        <v>6894</v>
      </c>
      <c r="F4749" s="375" t="s">
        <v>6883</v>
      </c>
      <c r="G4749" s="375" t="s">
        <v>6884</v>
      </c>
      <c r="H4749" s="375" t="s">
        <v>6885</v>
      </c>
      <c r="I4749" s="63" t="s">
        <v>6886</v>
      </c>
      <c r="J4749" s="47">
        <f t="shared" si="1062"/>
        <v>3740</v>
      </c>
      <c r="K4749" s="46" t="s">
        <v>315</v>
      </c>
      <c r="L4749" s="47">
        <f t="shared" si="1063"/>
        <v>1210</v>
      </c>
      <c r="M4749" s="47"/>
      <c r="N4749" s="47"/>
      <c r="O4749" s="47"/>
      <c r="P4749" s="47"/>
      <c r="Q4749" s="47"/>
      <c r="R4749" s="47">
        <f t="shared" si="1064"/>
        <v>540</v>
      </c>
      <c r="S4749" s="47"/>
      <c r="T4749" s="47" t="s">
        <v>641</v>
      </c>
      <c r="U4749" s="47"/>
      <c r="V4749" s="47"/>
      <c r="W4749" s="47"/>
      <c r="X4749" s="47">
        <f t="shared" si="1065"/>
        <v>3000</v>
      </c>
      <c r="Y4749" s="47"/>
      <c r="Z4749" s="47">
        <f t="shared" si="1060"/>
        <v>4620</v>
      </c>
      <c r="AA4749" s="47"/>
      <c r="AB4749" s="47"/>
      <c r="AC4749" s="47"/>
      <c r="AD4749" s="47"/>
      <c r="AE4749" s="47"/>
      <c r="AF4749" s="47">
        <f t="shared" si="1061"/>
        <v>1485</v>
      </c>
      <c r="AG4749" s="47"/>
      <c r="AH4749" s="47" t="str">
        <f>IFERROR(_xlfn.XLOOKUP(Table6[[#This Row],[Suburb]],Table5[Travel Surcharge],Table5[$$]),"")</f>
        <v/>
      </c>
      <c r="AI4749" s="47">
        <v>1650.0000000000002</v>
      </c>
      <c r="AJ4749" s="47"/>
    </row>
    <row r="4750" spans="1:36">
      <c r="A4750" s="374" t="s">
        <v>6880</v>
      </c>
      <c r="B4750" s="374">
        <v>11</v>
      </c>
      <c r="C4750" s="374" t="s">
        <v>6881</v>
      </c>
      <c r="D4750" s="375" t="str">
        <f t="shared" si="1059"/>
        <v>Windermere Estate11</v>
      </c>
      <c r="E4750" s="375" t="s">
        <v>6895</v>
      </c>
      <c r="F4750" s="375" t="s">
        <v>6883</v>
      </c>
      <c r="G4750" s="375" t="s">
        <v>6884</v>
      </c>
      <c r="H4750" s="375" t="s">
        <v>6885</v>
      </c>
      <c r="I4750" s="63" t="s">
        <v>6886</v>
      </c>
      <c r="J4750" s="47">
        <f t="shared" si="1062"/>
        <v>3740</v>
      </c>
      <c r="K4750" s="46" t="s">
        <v>315</v>
      </c>
      <c r="L4750" s="47">
        <f t="shared" si="1063"/>
        <v>1210</v>
      </c>
      <c r="M4750" s="47"/>
      <c r="N4750" s="47"/>
      <c r="O4750" s="47"/>
      <c r="P4750" s="47"/>
      <c r="Q4750" s="47"/>
      <c r="R4750" s="47">
        <f t="shared" si="1064"/>
        <v>540</v>
      </c>
      <c r="S4750" s="47"/>
      <c r="T4750" s="47" t="s">
        <v>641</v>
      </c>
      <c r="U4750" s="47"/>
      <c r="V4750" s="47"/>
      <c r="W4750" s="47"/>
      <c r="X4750" s="47">
        <f t="shared" si="1065"/>
        <v>3000</v>
      </c>
      <c r="Y4750" s="47"/>
      <c r="Z4750" s="47">
        <f t="shared" si="1060"/>
        <v>4620</v>
      </c>
      <c r="AA4750" s="47"/>
      <c r="AB4750" s="47"/>
      <c r="AC4750" s="47"/>
      <c r="AD4750" s="47"/>
      <c r="AE4750" s="47"/>
      <c r="AF4750" s="47">
        <f t="shared" si="1061"/>
        <v>1485</v>
      </c>
      <c r="AG4750" s="47"/>
      <c r="AH4750" s="47" t="str">
        <f>IFERROR(_xlfn.XLOOKUP(Table6[[#This Row],[Suburb]],Table5[Travel Surcharge],Table5[$$]),"")</f>
        <v/>
      </c>
      <c r="AI4750" s="47">
        <v>1650.0000000000002</v>
      </c>
      <c r="AJ4750" s="47"/>
    </row>
    <row r="4751" spans="1:36">
      <c r="A4751" s="374" t="s">
        <v>6880</v>
      </c>
      <c r="B4751" s="374">
        <v>12</v>
      </c>
      <c r="C4751" s="374" t="s">
        <v>6881</v>
      </c>
      <c r="D4751" s="375" t="str">
        <f t="shared" si="1059"/>
        <v>Windermere Estate12</v>
      </c>
      <c r="E4751" s="375" t="s">
        <v>6896</v>
      </c>
      <c r="F4751" s="375" t="s">
        <v>6883</v>
      </c>
      <c r="G4751" s="375" t="s">
        <v>6884</v>
      </c>
      <c r="H4751" s="375" t="s">
        <v>6885</v>
      </c>
      <c r="I4751" s="63" t="s">
        <v>6886</v>
      </c>
      <c r="J4751" s="47">
        <f t="shared" si="1062"/>
        <v>3740</v>
      </c>
      <c r="K4751" s="46" t="s">
        <v>315</v>
      </c>
      <c r="L4751" s="47">
        <f t="shared" si="1063"/>
        <v>1210</v>
      </c>
      <c r="M4751" s="47"/>
      <c r="N4751" s="47"/>
      <c r="O4751" s="47"/>
      <c r="P4751" s="47"/>
      <c r="Q4751" s="47"/>
      <c r="R4751" s="47">
        <f t="shared" si="1064"/>
        <v>540</v>
      </c>
      <c r="S4751" s="47"/>
      <c r="T4751" s="47" t="s">
        <v>641</v>
      </c>
      <c r="U4751" s="47"/>
      <c r="V4751" s="47"/>
      <c r="W4751" s="47"/>
      <c r="X4751" s="47">
        <f t="shared" si="1065"/>
        <v>3000</v>
      </c>
      <c r="Y4751" s="47"/>
      <c r="Z4751" s="47">
        <f t="shared" si="1060"/>
        <v>4620</v>
      </c>
      <c r="AA4751" s="47"/>
      <c r="AB4751" s="47"/>
      <c r="AC4751" s="47"/>
      <c r="AD4751" s="47"/>
      <c r="AE4751" s="47"/>
      <c r="AF4751" s="47">
        <f t="shared" si="1061"/>
        <v>1485</v>
      </c>
      <c r="AG4751" s="47"/>
      <c r="AH4751" s="47" t="str">
        <f>IFERROR(_xlfn.XLOOKUP(Table6[[#This Row],[Suburb]],Table5[Travel Surcharge],Table5[$$]),"")</f>
        <v/>
      </c>
      <c r="AI4751" s="47">
        <v>1650.0000000000002</v>
      </c>
      <c r="AJ4751" s="47"/>
    </row>
    <row r="4752" spans="1:36">
      <c r="A4752" s="374" t="s">
        <v>6880</v>
      </c>
      <c r="B4752" s="374">
        <v>15</v>
      </c>
      <c r="C4752" s="374" t="s">
        <v>6881</v>
      </c>
      <c r="D4752" s="375" t="str">
        <f t="shared" si="1059"/>
        <v>Windermere Estate15</v>
      </c>
      <c r="E4752" s="375" t="s">
        <v>6897</v>
      </c>
      <c r="F4752" s="375" t="s">
        <v>6883</v>
      </c>
      <c r="G4752" s="375" t="s">
        <v>6884</v>
      </c>
      <c r="H4752" s="375" t="s">
        <v>6885</v>
      </c>
      <c r="I4752" s="63" t="s">
        <v>6886</v>
      </c>
      <c r="J4752" s="47">
        <f t="shared" si="1062"/>
        <v>3740</v>
      </c>
      <c r="K4752" s="46" t="s">
        <v>315</v>
      </c>
      <c r="L4752" s="47">
        <f t="shared" si="1063"/>
        <v>1210</v>
      </c>
      <c r="M4752" s="47"/>
      <c r="N4752" s="47"/>
      <c r="O4752" s="47"/>
      <c r="P4752" s="47"/>
      <c r="Q4752" s="47"/>
      <c r="R4752" s="47">
        <f t="shared" si="1064"/>
        <v>540</v>
      </c>
      <c r="S4752" s="47"/>
      <c r="T4752" s="47" t="s">
        <v>641</v>
      </c>
      <c r="U4752" s="47"/>
      <c r="V4752" s="47"/>
      <c r="W4752" s="47"/>
      <c r="X4752" s="47">
        <f t="shared" si="1065"/>
        <v>3000</v>
      </c>
      <c r="Y4752" s="47"/>
      <c r="Z4752" s="47">
        <f t="shared" si="1060"/>
        <v>4620</v>
      </c>
      <c r="AA4752" s="47"/>
      <c r="AB4752" s="47"/>
      <c r="AC4752" s="47"/>
      <c r="AD4752" s="47"/>
      <c r="AE4752" s="47"/>
      <c r="AF4752" s="47">
        <f t="shared" si="1061"/>
        <v>1485</v>
      </c>
      <c r="AG4752" s="47"/>
      <c r="AH4752" s="47" t="str">
        <f>IFERROR(_xlfn.XLOOKUP(Table6[[#This Row],[Suburb]],Table5[Travel Surcharge],Table5[$$]),"")</f>
        <v/>
      </c>
      <c r="AI4752" s="47">
        <v>1650.0000000000002</v>
      </c>
      <c r="AJ4752" s="47"/>
    </row>
    <row r="4753" spans="1:36">
      <c r="A4753" s="374" t="s">
        <v>6880</v>
      </c>
      <c r="B4753" s="374">
        <v>16</v>
      </c>
      <c r="C4753" s="374" t="s">
        <v>6881</v>
      </c>
      <c r="D4753" s="375" t="str">
        <f t="shared" si="1059"/>
        <v>Windermere Estate16</v>
      </c>
      <c r="E4753" s="375" t="s">
        <v>6898</v>
      </c>
      <c r="F4753" s="375" t="s">
        <v>6883</v>
      </c>
      <c r="G4753" s="375" t="s">
        <v>6884</v>
      </c>
      <c r="H4753" s="375" t="s">
        <v>6885</v>
      </c>
      <c r="I4753" s="63" t="s">
        <v>6886</v>
      </c>
      <c r="J4753" s="47">
        <f t="shared" si="1062"/>
        <v>3740</v>
      </c>
      <c r="K4753" s="46" t="s">
        <v>315</v>
      </c>
      <c r="L4753" s="47">
        <f t="shared" si="1063"/>
        <v>1210</v>
      </c>
      <c r="M4753" s="47"/>
      <c r="N4753" s="47"/>
      <c r="O4753" s="47"/>
      <c r="P4753" s="47"/>
      <c r="Q4753" s="47"/>
      <c r="R4753" s="47">
        <f t="shared" si="1064"/>
        <v>540</v>
      </c>
      <c r="S4753" s="47"/>
      <c r="T4753" s="47" t="s">
        <v>641</v>
      </c>
      <c r="U4753" s="47"/>
      <c r="V4753" s="47"/>
      <c r="W4753" s="47"/>
      <c r="X4753" s="47">
        <f t="shared" si="1065"/>
        <v>3000</v>
      </c>
      <c r="Y4753" s="47"/>
      <c r="Z4753" s="47">
        <f t="shared" si="1060"/>
        <v>4620</v>
      </c>
      <c r="AA4753" s="47"/>
      <c r="AB4753" s="47"/>
      <c r="AC4753" s="47"/>
      <c r="AD4753" s="47"/>
      <c r="AE4753" s="47"/>
      <c r="AF4753" s="47">
        <f t="shared" si="1061"/>
        <v>1485</v>
      </c>
      <c r="AG4753" s="47"/>
      <c r="AH4753" s="47" t="str">
        <f>IFERROR(_xlfn.XLOOKUP(Table6[[#This Row],[Suburb]],Table5[Travel Surcharge],Table5[$$]),"")</f>
        <v/>
      </c>
      <c r="AI4753" s="47">
        <v>1650.0000000000002</v>
      </c>
      <c r="AJ4753" s="47"/>
    </row>
    <row r="4754" spans="1:36">
      <c r="A4754" s="374" t="s">
        <v>6880</v>
      </c>
      <c r="B4754" s="374">
        <v>17</v>
      </c>
      <c r="C4754" s="374" t="s">
        <v>6881</v>
      </c>
      <c r="D4754" s="375" t="str">
        <f t="shared" si="1059"/>
        <v>Windermere Estate17</v>
      </c>
      <c r="E4754" s="375" t="s">
        <v>6899</v>
      </c>
      <c r="F4754" s="375" t="s">
        <v>6883</v>
      </c>
      <c r="G4754" s="375" t="s">
        <v>6884</v>
      </c>
      <c r="H4754" s="375" t="s">
        <v>6885</v>
      </c>
      <c r="I4754" s="63" t="s">
        <v>6886</v>
      </c>
      <c r="J4754" s="47">
        <f t="shared" si="1062"/>
        <v>3740</v>
      </c>
      <c r="K4754" s="46" t="s">
        <v>315</v>
      </c>
      <c r="L4754" s="47">
        <f t="shared" si="1063"/>
        <v>1210</v>
      </c>
      <c r="M4754" s="47"/>
      <c r="N4754" s="47"/>
      <c r="O4754" s="47"/>
      <c r="P4754" s="47"/>
      <c r="Q4754" s="47"/>
      <c r="R4754" s="47">
        <f t="shared" si="1064"/>
        <v>540</v>
      </c>
      <c r="S4754" s="47"/>
      <c r="T4754" s="47" t="s">
        <v>641</v>
      </c>
      <c r="U4754" s="47"/>
      <c r="V4754" s="47"/>
      <c r="W4754" s="47"/>
      <c r="X4754" s="47">
        <f t="shared" si="1065"/>
        <v>3000</v>
      </c>
      <c r="Y4754" s="47"/>
      <c r="Z4754" s="47">
        <f t="shared" si="1060"/>
        <v>4620</v>
      </c>
      <c r="AA4754" s="47"/>
      <c r="AB4754" s="47"/>
      <c r="AC4754" s="47"/>
      <c r="AD4754" s="47"/>
      <c r="AE4754" s="47"/>
      <c r="AF4754" s="47">
        <f t="shared" si="1061"/>
        <v>1485</v>
      </c>
      <c r="AG4754" s="47"/>
      <c r="AH4754" s="47" t="str">
        <f>IFERROR(_xlfn.XLOOKUP(Table6[[#This Row],[Suburb]],Table5[Travel Surcharge],Table5[$$]),"")</f>
        <v/>
      </c>
      <c r="AI4754" s="47">
        <v>1650.0000000000002</v>
      </c>
      <c r="AJ4754" s="47"/>
    </row>
    <row r="4755" spans="1:36">
      <c r="A4755" s="374" t="s">
        <v>6880</v>
      </c>
      <c r="B4755" s="374">
        <v>18</v>
      </c>
      <c r="C4755" s="374" t="s">
        <v>6881</v>
      </c>
      <c r="D4755" s="375" t="str">
        <f t="shared" si="1059"/>
        <v>Windermere Estate18</v>
      </c>
      <c r="E4755" s="375" t="s">
        <v>6900</v>
      </c>
      <c r="F4755" s="375" t="s">
        <v>6883</v>
      </c>
      <c r="G4755" s="375" t="s">
        <v>6884</v>
      </c>
      <c r="H4755" s="375" t="s">
        <v>6885</v>
      </c>
      <c r="I4755" s="63" t="s">
        <v>6886</v>
      </c>
      <c r="J4755" s="47">
        <f t="shared" si="1062"/>
        <v>3740</v>
      </c>
      <c r="K4755" s="46" t="s">
        <v>315</v>
      </c>
      <c r="L4755" s="47">
        <f t="shared" si="1063"/>
        <v>1210</v>
      </c>
      <c r="M4755" s="47"/>
      <c r="N4755" s="47"/>
      <c r="O4755" s="47"/>
      <c r="P4755" s="47"/>
      <c r="Q4755" s="47"/>
      <c r="R4755" s="47">
        <f t="shared" si="1064"/>
        <v>540</v>
      </c>
      <c r="S4755" s="47"/>
      <c r="T4755" s="47" t="s">
        <v>641</v>
      </c>
      <c r="U4755" s="47"/>
      <c r="V4755" s="47"/>
      <c r="W4755" s="47"/>
      <c r="X4755" s="47">
        <f t="shared" si="1065"/>
        <v>3000</v>
      </c>
      <c r="Y4755" s="47"/>
      <c r="Z4755" s="47">
        <f t="shared" si="1060"/>
        <v>4620</v>
      </c>
      <c r="AA4755" s="47"/>
      <c r="AB4755" s="47"/>
      <c r="AC4755" s="47"/>
      <c r="AD4755" s="47"/>
      <c r="AE4755" s="47"/>
      <c r="AF4755" s="47">
        <f t="shared" si="1061"/>
        <v>1485</v>
      </c>
      <c r="AG4755" s="47"/>
      <c r="AH4755" s="47" t="str">
        <f>IFERROR(_xlfn.XLOOKUP(Table6[[#This Row],[Suburb]],Table5[Travel Surcharge],Table5[$$]),"")</f>
        <v/>
      </c>
      <c r="AI4755" s="47">
        <v>1650.0000000000002</v>
      </c>
      <c r="AJ4755" s="47"/>
    </row>
    <row r="4756" spans="1:36">
      <c r="A4756" s="374" t="s">
        <v>6880</v>
      </c>
      <c r="B4756" s="374">
        <v>19</v>
      </c>
      <c r="C4756" s="374" t="s">
        <v>6881</v>
      </c>
      <c r="D4756" s="375" t="str">
        <f t="shared" si="1059"/>
        <v>Windermere Estate19</v>
      </c>
      <c r="E4756" s="375" t="s">
        <v>6901</v>
      </c>
      <c r="F4756" s="375" t="s">
        <v>6883</v>
      </c>
      <c r="G4756" s="375" t="s">
        <v>6884</v>
      </c>
      <c r="H4756" s="375" t="s">
        <v>6885</v>
      </c>
      <c r="I4756" s="63" t="s">
        <v>6886</v>
      </c>
      <c r="J4756" s="47">
        <f t="shared" si="1062"/>
        <v>3740</v>
      </c>
      <c r="K4756" s="46" t="s">
        <v>315</v>
      </c>
      <c r="L4756" s="47">
        <f t="shared" si="1063"/>
        <v>1210</v>
      </c>
      <c r="M4756" s="47"/>
      <c r="N4756" s="47"/>
      <c r="O4756" s="47"/>
      <c r="P4756" s="47"/>
      <c r="Q4756" s="47"/>
      <c r="R4756" s="47">
        <f t="shared" si="1064"/>
        <v>540</v>
      </c>
      <c r="S4756" s="47"/>
      <c r="T4756" s="47" t="s">
        <v>641</v>
      </c>
      <c r="U4756" s="47"/>
      <c r="V4756" s="47"/>
      <c r="W4756" s="47"/>
      <c r="X4756" s="47">
        <f t="shared" si="1065"/>
        <v>3000</v>
      </c>
      <c r="Y4756" s="47"/>
      <c r="Z4756" s="47">
        <f t="shared" si="1060"/>
        <v>4620</v>
      </c>
      <c r="AA4756" s="47"/>
      <c r="AB4756" s="47"/>
      <c r="AC4756" s="47"/>
      <c r="AD4756" s="47"/>
      <c r="AE4756" s="47"/>
      <c r="AF4756" s="47">
        <f t="shared" si="1061"/>
        <v>1485</v>
      </c>
      <c r="AG4756" s="47"/>
      <c r="AH4756" s="47" t="str">
        <f>IFERROR(_xlfn.XLOOKUP(Table6[[#This Row],[Suburb]],Table5[Travel Surcharge],Table5[$$]),"")</f>
        <v/>
      </c>
      <c r="AI4756" s="47">
        <v>1650.0000000000002</v>
      </c>
      <c r="AJ4756" s="47"/>
    </row>
    <row r="4757" spans="1:36">
      <c r="A4757" s="374" t="s">
        <v>6880</v>
      </c>
      <c r="B4757" s="374">
        <v>20</v>
      </c>
      <c r="C4757" s="374" t="s">
        <v>6881</v>
      </c>
      <c r="D4757" s="375" t="str">
        <f t="shared" si="1059"/>
        <v>Windermere Estate20</v>
      </c>
      <c r="E4757" s="375" t="s">
        <v>6902</v>
      </c>
      <c r="F4757" s="375" t="s">
        <v>6883</v>
      </c>
      <c r="G4757" s="375" t="s">
        <v>6884</v>
      </c>
      <c r="H4757" s="375" t="s">
        <v>6885</v>
      </c>
      <c r="I4757" s="63" t="s">
        <v>6886</v>
      </c>
      <c r="J4757" s="47">
        <f t="shared" si="1062"/>
        <v>3740</v>
      </c>
      <c r="K4757" s="46" t="s">
        <v>315</v>
      </c>
      <c r="L4757" s="47">
        <f t="shared" si="1063"/>
        <v>1210</v>
      </c>
      <c r="M4757" s="47"/>
      <c r="N4757" s="47"/>
      <c r="O4757" s="47"/>
      <c r="P4757" s="47"/>
      <c r="Q4757" s="47"/>
      <c r="R4757" s="47">
        <f t="shared" si="1064"/>
        <v>540</v>
      </c>
      <c r="S4757" s="47"/>
      <c r="T4757" s="47" t="s">
        <v>641</v>
      </c>
      <c r="U4757" s="47"/>
      <c r="V4757" s="47"/>
      <c r="W4757" s="47"/>
      <c r="X4757" s="47">
        <f t="shared" si="1065"/>
        <v>3000</v>
      </c>
      <c r="Y4757" s="47"/>
      <c r="Z4757" s="47">
        <f t="shared" si="1060"/>
        <v>4620</v>
      </c>
      <c r="AA4757" s="47"/>
      <c r="AB4757" s="47"/>
      <c r="AC4757" s="47"/>
      <c r="AD4757" s="47"/>
      <c r="AE4757" s="47"/>
      <c r="AF4757" s="47">
        <f t="shared" si="1061"/>
        <v>1485</v>
      </c>
      <c r="AG4757" s="47"/>
      <c r="AH4757" s="47" t="str">
        <f>IFERROR(_xlfn.XLOOKUP(Table6[[#This Row],[Suburb]],Table5[Travel Surcharge],Table5[$$]),"")</f>
        <v/>
      </c>
      <c r="AI4757" s="47">
        <v>1650.0000000000002</v>
      </c>
      <c r="AJ4757" s="47"/>
    </row>
    <row r="4758" spans="1:36">
      <c r="A4758" s="374" t="s">
        <v>6880</v>
      </c>
      <c r="B4758" s="374">
        <v>21</v>
      </c>
      <c r="C4758" s="374" t="s">
        <v>6881</v>
      </c>
      <c r="D4758" s="375" t="str">
        <f t="shared" si="1059"/>
        <v>Windermere Estate21</v>
      </c>
      <c r="E4758" s="375" t="s">
        <v>6903</v>
      </c>
      <c r="F4758" s="375" t="s">
        <v>6883</v>
      </c>
      <c r="G4758" s="375" t="s">
        <v>6884</v>
      </c>
      <c r="H4758" s="375" t="s">
        <v>6885</v>
      </c>
      <c r="I4758" s="63" t="s">
        <v>6886</v>
      </c>
      <c r="J4758" s="47">
        <f t="shared" si="1062"/>
        <v>3740</v>
      </c>
      <c r="K4758" s="46" t="s">
        <v>315</v>
      </c>
      <c r="L4758" s="47">
        <f t="shared" si="1063"/>
        <v>1210</v>
      </c>
      <c r="M4758" s="47"/>
      <c r="N4758" s="47"/>
      <c r="O4758" s="47"/>
      <c r="P4758" s="47"/>
      <c r="Q4758" s="47"/>
      <c r="R4758" s="47">
        <f t="shared" si="1064"/>
        <v>540</v>
      </c>
      <c r="S4758" s="47"/>
      <c r="T4758" s="47" t="s">
        <v>641</v>
      </c>
      <c r="U4758" s="47"/>
      <c r="V4758" s="47"/>
      <c r="W4758" s="47"/>
      <c r="X4758" s="47">
        <f t="shared" si="1065"/>
        <v>3000</v>
      </c>
      <c r="Y4758" s="47"/>
      <c r="Z4758" s="47">
        <f t="shared" si="1060"/>
        <v>4620</v>
      </c>
      <c r="AA4758" s="47"/>
      <c r="AB4758" s="47"/>
      <c r="AC4758" s="47"/>
      <c r="AD4758" s="47"/>
      <c r="AE4758" s="47"/>
      <c r="AF4758" s="47">
        <f t="shared" si="1061"/>
        <v>1485</v>
      </c>
      <c r="AG4758" s="47"/>
      <c r="AH4758" s="47" t="str">
        <f>IFERROR(_xlfn.XLOOKUP(Table6[[#This Row],[Suburb]],Table5[Travel Surcharge],Table5[$$]),"")</f>
        <v/>
      </c>
      <c r="AI4758" s="47">
        <v>1650.0000000000002</v>
      </c>
      <c r="AJ4758" s="47"/>
    </row>
    <row r="4759" spans="1:36">
      <c r="A4759" s="374" t="s">
        <v>6880</v>
      </c>
      <c r="B4759" s="374">
        <v>23</v>
      </c>
      <c r="C4759" s="374" t="s">
        <v>6881</v>
      </c>
      <c r="D4759" s="375" t="str">
        <f t="shared" si="1059"/>
        <v>Windermere Estate23</v>
      </c>
      <c r="E4759" s="375" t="s">
        <v>6904</v>
      </c>
      <c r="F4759" s="375" t="s">
        <v>6883</v>
      </c>
      <c r="G4759" s="375" t="s">
        <v>6884</v>
      </c>
      <c r="H4759" s="375" t="s">
        <v>6885</v>
      </c>
      <c r="I4759" s="63" t="s">
        <v>6886</v>
      </c>
      <c r="J4759" s="47">
        <f t="shared" si="1062"/>
        <v>3740</v>
      </c>
      <c r="K4759" s="46" t="s">
        <v>315</v>
      </c>
      <c r="L4759" s="47">
        <f t="shared" si="1063"/>
        <v>1210</v>
      </c>
      <c r="M4759" s="47"/>
      <c r="N4759" s="47"/>
      <c r="O4759" s="47"/>
      <c r="P4759" s="47"/>
      <c r="Q4759" s="47"/>
      <c r="R4759" s="47">
        <f t="shared" si="1064"/>
        <v>540</v>
      </c>
      <c r="S4759" s="47"/>
      <c r="T4759" s="47" t="s">
        <v>641</v>
      </c>
      <c r="U4759" s="47"/>
      <c r="V4759" s="47"/>
      <c r="W4759" s="47"/>
      <c r="X4759" s="47">
        <f t="shared" si="1065"/>
        <v>3000</v>
      </c>
      <c r="Y4759" s="47"/>
      <c r="Z4759" s="47">
        <f t="shared" si="1060"/>
        <v>4620</v>
      </c>
      <c r="AA4759" s="47"/>
      <c r="AB4759" s="47"/>
      <c r="AC4759" s="47"/>
      <c r="AD4759" s="47"/>
      <c r="AE4759" s="47"/>
      <c r="AF4759" s="47">
        <f t="shared" si="1061"/>
        <v>1485</v>
      </c>
      <c r="AG4759" s="47"/>
      <c r="AH4759" s="47" t="str">
        <f>IFERROR(_xlfn.XLOOKUP(Table6[[#This Row],[Suburb]],Table5[Travel Surcharge],Table5[$$]),"")</f>
        <v/>
      </c>
      <c r="AI4759" s="47">
        <v>1650.0000000000002</v>
      </c>
      <c r="AJ4759" s="47"/>
    </row>
    <row r="4760" spans="1:36">
      <c r="A4760" s="374" t="s">
        <v>6880</v>
      </c>
      <c r="B4760" s="374">
        <v>24</v>
      </c>
      <c r="C4760" s="374" t="s">
        <v>6881</v>
      </c>
      <c r="D4760" s="375" t="str">
        <f t="shared" si="1059"/>
        <v>Windermere Estate24</v>
      </c>
      <c r="E4760" s="375" t="s">
        <v>6905</v>
      </c>
      <c r="F4760" s="375" t="s">
        <v>6883</v>
      </c>
      <c r="G4760" s="375" t="s">
        <v>6884</v>
      </c>
      <c r="H4760" s="375" t="s">
        <v>6885</v>
      </c>
      <c r="I4760" s="63" t="s">
        <v>6886</v>
      </c>
      <c r="J4760" s="47">
        <f t="shared" si="1062"/>
        <v>3740</v>
      </c>
      <c r="K4760" s="46" t="s">
        <v>315</v>
      </c>
      <c r="L4760" s="47">
        <f t="shared" si="1063"/>
        <v>1210</v>
      </c>
      <c r="M4760" s="47"/>
      <c r="N4760" s="47"/>
      <c r="O4760" s="47"/>
      <c r="P4760" s="47"/>
      <c r="Q4760" s="47"/>
      <c r="R4760" s="47">
        <f t="shared" si="1064"/>
        <v>540</v>
      </c>
      <c r="S4760" s="47"/>
      <c r="T4760" s="47" t="s">
        <v>641</v>
      </c>
      <c r="U4760" s="47"/>
      <c r="V4760" s="47"/>
      <c r="W4760" s="47"/>
      <c r="X4760" s="47">
        <f t="shared" si="1065"/>
        <v>3000</v>
      </c>
      <c r="Y4760" s="47"/>
      <c r="Z4760" s="47">
        <f t="shared" si="1060"/>
        <v>4620</v>
      </c>
      <c r="AA4760" s="47"/>
      <c r="AB4760" s="47"/>
      <c r="AC4760" s="47"/>
      <c r="AD4760" s="47"/>
      <c r="AE4760" s="47"/>
      <c r="AF4760" s="47">
        <f t="shared" si="1061"/>
        <v>1485</v>
      </c>
      <c r="AG4760" s="47"/>
      <c r="AH4760" s="47" t="str">
        <f>IFERROR(_xlfn.XLOOKUP(Table6[[#This Row],[Suburb]],Table5[Travel Surcharge],Table5[$$]),"")</f>
        <v/>
      </c>
      <c r="AI4760" s="47">
        <v>1650.0000000000002</v>
      </c>
      <c r="AJ4760" s="47"/>
    </row>
    <row r="4761" spans="1:36">
      <c r="A4761" s="374" t="s">
        <v>6880</v>
      </c>
      <c r="B4761" s="374">
        <v>25</v>
      </c>
      <c r="C4761" s="374" t="s">
        <v>6881</v>
      </c>
      <c r="D4761" s="375" t="str">
        <f t="shared" si="1059"/>
        <v>Windermere Estate25</v>
      </c>
      <c r="E4761" s="375" t="s">
        <v>6906</v>
      </c>
      <c r="F4761" s="375" t="s">
        <v>6883</v>
      </c>
      <c r="G4761" s="375" t="s">
        <v>6884</v>
      </c>
      <c r="H4761" s="375" t="s">
        <v>6885</v>
      </c>
      <c r="I4761" s="63" t="s">
        <v>6886</v>
      </c>
      <c r="J4761" s="47">
        <f t="shared" si="1062"/>
        <v>3740</v>
      </c>
      <c r="K4761" s="46" t="s">
        <v>315</v>
      </c>
      <c r="L4761" s="47">
        <f t="shared" si="1063"/>
        <v>1210</v>
      </c>
      <c r="M4761" s="47"/>
      <c r="N4761" s="47"/>
      <c r="O4761" s="47"/>
      <c r="P4761" s="47"/>
      <c r="Q4761" s="47"/>
      <c r="R4761" s="47">
        <f t="shared" si="1064"/>
        <v>540</v>
      </c>
      <c r="S4761" s="47"/>
      <c r="T4761" s="47" t="s">
        <v>641</v>
      </c>
      <c r="U4761" s="47"/>
      <c r="V4761" s="47"/>
      <c r="W4761" s="47"/>
      <c r="X4761" s="47">
        <f t="shared" si="1065"/>
        <v>3000</v>
      </c>
      <c r="Y4761" s="47"/>
      <c r="Z4761" s="47">
        <f t="shared" si="1060"/>
        <v>4620</v>
      </c>
      <c r="AA4761" s="47"/>
      <c r="AB4761" s="47"/>
      <c r="AC4761" s="47"/>
      <c r="AD4761" s="47"/>
      <c r="AE4761" s="47"/>
      <c r="AF4761" s="47">
        <f t="shared" si="1061"/>
        <v>1485</v>
      </c>
      <c r="AG4761" s="47"/>
      <c r="AH4761" s="47" t="str">
        <f>IFERROR(_xlfn.XLOOKUP(Table6[[#This Row],[Suburb]],Table5[Travel Surcharge],Table5[$$]),"")</f>
        <v/>
      </c>
      <c r="AI4761" s="47">
        <v>1650.0000000000002</v>
      </c>
      <c r="AJ4761" s="47"/>
    </row>
    <row r="4762" spans="1:36">
      <c r="A4762" s="374" t="s">
        <v>6880</v>
      </c>
      <c r="B4762" s="374">
        <v>26</v>
      </c>
      <c r="C4762" s="374" t="s">
        <v>6881</v>
      </c>
      <c r="D4762" s="375" t="str">
        <f t="shared" si="1059"/>
        <v>Windermere Estate26</v>
      </c>
      <c r="E4762" s="375" t="s">
        <v>6907</v>
      </c>
      <c r="F4762" s="375" t="s">
        <v>6883</v>
      </c>
      <c r="G4762" s="375" t="s">
        <v>6884</v>
      </c>
      <c r="H4762" s="375" t="s">
        <v>6885</v>
      </c>
      <c r="I4762" s="63" t="s">
        <v>6886</v>
      </c>
      <c r="J4762" s="47">
        <f t="shared" si="1062"/>
        <v>3740</v>
      </c>
      <c r="K4762" s="46" t="s">
        <v>315</v>
      </c>
      <c r="L4762" s="47">
        <f t="shared" si="1063"/>
        <v>1210</v>
      </c>
      <c r="M4762" s="47"/>
      <c r="N4762" s="47"/>
      <c r="O4762" s="47"/>
      <c r="P4762" s="47"/>
      <c r="Q4762" s="47"/>
      <c r="R4762" s="47">
        <f t="shared" si="1064"/>
        <v>540</v>
      </c>
      <c r="S4762" s="47"/>
      <c r="T4762" s="47" t="s">
        <v>641</v>
      </c>
      <c r="U4762" s="47"/>
      <c r="V4762" s="47"/>
      <c r="W4762" s="47"/>
      <c r="X4762" s="47">
        <f t="shared" si="1065"/>
        <v>3000</v>
      </c>
      <c r="Y4762" s="47"/>
      <c r="Z4762" s="47">
        <f t="shared" si="1060"/>
        <v>4620</v>
      </c>
      <c r="AA4762" s="47"/>
      <c r="AB4762" s="47"/>
      <c r="AC4762" s="47"/>
      <c r="AD4762" s="47"/>
      <c r="AE4762" s="47"/>
      <c r="AF4762" s="47">
        <f t="shared" si="1061"/>
        <v>1485</v>
      </c>
      <c r="AG4762" s="47"/>
      <c r="AH4762" s="47" t="str">
        <f>IFERROR(_xlfn.XLOOKUP(Table6[[#This Row],[Suburb]],Table5[Travel Surcharge],Table5[$$]),"")</f>
        <v/>
      </c>
      <c r="AI4762" s="47">
        <v>1650.0000000000002</v>
      </c>
      <c r="AJ4762" s="47"/>
    </row>
    <row r="4763" spans="1:36">
      <c r="A4763" s="374" t="s">
        <v>6880</v>
      </c>
      <c r="B4763" s="374">
        <v>27</v>
      </c>
      <c r="C4763" s="374" t="s">
        <v>6881</v>
      </c>
      <c r="D4763" s="375" t="s">
        <v>6908</v>
      </c>
      <c r="E4763" s="375" t="s">
        <v>6909</v>
      </c>
      <c r="F4763" s="375" t="s">
        <v>6883</v>
      </c>
      <c r="G4763" s="375" t="s">
        <v>6884</v>
      </c>
      <c r="H4763" s="375" t="s">
        <v>6885</v>
      </c>
      <c r="I4763" s="63" t="s">
        <v>6886</v>
      </c>
      <c r="J4763" s="47">
        <v>3740</v>
      </c>
      <c r="K4763" s="46" t="s">
        <v>315</v>
      </c>
      <c r="L4763" s="47">
        <v>1210</v>
      </c>
      <c r="M4763" s="47"/>
      <c r="N4763" s="47"/>
      <c r="O4763" s="47"/>
      <c r="P4763" s="47"/>
      <c r="Q4763" s="47"/>
      <c r="R4763" s="47">
        <v>540</v>
      </c>
      <c r="S4763" s="47"/>
      <c r="T4763" s="47" t="s">
        <v>641</v>
      </c>
      <c r="U4763" s="47"/>
      <c r="V4763" s="47"/>
      <c r="W4763" s="47"/>
      <c r="X4763" s="47">
        <v>3000</v>
      </c>
      <c r="Y4763" s="47"/>
      <c r="Z4763" s="47">
        <v>4620</v>
      </c>
      <c r="AA4763" s="47"/>
      <c r="AB4763" s="47"/>
      <c r="AC4763" s="47"/>
      <c r="AD4763" s="47"/>
      <c r="AE4763" s="47"/>
      <c r="AF4763" s="47">
        <v>1650.0000000000002</v>
      </c>
      <c r="AG4763" s="47"/>
      <c r="AH4763" s="47" t="str">
        <f>IFERROR(_xlfn.XLOOKUP(Table6[[#This Row],[Suburb]],Table5[Travel Surcharge],Table5[$$]),"")</f>
        <v/>
      </c>
      <c r="AI4763" s="47">
        <v>1650.0000000000002</v>
      </c>
      <c r="AJ4763" s="47"/>
    </row>
    <row r="4764" spans="1:36">
      <c r="A4764" s="374" t="s">
        <v>9401</v>
      </c>
      <c r="B4764" s="374">
        <v>1</v>
      </c>
      <c r="C4764" s="374" t="s">
        <v>286</v>
      </c>
      <c r="D4764" s="375" t="str">
        <f t="shared" ref="D4764:D4797" si="1066">CONCATENATE(A4764,B4764)</f>
        <v>Winery Hill1</v>
      </c>
      <c r="E4764" s="375" t="s">
        <v>9403</v>
      </c>
      <c r="F4764" s="375"/>
      <c r="G4764" s="375" t="s">
        <v>9402</v>
      </c>
      <c r="H4764" s="375" t="s">
        <v>922</v>
      </c>
      <c r="I4764" s="63"/>
      <c r="J4764" s="47">
        <f>J$7</f>
        <v>3740</v>
      </c>
      <c r="K4764" s="46" t="s">
        <v>10735</v>
      </c>
      <c r="L4764" s="47"/>
      <c r="M4764" s="47"/>
      <c r="N4764" s="47"/>
      <c r="O4764" s="47"/>
      <c r="P4764" s="47"/>
      <c r="Q4764" s="47"/>
      <c r="R4764" s="47"/>
      <c r="S4764" s="47">
        <f>S$2</f>
        <v>590</v>
      </c>
      <c r="T4764" s="47"/>
      <c r="U4764" s="47"/>
      <c r="V4764" s="47" t="s">
        <v>9404</v>
      </c>
      <c r="W4764" s="47" t="s">
        <v>9405</v>
      </c>
      <c r="X4764" s="47"/>
      <c r="Y4764" s="47"/>
      <c r="Z4764" s="47">
        <f t="shared" ref="Z4764:Z4797" si="1067">Z$7</f>
        <v>4620</v>
      </c>
      <c r="AA4764" s="47"/>
      <c r="AB4764" s="47"/>
      <c r="AC4764" s="47"/>
      <c r="AD4764" s="47"/>
      <c r="AE4764" s="47"/>
      <c r="AF4764" s="47"/>
      <c r="AG4764" s="47"/>
      <c r="AH4764" s="47">
        <f>IFERROR(_xlfn.XLOOKUP(Table6[[#This Row],[Suburb]],Table5[Travel Surcharge],Table5[$$]),"")</f>
        <v>1500</v>
      </c>
      <c r="AI4764" s="47"/>
      <c r="AJ4764" s="47"/>
    </row>
    <row r="4765" spans="1:36">
      <c r="A4765" s="374" t="s">
        <v>6910</v>
      </c>
      <c r="B4765" s="374">
        <v>1</v>
      </c>
      <c r="C4765" s="374" t="s">
        <v>802</v>
      </c>
      <c r="D4765" s="375" t="str">
        <f t="shared" si="1066"/>
        <v>Winland Estate1</v>
      </c>
      <c r="E4765" s="375" t="s">
        <v>6911</v>
      </c>
      <c r="F4765" s="375" t="s">
        <v>430</v>
      </c>
      <c r="G4765" s="375" t="s">
        <v>5858</v>
      </c>
      <c r="H4765" s="375" t="s">
        <v>5859</v>
      </c>
      <c r="I4765" s="63" t="s">
        <v>6912</v>
      </c>
      <c r="J4765" s="47">
        <f>J$7</f>
        <v>3740</v>
      </c>
      <c r="K4765" s="46" t="s">
        <v>10735</v>
      </c>
      <c r="L4765" s="47"/>
      <c r="M4765" s="47" t="s">
        <v>6913</v>
      </c>
      <c r="N4765" s="47" t="s">
        <v>6914</v>
      </c>
      <c r="O4765" s="47"/>
      <c r="P4765" s="47"/>
      <c r="Q4765" s="47">
        <f>Q$2</f>
        <v>0</v>
      </c>
      <c r="R4765" s="47"/>
      <c r="S4765" s="47"/>
      <c r="T4765" s="47"/>
      <c r="U4765" s="47"/>
      <c r="V4765" s="47"/>
      <c r="W4765" s="47"/>
      <c r="X4765" s="47"/>
      <c r="Y4765" s="47"/>
      <c r="Z4765" s="47">
        <f t="shared" si="1067"/>
        <v>4620</v>
      </c>
      <c r="AA4765" s="47"/>
      <c r="AB4765" s="47"/>
      <c r="AC4765" s="47"/>
      <c r="AD4765" s="47"/>
      <c r="AE4765" s="47"/>
      <c r="AF4765" s="47">
        <f>AF$7</f>
        <v>1485</v>
      </c>
      <c r="AG4765" s="47"/>
      <c r="AH4765" s="47" t="str">
        <f>IFERROR(_xlfn.XLOOKUP(Table6[[#This Row],[Suburb]],Table5[Travel Surcharge],Table5[$$]),"")</f>
        <v/>
      </c>
      <c r="AI4765" s="47"/>
      <c r="AJ4765" s="47"/>
    </row>
    <row r="4766" spans="1:36">
      <c r="A4766" s="374" t="s">
        <v>6910</v>
      </c>
      <c r="B4766" s="374">
        <v>2</v>
      </c>
      <c r="C4766" s="374" t="s">
        <v>802</v>
      </c>
      <c r="D4766" s="375" t="str">
        <f t="shared" si="1066"/>
        <v>Winland Estate2</v>
      </c>
      <c r="E4766" s="375" t="s">
        <v>6915</v>
      </c>
      <c r="F4766" s="375" t="s">
        <v>430</v>
      </c>
      <c r="G4766" s="375" t="s">
        <v>5858</v>
      </c>
      <c r="H4766" s="375"/>
      <c r="I4766" s="63" t="s">
        <v>6912</v>
      </c>
      <c r="J4766" s="47">
        <f>J$7</f>
        <v>3740</v>
      </c>
      <c r="K4766" s="46" t="s">
        <v>10735</v>
      </c>
      <c r="L4766" s="47"/>
      <c r="M4766" s="47" t="s">
        <v>6913</v>
      </c>
      <c r="N4766" s="47" t="s">
        <v>6914</v>
      </c>
      <c r="O4766" s="47"/>
      <c r="P4766" s="47"/>
      <c r="Q4766" s="47">
        <f>Q$2</f>
        <v>0</v>
      </c>
      <c r="R4766" s="47"/>
      <c r="S4766" s="47"/>
      <c r="T4766" s="47"/>
      <c r="U4766" s="47"/>
      <c r="V4766" s="47"/>
      <c r="W4766" s="47"/>
      <c r="X4766" s="47"/>
      <c r="Y4766" s="47"/>
      <c r="Z4766" s="47">
        <f t="shared" si="1067"/>
        <v>4620</v>
      </c>
      <c r="AA4766" s="47"/>
      <c r="AB4766" s="47"/>
      <c r="AC4766" s="47"/>
      <c r="AD4766" s="47"/>
      <c r="AE4766" s="47"/>
      <c r="AF4766" s="47">
        <f>AF$7</f>
        <v>1485</v>
      </c>
      <c r="AG4766" s="47"/>
      <c r="AH4766" s="47" t="str">
        <f>IFERROR(_xlfn.XLOOKUP(Table6[[#This Row],[Suburb]],Table5[Travel Surcharge],Table5[$$]),"")</f>
        <v/>
      </c>
      <c r="AI4766" s="47"/>
      <c r="AJ4766" s="47"/>
    </row>
    <row r="4767" spans="1:36">
      <c r="A4767" s="374" t="s">
        <v>6916</v>
      </c>
      <c r="B4767" s="374">
        <v>1</v>
      </c>
      <c r="C4767" s="374" t="s">
        <v>802</v>
      </c>
      <c r="D4767" s="375" t="str">
        <f t="shared" si="1066"/>
        <v>Winning Post Estate1</v>
      </c>
      <c r="E4767" s="375" t="s">
        <v>6283</v>
      </c>
      <c r="F4767" s="375" t="s">
        <v>6917</v>
      </c>
      <c r="G4767" s="375" t="s">
        <v>6918</v>
      </c>
      <c r="H4767" s="375" t="s">
        <v>6919</v>
      </c>
      <c r="I4767" s="63" t="s">
        <v>6920</v>
      </c>
      <c r="J4767" s="47">
        <f>J$7</f>
        <v>3740</v>
      </c>
      <c r="K4767" s="46" t="s">
        <v>10735</v>
      </c>
      <c r="L4767" s="47"/>
      <c r="M4767" s="47">
        <f>M$7</f>
        <v>1430.0000000000002</v>
      </c>
      <c r="N4767" s="47"/>
      <c r="O4767" s="47"/>
      <c r="P4767" s="47"/>
      <c r="Q4767" s="47"/>
      <c r="R4767" s="47">
        <f>R$2</f>
        <v>540</v>
      </c>
      <c r="S4767" s="47"/>
      <c r="T4767" s="47"/>
      <c r="U4767" s="47"/>
      <c r="V4767" s="47"/>
      <c r="W4767" s="47"/>
      <c r="X4767" s="47"/>
      <c r="Y4767" s="47"/>
      <c r="Z4767" s="47">
        <f t="shared" si="1067"/>
        <v>4620</v>
      </c>
      <c r="AA4767" s="47">
        <f>AA$7</f>
        <v>1400</v>
      </c>
      <c r="AB4767" s="47"/>
      <c r="AC4767" s="47"/>
      <c r="AD4767" s="47"/>
      <c r="AE4767" s="47"/>
      <c r="AF4767" s="47">
        <f>AF$7</f>
        <v>1485</v>
      </c>
      <c r="AG4767" s="47"/>
      <c r="AH4767" s="47" t="str">
        <f>IFERROR(_xlfn.XLOOKUP(Table6[[#This Row],[Suburb]],Table5[Travel Surcharge],Table5[$$]),"")</f>
        <v/>
      </c>
      <c r="AI4767" s="47"/>
      <c r="AJ4767" s="47"/>
    </row>
    <row r="4768" spans="1:36">
      <c r="A4768" s="374" t="s">
        <v>6921</v>
      </c>
      <c r="B4768" s="374">
        <v>3</v>
      </c>
      <c r="C4768" s="374" t="s">
        <v>296</v>
      </c>
      <c r="D4768" s="375" t="str">
        <f t="shared" si="1066"/>
        <v>Winter Valley Rise Estate3</v>
      </c>
      <c r="E4768" s="375" t="s">
        <v>6922</v>
      </c>
      <c r="F4768" s="375" t="s">
        <v>6923</v>
      </c>
      <c r="G4768" s="375" t="s">
        <v>576</v>
      </c>
      <c r="H4768" s="375" t="s">
        <v>577</v>
      </c>
      <c r="I4768" s="63" t="s">
        <v>683</v>
      </c>
      <c r="J4768" s="47"/>
      <c r="K4768" s="46" t="s">
        <v>10735</v>
      </c>
      <c r="L4768" s="47"/>
      <c r="M4768" s="47"/>
      <c r="N4768" s="47" t="s">
        <v>6924</v>
      </c>
      <c r="O4768" s="47">
        <f t="shared" ref="O4768:O4792" si="1068">O$7</f>
        <v>4950</v>
      </c>
      <c r="P4768" s="47" t="s">
        <v>8788</v>
      </c>
      <c r="Q4768" s="47"/>
      <c r="R4768" s="47"/>
      <c r="S4768" s="47" t="s">
        <v>4630</v>
      </c>
      <c r="T4768" s="47" t="s">
        <v>641</v>
      </c>
      <c r="U4768" s="47"/>
      <c r="V4768" s="47"/>
      <c r="W4768" s="47"/>
      <c r="X4768" s="47"/>
      <c r="Y4768" s="47"/>
      <c r="Z4768" s="47">
        <f t="shared" si="1067"/>
        <v>4620</v>
      </c>
      <c r="AA4768" s="47"/>
      <c r="AB4768" s="47"/>
      <c r="AC4768" s="47"/>
      <c r="AD4768" s="47"/>
      <c r="AE4768" s="47"/>
      <c r="AF4768" s="47"/>
      <c r="AG4768" s="47"/>
      <c r="AH4768" s="47">
        <f>IFERROR(_xlfn.XLOOKUP(Table6[[#This Row],[Suburb]],Table5[Travel Surcharge],Table5[$$]),"")</f>
        <v>8000</v>
      </c>
      <c r="AI4768" s="47"/>
      <c r="AJ4768" s="47">
        <f t="shared" ref="AJ4768:AJ4792" si="1069">AJ$7</f>
        <v>4400</v>
      </c>
    </row>
    <row r="4769" spans="1:36">
      <c r="A4769" s="374" t="s">
        <v>6921</v>
      </c>
      <c r="B4769" s="374">
        <v>4</v>
      </c>
      <c r="C4769" s="374" t="s">
        <v>296</v>
      </c>
      <c r="D4769" s="375" t="str">
        <f t="shared" si="1066"/>
        <v>Winter Valley Rise Estate4</v>
      </c>
      <c r="E4769" s="375" t="s">
        <v>6925</v>
      </c>
      <c r="F4769" s="375" t="s">
        <v>6923</v>
      </c>
      <c r="G4769" s="375" t="s">
        <v>576</v>
      </c>
      <c r="H4769" s="375" t="s">
        <v>577</v>
      </c>
      <c r="I4769" s="63" t="s">
        <v>683</v>
      </c>
      <c r="J4769" s="47"/>
      <c r="K4769" s="46" t="s">
        <v>10735</v>
      </c>
      <c r="L4769" s="47"/>
      <c r="M4769" s="47"/>
      <c r="N4769" s="47" t="s">
        <v>6924</v>
      </c>
      <c r="O4769" s="47">
        <f t="shared" si="1068"/>
        <v>4950</v>
      </c>
      <c r="P4769" s="47" t="s">
        <v>8788</v>
      </c>
      <c r="Q4769" s="47"/>
      <c r="R4769" s="47"/>
      <c r="S4769" s="47" t="s">
        <v>4630</v>
      </c>
      <c r="T4769" s="47" t="s">
        <v>641</v>
      </c>
      <c r="U4769" s="47"/>
      <c r="V4769" s="47"/>
      <c r="W4769" s="47"/>
      <c r="X4769" s="47"/>
      <c r="Y4769" s="47"/>
      <c r="Z4769" s="47">
        <f t="shared" si="1067"/>
        <v>4620</v>
      </c>
      <c r="AA4769" s="47"/>
      <c r="AB4769" s="47"/>
      <c r="AC4769" s="47"/>
      <c r="AD4769" s="47"/>
      <c r="AE4769" s="47"/>
      <c r="AF4769" s="47"/>
      <c r="AG4769" s="47"/>
      <c r="AH4769" s="47">
        <f>IFERROR(_xlfn.XLOOKUP(Table6[[#This Row],[Suburb]],Table5[Travel Surcharge],Table5[$$]),"")</f>
        <v>8000</v>
      </c>
      <c r="AI4769" s="47"/>
      <c r="AJ4769" s="47">
        <f t="shared" si="1069"/>
        <v>4400</v>
      </c>
    </row>
    <row r="4770" spans="1:36">
      <c r="A4770" s="374" t="s">
        <v>6921</v>
      </c>
      <c r="B4770" s="374">
        <v>7</v>
      </c>
      <c r="C4770" s="374" t="s">
        <v>296</v>
      </c>
      <c r="D4770" s="375" t="str">
        <f t="shared" si="1066"/>
        <v>Winter Valley Rise Estate7</v>
      </c>
      <c r="E4770" s="375" t="s">
        <v>6931</v>
      </c>
      <c r="F4770" s="375" t="s">
        <v>6923</v>
      </c>
      <c r="G4770" s="375" t="s">
        <v>576</v>
      </c>
      <c r="H4770" s="375" t="s">
        <v>577</v>
      </c>
      <c r="I4770" s="63" t="s">
        <v>683</v>
      </c>
      <c r="J4770" s="47"/>
      <c r="K4770" s="46" t="s">
        <v>10735</v>
      </c>
      <c r="L4770" s="47"/>
      <c r="M4770" s="47"/>
      <c r="N4770" s="47" t="s">
        <v>6924</v>
      </c>
      <c r="O4770" s="47">
        <f t="shared" si="1068"/>
        <v>4950</v>
      </c>
      <c r="P4770" s="47" t="s">
        <v>8788</v>
      </c>
      <c r="Q4770" s="47"/>
      <c r="R4770" s="47"/>
      <c r="S4770" s="47" t="s">
        <v>4630</v>
      </c>
      <c r="T4770" s="47" t="s">
        <v>641</v>
      </c>
      <c r="U4770" s="47"/>
      <c r="V4770" s="47"/>
      <c r="W4770" s="47"/>
      <c r="X4770" s="47"/>
      <c r="Y4770" s="47"/>
      <c r="Z4770" s="47">
        <f t="shared" si="1067"/>
        <v>4620</v>
      </c>
      <c r="AA4770" s="47"/>
      <c r="AB4770" s="47"/>
      <c r="AC4770" s="47"/>
      <c r="AD4770" s="47"/>
      <c r="AE4770" s="47"/>
      <c r="AF4770" s="47"/>
      <c r="AG4770" s="47"/>
      <c r="AH4770" s="47">
        <f>IFERROR(_xlfn.XLOOKUP(Table6[[#This Row],[Suburb]],Table5[Travel Surcharge],Table5[$$]),"")</f>
        <v>8000</v>
      </c>
      <c r="AI4770" s="47"/>
      <c r="AJ4770" s="47">
        <f t="shared" si="1069"/>
        <v>4400</v>
      </c>
    </row>
    <row r="4771" spans="1:36">
      <c r="A4771" s="374" t="s">
        <v>6921</v>
      </c>
      <c r="B4771" s="374" t="s">
        <v>613</v>
      </c>
      <c r="C4771" s="374" t="s">
        <v>296</v>
      </c>
      <c r="D4771" s="375" t="str">
        <f t="shared" si="1066"/>
        <v>Winter Valley Rise Estate4B</v>
      </c>
      <c r="E4771" s="375" t="s">
        <v>6926</v>
      </c>
      <c r="F4771" s="375" t="s">
        <v>6923</v>
      </c>
      <c r="G4771" s="375" t="s">
        <v>576</v>
      </c>
      <c r="H4771" s="375" t="s">
        <v>577</v>
      </c>
      <c r="I4771" s="63" t="s">
        <v>683</v>
      </c>
      <c r="J4771" s="47"/>
      <c r="K4771" s="46" t="s">
        <v>10735</v>
      </c>
      <c r="L4771" s="47"/>
      <c r="M4771" s="47"/>
      <c r="N4771" s="47" t="s">
        <v>6924</v>
      </c>
      <c r="O4771" s="47">
        <f t="shared" si="1068"/>
        <v>4950</v>
      </c>
      <c r="P4771" s="47" t="s">
        <v>8788</v>
      </c>
      <c r="Q4771" s="47"/>
      <c r="R4771" s="47"/>
      <c r="S4771" s="47" t="s">
        <v>4630</v>
      </c>
      <c r="T4771" s="47" t="s">
        <v>641</v>
      </c>
      <c r="U4771" s="47"/>
      <c r="V4771" s="47"/>
      <c r="W4771" s="47"/>
      <c r="X4771" s="47"/>
      <c r="Y4771" s="47"/>
      <c r="Z4771" s="47">
        <f t="shared" si="1067"/>
        <v>4620</v>
      </c>
      <c r="AA4771" s="47"/>
      <c r="AB4771" s="47"/>
      <c r="AC4771" s="47"/>
      <c r="AD4771" s="47"/>
      <c r="AE4771" s="47"/>
      <c r="AF4771" s="47"/>
      <c r="AG4771" s="47"/>
      <c r="AH4771" s="47">
        <f>IFERROR(_xlfn.XLOOKUP(Table6[[#This Row],[Suburb]],Table5[Travel Surcharge],Table5[$$]),"")</f>
        <v>8000</v>
      </c>
      <c r="AI4771" s="47"/>
      <c r="AJ4771" s="47">
        <f t="shared" si="1069"/>
        <v>4400</v>
      </c>
    </row>
    <row r="4772" spans="1:36">
      <c r="A4772" s="374" t="s">
        <v>6921</v>
      </c>
      <c r="B4772" s="374" t="s">
        <v>617</v>
      </c>
      <c r="C4772" s="374" t="s">
        <v>296</v>
      </c>
      <c r="D4772" s="375" t="str">
        <f t="shared" si="1066"/>
        <v>Winter Valley Rise Estate5A</v>
      </c>
      <c r="E4772" s="375" t="s">
        <v>6927</v>
      </c>
      <c r="F4772" s="375" t="s">
        <v>6923</v>
      </c>
      <c r="G4772" s="375" t="s">
        <v>576</v>
      </c>
      <c r="H4772" s="375" t="s">
        <v>577</v>
      </c>
      <c r="I4772" s="63" t="s">
        <v>683</v>
      </c>
      <c r="J4772" s="47"/>
      <c r="K4772" s="46" t="s">
        <v>10735</v>
      </c>
      <c r="L4772" s="47"/>
      <c r="M4772" s="47"/>
      <c r="N4772" s="47" t="s">
        <v>6924</v>
      </c>
      <c r="O4772" s="47">
        <f t="shared" si="1068"/>
        <v>4950</v>
      </c>
      <c r="P4772" s="47" t="s">
        <v>8788</v>
      </c>
      <c r="Q4772" s="47"/>
      <c r="R4772" s="47"/>
      <c r="S4772" s="47" t="s">
        <v>4630</v>
      </c>
      <c r="T4772" s="47" t="s">
        <v>641</v>
      </c>
      <c r="U4772" s="47"/>
      <c r="V4772" s="47"/>
      <c r="W4772" s="47"/>
      <c r="X4772" s="47"/>
      <c r="Y4772" s="47"/>
      <c r="Z4772" s="47">
        <f t="shared" si="1067"/>
        <v>4620</v>
      </c>
      <c r="AA4772" s="47"/>
      <c r="AB4772" s="47"/>
      <c r="AC4772" s="47"/>
      <c r="AD4772" s="47"/>
      <c r="AE4772" s="47"/>
      <c r="AF4772" s="47"/>
      <c r="AG4772" s="47"/>
      <c r="AH4772" s="47">
        <f>IFERROR(_xlfn.XLOOKUP(Table6[[#This Row],[Suburb]],Table5[Travel Surcharge],Table5[$$]),"")</f>
        <v>8000</v>
      </c>
      <c r="AI4772" s="47"/>
      <c r="AJ4772" s="47">
        <f t="shared" si="1069"/>
        <v>4400</v>
      </c>
    </row>
    <row r="4773" spans="1:36">
      <c r="A4773" s="374" t="s">
        <v>6921</v>
      </c>
      <c r="B4773" s="374" t="s">
        <v>1466</v>
      </c>
      <c r="C4773" s="374" t="s">
        <v>296</v>
      </c>
      <c r="D4773" s="375" t="str">
        <f t="shared" si="1066"/>
        <v>Winter Valley Rise Estate5B</v>
      </c>
      <c r="E4773" s="375" t="s">
        <v>6928</v>
      </c>
      <c r="F4773" s="375" t="s">
        <v>6923</v>
      </c>
      <c r="G4773" s="375" t="s">
        <v>576</v>
      </c>
      <c r="H4773" s="375" t="s">
        <v>577</v>
      </c>
      <c r="I4773" s="63" t="s">
        <v>683</v>
      </c>
      <c r="J4773" s="47"/>
      <c r="K4773" s="46" t="s">
        <v>10735</v>
      </c>
      <c r="L4773" s="47"/>
      <c r="M4773" s="47"/>
      <c r="N4773" s="47" t="s">
        <v>6924</v>
      </c>
      <c r="O4773" s="47">
        <f t="shared" si="1068"/>
        <v>4950</v>
      </c>
      <c r="P4773" s="47" t="s">
        <v>8788</v>
      </c>
      <c r="Q4773" s="47"/>
      <c r="R4773" s="47"/>
      <c r="S4773" s="47" t="s">
        <v>4630</v>
      </c>
      <c r="T4773" s="47" t="s">
        <v>641</v>
      </c>
      <c r="U4773" s="47"/>
      <c r="V4773" s="47"/>
      <c r="W4773" s="47"/>
      <c r="X4773" s="47"/>
      <c r="Y4773" s="47"/>
      <c r="Z4773" s="47">
        <f t="shared" si="1067"/>
        <v>4620</v>
      </c>
      <c r="AA4773" s="47"/>
      <c r="AB4773" s="47"/>
      <c r="AC4773" s="47"/>
      <c r="AD4773" s="47"/>
      <c r="AE4773" s="47"/>
      <c r="AF4773" s="47"/>
      <c r="AG4773" s="47"/>
      <c r="AH4773" s="47">
        <f>IFERROR(_xlfn.XLOOKUP(Table6[[#This Row],[Suburb]],Table5[Travel Surcharge],Table5[$$]),"")</f>
        <v>8000</v>
      </c>
      <c r="AI4773" s="47"/>
      <c r="AJ4773" s="47">
        <f t="shared" si="1069"/>
        <v>4400</v>
      </c>
    </row>
    <row r="4774" spans="1:36">
      <c r="A4774" s="374" t="s">
        <v>6921</v>
      </c>
      <c r="B4774" s="374" t="s">
        <v>622</v>
      </c>
      <c r="C4774" s="374" t="s">
        <v>296</v>
      </c>
      <c r="D4774" s="375" t="str">
        <f t="shared" si="1066"/>
        <v>Winter Valley Rise Estate6A</v>
      </c>
      <c r="E4774" s="375" t="s">
        <v>6929</v>
      </c>
      <c r="F4774" s="375" t="s">
        <v>6923</v>
      </c>
      <c r="G4774" s="375" t="s">
        <v>576</v>
      </c>
      <c r="H4774" s="375" t="s">
        <v>577</v>
      </c>
      <c r="I4774" s="63" t="s">
        <v>683</v>
      </c>
      <c r="J4774" s="47"/>
      <c r="K4774" s="46" t="s">
        <v>10735</v>
      </c>
      <c r="L4774" s="47"/>
      <c r="M4774" s="47"/>
      <c r="N4774" s="47" t="s">
        <v>6924</v>
      </c>
      <c r="O4774" s="47">
        <f t="shared" si="1068"/>
        <v>4950</v>
      </c>
      <c r="P4774" s="47" t="s">
        <v>8788</v>
      </c>
      <c r="Q4774" s="47"/>
      <c r="R4774" s="47"/>
      <c r="S4774" s="47" t="s">
        <v>4630</v>
      </c>
      <c r="T4774" s="47" t="s">
        <v>641</v>
      </c>
      <c r="U4774" s="47"/>
      <c r="V4774" s="47"/>
      <c r="W4774" s="47"/>
      <c r="X4774" s="47"/>
      <c r="Y4774" s="47"/>
      <c r="Z4774" s="47">
        <f t="shared" si="1067"/>
        <v>4620</v>
      </c>
      <c r="AA4774" s="47"/>
      <c r="AB4774" s="47"/>
      <c r="AC4774" s="47"/>
      <c r="AD4774" s="47"/>
      <c r="AE4774" s="47"/>
      <c r="AF4774" s="47"/>
      <c r="AG4774" s="47"/>
      <c r="AH4774" s="47">
        <f>IFERROR(_xlfn.XLOOKUP(Table6[[#This Row],[Suburb]],Table5[Travel Surcharge],Table5[$$]),"")</f>
        <v>8000</v>
      </c>
      <c r="AI4774" s="47"/>
      <c r="AJ4774" s="47">
        <f t="shared" si="1069"/>
        <v>4400</v>
      </c>
    </row>
    <row r="4775" spans="1:36">
      <c r="A4775" s="374" t="s">
        <v>6921</v>
      </c>
      <c r="B4775" s="374" t="s">
        <v>624</v>
      </c>
      <c r="C4775" s="374" t="s">
        <v>296</v>
      </c>
      <c r="D4775" s="375" t="str">
        <f t="shared" si="1066"/>
        <v>Winter Valley Rise Estate6B</v>
      </c>
      <c r="E4775" s="375" t="s">
        <v>6930</v>
      </c>
      <c r="F4775" s="375" t="s">
        <v>6923</v>
      </c>
      <c r="G4775" s="375" t="s">
        <v>576</v>
      </c>
      <c r="H4775" s="375" t="s">
        <v>577</v>
      </c>
      <c r="I4775" s="63" t="s">
        <v>683</v>
      </c>
      <c r="J4775" s="47"/>
      <c r="K4775" s="46" t="s">
        <v>10735</v>
      </c>
      <c r="L4775" s="47"/>
      <c r="M4775" s="47"/>
      <c r="N4775" s="47" t="s">
        <v>6924</v>
      </c>
      <c r="O4775" s="47">
        <f t="shared" si="1068"/>
        <v>4950</v>
      </c>
      <c r="P4775" s="47" t="s">
        <v>8788</v>
      </c>
      <c r="Q4775" s="47"/>
      <c r="R4775" s="47"/>
      <c r="S4775" s="47" t="s">
        <v>4630</v>
      </c>
      <c r="T4775" s="47" t="s">
        <v>641</v>
      </c>
      <c r="U4775" s="47"/>
      <c r="V4775" s="47"/>
      <c r="W4775" s="47"/>
      <c r="X4775" s="47"/>
      <c r="Y4775" s="47"/>
      <c r="Z4775" s="47">
        <f t="shared" si="1067"/>
        <v>4620</v>
      </c>
      <c r="AA4775" s="47"/>
      <c r="AB4775" s="47"/>
      <c r="AC4775" s="47"/>
      <c r="AD4775" s="47"/>
      <c r="AE4775" s="47"/>
      <c r="AF4775" s="47"/>
      <c r="AG4775" s="47"/>
      <c r="AH4775" s="47">
        <f>IFERROR(_xlfn.XLOOKUP(Table6[[#This Row],[Suburb]],Table5[Travel Surcharge],Table5[$$]),"")</f>
        <v>8000</v>
      </c>
      <c r="AI4775" s="47"/>
      <c r="AJ4775" s="47">
        <f t="shared" si="1069"/>
        <v>4400</v>
      </c>
    </row>
    <row r="4776" spans="1:36">
      <c r="A4776" s="157" t="s">
        <v>6932</v>
      </c>
      <c r="B4776" s="157">
        <v>1</v>
      </c>
      <c r="C4776" s="157" t="s">
        <v>296</v>
      </c>
      <c r="D4776" s="157" t="str">
        <f t="shared" si="1066"/>
        <v>Winterfield Estate1</v>
      </c>
      <c r="E4776" s="157" t="s">
        <v>7929</v>
      </c>
      <c r="F4776" s="157" t="s">
        <v>6472</v>
      </c>
      <c r="G4776" s="157" t="s">
        <v>6934</v>
      </c>
      <c r="H4776" s="157" t="s">
        <v>6935</v>
      </c>
      <c r="I4776" s="158" t="s">
        <v>6936</v>
      </c>
      <c r="J4776" s="47"/>
      <c r="K4776" s="46" t="s">
        <v>10735</v>
      </c>
      <c r="L4776" s="47"/>
      <c r="M4776" s="47"/>
      <c r="N4776" s="47" t="s">
        <v>6937</v>
      </c>
      <c r="O4776" s="47">
        <f t="shared" si="1068"/>
        <v>4950</v>
      </c>
      <c r="P4776" s="47" t="s">
        <v>8788</v>
      </c>
      <c r="Q4776" s="47"/>
      <c r="R4776" s="47"/>
      <c r="S4776" s="47"/>
      <c r="T4776" s="47"/>
      <c r="U4776" s="47">
        <f t="shared" ref="U4776:U4817" si="1070">U$2</f>
        <v>430</v>
      </c>
      <c r="V4776" s="47"/>
      <c r="W4776" s="47"/>
      <c r="X4776" s="47"/>
      <c r="Y4776" s="47"/>
      <c r="Z4776" s="47">
        <f t="shared" si="1067"/>
        <v>4620</v>
      </c>
      <c r="AA4776" s="47"/>
      <c r="AB4776" s="47"/>
      <c r="AC4776" s="47" t="s">
        <v>6938</v>
      </c>
      <c r="AD4776" s="47"/>
      <c r="AE4776" s="47"/>
      <c r="AF4776" s="47"/>
      <c r="AG4776" s="47"/>
      <c r="AH4776" s="47">
        <f>IFERROR(_xlfn.XLOOKUP(Table6[[#This Row],[Suburb]],Table5[Travel Surcharge],Table5[$$]),"")</f>
        <v>8000</v>
      </c>
      <c r="AI4776" s="47"/>
      <c r="AJ4776" s="47">
        <f t="shared" si="1069"/>
        <v>4400</v>
      </c>
    </row>
    <row r="4777" spans="1:36">
      <c r="A4777" s="374" t="s">
        <v>6932</v>
      </c>
      <c r="B4777" s="374">
        <v>2</v>
      </c>
      <c r="C4777" s="374" t="s">
        <v>296</v>
      </c>
      <c r="D4777" s="375" t="str">
        <f t="shared" si="1066"/>
        <v>Winterfield Estate2</v>
      </c>
      <c r="E4777" s="375" t="s">
        <v>8982</v>
      </c>
      <c r="F4777" s="375" t="s">
        <v>6472</v>
      </c>
      <c r="G4777" s="375" t="s">
        <v>6934</v>
      </c>
      <c r="H4777" s="375" t="s">
        <v>6935</v>
      </c>
      <c r="I4777" s="63" t="s">
        <v>6936</v>
      </c>
      <c r="J4777" s="47"/>
      <c r="K4777" s="46" t="s">
        <v>10735</v>
      </c>
      <c r="L4777" s="47"/>
      <c r="M4777" s="47"/>
      <c r="N4777" s="47" t="s">
        <v>6937</v>
      </c>
      <c r="O4777" s="47">
        <f t="shared" si="1068"/>
        <v>4950</v>
      </c>
      <c r="P4777" s="47" t="s">
        <v>8788</v>
      </c>
      <c r="Q4777" s="47"/>
      <c r="R4777" s="47"/>
      <c r="S4777" s="47"/>
      <c r="T4777" s="47"/>
      <c r="U4777" s="47">
        <f t="shared" si="1070"/>
        <v>430</v>
      </c>
      <c r="V4777" s="47"/>
      <c r="W4777" s="47"/>
      <c r="X4777" s="47"/>
      <c r="Y4777" s="47"/>
      <c r="Z4777" s="47">
        <f t="shared" si="1067"/>
        <v>4620</v>
      </c>
      <c r="AA4777" s="47"/>
      <c r="AB4777" s="47"/>
      <c r="AC4777" s="47" t="s">
        <v>6938</v>
      </c>
      <c r="AD4777" s="47"/>
      <c r="AE4777" s="47"/>
      <c r="AF4777" s="47"/>
      <c r="AG4777" s="47"/>
      <c r="AH4777" s="47">
        <f>IFERROR(_xlfn.XLOOKUP(Table6[[#This Row],[Suburb]],Table5[Travel Surcharge],Table5[$$]),"")</f>
        <v>8000</v>
      </c>
      <c r="AI4777" s="47"/>
      <c r="AJ4777" s="47">
        <f t="shared" si="1069"/>
        <v>4400</v>
      </c>
    </row>
    <row r="4778" spans="1:36">
      <c r="A4778" s="374" t="s">
        <v>6932</v>
      </c>
      <c r="B4778" s="374">
        <v>3</v>
      </c>
      <c r="C4778" s="374" t="s">
        <v>296</v>
      </c>
      <c r="D4778" s="375" t="str">
        <f t="shared" si="1066"/>
        <v>Winterfield Estate3</v>
      </c>
      <c r="E4778" s="375" t="s">
        <v>6933</v>
      </c>
      <c r="F4778" s="375" t="s">
        <v>6472</v>
      </c>
      <c r="G4778" s="375" t="s">
        <v>6934</v>
      </c>
      <c r="H4778" s="375" t="s">
        <v>6935</v>
      </c>
      <c r="I4778" s="63" t="s">
        <v>6936</v>
      </c>
      <c r="J4778" s="47"/>
      <c r="K4778" s="46" t="s">
        <v>10735</v>
      </c>
      <c r="L4778" s="47"/>
      <c r="M4778" s="47"/>
      <c r="N4778" s="47" t="s">
        <v>6937</v>
      </c>
      <c r="O4778" s="47">
        <f t="shared" si="1068"/>
        <v>4950</v>
      </c>
      <c r="P4778" s="47" t="s">
        <v>8788</v>
      </c>
      <c r="Q4778" s="47"/>
      <c r="R4778" s="47"/>
      <c r="S4778" s="47"/>
      <c r="T4778" s="47"/>
      <c r="U4778" s="47">
        <f t="shared" si="1070"/>
        <v>430</v>
      </c>
      <c r="V4778" s="47"/>
      <c r="W4778" s="47"/>
      <c r="X4778" s="47"/>
      <c r="Y4778" s="47"/>
      <c r="Z4778" s="47">
        <f t="shared" si="1067"/>
        <v>4620</v>
      </c>
      <c r="AA4778" s="47"/>
      <c r="AB4778" s="47"/>
      <c r="AC4778" s="47" t="s">
        <v>6938</v>
      </c>
      <c r="AD4778" s="47"/>
      <c r="AE4778" s="47"/>
      <c r="AF4778" s="47"/>
      <c r="AG4778" s="47"/>
      <c r="AH4778" s="47">
        <f>IFERROR(_xlfn.XLOOKUP(Table6[[#This Row],[Suburb]],Table5[Travel Surcharge],Table5[$$]),"")</f>
        <v>8000</v>
      </c>
      <c r="AI4778" s="47"/>
      <c r="AJ4778" s="47">
        <f t="shared" si="1069"/>
        <v>4400</v>
      </c>
    </row>
    <row r="4779" spans="1:36">
      <c r="A4779" s="374" t="s">
        <v>6932</v>
      </c>
      <c r="B4779" s="374" t="s">
        <v>606</v>
      </c>
      <c r="C4779" s="374" t="s">
        <v>296</v>
      </c>
      <c r="D4779" s="375" t="str">
        <f t="shared" ref="D4779" si="1071">CONCATENATE(A4779,B4779)</f>
        <v>Winterfield Estate3A</v>
      </c>
      <c r="E4779" s="375" t="s">
        <v>10978</v>
      </c>
      <c r="F4779" s="375" t="s">
        <v>6472</v>
      </c>
      <c r="G4779" s="375" t="s">
        <v>6934</v>
      </c>
      <c r="H4779" s="375" t="s">
        <v>6935</v>
      </c>
      <c r="I4779" s="63" t="s">
        <v>6936</v>
      </c>
      <c r="J4779" s="47"/>
      <c r="K4779" s="46" t="s">
        <v>10735</v>
      </c>
      <c r="L4779" s="47"/>
      <c r="M4779" s="47"/>
      <c r="N4779" s="47" t="s">
        <v>6937</v>
      </c>
      <c r="O4779" s="47">
        <f t="shared" si="1068"/>
        <v>4950</v>
      </c>
      <c r="P4779" s="47" t="s">
        <v>8788</v>
      </c>
      <c r="Q4779" s="47"/>
      <c r="R4779" s="47"/>
      <c r="S4779" s="47"/>
      <c r="T4779" s="47"/>
      <c r="U4779" s="47">
        <f t="shared" si="1070"/>
        <v>430</v>
      </c>
      <c r="V4779" s="47"/>
      <c r="W4779" s="47"/>
      <c r="X4779" s="47"/>
      <c r="Y4779" s="47"/>
      <c r="Z4779" s="47">
        <f t="shared" si="1067"/>
        <v>4620</v>
      </c>
      <c r="AA4779" s="47"/>
      <c r="AB4779" s="47"/>
      <c r="AC4779" s="47" t="s">
        <v>6938</v>
      </c>
      <c r="AD4779" s="47"/>
      <c r="AE4779" s="47"/>
      <c r="AF4779" s="47"/>
      <c r="AG4779" s="47"/>
      <c r="AH4779" s="47">
        <f>IFERROR(_xlfn.XLOOKUP(Table6[[#This Row],[Suburb]],Table5[Travel Surcharge],Table5[$$]),"")</f>
        <v>8000</v>
      </c>
      <c r="AI4779" s="47"/>
      <c r="AJ4779" s="47">
        <f t="shared" si="1069"/>
        <v>4400</v>
      </c>
    </row>
    <row r="4780" spans="1:36">
      <c r="A4780" s="374" t="s">
        <v>6932</v>
      </c>
      <c r="B4780" s="374">
        <v>4</v>
      </c>
      <c r="C4780" s="374" t="s">
        <v>296</v>
      </c>
      <c r="D4780" s="375" t="str">
        <f t="shared" si="1066"/>
        <v>Winterfield Estate4</v>
      </c>
      <c r="E4780" s="375" t="s">
        <v>6925</v>
      </c>
      <c r="F4780" s="375" t="s">
        <v>6472</v>
      </c>
      <c r="G4780" s="375" t="s">
        <v>6934</v>
      </c>
      <c r="H4780" s="375" t="s">
        <v>6935</v>
      </c>
      <c r="I4780" s="63" t="s">
        <v>6936</v>
      </c>
      <c r="J4780" s="47"/>
      <c r="K4780" s="46" t="s">
        <v>10735</v>
      </c>
      <c r="L4780" s="47"/>
      <c r="M4780" s="47"/>
      <c r="N4780" s="47" t="s">
        <v>6937</v>
      </c>
      <c r="O4780" s="47">
        <f t="shared" si="1068"/>
        <v>4950</v>
      </c>
      <c r="P4780" s="47" t="s">
        <v>8788</v>
      </c>
      <c r="Q4780" s="47"/>
      <c r="R4780" s="47"/>
      <c r="S4780" s="47"/>
      <c r="T4780" s="47"/>
      <c r="U4780" s="47">
        <f t="shared" si="1070"/>
        <v>430</v>
      </c>
      <c r="V4780" s="47"/>
      <c r="W4780" s="47"/>
      <c r="X4780" s="47"/>
      <c r="Y4780" s="47"/>
      <c r="Z4780" s="47">
        <f t="shared" si="1067"/>
        <v>4620</v>
      </c>
      <c r="AA4780" s="47"/>
      <c r="AB4780" s="47"/>
      <c r="AC4780" s="47" t="s">
        <v>6938</v>
      </c>
      <c r="AD4780" s="47"/>
      <c r="AE4780" s="47"/>
      <c r="AF4780" s="47"/>
      <c r="AG4780" s="47"/>
      <c r="AH4780" s="47">
        <f>IFERROR(_xlfn.XLOOKUP(Table6[[#This Row],[Suburb]],Table5[Travel Surcharge],Table5[$$]),"")</f>
        <v>8000</v>
      </c>
      <c r="AI4780" s="47"/>
      <c r="AJ4780" s="47">
        <f t="shared" si="1069"/>
        <v>4400</v>
      </c>
    </row>
    <row r="4781" spans="1:36">
      <c r="A4781" s="374" t="s">
        <v>6932</v>
      </c>
      <c r="B4781" s="374">
        <v>5</v>
      </c>
      <c r="C4781" s="374" t="s">
        <v>296</v>
      </c>
      <c r="D4781" s="375" t="str">
        <f t="shared" si="1066"/>
        <v>Winterfield Estate5</v>
      </c>
      <c r="E4781" s="375" t="s">
        <v>6939</v>
      </c>
      <c r="F4781" s="375" t="s">
        <v>6472</v>
      </c>
      <c r="G4781" s="375" t="s">
        <v>6934</v>
      </c>
      <c r="H4781" s="375" t="s">
        <v>6935</v>
      </c>
      <c r="I4781" s="63" t="s">
        <v>6936</v>
      </c>
      <c r="J4781" s="47"/>
      <c r="K4781" s="46" t="s">
        <v>10735</v>
      </c>
      <c r="L4781" s="47"/>
      <c r="M4781" s="47"/>
      <c r="N4781" s="47" t="s">
        <v>6937</v>
      </c>
      <c r="O4781" s="47">
        <f t="shared" si="1068"/>
        <v>4950</v>
      </c>
      <c r="P4781" s="47" t="s">
        <v>8788</v>
      </c>
      <c r="Q4781" s="47"/>
      <c r="R4781" s="47"/>
      <c r="S4781" s="47"/>
      <c r="T4781" s="47"/>
      <c r="U4781" s="47">
        <f t="shared" si="1070"/>
        <v>430</v>
      </c>
      <c r="V4781" s="47"/>
      <c r="W4781" s="47"/>
      <c r="X4781" s="47"/>
      <c r="Y4781" s="47"/>
      <c r="Z4781" s="47">
        <f t="shared" si="1067"/>
        <v>4620</v>
      </c>
      <c r="AA4781" s="47"/>
      <c r="AB4781" s="47"/>
      <c r="AC4781" s="47" t="s">
        <v>6938</v>
      </c>
      <c r="AD4781" s="47"/>
      <c r="AE4781" s="47"/>
      <c r="AF4781" s="47"/>
      <c r="AG4781" s="47"/>
      <c r="AH4781" s="47">
        <f>IFERROR(_xlfn.XLOOKUP(Table6[[#This Row],[Suburb]],Table5[Travel Surcharge],Table5[$$]),"")</f>
        <v>8000</v>
      </c>
      <c r="AI4781" s="47"/>
      <c r="AJ4781" s="47">
        <f t="shared" si="1069"/>
        <v>4400</v>
      </c>
    </row>
    <row r="4782" spans="1:36">
      <c r="A4782" s="374" t="s">
        <v>6932</v>
      </c>
      <c r="B4782" s="374">
        <v>6</v>
      </c>
      <c r="C4782" s="374" t="s">
        <v>296</v>
      </c>
      <c r="D4782" s="375" t="str">
        <f t="shared" si="1066"/>
        <v>Winterfield Estate6</v>
      </c>
      <c r="E4782" s="375" t="s">
        <v>6940</v>
      </c>
      <c r="F4782" s="375" t="s">
        <v>6472</v>
      </c>
      <c r="G4782" s="375" t="s">
        <v>6934</v>
      </c>
      <c r="H4782" s="375" t="s">
        <v>6935</v>
      </c>
      <c r="I4782" s="63" t="s">
        <v>6936</v>
      </c>
      <c r="J4782" s="47"/>
      <c r="K4782" s="46" t="s">
        <v>10735</v>
      </c>
      <c r="L4782" s="47"/>
      <c r="M4782" s="47"/>
      <c r="N4782" s="47" t="s">
        <v>6937</v>
      </c>
      <c r="O4782" s="47">
        <f t="shared" si="1068"/>
        <v>4950</v>
      </c>
      <c r="P4782" s="47" t="s">
        <v>8788</v>
      </c>
      <c r="Q4782" s="47"/>
      <c r="R4782" s="47"/>
      <c r="S4782" s="47"/>
      <c r="T4782" s="47"/>
      <c r="U4782" s="47">
        <f t="shared" si="1070"/>
        <v>430</v>
      </c>
      <c r="V4782" s="47"/>
      <c r="W4782" s="47"/>
      <c r="X4782" s="47"/>
      <c r="Y4782" s="47"/>
      <c r="Z4782" s="47">
        <f t="shared" si="1067"/>
        <v>4620</v>
      </c>
      <c r="AA4782" s="47"/>
      <c r="AB4782" s="47"/>
      <c r="AC4782" s="47" t="s">
        <v>6938</v>
      </c>
      <c r="AD4782" s="47"/>
      <c r="AE4782" s="47"/>
      <c r="AF4782" s="47"/>
      <c r="AG4782" s="47"/>
      <c r="AH4782" s="47">
        <f>IFERROR(_xlfn.XLOOKUP(Table6[[#This Row],[Suburb]],Table5[Travel Surcharge],Table5[$$]),"")</f>
        <v>8000</v>
      </c>
      <c r="AI4782" s="47"/>
      <c r="AJ4782" s="47">
        <f t="shared" si="1069"/>
        <v>4400</v>
      </c>
    </row>
    <row r="4783" spans="1:36">
      <c r="A4783" s="374" t="s">
        <v>6932</v>
      </c>
      <c r="B4783" s="374">
        <v>7</v>
      </c>
      <c r="C4783" s="374" t="s">
        <v>296</v>
      </c>
      <c r="D4783" s="375" t="str">
        <f t="shared" si="1066"/>
        <v>Winterfield Estate7</v>
      </c>
      <c r="E4783" s="375" t="s">
        <v>6941</v>
      </c>
      <c r="F4783" s="375" t="s">
        <v>6472</v>
      </c>
      <c r="G4783" s="375" t="s">
        <v>6934</v>
      </c>
      <c r="H4783" s="375" t="s">
        <v>6935</v>
      </c>
      <c r="I4783" s="63" t="s">
        <v>6936</v>
      </c>
      <c r="J4783" s="47"/>
      <c r="K4783" s="46" t="s">
        <v>10735</v>
      </c>
      <c r="L4783" s="47"/>
      <c r="M4783" s="47"/>
      <c r="N4783" s="47" t="s">
        <v>6937</v>
      </c>
      <c r="O4783" s="47">
        <f t="shared" si="1068"/>
        <v>4950</v>
      </c>
      <c r="P4783" s="47" t="s">
        <v>8788</v>
      </c>
      <c r="Q4783" s="47"/>
      <c r="R4783" s="47"/>
      <c r="S4783" s="47"/>
      <c r="T4783" s="47"/>
      <c r="U4783" s="47">
        <f t="shared" si="1070"/>
        <v>430</v>
      </c>
      <c r="V4783" s="47"/>
      <c r="W4783" s="47"/>
      <c r="X4783" s="47"/>
      <c r="Y4783" s="47"/>
      <c r="Z4783" s="47">
        <f t="shared" si="1067"/>
        <v>4620</v>
      </c>
      <c r="AA4783" s="47"/>
      <c r="AB4783" s="47"/>
      <c r="AC4783" s="47" t="s">
        <v>6938</v>
      </c>
      <c r="AD4783" s="47"/>
      <c r="AE4783" s="47"/>
      <c r="AF4783" s="47"/>
      <c r="AG4783" s="47"/>
      <c r="AH4783" s="47">
        <f>IFERROR(_xlfn.XLOOKUP(Table6[[#This Row],[Suburb]],Table5[Travel Surcharge],Table5[$$]),"")</f>
        <v>8000</v>
      </c>
      <c r="AI4783" s="47"/>
      <c r="AJ4783" s="47">
        <f t="shared" si="1069"/>
        <v>4400</v>
      </c>
    </row>
    <row r="4784" spans="1:36">
      <c r="A4784" s="374" t="s">
        <v>6932</v>
      </c>
      <c r="B4784" s="374">
        <v>8</v>
      </c>
      <c r="C4784" s="374" t="s">
        <v>296</v>
      </c>
      <c r="D4784" s="375" t="str">
        <f t="shared" si="1066"/>
        <v>Winterfield Estate8</v>
      </c>
      <c r="E4784" s="375" t="s">
        <v>6942</v>
      </c>
      <c r="F4784" s="375" t="s">
        <v>6472</v>
      </c>
      <c r="G4784" s="375" t="s">
        <v>6934</v>
      </c>
      <c r="H4784" s="375" t="s">
        <v>6935</v>
      </c>
      <c r="I4784" s="63" t="s">
        <v>6936</v>
      </c>
      <c r="J4784" s="47"/>
      <c r="K4784" s="46" t="s">
        <v>10735</v>
      </c>
      <c r="L4784" s="47"/>
      <c r="M4784" s="47"/>
      <c r="N4784" s="47" t="s">
        <v>6937</v>
      </c>
      <c r="O4784" s="47">
        <f t="shared" si="1068"/>
        <v>4950</v>
      </c>
      <c r="P4784" s="47" t="s">
        <v>8788</v>
      </c>
      <c r="Q4784" s="47"/>
      <c r="R4784" s="47"/>
      <c r="S4784" s="47"/>
      <c r="T4784" s="47"/>
      <c r="U4784" s="47">
        <f t="shared" si="1070"/>
        <v>430</v>
      </c>
      <c r="V4784" s="47"/>
      <c r="W4784" s="47"/>
      <c r="X4784" s="47"/>
      <c r="Y4784" s="47"/>
      <c r="Z4784" s="47">
        <f t="shared" si="1067"/>
        <v>4620</v>
      </c>
      <c r="AA4784" s="47"/>
      <c r="AB4784" s="47"/>
      <c r="AC4784" s="47" t="s">
        <v>6938</v>
      </c>
      <c r="AD4784" s="47"/>
      <c r="AE4784" s="47"/>
      <c r="AF4784" s="47"/>
      <c r="AG4784" s="47"/>
      <c r="AH4784" s="47">
        <f>IFERROR(_xlfn.XLOOKUP(Table6[[#This Row],[Suburb]],Table5[Travel Surcharge],Table5[$$]),"")</f>
        <v>8000</v>
      </c>
      <c r="AI4784" s="47"/>
      <c r="AJ4784" s="47">
        <f t="shared" si="1069"/>
        <v>4400</v>
      </c>
    </row>
    <row r="4785" spans="1:36">
      <c r="A4785" s="374" t="s">
        <v>6932</v>
      </c>
      <c r="B4785" s="374">
        <v>9</v>
      </c>
      <c r="C4785" s="374" t="s">
        <v>296</v>
      </c>
      <c r="D4785" s="375" t="str">
        <f t="shared" si="1066"/>
        <v>Winterfield Estate9</v>
      </c>
      <c r="E4785" s="375" t="s">
        <v>6943</v>
      </c>
      <c r="F4785" s="375" t="s">
        <v>6472</v>
      </c>
      <c r="G4785" s="375" t="s">
        <v>6934</v>
      </c>
      <c r="H4785" s="375" t="s">
        <v>6935</v>
      </c>
      <c r="I4785" s="63" t="s">
        <v>6936</v>
      </c>
      <c r="J4785" s="47"/>
      <c r="K4785" s="46" t="s">
        <v>10735</v>
      </c>
      <c r="L4785" s="47"/>
      <c r="M4785" s="47"/>
      <c r="N4785" s="47" t="s">
        <v>6937</v>
      </c>
      <c r="O4785" s="47">
        <f t="shared" si="1068"/>
        <v>4950</v>
      </c>
      <c r="P4785" s="47" t="s">
        <v>8788</v>
      </c>
      <c r="Q4785" s="47"/>
      <c r="R4785" s="47"/>
      <c r="S4785" s="47"/>
      <c r="T4785" s="47"/>
      <c r="U4785" s="47">
        <f t="shared" si="1070"/>
        <v>430</v>
      </c>
      <c r="V4785" s="47"/>
      <c r="W4785" s="47"/>
      <c r="X4785" s="47"/>
      <c r="Y4785" s="47"/>
      <c r="Z4785" s="47">
        <f t="shared" si="1067"/>
        <v>4620</v>
      </c>
      <c r="AA4785" s="47"/>
      <c r="AB4785" s="47"/>
      <c r="AC4785" s="47" t="s">
        <v>6938</v>
      </c>
      <c r="AD4785" s="47"/>
      <c r="AE4785" s="47"/>
      <c r="AF4785" s="47"/>
      <c r="AG4785" s="47"/>
      <c r="AH4785" s="47">
        <f>IFERROR(_xlfn.XLOOKUP(Table6[[#This Row],[Suburb]],Table5[Travel Surcharge],Table5[$$]),"")</f>
        <v>8000</v>
      </c>
      <c r="AI4785" s="47"/>
      <c r="AJ4785" s="47">
        <f t="shared" si="1069"/>
        <v>4400</v>
      </c>
    </row>
    <row r="4786" spans="1:36">
      <c r="A4786" s="374" t="s">
        <v>6932</v>
      </c>
      <c r="B4786" s="374">
        <v>10</v>
      </c>
      <c r="C4786" s="374" t="s">
        <v>296</v>
      </c>
      <c r="D4786" s="375" t="str">
        <f t="shared" si="1066"/>
        <v>Winterfield Estate10</v>
      </c>
      <c r="E4786" s="375" t="s">
        <v>6944</v>
      </c>
      <c r="F4786" s="375" t="s">
        <v>6472</v>
      </c>
      <c r="G4786" s="375" t="s">
        <v>6934</v>
      </c>
      <c r="H4786" s="375" t="s">
        <v>6935</v>
      </c>
      <c r="I4786" s="63" t="s">
        <v>6936</v>
      </c>
      <c r="J4786" s="47"/>
      <c r="K4786" s="46" t="s">
        <v>10735</v>
      </c>
      <c r="L4786" s="47"/>
      <c r="M4786" s="47"/>
      <c r="N4786" s="47" t="s">
        <v>6937</v>
      </c>
      <c r="O4786" s="47">
        <f t="shared" si="1068"/>
        <v>4950</v>
      </c>
      <c r="P4786" s="47" t="s">
        <v>8788</v>
      </c>
      <c r="Q4786" s="47"/>
      <c r="R4786" s="47"/>
      <c r="S4786" s="47"/>
      <c r="T4786" s="47"/>
      <c r="U4786" s="47">
        <f t="shared" si="1070"/>
        <v>430</v>
      </c>
      <c r="V4786" s="47"/>
      <c r="W4786" s="47"/>
      <c r="X4786" s="47"/>
      <c r="Y4786" s="47"/>
      <c r="Z4786" s="47">
        <f t="shared" si="1067"/>
        <v>4620</v>
      </c>
      <c r="AA4786" s="47"/>
      <c r="AB4786" s="47"/>
      <c r="AC4786" s="47" t="s">
        <v>6938</v>
      </c>
      <c r="AD4786" s="47"/>
      <c r="AE4786" s="47"/>
      <c r="AF4786" s="47"/>
      <c r="AG4786" s="47"/>
      <c r="AH4786" s="47">
        <f>IFERROR(_xlfn.XLOOKUP(Table6[[#This Row],[Suburb]],Table5[Travel Surcharge],Table5[$$]),"")</f>
        <v>8000</v>
      </c>
      <c r="AI4786" s="47"/>
      <c r="AJ4786" s="47">
        <f t="shared" si="1069"/>
        <v>4400</v>
      </c>
    </row>
    <row r="4787" spans="1:36">
      <c r="A4787" s="374" t="s">
        <v>6932</v>
      </c>
      <c r="B4787" s="374">
        <v>11</v>
      </c>
      <c r="C4787" s="374" t="s">
        <v>296</v>
      </c>
      <c r="D4787" s="375" t="str">
        <f t="shared" si="1066"/>
        <v>Winterfield Estate11</v>
      </c>
      <c r="E4787" s="375" t="s">
        <v>6945</v>
      </c>
      <c r="F4787" s="375" t="s">
        <v>6472</v>
      </c>
      <c r="G4787" s="375" t="s">
        <v>6934</v>
      </c>
      <c r="H4787" s="375" t="s">
        <v>6935</v>
      </c>
      <c r="I4787" s="63" t="s">
        <v>6936</v>
      </c>
      <c r="J4787" s="47"/>
      <c r="K4787" s="46" t="s">
        <v>10735</v>
      </c>
      <c r="L4787" s="47"/>
      <c r="M4787" s="47"/>
      <c r="N4787" s="47" t="s">
        <v>6937</v>
      </c>
      <c r="O4787" s="47">
        <f t="shared" si="1068"/>
        <v>4950</v>
      </c>
      <c r="P4787" s="47" t="s">
        <v>8788</v>
      </c>
      <c r="Q4787" s="47"/>
      <c r="R4787" s="47"/>
      <c r="S4787" s="47"/>
      <c r="T4787" s="47"/>
      <c r="U4787" s="47">
        <f t="shared" si="1070"/>
        <v>430</v>
      </c>
      <c r="V4787" s="47"/>
      <c r="W4787" s="47"/>
      <c r="X4787" s="47"/>
      <c r="Y4787" s="47"/>
      <c r="Z4787" s="47">
        <f t="shared" si="1067"/>
        <v>4620</v>
      </c>
      <c r="AA4787" s="47"/>
      <c r="AB4787" s="47"/>
      <c r="AC4787" s="47" t="s">
        <v>6938</v>
      </c>
      <c r="AD4787" s="47"/>
      <c r="AE4787" s="47"/>
      <c r="AF4787" s="47"/>
      <c r="AG4787" s="47"/>
      <c r="AH4787" s="47">
        <f>IFERROR(_xlfn.XLOOKUP(Table6[[#This Row],[Suburb]],Table5[Travel Surcharge],Table5[$$]),"")</f>
        <v>8000</v>
      </c>
      <c r="AI4787" s="47"/>
      <c r="AJ4787" s="47">
        <f t="shared" si="1069"/>
        <v>4400</v>
      </c>
    </row>
    <row r="4788" spans="1:36">
      <c r="A4788" s="374" t="s">
        <v>6932</v>
      </c>
      <c r="B4788" s="374">
        <v>12</v>
      </c>
      <c r="C4788" s="374" t="s">
        <v>296</v>
      </c>
      <c r="D4788" s="375" t="str">
        <f t="shared" si="1066"/>
        <v>Winterfield Estate12</v>
      </c>
      <c r="E4788" s="375" t="s">
        <v>6944</v>
      </c>
      <c r="F4788" s="375" t="s">
        <v>6472</v>
      </c>
      <c r="G4788" s="375" t="s">
        <v>6934</v>
      </c>
      <c r="H4788" s="375" t="s">
        <v>6935</v>
      </c>
      <c r="I4788" s="63" t="s">
        <v>6936</v>
      </c>
      <c r="J4788" s="47"/>
      <c r="K4788" s="46" t="s">
        <v>10735</v>
      </c>
      <c r="L4788" s="47"/>
      <c r="M4788" s="47"/>
      <c r="N4788" s="47" t="s">
        <v>6937</v>
      </c>
      <c r="O4788" s="47">
        <v>4950</v>
      </c>
      <c r="P4788" s="47" t="s">
        <v>8788</v>
      </c>
      <c r="Q4788" s="47"/>
      <c r="R4788" s="47"/>
      <c r="S4788" s="47"/>
      <c r="T4788" s="47"/>
      <c r="U4788" s="47">
        <v>540</v>
      </c>
      <c r="V4788" s="47"/>
      <c r="W4788" s="47"/>
      <c r="X4788" s="47"/>
      <c r="Y4788" s="47"/>
      <c r="Z4788" s="47">
        <v>4620</v>
      </c>
      <c r="AA4788" s="47"/>
      <c r="AB4788" s="47"/>
      <c r="AC4788" s="47" t="s">
        <v>6938</v>
      </c>
      <c r="AD4788" s="47"/>
      <c r="AE4788" s="47"/>
      <c r="AF4788" s="47"/>
      <c r="AG4788" s="47"/>
      <c r="AH4788" s="47">
        <v>8000</v>
      </c>
      <c r="AI4788" s="47"/>
      <c r="AJ4788" s="47">
        <v>4400</v>
      </c>
    </row>
    <row r="4789" spans="1:36">
      <c r="A4789" s="374" t="s">
        <v>6932</v>
      </c>
      <c r="B4789" s="374">
        <v>13</v>
      </c>
      <c r="C4789" s="374" t="s">
        <v>296</v>
      </c>
      <c r="D4789" s="375" t="str">
        <f t="shared" si="1066"/>
        <v>Winterfield Estate13</v>
      </c>
      <c r="E4789" s="375" t="s">
        <v>6946</v>
      </c>
      <c r="F4789" s="375" t="s">
        <v>6472</v>
      </c>
      <c r="G4789" s="375" t="s">
        <v>6934</v>
      </c>
      <c r="H4789" s="375" t="s">
        <v>6935</v>
      </c>
      <c r="I4789" s="63" t="s">
        <v>6936</v>
      </c>
      <c r="J4789" s="47"/>
      <c r="K4789" s="46" t="s">
        <v>10735</v>
      </c>
      <c r="L4789" s="47"/>
      <c r="M4789" s="47"/>
      <c r="N4789" s="47" t="s">
        <v>6937</v>
      </c>
      <c r="O4789" s="47">
        <f t="shared" si="1068"/>
        <v>4950</v>
      </c>
      <c r="P4789" s="47" t="s">
        <v>8788</v>
      </c>
      <c r="Q4789" s="47"/>
      <c r="R4789" s="47"/>
      <c r="S4789" s="47"/>
      <c r="T4789" s="47"/>
      <c r="U4789" s="47">
        <f t="shared" si="1070"/>
        <v>430</v>
      </c>
      <c r="V4789" s="47"/>
      <c r="W4789" s="47"/>
      <c r="X4789" s="47"/>
      <c r="Y4789" s="47"/>
      <c r="Z4789" s="47">
        <f t="shared" si="1067"/>
        <v>4620</v>
      </c>
      <c r="AA4789" s="47"/>
      <c r="AB4789" s="47"/>
      <c r="AC4789" s="47" t="s">
        <v>6938</v>
      </c>
      <c r="AD4789" s="47"/>
      <c r="AE4789" s="47"/>
      <c r="AF4789" s="47"/>
      <c r="AG4789" s="47"/>
      <c r="AH4789" s="47">
        <f>IFERROR(_xlfn.XLOOKUP(Table6[[#This Row],[Suburb]],Table5[Travel Surcharge],Table5[$$]),"")</f>
        <v>8000</v>
      </c>
      <c r="AI4789" s="47"/>
      <c r="AJ4789" s="47">
        <f t="shared" si="1069"/>
        <v>4400</v>
      </c>
    </row>
    <row r="4790" spans="1:36">
      <c r="A4790" s="374" t="s">
        <v>6932</v>
      </c>
      <c r="B4790" s="374" t="s">
        <v>5251</v>
      </c>
      <c r="C4790" s="374" t="s">
        <v>296</v>
      </c>
      <c r="D4790" s="375" t="str">
        <f t="shared" si="1066"/>
        <v>Winterfield Estate14B</v>
      </c>
      <c r="E4790" s="375" t="s">
        <v>6947</v>
      </c>
      <c r="F4790" s="375" t="s">
        <v>6472</v>
      </c>
      <c r="G4790" s="375" t="s">
        <v>6934</v>
      </c>
      <c r="H4790" s="375" t="s">
        <v>6935</v>
      </c>
      <c r="I4790" s="63" t="s">
        <v>6936</v>
      </c>
      <c r="J4790" s="47"/>
      <c r="K4790" s="46" t="s">
        <v>10735</v>
      </c>
      <c r="L4790" s="47"/>
      <c r="M4790" s="47"/>
      <c r="N4790" s="47" t="s">
        <v>6937</v>
      </c>
      <c r="O4790" s="47">
        <f t="shared" si="1068"/>
        <v>4950</v>
      </c>
      <c r="P4790" s="47" t="s">
        <v>8788</v>
      </c>
      <c r="Q4790" s="47"/>
      <c r="R4790" s="47"/>
      <c r="S4790" s="47"/>
      <c r="T4790" s="47"/>
      <c r="U4790" s="47">
        <f t="shared" si="1070"/>
        <v>430</v>
      </c>
      <c r="V4790" s="47"/>
      <c r="W4790" s="47"/>
      <c r="X4790" s="47"/>
      <c r="Y4790" s="47"/>
      <c r="Z4790" s="47">
        <f t="shared" si="1067"/>
        <v>4620</v>
      </c>
      <c r="AA4790" s="47"/>
      <c r="AB4790" s="47"/>
      <c r="AC4790" s="47" t="s">
        <v>6938</v>
      </c>
      <c r="AD4790" s="47"/>
      <c r="AE4790" s="47"/>
      <c r="AF4790" s="47"/>
      <c r="AG4790" s="47"/>
      <c r="AH4790" s="47">
        <f>IFERROR(_xlfn.XLOOKUP(Table6[[#This Row],[Suburb]],Table5[Travel Surcharge],Table5[$$]),"")</f>
        <v>8000</v>
      </c>
      <c r="AI4790" s="47"/>
      <c r="AJ4790" s="47">
        <f t="shared" si="1069"/>
        <v>4400</v>
      </c>
    </row>
    <row r="4791" spans="1:36">
      <c r="A4791" s="157" t="s">
        <v>8002</v>
      </c>
      <c r="B4791" s="157">
        <v>1</v>
      </c>
      <c r="C4791" s="157" t="s">
        <v>296</v>
      </c>
      <c r="D4791" s="157" t="str">
        <f t="shared" si="1066"/>
        <v>Winterfield North1</v>
      </c>
      <c r="E4791" s="157" t="s">
        <v>7929</v>
      </c>
      <c r="F4791" s="157" t="s">
        <v>1155</v>
      </c>
      <c r="G4791" s="157" t="s">
        <v>8003</v>
      </c>
      <c r="H4791" s="157" t="s">
        <v>8004</v>
      </c>
      <c r="I4791" s="158" t="s">
        <v>8005</v>
      </c>
      <c r="J4791" s="47"/>
      <c r="K4791" s="46" t="s">
        <v>10735</v>
      </c>
      <c r="L4791" s="47">
        <f>L$7</f>
        <v>1210</v>
      </c>
      <c r="M4791" s="47" t="s">
        <v>6953</v>
      </c>
      <c r="N4791" s="47" t="s">
        <v>8006</v>
      </c>
      <c r="O4791" s="47">
        <f t="shared" si="1068"/>
        <v>4950</v>
      </c>
      <c r="P4791" s="47" t="s">
        <v>8007</v>
      </c>
      <c r="Q4791" s="47" t="s">
        <v>8008</v>
      </c>
      <c r="R4791" s="47" t="s">
        <v>8788</v>
      </c>
      <c r="S4791" s="47"/>
      <c r="T4791" s="47"/>
      <c r="U4791" s="47">
        <f t="shared" si="1070"/>
        <v>430</v>
      </c>
      <c r="V4791" s="47"/>
      <c r="W4791" s="47"/>
      <c r="X4791" s="47"/>
      <c r="Y4791" s="47"/>
      <c r="Z4791" s="47">
        <f t="shared" si="1067"/>
        <v>4620</v>
      </c>
      <c r="AA4791" s="47">
        <f>AA$7</f>
        <v>1400</v>
      </c>
      <c r="AB4791" s="47"/>
      <c r="AC4791" s="47"/>
      <c r="AD4791" s="47"/>
      <c r="AE4791" s="47"/>
      <c r="AF4791" s="47">
        <f t="shared" ref="AF4791:AF4816" si="1072">AF$7</f>
        <v>1485</v>
      </c>
      <c r="AG4791" s="47"/>
      <c r="AH4791" s="47">
        <f>IFERROR(_xlfn.XLOOKUP(Table6[[#This Row],[Suburb]],Table5[Travel Surcharge],Table5[$$]),"")</f>
        <v>8000</v>
      </c>
      <c r="AI4791" s="47"/>
      <c r="AJ4791" s="47">
        <f t="shared" si="1069"/>
        <v>4400</v>
      </c>
    </row>
    <row r="4792" spans="1:36">
      <c r="A4792" s="157" t="s">
        <v>8002</v>
      </c>
      <c r="B4792" s="157">
        <v>2</v>
      </c>
      <c r="C4792" s="157" t="s">
        <v>296</v>
      </c>
      <c r="D4792" s="157" t="str">
        <f t="shared" si="1066"/>
        <v>Winterfield North2</v>
      </c>
      <c r="E4792" s="157" t="s">
        <v>8982</v>
      </c>
      <c r="F4792" s="157" t="s">
        <v>1155</v>
      </c>
      <c r="G4792" s="157" t="s">
        <v>8003</v>
      </c>
      <c r="H4792" s="157" t="s">
        <v>8004</v>
      </c>
      <c r="I4792" s="158" t="s">
        <v>8005</v>
      </c>
      <c r="J4792" s="47"/>
      <c r="K4792" s="46" t="s">
        <v>10735</v>
      </c>
      <c r="L4792" s="47">
        <f>L$7</f>
        <v>1210</v>
      </c>
      <c r="M4792" s="47" t="s">
        <v>6953</v>
      </c>
      <c r="N4792" s="47" t="s">
        <v>8006</v>
      </c>
      <c r="O4792" s="47">
        <f t="shared" si="1068"/>
        <v>4950</v>
      </c>
      <c r="P4792" s="47" t="s">
        <v>8007</v>
      </c>
      <c r="Q4792" s="47" t="s">
        <v>8008</v>
      </c>
      <c r="R4792" s="47" t="s">
        <v>8788</v>
      </c>
      <c r="S4792" s="47"/>
      <c r="T4792" s="47"/>
      <c r="U4792" s="47">
        <f t="shared" si="1070"/>
        <v>430</v>
      </c>
      <c r="V4792" s="47"/>
      <c r="W4792" s="47"/>
      <c r="X4792" s="47"/>
      <c r="Y4792" s="47"/>
      <c r="Z4792" s="47">
        <f t="shared" si="1067"/>
        <v>4620</v>
      </c>
      <c r="AA4792" s="47">
        <f>AA$7</f>
        <v>1400</v>
      </c>
      <c r="AB4792" s="47"/>
      <c r="AC4792" s="47"/>
      <c r="AD4792" s="47"/>
      <c r="AE4792" s="47"/>
      <c r="AF4792" s="47">
        <f t="shared" si="1072"/>
        <v>1485</v>
      </c>
      <c r="AG4792" s="47"/>
      <c r="AH4792" s="47">
        <f>IFERROR(_xlfn.XLOOKUP(Table6[[#This Row],[Suburb]],Table5[Travel Surcharge],Table5[$$]),"")</f>
        <v>8000</v>
      </c>
      <c r="AI4792" s="47"/>
      <c r="AJ4792" s="47">
        <f t="shared" si="1069"/>
        <v>4400</v>
      </c>
    </row>
    <row r="4793" spans="1:36">
      <c r="A4793" s="374" t="s">
        <v>6948</v>
      </c>
      <c r="B4793" s="374">
        <v>1</v>
      </c>
      <c r="C4793" s="374" t="s">
        <v>2060</v>
      </c>
      <c r="D4793" s="375" t="str">
        <f t="shared" si="1066"/>
        <v>Winterset Lodge Estate1</v>
      </c>
      <c r="E4793" s="375" t="s">
        <v>6949</v>
      </c>
      <c r="F4793" s="375"/>
      <c r="G4793" s="375" t="s">
        <v>6950</v>
      </c>
      <c r="H4793" s="375" t="s">
        <v>6951</v>
      </c>
      <c r="I4793" s="63" t="s">
        <v>6952</v>
      </c>
      <c r="J4793" s="47">
        <f>J$7</f>
        <v>3740</v>
      </c>
      <c r="K4793" s="46" t="s">
        <v>7938</v>
      </c>
      <c r="L4793" s="47">
        <f>L$7</f>
        <v>1210</v>
      </c>
      <c r="M4793" s="47" t="s">
        <v>6953</v>
      </c>
      <c r="N4793" s="47" t="s">
        <v>6954</v>
      </c>
      <c r="O4793" s="47" t="s">
        <v>6955</v>
      </c>
      <c r="P4793" s="47" t="s">
        <v>6956</v>
      </c>
      <c r="Q4793" s="47"/>
      <c r="R4793" s="47"/>
      <c r="S4793" s="47"/>
      <c r="T4793" s="47"/>
      <c r="U4793" s="47">
        <f t="shared" si="1070"/>
        <v>430</v>
      </c>
      <c r="V4793" s="47"/>
      <c r="W4793" s="47"/>
      <c r="X4793" s="47"/>
      <c r="Y4793" s="47"/>
      <c r="Z4793" s="47">
        <f t="shared" si="1067"/>
        <v>4620</v>
      </c>
      <c r="AA4793" s="47">
        <f>AA$7</f>
        <v>1400</v>
      </c>
      <c r="AB4793" s="47"/>
      <c r="AC4793" s="47"/>
      <c r="AD4793" s="47"/>
      <c r="AE4793" s="47"/>
      <c r="AF4793" s="47">
        <f t="shared" si="1072"/>
        <v>1485</v>
      </c>
      <c r="AG4793" s="47"/>
      <c r="AH4793" s="47" t="str">
        <f>IFERROR(_xlfn.XLOOKUP(Table6[[#This Row],[Suburb]],Table5[Travel Surcharge],Table5[$$]),"")</f>
        <v/>
      </c>
      <c r="AI4793" s="47"/>
      <c r="AJ4793" s="47"/>
    </row>
    <row r="4794" spans="1:36">
      <c r="A4794" s="374" t="s">
        <v>6948</v>
      </c>
      <c r="B4794" s="374">
        <v>2</v>
      </c>
      <c r="C4794" s="374" t="s">
        <v>2060</v>
      </c>
      <c r="D4794" s="375" t="str">
        <f t="shared" si="1066"/>
        <v>Winterset Lodge Estate2</v>
      </c>
      <c r="E4794" s="375" t="s">
        <v>6957</v>
      </c>
      <c r="F4794" s="375"/>
      <c r="G4794" s="375" t="s">
        <v>6950</v>
      </c>
      <c r="H4794" s="375" t="s">
        <v>6951</v>
      </c>
      <c r="I4794" s="63" t="s">
        <v>6952</v>
      </c>
      <c r="J4794" s="47">
        <f>J$7</f>
        <v>3740</v>
      </c>
      <c r="K4794" s="46" t="s">
        <v>7938</v>
      </c>
      <c r="L4794" s="47">
        <f>L$7</f>
        <v>1210</v>
      </c>
      <c r="M4794" s="47" t="s">
        <v>6953</v>
      </c>
      <c r="N4794" s="47" t="s">
        <v>6954</v>
      </c>
      <c r="O4794" s="47" t="s">
        <v>6955</v>
      </c>
      <c r="P4794" s="47" t="s">
        <v>6956</v>
      </c>
      <c r="Q4794" s="47"/>
      <c r="R4794" s="47"/>
      <c r="S4794" s="47"/>
      <c r="T4794" s="47"/>
      <c r="U4794" s="47">
        <f t="shared" si="1070"/>
        <v>430</v>
      </c>
      <c r="V4794" s="47"/>
      <c r="W4794" s="47"/>
      <c r="X4794" s="47"/>
      <c r="Y4794" s="47"/>
      <c r="Z4794" s="47">
        <f t="shared" si="1067"/>
        <v>4620</v>
      </c>
      <c r="AA4794" s="47">
        <f>AA$7</f>
        <v>1400</v>
      </c>
      <c r="AB4794" s="47"/>
      <c r="AC4794" s="47"/>
      <c r="AD4794" s="47"/>
      <c r="AE4794" s="47"/>
      <c r="AF4794" s="47">
        <f t="shared" si="1072"/>
        <v>1485</v>
      </c>
      <c r="AG4794" s="47"/>
      <c r="AH4794" s="47" t="str">
        <f>IFERROR(_xlfn.XLOOKUP(Table6[[#This Row],[Suburb]],Table5[Travel Surcharge],Table5[$$]),"")</f>
        <v/>
      </c>
      <c r="AI4794" s="47"/>
      <c r="AJ4794" s="47"/>
    </row>
    <row r="4795" spans="1:36">
      <c r="A4795" s="374" t="s">
        <v>6948</v>
      </c>
      <c r="B4795" s="374">
        <v>3</v>
      </c>
      <c r="C4795" s="374" t="s">
        <v>2060</v>
      </c>
      <c r="D4795" s="375" t="str">
        <f t="shared" si="1066"/>
        <v>Winterset Lodge Estate3</v>
      </c>
      <c r="E4795" s="375" t="s">
        <v>6958</v>
      </c>
      <c r="F4795" s="375"/>
      <c r="G4795" s="375" t="s">
        <v>6950</v>
      </c>
      <c r="H4795" s="375" t="s">
        <v>6951</v>
      </c>
      <c r="I4795" s="63" t="s">
        <v>6952</v>
      </c>
      <c r="J4795" s="47">
        <f>J$7</f>
        <v>3740</v>
      </c>
      <c r="K4795" s="46" t="s">
        <v>7938</v>
      </c>
      <c r="L4795" s="47">
        <f>L$7</f>
        <v>1210</v>
      </c>
      <c r="M4795" s="47" t="s">
        <v>6953</v>
      </c>
      <c r="N4795" s="47" t="s">
        <v>6954</v>
      </c>
      <c r="O4795" s="47" t="s">
        <v>6955</v>
      </c>
      <c r="P4795" s="47" t="s">
        <v>6956</v>
      </c>
      <c r="Q4795" s="47"/>
      <c r="R4795" s="47"/>
      <c r="S4795" s="47"/>
      <c r="T4795" s="47"/>
      <c r="U4795" s="47">
        <f t="shared" si="1070"/>
        <v>430</v>
      </c>
      <c r="V4795" s="47"/>
      <c r="W4795" s="47"/>
      <c r="X4795" s="47"/>
      <c r="Y4795" s="47"/>
      <c r="Z4795" s="47">
        <f t="shared" si="1067"/>
        <v>4620</v>
      </c>
      <c r="AA4795" s="47">
        <f>AA$7</f>
        <v>1400</v>
      </c>
      <c r="AB4795" s="47"/>
      <c r="AC4795" s="47"/>
      <c r="AD4795" s="47"/>
      <c r="AE4795" s="47"/>
      <c r="AF4795" s="47">
        <f t="shared" si="1072"/>
        <v>1485</v>
      </c>
      <c r="AG4795" s="47"/>
      <c r="AH4795" s="47" t="str">
        <f>IFERROR(_xlfn.XLOOKUP(Table6[[#This Row],[Suburb]],Table5[Travel Surcharge],Table5[$$]),"")</f>
        <v/>
      </c>
      <c r="AI4795" s="47"/>
      <c r="AJ4795" s="47"/>
    </row>
    <row r="4796" spans="1:36">
      <c r="A4796" s="374" t="s">
        <v>6959</v>
      </c>
      <c r="B4796" s="374">
        <v>1</v>
      </c>
      <c r="C4796" s="374" t="s">
        <v>1660</v>
      </c>
      <c r="D4796" s="375" t="str">
        <f t="shared" si="1066"/>
        <v>Winton 1</v>
      </c>
      <c r="E4796" s="375" t="s">
        <v>6960</v>
      </c>
      <c r="F4796" s="375"/>
      <c r="G4796" s="375"/>
      <c r="H4796" s="375"/>
      <c r="I4796" s="63"/>
      <c r="J4796" s="47"/>
      <c r="K4796" s="46" t="s">
        <v>10735</v>
      </c>
      <c r="L4796" s="47" t="s">
        <v>6961</v>
      </c>
      <c r="M4796" s="47">
        <f t="shared" ref="M4796:M4802" si="1073">M$7</f>
        <v>1430.0000000000002</v>
      </c>
      <c r="N4796" s="47"/>
      <c r="O4796" s="47">
        <f t="shared" ref="O4796:O4802" si="1074">O$7</f>
        <v>4950</v>
      </c>
      <c r="P4796" s="47" t="s">
        <v>6962</v>
      </c>
      <c r="Q4796" s="47"/>
      <c r="R4796" s="47"/>
      <c r="S4796" s="47" t="s">
        <v>6963</v>
      </c>
      <c r="T4796" s="47" t="s">
        <v>6964</v>
      </c>
      <c r="U4796" s="47">
        <f t="shared" si="1070"/>
        <v>430</v>
      </c>
      <c r="V4796" s="47"/>
      <c r="W4796" s="47"/>
      <c r="X4796" s="47"/>
      <c r="Y4796" s="47"/>
      <c r="Z4796" s="47">
        <f t="shared" si="1067"/>
        <v>4620</v>
      </c>
      <c r="AA4796" s="47"/>
      <c r="AB4796" s="47"/>
      <c r="AC4796" s="47"/>
      <c r="AD4796" s="47"/>
      <c r="AE4796" s="47"/>
      <c r="AF4796" s="47">
        <f t="shared" si="1072"/>
        <v>1485</v>
      </c>
      <c r="AG4796" s="47"/>
      <c r="AH4796" s="47" t="str">
        <f>IFERROR(_xlfn.XLOOKUP(Table6[[#This Row],[Suburb]],Table5[Travel Surcharge],Table5[$$]),"")</f>
        <v/>
      </c>
      <c r="AI4796" s="47">
        <f t="shared" ref="AI4796:AI4802" si="1075">AI$7</f>
        <v>1650.0000000000002</v>
      </c>
      <c r="AJ4796" s="47"/>
    </row>
    <row r="4797" spans="1:36">
      <c r="A4797" s="374" t="s">
        <v>6959</v>
      </c>
      <c r="B4797" s="374">
        <v>2</v>
      </c>
      <c r="C4797" s="374" t="s">
        <v>1660</v>
      </c>
      <c r="D4797" s="375" t="str">
        <f t="shared" si="1066"/>
        <v>Winton 2</v>
      </c>
      <c r="E4797" s="375" t="s">
        <v>6965</v>
      </c>
      <c r="F4797" s="375"/>
      <c r="G4797" s="375"/>
      <c r="H4797" s="375"/>
      <c r="I4797" s="63"/>
      <c r="J4797" s="47"/>
      <c r="K4797" s="46" t="s">
        <v>10735</v>
      </c>
      <c r="L4797" s="47" t="s">
        <v>6966</v>
      </c>
      <c r="M4797" s="47">
        <f t="shared" si="1073"/>
        <v>1430.0000000000002</v>
      </c>
      <c r="N4797" s="47"/>
      <c r="O4797" s="47">
        <f t="shared" si="1074"/>
        <v>4950</v>
      </c>
      <c r="P4797" s="47" t="s">
        <v>6962</v>
      </c>
      <c r="Q4797" s="47"/>
      <c r="R4797" s="47"/>
      <c r="S4797" s="47" t="s">
        <v>6963</v>
      </c>
      <c r="T4797" s="47" t="s">
        <v>6964</v>
      </c>
      <c r="U4797" s="47">
        <f t="shared" si="1070"/>
        <v>430</v>
      </c>
      <c r="V4797" s="47"/>
      <c r="W4797" s="47"/>
      <c r="X4797" s="47"/>
      <c r="Y4797" s="47"/>
      <c r="Z4797" s="47">
        <f t="shared" si="1067"/>
        <v>4620</v>
      </c>
      <c r="AA4797" s="47"/>
      <c r="AB4797" s="47"/>
      <c r="AC4797" s="47"/>
      <c r="AD4797" s="47"/>
      <c r="AE4797" s="47"/>
      <c r="AF4797" s="47">
        <f t="shared" si="1072"/>
        <v>1485</v>
      </c>
      <c r="AG4797" s="47"/>
      <c r="AH4797" s="47" t="str">
        <f>IFERROR(_xlfn.XLOOKUP(Table6[[#This Row],[Suburb]],Table5[Travel Surcharge],Table5[$$]),"")</f>
        <v/>
      </c>
      <c r="AI4797" s="47">
        <f t="shared" si="1075"/>
        <v>1650.0000000000002</v>
      </c>
      <c r="AJ4797" s="47"/>
    </row>
    <row r="4798" spans="1:36">
      <c r="A4798" s="374" t="s">
        <v>6959</v>
      </c>
      <c r="B4798" s="374">
        <v>3</v>
      </c>
      <c r="C4798" s="374" t="s">
        <v>1660</v>
      </c>
      <c r="D4798" s="375" t="str">
        <f t="shared" ref="D4798:D4831" si="1076">CONCATENATE(A4798,B4798)</f>
        <v>Winton 3</v>
      </c>
      <c r="E4798" s="375" t="s">
        <v>6967</v>
      </c>
      <c r="F4798" s="375"/>
      <c r="G4798" s="375"/>
      <c r="H4798" s="375"/>
      <c r="I4798" s="63"/>
      <c r="J4798" s="47"/>
      <c r="K4798" s="46" t="s">
        <v>10735</v>
      </c>
      <c r="L4798" s="47" t="s">
        <v>6968</v>
      </c>
      <c r="M4798" s="47">
        <f t="shared" si="1073"/>
        <v>1430.0000000000002</v>
      </c>
      <c r="N4798" s="47"/>
      <c r="O4798" s="47">
        <f t="shared" si="1074"/>
        <v>4950</v>
      </c>
      <c r="P4798" s="47" t="s">
        <v>6962</v>
      </c>
      <c r="Q4798" s="47"/>
      <c r="R4798" s="47"/>
      <c r="S4798" s="47" t="s">
        <v>6963</v>
      </c>
      <c r="T4798" s="47" t="s">
        <v>6964</v>
      </c>
      <c r="U4798" s="47">
        <f t="shared" si="1070"/>
        <v>430</v>
      </c>
      <c r="V4798" s="47"/>
      <c r="W4798" s="47"/>
      <c r="X4798" s="47"/>
      <c r="Y4798" s="47"/>
      <c r="Z4798" s="47">
        <f t="shared" ref="Z4798:Z4831" si="1077">Z$7</f>
        <v>4620</v>
      </c>
      <c r="AA4798" s="47"/>
      <c r="AB4798" s="47"/>
      <c r="AC4798" s="47"/>
      <c r="AD4798" s="47"/>
      <c r="AE4798" s="47"/>
      <c r="AF4798" s="47">
        <f t="shared" si="1072"/>
        <v>1485</v>
      </c>
      <c r="AG4798" s="47"/>
      <c r="AH4798" s="47" t="str">
        <f>IFERROR(_xlfn.XLOOKUP(Table6[[#This Row],[Suburb]],Table5[Travel Surcharge],Table5[$$]),"")</f>
        <v/>
      </c>
      <c r="AI4798" s="47">
        <f t="shared" si="1075"/>
        <v>1650.0000000000002</v>
      </c>
      <c r="AJ4798" s="47"/>
    </row>
    <row r="4799" spans="1:36">
      <c r="A4799" s="374" t="s">
        <v>6959</v>
      </c>
      <c r="B4799" s="374">
        <v>4</v>
      </c>
      <c r="C4799" s="374" t="s">
        <v>1660</v>
      </c>
      <c r="D4799" s="375" t="str">
        <f t="shared" si="1076"/>
        <v>Winton 4</v>
      </c>
      <c r="E4799" s="375" t="s">
        <v>6969</v>
      </c>
      <c r="F4799" s="375"/>
      <c r="G4799" s="375"/>
      <c r="H4799" s="375"/>
      <c r="I4799" s="63"/>
      <c r="J4799" s="47"/>
      <c r="K4799" s="46" t="s">
        <v>10735</v>
      </c>
      <c r="L4799" s="47" t="s">
        <v>6966</v>
      </c>
      <c r="M4799" s="47">
        <f t="shared" si="1073"/>
        <v>1430.0000000000002</v>
      </c>
      <c r="N4799" s="47"/>
      <c r="O4799" s="47">
        <f t="shared" si="1074"/>
        <v>4950</v>
      </c>
      <c r="P4799" s="47" t="s">
        <v>6962</v>
      </c>
      <c r="Q4799" s="47"/>
      <c r="R4799" s="47"/>
      <c r="S4799" s="47" t="s">
        <v>6963</v>
      </c>
      <c r="T4799" s="47" t="s">
        <v>6964</v>
      </c>
      <c r="U4799" s="47">
        <f t="shared" si="1070"/>
        <v>430</v>
      </c>
      <c r="V4799" s="47"/>
      <c r="W4799" s="47"/>
      <c r="X4799" s="47"/>
      <c r="Y4799" s="47"/>
      <c r="Z4799" s="47">
        <f t="shared" si="1077"/>
        <v>4620</v>
      </c>
      <c r="AA4799" s="47"/>
      <c r="AB4799" s="47"/>
      <c r="AC4799" s="47"/>
      <c r="AD4799" s="47"/>
      <c r="AE4799" s="47"/>
      <c r="AF4799" s="47">
        <f t="shared" si="1072"/>
        <v>1485</v>
      </c>
      <c r="AG4799" s="47"/>
      <c r="AH4799" s="47" t="str">
        <f>IFERROR(_xlfn.XLOOKUP(Table6[[#This Row],[Suburb]],Table5[Travel Surcharge],Table5[$$]),"")</f>
        <v/>
      </c>
      <c r="AI4799" s="47">
        <f t="shared" si="1075"/>
        <v>1650.0000000000002</v>
      </c>
      <c r="AJ4799" s="47"/>
    </row>
    <row r="4800" spans="1:36">
      <c r="A4800" s="374" t="s">
        <v>6959</v>
      </c>
      <c r="B4800" s="374">
        <v>5</v>
      </c>
      <c r="C4800" s="374" t="s">
        <v>1660</v>
      </c>
      <c r="D4800" s="375" t="str">
        <f t="shared" si="1076"/>
        <v>Winton 5</v>
      </c>
      <c r="E4800" s="375" t="s">
        <v>6970</v>
      </c>
      <c r="F4800" s="375"/>
      <c r="G4800" s="375"/>
      <c r="H4800" s="375"/>
      <c r="I4800" s="63"/>
      <c r="J4800" s="47"/>
      <c r="K4800" s="46" t="s">
        <v>10735</v>
      </c>
      <c r="L4800" s="47"/>
      <c r="M4800" s="47">
        <f t="shared" si="1073"/>
        <v>1430.0000000000002</v>
      </c>
      <c r="N4800" s="47"/>
      <c r="O4800" s="47">
        <f t="shared" si="1074"/>
        <v>4950</v>
      </c>
      <c r="P4800" s="47" t="s">
        <v>6962</v>
      </c>
      <c r="Q4800" s="47"/>
      <c r="R4800" s="47"/>
      <c r="S4800" s="47" t="s">
        <v>6963</v>
      </c>
      <c r="T4800" s="47" t="s">
        <v>6964</v>
      </c>
      <c r="U4800" s="47">
        <f t="shared" si="1070"/>
        <v>430</v>
      </c>
      <c r="V4800" s="47"/>
      <c r="W4800" s="47"/>
      <c r="X4800" s="47"/>
      <c r="Y4800" s="47"/>
      <c r="Z4800" s="47">
        <f t="shared" si="1077"/>
        <v>4620</v>
      </c>
      <c r="AA4800" s="47"/>
      <c r="AB4800" s="47"/>
      <c r="AC4800" s="47"/>
      <c r="AD4800" s="47"/>
      <c r="AE4800" s="47"/>
      <c r="AF4800" s="47">
        <f t="shared" si="1072"/>
        <v>1485</v>
      </c>
      <c r="AG4800" s="47"/>
      <c r="AH4800" s="47" t="str">
        <f>IFERROR(_xlfn.XLOOKUP(Table6[[#This Row],[Suburb]],Table5[Travel Surcharge],Table5[$$]),"")</f>
        <v/>
      </c>
      <c r="AI4800" s="47">
        <f t="shared" si="1075"/>
        <v>1650.0000000000002</v>
      </c>
      <c r="AJ4800" s="47"/>
    </row>
    <row r="4801" spans="1:36">
      <c r="A4801" s="374" t="s">
        <v>6959</v>
      </c>
      <c r="B4801" s="374">
        <v>6</v>
      </c>
      <c r="C4801" s="374" t="s">
        <v>1660</v>
      </c>
      <c r="D4801" s="375" t="str">
        <f t="shared" si="1076"/>
        <v>Winton 6</v>
      </c>
      <c r="E4801" s="375" t="s">
        <v>6971</v>
      </c>
      <c r="F4801" s="375"/>
      <c r="G4801" s="375"/>
      <c r="H4801" s="375"/>
      <c r="I4801" s="63"/>
      <c r="J4801" s="47"/>
      <c r="K4801" s="46" t="s">
        <v>10735</v>
      </c>
      <c r="L4801" s="47"/>
      <c r="M4801" s="47">
        <f t="shared" si="1073"/>
        <v>1430.0000000000002</v>
      </c>
      <c r="N4801" s="47"/>
      <c r="O4801" s="47">
        <f t="shared" si="1074"/>
        <v>4950</v>
      </c>
      <c r="P4801" s="47" t="s">
        <v>6962</v>
      </c>
      <c r="Q4801" s="47"/>
      <c r="R4801" s="47"/>
      <c r="S4801" s="47" t="s">
        <v>6963</v>
      </c>
      <c r="T4801" s="47" t="s">
        <v>6964</v>
      </c>
      <c r="U4801" s="47">
        <f t="shared" si="1070"/>
        <v>430</v>
      </c>
      <c r="V4801" s="47"/>
      <c r="W4801" s="47"/>
      <c r="X4801" s="47"/>
      <c r="Y4801" s="47"/>
      <c r="Z4801" s="47">
        <f t="shared" si="1077"/>
        <v>4620</v>
      </c>
      <c r="AA4801" s="47"/>
      <c r="AB4801" s="47"/>
      <c r="AC4801" s="47"/>
      <c r="AD4801" s="47"/>
      <c r="AE4801" s="47"/>
      <c r="AF4801" s="47">
        <f t="shared" si="1072"/>
        <v>1485</v>
      </c>
      <c r="AG4801" s="47"/>
      <c r="AH4801" s="47" t="str">
        <f>IFERROR(_xlfn.XLOOKUP(Table6[[#This Row],[Suburb]],Table5[Travel Surcharge],Table5[$$]),"")</f>
        <v/>
      </c>
      <c r="AI4801" s="47">
        <f t="shared" si="1075"/>
        <v>1650.0000000000002</v>
      </c>
      <c r="AJ4801" s="47"/>
    </row>
    <row r="4802" spans="1:36">
      <c r="A4802" s="374" t="s">
        <v>6959</v>
      </c>
      <c r="B4802" s="374">
        <v>7</v>
      </c>
      <c r="C4802" s="374" t="s">
        <v>1660</v>
      </c>
      <c r="D4802" s="375" t="str">
        <f t="shared" si="1076"/>
        <v>Winton 7</v>
      </c>
      <c r="E4802" s="375" t="s">
        <v>6972</v>
      </c>
      <c r="F4802" s="375"/>
      <c r="G4802" s="375"/>
      <c r="H4802" s="375"/>
      <c r="I4802" s="63"/>
      <c r="J4802" s="47"/>
      <c r="K4802" s="46" t="s">
        <v>10735</v>
      </c>
      <c r="L4802" s="47"/>
      <c r="M4802" s="47">
        <f t="shared" si="1073"/>
        <v>1430.0000000000002</v>
      </c>
      <c r="N4802" s="47"/>
      <c r="O4802" s="47">
        <f t="shared" si="1074"/>
        <v>4950</v>
      </c>
      <c r="P4802" s="47" t="s">
        <v>6962</v>
      </c>
      <c r="Q4802" s="47"/>
      <c r="R4802" s="47"/>
      <c r="S4802" s="47" t="s">
        <v>6963</v>
      </c>
      <c r="T4802" s="47" t="s">
        <v>6964</v>
      </c>
      <c r="U4802" s="47">
        <f t="shared" si="1070"/>
        <v>430</v>
      </c>
      <c r="V4802" s="47"/>
      <c r="W4802" s="47"/>
      <c r="X4802" s="47"/>
      <c r="Y4802" s="47"/>
      <c r="Z4802" s="47">
        <f t="shared" si="1077"/>
        <v>4620</v>
      </c>
      <c r="AA4802" s="47"/>
      <c r="AB4802" s="47"/>
      <c r="AC4802" s="47"/>
      <c r="AD4802" s="47"/>
      <c r="AE4802" s="47"/>
      <c r="AF4802" s="47">
        <f t="shared" si="1072"/>
        <v>1485</v>
      </c>
      <c r="AG4802" s="47"/>
      <c r="AH4802" s="47" t="str">
        <f>IFERROR(_xlfn.XLOOKUP(Table6[[#This Row],[Suburb]],Table5[Travel Surcharge],Table5[$$]),"")</f>
        <v/>
      </c>
      <c r="AI4802" s="47">
        <f t="shared" si="1075"/>
        <v>1650.0000000000002</v>
      </c>
      <c r="AJ4802" s="47"/>
    </row>
    <row r="4803" spans="1:36">
      <c r="A4803" s="374" t="s">
        <v>6973</v>
      </c>
      <c r="B4803" s="374">
        <v>1</v>
      </c>
      <c r="C4803" s="374" t="s">
        <v>2060</v>
      </c>
      <c r="D4803" s="375" t="str">
        <f t="shared" si="1076"/>
        <v>Wollahra Rise1</v>
      </c>
      <c r="E4803" s="375" t="s">
        <v>6974</v>
      </c>
      <c r="F4803" s="375"/>
      <c r="G4803" s="375" t="s">
        <v>6975</v>
      </c>
      <c r="H4803" s="375" t="s">
        <v>6976</v>
      </c>
      <c r="I4803" s="63" t="s">
        <v>6977</v>
      </c>
      <c r="J4803" s="47">
        <f t="shared" ref="J4803:J4836" si="1078">J$7</f>
        <v>3740</v>
      </c>
      <c r="K4803" s="46" t="s">
        <v>10735</v>
      </c>
      <c r="L4803" s="47">
        <f t="shared" ref="L4803:L4809" si="1079">L$7</f>
        <v>1210</v>
      </c>
      <c r="M4803" s="47" t="s">
        <v>6953</v>
      </c>
      <c r="N4803" s="47" t="s">
        <v>6978</v>
      </c>
      <c r="O4803" s="47"/>
      <c r="P4803" s="47"/>
      <c r="Q4803" s="47"/>
      <c r="R4803" s="47"/>
      <c r="S4803" s="47"/>
      <c r="T4803" s="47"/>
      <c r="U4803" s="47">
        <f t="shared" si="1070"/>
        <v>430</v>
      </c>
      <c r="V4803" s="47"/>
      <c r="W4803" s="47"/>
      <c r="X4803" s="47">
        <f t="shared" ref="X4803:X4809" si="1080">X$7</f>
        <v>3000</v>
      </c>
      <c r="Y4803" s="47"/>
      <c r="Z4803" s="47">
        <f t="shared" si="1077"/>
        <v>4620</v>
      </c>
      <c r="AA4803" s="47"/>
      <c r="AB4803" s="47"/>
      <c r="AC4803" s="47"/>
      <c r="AD4803" s="47"/>
      <c r="AE4803" s="47"/>
      <c r="AF4803" s="47">
        <f t="shared" si="1072"/>
        <v>1485</v>
      </c>
      <c r="AG4803" s="47"/>
      <c r="AH4803" s="47" t="str">
        <f>IFERROR(_xlfn.XLOOKUP(Table6[[#This Row],[Suburb]],Table5[Travel Surcharge],Table5[$$]),"")</f>
        <v/>
      </c>
      <c r="AI4803" s="47"/>
      <c r="AJ4803" s="47"/>
    </row>
    <row r="4804" spans="1:36">
      <c r="A4804" s="374" t="s">
        <v>6973</v>
      </c>
      <c r="B4804" s="374">
        <v>2</v>
      </c>
      <c r="C4804" s="374" t="s">
        <v>2060</v>
      </c>
      <c r="D4804" s="375" t="str">
        <f t="shared" si="1076"/>
        <v>Wollahra Rise2</v>
      </c>
      <c r="E4804" s="375" t="s">
        <v>6979</v>
      </c>
      <c r="F4804" s="375"/>
      <c r="G4804" s="375" t="s">
        <v>6975</v>
      </c>
      <c r="H4804" s="375" t="s">
        <v>6976</v>
      </c>
      <c r="I4804" s="63" t="s">
        <v>6977</v>
      </c>
      <c r="J4804" s="47">
        <f t="shared" si="1078"/>
        <v>3740</v>
      </c>
      <c r="K4804" s="46" t="s">
        <v>10735</v>
      </c>
      <c r="L4804" s="47">
        <f t="shared" si="1079"/>
        <v>1210</v>
      </c>
      <c r="M4804" s="47" t="s">
        <v>6953</v>
      </c>
      <c r="N4804" s="47" t="s">
        <v>6978</v>
      </c>
      <c r="O4804" s="47"/>
      <c r="P4804" s="47"/>
      <c r="Q4804" s="47"/>
      <c r="R4804" s="47"/>
      <c r="S4804" s="47"/>
      <c r="T4804" s="47"/>
      <c r="U4804" s="47">
        <f t="shared" si="1070"/>
        <v>430</v>
      </c>
      <c r="V4804" s="47"/>
      <c r="W4804" s="47"/>
      <c r="X4804" s="47">
        <f t="shared" si="1080"/>
        <v>3000</v>
      </c>
      <c r="Y4804" s="47"/>
      <c r="Z4804" s="47">
        <f t="shared" si="1077"/>
        <v>4620</v>
      </c>
      <c r="AA4804" s="47"/>
      <c r="AB4804" s="47"/>
      <c r="AC4804" s="47"/>
      <c r="AD4804" s="47"/>
      <c r="AE4804" s="47"/>
      <c r="AF4804" s="47">
        <f t="shared" si="1072"/>
        <v>1485</v>
      </c>
      <c r="AG4804" s="47"/>
      <c r="AH4804" s="47" t="str">
        <f>IFERROR(_xlfn.XLOOKUP(Table6[[#This Row],[Suburb]],Table5[Travel Surcharge],Table5[$$]),"")</f>
        <v/>
      </c>
      <c r="AI4804" s="47"/>
      <c r="AJ4804" s="47"/>
    </row>
    <row r="4805" spans="1:36">
      <c r="A4805" s="374" t="s">
        <v>6973</v>
      </c>
      <c r="B4805" s="374">
        <v>3</v>
      </c>
      <c r="C4805" s="374" t="s">
        <v>2060</v>
      </c>
      <c r="D4805" s="375" t="str">
        <f t="shared" si="1076"/>
        <v>Wollahra Rise3</v>
      </c>
      <c r="E4805" s="375" t="s">
        <v>6982</v>
      </c>
      <c r="F4805" s="375"/>
      <c r="G4805" s="375" t="s">
        <v>6975</v>
      </c>
      <c r="H4805" s="375" t="s">
        <v>6976</v>
      </c>
      <c r="I4805" s="63" t="s">
        <v>6977</v>
      </c>
      <c r="J4805" s="47">
        <f t="shared" si="1078"/>
        <v>3740</v>
      </c>
      <c r="K4805" s="46" t="s">
        <v>10735</v>
      </c>
      <c r="L4805" s="47">
        <f t="shared" si="1079"/>
        <v>1210</v>
      </c>
      <c r="M4805" s="47" t="s">
        <v>6953</v>
      </c>
      <c r="N4805" s="47" t="s">
        <v>6978</v>
      </c>
      <c r="O4805" s="47"/>
      <c r="P4805" s="47"/>
      <c r="Q4805" s="47"/>
      <c r="R4805" s="47"/>
      <c r="S4805" s="47"/>
      <c r="T4805" s="47"/>
      <c r="U4805" s="47">
        <f t="shared" si="1070"/>
        <v>430</v>
      </c>
      <c r="V4805" s="47"/>
      <c r="W4805" s="47"/>
      <c r="X4805" s="47">
        <f t="shared" si="1080"/>
        <v>3000</v>
      </c>
      <c r="Y4805" s="47"/>
      <c r="Z4805" s="47">
        <f t="shared" si="1077"/>
        <v>4620</v>
      </c>
      <c r="AA4805" s="47"/>
      <c r="AB4805" s="47"/>
      <c r="AC4805" s="47"/>
      <c r="AD4805" s="47"/>
      <c r="AE4805" s="47"/>
      <c r="AF4805" s="47">
        <f t="shared" si="1072"/>
        <v>1485</v>
      </c>
      <c r="AG4805" s="47"/>
      <c r="AH4805" s="47" t="str">
        <f>IFERROR(_xlfn.XLOOKUP(Table6[[#This Row],[Suburb]],Table5[Travel Surcharge],Table5[$$]),"")</f>
        <v/>
      </c>
      <c r="AI4805" s="47"/>
      <c r="AJ4805" s="47"/>
    </row>
    <row r="4806" spans="1:36">
      <c r="A4806" s="157" t="s">
        <v>6973</v>
      </c>
      <c r="B4806" s="157" t="s">
        <v>606</v>
      </c>
      <c r="C4806" s="157" t="s">
        <v>2060</v>
      </c>
      <c r="D4806" s="157" t="str">
        <f t="shared" si="1076"/>
        <v>Wollahra Rise3A</v>
      </c>
      <c r="E4806" s="157" t="s">
        <v>8134</v>
      </c>
      <c r="F4806" s="157"/>
      <c r="G4806" s="157" t="s">
        <v>6975</v>
      </c>
      <c r="H4806" s="157" t="s">
        <v>6976</v>
      </c>
      <c r="I4806" s="158" t="s">
        <v>6977</v>
      </c>
      <c r="J4806" s="47">
        <f t="shared" si="1078"/>
        <v>3740</v>
      </c>
      <c r="K4806" s="46" t="s">
        <v>10735</v>
      </c>
      <c r="L4806" s="47">
        <f t="shared" si="1079"/>
        <v>1210</v>
      </c>
      <c r="M4806" s="47" t="s">
        <v>6953</v>
      </c>
      <c r="N4806" s="47" t="s">
        <v>6978</v>
      </c>
      <c r="O4806" s="47"/>
      <c r="P4806" s="47"/>
      <c r="Q4806" s="47"/>
      <c r="R4806" s="47"/>
      <c r="S4806" s="47"/>
      <c r="T4806" s="47"/>
      <c r="U4806" s="47">
        <f t="shared" si="1070"/>
        <v>430</v>
      </c>
      <c r="V4806" s="47"/>
      <c r="W4806" s="47"/>
      <c r="X4806" s="47">
        <f t="shared" si="1080"/>
        <v>3000</v>
      </c>
      <c r="Y4806" s="47"/>
      <c r="Z4806" s="47">
        <f t="shared" si="1077"/>
        <v>4620</v>
      </c>
      <c r="AA4806" s="47"/>
      <c r="AB4806" s="47"/>
      <c r="AC4806" s="47"/>
      <c r="AD4806" s="47"/>
      <c r="AE4806" s="47"/>
      <c r="AF4806" s="47">
        <f t="shared" si="1072"/>
        <v>1485</v>
      </c>
      <c r="AG4806" s="47"/>
      <c r="AH4806" s="47" t="str">
        <f>IFERROR(_xlfn.XLOOKUP(Table6[[#This Row],[Suburb]],Table5[Travel Surcharge],Table5[$$]),"")</f>
        <v/>
      </c>
      <c r="AI4806" s="47"/>
      <c r="AJ4806" s="47"/>
    </row>
    <row r="4807" spans="1:36">
      <c r="A4807" s="374" t="s">
        <v>6973</v>
      </c>
      <c r="B4807" s="374">
        <v>4</v>
      </c>
      <c r="C4807" s="374" t="s">
        <v>2060</v>
      </c>
      <c r="D4807" s="375" t="str">
        <f t="shared" si="1076"/>
        <v>Wollahra Rise4</v>
      </c>
      <c r="E4807" s="375" t="s">
        <v>5354</v>
      </c>
      <c r="F4807" s="375"/>
      <c r="G4807" s="375" t="s">
        <v>6975</v>
      </c>
      <c r="H4807" s="375" t="s">
        <v>6976</v>
      </c>
      <c r="I4807" s="63" t="s">
        <v>6977</v>
      </c>
      <c r="J4807" s="47">
        <f t="shared" si="1078"/>
        <v>3740</v>
      </c>
      <c r="K4807" s="46" t="s">
        <v>10735</v>
      </c>
      <c r="L4807" s="47">
        <f t="shared" si="1079"/>
        <v>1210</v>
      </c>
      <c r="M4807" s="47" t="s">
        <v>6953</v>
      </c>
      <c r="N4807" s="47" t="s">
        <v>6978</v>
      </c>
      <c r="O4807" s="47"/>
      <c r="P4807" s="47"/>
      <c r="Q4807" s="47"/>
      <c r="R4807" s="47"/>
      <c r="S4807" s="47"/>
      <c r="T4807" s="47"/>
      <c r="U4807" s="47">
        <f t="shared" si="1070"/>
        <v>430</v>
      </c>
      <c r="V4807" s="47"/>
      <c r="W4807" s="47"/>
      <c r="X4807" s="47">
        <f t="shared" si="1080"/>
        <v>3000</v>
      </c>
      <c r="Y4807" s="47"/>
      <c r="Z4807" s="47">
        <f t="shared" si="1077"/>
        <v>4620</v>
      </c>
      <c r="AA4807" s="47"/>
      <c r="AB4807" s="47"/>
      <c r="AC4807" s="47"/>
      <c r="AD4807" s="47"/>
      <c r="AE4807" s="47"/>
      <c r="AF4807" s="47">
        <f t="shared" si="1072"/>
        <v>1485</v>
      </c>
      <c r="AG4807" s="47"/>
      <c r="AH4807" s="47" t="str">
        <f>IFERROR(_xlfn.XLOOKUP(Table6[[#This Row],[Suburb]],Table5[Travel Surcharge],Table5[$$]),"")</f>
        <v/>
      </c>
      <c r="AI4807" s="47"/>
      <c r="AJ4807" s="47"/>
    </row>
    <row r="4808" spans="1:36">
      <c r="A4808" s="374" t="s">
        <v>6973</v>
      </c>
      <c r="B4808" s="374" t="s">
        <v>718</v>
      </c>
      <c r="C4808" s="374" t="s">
        <v>2060</v>
      </c>
      <c r="D4808" s="375" t="str">
        <f t="shared" si="1076"/>
        <v>Wollahra Rise2A</v>
      </c>
      <c r="E4808" s="375" t="s">
        <v>6980</v>
      </c>
      <c r="F4808" s="375"/>
      <c r="G4808" s="375" t="s">
        <v>6975</v>
      </c>
      <c r="H4808" s="375" t="s">
        <v>6976</v>
      </c>
      <c r="I4808" s="63" t="s">
        <v>6977</v>
      </c>
      <c r="J4808" s="47">
        <f t="shared" si="1078"/>
        <v>3740</v>
      </c>
      <c r="K4808" s="46" t="s">
        <v>10735</v>
      </c>
      <c r="L4808" s="47">
        <f t="shared" si="1079"/>
        <v>1210</v>
      </c>
      <c r="M4808" s="47" t="s">
        <v>6953</v>
      </c>
      <c r="N4808" s="47" t="s">
        <v>6978</v>
      </c>
      <c r="O4808" s="47"/>
      <c r="P4808" s="47"/>
      <c r="Q4808" s="47"/>
      <c r="R4808" s="47"/>
      <c r="S4808" s="47"/>
      <c r="T4808" s="47"/>
      <c r="U4808" s="47">
        <f t="shared" si="1070"/>
        <v>430</v>
      </c>
      <c r="V4808" s="47"/>
      <c r="W4808" s="47"/>
      <c r="X4808" s="47">
        <f t="shared" si="1080"/>
        <v>3000</v>
      </c>
      <c r="Y4808" s="47"/>
      <c r="Z4808" s="47">
        <f t="shared" si="1077"/>
        <v>4620</v>
      </c>
      <c r="AA4808" s="47"/>
      <c r="AB4808" s="47"/>
      <c r="AC4808" s="47"/>
      <c r="AD4808" s="47"/>
      <c r="AE4808" s="47"/>
      <c r="AF4808" s="47">
        <f t="shared" si="1072"/>
        <v>1485</v>
      </c>
      <c r="AG4808" s="47"/>
      <c r="AH4808" s="47" t="str">
        <f>IFERROR(_xlfn.XLOOKUP(Table6[[#This Row],[Suburb]],Table5[Travel Surcharge],Table5[$$]),"")</f>
        <v/>
      </c>
      <c r="AI4808" s="47"/>
      <c r="AJ4808" s="47"/>
    </row>
    <row r="4809" spans="1:36">
      <c r="A4809" s="374" t="s">
        <v>6973</v>
      </c>
      <c r="B4809" s="374" t="s">
        <v>604</v>
      </c>
      <c r="C4809" s="374" t="s">
        <v>2060</v>
      </c>
      <c r="D4809" s="375" t="str">
        <f t="shared" si="1076"/>
        <v>Wollahra Rise2B</v>
      </c>
      <c r="E4809" s="375" t="s">
        <v>6981</v>
      </c>
      <c r="F4809" s="375"/>
      <c r="G4809" s="375" t="s">
        <v>6975</v>
      </c>
      <c r="H4809" s="375" t="s">
        <v>6976</v>
      </c>
      <c r="I4809" s="63" t="s">
        <v>6977</v>
      </c>
      <c r="J4809" s="47">
        <f t="shared" si="1078"/>
        <v>3740</v>
      </c>
      <c r="K4809" s="46" t="s">
        <v>10735</v>
      </c>
      <c r="L4809" s="47">
        <f t="shared" si="1079"/>
        <v>1210</v>
      </c>
      <c r="M4809" s="47" t="s">
        <v>6953</v>
      </c>
      <c r="N4809" s="47" t="s">
        <v>6978</v>
      </c>
      <c r="O4809" s="47"/>
      <c r="P4809" s="47"/>
      <c r="Q4809" s="47"/>
      <c r="R4809" s="47"/>
      <c r="S4809" s="47"/>
      <c r="T4809" s="47"/>
      <c r="U4809" s="47">
        <f t="shared" si="1070"/>
        <v>430</v>
      </c>
      <c r="V4809" s="47"/>
      <c r="W4809" s="47"/>
      <c r="X4809" s="47">
        <f t="shared" si="1080"/>
        <v>3000</v>
      </c>
      <c r="Y4809" s="47"/>
      <c r="Z4809" s="47">
        <f t="shared" si="1077"/>
        <v>4620</v>
      </c>
      <c r="AA4809" s="47"/>
      <c r="AB4809" s="47"/>
      <c r="AC4809" s="47"/>
      <c r="AD4809" s="47"/>
      <c r="AE4809" s="47"/>
      <c r="AF4809" s="47">
        <f t="shared" si="1072"/>
        <v>1485</v>
      </c>
      <c r="AG4809" s="47"/>
      <c r="AH4809" s="47" t="str">
        <f>IFERROR(_xlfn.XLOOKUP(Table6[[#This Row],[Suburb]],Table5[Travel Surcharge],Table5[$$]),"")</f>
        <v/>
      </c>
      <c r="AI4809" s="47"/>
      <c r="AJ4809" s="47"/>
    </row>
    <row r="4810" spans="1:36">
      <c r="A4810" s="374" t="s">
        <v>6983</v>
      </c>
      <c r="B4810" s="374">
        <v>2</v>
      </c>
      <c r="C4810" s="374" t="s">
        <v>455</v>
      </c>
      <c r="D4810" s="375" t="str">
        <f t="shared" si="1076"/>
        <v>Wollert Rise2</v>
      </c>
      <c r="E4810" s="375" t="s">
        <v>6984</v>
      </c>
      <c r="F4810" s="375"/>
      <c r="G4810" s="375"/>
      <c r="H4810" s="375"/>
      <c r="I4810" s="63"/>
      <c r="J4810" s="47">
        <f t="shared" si="1078"/>
        <v>3740</v>
      </c>
      <c r="K4810" s="46" t="s">
        <v>10735</v>
      </c>
      <c r="L4810" s="47"/>
      <c r="M4810" s="47">
        <f t="shared" ref="M4810:M4816" si="1081">M$7</f>
        <v>1430.0000000000002</v>
      </c>
      <c r="N4810" s="47" t="s">
        <v>6985</v>
      </c>
      <c r="O4810" s="47" t="s">
        <v>6986</v>
      </c>
      <c r="P4810" s="47"/>
      <c r="Q4810" s="47"/>
      <c r="R4810" s="47"/>
      <c r="S4810" s="47"/>
      <c r="T4810" s="47"/>
      <c r="U4810" s="47">
        <f t="shared" si="1070"/>
        <v>430</v>
      </c>
      <c r="V4810" s="47"/>
      <c r="W4810" s="47"/>
      <c r="X4810" s="47"/>
      <c r="Y4810" s="47"/>
      <c r="Z4810" s="47">
        <f t="shared" si="1077"/>
        <v>4620</v>
      </c>
      <c r="AA4810" s="47"/>
      <c r="AB4810" s="47"/>
      <c r="AC4810" s="47"/>
      <c r="AD4810" s="47"/>
      <c r="AE4810" s="47"/>
      <c r="AF4810" s="47">
        <f t="shared" si="1072"/>
        <v>1485</v>
      </c>
      <c r="AG4810" s="47"/>
      <c r="AH4810" s="47" t="str">
        <f>IFERROR(_xlfn.XLOOKUP(Table6[[#This Row],[Suburb]],Table5[Travel Surcharge],Table5[$$]),"")</f>
        <v/>
      </c>
      <c r="AI4810" s="47">
        <f t="shared" ref="AI4810:AI4816" si="1082">AI$7</f>
        <v>1650.0000000000002</v>
      </c>
      <c r="AJ4810" s="47"/>
    </row>
    <row r="4811" spans="1:36">
      <c r="A4811" s="374" t="s">
        <v>6983</v>
      </c>
      <c r="B4811" s="374">
        <v>3</v>
      </c>
      <c r="C4811" s="374" t="s">
        <v>455</v>
      </c>
      <c r="D4811" s="375" t="str">
        <f t="shared" si="1076"/>
        <v>Wollert Rise3</v>
      </c>
      <c r="E4811" s="375" t="s">
        <v>9391</v>
      </c>
      <c r="F4811" s="375"/>
      <c r="G4811" s="375"/>
      <c r="H4811" s="375"/>
      <c r="I4811" s="63"/>
      <c r="J4811" s="47">
        <f t="shared" si="1078"/>
        <v>3740</v>
      </c>
      <c r="K4811" s="46" t="s">
        <v>10735</v>
      </c>
      <c r="L4811" s="47"/>
      <c r="M4811" s="47">
        <f t="shared" si="1081"/>
        <v>1430.0000000000002</v>
      </c>
      <c r="N4811" s="47" t="s">
        <v>6985</v>
      </c>
      <c r="O4811" s="47" t="s">
        <v>6986</v>
      </c>
      <c r="P4811" s="47"/>
      <c r="Q4811" s="47"/>
      <c r="R4811" s="47"/>
      <c r="S4811" s="47"/>
      <c r="T4811" s="47"/>
      <c r="U4811" s="47">
        <f t="shared" si="1070"/>
        <v>430</v>
      </c>
      <c r="V4811" s="47"/>
      <c r="W4811" s="47"/>
      <c r="X4811" s="47"/>
      <c r="Y4811" s="47"/>
      <c r="Z4811" s="47">
        <f t="shared" si="1077"/>
        <v>4620</v>
      </c>
      <c r="AA4811" s="47"/>
      <c r="AB4811" s="47"/>
      <c r="AC4811" s="47"/>
      <c r="AD4811" s="47"/>
      <c r="AE4811" s="47"/>
      <c r="AF4811" s="47">
        <f t="shared" si="1072"/>
        <v>1485</v>
      </c>
      <c r="AG4811" s="47"/>
      <c r="AH4811" s="47" t="str">
        <f>IFERROR(_xlfn.XLOOKUP(Table6[[#This Row],[Suburb]],Table5[Travel Surcharge],Table5[$$]),"")</f>
        <v/>
      </c>
      <c r="AI4811" s="47">
        <f t="shared" si="1082"/>
        <v>1650.0000000000002</v>
      </c>
      <c r="AJ4811" s="47"/>
    </row>
    <row r="4812" spans="1:36">
      <c r="A4812" s="157" t="s">
        <v>6983</v>
      </c>
      <c r="B4812" s="157">
        <v>6</v>
      </c>
      <c r="C4812" s="157" t="s">
        <v>455</v>
      </c>
      <c r="D4812" s="157" t="str">
        <f t="shared" si="1076"/>
        <v>Wollert Rise6</v>
      </c>
      <c r="E4812" s="157" t="s">
        <v>8219</v>
      </c>
      <c r="F4812" s="157"/>
      <c r="G4812" s="157"/>
      <c r="H4812" s="157"/>
      <c r="I4812" s="158"/>
      <c r="J4812" s="47">
        <f t="shared" si="1078"/>
        <v>3740</v>
      </c>
      <c r="K4812" s="46" t="s">
        <v>10735</v>
      </c>
      <c r="L4812" s="47"/>
      <c r="M4812" s="47">
        <f t="shared" si="1081"/>
        <v>1430.0000000000002</v>
      </c>
      <c r="N4812" s="47" t="s">
        <v>6985</v>
      </c>
      <c r="O4812" s="47" t="s">
        <v>6986</v>
      </c>
      <c r="P4812" s="47"/>
      <c r="Q4812" s="47"/>
      <c r="R4812" s="47"/>
      <c r="S4812" s="47"/>
      <c r="T4812" s="47"/>
      <c r="U4812" s="47">
        <f t="shared" si="1070"/>
        <v>430</v>
      </c>
      <c r="V4812" s="47"/>
      <c r="W4812" s="47"/>
      <c r="X4812" s="47"/>
      <c r="Y4812" s="47"/>
      <c r="Z4812" s="47">
        <f t="shared" si="1077"/>
        <v>4620</v>
      </c>
      <c r="AA4812" s="47"/>
      <c r="AB4812" s="47"/>
      <c r="AC4812" s="47"/>
      <c r="AD4812" s="47"/>
      <c r="AE4812" s="47"/>
      <c r="AF4812" s="47">
        <f t="shared" si="1072"/>
        <v>1485</v>
      </c>
      <c r="AG4812" s="47"/>
      <c r="AH4812" s="47" t="str">
        <f>IFERROR(_xlfn.XLOOKUP(Table6[[#This Row],[Suburb]],Table5[Travel Surcharge],Table5[$$]),"")</f>
        <v/>
      </c>
      <c r="AI4812" s="47">
        <f t="shared" si="1082"/>
        <v>1650.0000000000002</v>
      </c>
      <c r="AJ4812" s="47"/>
    </row>
    <row r="4813" spans="1:36">
      <c r="A4813" s="374" t="s">
        <v>6983</v>
      </c>
      <c r="B4813" s="374">
        <v>8</v>
      </c>
      <c r="C4813" s="374" t="s">
        <v>455</v>
      </c>
      <c r="D4813" s="375" t="str">
        <f t="shared" si="1076"/>
        <v>Wollert Rise8</v>
      </c>
      <c r="E4813" s="375" t="s">
        <v>6987</v>
      </c>
      <c r="F4813" s="375"/>
      <c r="G4813" s="375"/>
      <c r="H4813" s="375"/>
      <c r="I4813" s="63"/>
      <c r="J4813" s="47">
        <f t="shared" si="1078"/>
        <v>3740</v>
      </c>
      <c r="K4813" s="46" t="s">
        <v>10735</v>
      </c>
      <c r="L4813" s="47"/>
      <c r="M4813" s="47">
        <f t="shared" si="1081"/>
        <v>1430.0000000000002</v>
      </c>
      <c r="N4813" s="47" t="s">
        <v>6985</v>
      </c>
      <c r="O4813" s="47" t="s">
        <v>6986</v>
      </c>
      <c r="P4813" s="47"/>
      <c r="Q4813" s="47"/>
      <c r="R4813" s="47"/>
      <c r="S4813" s="47"/>
      <c r="T4813" s="47"/>
      <c r="U4813" s="47">
        <f t="shared" si="1070"/>
        <v>430</v>
      </c>
      <c r="V4813" s="47"/>
      <c r="W4813" s="47"/>
      <c r="X4813" s="47"/>
      <c r="Y4813" s="47"/>
      <c r="Z4813" s="47">
        <f t="shared" si="1077"/>
        <v>4620</v>
      </c>
      <c r="AA4813" s="47"/>
      <c r="AB4813" s="47"/>
      <c r="AC4813" s="47"/>
      <c r="AD4813" s="47"/>
      <c r="AE4813" s="47"/>
      <c r="AF4813" s="47">
        <f t="shared" si="1072"/>
        <v>1485</v>
      </c>
      <c r="AG4813" s="47"/>
      <c r="AH4813" s="47" t="str">
        <f>IFERROR(_xlfn.XLOOKUP(Table6[[#This Row],[Suburb]],Table5[Travel Surcharge],Table5[$$]),"")</f>
        <v/>
      </c>
      <c r="AI4813" s="47">
        <f t="shared" si="1082"/>
        <v>1650.0000000000002</v>
      </c>
      <c r="AJ4813" s="47"/>
    </row>
    <row r="4814" spans="1:36">
      <c r="A4814" s="374" t="s">
        <v>6983</v>
      </c>
      <c r="B4814" s="374">
        <v>10</v>
      </c>
      <c r="C4814" s="374" t="s">
        <v>455</v>
      </c>
      <c r="D4814" s="375" t="str">
        <f t="shared" si="1076"/>
        <v>Wollert Rise10</v>
      </c>
      <c r="E4814" s="375" t="s">
        <v>6988</v>
      </c>
      <c r="F4814" s="375"/>
      <c r="G4814" s="375"/>
      <c r="H4814" s="375"/>
      <c r="I4814" s="63"/>
      <c r="J4814" s="47">
        <f t="shared" si="1078"/>
        <v>3740</v>
      </c>
      <c r="K4814" s="46" t="s">
        <v>10735</v>
      </c>
      <c r="L4814" s="47"/>
      <c r="M4814" s="47">
        <f t="shared" si="1081"/>
        <v>1430.0000000000002</v>
      </c>
      <c r="N4814" s="47" t="s">
        <v>6985</v>
      </c>
      <c r="O4814" s="47" t="s">
        <v>6986</v>
      </c>
      <c r="P4814" s="47"/>
      <c r="Q4814" s="47"/>
      <c r="R4814" s="47"/>
      <c r="S4814" s="47"/>
      <c r="T4814" s="47"/>
      <c r="U4814" s="47">
        <f t="shared" si="1070"/>
        <v>430</v>
      </c>
      <c r="V4814" s="47"/>
      <c r="W4814" s="47"/>
      <c r="X4814" s="47"/>
      <c r="Y4814" s="47"/>
      <c r="Z4814" s="47">
        <f t="shared" si="1077"/>
        <v>4620</v>
      </c>
      <c r="AA4814" s="47"/>
      <c r="AB4814" s="47"/>
      <c r="AC4814" s="47"/>
      <c r="AD4814" s="47"/>
      <c r="AE4814" s="47"/>
      <c r="AF4814" s="47">
        <f t="shared" si="1072"/>
        <v>1485</v>
      </c>
      <c r="AG4814" s="47"/>
      <c r="AH4814" s="47" t="str">
        <f>IFERROR(_xlfn.XLOOKUP(Table6[[#This Row],[Suburb]],Table5[Travel Surcharge],Table5[$$]),"")</f>
        <v/>
      </c>
      <c r="AI4814" s="47">
        <f t="shared" si="1082"/>
        <v>1650.0000000000002</v>
      </c>
      <c r="AJ4814" s="47"/>
    </row>
    <row r="4815" spans="1:36">
      <c r="A4815" s="374" t="s">
        <v>6983</v>
      </c>
      <c r="B4815" s="374">
        <v>11</v>
      </c>
      <c r="C4815" s="374" t="s">
        <v>455</v>
      </c>
      <c r="D4815" s="375" t="str">
        <f t="shared" ref="D4815" si="1083">CONCATENATE(A4815,B4815)</f>
        <v>Wollert Rise11</v>
      </c>
      <c r="E4815" s="375" t="s">
        <v>10677</v>
      </c>
      <c r="F4815" s="375"/>
      <c r="G4815" s="375"/>
      <c r="H4815" s="375"/>
      <c r="I4815" s="63"/>
      <c r="J4815" s="47">
        <f t="shared" si="1078"/>
        <v>3740</v>
      </c>
      <c r="K4815" s="46" t="s">
        <v>10735</v>
      </c>
      <c r="L4815" s="47"/>
      <c r="M4815" s="47">
        <f t="shared" si="1081"/>
        <v>1430.0000000000002</v>
      </c>
      <c r="N4815" s="47" t="s">
        <v>6985</v>
      </c>
      <c r="O4815" s="47" t="s">
        <v>6986</v>
      </c>
      <c r="P4815" s="47"/>
      <c r="Q4815" s="47"/>
      <c r="R4815" s="47"/>
      <c r="S4815" s="47"/>
      <c r="T4815" s="47"/>
      <c r="U4815" s="47">
        <f t="shared" si="1070"/>
        <v>430</v>
      </c>
      <c r="V4815" s="47"/>
      <c r="W4815" s="47"/>
      <c r="X4815" s="47"/>
      <c r="Y4815" s="47"/>
      <c r="Z4815" s="47">
        <f t="shared" si="1077"/>
        <v>4620</v>
      </c>
      <c r="AA4815" s="47"/>
      <c r="AB4815" s="47"/>
      <c r="AC4815" s="47"/>
      <c r="AD4815" s="47"/>
      <c r="AE4815" s="47"/>
      <c r="AF4815" s="47">
        <f t="shared" si="1072"/>
        <v>1485</v>
      </c>
      <c r="AG4815" s="47"/>
      <c r="AH4815" s="47" t="str">
        <f>IFERROR(_xlfn.XLOOKUP(Table6[[#This Row],[Suburb]],Table5[Travel Surcharge],Table5[$$]),"")</f>
        <v/>
      </c>
      <c r="AI4815" s="47">
        <f t="shared" si="1082"/>
        <v>1650.0000000000002</v>
      </c>
      <c r="AJ4815" s="47"/>
    </row>
    <row r="4816" spans="1:36">
      <c r="A4816" s="374" t="s">
        <v>6983</v>
      </c>
      <c r="B4816" s="374">
        <v>13</v>
      </c>
      <c r="C4816" s="374" t="s">
        <v>455</v>
      </c>
      <c r="D4816" s="375" t="str">
        <f t="shared" si="1076"/>
        <v>Wollert Rise13</v>
      </c>
      <c r="E4816" s="375" t="s">
        <v>6989</v>
      </c>
      <c r="F4816" s="375"/>
      <c r="G4816" s="375"/>
      <c r="H4816" s="375"/>
      <c r="I4816" s="63"/>
      <c r="J4816" s="47">
        <f t="shared" si="1078"/>
        <v>3740</v>
      </c>
      <c r="K4816" s="46" t="s">
        <v>10735</v>
      </c>
      <c r="L4816" s="47"/>
      <c r="M4816" s="47">
        <f t="shared" si="1081"/>
        <v>1430.0000000000002</v>
      </c>
      <c r="N4816" s="47" t="s">
        <v>6985</v>
      </c>
      <c r="O4816" s="47" t="s">
        <v>6986</v>
      </c>
      <c r="P4816" s="47"/>
      <c r="Q4816" s="47"/>
      <c r="R4816" s="47"/>
      <c r="S4816" s="47"/>
      <c r="T4816" s="47"/>
      <c r="U4816" s="47">
        <f t="shared" si="1070"/>
        <v>430</v>
      </c>
      <c r="V4816" s="47"/>
      <c r="W4816" s="47"/>
      <c r="X4816" s="47"/>
      <c r="Y4816" s="47"/>
      <c r="Z4816" s="47">
        <f t="shared" si="1077"/>
        <v>4620</v>
      </c>
      <c r="AA4816" s="47"/>
      <c r="AB4816" s="47"/>
      <c r="AC4816" s="47"/>
      <c r="AD4816" s="47"/>
      <c r="AE4816" s="47"/>
      <c r="AF4816" s="47">
        <f t="shared" si="1072"/>
        <v>1485</v>
      </c>
      <c r="AG4816" s="47"/>
      <c r="AH4816" s="47" t="str">
        <f>IFERROR(_xlfn.XLOOKUP(Table6[[#This Row],[Suburb]],Table5[Travel Surcharge],Table5[$$]),"")</f>
        <v/>
      </c>
      <c r="AI4816" s="47">
        <f t="shared" si="1082"/>
        <v>1650.0000000000002</v>
      </c>
      <c r="AJ4816" s="47"/>
    </row>
    <row r="4817" spans="1:36">
      <c r="A4817" s="374" t="s">
        <v>6990</v>
      </c>
      <c r="B4817" s="374">
        <v>1</v>
      </c>
      <c r="C4817" s="374" t="s">
        <v>353</v>
      </c>
      <c r="D4817" s="375" t="str">
        <f t="shared" si="1076"/>
        <v>Wonderland1</v>
      </c>
      <c r="E4817" s="375" t="s">
        <v>354</v>
      </c>
      <c r="F4817" s="375"/>
      <c r="G4817" s="375"/>
      <c r="H4817" s="375"/>
      <c r="I4817" s="63"/>
      <c r="J4817" s="47">
        <f t="shared" si="1078"/>
        <v>3740</v>
      </c>
      <c r="K4817" s="46" t="s">
        <v>10735</v>
      </c>
      <c r="L4817" s="47"/>
      <c r="M4817" s="47"/>
      <c r="N4817" s="47"/>
      <c r="O4817" s="47"/>
      <c r="P4817" s="47"/>
      <c r="Q4817" s="47"/>
      <c r="R4817" s="47"/>
      <c r="S4817" s="47"/>
      <c r="T4817" s="47"/>
      <c r="U4817" s="47">
        <f t="shared" si="1070"/>
        <v>430</v>
      </c>
      <c r="V4817" s="47"/>
      <c r="W4817" s="47"/>
      <c r="X4817" s="47"/>
      <c r="Y4817" s="47"/>
      <c r="Z4817" s="47">
        <f t="shared" si="1077"/>
        <v>4620</v>
      </c>
      <c r="AA4817" s="47"/>
      <c r="AB4817" s="47"/>
      <c r="AC4817" s="47"/>
      <c r="AD4817" s="47"/>
      <c r="AE4817" s="47"/>
      <c r="AF4817" s="47"/>
      <c r="AG4817" s="47"/>
      <c r="AH4817" s="47" t="str">
        <f>IFERROR(_xlfn.XLOOKUP(Table6[[#This Row],[Suburb]],Table5[Travel Surcharge],Table5[$$]),"")</f>
        <v/>
      </c>
      <c r="AI4817" s="47"/>
      <c r="AJ4817" s="47"/>
    </row>
    <row r="4818" spans="1:36">
      <c r="A4818" s="374" t="s">
        <v>6991</v>
      </c>
      <c r="B4818" s="374">
        <v>1</v>
      </c>
      <c r="C4818" s="374" t="s">
        <v>6992</v>
      </c>
      <c r="D4818" s="375" t="str">
        <f t="shared" si="1076"/>
        <v>Wonga Park Estate1</v>
      </c>
      <c r="E4818" s="375" t="s">
        <v>6993</v>
      </c>
      <c r="F4818" s="375"/>
      <c r="G4818" s="375"/>
      <c r="H4818" s="375"/>
      <c r="I4818" s="63"/>
      <c r="J4818" s="47">
        <f t="shared" si="1078"/>
        <v>3740</v>
      </c>
      <c r="K4818" s="46" t="s">
        <v>10735</v>
      </c>
      <c r="L4818" s="47"/>
      <c r="M4818" s="47"/>
      <c r="N4818" s="47"/>
      <c r="O4818" s="47"/>
      <c r="P4818" s="47"/>
      <c r="Q4818" s="47">
        <f>Q$2</f>
        <v>0</v>
      </c>
      <c r="R4818" s="47"/>
      <c r="S4818" s="47"/>
      <c r="T4818" s="47"/>
      <c r="U4818" s="47"/>
      <c r="V4818" s="47"/>
      <c r="W4818" s="47"/>
      <c r="X4818" s="47"/>
      <c r="Y4818" s="47"/>
      <c r="Z4818" s="47">
        <f t="shared" si="1077"/>
        <v>4620</v>
      </c>
      <c r="AA4818" s="47"/>
      <c r="AB4818" s="47"/>
      <c r="AC4818" s="47"/>
      <c r="AD4818" s="47"/>
      <c r="AE4818" s="47"/>
      <c r="AF4818" s="47"/>
      <c r="AG4818" s="47"/>
      <c r="AH4818" s="47" t="str">
        <f>IFERROR(_xlfn.XLOOKUP(Table6[[#This Row],[Suburb]],Table5[Travel Surcharge],Table5[$$]),"")</f>
        <v/>
      </c>
      <c r="AI4818" s="47"/>
      <c r="AJ4818" s="47"/>
    </row>
    <row r="4819" spans="1:36">
      <c r="A4819" s="374" t="s">
        <v>6994</v>
      </c>
      <c r="B4819" s="374">
        <v>1</v>
      </c>
      <c r="C4819" s="374" t="s">
        <v>1024</v>
      </c>
      <c r="D4819" s="375" t="str">
        <f t="shared" si="1076"/>
        <v>Woodland Park1</v>
      </c>
      <c r="E4819" s="375" t="s">
        <v>6995</v>
      </c>
      <c r="F4819" s="375" t="s">
        <v>5746</v>
      </c>
      <c r="G4819" s="375" t="s">
        <v>4717</v>
      </c>
      <c r="H4819" s="375" t="s">
        <v>6996</v>
      </c>
      <c r="I4819" s="63" t="s">
        <v>6997</v>
      </c>
      <c r="J4819" s="47">
        <f t="shared" si="1078"/>
        <v>3740</v>
      </c>
      <c r="K4819" s="46" t="s">
        <v>10735</v>
      </c>
      <c r="L4819" s="47"/>
      <c r="M4819" s="47"/>
      <c r="N4819" s="47"/>
      <c r="O4819" s="47"/>
      <c r="P4819" s="47"/>
      <c r="Q4819" s="47">
        <f>Q$2</f>
        <v>0</v>
      </c>
      <c r="R4819" s="47"/>
      <c r="S4819" s="47"/>
      <c r="T4819" s="47"/>
      <c r="U4819" s="47"/>
      <c r="V4819" s="47"/>
      <c r="W4819" s="47"/>
      <c r="X4819" s="47"/>
      <c r="Y4819" s="47"/>
      <c r="Z4819" s="47">
        <f t="shared" si="1077"/>
        <v>4620</v>
      </c>
      <c r="AA4819" s="47"/>
      <c r="AB4819" s="47"/>
      <c r="AC4819" s="47"/>
      <c r="AD4819" s="47"/>
      <c r="AE4819" s="47"/>
      <c r="AF4819" s="47"/>
      <c r="AG4819" s="47"/>
      <c r="AH4819" s="47" t="str">
        <f>IFERROR(_xlfn.XLOOKUP(Table6[[#This Row],[Suburb]],Table5[Travel Surcharge],Table5[$$]),"")</f>
        <v/>
      </c>
      <c r="AI4819" s="47"/>
      <c r="AJ4819" s="47"/>
    </row>
    <row r="4820" spans="1:36">
      <c r="A4820" s="374" t="s">
        <v>9291</v>
      </c>
      <c r="B4820" s="374">
        <v>1</v>
      </c>
      <c r="C4820" s="374" t="s">
        <v>9292</v>
      </c>
      <c r="D4820" s="375" t="str">
        <f t="shared" si="1076"/>
        <v>Woodlands Estate1</v>
      </c>
      <c r="E4820" s="375" t="s">
        <v>9293</v>
      </c>
      <c r="F4820" s="375"/>
      <c r="G4820" s="375" t="s">
        <v>9294</v>
      </c>
      <c r="H4820" s="375" t="s">
        <v>9295</v>
      </c>
      <c r="I4820" s="63" t="s">
        <v>9296</v>
      </c>
      <c r="J4820" s="47">
        <f t="shared" si="1078"/>
        <v>3740</v>
      </c>
      <c r="K4820" s="46" t="s">
        <v>7938</v>
      </c>
      <c r="L4820" s="47" t="s">
        <v>9298</v>
      </c>
      <c r="M4820" s="47">
        <f>M$7</f>
        <v>1430.0000000000002</v>
      </c>
      <c r="N4820" s="47"/>
      <c r="O4820" s="47"/>
      <c r="P4820" s="47" t="s">
        <v>9297</v>
      </c>
      <c r="Q4820" s="47"/>
      <c r="R4820" s="47"/>
      <c r="S4820" s="47" t="s">
        <v>5595</v>
      </c>
      <c r="T4820" s="47"/>
      <c r="U4820" s="47"/>
      <c r="V4820" s="47" t="str">
        <f>V$7</f>
        <v>$6/m2</v>
      </c>
      <c r="W4820" s="47" t="s">
        <v>9299</v>
      </c>
      <c r="X4820" s="47" t="s">
        <v>9300</v>
      </c>
      <c r="Y4820" s="47"/>
      <c r="Z4820" s="47">
        <f t="shared" si="1077"/>
        <v>4620</v>
      </c>
      <c r="AA4820" s="47">
        <f>AA$7</f>
        <v>1400</v>
      </c>
      <c r="AB4820" s="47">
        <f>AB$7</f>
        <v>2800</v>
      </c>
      <c r="AC4820" s="47"/>
      <c r="AD4820" s="47"/>
      <c r="AE4820" s="47">
        <f>AE$7</f>
        <v>5000</v>
      </c>
      <c r="AF4820" s="47">
        <f>AF$7</f>
        <v>1485</v>
      </c>
      <c r="AG4820" s="47"/>
      <c r="AH4820" s="47" t="str">
        <f>IFERROR(_xlfn.XLOOKUP(Table6[[#This Row],[Suburb]],Table5[Travel Surcharge],Table5[$$]),"")</f>
        <v/>
      </c>
      <c r="AI4820" s="47"/>
      <c r="AJ4820" s="47"/>
    </row>
    <row r="4821" spans="1:36">
      <c r="A4821" s="374" t="s">
        <v>6998</v>
      </c>
      <c r="B4821" s="374">
        <v>2</v>
      </c>
      <c r="C4821" s="374" t="s">
        <v>468</v>
      </c>
      <c r="D4821" s="375" t="str">
        <f t="shared" si="1076"/>
        <v>Woodlea Estate2</v>
      </c>
      <c r="E4821" s="375" t="s">
        <v>6999</v>
      </c>
      <c r="F4821" s="375" t="s">
        <v>3077</v>
      </c>
      <c r="G4821" s="375" t="s">
        <v>7000</v>
      </c>
      <c r="H4821" s="375" t="s">
        <v>7001</v>
      </c>
      <c r="I4821" s="63" t="s">
        <v>7002</v>
      </c>
      <c r="J4821" s="47">
        <f t="shared" si="1078"/>
        <v>3740</v>
      </c>
      <c r="K4821" s="46" t="s">
        <v>10735</v>
      </c>
      <c r="L4821" s="47" t="s">
        <v>7003</v>
      </c>
      <c r="M4821" s="47"/>
      <c r="N4821" s="47"/>
      <c r="O4821" s="47"/>
      <c r="P4821" s="47"/>
      <c r="Q4821" s="47"/>
      <c r="R4821" s="47"/>
      <c r="S4821" s="47"/>
      <c r="T4821" s="47"/>
      <c r="U4821" s="47">
        <f t="shared" ref="U4821:U4860" si="1084">U$2</f>
        <v>430</v>
      </c>
      <c r="V4821" s="47"/>
      <c r="W4821" s="47"/>
      <c r="X4821" s="47"/>
      <c r="Y4821" s="47"/>
      <c r="Z4821" s="47">
        <f t="shared" si="1077"/>
        <v>4620</v>
      </c>
      <c r="AA4821" s="47"/>
      <c r="AB4821" s="47"/>
      <c r="AC4821" s="47"/>
      <c r="AD4821" s="47" t="s">
        <v>1</v>
      </c>
      <c r="AE4821" s="47"/>
      <c r="AF4821" s="47"/>
      <c r="AG4821" s="47"/>
      <c r="AH4821" s="47" t="str">
        <f>IFERROR(_xlfn.XLOOKUP(Table6[[#This Row],[Suburb]],Table5[Travel Surcharge],Table5[$$]),"")</f>
        <v/>
      </c>
      <c r="AI4821" s="47"/>
      <c r="AJ4821" s="47"/>
    </row>
    <row r="4822" spans="1:36">
      <c r="A4822" s="374" t="s">
        <v>6998</v>
      </c>
      <c r="B4822" s="374">
        <v>3</v>
      </c>
      <c r="C4822" s="374" t="s">
        <v>468</v>
      </c>
      <c r="D4822" s="375" t="str">
        <f t="shared" si="1076"/>
        <v>Woodlea Estate3</v>
      </c>
      <c r="E4822" s="375" t="s">
        <v>7004</v>
      </c>
      <c r="F4822" s="375" t="s">
        <v>3077</v>
      </c>
      <c r="G4822" s="375" t="s">
        <v>7000</v>
      </c>
      <c r="H4822" s="375" t="s">
        <v>7001</v>
      </c>
      <c r="I4822" s="63" t="s">
        <v>7002</v>
      </c>
      <c r="J4822" s="47">
        <f t="shared" si="1078"/>
        <v>3740</v>
      </c>
      <c r="K4822" s="46" t="s">
        <v>10735</v>
      </c>
      <c r="L4822" s="47" t="s">
        <v>7003</v>
      </c>
      <c r="M4822" s="47"/>
      <c r="N4822" s="47"/>
      <c r="O4822" s="47"/>
      <c r="P4822" s="47"/>
      <c r="Q4822" s="47"/>
      <c r="R4822" s="47"/>
      <c r="S4822" s="47"/>
      <c r="T4822" s="47"/>
      <c r="U4822" s="47">
        <f t="shared" si="1084"/>
        <v>430</v>
      </c>
      <c r="V4822" s="47"/>
      <c r="W4822" s="47"/>
      <c r="X4822" s="47"/>
      <c r="Y4822" s="47"/>
      <c r="Z4822" s="47">
        <f t="shared" si="1077"/>
        <v>4620</v>
      </c>
      <c r="AA4822" s="47"/>
      <c r="AB4822" s="47"/>
      <c r="AC4822" s="47"/>
      <c r="AD4822" s="47" t="s">
        <v>1</v>
      </c>
      <c r="AE4822" s="47"/>
      <c r="AF4822" s="47"/>
      <c r="AG4822" s="47"/>
      <c r="AH4822" s="47" t="str">
        <f>IFERROR(_xlfn.XLOOKUP(Table6[[#This Row],[Suburb]],Table5[Travel Surcharge],Table5[$$]),"")</f>
        <v/>
      </c>
      <c r="AI4822" s="47"/>
      <c r="AJ4822" s="47"/>
    </row>
    <row r="4823" spans="1:36">
      <c r="A4823" s="374" t="s">
        <v>6998</v>
      </c>
      <c r="B4823" s="374">
        <v>6</v>
      </c>
      <c r="C4823" s="374" t="s">
        <v>468</v>
      </c>
      <c r="D4823" s="375" t="str">
        <f t="shared" si="1076"/>
        <v>Woodlea Estate6</v>
      </c>
      <c r="E4823" s="375" t="s">
        <v>10281</v>
      </c>
      <c r="F4823" s="375" t="s">
        <v>3077</v>
      </c>
      <c r="G4823" s="375" t="s">
        <v>7000</v>
      </c>
      <c r="H4823" s="375" t="s">
        <v>7001</v>
      </c>
      <c r="I4823" s="63" t="s">
        <v>7002</v>
      </c>
      <c r="J4823" s="47">
        <v>3740</v>
      </c>
      <c r="K4823" s="46" t="s">
        <v>10735</v>
      </c>
      <c r="L4823" s="47" t="s">
        <v>7003</v>
      </c>
      <c r="M4823" s="47"/>
      <c r="N4823" s="47"/>
      <c r="O4823" s="47"/>
      <c r="P4823" s="47"/>
      <c r="Q4823" s="47"/>
      <c r="R4823" s="47"/>
      <c r="S4823" s="47"/>
      <c r="T4823" s="47"/>
      <c r="U4823" s="47">
        <v>540</v>
      </c>
      <c r="V4823" s="47"/>
      <c r="W4823" s="47"/>
      <c r="X4823" s="47"/>
      <c r="Y4823" s="47"/>
      <c r="Z4823" s="47">
        <v>4620</v>
      </c>
      <c r="AA4823" s="47"/>
      <c r="AB4823" s="47"/>
      <c r="AC4823" s="47"/>
      <c r="AD4823" s="47" t="s">
        <v>1</v>
      </c>
      <c r="AE4823" s="47"/>
      <c r="AF4823" s="47"/>
      <c r="AG4823" s="47"/>
      <c r="AH4823" s="47" t="s">
        <v>9976</v>
      </c>
      <c r="AI4823" s="47"/>
      <c r="AJ4823" s="47"/>
    </row>
    <row r="4824" spans="1:36">
      <c r="A4824" s="374" t="s">
        <v>6998</v>
      </c>
      <c r="B4824" s="374">
        <v>7</v>
      </c>
      <c r="C4824" s="374" t="s">
        <v>468</v>
      </c>
      <c r="D4824" s="375" t="str">
        <f t="shared" si="1076"/>
        <v>Woodlea Estate7</v>
      </c>
      <c r="E4824" s="375" t="s">
        <v>7005</v>
      </c>
      <c r="F4824" s="375" t="s">
        <v>3077</v>
      </c>
      <c r="G4824" s="375" t="s">
        <v>7000</v>
      </c>
      <c r="H4824" s="375" t="s">
        <v>7001</v>
      </c>
      <c r="I4824" s="63" t="s">
        <v>7002</v>
      </c>
      <c r="J4824" s="47">
        <f t="shared" si="1078"/>
        <v>3740</v>
      </c>
      <c r="K4824" s="46" t="s">
        <v>10735</v>
      </c>
      <c r="L4824" s="47" t="s">
        <v>7003</v>
      </c>
      <c r="M4824" s="47"/>
      <c r="N4824" s="47"/>
      <c r="O4824" s="47"/>
      <c r="P4824" s="47"/>
      <c r="Q4824" s="47"/>
      <c r="R4824" s="47"/>
      <c r="S4824" s="47"/>
      <c r="T4824" s="47"/>
      <c r="U4824" s="47">
        <f t="shared" si="1084"/>
        <v>430</v>
      </c>
      <c r="V4824" s="47"/>
      <c r="W4824" s="47"/>
      <c r="X4824" s="47"/>
      <c r="Y4824" s="47"/>
      <c r="Z4824" s="47">
        <f t="shared" si="1077"/>
        <v>4620</v>
      </c>
      <c r="AA4824" s="47"/>
      <c r="AB4824" s="47"/>
      <c r="AC4824" s="47"/>
      <c r="AD4824" s="47" t="s">
        <v>1</v>
      </c>
      <c r="AE4824" s="47"/>
      <c r="AF4824" s="47"/>
      <c r="AG4824" s="47"/>
      <c r="AH4824" s="47" t="str">
        <f>IFERROR(_xlfn.XLOOKUP(Table6[[#This Row],[Suburb]],Table5[Travel Surcharge],Table5[$$]),"")</f>
        <v/>
      </c>
      <c r="AI4824" s="47"/>
      <c r="AJ4824" s="47"/>
    </row>
    <row r="4825" spans="1:36">
      <c r="A4825" s="374" t="s">
        <v>6998</v>
      </c>
      <c r="B4825" s="374">
        <v>8</v>
      </c>
      <c r="C4825" s="374" t="s">
        <v>468</v>
      </c>
      <c r="D4825" s="375" t="str">
        <f t="shared" si="1076"/>
        <v>Woodlea Estate8</v>
      </c>
      <c r="E4825" s="375" t="s">
        <v>9389</v>
      </c>
      <c r="F4825" s="375" t="s">
        <v>3077</v>
      </c>
      <c r="G4825" s="375" t="s">
        <v>7000</v>
      </c>
      <c r="H4825" s="375" t="s">
        <v>7001</v>
      </c>
      <c r="I4825" s="63" t="s">
        <v>7002</v>
      </c>
      <c r="J4825" s="47">
        <f t="shared" si="1078"/>
        <v>3740</v>
      </c>
      <c r="K4825" s="46" t="s">
        <v>10735</v>
      </c>
      <c r="L4825" s="47" t="s">
        <v>7003</v>
      </c>
      <c r="M4825" s="47"/>
      <c r="N4825" s="47"/>
      <c r="O4825" s="47"/>
      <c r="P4825" s="47"/>
      <c r="Q4825" s="47"/>
      <c r="R4825" s="47"/>
      <c r="S4825" s="47"/>
      <c r="T4825" s="47"/>
      <c r="U4825" s="47">
        <f t="shared" si="1084"/>
        <v>430</v>
      </c>
      <c r="V4825" s="47"/>
      <c r="W4825" s="47"/>
      <c r="X4825" s="47"/>
      <c r="Y4825" s="47"/>
      <c r="Z4825" s="47">
        <f t="shared" si="1077"/>
        <v>4620</v>
      </c>
      <c r="AA4825" s="47"/>
      <c r="AB4825" s="47"/>
      <c r="AC4825" s="47"/>
      <c r="AD4825" s="47" t="s">
        <v>1</v>
      </c>
      <c r="AE4825" s="47"/>
      <c r="AF4825" s="47"/>
      <c r="AG4825" s="47"/>
      <c r="AH4825" s="47" t="str">
        <f>IFERROR(_xlfn.XLOOKUP(Table6[[#This Row],[Suburb]],Table5[Travel Surcharge],Table5[$$]),"")</f>
        <v/>
      </c>
      <c r="AI4825" s="47"/>
      <c r="AJ4825" s="47"/>
    </row>
    <row r="4826" spans="1:36">
      <c r="A4826" s="157" t="s">
        <v>6998</v>
      </c>
      <c r="B4826" s="157" t="s">
        <v>750</v>
      </c>
      <c r="C4826" s="157" t="s">
        <v>468</v>
      </c>
      <c r="D4826" s="157" t="str">
        <f t="shared" si="1076"/>
        <v>Woodlea Estate8B</v>
      </c>
      <c r="E4826" s="157" t="s">
        <v>7963</v>
      </c>
      <c r="F4826" s="157" t="s">
        <v>3077</v>
      </c>
      <c r="G4826" s="157" t="s">
        <v>7000</v>
      </c>
      <c r="H4826" s="157" t="s">
        <v>7001</v>
      </c>
      <c r="I4826" s="158" t="s">
        <v>7002</v>
      </c>
      <c r="J4826" s="47">
        <f t="shared" si="1078"/>
        <v>3740</v>
      </c>
      <c r="K4826" s="46" t="s">
        <v>10735</v>
      </c>
      <c r="L4826" s="47" t="s">
        <v>7003</v>
      </c>
      <c r="M4826" s="47"/>
      <c r="N4826" s="47"/>
      <c r="O4826" s="47"/>
      <c r="P4826" s="47"/>
      <c r="Q4826" s="47"/>
      <c r="R4826" s="47"/>
      <c r="S4826" s="47"/>
      <c r="T4826" s="47"/>
      <c r="U4826" s="47">
        <f t="shared" si="1084"/>
        <v>430</v>
      </c>
      <c r="V4826" s="47"/>
      <c r="W4826" s="47"/>
      <c r="X4826" s="47"/>
      <c r="Y4826" s="47"/>
      <c r="Z4826" s="47">
        <f t="shared" si="1077"/>
        <v>4620</v>
      </c>
      <c r="AA4826" s="47"/>
      <c r="AB4826" s="47"/>
      <c r="AC4826" s="47"/>
      <c r="AD4826" s="47" t="s">
        <v>1</v>
      </c>
      <c r="AE4826" s="47"/>
      <c r="AF4826" s="47"/>
      <c r="AG4826" s="47"/>
      <c r="AH4826" s="47" t="str">
        <f>IFERROR(_xlfn.XLOOKUP(Table6[[#This Row],[Suburb]],Table5[Travel Surcharge],Table5[$$]),"")</f>
        <v/>
      </c>
      <c r="AI4826" s="47"/>
      <c r="AJ4826" s="47"/>
    </row>
    <row r="4827" spans="1:36">
      <c r="A4827" s="374" t="s">
        <v>6998</v>
      </c>
      <c r="B4827" s="374">
        <v>14</v>
      </c>
      <c r="C4827" s="374" t="s">
        <v>468</v>
      </c>
      <c r="D4827" s="375" t="str">
        <f t="shared" si="1076"/>
        <v>Woodlea Estate14</v>
      </c>
      <c r="E4827" s="375" t="s">
        <v>7006</v>
      </c>
      <c r="F4827" s="375" t="s">
        <v>3077</v>
      </c>
      <c r="G4827" s="375" t="s">
        <v>7000</v>
      </c>
      <c r="H4827" s="375" t="s">
        <v>7001</v>
      </c>
      <c r="I4827" s="63" t="s">
        <v>7002</v>
      </c>
      <c r="J4827" s="47">
        <f t="shared" si="1078"/>
        <v>3740</v>
      </c>
      <c r="K4827" s="46" t="s">
        <v>10735</v>
      </c>
      <c r="L4827" s="47" t="s">
        <v>7003</v>
      </c>
      <c r="M4827" s="47"/>
      <c r="N4827" s="47"/>
      <c r="O4827" s="47"/>
      <c r="P4827" s="47"/>
      <c r="Q4827" s="47"/>
      <c r="R4827" s="47"/>
      <c r="S4827" s="47"/>
      <c r="T4827" s="47"/>
      <c r="U4827" s="47">
        <f t="shared" si="1084"/>
        <v>430</v>
      </c>
      <c r="V4827" s="47"/>
      <c r="W4827" s="47"/>
      <c r="X4827" s="47"/>
      <c r="Y4827" s="47"/>
      <c r="Z4827" s="47">
        <f t="shared" si="1077"/>
        <v>4620</v>
      </c>
      <c r="AA4827" s="47"/>
      <c r="AB4827" s="47"/>
      <c r="AC4827" s="47"/>
      <c r="AD4827" s="47" t="s">
        <v>1</v>
      </c>
      <c r="AE4827" s="47"/>
      <c r="AF4827" s="47"/>
      <c r="AG4827" s="47"/>
      <c r="AH4827" s="47" t="str">
        <f>IFERROR(_xlfn.XLOOKUP(Table6[[#This Row],[Suburb]],Table5[Travel Surcharge],Table5[$$]),"")</f>
        <v/>
      </c>
      <c r="AI4827" s="47"/>
      <c r="AJ4827" s="47"/>
    </row>
    <row r="4828" spans="1:36">
      <c r="A4828" s="374" t="s">
        <v>6998</v>
      </c>
      <c r="B4828" s="374">
        <v>17</v>
      </c>
      <c r="C4828" s="374" t="s">
        <v>468</v>
      </c>
      <c r="D4828" s="375" t="str">
        <f t="shared" si="1076"/>
        <v>Woodlea Estate17</v>
      </c>
      <c r="E4828" s="375" t="s">
        <v>7007</v>
      </c>
      <c r="F4828" s="375" t="s">
        <v>3077</v>
      </c>
      <c r="G4828" s="375" t="s">
        <v>7000</v>
      </c>
      <c r="H4828" s="375" t="s">
        <v>7001</v>
      </c>
      <c r="I4828" s="63" t="s">
        <v>7002</v>
      </c>
      <c r="J4828" s="47">
        <f t="shared" si="1078"/>
        <v>3740</v>
      </c>
      <c r="K4828" s="46" t="s">
        <v>10735</v>
      </c>
      <c r="L4828" s="47" t="s">
        <v>7003</v>
      </c>
      <c r="M4828" s="47"/>
      <c r="N4828" s="47"/>
      <c r="O4828" s="47"/>
      <c r="P4828" s="47"/>
      <c r="Q4828" s="47"/>
      <c r="R4828" s="47"/>
      <c r="S4828" s="47"/>
      <c r="T4828" s="47"/>
      <c r="U4828" s="47">
        <f t="shared" si="1084"/>
        <v>430</v>
      </c>
      <c r="V4828" s="47"/>
      <c r="W4828" s="47"/>
      <c r="X4828" s="47"/>
      <c r="Y4828" s="47"/>
      <c r="Z4828" s="47">
        <f t="shared" si="1077"/>
        <v>4620</v>
      </c>
      <c r="AA4828" s="47"/>
      <c r="AB4828" s="47"/>
      <c r="AC4828" s="47"/>
      <c r="AD4828" s="47" t="s">
        <v>1</v>
      </c>
      <c r="AE4828" s="47"/>
      <c r="AF4828" s="47"/>
      <c r="AG4828" s="47"/>
      <c r="AH4828" s="47" t="str">
        <f>IFERROR(_xlfn.XLOOKUP(Table6[[#This Row],[Suburb]],Table5[Travel Surcharge],Table5[$$]),"")</f>
        <v/>
      </c>
      <c r="AI4828" s="47"/>
      <c r="AJ4828" s="47"/>
    </row>
    <row r="4829" spans="1:36">
      <c r="A4829" s="374" t="s">
        <v>6998</v>
      </c>
      <c r="B4829" s="374">
        <v>20</v>
      </c>
      <c r="C4829" s="374" t="s">
        <v>468</v>
      </c>
      <c r="D4829" s="375" t="str">
        <f t="shared" si="1076"/>
        <v>Woodlea Estate20</v>
      </c>
      <c r="E4829" s="375" t="s">
        <v>7008</v>
      </c>
      <c r="F4829" s="375" t="s">
        <v>3077</v>
      </c>
      <c r="G4829" s="375" t="s">
        <v>7000</v>
      </c>
      <c r="H4829" s="375" t="s">
        <v>7001</v>
      </c>
      <c r="I4829" s="63" t="s">
        <v>7002</v>
      </c>
      <c r="J4829" s="47">
        <f t="shared" si="1078"/>
        <v>3740</v>
      </c>
      <c r="K4829" s="46" t="s">
        <v>10735</v>
      </c>
      <c r="L4829" s="47" t="s">
        <v>7003</v>
      </c>
      <c r="M4829" s="47"/>
      <c r="N4829" s="47"/>
      <c r="O4829" s="47"/>
      <c r="P4829" s="47"/>
      <c r="Q4829" s="47"/>
      <c r="R4829" s="47"/>
      <c r="S4829" s="47"/>
      <c r="T4829" s="47"/>
      <c r="U4829" s="47">
        <f t="shared" si="1084"/>
        <v>430</v>
      </c>
      <c r="V4829" s="47"/>
      <c r="W4829" s="47"/>
      <c r="X4829" s="47"/>
      <c r="Y4829" s="47"/>
      <c r="Z4829" s="47">
        <f t="shared" si="1077"/>
        <v>4620</v>
      </c>
      <c r="AA4829" s="47"/>
      <c r="AB4829" s="47"/>
      <c r="AC4829" s="47"/>
      <c r="AD4829" s="47" t="s">
        <v>1</v>
      </c>
      <c r="AE4829" s="47"/>
      <c r="AF4829" s="47"/>
      <c r="AG4829" s="47"/>
      <c r="AH4829" s="47" t="str">
        <f>IFERROR(_xlfn.XLOOKUP(Table6[[#This Row],[Suburb]],Table5[Travel Surcharge],Table5[$$]),"")</f>
        <v/>
      </c>
      <c r="AI4829" s="47"/>
      <c r="AJ4829" s="47"/>
    </row>
    <row r="4830" spans="1:36">
      <c r="A4830" s="374" t="s">
        <v>6998</v>
      </c>
      <c r="B4830" s="374">
        <v>21</v>
      </c>
      <c r="C4830" s="374" t="s">
        <v>468</v>
      </c>
      <c r="D4830" s="375" t="str">
        <f t="shared" si="1076"/>
        <v>Woodlea Estate21</v>
      </c>
      <c r="E4830" s="375" t="s">
        <v>7009</v>
      </c>
      <c r="F4830" s="375" t="s">
        <v>3077</v>
      </c>
      <c r="G4830" s="375" t="s">
        <v>7000</v>
      </c>
      <c r="H4830" s="375" t="s">
        <v>7001</v>
      </c>
      <c r="I4830" s="63" t="s">
        <v>7002</v>
      </c>
      <c r="J4830" s="47">
        <f t="shared" si="1078"/>
        <v>3740</v>
      </c>
      <c r="K4830" s="46" t="s">
        <v>10735</v>
      </c>
      <c r="L4830" s="47" t="s">
        <v>7003</v>
      </c>
      <c r="M4830" s="47"/>
      <c r="N4830" s="47"/>
      <c r="O4830" s="47"/>
      <c r="P4830" s="47"/>
      <c r="Q4830" s="47"/>
      <c r="R4830" s="47"/>
      <c r="S4830" s="47"/>
      <c r="T4830" s="47"/>
      <c r="U4830" s="47">
        <f t="shared" si="1084"/>
        <v>430</v>
      </c>
      <c r="V4830" s="47"/>
      <c r="W4830" s="47"/>
      <c r="X4830" s="47"/>
      <c r="Y4830" s="47"/>
      <c r="Z4830" s="47">
        <f t="shared" si="1077"/>
        <v>4620</v>
      </c>
      <c r="AA4830" s="47"/>
      <c r="AB4830" s="47"/>
      <c r="AC4830" s="47"/>
      <c r="AD4830" s="47" t="s">
        <v>1</v>
      </c>
      <c r="AE4830" s="47"/>
      <c r="AF4830" s="47"/>
      <c r="AG4830" s="47"/>
      <c r="AH4830" s="47" t="str">
        <f>IFERROR(_xlfn.XLOOKUP(Table6[[#This Row],[Suburb]],Table5[Travel Surcharge],Table5[$$]),"")</f>
        <v/>
      </c>
      <c r="AI4830" s="47"/>
      <c r="AJ4830" s="47"/>
    </row>
    <row r="4831" spans="1:36">
      <c r="A4831" s="374" t="s">
        <v>6998</v>
      </c>
      <c r="B4831" s="374">
        <v>22</v>
      </c>
      <c r="C4831" s="374" t="s">
        <v>468</v>
      </c>
      <c r="D4831" s="375" t="str">
        <f t="shared" si="1076"/>
        <v>Woodlea Estate22</v>
      </c>
      <c r="E4831" s="375" t="s">
        <v>7010</v>
      </c>
      <c r="F4831" s="375" t="s">
        <v>3077</v>
      </c>
      <c r="G4831" s="375" t="s">
        <v>7000</v>
      </c>
      <c r="H4831" s="375" t="s">
        <v>7001</v>
      </c>
      <c r="I4831" s="63" t="s">
        <v>7002</v>
      </c>
      <c r="J4831" s="47">
        <f t="shared" si="1078"/>
        <v>3740</v>
      </c>
      <c r="K4831" s="46" t="s">
        <v>10735</v>
      </c>
      <c r="L4831" s="47" t="s">
        <v>7003</v>
      </c>
      <c r="M4831" s="47"/>
      <c r="N4831" s="47"/>
      <c r="O4831" s="47"/>
      <c r="P4831" s="47"/>
      <c r="Q4831" s="47"/>
      <c r="R4831" s="47"/>
      <c r="S4831" s="47"/>
      <c r="T4831" s="47"/>
      <c r="U4831" s="47">
        <f t="shared" si="1084"/>
        <v>430</v>
      </c>
      <c r="V4831" s="47"/>
      <c r="W4831" s="47"/>
      <c r="X4831" s="47"/>
      <c r="Y4831" s="47"/>
      <c r="Z4831" s="47">
        <f t="shared" si="1077"/>
        <v>4620</v>
      </c>
      <c r="AA4831" s="47"/>
      <c r="AB4831" s="47"/>
      <c r="AC4831" s="47"/>
      <c r="AD4831" s="47" t="s">
        <v>1</v>
      </c>
      <c r="AE4831" s="47"/>
      <c r="AF4831" s="47"/>
      <c r="AG4831" s="47"/>
      <c r="AH4831" s="47" t="str">
        <f>IFERROR(_xlfn.XLOOKUP(Table6[[#This Row],[Suburb]],Table5[Travel Surcharge],Table5[$$]),"")</f>
        <v/>
      </c>
      <c r="AI4831" s="47"/>
      <c r="AJ4831" s="47"/>
    </row>
    <row r="4832" spans="1:36">
      <c r="A4832" s="374" t="s">
        <v>6998</v>
      </c>
      <c r="B4832" s="374">
        <v>27</v>
      </c>
      <c r="C4832" s="374" t="s">
        <v>468</v>
      </c>
      <c r="D4832" s="375" t="str">
        <f t="shared" ref="D4832:D4865" si="1085">CONCATENATE(A4832,B4832)</f>
        <v>Woodlea Estate27</v>
      </c>
      <c r="E4832" s="375" t="s">
        <v>7011</v>
      </c>
      <c r="F4832" s="375" t="s">
        <v>3077</v>
      </c>
      <c r="G4832" s="375" t="s">
        <v>7000</v>
      </c>
      <c r="H4832" s="375" t="s">
        <v>7001</v>
      </c>
      <c r="I4832" s="63" t="s">
        <v>7002</v>
      </c>
      <c r="J4832" s="47">
        <f t="shared" si="1078"/>
        <v>3740</v>
      </c>
      <c r="K4832" s="46" t="s">
        <v>10735</v>
      </c>
      <c r="L4832" s="47" t="s">
        <v>7003</v>
      </c>
      <c r="M4832" s="47"/>
      <c r="N4832" s="47"/>
      <c r="O4832" s="47"/>
      <c r="P4832" s="47"/>
      <c r="Q4832" s="47"/>
      <c r="R4832" s="47"/>
      <c r="S4832" s="47"/>
      <c r="T4832" s="47"/>
      <c r="U4832" s="47">
        <f t="shared" si="1084"/>
        <v>430</v>
      </c>
      <c r="V4832" s="47"/>
      <c r="W4832" s="47"/>
      <c r="X4832" s="47"/>
      <c r="Y4832" s="47"/>
      <c r="Z4832" s="47">
        <f t="shared" ref="Z4832:Z4865" si="1086">Z$7</f>
        <v>4620</v>
      </c>
      <c r="AA4832" s="47"/>
      <c r="AB4832" s="47"/>
      <c r="AC4832" s="47"/>
      <c r="AD4832" s="47" t="s">
        <v>1</v>
      </c>
      <c r="AE4832" s="47"/>
      <c r="AF4832" s="47"/>
      <c r="AG4832" s="47"/>
      <c r="AH4832" s="47" t="str">
        <f>IFERROR(_xlfn.XLOOKUP(Table6[[#This Row],[Suburb]],Table5[Travel Surcharge],Table5[$$]),"")</f>
        <v/>
      </c>
      <c r="AI4832" s="47"/>
      <c r="AJ4832" s="47"/>
    </row>
    <row r="4833" spans="1:36">
      <c r="A4833" s="374" t="s">
        <v>6998</v>
      </c>
      <c r="B4833" s="374">
        <v>30</v>
      </c>
      <c r="C4833" s="374" t="s">
        <v>468</v>
      </c>
      <c r="D4833" s="375" t="str">
        <f t="shared" si="1085"/>
        <v>Woodlea Estate30</v>
      </c>
      <c r="E4833" s="375" t="s">
        <v>7012</v>
      </c>
      <c r="F4833" s="375" t="s">
        <v>3077</v>
      </c>
      <c r="G4833" s="375" t="s">
        <v>7000</v>
      </c>
      <c r="H4833" s="375" t="s">
        <v>7001</v>
      </c>
      <c r="I4833" s="63" t="s">
        <v>7002</v>
      </c>
      <c r="J4833" s="47">
        <f t="shared" si="1078"/>
        <v>3740</v>
      </c>
      <c r="K4833" s="46" t="s">
        <v>10735</v>
      </c>
      <c r="L4833" s="47" t="s">
        <v>7003</v>
      </c>
      <c r="M4833" s="47"/>
      <c r="N4833" s="47"/>
      <c r="O4833" s="47"/>
      <c r="P4833" s="47"/>
      <c r="Q4833" s="47"/>
      <c r="R4833" s="47"/>
      <c r="S4833" s="47"/>
      <c r="T4833" s="47"/>
      <c r="U4833" s="47">
        <f t="shared" si="1084"/>
        <v>430</v>
      </c>
      <c r="V4833" s="47"/>
      <c r="W4833" s="47"/>
      <c r="X4833" s="47"/>
      <c r="Y4833" s="47"/>
      <c r="Z4833" s="47">
        <f t="shared" si="1086"/>
        <v>4620</v>
      </c>
      <c r="AA4833" s="47"/>
      <c r="AB4833" s="47"/>
      <c r="AC4833" s="47"/>
      <c r="AD4833" s="47" t="s">
        <v>1</v>
      </c>
      <c r="AE4833" s="47"/>
      <c r="AF4833" s="47"/>
      <c r="AG4833" s="47"/>
      <c r="AH4833" s="47" t="str">
        <f>IFERROR(_xlfn.XLOOKUP(Table6[[#This Row],[Suburb]],Table5[Travel Surcharge],Table5[$$]),"")</f>
        <v/>
      </c>
      <c r="AI4833" s="47"/>
      <c r="AJ4833" s="47"/>
    </row>
    <row r="4834" spans="1:36">
      <c r="A4834" s="374" t="s">
        <v>6998</v>
      </c>
      <c r="B4834" s="374">
        <v>31</v>
      </c>
      <c r="C4834" s="374" t="s">
        <v>468</v>
      </c>
      <c r="D4834" s="375" t="str">
        <f t="shared" si="1085"/>
        <v>Woodlea Estate31</v>
      </c>
      <c r="E4834" s="375" t="s">
        <v>7013</v>
      </c>
      <c r="F4834" s="375" t="s">
        <v>3077</v>
      </c>
      <c r="G4834" s="375" t="s">
        <v>7000</v>
      </c>
      <c r="H4834" s="375" t="s">
        <v>7001</v>
      </c>
      <c r="I4834" s="63" t="s">
        <v>7002</v>
      </c>
      <c r="J4834" s="47">
        <f t="shared" si="1078"/>
        <v>3740</v>
      </c>
      <c r="K4834" s="46" t="s">
        <v>10735</v>
      </c>
      <c r="L4834" s="47" t="s">
        <v>7003</v>
      </c>
      <c r="M4834" s="47"/>
      <c r="N4834" s="47"/>
      <c r="O4834" s="47"/>
      <c r="P4834" s="47"/>
      <c r="Q4834" s="47"/>
      <c r="R4834" s="47"/>
      <c r="S4834" s="47"/>
      <c r="T4834" s="47"/>
      <c r="U4834" s="47">
        <f t="shared" si="1084"/>
        <v>430</v>
      </c>
      <c r="V4834" s="47"/>
      <c r="W4834" s="47"/>
      <c r="X4834" s="47"/>
      <c r="Y4834" s="47"/>
      <c r="Z4834" s="47">
        <f t="shared" si="1086"/>
        <v>4620</v>
      </c>
      <c r="AA4834" s="47"/>
      <c r="AB4834" s="47"/>
      <c r="AC4834" s="47"/>
      <c r="AD4834" s="47" t="s">
        <v>1</v>
      </c>
      <c r="AE4834" s="47"/>
      <c r="AF4834" s="47"/>
      <c r="AG4834" s="47"/>
      <c r="AH4834" s="47" t="str">
        <f>IFERROR(_xlfn.XLOOKUP(Table6[[#This Row],[Suburb]],Table5[Travel Surcharge],Table5[$$]),"")</f>
        <v/>
      </c>
      <c r="AI4834" s="47"/>
      <c r="AJ4834" s="47"/>
    </row>
    <row r="4835" spans="1:36">
      <c r="A4835" s="374" t="s">
        <v>6998</v>
      </c>
      <c r="B4835" s="374">
        <v>32</v>
      </c>
      <c r="C4835" s="374" t="s">
        <v>468</v>
      </c>
      <c r="D4835" s="375" t="str">
        <f t="shared" si="1085"/>
        <v>Woodlea Estate32</v>
      </c>
      <c r="E4835" s="375" t="s">
        <v>7014</v>
      </c>
      <c r="F4835" s="375" t="s">
        <v>3077</v>
      </c>
      <c r="G4835" s="375" t="s">
        <v>7000</v>
      </c>
      <c r="H4835" s="375" t="s">
        <v>7001</v>
      </c>
      <c r="I4835" s="63" t="s">
        <v>7002</v>
      </c>
      <c r="J4835" s="47">
        <f t="shared" si="1078"/>
        <v>3740</v>
      </c>
      <c r="K4835" s="46" t="s">
        <v>10735</v>
      </c>
      <c r="L4835" s="47" t="s">
        <v>7003</v>
      </c>
      <c r="M4835" s="47"/>
      <c r="N4835" s="47"/>
      <c r="O4835" s="47"/>
      <c r="P4835" s="47"/>
      <c r="Q4835" s="47"/>
      <c r="R4835" s="47"/>
      <c r="S4835" s="47"/>
      <c r="T4835" s="47"/>
      <c r="U4835" s="47">
        <f t="shared" si="1084"/>
        <v>430</v>
      </c>
      <c r="V4835" s="47"/>
      <c r="W4835" s="47"/>
      <c r="X4835" s="47"/>
      <c r="Y4835" s="47"/>
      <c r="Z4835" s="47">
        <f t="shared" si="1086"/>
        <v>4620</v>
      </c>
      <c r="AA4835" s="47"/>
      <c r="AB4835" s="47"/>
      <c r="AC4835" s="47"/>
      <c r="AD4835" s="47" t="s">
        <v>1</v>
      </c>
      <c r="AE4835" s="47"/>
      <c r="AF4835" s="47"/>
      <c r="AG4835" s="47"/>
      <c r="AH4835" s="47" t="str">
        <f>IFERROR(_xlfn.XLOOKUP(Table6[[#This Row],[Suburb]],Table5[Travel Surcharge],Table5[$$]),"")</f>
        <v/>
      </c>
      <c r="AI4835" s="47"/>
      <c r="AJ4835" s="47"/>
    </row>
    <row r="4836" spans="1:36">
      <c r="A4836" s="374" t="s">
        <v>6998</v>
      </c>
      <c r="B4836" s="374">
        <v>33</v>
      </c>
      <c r="C4836" s="374" t="s">
        <v>468</v>
      </c>
      <c r="D4836" s="375" t="str">
        <f t="shared" si="1085"/>
        <v>Woodlea Estate33</v>
      </c>
      <c r="E4836" s="375" t="s">
        <v>7015</v>
      </c>
      <c r="F4836" s="375" t="s">
        <v>3077</v>
      </c>
      <c r="G4836" s="375" t="s">
        <v>7000</v>
      </c>
      <c r="H4836" s="375" t="s">
        <v>7001</v>
      </c>
      <c r="I4836" s="63" t="s">
        <v>7002</v>
      </c>
      <c r="J4836" s="47">
        <f t="shared" si="1078"/>
        <v>3740</v>
      </c>
      <c r="K4836" s="46" t="s">
        <v>10735</v>
      </c>
      <c r="L4836" s="47" t="s">
        <v>7003</v>
      </c>
      <c r="M4836" s="47"/>
      <c r="N4836" s="47"/>
      <c r="O4836" s="47"/>
      <c r="P4836" s="47"/>
      <c r="Q4836" s="47"/>
      <c r="R4836" s="47"/>
      <c r="S4836" s="47"/>
      <c r="T4836" s="47"/>
      <c r="U4836" s="47">
        <f t="shared" si="1084"/>
        <v>430</v>
      </c>
      <c r="V4836" s="47"/>
      <c r="W4836" s="47"/>
      <c r="X4836" s="47"/>
      <c r="Y4836" s="47"/>
      <c r="Z4836" s="47">
        <f t="shared" si="1086"/>
        <v>4620</v>
      </c>
      <c r="AA4836" s="47"/>
      <c r="AB4836" s="47"/>
      <c r="AC4836" s="47"/>
      <c r="AD4836" s="47" t="s">
        <v>1</v>
      </c>
      <c r="AE4836" s="47"/>
      <c r="AF4836" s="47"/>
      <c r="AG4836" s="47"/>
      <c r="AH4836" s="47" t="str">
        <f>IFERROR(_xlfn.XLOOKUP(Table6[[#This Row],[Suburb]],Table5[Travel Surcharge],Table5[$$]),"")</f>
        <v/>
      </c>
      <c r="AI4836" s="47"/>
      <c r="AJ4836" s="47"/>
    </row>
    <row r="4837" spans="1:36">
      <c r="A4837" s="374" t="s">
        <v>6998</v>
      </c>
      <c r="B4837" s="374">
        <v>34</v>
      </c>
      <c r="C4837" s="374" t="s">
        <v>468</v>
      </c>
      <c r="D4837" s="375" t="str">
        <f t="shared" si="1085"/>
        <v>Woodlea Estate34</v>
      </c>
      <c r="E4837" s="375" t="s">
        <v>7016</v>
      </c>
      <c r="F4837" s="375" t="s">
        <v>3077</v>
      </c>
      <c r="G4837" s="375" t="s">
        <v>7000</v>
      </c>
      <c r="H4837" s="375" t="s">
        <v>7001</v>
      </c>
      <c r="I4837" s="63" t="s">
        <v>7002</v>
      </c>
      <c r="J4837" s="47">
        <f t="shared" ref="J4837:J4868" si="1087">J$7</f>
        <v>3740</v>
      </c>
      <c r="K4837" s="46" t="s">
        <v>10735</v>
      </c>
      <c r="L4837" s="47" t="s">
        <v>7003</v>
      </c>
      <c r="M4837" s="47"/>
      <c r="N4837" s="47"/>
      <c r="O4837" s="47"/>
      <c r="P4837" s="47"/>
      <c r="Q4837" s="47"/>
      <c r="R4837" s="47"/>
      <c r="S4837" s="47"/>
      <c r="T4837" s="47"/>
      <c r="U4837" s="47">
        <f t="shared" si="1084"/>
        <v>430</v>
      </c>
      <c r="V4837" s="47"/>
      <c r="W4837" s="47"/>
      <c r="X4837" s="47"/>
      <c r="Y4837" s="47"/>
      <c r="Z4837" s="47">
        <f t="shared" si="1086"/>
        <v>4620</v>
      </c>
      <c r="AA4837" s="47"/>
      <c r="AB4837" s="47"/>
      <c r="AC4837" s="47"/>
      <c r="AD4837" s="47" t="s">
        <v>1</v>
      </c>
      <c r="AE4837" s="47"/>
      <c r="AF4837" s="47"/>
      <c r="AG4837" s="47"/>
      <c r="AH4837" s="47" t="str">
        <f>IFERROR(_xlfn.XLOOKUP(Table6[[#This Row],[Suburb]],Table5[Travel Surcharge],Table5[$$]),"")</f>
        <v/>
      </c>
      <c r="AI4837" s="47"/>
      <c r="AJ4837" s="47"/>
    </row>
    <row r="4838" spans="1:36">
      <c r="A4838" s="374" t="s">
        <v>6998</v>
      </c>
      <c r="B4838" s="374">
        <v>35</v>
      </c>
      <c r="C4838" s="374" t="s">
        <v>468</v>
      </c>
      <c r="D4838" s="375" t="str">
        <f t="shared" si="1085"/>
        <v>Woodlea Estate35</v>
      </c>
      <c r="E4838" s="375" t="s">
        <v>7017</v>
      </c>
      <c r="F4838" s="375" t="s">
        <v>3077</v>
      </c>
      <c r="G4838" s="375" t="s">
        <v>7000</v>
      </c>
      <c r="H4838" s="375" t="s">
        <v>7001</v>
      </c>
      <c r="I4838" s="63" t="s">
        <v>7002</v>
      </c>
      <c r="J4838" s="47">
        <f t="shared" si="1087"/>
        <v>3740</v>
      </c>
      <c r="K4838" s="46" t="s">
        <v>10735</v>
      </c>
      <c r="L4838" s="47" t="s">
        <v>7003</v>
      </c>
      <c r="M4838" s="47"/>
      <c r="N4838" s="47"/>
      <c r="O4838" s="47"/>
      <c r="P4838" s="47"/>
      <c r="Q4838" s="47"/>
      <c r="R4838" s="47"/>
      <c r="S4838" s="47"/>
      <c r="T4838" s="47"/>
      <c r="U4838" s="47">
        <f t="shared" si="1084"/>
        <v>430</v>
      </c>
      <c r="V4838" s="47"/>
      <c r="W4838" s="47"/>
      <c r="X4838" s="47"/>
      <c r="Y4838" s="47"/>
      <c r="Z4838" s="47">
        <f t="shared" si="1086"/>
        <v>4620</v>
      </c>
      <c r="AA4838" s="47"/>
      <c r="AB4838" s="47"/>
      <c r="AC4838" s="47"/>
      <c r="AD4838" s="47" t="s">
        <v>1</v>
      </c>
      <c r="AE4838" s="47"/>
      <c r="AF4838" s="47"/>
      <c r="AG4838" s="47"/>
      <c r="AH4838" s="47" t="str">
        <f>IFERROR(_xlfn.XLOOKUP(Table6[[#This Row],[Suburb]],Table5[Travel Surcharge],Table5[$$]),"")</f>
        <v/>
      </c>
      <c r="AI4838" s="47"/>
      <c r="AJ4838" s="47"/>
    </row>
    <row r="4839" spans="1:36">
      <c r="A4839" s="374" t="s">
        <v>6998</v>
      </c>
      <c r="B4839" s="374">
        <v>36</v>
      </c>
      <c r="C4839" s="374" t="s">
        <v>468</v>
      </c>
      <c r="D4839" s="375" t="str">
        <f t="shared" si="1085"/>
        <v>Woodlea Estate36</v>
      </c>
      <c r="E4839" s="375" t="s">
        <v>7018</v>
      </c>
      <c r="F4839" s="375" t="s">
        <v>3077</v>
      </c>
      <c r="G4839" s="375" t="s">
        <v>7000</v>
      </c>
      <c r="H4839" s="375" t="s">
        <v>7001</v>
      </c>
      <c r="I4839" s="63" t="s">
        <v>7002</v>
      </c>
      <c r="J4839" s="47">
        <f t="shared" si="1087"/>
        <v>3740</v>
      </c>
      <c r="K4839" s="46" t="s">
        <v>10735</v>
      </c>
      <c r="L4839" s="47" t="s">
        <v>7003</v>
      </c>
      <c r="M4839" s="47"/>
      <c r="N4839" s="47"/>
      <c r="O4839" s="47"/>
      <c r="P4839" s="47"/>
      <c r="Q4839" s="47"/>
      <c r="R4839" s="47"/>
      <c r="S4839" s="47"/>
      <c r="T4839" s="47"/>
      <c r="U4839" s="47">
        <f t="shared" si="1084"/>
        <v>430</v>
      </c>
      <c r="V4839" s="47"/>
      <c r="W4839" s="47"/>
      <c r="X4839" s="47"/>
      <c r="Y4839" s="47"/>
      <c r="Z4839" s="47">
        <f t="shared" si="1086"/>
        <v>4620</v>
      </c>
      <c r="AA4839" s="47"/>
      <c r="AB4839" s="47"/>
      <c r="AC4839" s="47"/>
      <c r="AD4839" s="47" t="s">
        <v>1</v>
      </c>
      <c r="AE4839" s="47"/>
      <c r="AF4839" s="47"/>
      <c r="AG4839" s="47"/>
      <c r="AH4839" s="47" t="str">
        <f>IFERROR(_xlfn.XLOOKUP(Table6[[#This Row],[Suburb]],Table5[Travel Surcharge],Table5[$$]),"")</f>
        <v/>
      </c>
      <c r="AI4839" s="47"/>
      <c r="AJ4839" s="47"/>
    </row>
    <row r="4840" spans="1:36">
      <c r="A4840" s="374" t="s">
        <v>6998</v>
      </c>
      <c r="B4840" s="374">
        <v>37</v>
      </c>
      <c r="C4840" s="374" t="s">
        <v>468</v>
      </c>
      <c r="D4840" s="375" t="str">
        <f t="shared" si="1085"/>
        <v>Woodlea Estate37</v>
      </c>
      <c r="E4840" s="375" t="s">
        <v>7019</v>
      </c>
      <c r="F4840" s="375" t="s">
        <v>3077</v>
      </c>
      <c r="G4840" s="375" t="s">
        <v>7000</v>
      </c>
      <c r="H4840" s="375" t="s">
        <v>7001</v>
      </c>
      <c r="I4840" s="63" t="s">
        <v>7002</v>
      </c>
      <c r="J4840" s="47">
        <f t="shared" si="1087"/>
        <v>3740</v>
      </c>
      <c r="K4840" s="46" t="s">
        <v>10735</v>
      </c>
      <c r="L4840" s="47" t="s">
        <v>7003</v>
      </c>
      <c r="M4840" s="47"/>
      <c r="N4840" s="47"/>
      <c r="O4840" s="47"/>
      <c r="P4840" s="47"/>
      <c r="Q4840" s="47"/>
      <c r="R4840" s="47"/>
      <c r="S4840" s="47"/>
      <c r="T4840" s="47"/>
      <c r="U4840" s="47">
        <f t="shared" si="1084"/>
        <v>430</v>
      </c>
      <c r="V4840" s="47"/>
      <c r="W4840" s="47"/>
      <c r="X4840" s="47"/>
      <c r="Y4840" s="47"/>
      <c r="Z4840" s="47">
        <f t="shared" si="1086"/>
        <v>4620</v>
      </c>
      <c r="AA4840" s="47"/>
      <c r="AB4840" s="47"/>
      <c r="AC4840" s="47"/>
      <c r="AD4840" s="47" t="s">
        <v>1</v>
      </c>
      <c r="AE4840" s="47"/>
      <c r="AF4840" s="47"/>
      <c r="AG4840" s="47"/>
      <c r="AH4840" s="47" t="str">
        <f>IFERROR(_xlfn.XLOOKUP(Table6[[#This Row],[Suburb]],Table5[Travel Surcharge],Table5[$$]),"")</f>
        <v/>
      </c>
      <c r="AI4840" s="47"/>
      <c r="AJ4840" s="47"/>
    </row>
    <row r="4841" spans="1:36">
      <c r="A4841" s="374" t="s">
        <v>6998</v>
      </c>
      <c r="B4841" s="374">
        <v>39</v>
      </c>
      <c r="C4841" s="374" t="s">
        <v>468</v>
      </c>
      <c r="D4841" s="375" t="str">
        <f t="shared" si="1085"/>
        <v>Woodlea Estate39</v>
      </c>
      <c r="E4841" s="375" t="s">
        <v>7020</v>
      </c>
      <c r="F4841" s="375" t="s">
        <v>3077</v>
      </c>
      <c r="G4841" s="375" t="s">
        <v>7000</v>
      </c>
      <c r="H4841" s="375" t="s">
        <v>7001</v>
      </c>
      <c r="I4841" s="63" t="s">
        <v>7002</v>
      </c>
      <c r="J4841" s="47">
        <f t="shared" si="1087"/>
        <v>3740</v>
      </c>
      <c r="K4841" s="46" t="s">
        <v>10735</v>
      </c>
      <c r="L4841" s="47" t="s">
        <v>7003</v>
      </c>
      <c r="M4841" s="47"/>
      <c r="N4841" s="47"/>
      <c r="O4841" s="47"/>
      <c r="P4841" s="47"/>
      <c r="Q4841" s="47"/>
      <c r="R4841" s="47"/>
      <c r="S4841" s="47"/>
      <c r="T4841" s="47"/>
      <c r="U4841" s="47">
        <f t="shared" si="1084"/>
        <v>430</v>
      </c>
      <c r="V4841" s="47"/>
      <c r="W4841" s="47"/>
      <c r="X4841" s="47"/>
      <c r="Y4841" s="47"/>
      <c r="Z4841" s="47">
        <f t="shared" si="1086"/>
        <v>4620</v>
      </c>
      <c r="AA4841" s="47"/>
      <c r="AB4841" s="47"/>
      <c r="AC4841" s="47"/>
      <c r="AD4841" s="47" t="s">
        <v>1</v>
      </c>
      <c r="AE4841" s="47"/>
      <c r="AF4841" s="47"/>
      <c r="AG4841" s="47"/>
      <c r="AH4841" s="47" t="str">
        <f>IFERROR(_xlfn.XLOOKUP(Table6[[#This Row],[Suburb]],Table5[Travel Surcharge],Table5[$$]),"")</f>
        <v/>
      </c>
      <c r="AI4841" s="47"/>
      <c r="AJ4841" s="47"/>
    </row>
    <row r="4842" spans="1:36">
      <c r="A4842" s="374" t="s">
        <v>6998</v>
      </c>
      <c r="B4842" s="374">
        <v>40</v>
      </c>
      <c r="C4842" s="374" t="s">
        <v>468</v>
      </c>
      <c r="D4842" s="375" t="str">
        <f t="shared" si="1085"/>
        <v>Woodlea Estate40</v>
      </c>
      <c r="E4842" s="375" t="s">
        <v>7021</v>
      </c>
      <c r="F4842" s="375" t="s">
        <v>3077</v>
      </c>
      <c r="G4842" s="375" t="s">
        <v>7000</v>
      </c>
      <c r="H4842" s="375" t="s">
        <v>7001</v>
      </c>
      <c r="I4842" s="63" t="s">
        <v>7002</v>
      </c>
      <c r="J4842" s="47">
        <f t="shared" si="1087"/>
        <v>3740</v>
      </c>
      <c r="K4842" s="46" t="s">
        <v>10735</v>
      </c>
      <c r="L4842" s="47" t="s">
        <v>7003</v>
      </c>
      <c r="M4842" s="47"/>
      <c r="N4842" s="47"/>
      <c r="O4842" s="47"/>
      <c r="P4842" s="47"/>
      <c r="Q4842" s="47"/>
      <c r="R4842" s="47"/>
      <c r="S4842" s="47"/>
      <c r="T4842" s="47"/>
      <c r="U4842" s="47">
        <f t="shared" si="1084"/>
        <v>430</v>
      </c>
      <c r="V4842" s="47"/>
      <c r="W4842" s="47"/>
      <c r="X4842" s="47"/>
      <c r="Y4842" s="47"/>
      <c r="Z4842" s="47">
        <f t="shared" si="1086"/>
        <v>4620</v>
      </c>
      <c r="AA4842" s="47"/>
      <c r="AB4842" s="47"/>
      <c r="AC4842" s="47"/>
      <c r="AD4842" s="47" t="s">
        <v>1</v>
      </c>
      <c r="AE4842" s="47"/>
      <c r="AF4842" s="47"/>
      <c r="AG4842" s="47"/>
      <c r="AH4842" s="47" t="str">
        <f>IFERROR(_xlfn.XLOOKUP(Table6[[#This Row],[Suburb]],Table5[Travel Surcharge],Table5[$$]),"")</f>
        <v/>
      </c>
      <c r="AI4842" s="47"/>
      <c r="AJ4842" s="47"/>
    </row>
    <row r="4843" spans="1:36">
      <c r="A4843" s="374" t="s">
        <v>6998</v>
      </c>
      <c r="B4843" s="374">
        <v>42</v>
      </c>
      <c r="C4843" s="374" t="s">
        <v>468</v>
      </c>
      <c r="D4843" s="375" t="str">
        <f t="shared" si="1085"/>
        <v>Woodlea Estate42</v>
      </c>
      <c r="E4843" s="375" t="s">
        <v>7022</v>
      </c>
      <c r="F4843" s="375" t="s">
        <v>3077</v>
      </c>
      <c r="G4843" s="375" t="s">
        <v>7000</v>
      </c>
      <c r="H4843" s="375" t="s">
        <v>7001</v>
      </c>
      <c r="I4843" s="63" t="s">
        <v>7002</v>
      </c>
      <c r="J4843" s="47">
        <f t="shared" si="1087"/>
        <v>3740</v>
      </c>
      <c r="K4843" s="46" t="s">
        <v>10735</v>
      </c>
      <c r="L4843" s="47" t="s">
        <v>7003</v>
      </c>
      <c r="M4843" s="47"/>
      <c r="N4843" s="47"/>
      <c r="O4843" s="47"/>
      <c r="P4843" s="47"/>
      <c r="Q4843" s="47"/>
      <c r="R4843" s="47"/>
      <c r="S4843" s="47"/>
      <c r="T4843" s="47"/>
      <c r="U4843" s="47">
        <f t="shared" si="1084"/>
        <v>430</v>
      </c>
      <c r="V4843" s="47"/>
      <c r="W4843" s="47"/>
      <c r="X4843" s="47"/>
      <c r="Y4843" s="47"/>
      <c r="Z4843" s="47">
        <f t="shared" si="1086"/>
        <v>4620</v>
      </c>
      <c r="AA4843" s="47"/>
      <c r="AB4843" s="47"/>
      <c r="AC4843" s="47"/>
      <c r="AD4843" s="47" t="s">
        <v>1</v>
      </c>
      <c r="AE4843" s="47"/>
      <c r="AF4843" s="47"/>
      <c r="AG4843" s="47"/>
      <c r="AH4843" s="47" t="str">
        <f>IFERROR(_xlfn.XLOOKUP(Table6[[#This Row],[Suburb]],Table5[Travel Surcharge],Table5[$$]),"")</f>
        <v/>
      </c>
      <c r="AI4843" s="47"/>
      <c r="AJ4843" s="47"/>
    </row>
    <row r="4844" spans="1:36">
      <c r="A4844" s="374" t="s">
        <v>6998</v>
      </c>
      <c r="B4844" s="374">
        <v>43</v>
      </c>
      <c r="C4844" s="374" t="s">
        <v>468</v>
      </c>
      <c r="D4844" s="375" t="str">
        <f t="shared" si="1085"/>
        <v>Woodlea Estate43</v>
      </c>
      <c r="E4844" s="375" t="s">
        <v>7023</v>
      </c>
      <c r="F4844" s="375" t="s">
        <v>3077</v>
      </c>
      <c r="G4844" s="375" t="s">
        <v>7000</v>
      </c>
      <c r="H4844" s="375" t="s">
        <v>7001</v>
      </c>
      <c r="I4844" s="63" t="s">
        <v>7002</v>
      </c>
      <c r="J4844" s="47">
        <f t="shared" si="1087"/>
        <v>3740</v>
      </c>
      <c r="K4844" s="46" t="s">
        <v>10735</v>
      </c>
      <c r="L4844" s="47" t="s">
        <v>7003</v>
      </c>
      <c r="M4844" s="47"/>
      <c r="N4844" s="47"/>
      <c r="O4844" s="47"/>
      <c r="P4844" s="47"/>
      <c r="Q4844" s="47"/>
      <c r="R4844" s="47"/>
      <c r="S4844" s="47"/>
      <c r="T4844" s="47"/>
      <c r="U4844" s="47">
        <f t="shared" si="1084"/>
        <v>430</v>
      </c>
      <c r="V4844" s="47"/>
      <c r="W4844" s="47"/>
      <c r="X4844" s="47"/>
      <c r="Y4844" s="47"/>
      <c r="Z4844" s="47">
        <f t="shared" si="1086"/>
        <v>4620</v>
      </c>
      <c r="AA4844" s="47"/>
      <c r="AB4844" s="47"/>
      <c r="AC4844" s="47"/>
      <c r="AD4844" s="47" t="s">
        <v>1</v>
      </c>
      <c r="AE4844" s="47"/>
      <c r="AF4844" s="47"/>
      <c r="AG4844" s="47"/>
      <c r="AH4844" s="47" t="str">
        <f>IFERROR(_xlfn.XLOOKUP(Table6[[#This Row],[Suburb]],Table5[Travel Surcharge],Table5[$$]),"")</f>
        <v/>
      </c>
      <c r="AI4844" s="47"/>
      <c r="AJ4844" s="47"/>
    </row>
    <row r="4845" spans="1:36">
      <c r="A4845" s="374" t="s">
        <v>6998</v>
      </c>
      <c r="B4845" s="374">
        <v>44</v>
      </c>
      <c r="C4845" s="374" t="s">
        <v>468</v>
      </c>
      <c r="D4845" s="375" t="str">
        <f t="shared" si="1085"/>
        <v>Woodlea Estate44</v>
      </c>
      <c r="E4845" s="375" t="s">
        <v>7024</v>
      </c>
      <c r="F4845" s="375" t="s">
        <v>3077</v>
      </c>
      <c r="G4845" s="375" t="s">
        <v>7000</v>
      </c>
      <c r="H4845" s="375" t="s">
        <v>7001</v>
      </c>
      <c r="I4845" s="63" t="s">
        <v>7002</v>
      </c>
      <c r="J4845" s="47">
        <f t="shared" si="1087"/>
        <v>3740</v>
      </c>
      <c r="K4845" s="46" t="s">
        <v>10735</v>
      </c>
      <c r="L4845" s="47" t="s">
        <v>7003</v>
      </c>
      <c r="M4845" s="47"/>
      <c r="N4845" s="47"/>
      <c r="O4845" s="47"/>
      <c r="P4845" s="47"/>
      <c r="Q4845" s="47"/>
      <c r="R4845" s="47"/>
      <c r="S4845" s="47"/>
      <c r="T4845" s="47"/>
      <c r="U4845" s="47">
        <f t="shared" si="1084"/>
        <v>430</v>
      </c>
      <c r="V4845" s="47"/>
      <c r="W4845" s="47"/>
      <c r="X4845" s="47"/>
      <c r="Y4845" s="47"/>
      <c r="Z4845" s="47">
        <f t="shared" si="1086"/>
        <v>4620</v>
      </c>
      <c r="AA4845" s="47"/>
      <c r="AB4845" s="47"/>
      <c r="AC4845" s="47"/>
      <c r="AD4845" s="47" t="s">
        <v>1</v>
      </c>
      <c r="AE4845" s="47"/>
      <c r="AF4845" s="47"/>
      <c r="AG4845" s="47"/>
      <c r="AH4845" s="47" t="str">
        <f>IFERROR(_xlfn.XLOOKUP(Table6[[#This Row],[Suburb]],Table5[Travel Surcharge],Table5[$$]),"")</f>
        <v/>
      </c>
      <c r="AI4845" s="47"/>
      <c r="AJ4845" s="47"/>
    </row>
    <row r="4846" spans="1:36">
      <c r="A4846" s="374" t="s">
        <v>6998</v>
      </c>
      <c r="B4846" s="374">
        <v>46</v>
      </c>
      <c r="C4846" s="374" t="s">
        <v>468</v>
      </c>
      <c r="D4846" s="375" t="str">
        <f t="shared" si="1085"/>
        <v>Woodlea Estate46</v>
      </c>
      <c r="E4846" s="375" t="s">
        <v>7025</v>
      </c>
      <c r="F4846" s="375" t="s">
        <v>3077</v>
      </c>
      <c r="G4846" s="375" t="s">
        <v>7000</v>
      </c>
      <c r="H4846" s="375" t="s">
        <v>7001</v>
      </c>
      <c r="I4846" s="63" t="s">
        <v>7002</v>
      </c>
      <c r="J4846" s="47">
        <f t="shared" si="1087"/>
        <v>3740</v>
      </c>
      <c r="K4846" s="46" t="s">
        <v>10735</v>
      </c>
      <c r="L4846" s="47" t="s">
        <v>7003</v>
      </c>
      <c r="M4846" s="47"/>
      <c r="N4846" s="47"/>
      <c r="O4846" s="47"/>
      <c r="P4846" s="47"/>
      <c r="Q4846" s="47"/>
      <c r="R4846" s="47"/>
      <c r="S4846" s="47"/>
      <c r="T4846" s="47"/>
      <c r="U4846" s="47">
        <f t="shared" si="1084"/>
        <v>430</v>
      </c>
      <c r="V4846" s="47"/>
      <c r="W4846" s="47"/>
      <c r="X4846" s="47"/>
      <c r="Y4846" s="47"/>
      <c r="Z4846" s="47">
        <f t="shared" si="1086"/>
        <v>4620</v>
      </c>
      <c r="AA4846" s="47"/>
      <c r="AB4846" s="47"/>
      <c r="AC4846" s="47"/>
      <c r="AD4846" s="47" t="s">
        <v>1</v>
      </c>
      <c r="AE4846" s="47"/>
      <c r="AF4846" s="47"/>
      <c r="AG4846" s="47"/>
      <c r="AH4846" s="47" t="str">
        <f>IFERROR(_xlfn.XLOOKUP(Table6[[#This Row],[Suburb]],Table5[Travel Surcharge],Table5[$$]),"")</f>
        <v/>
      </c>
      <c r="AI4846" s="47"/>
      <c r="AJ4846" s="47"/>
    </row>
    <row r="4847" spans="1:36">
      <c r="A4847" s="374" t="s">
        <v>6998</v>
      </c>
      <c r="B4847" s="374">
        <v>47</v>
      </c>
      <c r="C4847" s="374" t="s">
        <v>468</v>
      </c>
      <c r="D4847" s="375" t="str">
        <f t="shared" si="1085"/>
        <v>Woodlea Estate47</v>
      </c>
      <c r="E4847" s="375" t="s">
        <v>7026</v>
      </c>
      <c r="F4847" s="375" t="s">
        <v>3077</v>
      </c>
      <c r="G4847" s="375" t="s">
        <v>7000</v>
      </c>
      <c r="H4847" s="375" t="s">
        <v>7001</v>
      </c>
      <c r="I4847" s="63" t="s">
        <v>7002</v>
      </c>
      <c r="J4847" s="47">
        <f t="shared" si="1087"/>
        <v>3740</v>
      </c>
      <c r="K4847" s="46" t="s">
        <v>10735</v>
      </c>
      <c r="L4847" s="47" t="s">
        <v>7003</v>
      </c>
      <c r="M4847" s="47"/>
      <c r="N4847" s="47"/>
      <c r="O4847" s="47"/>
      <c r="P4847" s="47"/>
      <c r="Q4847" s="47"/>
      <c r="R4847" s="47"/>
      <c r="S4847" s="47"/>
      <c r="T4847" s="47"/>
      <c r="U4847" s="47">
        <f t="shared" si="1084"/>
        <v>430</v>
      </c>
      <c r="V4847" s="47"/>
      <c r="W4847" s="47"/>
      <c r="X4847" s="47"/>
      <c r="Y4847" s="47"/>
      <c r="Z4847" s="47">
        <f t="shared" si="1086"/>
        <v>4620</v>
      </c>
      <c r="AA4847" s="47"/>
      <c r="AB4847" s="47"/>
      <c r="AC4847" s="47"/>
      <c r="AD4847" s="47" t="s">
        <v>1</v>
      </c>
      <c r="AE4847" s="47"/>
      <c r="AF4847" s="47"/>
      <c r="AG4847" s="47"/>
      <c r="AH4847" s="47" t="str">
        <f>IFERROR(_xlfn.XLOOKUP(Table6[[#This Row],[Suburb]],Table5[Travel Surcharge],Table5[$$]),"")</f>
        <v/>
      </c>
      <c r="AI4847" s="47"/>
      <c r="AJ4847" s="47"/>
    </row>
    <row r="4848" spans="1:36">
      <c r="A4848" s="374" t="s">
        <v>6998</v>
      </c>
      <c r="B4848" s="374">
        <v>49</v>
      </c>
      <c r="C4848" s="374" t="s">
        <v>468</v>
      </c>
      <c r="D4848" s="375" t="str">
        <f t="shared" si="1085"/>
        <v>Woodlea Estate49</v>
      </c>
      <c r="E4848" s="375" t="s">
        <v>7027</v>
      </c>
      <c r="F4848" s="375" t="s">
        <v>3077</v>
      </c>
      <c r="G4848" s="375" t="s">
        <v>7000</v>
      </c>
      <c r="H4848" s="375" t="s">
        <v>7001</v>
      </c>
      <c r="I4848" s="63" t="s">
        <v>7002</v>
      </c>
      <c r="J4848" s="47">
        <f t="shared" si="1087"/>
        <v>3740</v>
      </c>
      <c r="K4848" s="46" t="s">
        <v>10735</v>
      </c>
      <c r="L4848" s="47" t="s">
        <v>7003</v>
      </c>
      <c r="M4848" s="47"/>
      <c r="N4848" s="47"/>
      <c r="O4848" s="47"/>
      <c r="P4848" s="47"/>
      <c r="Q4848" s="47"/>
      <c r="R4848" s="47"/>
      <c r="S4848" s="47"/>
      <c r="T4848" s="47"/>
      <c r="U4848" s="47">
        <f t="shared" si="1084"/>
        <v>430</v>
      </c>
      <c r="V4848" s="47"/>
      <c r="W4848" s="47"/>
      <c r="X4848" s="47"/>
      <c r="Y4848" s="47"/>
      <c r="Z4848" s="47">
        <f t="shared" si="1086"/>
        <v>4620</v>
      </c>
      <c r="AA4848" s="47"/>
      <c r="AB4848" s="47"/>
      <c r="AC4848" s="47"/>
      <c r="AD4848" s="47" t="s">
        <v>1</v>
      </c>
      <c r="AE4848" s="47"/>
      <c r="AF4848" s="47"/>
      <c r="AG4848" s="47"/>
      <c r="AH4848" s="47" t="str">
        <f>IFERROR(_xlfn.XLOOKUP(Table6[[#This Row],[Suburb]],Table5[Travel Surcharge],Table5[$$]),"")</f>
        <v/>
      </c>
      <c r="AI4848" s="47"/>
      <c r="AJ4848" s="47"/>
    </row>
    <row r="4849" spans="1:36">
      <c r="A4849" s="374" t="s">
        <v>6998</v>
      </c>
      <c r="B4849" s="374">
        <v>51</v>
      </c>
      <c r="C4849" s="374" t="s">
        <v>468</v>
      </c>
      <c r="D4849" s="375" t="str">
        <f t="shared" si="1085"/>
        <v>Woodlea Estate51</v>
      </c>
      <c r="E4849" s="375" t="s">
        <v>7028</v>
      </c>
      <c r="F4849" s="375" t="s">
        <v>3077</v>
      </c>
      <c r="G4849" s="375" t="s">
        <v>7000</v>
      </c>
      <c r="H4849" s="375" t="s">
        <v>7001</v>
      </c>
      <c r="I4849" s="63" t="s">
        <v>7002</v>
      </c>
      <c r="J4849" s="47">
        <f t="shared" si="1087"/>
        <v>3740</v>
      </c>
      <c r="K4849" s="46" t="s">
        <v>10735</v>
      </c>
      <c r="L4849" s="47" t="s">
        <v>7003</v>
      </c>
      <c r="M4849" s="47"/>
      <c r="N4849" s="47"/>
      <c r="O4849" s="47"/>
      <c r="P4849" s="47"/>
      <c r="Q4849" s="47"/>
      <c r="R4849" s="47"/>
      <c r="S4849" s="47"/>
      <c r="T4849" s="47"/>
      <c r="U4849" s="47">
        <f t="shared" si="1084"/>
        <v>430</v>
      </c>
      <c r="V4849" s="47"/>
      <c r="W4849" s="47"/>
      <c r="X4849" s="47"/>
      <c r="Y4849" s="47"/>
      <c r="Z4849" s="47">
        <f t="shared" si="1086"/>
        <v>4620</v>
      </c>
      <c r="AA4849" s="47"/>
      <c r="AB4849" s="47"/>
      <c r="AC4849" s="47"/>
      <c r="AD4849" s="47" t="s">
        <v>1</v>
      </c>
      <c r="AE4849" s="47"/>
      <c r="AF4849" s="47"/>
      <c r="AG4849" s="47"/>
      <c r="AH4849" s="47" t="str">
        <f>IFERROR(_xlfn.XLOOKUP(Table6[[#This Row],[Suburb]],Table5[Travel Surcharge],Table5[$$]),"")</f>
        <v/>
      </c>
      <c r="AI4849" s="47"/>
      <c r="AJ4849" s="47"/>
    </row>
    <row r="4850" spans="1:36">
      <c r="A4850" s="374" t="s">
        <v>6998</v>
      </c>
      <c r="B4850" s="374">
        <v>53</v>
      </c>
      <c r="C4850" s="374" t="s">
        <v>468</v>
      </c>
      <c r="D4850" s="375" t="str">
        <f t="shared" si="1085"/>
        <v>Woodlea Estate53</v>
      </c>
      <c r="E4850" s="375" t="s">
        <v>7029</v>
      </c>
      <c r="F4850" s="375" t="s">
        <v>3077</v>
      </c>
      <c r="G4850" s="375" t="s">
        <v>7000</v>
      </c>
      <c r="H4850" s="375" t="s">
        <v>7001</v>
      </c>
      <c r="I4850" s="63" t="s">
        <v>7002</v>
      </c>
      <c r="J4850" s="47">
        <f t="shared" si="1087"/>
        <v>3740</v>
      </c>
      <c r="K4850" s="46" t="s">
        <v>10735</v>
      </c>
      <c r="L4850" s="47" t="s">
        <v>7003</v>
      </c>
      <c r="M4850" s="47"/>
      <c r="N4850" s="47"/>
      <c r="O4850" s="47"/>
      <c r="P4850" s="47"/>
      <c r="Q4850" s="47"/>
      <c r="R4850" s="47"/>
      <c r="S4850" s="47"/>
      <c r="T4850" s="47"/>
      <c r="U4850" s="47">
        <f t="shared" si="1084"/>
        <v>430</v>
      </c>
      <c r="V4850" s="47"/>
      <c r="W4850" s="47"/>
      <c r="X4850" s="47"/>
      <c r="Y4850" s="47"/>
      <c r="Z4850" s="47">
        <f t="shared" si="1086"/>
        <v>4620</v>
      </c>
      <c r="AA4850" s="47"/>
      <c r="AB4850" s="47"/>
      <c r="AC4850" s="47"/>
      <c r="AD4850" s="47" t="s">
        <v>1</v>
      </c>
      <c r="AE4850" s="47"/>
      <c r="AF4850" s="47"/>
      <c r="AG4850" s="47"/>
      <c r="AH4850" s="47" t="str">
        <f>IFERROR(_xlfn.XLOOKUP(Table6[[#This Row],[Suburb]],Table5[Travel Surcharge],Table5[$$]),"")</f>
        <v/>
      </c>
      <c r="AI4850" s="47"/>
      <c r="AJ4850" s="47"/>
    </row>
    <row r="4851" spans="1:36">
      <c r="A4851" s="374" t="s">
        <v>6998</v>
      </c>
      <c r="B4851" s="374">
        <v>54</v>
      </c>
      <c r="C4851" s="374" t="s">
        <v>468</v>
      </c>
      <c r="D4851" s="375" t="str">
        <f t="shared" si="1085"/>
        <v>Woodlea Estate54</v>
      </c>
      <c r="E4851" s="375" t="s">
        <v>7030</v>
      </c>
      <c r="F4851" s="375" t="s">
        <v>3077</v>
      </c>
      <c r="G4851" s="375" t="s">
        <v>7000</v>
      </c>
      <c r="H4851" s="375" t="s">
        <v>7001</v>
      </c>
      <c r="I4851" s="63" t="s">
        <v>7002</v>
      </c>
      <c r="J4851" s="47">
        <f t="shared" si="1087"/>
        <v>3740</v>
      </c>
      <c r="K4851" s="46" t="s">
        <v>10735</v>
      </c>
      <c r="L4851" s="47" t="s">
        <v>7003</v>
      </c>
      <c r="M4851" s="47"/>
      <c r="N4851" s="47"/>
      <c r="O4851" s="47"/>
      <c r="P4851" s="47"/>
      <c r="Q4851" s="47"/>
      <c r="R4851" s="47"/>
      <c r="S4851" s="47"/>
      <c r="T4851" s="47"/>
      <c r="U4851" s="47">
        <f t="shared" si="1084"/>
        <v>430</v>
      </c>
      <c r="V4851" s="47"/>
      <c r="W4851" s="47"/>
      <c r="X4851" s="47"/>
      <c r="Y4851" s="47"/>
      <c r="Z4851" s="47">
        <f t="shared" si="1086"/>
        <v>4620</v>
      </c>
      <c r="AA4851" s="47"/>
      <c r="AB4851" s="47"/>
      <c r="AC4851" s="47"/>
      <c r="AD4851" s="47" t="s">
        <v>1</v>
      </c>
      <c r="AE4851" s="47"/>
      <c r="AF4851" s="47"/>
      <c r="AG4851" s="47"/>
      <c r="AH4851" s="47" t="str">
        <f>IFERROR(_xlfn.XLOOKUP(Table6[[#This Row],[Suburb]],Table5[Travel Surcharge],Table5[$$]),"")</f>
        <v/>
      </c>
      <c r="AI4851" s="47"/>
      <c r="AJ4851" s="47"/>
    </row>
    <row r="4852" spans="1:36">
      <c r="A4852" s="374" t="s">
        <v>6998</v>
      </c>
      <c r="B4852" s="374">
        <v>55</v>
      </c>
      <c r="C4852" s="374" t="s">
        <v>468</v>
      </c>
      <c r="D4852" s="375" t="str">
        <f t="shared" si="1085"/>
        <v>Woodlea Estate55</v>
      </c>
      <c r="E4852" s="375" t="s">
        <v>7031</v>
      </c>
      <c r="F4852" s="375" t="s">
        <v>3077</v>
      </c>
      <c r="G4852" s="375" t="s">
        <v>7000</v>
      </c>
      <c r="H4852" s="375" t="s">
        <v>7001</v>
      </c>
      <c r="I4852" s="63" t="s">
        <v>7002</v>
      </c>
      <c r="J4852" s="47">
        <f t="shared" si="1087"/>
        <v>3740</v>
      </c>
      <c r="K4852" s="46" t="s">
        <v>10735</v>
      </c>
      <c r="L4852" s="47" t="s">
        <v>7003</v>
      </c>
      <c r="M4852" s="47"/>
      <c r="N4852" s="47"/>
      <c r="O4852" s="47"/>
      <c r="P4852" s="47"/>
      <c r="Q4852" s="47"/>
      <c r="R4852" s="47"/>
      <c r="S4852" s="47"/>
      <c r="T4852" s="47"/>
      <c r="U4852" s="47">
        <f t="shared" si="1084"/>
        <v>430</v>
      </c>
      <c r="V4852" s="47"/>
      <c r="W4852" s="47"/>
      <c r="X4852" s="47"/>
      <c r="Y4852" s="47"/>
      <c r="Z4852" s="47">
        <f t="shared" si="1086"/>
        <v>4620</v>
      </c>
      <c r="AA4852" s="47"/>
      <c r="AB4852" s="47"/>
      <c r="AC4852" s="47"/>
      <c r="AD4852" s="47" t="s">
        <v>1</v>
      </c>
      <c r="AE4852" s="47"/>
      <c r="AF4852" s="47"/>
      <c r="AG4852" s="47"/>
      <c r="AH4852" s="47" t="str">
        <f>IFERROR(_xlfn.XLOOKUP(Table6[[#This Row],[Suburb]],Table5[Travel Surcharge],Table5[$$]),"")</f>
        <v/>
      </c>
      <c r="AI4852" s="47"/>
      <c r="AJ4852" s="47"/>
    </row>
    <row r="4853" spans="1:36">
      <c r="A4853" s="157" t="s">
        <v>6998</v>
      </c>
      <c r="B4853" s="157">
        <v>57</v>
      </c>
      <c r="C4853" s="157" t="s">
        <v>7445</v>
      </c>
      <c r="D4853" s="157" t="str">
        <f t="shared" si="1085"/>
        <v>Woodlea Estate57</v>
      </c>
      <c r="E4853" s="157" t="s">
        <v>7448</v>
      </c>
      <c r="F4853" s="157" t="s">
        <v>3077</v>
      </c>
      <c r="G4853" s="157" t="s">
        <v>7000</v>
      </c>
      <c r="H4853" s="157" t="s">
        <v>7446</v>
      </c>
      <c r="I4853" s="158" t="s">
        <v>7002</v>
      </c>
      <c r="J4853" s="47">
        <f t="shared" si="1087"/>
        <v>3740</v>
      </c>
      <c r="K4853" s="46" t="s">
        <v>10735</v>
      </c>
      <c r="L4853" s="47" t="s">
        <v>7447</v>
      </c>
      <c r="M4853" s="47"/>
      <c r="N4853" s="47"/>
      <c r="O4853" s="47"/>
      <c r="P4853" s="47"/>
      <c r="Q4853" s="47"/>
      <c r="R4853" s="47"/>
      <c r="S4853" s="47"/>
      <c r="T4853" s="47"/>
      <c r="U4853" s="47">
        <f t="shared" si="1084"/>
        <v>430</v>
      </c>
      <c r="V4853" s="47"/>
      <c r="W4853" s="47"/>
      <c r="X4853" s="47"/>
      <c r="Y4853" s="47"/>
      <c r="Z4853" s="47">
        <f t="shared" si="1086"/>
        <v>4620</v>
      </c>
      <c r="AA4853" s="47"/>
      <c r="AB4853" s="47"/>
      <c r="AC4853" s="47"/>
      <c r="AD4853" s="47" t="s">
        <v>1</v>
      </c>
      <c r="AE4853" s="47"/>
      <c r="AF4853" s="47"/>
      <c r="AG4853" s="47"/>
      <c r="AH4853" s="47" t="str">
        <f>IFERROR(_xlfn.XLOOKUP(Table6[[#This Row],[Suburb]],Table5[Travel Surcharge],Table5[$$]),"")</f>
        <v/>
      </c>
      <c r="AI4853" s="47"/>
      <c r="AJ4853" s="47"/>
    </row>
    <row r="4854" spans="1:36">
      <c r="A4854" s="374" t="s">
        <v>6998</v>
      </c>
      <c r="B4854" s="374">
        <v>60</v>
      </c>
      <c r="C4854" s="374" t="s">
        <v>468</v>
      </c>
      <c r="D4854" s="375" t="str">
        <f t="shared" si="1085"/>
        <v>Woodlea Estate60</v>
      </c>
      <c r="E4854" s="375" t="s">
        <v>7032</v>
      </c>
      <c r="F4854" s="375" t="s">
        <v>3077</v>
      </c>
      <c r="G4854" s="375" t="s">
        <v>7000</v>
      </c>
      <c r="H4854" s="375" t="s">
        <v>7001</v>
      </c>
      <c r="I4854" s="63" t="s">
        <v>7002</v>
      </c>
      <c r="J4854" s="47">
        <f t="shared" si="1087"/>
        <v>3740</v>
      </c>
      <c r="K4854" s="46" t="s">
        <v>10735</v>
      </c>
      <c r="L4854" s="47" t="s">
        <v>7003</v>
      </c>
      <c r="M4854" s="47"/>
      <c r="N4854" s="47"/>
      <c r="O4854" s="47"/>
      <c r="P4854" s="47"/>
      <c r="Q4854" s="47"/>
      <c r="R4854" s="47"/>
      <c r="S4854" s="47"/>
      <c r="T4854" s="47"/>
      <c r="U4854" s="47">
        <f t="shared" si="1084"/>
        <v>430</v>
      </c>
      <c r="V4854" s="47"/>
      <c r="W4854" s="47"/>
      <c r="X4854" s="47"/>
      <c r="Y4854" s="47"/>
      <c r="Z4854" s="47">
        <f t="shared" si="1086"/>
        <v>4620</v>
      </c>
      <c r="AA4854" s="47"/>
      <c r="AB4854" s="47"/>
      <c r="AC4854" s="47"/>
      <c r="AD4854" s="47" t="s">
        <v>1</v>
      </c>
      <c r="AE4854" s="47"/>
      <c r="AF4854" s="47"/>
      <c r="AG4854" s="47"/>
      <c r="AH4854" s="47" t="str">
        <f>IFERROR(_xlfn.XLOOKUP(Table6[[#This Row],[Suburb]],Table5[Travel Surcharge],Table5[$$]),"")</f>
        <v/>
      </c>
      <c r="AI4854" s="47"/>
      <c r="AJ4854" s="47"/>
    </row>
    <row r="4855" spans="1:36">
      <c r="A4855" s="374" t="s">
        <v>6998</v>
      </c>
      <c r="B4855" s="374">
        <v>61</v>
      </c>
      <c r="C4855" s="374" t="s">
        <v>468</v>
      </c>
      <c r="D4855" s="375" t="str">
        <f t="shared" si="1085"/>
        <v>Woodlea Estate61</v>
      </c>
      <c r="E4855" s="375" t="s">
        <v>9331</v>
      </c>
      <c r="F4855" s="375" t="s">
        <v>3077</v>
      </c>
      <c r="G4855" s="375" t="s">
        <v>7000</v>
      </c>
      <c r="H4855" s="375" t="s">
        <v>7001</v>
      </c>
      <c r="I4855" s="63" t="s">
        <v>7002</v>
      </c>
      <c r="J4855" s="47">
        <f t="shared" si="1087"/>
        <v>3740</v>
      </c>
      <c r="K4855" s="46" t="s">
        <v>10735</v>
      </c>
      <c r="L4855" s="47" t="s">
        <v>7003</v>
      </c>
      <c r="M4855" s="47"/>
      <c r="N4855" s="47"/>
      <c r="O4855" s="47"/>
      <c r="P4855" s="47"/>
      <c r="Q4855" s="47"/>
      <c r="R4855" s="47"/>
      <c r="S4855" s="47"/>
      <c r="T4855" s="47"/>
      <c r="U4855" s="47">
        <f t="shared" si="1084"/>
        <v>430</v>
      </c>
      <c r="V4855" s="47"/>
      <c r="W4855" s="47"/>
      <c r="X4855" s="47"/>
      <c r="Y4855" s="47"/>
      <c r="Z4855" s="47">
        <f t="shared" si="1086"/>
        <v>4620</v>
      </c>
      <c r="AA4855" s="47"/>
      <c r="AB4855" s="47"/>
      <c r="AC4855" s="47"/>
      <c r="AD4855" s="47" t="s">
        <v>1</v>
      </c>
      <c r="AE4855" s="47"/>
      <c r="AF4855" s="47"/>
      <c r="AG4855" s="47"/>
      <c r="AH4855" s="47" t="str">
        <f>IFERROR(_xlfn.XLOOKUP(Table6[[#This Row],[Suburb]],Table5[Travel Surcharge],Table5[$$]),"")</f>
        <v/>
      </c>
      <c r="AI4855" s="47"/>
      <c r="AJ4855" s="47"/>
    </row>
    <row r="4856" spans="1:36">
      <c r="A4856" s="157" t="s">
        <v>6998</v>
      </c>
      <c r="B4856" s="157">
        <v>62</v>
      </c>
      <c r="C4856" s="157" t="s">
        <v>468</v>
      </c>
      <c r="D4856" s="157" t="str">
        <f t="shared" si="1085"/>
        <v>Woodlea Estate62</v>
      </c>
      <c r="E4856" s="157" t="s">
        <v>9338</v>
      </c>
      <c r="F4856" s="157" t="s">
        <v>3077</v>
      </c>
      <c r="G4856" s="157" t="s">
        <v>7000</v>
      </c>
      <c r="H4856" s="157" t="s">
        <v>7001</v>
      </c>
      <c r="I4856" s="158" t="s">
        <v>7002</v>
      </c>
      <c r="J4856" s="47">
        <f t="shared" si="1087"/>
        <v>3740</v>
      </c>
      <c r="K4856" s="46" t="s">
        <v>10735</v>
      </c>
      <c r="L4856" s="47" t="s">
        <v>7003</v>
      </c>
      <c r="M4856" s="47"/>
      <c r="N4856" s="47"/>
      <c r="O4856" s="47"/>
      <c r="P4856" s="47"/>
      <c r="Q4856" s="47"/>
      <c r="R4856" s="47"/>
      <c r="S4856" s="47"/>
      <c r="T4856" s="47"/>
      <c r="U4856" s="47">
        <f t="shared" si="1084"/>
        <v>430</v>
      </c>
      <c r="V4856" s="47"/>
      <c r="W4856" s="47"/>
      <c r="X4856" s="47"/>
      <c r="Y4856" s="47"/>
      <c r="Z4856" s="47">
        <f t="shared" si="1086"/>
        <v>4620</v>
      </c>
      <c r="AA4856" s="47"/>
      <c r="AB4856" s="47"/>
      <c r="AC4856" s="47"/>
      <c r="AD4856" s="47" t="s">
        <v>1</v>
      </c>
      <c r="AE4856" s="47"/>
      <c r="AF4856" s="47"/>
      <c r="AG4856" s="47"/>
      <c r="AH4856" s="47" t="str">
        <f>IFERROR(_xlfn.XLOOKUP(Table6[[#This Row],[Suburb]],Table5[Travel Surcharge],Table5[$$]),"")</f>
        <v/>
      </c>
      <c r="AI4856" s="47"/>
      <c r="AJ4856" s="47"/>
    </row>
    <row r="4857" spans="1:36">
      <c r="A4857" s="157" t="s">
        <v>6998</v>
      </c>
      <c r="B4857" s="157">
        <v>63</v>
      </c>
      <c r="C4857" s="157" t="s">
        <v>468</v>
      </c>
      <c r="D4857" s="157" t="str">
        <f t="shared" si="1085"/>
        <v>Woodlea Estate63</v>
      </c>
      <c r="E4857" s="157" t="s">
        <v>7958</v>
      </c>
      <c r="F4857" s="157" t="s">
        <v>3077</v>
      </c>
      <c r="G4857" s="157" t="s">
        <v>7000</v>
      </c>
      <c r="H4857" s="157" t="s">
        <v>7001</v>
      </c>
      <c r="I4857" s="158" t="s">
        <v>7002</v>
      </c>
      <c r="J4857" s="47">
        <f t="shared" si="1087"/>
        <v>3740</v>
      </c>
      <c r="K4857" s="46" t="s">
        <v>10735</v>
      </c>
      <c r="L4857" s="47" t="s">
        <v>7003</v>
      </c>
      <c r="M4857" s="47"/>
      <c r="N4857" s="47"/>
      <c r="O4857" s="47"/>
      <c r="P4857" s="47"/>
      <c r="Q4857" s="47"/>
      <c r="R4857" s="47"/>
      <c r="S4857" s="47"/>
      <c r="T4857" s="47"/>
      <c r="U4857" s="47">
        <f t="shared" si="1084"/>
        <v>430</v>
      </c>
      <c r="V4857" s="47"/>
      <c r="W4857" s="47"/>
      <c r="X4857" s="47"/>
      <c r="Y4857" s="47"/>
      <c r="Z4857" s="47">
        <f t="shared" si="1086"/>
        <v>4620</v>
      </c>
      <c r="AA4857" s="47"/>
      <c r="AB4857" s="47"/>
      <c r="AC4857" s="47"/>
      <c r="AD4857" s="47" t="s">
        <v>1</v>
      </c>
      <c r="AE4857" s="47"/>
      <c r="AF4857" s="47"/>
      <c r="AG4857" s="47"/>
      <c r="AH4857" s="47" t="str">
        <f>IFERROR(_xlfn.XLOOKUP(Table6[[#This Row],[Suburb]],Table5[Travel Surcharge],Table5[$$]),"")</f>
        <v/>
      </c>
      <c r="AI4857" s="47"/>
      <c r="AJ4857" s="47"/>
    </row>
    <row r="4858" spans="1:36">
      <c r="A4858" s="374" t="s">
        <v>6998</v>
      </c>
      <c r="B4858" s="374">
        <v>65</v>
      </c>
      <c r="C4858" s="374" t="s">
        <v>468</v>
      </c>
      <c r="D4858" s="375" t="str">
        <f t="shared" si="1085"/>
        <v>Woodlea Estate65</v>
      </c>
      <c r="E4858" s="375" t="s">
        <v>7033</v>
      </c>
      <c r="F4858" s="375" t="s">
        <v>3077</v>
      </c>
      <c r="G4858" s="375" t="s">
        <v>7000</v>
      </c>
      <c r="H4858" s="375" t="s">
        <v>7001</v>
      </c>
      <c r="I4858" s="63" t="s">
        <v>7002</v>
      </c>
      <c r="J4858" s="47">
        <f t="shared" si="1087"/>
        <v>3740</v>
      </c>
      <c r="K4858" s="46" t="s">
        <v>10735</v>
      </c>
      <c r="L4858" s="47" t="s">
        <v>7003</v>
      </c>
      <c r="M4858" s="47"/>
      <c r="N4858" s="47"/>
      <c r="O4858" s="47"/>
      <c r="P4858" s="47"/>
      <c r="Q4858" s="47"/>
      <c r="R4858" s="47"/>
      <c r="S4858" s="47"/>
      <c r="T4858" s="47"/>
      <c r="U4858" s="47">
        <f t="shared" si="1084"/>
        <v>430</v>
      </c>
      <c r="V4858" s="47"/>
      <c r="W4858" s="47"/>
      <c r="X4858" s="47"/>
      <c r="Y4858" s="47"/>
      <c r="Z4858" s="47">
        <f t="shared" si="1086"/>
        <v>4620</v>
      </c>
      <c r="AA4858" s="47"/>
      <c r="AB4858" s="47"/>
      <c r="AC4858" s="47"/>
      <c r="AD4858" s="47" t="s">
        <v>1</v>
      </c>
      <c r="AE4858" s="47"/>
      <c r="AF4858" s="47"/>
      <c r="AG4858" s="47"/>
      <c r="AH4858" s="47" t="str">
        <f>IFERROR(_xlfn.XLOOKUP(Table6[[#This Row],[Suburb]],Table5[Travel Surcharge],Table5[$$]),"")</f>
        <v/>
      </c>
      <c r="AI4858" s="47"/>
      <c r="AJ4858" s="47"/>
    </row>
    <row r="4859" spans="1:36">
      <c r="A4859" s="374" t="s">
        <v>6998</v>
      </c>
      <c r="B4859" s="374">
        <v>66</v>
      </c>
      <c r="C4859" s="374" t="s">
        <v>468</v>
      </c>
      <c r="D4859" s="375" t="str">
        <f t="shared" si="1085"/>
        <v>Woodlea Estate66</v>
      </c>
      <c r="E4859" s="375" t="s">
        <v>7034</v>
      </c>
      <c r="F4859" s="375" t="s">
        <v>3077</v>
      </c>
      <c r="G4859" s="375" t="s">
        <v>7000</v>
      </c>
      <c r="H4859" s="375" t="s">
        <v>7001</v>
      </c>
      <c r="I4859" s="63" t="s">
        <v>7002</v>
      </c>
      <c r="J4859" s="47">
        <f t="shared" si="1087"/>
        <v>3740</v>
      </c>
      <c r="K4859" s="46" t="s">
        <v>10735</v>
      </c>
      <c r="L4859" s="47" t="s">
        <v>7003</v>
      </c>
      <c r="M4859" s="47"/>
      <c r="N4859" s="47"/>
      <c r="O4859" s="47"/>
      <c r="P4859" s="47"/>
      <c r="Q4859" s="47"/>
      <c r="R4859" s="47"/>
      <c r="S4859" s="47"/>
      <c r="T4859" s="47"/>
      <c r="U4859" s="47">
        <f t="shared" si="1084"/>
        <v>430</v>
      </c>
      <c r="V4859" s="47"/>
      <c r="W4859" s="47"/>
      <c r="X4859" s="47"/>
      <c r="Y4859" s="47"/>
      <c r="Z4859" s="47">
        <f t="shared" si="1086"/>
        <v>4620</v>
      </c>
      <c r="AA4859" s="47"/>
      <c r="AB4859" s="47"/>
      <c r="AC4859" s="47"/>
      <c r="AD4859" s="47" t="s">
        <v>1</v>
      </c>
      <c r="AE4859" s="47"/>
      <c r="AF4859" s="47"/>
      <c r="AG4859" s="47"/>
      <c r="AH4859" s="47" t="str">
        <f>IFERROR(_xlfn.XLOOKUP(Table6[[#This Row],[Suburb]],Table5[Travel Surcharge],Table5[$$]),"")</f>
        <v/>
      </c>
      <c r="AI4859" s="47" t="s">
        <v>7035</v>
      </c>
      <c r="AJ4859" s="47" t="s">
        <v>7036</v>
      </c>
    </row>
    <row r="4860" spans="1:36">
      <c r="A4860" s="374" t="s">
        <v>6998</v>
      </c>
      <c r="B4860" s="374">
        <v>67</v>
      </c>
      <c r="C4860" s="374" t="s">
        <v>468</v>
      </c>
      <c r="D4860" s="375" t="str">
        <f t="shared" si="1085"/>
        <v>Woodlea Estate67</v>
      </c>
      <c r="E4860" s="375" t="s">
        <v>9448</v>
      </c>
      <c r="F4860" s="375" t="s">
        <v>3077</v>
      </c>
      <c r="G4860" s="375" t="s">
        <v>7000</v>
      </c>
      <c r="H4860" s="375" t="s">
        <v>7001</v>
      </c>
      <c r="I4860" s="63" t="s">
        <v>7002</v>
      </c>
      <c r="J4860" s="47">
        <f t="shared" si="1087"/>
        <v>3740</v>
      </c>
      <c r="K4860" s="46" t="s">
        <v>10735</v>
      </c>
      <c r="L4860" s="47" t="s">
        <v>7003</v>
      </c>
      <c r="M4860" s="47"/>
      <c r="N4860" s="47"/>
      <c r="O4860" s="47"/>
      <c r="P4860" s="47"/>
      <c r="Q4860" s="47"/>
      <c r="R4860" s="47"/>
      <c r="S4860" s="47"/>
      <c r="T4860" s="47"/>
      <c r="U4860" s="47">
        <f t="shared" si="1084"/>
        <v>430</v>
      </c>
      <c r="V4860" s="47"/>
      <c r="W4860" s="47"/>
      <c r="X4860" s="47"/>
      <c r="Y4860" s="47"/>
      <c r="Z4860" s="47">
        <f t="shared" si="1086"/>
        <v>4620</v>
      </c>
      <c r="AA4860" s="47"/>
      <c r="AB4860" s="47"/>
      <c r="AC4860" s="47"/>
      <c r="AD4860" s="47" t="s">
        <v>1</v>
      </c>
      <c r="AE4860" s="47"/>
      <c r="AF4860" s="47"/>
      <c r="AG4860" s="47"/>
      <c r="AH4860" s="47" t="str">
        <f>IFERROR(_xlfn.XLOOKUP(Table6[[#This Row],[Suburb]],Table5[Travel Surcharge],Table5[$$]),"")</f>
        <v/>
      </c>
      <c r="AI4860" s="47" t="s">
        <v>7035</v>
      </c>
      <c r="AJ4860" s="47" t="s">
        <v>7036</v>
      </c>
    </row>
    <row r="4861" spans="1:36">
      <c r="A4861" s="374" t="s">
        <v>6998</v>
      </c>
      <c r="B4861" s="374">
        <v>75</v>
      </c>
      <c r="C4861" s="374" t="s">
        <v>468</v>
      </c>
      <c r="D4861" s="375" t="str">
        <f t="shared" si="1085"/>
        <v>Woodlea Estate75</v>
      </c>
      <c r="E4861" s="375" t="s">
        <v>10866</v>
      </c>
      <c r="F4861" s="375" t="s">
        <v>3077</v>
      </c>
      <c r="G4861" s="375" t="s">
        <v>7000</v>
      </c>
      <c r="H4861" s="375" t="s">
        <v>7001</v>
      </c>
      <c r="I4861" s="63" t="s">
        <v>7002</v>
      </c>
      <c r="J4861" s="47">
        <v>3740</v>
      </c>
      <c r="K4861" s="46" t="s">
        <v>10735</v>
      </c>
      <c r="L4861" s="47" t="s">
        <v>7003</v>
      </c>
      <c r="M4861" s="47"/>
      <c r="N4861" s="47"/>
      <c r="O4861" s="47"/>
      <c r="P4861" s="47"/>
      <c r="Q4861" s="47"/>
      <c r="R4861" s="47"/>
      <c r="S4861" s="47"/>
      <c r="T4861" s="47"/>
      <c r="U4861" s="47">
        <v>430</v>
      </c>
      <c r="V4861" s="47"/>
      <c r="W4861" s="47"/>
      <c r="X4861" s="47"/>
      <c r="Y4861" s="47"/>
      <c r="Z4861" s="47">
        <v>4620</v>
      </c>
      <c r="AA4861" s="47"/>
      <c r="AB4861" s="47"/>
      <c r="AC4861" s="47"/>
      <c r="AD4861" s="47" t="s">
        <v>1</v>
      </c>
      <c r="AE4861" s="47"/>
      <c r="AF4861" s="47"/>
      <c r="AG4861" s="47"/>
      <c r="AH4861" s="47" t="s">
        <v>9976</v>
      </c>
      <c r="AI4861" s="47" t="s">
        <v>7035</v>
      </c>
      <c r="AJ4861" s="47" t="s">
        <v>7036</v>
      </c>
    </row>
    <row r="4862" spans="1:36">
      <c r="A4862" s="374" t="s">
        <v>6998</v>
      </c>
      <c r="B4862" s="374">
        <v>76</v>
      </c>
      <c r="C4862" s="374" t="s">
        <v>468</v>
      </c>
      <c r="D4862" s="375" t="str">
        <f t="shared" si="1085"/>
        <v>Woodlea Estate76</v>
      </c>
      <c r="E4862" s="375" t="s">
        <v>10858</v>
      </c>
      <c r="F4862" s="375" t="s">
        <v>3077</v>
      </c>
      <c r="G4862" s="375" t="s">
        <v>7000</v>
      </c>
      <c r="H4862" s="375" t="s">
        <v>7001</v>
      </c>
      <c r="I4862" s="63" t="s">
        <v>7002</v>
      </c>
      <c r="J4862" s="47">
        <v>3740</v>
      </c>
      <c r="K4862" s="46" t="s">
        <v>10735</v>
      </c>
      <c r="L4862" s="47" t="s">
        <v>7003</v>
      </c>
      <c r="M4862" s="47"/>
      <c r="N4862" s="47"/>
      <c r="O4862" s="47"/>
      <c r="P4862" s="47"/>
      <c r="Q4862" s="47"/>
      <c r="R4862" s="47"/>
      <c r="S4862" s="47"/>
      <c r="T4862" s="47"/>
      <c r="U4862" s="47">
        <v>430</v>
      </c>
      <c r="V4862" s="47"/>
      <c r="W4862" s="47"/>
      <c r="X4862" s="47"/>
      <c r="Y4862" s="47"/>
      <c r="Z4862" s="47">
        <v>4620</v>
      </c>
      <c r="AA4862" s="47"/>
      <c r="AB4862" s="47"/>
      <c r="AC4862" s="47"/>
      <c r="AD4862" s="47" t="s">
        <v>1</v>
      </c>
      <c r="AE4862" s="47"/>
      <c r="AF4862" s="47"/>
      <c r="AG4862" s="47"/>
      <c r="AH4862" s="47" t="s">
        <v>9976</v>
      </c>
      <c r="AI4862" s="47" t="s">
        <v>7035</v>
      </c>
      <c r="AJ4862" s="47" t="s">
        <v>7036</v>
      </c>
    </row>
    <row r="4863" spans="1:36">
      <c r="A4863" s="374" t="s">
        <v>9452</v>
      </c>
      <c r="B4863" s="374">
        <v>2</v>
      </c>
      <c r="C4863" s="374" t="s">
        <v>764</v>
      </c>
      <c r="D4863" s="375" t="str">
        <f t="shared" si="1085"/>
        <v>Woodsong2</v>
      </c>
      <c r="E4863" s="375" t="s">
        <v>9453</v>
      </c>
      <c r="F4863" s="375"/>
      <c r="G4863" s="375"/>
      <c r="H4863" s="375"/>
      <c r="I4863" s="63"/>
      <c r="J4863" s="47">
        <f t="shared" si="1087"/>
        <v>3740</v>
      </c>
      <c r="K4863" s="46" t="s">
        <v>10735</v>
      </c>
      <c r="L4863" s="47" t="s">
        <v>5127</v>
      </c>
      <c r="M4863" s="47">
        <f>M$7</f>
        <v>1430.0000000000002</v>
      </c>
      <c r="N4863" s="47"/>
      <c r="O4863" s="47"/>
      <c r="P4863" s="47"/>
      <c r="Q4863" s="47"/>
      <c r="R4863" s="47">
        <f>R$2</f>
        <v>540</v>
      </c>
      <c r="S4863" s="47"/>
      <c r="T4863" s="47"/>
      <c r="U4863" s="47" t="s">
        <v>9458</v>
      </c>
      <c r="V4863" s="47" t="s">
        <v>9454</v>
      </c>
      <c r="W4863" s="47" t="s">
        <v>9455</v>
      </c>
      <c r="X4863" s="47" t="s">
        <v>9456</v>
      </c>
      <c r="Y4863" s="47" t="s">
        <v>9457</v>
      </c>
      <c r="Z4863" s="47">
        <f t="shared" si="1086"/>
        <v>4620</v>
      </c>
      <c r="AA4863" s="47">
        <f>AA$7</f>
        <v>1400</v>
      </c>
      <c r="AB4863" s="47"/>
      <c r="AC4863" s="47"/>
      <c r="AD4863" s="47"/>
      <c r="AE4863" s="47"/>
      <c r="AF4863" s="47">
        <f>AF$7</f>
        <v>1485</v>
      </c>
      <c r="AG4863" s="47"/>
      <c r="AH4863" s="47" t="str">
        <f>IFERROR(_xlfn.XLOOKUP(Table6[[#This Row],[Suburb]],Table5[Travel Surcharge],Table5[$$]),"")</f>
        <v/>
      </c>
      <c r="AI4863" s="47"/>
      <c r="AJ4863" s="47"/>
    </row>
    <row r="4864" spans="1:36">
      <c r="A4864" s="374" t="s">
        <v>9452</v>
      </c>
      <c r="B4864" s="374">
        <v>3</v>
      </c>
      <c r="C4864" s="374" t="s">
        <v>764</v>
      </c>
      <c r="D4864" s="375" t="str">
        <f t="shared" si="1085"/>
        <v>Woodsong3</v>
      </c>
      <c r="E4864" s="375" t="s">
        <v>9514</v>
      </c>
      <c r="F4864" s="375"/>
      <c r="G4864" s="375"/>
      <c r="H4864" s="375"/>
      <c r="I4864" s="63"/>
      <c r="J4864" s="47">
        <f t="shared" si="1087"/>
        <v>3740</v>
      </c>
      <c r="K4864" s="46" t="s">
        <v>10735</v>
      </c>
      <c r="L4864" s="47" t="s">
        <v>5127</v>
      </c>
      <c r="M4864" s="47">
        <f>M$7</f>
        <v>1430.0000000000002</v>
      </c>
      <c r="N4864" s="47"/>
      <c r="O4864" s="47"/>
      <c r="P4864" s="47"/>
      <c r="Q4864" s="47"/>
      <c r="R4864" s="47">
        <f>R$2</f>
        <v>540</v>
      </c>
      <c r="S4864" s="47"/>
      <c r="T4864" s="47"/>
      <c r="U4864" s="47" t="s">
        <v>9458</v>
      </c>
      <c r="V4864" s="47" t="s">
        <v>9454</v>
      </c>
      <c r="W4864" s="47" t="s">
        <v>9455</v>
      </c>
      <c r="X4864" s="47" t="s">
        <v>9456</v>
      </c>
      <c r="Y4864" s="47" t="s">
        <v>9457</v>
      </c>
      <c r="Z4864" s="47">
        <f t="shared" si="1086"/>
        <v>4620</v>
      </c>
      <c r="AA4864" s="47">
        <f>AA$7</f>
        <v>1400</v>
      </c>
      <c r="AB4864" s="47"/>
      <c r="AC4864" s="47"/>
      <c r="AD4864" s="47"/>
      <c r="AE4864" s="47"/>
      <c r="AF4864" s="47">
        <f>AF$7</f>
        <v>1485</v>
      </c>
      <c r="AG4864" s="47"/>
      <c r="AH4864" s="47" t="str">
        <f>IFERROR(_xlfn.XLOOKUP(Table6[[#This Row],[Suburb]],Table5[Travel Surcharge],Table5[$$]),"")</f>
        <v/>
      </c>
      <c r="AI4864" s="47"/>
      <c r="AJ4864" s="47"/>
    </row>
    <row r="4865" spans="1:36">
      <c r="A4865" s="157" t="s">
        <v>8360</v>
      </c>
      <c r="B4865" s="157">
        <v>10</v>
      </c>
      <c r="C4865" s="157" t="s">
        <v>8361</v>
      </c>
      <c r="D4865" s="157" t="str">
        <f t="shared" si="1085"/>
        <v>Worthington Estate10</v>
      </c>
      <c r="E4865" s="157" t="s">
        <v>8362</v>
      </c>
      <c r="F4865" s="157"/>
      <c r="G4865" s="157" t="s">
        <v>8363</v>
      </c>
      <c r="H4865" s="157" t="s">
        <v>8364</v>
      </c>
      <c r="I4865" s="158" t="s">
        <v>8365</v>
      </c>
      <c r="J4865" s="47">
        <f t="shared" si="1087"/>
        <v>3740</v>
      </c>
      <c r="K4865" s="46" t="s">
        <v>10735</v>
      </c>
      <c r="L4865" s="47"/>
      <c r="M4865" s="47"/>
      <c r="N4865" s="47"/>
      <c r="O4865" s="47">
        <f>O$7</f>
        <v>4950</v>
      </c>
      <c r="P4865" s="47"/>
      <c r="Q4865" s="47"/>
      <c r="R4865" s="47"/>
      <c r="S4865" s="47">
        <f>S$2</f>
        <v>590</v>
      </c>
      <c r="T4865" s="47"/>
      <c r="U4865" s="47"/>
      <c r="V4865" s="47" t="s">
        <v>8366</v>
      </c>
      <c r="W4865" s="47"/>
      <c r="X4865" s="47" t="s">
        <v>8367</v>
      </c>
      <c r="Y4865" s="47"/>
      <c r="Z4865" s="47">
        <f t="shared" si="1086"/>
        <v>4620</v>
      </c>
      <c r="AA4865" s="47"/>
      <c r="AB4865" s="47"/>
      <c r="AC4865" s="47"/>
      <c r="AD4865" s="47"/>
      <c r="AE4865" s="47"/>
      <c r="AF4865" s="47">
        <f>AF$7</f>
        <v>1485</v>
      </c>
      <c r="AG4865" s="47"/>
      <c r="AH4865" s="47" t="str">
        <f>IFERROR(_xlfn.XLOOKUP(Table6[[#This Row],[Suburb]],Table5[Travel Surcharge],Table5[$$]),"")</f>
        <v/>
      </c>
      <c r="AI4865" s="47"/>
      <c r="AJ4865" s="47"/>
    </row>
    <row r="4866" spans="1:36">
      <c r="A4866" s="374" t="s">
        <v>10203</v>
      </c>
      <c r="B4866" s="374">
        <v>1</v>
      </c>
      <c r="C4866" s="374" t="s">
        <v>2060</v>
      </c>
      <c r="D4866" s="375" t="str">
        <f t="shared" ref="D4866:D4867" si="1088">CONCATENATE(A4866,B4866)</f>
        <v>Wyndham Gardens1</v>
      </c>
      <c r="E4866" s="375" t="s">
        <v>10204</v>
      </c>
      <c r="F4866" s="375"/>
      <c r="G4866" s="375"/>
      <c r="H4866" s="375"/>
      <c r="I4866" s="63" t="s">
        <v>10205</v>
      </c>
      <c r="J4866" s="47">
        <v>3740</v>
      </c>
      <c r="K4866" s="46" t="s">
        <v>10735</v>
      </c>
      <c r="L4866" s="47">
        <v>1210</v>
      </c>
      <c r="M4866" s="47" t="s">
        <v>10206</v>
      </c>
      <c r="N4866" s="47"/>
      <c r="O4866" s="47"/>
      <c r="P4866" s="47"/>
      <c r="Q4866" s="47"/>
      <c r="R4866" s="47"/>
      <c r="S4866" s="47"/>
      <c r="T4866" s="47">
        <v>1420</v>
      </c>
      <c r="U4866" s="47"/>
      <c r="V4866" s="47"/>
      <c r="W4866" s="47"/>
      <c r="X4866" s="47"/>
      <c r="Y4866" s="47"/>
      <c r="Z4866" s="47">
        <f t="shared" ref="Z4866" si="1089">Z$7</f>
        <v>4620</v>
      </c>
      <c r="AA4866" s="47"/>
      <c r="AB4866" s="47"/>
      <c r="AC4866" s="47"/>
      <c r="AD4866" s="47"/>
      <c r="AE4866" s="47"/>
      <c r="AF4866" s="47">
        <v>1485</v>
      </c>
      <c r="AG4866" s="47"/>
      <c r="AH4866" s="47" t="e">
        <f>IF((COUNTIF(#REF!,C4866)&gt;0),(IF('Pricing Sheet'!$C$3&lt;&gt;"",(VLOOKUP(C4866,AQ:AQ,2,FALSE)),(VLOOKUP(C4866,AQ:AQ,3,FALSE)))),"")</f>
        <v>#REF!</v>
      </c>
      <c r="AI4866" s="47"/>
      <c r="AJ4866" s="47"/>
    </row>
    <row r="4867" spans="1:36">
      <c r="A4867" s="374" t="s">
        <v>10203</v>
      </c>
      <c r="B4867" s="374">
        <v>2</v>
      </c>
      <c r="C4867" s="374" t="s">
        <v>2060</v>
      </c>
      <c r="D4867" s="375" t="str">
        <f t="shared" si="1088"/>
        <v>Wyndham Gardens2</v>
      </c>
      <c r="E4867" s="375" t="s">
        <v>10207</v>
      </c>
      <c r="F4867" s="375"/>
      <c r="G4867" s="375"/>
      <c r="H4867" s="375"/>
      <c r="I4867" s="63" t="s">
        <v>10205</v>
      </c>
      <c r="J4867" s="47">
        <v>3740</v>
      </c>
      <c r="K4867" s="46" t="s">
        <v>10735</v>
      </c>
      <c r="L4867" s="47">
        <v>1210</v>
      </c>
      <c r="M4867" s="47" t="s">
        <v>10206</v>
      </c>
      <c r="N4867" s="47"/>
      <c r="O4867" s="47"/>
      <c r="P4867" s="47"/>
      <c r="Q4867" s="47"/>
      <c r="R4867" s="47"/>
      <c r="S4867" s="47"/>
      <c r="T4867" s="47">
        <v>1420</v>
      </c>
      <c r="U4867" s="47"/>
      <c r="V4867" s="47"/>
      <c r="W4867" s="47"/>
      <c r="X4867" s="47"/>
      <c r="Y4867" s="47"/>
      <c r="Z4867" s="47">
        <v>4620</v>
      </c>
      <c r="AA4867" s="47"/>
      <c r="AB4867" s="47"/>
      <c r="AC4867" s="47"/>
      <c r="AD4867" s="47"/>
      <c r="AE4867" s="47"/>
      <c r="AF4867" s="47">
        <v>1485</v>
      </c>
      <c r="AG4867" s="47"/>
      <c r="AH4867" s="47" t="e">
        <v>#REF!</v>
      </c>
      <c r="AI4867" s="47"/>
      <c r="AJ4867" s="47"/>
    </row>
    <row r="4868" spans="1:36">
      <c r="A4868" s="374" t="s">
        <v>7037</v>
      </c>
      <c r="B4868" s="374">
        <v>4</v>
      </c>
      <c r="C4868" s="374" t="s">
        <v>7038</v>
      </c>
      <c r="D4868" s="375" t="str">
        <f t="shared" ref="D4868:D4900" si="1090">CONCATENATE(A4868,B4868)</f>
        <v>Wyndham Harbour Estate4</v>
      </c>
      <c r="E4868" s="375" t="s">
        <v>7039</v>
      </c>
      <c r="F4868" s="375" t="s">
        <v>7040</v>
      </c>
      <c r="G4868" s="375" t="s">
        <v>7041</v>
      </c>
      <c r="H4868" s="375" t="s">
        <v>3609</v>
      </c>
      <c r="I4868" s="63" t="s">
        <v>7042</v>
      </c>
      <c r="J4868" s="47">
        <f t="shared" si="1087"/>
        <v>3740</v>
      </c>
      <c r="K4868" s="46" t="s">
        <v>10735</v>
      </c>
      <c r="L4868" s="47"/>
      <c r="M4868" s="47" t="s">
        <v>6693</v>
      </c>
      <c r="N4868" s="47">
        <f>N$7</f>
        <v>2640</v>
      </c>
      <c r="O4868" s="47"/>
      <c r="P4868" s="47"/>
      <c r="Q4868" s="47" t="s">
        <v>7043</v>
      </c>
      <c r="R4868" s="47"/>
      <c r="S4868" s="47"/>
      <c r="T4868" s="47">
        <f>T$2</f>
        <v>780</v>
      </c>
      <c r="U4868" s="47"/>
      <c r="V4868" s="47"/>
      <c r="W4868" s="47"/>
      <c r="X4868" s="47"/>
      <c r="Y4868" s="47"/>
      <c r="Z4868" s="47">
        <f t="shared" ref="Z4868:Z4900" si="1091">Z$7</f>
        <v>4620</v>
      </c>
      <c r="AA4868" s="47"/>
      <c r="AB4868" s="47"/>
      <c r="AC4868" s="47">
        <f>AC$7</f>
        <v>5200</v>
      </c>
      <c r="AD4868" s="47" t="s">
        <v>1</v>
      </c>
      <c r="AE4868" s="47"/>
      <c r="AF4868" s="47">
        <f>AF$7</f>
        <v>1485</v>
      </c>
      <c r="AG4868" s="47"/>
      <c r="AH4868" s="47" t="str">
        <f>IFERROR(_xlfn.XLOOKUP(Table6[[#This Row],[Suburb]],Table5[Travel Surcharge],Table5[$$]),"")</f>
        <v/>
      </c>
      <c r="AI4868" s="47"/>
      <c r="AJ4868" s="47"/>
    </row>
    <row r="4869" spans="1:36">
      <c r="A4869" s="374" t="s">
        <v>9208</v>
      </c>
      <c r="B4869" s="374">
        <v>2</v>
      </c>
      <c r="C4869" s="374" t="s">
        <v>9209</v>
      </c>
      <c r="D4869" s="375" t="str">
        <f t="shared" si="1090"/>
        <v>Wyndham Vale2</v>
      </c>
      <c r="E4869" s="375" t="s">
        <v>8789</v>
      </c>
      <c r="F4869" s="375"/>
      <c r="G4869" s="375" t="s">
        <v>9210</v>
      </c>
      <c r="H4869" s="375"/>
      <c r="I4869" s="63"/>
      <c r="J4869" s="47">
        <v>3740</v>
      </c>
      <c r="K4869" s="46" t="s">
        <v>10735</v>
      </c>
      <c r="L4869" s="47"/>
      <c r="M4869" s="47"/>
      <c r="N4869" s="47"/>
      <c r="O4869" s="47"/>
      <c r="P4869" s="47"/>
      <c r="Q4869" s="47"/>
      <c r="R4869" s="47"/>
      <c r="S4869" s="47">
        <f>S$2</f>
        <v>590</v>
      </c>
      <c r="T4869" s="47"/>
      <c r="U4869" s="47"/>
      <c r="V4869" s="47" t="s">
        <v>9215</v>
      </c>
      <c r="W4869" s="47"/>
      <c r="X4869" s="47"/>
      <c r="Y4869" s="47"/>
      <c r="Z4869" s="47">
        <f t="shared" si="1091"/>
        <v>4620</v>
      </c>
      <c r="AA4869" s="47"/>
      <c r="AB4869" s="47"/>
      <c r="AC4869" s="47"/>
      <c r="AD4869" s="47"/>
      <c r="AE4869" s="47"/>
      <c r="AF4869" s="47"/>
      <c r="AG4869" s="47"/>
      <c r="AH4869" s="47" t="str">
        <f>IFERROR(_xlfn.XLOOKUP(Table6[[#This Row],[Suburb]],Table5[Travel Surcharge],Table5[$$]),"")</f>
        <v/>
      </c>
      <c r="AI4869" s="47"/>
      <c r="AJ4869" s="47"/>
    </row>
    <row r="4870" spans="1:36">
      <c r="A4870" s="374" t="s">
        <v>9207</v>
      </c>
      <c r="B4870" s="374">
        <v>1</v>
      </c>
      <c r="C4870" s="374" t="s">
        <v>9209</v>
      </c>
      <c r="D4870" s="375" t="str">
        <f t="shared" si="1090"/>
        <v>Wyndham Vale 1</v>
      </c>
      <c r="E4870" s="375" t="s">
        <v>8784</v>
      </c>
      <c r="F4870" s="375"/>
      <c r="G4870" s="375" t="s">
        <v>9210</v>
      </c>
      <c r="H4870" s="375"/>
      <c r="I4870" s="63"/>
      <c r="J4870" s="47">
        <v>3740</v>
      </c>
      <c r="K4870" s="46" t="s">
        <v>10735</v>
      </c>
      <c r="L4870" s="47"/>
      <c r="M4870" s="47"/>
      <c r="N4870" s="47"/>
      <c r="O4870" s="47"/>
      <c r="P4870" s="47"/>
      <c r="Q4870" s="47"/>
      <c r="R4870" s="47"/>
      <c r="S4870" s="47">
        <f>S$2</f>
        <v>590</v>
      </c>
      <c r="T4870" s="47"/>
      <c r="U4870" s="47"/>
      <c r="V4870" s="47" t="s">
        <v>9215</v>
      </c>
      <c r="W4870" s="47"/>
      <c r="X4870" s="47"/>
      <c r="Y4870" s="47"/>
      <c r="Z4870" s="47">
        <f t="shared" si="1091"/>
        <v>4620</v>
      </c>
      <c r="AA4870" s="47"/>
      <c r="AB4870" s="47"/>
      <c r="AC4870" s="47"/>
      <c r="AD4870" s="47"/>
      <c r="AE4870" s="47"/>
      <c r="AF4870" s="47"/>
      <c r="AG4870" s="47"/>
      <c r="AH4870" s="47" t="str">
        <f>IFERROR(_xlfn.XLOOKUP(Table6[[#This Row],[Suburb]],Table5[Travel Surcharge],Table5[$$]),"")</f>
        <v/>
      </c>
      <c r="AI4870" s="47"/>
      <c r="AJ4870" s="47"/>
    </row>
    <row r="4871" spans="1:36">
      <c r="A4871" s="374" t="s">
        <v>7044</v>
      </c>
      <c r="B4871" s="374">
        <v>1</v>
      </c>
      <c r="C4871" s="374" t="s">
        <v>2060</v>
      </c>
      <c r="D4871" s="375" t="str">
        <f t="shared" si="1090"/>
        <v>Wyndham Vale Central1</v>
      </c>
      <c r="E4871" s="375" t="s">
        <v>4972</v>
      </c>
      <c r="F4871" s="375"/>
      <c r="G4871" s="375"/>
      <c r="H4871" s="375"/>
      <c r="I4871" s="63"/>
      <c r="J4871" s="47">
        <f t="shared" ref="J4871:J4888" si="1092">J$7</f>
        <v>3740</v>
      </c>
      <c r="K4871" s="46" t="s">
        <v>10735</v>
      </c>
      <c r="L4871" s="47"/>
      <c r="M4871" s="47"/>
      <c r="N4871" s="47"/>
      <c r="O4871" s="47"/>
      <c r="P4871" s="47"/>
      <c r="Q4871" s="47">
        <f>Q$2</f>
        <v>0</v>
      </c>
      <c r="R4871" s="47"/>
      <c r="S4871" s="47"/>
      <c r="T4871" s="47"/>
      <c r="U4871" s="47"/>
      <c r="V4871" s="47"/>
      <c r="W4871" s="47"/>
      <c r="X4871" s="47"/>
      <c r="Y4871" s="47"/>
      <c r="Z4871" s="47">
        <f t="shared" si="1091"/>
        <v>4620</v>
      </c>
      <c r="AA4871" s="47"/>
      <c r="AB4871" s="47"/>
      <c r="AC4871" s="47"/>
      <c r="AD4871" s="47"/>
      <c r="AE4871" s="47"/>
      <c r="AF4871" s="47"/>
      <c r="AG4871" s="47"/>
      <c r="AH4871" s="47" t="str">
        <f>IFERROR(_xlfn.XLOOKUP(Table6[[#This Row],[Suburb]],Table5[Travel Surcharge],Table5[$$]),"")</f>
        <v/>
      </c>
      <c r="AI4871" s="47"/>
      <c r="AJ4871" s="47"/>
    </row>
    <row r="4872" spans="1:36">
      <c r="A4872" s="374" t="s">
        <v>7045</v>
      </c>
      <c r="B4872" s="374">
        <v>2</v>
      </c>
      <c r="C4872" s="374" t="s">
        <v>2060</v>
      </c>
      <c r="D4872" s="375" t="str">
        <f t="shared" si="1090"/>
        <v>Wynnbrook Estate2</v>
      </c>
      <c r="E4872" s="375" t="s">
        <v>7046</v>
      </c>
      <c r="F4872" s="375" t="s">
        <v>1402</v>
      </c>
      <c r="G4872" s="375" t="s">
        <v>7047</v>
      </c>
      <c r="H4872" s="375" t="s">
        <v>7048</v>
      </c>
      <c r="I4872" s="63" t="s">
        <v>7049</v>
      </c>
      <c r="J4872" s="47">
        <f t="shared" si="1092"/>
        <v>3740</v>
      </c>
      <c r="K4872" s="46" t="s">
        <v>10735</v>
      </c>
      <c r="L4872" s="47"/>
      <c r="M4872" s="47"/>
      <c r="N4872" s="47"/>
      <c r="O4872" s="47"/>
      <c r="P4872" s="47"/>
      <c r="Q4872" s="47"/>
      <c r="R4872" s="47"/>
      <c r="S4872" s="47"/>
      <c r="T4872" s="47"/>
      <c r="U4872" s="47">
        <f t="shared" ref="U4872:U4888" si="1093">U$2</f>
        <v>430</v>
      </c>
      <c r="V4872" s="47"/>
      <c r="W4872" s="47"/>
      <c r="X4872" s="47"/>
      <c r="Y4872" s="47"/>
      <c r="Z4872" s="47">
        <f t="shared" si="1091"/>
        <v>4620</v>
      </c>
      <c r="AA4872" s="47"/>
      <c r="AB4872" s="47"/>
      <c r="AC4872" s="47"/>
      <c r="AD4872" s="47"/>
      <c r="AE4872" s="47"/>
      <c r="AF4872" s="47">
        <f t="shared" ref="AF4872:AF4888" si="1094">AF$7</f>
        <v>1485</v>
      </c>
      <c r="AG4872" s="47"/>
      <c r="AH4872" s="47" t="str">
        <f>IFERROR(_xlfn.XLOOKUP(Table6[[#This Row],[Suburb]],Table5[Travel Surcharge],Table5[$$]),"")</f>
        <v/>
      </c>
      <c r="AI4872" s="47">
        <f t="shared" ref="AI4872:AI4884" si="1095">AI$7</f>
        <v>1650.0000000000002</v>
      </c>
      <c r="AJ4872" s="47"/>
    </row>
    <row r="4873" spans="1:36">
      <c r="A4873" s="374" t="s">
        <v>7045</v>
      </c>
      <c r="B4873" s="374">
        <v>3</v>
      </c>
      <c r="C4873" s="374" t="s">
        <v>2060</v>
      </c>
      <c r="D4873" s="375" t="str">
        <f t="shared" si="1090"/>
        <v>Wynnbrook Estate3</v>
      </c>
      <c r="E4873" s="375" t="s">
        <v>7050</v>
      </c>
      <c r="F4873" s="375" t="s">
        <v>1402</v>
      </c>
      <c r="G4873" s="375" t="s">
        <v>7047</v>
      </c>
      <c r="H4873" s="375" t="s">
        <v>7048</v>
      </c>
      <c r="I4873" s="63" t="s">
        <v>7049</v>
      </c>
      <c r="J4873" s="47">
        <f t="shared" si="1092"/>
        <v>3740</v>
      </c>
      <c r="K4873" s="46" t="s">
        <v>10735</v>
      </c>
      <c r="L4873" s="47"/>
      <c r="M4873" s="47"/>
      <c r="N4873" s="47"/>
      <c r="O4873" s="47"/>
      <c r="P4873" s="47"/>
      <c r="Q4873" s="47"/>
      <c r="R4873" s="47"/>
      <c r="S4873" s="47"/>
      <c r="T4873" s="47"/>
      <c r="U4873" s="47">
        <f t="shared" si="1093"/>
        <v>430</v>
      </c>
      <c r="V4873" s="47"/>
      <c r="W4873" s="47"/>
      <c r="X4873" s="47"/>
      <c r="Y4873" s="47"/>
      <c r="Z4873" s="47">
        <f t="shared" si="1091"/>
        <v>4620</v>
      </c>
      <c r="AA4873" s="47"/>
      <c r="AB4873" s="47"/>
      <c r="AC4873" s="47"/>
      <c r="AD4873" s="47"/>
      <c r="AE4873" s="47"/>
      <c r="AF4873" s="47">
        <f t="shared" si="1094"/>
        <v>1485</v>
      </c>
      <c r="AG4873" s="47"/>
      <c r="AH4873" s="47" t="str">
        <f>IFERROR(_xlfn.XLOOKUP(Table6[[#This Row],[Suburb]],Table5[Travel Surcharge],Table5[$$]),"")</f>
        <v/>
      </c>
      <c r="AI4873" s="47">
        <f t="shared" si="1095"/>
        <v>1650.0000000000002</v>
      </c>
      <c r="AJ4873" s="47"/>
    </row>
    <row r="4874" spans="1:36">
      <c r="A4874" s="374" t="s">
        <v>7045</v>
      </c>
      <c r="B4874" s="374">
        <v>4</v>
      </c>
      <c r="C4874" s="374" t="s">
        <v>2060</v>
      </c>
      <c r="D4874" s="375" t="str">
        <f t="shared" si="1090"/>
        <v>Wynnbrook Estate4</v>
      </c>
      <c r="E4874" s="375" t="s">
        <v>7051</v>
      </c>
      <c r="F4874" s="375" t="s">
        <v>1402</v>
      </c>
      <c r="G4874" s="375" t="s">
        <v>7047</v>
      </c>
      <c r="H4874" s="375" t="s">
        <v>7048</v>
      </c>
      <c r="I4874" s="63" t="s">
        <v>7049</v>
      </c>
      <c r="J4874" s="47">
        <f t="shared" si="1092"/>
        <v>3740</v>
      </c>
      <c r="K4874" s="46" t="s">
        <v>10735</v>
      </c>
      <c r="L4874" s="47"/>
      <c r="M4874" s="47"/>
      <c r="N4874" s="47"/>
      <c r="O4874" s="47"/>
      <c r="P4874" s="47"/>
      <c r="Q4874" s="47"/>
      <c r="R4874" s="47"/>
      <c r="S4874" s="47"/>
      <c r="T4874" s="47"/>
      <c r="U4874" s="47">
        <f t="shared" si="1093"/>
        <v>430</v>
      </c>
      <c r="V4874" s="47"/>
      <c r="W4874" s="47"/>
      <c r="X4874" s="47"/>
      <c r="Y4874" s="47"/>
      <c r="Z4874" s="47">
        <f t="shared" si="1091"/>
        <v>4620</v>
      </c>
      <c r="AA4874" s="47"/>
      <c r="AB4874" s="47"/>
      <c r="AC4874" s="47"/>
      <c r="AD4874" s="47"/>
      <c r="AE4874" s="47"/>
      <c r="AF4874" s="47">
        <f t="shared" si="1094"/>
        <v>1485</v>
      </c>
      <c r="AG4874" s="47"/>
      <c r="AH4874" s="47" t="str">
        <f>IFERROR(_xlfn.XLOOKUP(Table6[[#This Row],[Suburb]],Table5[Travel Surcharge],Table5[$$]),"")</f>
        <v/>
      </c>
      <c r="AI4874" s="47">
        <f t="shared" si="1095"/>
        <v>1650.0000000000002</v>
      </c>
      <c r="AJ4874" s="47"/>
    </row>
    <row r="4875" spans="1:36">
      <c r="A4875" s="374" t="s">
        <v>7045</v>
      </c>
      <c r="B4875" s="374">
        <v>5</v>
      </c>
      <c r="C4875" s="374" t="s">
        <v>2060</v>
      </c>
      <c r="D4875" s="375" t="str">
        <f t="shared" si="1090"/>
        <v>Wynnbrook Estate5</v>
      </c>
      <c r="E4875" s="375" t="s">
        <v>7052</v>
      </c>
      <c r="F4875" s="375" t="s">
        <v>1402</v>
      </c>
      <c r="G4875" s="375" t="s">
        <v>7047</v>
      </c>
      <c r="H4875" s="375" t="s">
        <v>7048</v>
      </c>
      <c r="I4875" s="63" t="s">
        <v>7049</v>
      </c>
      <c r="J4875" s="47">
        <f t="shared" si="1092"/>
        <v>3740</v>
      </c>
      <c r="K4875" s="46" t="s">
        <v>10735</v>
      </c>
      <c r="L4875" s="47"/>
      <c r="M4875" s="47"/>
      <c r="N4875" s="47"/>
      <c r="O4875" s="47"/>
      <c r="P4875" s="47"/>
      <c r="Q4875" s="47"/>
      <c r="R4875" s="47"/>
      <c r="S4875" s="47"/>
      <c r="T4875" s="47"/>
      <c r="U4875" s="47">
        <f t="shared" si="1093"/>
        <v>430</v>
      </c>
      <c r="V4875" s="47"/>
      <c r="W4875" s="47"/>
      <c r="X4875" s="47"/>
      <c r="Y4875" s="47"/>
      <c r="Z4875" s="47">
        <f t="shared" si="1091"/>
        <v>4620</v>
      </c>
      <c r="AA4875" s="47"/>
      <c r="AB4875" s="47"/>
      <c r="AC4875" s="47"/>
      <c r="AD4875" s="47"/>
      <c r="AE4875" s="47"/>
      <c r="AF4875" s="47">
        <f t="shared" si="1094"/>
        <v>1485</v>
      </c>
      <c r="AG4875" s="47"/>
      <c r="AH4875" s="47" t="str">
        <f>IFERROR(_xlfn.XLOOKUP(Table6[[#This Row],[Suburb]],Table5[Travel Surcharge],Table5[$$]),"")</f>
        <v/>
      </c>
      <c r="AI4875" s="47">
        <f t="shared" si="1095"/>
        <v>1650.0000000000002</v>
      </c>
      <c r="AJ4875" s="47"/>
    </row>
    <row r="4876" spans="1:36">
      <c r="A4876" s="374" t="s">
        <v>7045</v>
      </c>
      <c r="B4876" s="374">
        <v>6</v>
      </c>
      <c r="C4876" s="374" t="s">
        <v>2060</v>
      </c>
      <c r="D4876" s="375" t="str">
        <f t="shared" si="1090"/>
        <v>Wynnbrook Estate6</v>
      </c>
      <c r="E4876" s="375" t="s">
        <v>7053</v>
      </c>
      <c r="F4876" s="375" t="s">
        <v>1402</v>
      </c>
      <c r="G4876" s="375" t="s">
        <v>7047</v>
      </c>
      <c r="H4876" s="375" t="s">
        <v>7048</v>
      </c>
      <c r="I4876" s="63" t="s">
        <v>7049</v>
      </c>
      <c r="J4876" s="47">
        <f t="shared" si="1092"/>
        <v>3740</v>
      </c>
      <c r="K4876" s="46" t="s">
        <v>10735</v>
      </c>
      <c r="L4876" s="47"/>
      <c r="M4876" s="47"/>
      <c r="N4876" s="47"/>
      <c r="O4876" s="47"/>
      <c r="P4876" s="47"/>
      <c r="Q4876" s="47"/>
      <c r="R4876" s="47"/>
      <c r="S4876" s="47"/>
      <c r="T4876" s="47"/>
      <c r="U4876" s="47">
        <f t="shared" si="1093"/>
        <v>430</v>
      </c>
      <c r="V4876" s="47"/>
      <c r="W4876" s="47"/>
      <c r="X4876" s="47"/>
      <c r="Y4876" s="47"/>
      <c r="Z4876" s="47">
        <f t="shared" si="1091"/>
        <v>4620</v>
      </c>
      <c r="AA4876" s="47"/>
      <c r="AB4876" s="47"/>
      <c r="AC4876" s="47"/>
      <c r="AD4876" s="47"/>
      <c r="AE4876" s="47"/>
      <c r="AF4876" s="47">
        <f t="shared" si="1094"/>
        <v>1485</v>
      </c>
      <c r="AG4876" s="47"/>
      <c r="AH4876" s="47" t="str">
        <f>IFERROR(_xlfn.XLOOKUP(Table6[[#This Row],[Suburb]],Table5[Travel Surcharge],Table5[$$]),"")</f>
        <v/>
      </c>
      <c r="AI4876" s="47">
        <f t="shared" si="1095"/>
        <v>1650.0000000000002</v>
      </c>
      <c r="AJ4876" s="47"/>
    </row>
    <row r="4877" spans="1:36">
      <c r="A4877" s="374" t="s">
        <v>7045</v>
      </c>
      <c r="B4877" s="374">
        <v>7</v>
      </c>
      <c r="C4877" s="374" t="s">
        <v>2060</v>
      </c>
      <c r="D4877" s="375" t="str">
        <f t="shared" si="1090"/>
        <v>Wynnbrook Estate7</v>
      </c>
      <c r="E4877" s="375" t="s">
        <v>7054</v>
      </c>
      <c r="F4877" s="375" t="s">
        <v>1402</v>
      </c>
      <c r="G4877" s="375" t="s">
        <v>7047</v>
      </c>
      <c r="H4877" s="375" t="s">
        <v>7048</v>
      </c>
      <c r="I4877" s="63" t="s">
        <v>7049</v>
      </c>
      <c r="J4877" s="47">
        <f t="shared" si="1092"/>
        <v>3740</v>
      </c>
      <c r="K4877" s="46" t="s">
        <v>10735</v>
      </c>
      <c r="L4877" s="47"/>
      <c r="M4877" s="47"/>
      <c r="N4877" s="47"/>
      <c r="O4877" s="47"/>
      <c r="P4877" s="47"/>
      <c r="Q4877" s="47"/>
      <c r="R4877" s="47"/>
      <c r="S4877" s="47"/>
      <c r="T4877" s="47"/>
      <c r="U4877" s="47">
        <f t="shared" si="1093"/>
        <v>430</v>
      </c>
      <c r="V4877" s="47"/>
      <c r="W4877" s="47"/>
      <c r="X4877" s="47"/>
      <c r="Y4877" s="47"/>
      <c r="Z4877" s="47">
        <f t="shared" si="1091"/>
        <v>4620</v>
      </c>
      <c r="AA4877" s="47"/>
      <c r="AB4877" s="47"/>
      <c r="AC4877" s="47"/>
      <c r="AD4877" s="47"/>
      <c r="AE4877" s="47"/>
      <c r="AF4877" s="47">
        <f t="shared" si="1094"/>
        <v>1485</v>
      </c>
      <c r="AG4877" s="47"/>
      <c r="AH4877" s="47" t="str">
        <f>IFERROR(_xlfn.XLOOKUP(Table6[[#This Row],[Suburb]],Table5[Travel Surcharge],Table5[$$]),"")</f>
        <v/>
      </c>
      <c r="AI4877" s="47">
        <f t="shared" si="1095"/>
        <v>1650.0000000000002</v>
      </c>
      <c r="AJ4877" s="47"/>
    </row>
    <row r="4878" spans="1:36">
      <c r="A4878" s="374" t="s">
        <v>7045</v>
      </c>
      <c r="B4878" s="374">
        <v>8</v>
      </c>
      <c r="C4878" s="374" t="s">
        <v>2060</v>
      </c>
      <c r="D4878" s="375" t="str">
        <f t="shared" si="1090"/>
        <v>Wynnbrook Estate8</v>
      </c>
      <c r="E4878" s="375" t="s">
        <v>7055</v>
      </c>
      <c r="F4878" s="375" t="s">
        <v>1402</v>
      </c>
      <c r="G4878" s="375" t="s">
        <v>7047</v>
      </c>
      <c r="H4878" s="375" t="s">
        <v>7048</v>
      </c>
      <c r="I4878" s="63" t="s">
        <v>7049</v>
      </c>
      <c r="J4878" s="47">
        <f t="shared" si="1092"/>
        <v>3740</v>
      </c>
      <c r="K4878" s="46" t="s">
        <v>10735</v>
      </c>
      <c r="L4878" s="47"/>
      <c r="M4878" s="47"/>
      <c r="N4878" s="47"/>
      <c r="O4878" s="47"/>
      <c r="P4878" s="47"/>
      <c r="Q4878" s="47"/>
      <c r="R4878" s="47"/>
      <c r="S4878" s="47"/>
      <c r="T4878" s="47"/>
      <c r="U4878" s="47">
        <f t="shared" si="1093"/>
        <v>430</v>
      </c>
      <c r="V4878" s="47"/>
      <c r="W4878" s="47"/>
      <c r="X4878" s="47"/>
      <c r="Y4878" s="47"/>
      <c r="Z4878" s="47">
        <f t="shared" si="1091"/>
        <v>4620</v>
      </c>
      <c r="AA4878" s="47"/>
      <c r="AB4878" s="47"/>
      <c r="AC4878" s="47"/>
      <c r="AD4878" s="47"/>
      <c r="AE4878" s="47"/>
      <c r="AF4878" s="47">
        <f t="shared" si="1094"/>
        <v>1485</v>
      </c>
      <c r="AG4878" s="47"/>
      <c r="AH4878" s="47" t="str">
        <f>IFERROR(_xlfn.XLOOKUP(Table6[[#This Row],[Suburb]],Table5[Travel Surcharge],Table5[$$]),"")</f>
        <v/>
      </c>
      <c r="AI4878" s="47">
        <f t="shared" si="1095"/>
        <v>1650.0000000000002</v>
      </c>
      <c r="AJ4878" s="47"/>
    </row>
    <row r="4879" spans="1:36">
      <c r="A4879" s="374" t="s">
        <v>7045</v>
      </c>
      <c r="B4879" s="374">
        <v>9</v>
      </c>
      <c r="C4879" s="374" t="s">
        <v>2060</v>
      </c>
      <c r="D4879" s="375" t="str">
        <f t="shared" si="1090"/>
        <v>Wynnbrook Estate9</v>
      </c>
      <c r="E4879" s="375" t="s">
        <v>7056</v>
      </c>
      <c r="F4879" s="375" t="s">
        <v>1402</v>
      </c>
      <c r="G4879" s="375" t="s">
        <v>7047</v>
      </c>
      <c r="H4879" s="375" t="s">
        <v>7048</v>
      </c>
      <c r="I4879" s="63" t="s">
        <v>7049</v>
      </c>
      <c r="J4879" s="47">
        <f t="shared" si="1092"/>
        <v>3740</v>
      </c>
      <c r="K4879" s="46" t="s">
        <v>10735</v>
      </c>
      <c r="L4879" s="47"/>
      <c r="M4879" s="47"/>
      <c r="N4879" s="47"/>
      <c r="O4879" s="47"/>
      <c r="P4879" s="47"/>
      <c r="Q4879" s="47"/>
      <c r="R4879" s="47"/>
      <c r="S4879" s="47"/>
      <c r="T4879" s="47"/>
      <c r="U4879" s="47">
        <f t="shared" si="1093"/>
        <v>430</v>
      </c>
      <c r="V4879" s="47"/>
      <c r="W4879" s="47"/>
      <c r="X4879" s="47"/>
      <c r="Y4879" s="47"/>
      <c r="Z4879" s="47">
        <f t="shared" si="1091"/>
        <v>4620</v>
      </c>
      <c r="AA4879" s="47"/>
      <c r="AB4879" s="47"/>
      <c r="AC4879" s="47"/>
      <c r="AD4879" s="47"/>
      <c r="AE4879" s="47"/>
      <c r="AF4879" s="47">
        <f t="shared" si="1094"/>
        <v>1485</v>
      </c>
      <c r="AG4879" s="47"/>
      <c r="AH4879" s="47" t="str">
        <f>IFERROR(_xlfn.XLOOKUP(Table6[[#This Row],[Suburb]],Table5[Travel Surcharge],Table5[$$]),"")</f>
        <v/>
      </c>
      <c r="AI4879" s="47">
        <f t="shared" si="1095"/>
        <v>1650.0000000000002</v>
      </c>
      <c r="AJ4879" s="47"/>
    </row>
    <row r="4880" spans="1:36">
      <c r="A4880" s="374" t="s">
        <v>7045</v>
      </c>
      <c r="B4880" s="374">
        <v>11</v>
      </c>
      <c r="C4880" s="374" t="s">
        <v>2060</v>
      </c>
      <c r="D4880" s="375" t="str">
        <f t="shared" si="1090"/>
        <v>Wynnbrook Estate11</v>
      </c>
      <c r="E4880" s="375" t="s">
        <v>7057</v>
      </c>
      <c r="F4880" s="375" t="s">
        <v>1402</v>
      </c>
      <c r="G4880" s="375" t="s">
        <v>7047</v>
      </c>
      <c r="H4880" s="375" t="s">
        <v>7048</v>
      </c>
      <c r="I4880" s="63" t="s">
        <v>7049</v>
      </c>
      <c r="J4880" s="47">
        <f t="shared" si="1092"/>
        <v>3740</v>
      </c>
      <c r="K4880" s="46" t="s">
        <v>10735</v>
      </c>
      <c r="L4880" s="47"/>
      <c r="M4880" s="47"/>
      <c r="N4880" s="47"/>
      <c r="O4880" s="47"/>
      <c r="P4880" s="47"/>
      <c r="Q4880" s="47"/>
      <c r="R4880" s="47"/>
      <c r="S4880" s="47"/>
      <c r="T4880" s="47"/>
      <c r="U4880" s="47">
        <f t="shared" si="1093"/>
        <v>430</v>
      </c>
      <c r="V4880" s="47"/>
      <c r="W4880" s="47"/>
      <c r="X4880" s="47"/>
      <c r="Y4880" s="47"/>
      <c r="Z4880" s="47">
        <f t="shared" si="1091"/>
        <v>4620</v>
      </c>
      <c r="AA4880" s="47"/>
      <c r="AB4880" s="47"/>
      <c r="AC4880" s="47"/>
      <c r="AD4880" s="47"/>
      <c r="AE4880" s="47"/>
      <c r="AF4880" s="47">
        <f t="shared" si="1094"/>
        <v>1485</v>
      </c>
      <c r="AG4880" s="47"/>
      <c r="AH4880" s="47" t="str">
        <f>IFERROR(_xlfn.XLOOKUP(Table6[[#This Row],[Suburb]],Table5[Travel Surcharge],Table5[$$]),"")</f>
        <v/>
      </c>
      <c r="AI4880" s="47">
        <f t="shared" si="1095"/>
        <v>1650.0000000000002</v>
      </c>
      <c r="AJ4880" s="47"/>
    </row>
    <row r="4881" spans="1:36">
      <c r="A4881" s="374" t="s">
        <v>7045</v>
      </c>
      <c r="B4881" s="374">
        <v>12</v>
      </c>
      <c r="C4881" s="374" t="s">
        <v>2060</v>
      </c>
      <c r="D4881" s="375" t="str">
        <f t="shared" si="1090"/>
        <v>Wynnbrook Estate12</v>
      </c>
      <c r="E4881" s="375" t="s">
        <v>7058</v>
      </c>
      <c r="F4881" s="375" t="s">
        <v>1402</v>
      </c>
      <c r="G4881" s="375" t="s">
        <v>7047</v>
      </c>
      <c r="H4881" s="375" t="s">
        <v>7048</v>
      </c>
      <c r="I4881" s="63" t="s">
        <v>7049</v>
      </c>
      <c r="J4881" s="47">
        <f t="shared" si="1092"/>
        <v>3740</v>
      </c>
      <c r="K4881" s="46" t="s">
        <v>10735</v>
      </c>
      <c r="L4881" s="47"/>
      <c r="M4881" s="47"/>
      <c r="N4881" s="47"/>
      <c r="O4881" s="47"/>
      <c r="P4881" s="47"/>
      <c r="Q4881" s="47"/>
      <c r="R4881" s="47"/>
      <c r="S4881" s="47"/>
      <c r="T4881" s="47"/>
      <c r="U4881" s="47">
        <f t="shared" si="1093"/>
        <v>430</v>
      </c>
      <c r="V4881" s="47"/>
      <c r="W4881" s="47"/>
      <c r="X4881" s="47"/>
      <c r="Y4881" s="47"/>
      <c r="Z4881" s="47">
        <f t="shared" si="1091"/>
        <v>4620</v>
      </c>
      <c r="AA4881" s="47"/>
      <c r="AB4881" s="47"/>
      <c r="AC4881" s="47"/>
      <c r="AD4881" s="47"/>
      <c r="AE4881" s="47"/>
      <c r="AF4881" s="47">
        <f t="shared" si="1094"/>
        <v>1485</v>
      </c>
      <c r="AG4881" s="47"/>
      <c r="AH4881" s="47" t="str">
        <f>IFERROR(_xlfn.XLOOKUP(Table6[[#This Row],[Suburb]],Table5[Travel Surcharge],Table5[$$]),"")</f>
        <v/>
      </c>
      <c r="AI4881" s="47">
        <f t="shared" si="1095"/>
        <v>1650.0000000000002</v>
      </c>
      <c r="AJ4881" s="47"/>
    </row>
    <row r="4882" spans="1:36">
      <c r="A4882" s="374" t="s">
        <v>7045</v>
      </c>
      <c r="B4882" s="374">
        <v>13</v>
      </c>
      <c r="C4882" s="374" t="s">
        <v>2060</v>
      </c>
      <c r="D4882" s="375" t="str">
        <f t="shared" si="1090"/>
        <v>Wynnbrook Estate13</v>
      </c>
      <c r="E4882" s="375" t="s">
        <v>7059</v>
      </c>
      <c r="F4882" s="375" t="s">
        <v>1402</v>
      </c>
      <c r="G4882" s="375" t="s">
        <v>7047</v>
      </c>
      <c r="H4882" s="375" t="s">
        <v>7048</v>
      </c>
      <c r="I4882" s="63" t="s">
        <v>7049</v>
      </c>
      <c r="J4882" s="47">
        <f t="shared" si="1092"/>
        <v>3740</v>
      </c>
      <c r="K4882" s="46" t="s">
        <v>10735</v>
      </c>
      <c r="L4882" s="47"/>
      <c r="M4882" s="47"/>
      <c r="N4882" s="47"/>
      <c r="O4882" s="47"/>
      <c r="P4882" s="47"/>
      <c r="Q4882" s="47"/>
      <c r="R4882" s="47"/>
      <c r="S4882" s="47"/>
      <c r="T4882" s="47"/>
      <c r="U4882" s="47">
        <f t="shared" si="1093"/>
        <v>430</v>
      </c>
      <c r="V4882" s="47"/>
      <c r="W4882" s="47"/>
      <c r="X4882" s="47"/>
      <c r="Y4882" s="47"/>
      <c r="Z4882" s="47">
        <f t="shared" si="1091"/>
        <v>4620</v>
      </c>
      <c r="AA4882" s="47"/>
      <c r="AB4882" s="47"/>
      <c r="AC4882" s="47"/>
      <c r="AD4882" s="47"/>
      <c r="AE4882" s="47"/>
      <c r="AF4882" s="47">
        <f t="shared" si="1094"/>
        <v>1485</v>
      </c>
      <c r="AG4882" s="47"/>
      <c r="AH4882" s="47" t="str">
        <f>IFERROR(_xlfn.XLOOKUP(Table6[[#This Row],[Suburb]],Table5[Travel Surcharge],Table5[$$]),"")</f>
        <v/>
      </c>
      <c r="AI4882" s="47">
        <f t="shared" si="1095"/>
        <v>1650.0000000000002</v>
      </c>
      <c r="AJ4882" s="47"/>
    </row>
    <row r="4883" spans="1:36">
      <c r="A4883" s="374" t="s">
        <v>7045</v>
      </c>
      <c r="B4883" s="374">
        <v>14</v>
      </c>
      <c r="C4883" s="374" t="s">
        <v>2060</v>
      </c>
      <c r="D4883" s="375" t="str">
        <f t="shared" si="1090"/>
        <v>Wynnbrook Estate14</v>
      </c>
      <c r="E4883" s="375" t="s">
        <v>7060</v>
      </c>
      <c r="F4883" s="375" t="s">
        <v>1402</v>
      </c>
      <c r="G4883" s="375" t="s">
        <v>7047</v>
      </c>
      <c r="H4883" s="375" t="s">
        <v>7048</v>
      </c>
      <c r="I4883" s="63" t="s">
        <v>7049</v>
      </c>
      <c r="J4883" s="47">
        <f t="shared" si="1092"/>
        <v>3740</v>
      </c>
      <c r="K4883" s="46" t="s">
        <v>10735</v>
      </c>
      <c r="L4883" s="47"/>
      <c r="M4883" s="47"/>
      <c r="N4883" s="47"/>
      <c r="O4883" s="47"/>
      <c r="P4883" s="47"/>
      <c r="Q4883" s="47"/>
      <c r="R4883" s="47"/>
      <c r="S4883" s="47"/>
      <c r="T4883" s="47"/>
      <c r="U4883" s="47">
        <f t="shared" si="1093"/>
        <v>430</v>
      </c>
      <c r="V4883" s="47"/>
      <c r="W4883" s="47"/>
      <c r="X4883" s="47"/>
      <c r="Y4883" s="47"/>
      <c r="Z4883" s="47">
        <f t="shared" si="1091"/>
        <v>4620</v>
      </c>
      <c r="AA4883" s="47"/>
      <c r="AB4883" s="47"/>
      <c r="AC4883" s="47"/>
      <c r="AD4883" s="47"/>
      <c r="AE4883" s="47"/>
      <c r="AF4883" s="47">
        <f t="shared" si="1094"/>
        <v>1485</v>
      </c>
      <c r="AG4883" s="47"/>
      <c r="AH4883" s="47" t="str">
        <f>IFERROR(_xlfn.XLOOKUP(Table6[[#This Row],[Suburb]],Table5[Travel Surcharge],Table5[$$]),"")</f>
        <v/>
      </c>
      <c r="AI4883" s="47">
        <f t="shared" si="1095"/>
        <v>1650.0000000000002</v>
      </c>
      <c r="AJ4883" s="47"/>
    </row>
    <row r="4884" spans="1:36">
      <c r="A4884" s="374" t="s">
        <v>7045</v>
      </c>
      <c r="B4884" s="374">
        <v>15</v>
      </c>
      <c r="C4884" s="374" t="s">
        <v>2060</v>
      </c>
      <c r="D4884" s="375" t="str">
        <f t="shared" si="1090"/>
        <v>Wynnbrook Estate15</v>
      </c>
      <c r="E4884" s="375" t="s">
        <v>7061</v>
      </c>
      <c r="F4884" s="375" t="s">
        <v>1402</v>
      </c>
      <c r="G4884" s="375" t="s">
        <v>7047</v>
      </c>
      <c r="H4884" s="375" t="s">
        <v>7048</v>
      </c>
      <c r="I4884" s="63" t="s">
        <v>7049</v>
      </c>
      <c r="J4884" s="47">
        <f t="shared" si="1092"/>
        <v>3740</v>
      </c>
      <c r="K4884" s="46" t="s">
        <v>10735</v>
      </c>
      <c r="L4884" s="47"/>
      <c r="M4884" s="47"/>
      <c r="N4884" s="47"/>
      <c r="O4884" s="47"/>
      <c r="P4884" s="47"/>
      <c r="Q4884" s="47"/>
      <c r="R4884" s="47"/>
      <c r="S4884" s="47"/>
      <c r="T4884" s="47"/>
      <c r="U4884" s="47">
        <f t="shared" si="1093"/>
        <v>430</v>
      </c>
      <c r="V4884" s="47"/>
      <c r="W4884" s="47"/>
      <c r="X4884" s="47"/>
      <c r="Y4884" s="47"/>
      <c r="Z4884" s="47">
        <f t="shared" si="1091"/>
        <v>4620</v>
      </c>
      <c r="AA4884" s="47"/>
      <c r="AB4884" s="47"/>
      <c r="AC4884" s="47"/>
      <c r="AD4884" s="47"/>
      <c r="AE4884" s="47"/>
      <c r="AF4884" s="47">
        <f t="shared" si="1094"/>
        <v>1485</v>
      </c>
      <c r="AG4884" s="47"/>
      <c r="AH4884" s="47" t="str">
        <f>IFERROR(_xlfn.XLOOKUP(Table6[[#This Row],[Suburb]],Table5[Travel Surcharge],Table5[$$]),"")</f>
        <v/>
      </c>
      <c r="AI4884" s="47">
        <f t="shared" si="1095"/>
        <v>1650.0000000000002</v>
      </c>
      <c r="AJ4884" s="47"/>
    </row>
    <row r="4885" spans="1:36">
      <c r="A4885" s="374" t="s">
        <v>7062</v>
      </c>
      <c r="B4885" s="374">
        <v>1</v>
      </c>
      <c r="C4885" s="374" t="s">
        <v>281</v>
      </c>
      <c r="D4885" s="375" t="str">
        <f t="shared" si="1090"/>
        <v>Yaringa1</v>
      </c>
      <c r="E4885" s="375" t="s">
        <v>7063</v>
      </c>
      <c r="F4885" s="375"/>
      <c r="G4885" s="375" t="s">
        <v>7064</v>
      </c>
      <c r="H4885" s="375" t="s">
        <v>7065</v>
      </c>
      <c r="I4885" s="63" t="s">
        <v>7066</v>
      </c>
      <c r="J4885" s="47">
        <f t="shared" si="1092"/>
        <v>3740</v>
      </c>
      <c r="K4885" s="46" t="s">
        <v>7938</v>
      </c>
      <c r="L4885" s="47">
        <f>L$7</f>
        <v>1210</v>
      </c>
      <c r="M4885" s="47" t="s">
        <v>7067</v>
      </c>
      <c r="N4885" s="47" t="s">
        <v>7068</v>
      </c>
      <c r="O4885" s="47" t="s">
        <v>7069</v>
      </c>
      <c r="P4885" s="47" t="s">
        <v>7070</v>
      </c>
      <c r="Q4885" s="47"/>
      <c r="R4885" s="47"/>
      <c r="S4885" s="47"/>
      <c r="T4885" s="47"/>
      <c r="U4885" s="47">
        <f t="shared" si="1093"/>
        <v>430</v>
      </c>
      <c r="V4885" s="47"/>
      <c r="W4885" s="47" t="s">
        <v>10433</v>
      </c>
      <c r="X4885" s="47">
        <v>3000</v>
      </c>
      <c r="Y4885" s="47"/>
      <c r="Z4885" s="47">
        <f t="shared" si="1091"/>
        <v>4620</v>
      </c>
      <c r="AA4885" s="47">
        <f>AA$7</f>
        <v>1400</v>
      </c>
      <c r="AB4885" s="47"/>
      <c r="AC4885" s="47"/>
      <c r="AD4885" s="47"/>
      <c r="AE4885" s="47"/>
      <c r="AF4885" s="47">
        <f t="shared" si="1094"/>
        <v>1485</v>
      </c>
      <c r="AG4885" s="47"/>
      <c r="AH4885" s="47">
        <f>IFERROR(_xlfn.XLOOKUP(Table6[[#This Row],[Suburb]],Table5[Travel Surcharge],Table5[$$]),"")</f>
        <v>1500</v>
      </c>
      <c r="AI4885" s="47"/>
      <c r="AJ4885" s="47"/>
    </row>
    <row r="4886" spans="1:36">
      <c r="A4886" s="374" t="s">
        <v>7062</v>
      </c>
      <c r="B4886" s="374">
        <v>2</v>
      </c>
      <c r="C4886" s="374" t="s">
        <v>281</v>
      </c>
      <c r="D4886" s="375" t="str">
        <f t="shared" si="1090"/>
        <v>Yaringa2</v>
      </c>
      <c r="E4886" s="375" t="s">
        <v>7071</v>
      </c>
      <c r="F4886" s="375"/>
      <c r="G4886" s="375" t="s">
        <v>7064</v>
      </c>
      <c r="H4886" s="375" t="s">
        <v>7065</v>
      </c>
      <c r="I4886" s="63" t="s">
        <v>7066</v>
      </c>
      <c r="J4886" s="47">
        <f t="shared" si="1092"/>
        <v>3740</v>
      </c>
      <c r="K4886" s="46" t="s">
        <v>7938</v>
      </c>
      <c r="L4886" s="47">
        <f>L$7</f>
        <v>1210</v>
      </c>
      <c r="M4886" s="47" t="s">
        <v>7067</v>
      </c>
      <c r="N4886" s="47" t="s">
        <v>7068</v>
      </c>
      <c r="O4886" s="47" t="s">
        <v>7069</v>
      </c>
      <c r="P4886" s="47" t="s">
        <v>7070</v>
      </c>
      <c r="Q4886" s="47"/>
      <c r="R4886" s="47"/>
      <c r="S4886" s="47"/>
      <c r="T4886" s="47"/>
      <c r="U4886" s="47">
        <f t="shared" si="1093"/>
        <v>430</v>
      </c>
      <c r="V4886" s="47"/>
      <c r="W4886" s="47" t="s">
        <v>10433</v>
      </c>
      <c r="X4886" s="47">
        <v>3000</v>
      </c>
      <c r="Y4886" s="47"/>
      <c r="Z4886" s="47">
        <f t="shared" si="1091"/>
        <v>4620</v>
      </c>
      <c r="AA4886" s="47">
        <f>AA$7</f>
        <v>1400</v>
      </c>
      <c r="AB4886" s="47"/>
      <c r="AC4886" s="47"/>
      <c r="AD4886" s="47"/>
      <c r="AE4886" s="47"/>
      <c r="AF4886" s="47">
        <f t="shared" si="1094"/>
        <v>1485</v>
      </c>
      <c r="AG4886" s="47"/>
      <c r="AH4886" s="47">
        <f>IFERROR(_xlfn.XLOOKUP(Table6[[#This Row],[Suburb]],Table5[Travel Surcharge],Table5[$$]),"")</f>
        <v>1500</v>
      </c>
      <c r="AI4886" s="47"/>
      <c r="AJ4886" s="47"/>
    </row>
    <row r="4887" spans="1:36">
      <c r="A4887" s="374" t="s">
        <v>7062</v>
      </c>
      <c r="B4887" s="374">
        <v>3</v>
      </c>
      <c r="C4887" s="374" t="s">
        <v>281</v>
      </c>
      <c r="D4887" s="375" t="str">
        <f t="shared" si="1090"/>
        <v>Yaringa3</v>
      </c>
      <c r="E4887" s="375" t="s">
        <v>7072</v>
      </c>
      <c r="F4887" s="375"/>
      <c r="G4887" s="375" t="s">
        <v>7064</v>
      </c>
      <c r="H4887" s="375" t="s">
        <v>7065</v>
      </c>
      <c r="I4887" s="63" t="s">
        <v>7066</v>
      </c>
      <c r="J4887" s="47">
        <f t="shared" si="1092"/>
        <v>3740</v>
      </c>
      <c r="K4887" s="46" t="s">
        <v>7938</v>
      </c>
      <c r="L4887" s="47">
        <f>L$7</f>
        <v>1210</v>
      </c>
      <c r="M4887" s="47" t="s">
        <v>7067</v>
      </c>
      <c r="N4887" s="47" t="s">
        <v>7068</v>
      </c>
      <c r="O4887" s="47" t="s">
        <v>7069</v>
      </c>
      <c r="P4887" s="47" t="s">
        <v>7070</v>
      </c>
      <c r="Q4887" s="47"/>
      <c r="R4887" s="47"/>
      <c r="S4887" s="47"/>
      <c r="T4887" s="47"/>
      <c r="U4887" s="47">
        <f t="shared" si="1093"/>
        <v>430</v>
      </c>
      <c r="V4887" s="47"/>
      <c r="W4887" s="47" t="s">
        <v>10433</v>
      </c>
      <c r="X4887" s="47">
        <v>3000</v>
      </c>
      <c r="Y4887" s="47"/>
      <c r="Z4887" s="47">
        <f t="shared" si="1091"/>
        <v>4620</v>
      </c>
      <c r="AA4887" s="47">
        <f>AA$7</f>
        <v>1400</v>
      </c>
      <c r="AB4887" s="47"/>
      <c r="AC4887" s="47"/>
      <c r="AD4887" s="47"/>
      <c r="AE4887" s="47"/>
      <c r="AF4887" s="47">
        <f t="shared" si="1094"/>
        <v>1485</v>
      </c>
      <c r="AG4887" s="47"/>
      <c r="AH4887" s="47">
        <f>IFERROR(_xlfn.XLOOKUP(Table6[[#This Row],[Suburb]],Table5[Travel Surcharge],Table5[$$]),"")</f>
        <v>1500</v>
      </c>
      <c r="AI4887" s="47"/>
      <c r="AJ4887" s="47"/>
    </row>
    <row r="4888" spans="1:36">
      <c r="A4888" s="374" t="s">
        <v>7062</v>
      </c>
      <c r="B4888" s="374">
        <v>5</v>
      </c>
      <c r="C4888" s="374" t="s">
        <v>281</v>
      </c>
      <c r="D4888" s="375" t="str">
        <f t="shared" si="1090"/>
        <v>Yaringa5</v>
      </c>
      <c r="E4888" s="375" t="s">
        <v>7073</v>
      </c>
      <c r="F4888" s="375"/>
      <c r="G4888" s="375" t="s">
        <v>7064</v>
      </c>
      <c r="H4888" s="375" t="s">
        <v>7065</v>
      </c>
      <c r="I4888" s="63" t="s">
        <v>7066</v>
      </c>
      <c r="J4888" s="47">
        <f t="shared" si="1092"/>
        <v>3740</v>
      </c>
      <c r="K4888" s="46" t="s">
        <v>7938</v>
      </c>
      <c r="L4888" s="47">
        <f>L$7</f>
        <v>1210</v>
      </c>
      <c r="M4888" s="47" t="s">
        <v>7067</v>
      </c>
      <c r="N4888" s="47" t="s">
        <v>7068</v>
      </c>
      <c r="O4888" s="47" t="s">
        <v>7069</v>
      </c>
      <c r="P4888" s="47" t="s">
        <v>7070</v>
      </c>
      <c r="Q4888" s="47"/>
      <c r="R4888" s="47"/>
      <c r="S4888" s="47"/>
      <c r="T4888" s="47"/>
      <c r="U4888" s="47">
        <f t="shared" si="1093"/>
        <v>430</v>
      </c>
      <c r="V4888" s="47"/>
      <c r="W4888" s="47" t="s">
        <v>10433</v>
      </c>
      <c r="X4888" s="47">
        <v>3000</v>
      </c>
      <c r="Y4888" s="47"/>
      <c r="Z4888" s="47">
        <f t="shared" si="1091"/>
        <v>4620</v>
      </c>
      <c r="AA4888" s="47">
        <f>AA$7</f>
        <v>1400</v>
      </c>
      <c r="AB4888" s="47"/>
      <c r="AC4888" s="47"/>
      <c r="AD4888" s="47"/>
      <c r="AE4888" s="47"/>
      <c r="AF4888" s="47">
        <f t="shared" si="1094"/>
        <v>1485</v>
      </c>
      <c r="AG4888" s="47"/>
      <c r="AH4888" s="47">
        <f>IFERROR(_xlfn.XLOOKUP(Table6[[#This Row],[Suburb]],Table5[Travel Surcharge],Table5[$$]),"")</f>
        <v>1500</v>
      </c>
      <c r="AI4888" s="47"/>
      <c r="AJ4888" s="47"/>
    </row>
    <row r="4889" spans="1:36">
      <c r="A4889" s="374" t="s">
        <v>7062</v>
      </c>
      <c r="B4889" s="374">
        <v>6</v>
      </c>
      <c r="C4889" s="374" t="s">
        <v>281</v>
      </c>
      <c r="D4889" s="375" t="str">
        <f t="shared" si="1090"/>
        <v>Yaringa6</v>
      </c>
      <c r="E4889" s="375" t="s">
        <v>10230</v>
      </c>
      <c r="F4889" s="375"/>
      <c r="G4889" s="375" t="s">
        <v>7064</v>
      </c>
      <c r="H4889" s="375" t="s">
        <v>7065</v>
      </c>
      <c r="I4889" s="63" t="s">
        <v>7066</v>
      </c>
      <c r="J4889" s="47">
        <v>3740</v>
      </c>
      <c r="K4889" s="46" t="s">
        <v>7938</v>
      </c>
      <c r="L4889" s="47">
        <v>1210</v>
      </c>
      <c r="M4889" s="47" t="s">
        <v>7067</v>
      </c>
      <c r="N4889" s="47" t="s">
        <v>7068</v>
      </c>
      <c r="O4889" s="47" t="s">
        <v>7069</v>
      </c>
      <c r="P4889" s="47" t="s">
        <v>7070</v>
      </c>
      <c r="Q4889" s="47"/>
      <c r="R4889" s="47"/>
      <c r="S4889" s="47"/>
      <c r="T4889" s="47"/>
      <c r="U4889" s="47">
        <v>540</v>
      </c>
      <c r="V4889" s="47"/>
      <c r="W4889" s="47" t="s">
        <v>10433</v>
      </c>
      <c r="X4889" s="47">
        <v>3000</v>
      </c>
      <c r="Y4889" s="47"/>
      <c r="Z4889" s="47">
        <v>4620</v>
      </c>
      <c r="AA4889" s="47">
        <v>1400</v>
      </c>
      <c r="AB4889" s="47"/>
      <c r="AC4889" s="47"/>
      <c r="AD4889" s="47"/>
      <c r="AE4889" s="47"/>
      <c r="AF4889" s="47">
        <v>1485</v>
      </c>
      <c r="AG4889" s="47"/>
      <c r="AH4889" s="47">
        <v>1500</v>
      </c>
      <c r="AI4889" s="47"/>
      <c r="AJ4889" s="47"/>
    </row>
    <row r="4890" spans="1:36">
      <c r="A4890" s="374" t="s">
        <v>7062</v>
      </c>
      <c r="B4890" s="374">
        <v>7</v>
      </c>
      <c r="C4890" s="374" t="s">
        <v>281</v>
      </c>
      <c r="D4890" s="375" t="str">
        <f t="shared" si="1090"/>
        <v>Yaringa7</v>
      </c>
      <c r="E4890" s="375" t="s">
        <v>10775</v>
      </c>
      <c r="F4890" s="375"/>
      <c r="G4890" s="375" t="s">
        <v>7064</v>
      </c>
      <c r="H4890" s="375" t="s">
        <v>7065</v>
      </c>
      <c r="I4890" s="63" t="s">
        <v>7066</v>
      </c>
      <c r="J4890" s="47">
        <v>3740</v>
      </c>
      <c r="K4890" s="46" t="s">
        <v>7938</v>
      </c>
      <c r="L4890" s="47">
        <v>1210</v>
      </c>
      <c r="M4890" s="47" t="s">
        <v>7067</v>
      </c>
      <c r="N4890" s="47" t="s">
        <v>7068</v>
      </c>
      <c r="O4890" s="47" t="s">
        <v>7069</v>
      </c>
      <c r="P4890" s="47" t="s">
        <v>7070</v>
      </c>
      <c r="Q4890" s="47"/>
      <c r="R4890" s="47"/>
      <c r="S4890" s="47"/>
      <c r="T4890" s="47"/>
      <c r="U4890" s="47">
        <v>540</v>
      </c>
      <c r="V4890" s="47"/>
      <c r="W4890" s="47" t="s">
        <v>10433</v>
      </c>
      <c r="X4890" s="47">
        <v>3000</v>
      </c>
      <c r="Y4890" s="47"/>
      <c r="Z4890" s="47">
        <v>4620</v>
      </c>
      <c r="AA4890" s="47">
        <v>1400</v>
      </c>
      <c r="AB4890" s="47"/>
      <c r="AC4890" s="47"/>
      <c r="AD4890" s="47"/>
      <c r="AE4890" s="47"/>
      <c r="AF4890" s="47">
        <v>1485</v>
      </c>
      <c r="AG4890" s="47"/>
      <c r="AH4890" s="47">
        <v>1500</v>
      </c>
      <c r="AI4890" s="47"/>
      <c r="AJ4890" s="47"/>
    </row>
    <row r="4891" spans="1:36">
      <c r="A4891" s="374" t="s">
        <v>7074</v>
      </c>
      <c r="B4891" s="374">
        <v>10</v>
      </c>
      <c r="C4891" s="374" t="s">
        <v>282</v>
      </c>
      <c r="D4891" s="375" t="str">
        <f t="shared" si="1090"/>
        <v>Yorkdale Estate10</v>
      </c>
      <c r="E4891" s="375" t="s">
        <v>7075</v>
      </c>
      <c r="F4891" s="375" t="s">
        <v>7076</v>
      </c>
      <c r="G4891" s="375" t="s">
        <v>7077</v>
      </c>
      <c r="H4891" s="375" t="s">
        <v>7078</v>
      </c>
      <c r="I4891" s="63" t="s">
        <v>7079</v>
      </c>
      <c r="J4891" s="47"/>
      <c r="K4891" s="46" t="s">
        <v>10735</v>
      </c>
      <c r="L4891" s="47"/>
      <c r="M4891" s="47"/>
      <c r="N4891" s="47"/>
      <c r="O4891" s="47">
        <f t="shared" ref="O4891:O4899" si="1096">O$7</f>
        <v>4950</v>
      </c>
      <c r="P4891" s="47"/>
      <c r="Q4891" s="47"/>
      <c r="R4891" s="47"/>
      <c r="S4891" s="47">
        <f t="shared" ref="S4891:S4900" si="1097">S$2</f>
        <v>590</v>
      </c>
      <c r="T4891" s="47"/>
      <c r="U4891" s="47"/>
      <c r="V4891" s="47"/>
      <c r="W4891" s="47"/>
      <c r="X4891" s="47"/>
      <c r="Y4891" s="47"/>
      <c r="Z4891" s="47">
        <f t="shared" si="1091"/>
        <v>4620</v>
      </c>
      <c r="AA4891" s="47"/>
      <c r="AB4891" s="47"/>
      <c r="AC4891" s="47"/>
      <c r="AD4891" s="47"/>
      <c r="AE4891" s="47"/>
      <c r="AF4891" s="47"/>
      <c r="AG4891" s="47"/>
      <c r="AH4891" s="47">
        <f>IFERROR(_xlfn.XLOOKUP(Table6[[#This Row],[Suburb]],Table5[Travel Surcharge],Table5[$$]),"")</f>
        <v>8000</v>
      </c>
      <c r="AI4891" s="47"/>
      <c r="AJ4891" s="47">
        <f t="shared" ref="AJ4891:AJ4900" si="1098">AJ$7</f>
        <v>4400</v>
      </c>
    </row>
    <row r="4892" spans="1:36">
      <c r="A4892" s="374" t="s">
        <v>7074</v>
      </c>
      <c r="B4892" s="374">
        <v>14</v>
      </c>
      <c r="C4892" s="374" t="s">
        <v>282</v>
      </c>
      <c r="D4892" s="375" t="str">
        <f t="shared" si="1090"/>
        <v>Yorkdale Estate14</v>
      </c>
      <c r="E4892" s="375" t="s">
        <v>7080</v>
      </c>
      <c r="F4892" s="375" t="s">
        <v>7076</v>
      </c>
      <c r="G4892" s="375" t="s">
        <v>7077</v>
      </c>
      <c r="H4892" s="375" t="s">
        <v>7078</v>
      </c>
      <c r="I4892" s="63" t="s">
        <v>7079</v>
      </c>
      <c r="J4892" s="47"/>
      <c r="K4892" s="46" t="s">
        <v>10735</v>
      </c>
      <c r="L4892" s="47"/>
      <c r="M4892" s="47"/>
      <c r="N4892" s="47"/>
      <c r="O4892" s="47">
        <f t="shared" si="1096"/>
        <v>4950</v>
      </c>
      <c r="P4892" s="47"/>
      <c r="Q4892" s="47"/>
      <c r="R4892" s="47"/>
      <c r="S4892" s="47">
        <f t="shared" si="1097"/>
        <v>590</v>
      </c>
      <c r="T4892" s="47"/>
      <c r="U4892" s="47"/>
      <c r="V4892" s="47"/>
      <c r="W4892" s="47"/>
      <c r="X4892" s="47"/>
      <c r="Y4892" s="47"/>
      <c r="Z4892" s="47">
        <f t="shared" si="1091"/>
        <v>4620</v>
      </c>
      <c r="AA4892" s="47"/>
      <c r="AB4892" s="47"/>
      <c r="AC4892" s="47"/>
      <c r="AD4892" s="47"/>
      <c r="AE4892" s="47"/>
      <c r="AF4892" s="47"/>
      <c r="AG4892" s="47"/>
      <c r="AH4892" s="47">
        <f>IFERROR(_xlfn.XLOOKUP(Table6[[#This Row],[Suburb]],Table5[Travel Surcharge],Table5[$$]),"")</f>
        <v>8000</v>
      </c>
      <c r="AI4892" s="47"/>
      <c r="AJ4892" s="47">
        <f t="shared" si="1098"/>
        <v>4400</v>
      </c>
    </row>
    <row r="4893" spans="1:36">
      <c r="A4893" s="374" t="s">
        <v>7074</v>
      </c>
      <c r="B4893" s="374">
        <v>18</v>
      </c>
      <c r="C4893" s="374" t="s">
        <v>282</v>
      </c>
      <c r="D4893" s="375" t="str">
        <f t="shared" si="1090"/>
        <v>Yorkdale Estate18</v>
      </c>
      <c r="E4893" s="375" t="s">
        <v>7081</v>
      </c>
      <c r="F4893" s="375" t="s">
        <v>7076</v>
      </c>
      <c r="G4893" s="375" t="s">
        <v>7077</v>
      </c>
      <c r="H4893" s="375" t="s">
        <v>7078</v>
      </c>
      <c r="I4893" s="63" t="s">
        <v>7079</v>
      </c>
      <c r="J4893" s="47"/>
      <c r="K4893" s="46" t="s">
        <v>10735</v>
      </c>
      <c r="L4893" s="47"/>
      <c r="M4893" s="47"/>
      <c r="N4893" s="47"/>
      <c r="O4893" s="47">
        <f t="shared" si="1096"/>
        <v>4950</v>
      </c>
      <c r="P4893" s="47"/>
      <c r="Q4893" s="47"/>
      <c r="R4893" s="47"/>
      <c r="S4893" s="47">
        <f t="shared" si="1097"/>
        <v>590</v>
      </c>
      <c r="T4893" s="47"/>
      <c r="U4893" s="47"/>
      <c r="V4893" s="47"/>
      <c r="W4893" s="47"/>
      <c r="X4893" s="47"/>
      <c r="Y4893" s="47"/>
      <c r="Z4893" s="47">
        <f t="shared" si="1091"/>
        <v>4620</v>
      </c>
      <c r="AA4893" s="47"/>
      <c r="AB4893" s="47"/>
      <c r="AC4893" s="47"/>
      <c r="AD4893" s="47"/>
      <c r="AE4893" s="47"/>
      <c r="AF4893" s="47"/>
      <c r="AG4893" s="47"/>
      <c r="AH4893" s="47">
        <f>IFERROR(_xlfn.XLOOKUP(Table6[[#This Row],[Suburb]],Table5[Travel Surcharge],Table5[$$]),"")</f>
        <v>8000</v>
      </c>
      <c r="AI4893" s="47"/>
      <c r="AJ4893" s="47">
        <f t="shared" si="1098"/>
        <v>4400</v>
      </c>
    </row>
    <row r="4894" spans="1:36">
      <c r="A4894" s="374" t="s">
        <v>7074</v>
      </c>
      <c r="B4894" s="374">
        <v>19</v>
      </c>
      <c r="C4894" s="374" t="s">
        <v>282</v>
      </c>
      <c r="D4894" s="375" t="str">
        <f t="shared" si="1090"/>
        <v>Yorkdale Estate19</v>
      </c>
      <c r="E4894" s="375" t="s">
        <v>7082</v>
      </c>
      <c r="F4894" s="375" t="s">
        <v>7076</v>
      </c>
      <c r="G4894" s="375" t="s">
        <v>7077</v>
      </c>
      <c r="H4894" s="375" t="s">
        <v>7078</v>
      </c>
      <c r="I4894" s="63" t="s">
        <v>7079</v>
      </c>
      <c r="J4894" s="47"/>
      <c r="K4894" s="46" t="s">
        <v>10735</v>
      </c>
      <c r="L4894" s="47"/>
      <c r="M4894" s="47"/>
      <c r="N4894" s="47"/>
      <c r="O4894" s="47">
        <f t="shared" si="1096"/>
        <v>4950</v>
      </c>
      <c r="P4894" s="47"/>
      <c r="Q4894" s="47"/>
      <c r="R4894" s="47"/>
      <c r="S4894" s="47">
        <f t="shared" si="1097"/>
        <v>590</v>
      </c>
      <c r="T4894" s="47"/>
      <c r="U4894" s="47"/>
      <c r="V4894" s="47"/>
      <c r="W4894" s="47"/>
      <c r="X4894" s="47"/>
      <c r="Y4894" s="47"/>
      <c r="Z4894" s="47">
        <f t="shared" si="1091"/>
        <v>4620</v>
      </c>
      <c r="AA4894" s="47"/>
      <c r="AB4894" s="47"/>
      <c r="AC4894" s="47"/>
      <c r="AD4894" s="47"/>
      <c r="AE4894" s="47"/>
      <c r="AF4894" s="47"/>
      <c r="AG4894" s="47"/>
      <c r="AH4894" s="47">
        <f>IFERROR(_xlfn.XLOOKUP(Table6[[#This Row],[Suburb]],Table5[Travel Surcharge],Table5[$$]),"")</f>
        <v>8000</v>
      </c>
      <c r="AI4894" s="47"/>
      <c r="AJ4894" s="47">
        <f t="shared" si="1098"/>
        <v>4400</v>
      </c>
    </row>
    <row r="4895" spans="1:36">
      <c r="A4895" s="374" t="s">
        <v>7074</v>
      </c>
      <c r="B4895" s="374">
        <v>20</v>
      </c>
      <c r="C4895" s="374" t="s">
        <v>282</v>
      </c>
      <c r="D4895" s="375" t="str">
        <f t="shared" si="1090"/>
        <v>Yorkdale Estate20</v>
      </c>
      <c r="E4895" s="375" t="s">
        <v>7083</v>
      </c>
      <c r="F4895" s="375" t="s">
        <v>7076</v>
      </c>
      <c r="G4895" s="375" t="s">
        <v>7077</v>
      </c>
      <c r="H4895" s="375" t="s">
        <v>7078</v>
      </c>
      <c r="I4895" s="63" t="s">
        <v>7079</v>
      </c>
      <c r="J4895" s="47"/>
      <c r="K4895" s="46" t="s">
        <v>10735</v>
      </c>
      <c r="L4895" s="47"/>
      <c r="M4895" s="47"/>
      <c r="N4895" s="47"/>
      <c r="O4895" s="47">
        <f t="shared" si="1096"/>
        <v>4950</v>
      </c>
      <c r="P4895" s="47"/>
      <c r="Q4895" s="47"/>
      <c r="R4895" s="47"/>
      <c r="S4895" s="47">
        <f t="shared" si="1097"/>
        <v>590</v>
      </c>
      <c r="T4895" s="47"/>
      <c r="U4895" s="47"/>
      <c r="V4895" s="47"/>
      <c r="W4895" s="47"/>
      <c r="X4895" s="47"/>
      <c r="Y4895" s="47"/>
      <c r="Z4895" s="47">
        <f t="shared" si="1091"/>
        <v>4620</v>
      </c>
      <c r="AA4895" s="47"/>
      <c r="AB4895" s="47"/>
      <c r="AC4895" s="47"/>
      <c r="AD4895" s="47"/>
      <c r="AE4895" s="47"/>
      <c r="AF4895" s="47"/>
      <c r="AG4895" s="47"/>
      <c r="AH4895" s="47">
        <f>IFERROR(_xlfn.XLOOKUP(Table6[[#This Row],[Suburb]],Table5[Travel Surcharge],Table5[$$]),"")</f>
        <v>8000</v>
      </c>
      <c r="AI4895" s="47"/>
      <c r="AJ4895" s="47">
        <f t="shared" si="1098"/>
        <v>4400</v>
      </c>
    </row>
    <row r="4896" spans="1:36">
      <c r="A4896" s="374" t="s">
        <v>7074</v>
      </c>
      <c r="B4896" s="374">
        <v>21</v>
      </c>
      <c r="C4896" s="374" t="s">
        <v>282</v>
      </c>
      <c r="D4896" s="375" t="str">
        <f t="shared" si="1090"/>
        <v>Yorkdale Estate21</v>
      </c>
      <c r="E4896" s="375" t="s">
        <v>7084</v>
      </c>
      <c r="F4896" s="375" t="s">
        <v>7076</v>
      </c>
      <c r="G4896" s="375" t="s">
        <v>7077</v>
      </c>
      <c r="H4896" s="375" t="s">
        <v>7078</v>
      </c>
      <c r="I4896" s="63" t="s">
        <v>7079</v>
      </c>
      <c r="J4896" s="47"/>
      <c r="K4896" s="46" t="s">
        <v>10735</v>
      </c>
      <c r="L4896" s="47"/>
      <c r="M4896" s="47"/>
      <c r="N4896" s="47"/>
      <c r="O4896" s="47">
        <f t="shared" si="1096"/>
        <v>4950</v>
      </c>
      <c r="P4896" s="47"/>
      <c r="Q4896" s="47"/>
      <c r="R4896" s="47"/>
      <c r="S4896" s="47">
        <f t="shared" si="1097"/>
        <v>590</v>
      </c>
      <c r="T4896" s="47"/>
      <c r="U4896" s="47"/>
      <c r="V4896" s="47"/>
      <c r="W4896" s="47"/>
      <c r="X4896" s="47"/>
      <c r="Y4896" s="47"/>
      <c r="Z4896" s="47">
        <f t="shared" si="1091"/>
        <v>4620</v>
      </c>
      <c r="AA4896" s="47"/>
      <c r="AB4896" s="47"/>
      <c r="AC4896" s="47"/>
      <c r="AD4896" s="47"/>
      <c r="AE4896" s="47"/>
      <c r="AF4896" s="47"/>
      <c r="AG4896" s="47"/>
      <c r="AH4896" s="47">
        <f>IFERROR(_xlfn.XLOOKUP(Table6[[#This Row],[Suburb]],Table5[Travel Surcharge],Table5[$$]),"")</f>
        <v>8000</v>
      </c>
      <c r="AI4896" s="47"/>
      <c r="AJ4896" s="47">
        <f t="shared" si="1098"/>
        <v>4400</v>
      </c>
    </row>
    <row r="4897" spans="1:36">
      <c r="A4897" s="374" t="s">
        <v>7074</v>
      </c>
      <c r="B4897" s="374">
        <v>22</v>
      </c>
      <c r="C4897" s="374" t="s">
        <v>282</v>
      </c>
      <c r="D4897" s="375" t="str">
        <f t="shared" si="1090"/>
        <v>Yorkdale Estate22</v>
      </c>
      <c r="E4897" s="375" t="s">
        <v>7085</v>
      </c>
      <c r="F4897" s="375" t="s">
        <v>7076</v>
      </c>
      <c r="G4897" s="375" t="s">
        <v>7077</v>
      </c>
      <c r="H4897" s="375" t="s">
        <v>7078</v>
      </c>
      <c r="I4897" s="63" t="s">
        <v>7079</v>
      </c>
      <c r="J4897" s="47"/>
      <c r="K4897" s="46" t="s">
        <v>10735</v>
      </c>
      <c r="L4897" s="47"/>
      <c r="M4897" s="47"/>
      <c r="N4897" s="47"/>
      <c r="O4897" s="47">
        <f t="shared" si="1096"/>
        <v>4950</v>
      </c>
      <c r="P4897" s="47"/>
      <c r="Q4897" s="47"/>
      <c r="R4897" s="47"/>
      <c r="S4897" s="47">
        <f t="shared" si="1097"/>
        <v>590</v>
      </c>
      <c r="T4897" s="47"/>
      <c r="U4897" s="47"/>
      <c r="V4897" s="47"/>
      <c r="W4897" s="47"/>
      <c r="X4897" s="47"/>
      <c r="Y4897" s="47"/>
      <c r="Z4897" s="47">
        <f t="shared" si="1091"/>
        <v>4620</v>
      </c>
      <c r="AA4897" s="47"/>
      <c r="AB4897" s="47"/>
      <c r="AC4897" s="47"/>
      <c r="AD4897" s="47"/>
      <c r="AE4897" s="47"/>
      <c r="AF4897" s="47"/>
      <c r="AG4897" s="47"/>
      <c r="AH4897" s="47">
        <f>IFERROR(_xlfn.XLOOKUP(Table6[[#This Row],[Suburb]],Table5[Travel Surcharge],Table5[$$]),"")</f>
        <v>8000</v>
      </c>
      <c r="AI4897" s="47"/>
      <c r="AJ4897" s="47">
        <f t="shared" si="1098"/>
        <v>4400</v>
      </c>
    </row>
    <row r="4898" spans="1:36">
      <c r="A4898" s="374" t="s">
        <v>7074</v>
      </c>
      <c r="B4898" s="374">
        <v>23</v>
      </c>
      <c r="C4898" s="374" t="s">
        <v>282</v>
      </c>
      <c r="D4898" s="375" t="str">
        <f t="shared" si="1090"/>
        <v>Yorkdale Estate23</v>
      </c>
      <c r="E4898" s="375" t="s">
        <v>7086</v>
      </c>
      <c r="F4898" s="375" t="s">
        <v>7076</v>
      </c>
      <c r="G4898" s="375" t="s">
        <v>7077</v>
      </c>
      <c r="H4898" s="375" t="s">
        <v>7078</v>
      </c>
      <c r="I4898" s="63" t="s">
        <v>7079</v>
      </c>
      <c r="J4898" s="47"/>
      <c r="K4898" s="46" t="s">
        <v>10735</v>
      </c>
      <c r="L4898" s="47"/>
      <c r="M4898" s="47"/>
      <c r="N4898" s="47"/>
      <c r="O4898" s="47">
        <f t="shared" si="1096"/>
        <v>4950</v>
      </c>
      <c r="P4898" s="47"/>
      <c r="Q4898" s="47"/>
      <c r="R4898" s="47"/>
      <c r="S4898" s="47">
        <f t="shared" si="1097"/>
        <v>590</v>
      </c>
      <c r="T4898" s="47"/>
      <c r="U4898" s="47"/>
      <c r="V4898" s="47"/>
      <c r="W4898" s="47"/>
      <c r="X4898" s="47"/>
      <c r="Y4898" s="47"/>
      <c r="Z4898" s="47">
        <f t="shared" si="1091"/>
        <v>4620</v>
      </c>
      <c r="AA4898" s="47"/>
      <c r="AB4898" s="47"/>
      <c r="AC4898" s="47"/>
      <c r="AD4898" s="47"/>
      <c r="AE4898" s="47"/>
      <c r="AF4898" s="47"/>
      <c r="AG4898" s="47"/>
      <c r="AH4898" s="47">
        <f>IFERROR(_xlfn.XLOOKUP(Table6[[#This Row],[Suburb]],Table5[Travel Surcharge],Table5[$$]),"")</f>
        <v>8000</v>
      </c>
      <c r="AI4898" s="47"/>
      <c r="AJ4898" s="47">
        <f t="shared" si="1098"/>
        <v>4400</v>
      </c>
    </row>
    <row r="4899" spans="1:36">
      <c r="A4899" s="374" t="s">
        <v>7074</v>
      </c>
      <c r="B4899" s="374">
        <v>24</v>
      </c>
      <c r="C4899" s="374" t="s">
        <v>282</v>
      </c>
      <c r="D4899" s="375" t="str">
        <f t="shared" si="1090"/>
        <v>Yorkdale Estate24</v>
      </c>
      <c r="E4899" s="375" t="s">
        <v>7087</v>
      </c>
      <c r="F4899" s="375" t="s">
        <v>7076</v>
      </c>
      <c r="G4899" s="375" t="s">
        <v>7077</v>
      </c>
      <c r="H4899" s="375" t="s">
        <v>7078</v>
      </c>
      <c r="I4899" s="63" t="s">
        <v>7079</v>
      </c>
      <c r="J4899" s="47"/>
      <c r="K4899" s="46" t="s">
        <v>10735</v>
      </c>
      <c r="L4899" s="47"/>
      <c r="M4899" s="47"/>
      <c r="N4899" s="47"/>
      <c r="O4899" s="47">
        <f t="shared" si="1096"/>
        <v>4950</v>
      </c>
      <c r="P4899" s="47"/>
      <c r="Q4899" s="47"/>
      <c r="R4899" s="47"/>
      <c r="S4899" s="47">
        <f t="shared" si="1097"/>
        <v>590</v>
      </c>
      <c r="T4899" s="47"/>
      <c r="U4899" s="47"/>
      <c r="V4899" s="47"/>
      <c r="W4899" s="47"/>
      <c r="X4899" s="47"/>
      <c r="Y4899" s="47"/>
      <c r="Z4899" s="47">
        <f t="shared" si="1091"/>
        <v>4620</v>
      </c>
      <c r="AA4899" s="47"/>
      <c r="AB4899" s="47"/>
      <c r="AC4899" s="47"/>
      <c r="AD4899" s="47"/>
      <c r="AE4899" s="47"/>
      <c r="AF4899" s="47"/>
      <c r="AG4899" s="47"/>
      <c r="AH4899" s="47">
        <f>IFERROR(_xlfn.XLOOKUP(Table6[[#This Row],[Suburb]],Table5[Travel Surcharge],Table5[$$]),"")</f>
        <v>8000</v>
      </c>
      <c r="AI4899" s="47"/>
      <c r="AJ4899" s="47">
        <f t="shared" si="1098"/>
        <v>4400</v>
      </c>
    </row>
    <row r="4900" spans="1:36">
      <c r="A4900" s="374" t="s">
        <v>7074</v>
      </c>
      <c r="B4900" s="374">
        <v>25</v>
      </c>
      <c r="C4900" s="374" t="s">
        <v>282</v>
      </c>
      <c r="D4900" s="375" t="str">
        <f t="shared" si="1090"/>
        <v>Yorkdale Estate25</v>
      </c>
      <c r="E4900" s="375" t="s">
        <v>7088</v>
      </c>
      <c r="F4900" s="375" t="s">
        <v>7076</v>
      </c>
      <c r="G4900" s="375" t="s">
        <v>7077</v>
      </c>
      <c r="H4900" s="375" t="s">
        <v>7078</v>
      </c>
      <c r="I4900" s="63" t="s">
        <v>7079</v>
      </c>
      <c r="J4900" s="47"/>
      <c r="K4900" s="46" t="s">
        <v>10735</v>
      </c>
      <c r="L4900" s="47"/>
      <c r="M4900" s="47"/>
      <c r="N4900" s="47"/>
      <c r="O4900" s="47">
        <v>4950</v>
      </c>
      <c r="P4900" s="47"/>
      <c r="Q4900" s="47"/>
      <c r="R4900" s="47"/>
      <c r="S4900" s="47">
        <f t="shared" si="1097"/>
        <v>590</v>
      </c>
      <c r="T4900" s="47"/>
      <c r="U4900" s="47"/>
      <c r="V4900" s="47"/>
      <c r="W4900" s="47"/>
      <c r="X4900" s="47"/>
      <c r="Y4900" s="47"/>
      <c r="Z4900" s="47">
        <f t="shared" si="1091"/>
        <v>4620</v>
      </c>
      <c r="AA4900" s="47"/>
      <c r="AB4900" s="47"/>
      <c r="AC4900" s="47"/>
      <c r="AD4900" s="47"/>
      <c r="AE4900" s="47"/>
      <c r="AF4900" s="47"/>
      <c r="AG4900" s="47"/>
      <c r="AH4900" s="47">
        <f>IFERROR(_xlfn.XLOOKUP(Table6[[#This Row],[Suburb]],Table5[Travel Surcharge],Table5[$$]),"")</f>
        <v>8000</v>
      </c>
      <c r="AI4900" s="47"/>
      <c r="AJ4900" s="47">
        <f t="shared" si="1098"/>
        <v>4400</v>
      </c>
    </row>
    <row r="4901" spans="1:36">
      <c r="A4901" s="374" t="s">
        <v>9993</v>
      </c>
      <c r="B4901" s="374">
        <v>1</v>
      </c>
      <c r="C4901" s="374" t="s">
        <v>281</v>
      </c>
      <c r="D4901" s="375" t="str">
        <f>CONCATENATE(A4901,B4901)</f>
        <v>Zeal Estate1</v>
      </c>
      <c r="E4901" s="375" t="s">
        <v>9996</v>
      </c>
      <c r="F4901" s="375"/>
      <c r="G4901" s="375"/>
      <c r="H4901" s="375"/>
      <c r="I4901" s="63"/>
      <c r="J4901" s="47">
        <v>3740</v>
      </c>
      <c r="K4901" s="46" t="s">
        <v>10735</v>
      </c>
      <c r="L4901" s="47"/>
      <c r="M4901" s="47"/>
      <c r="N4901" s="47"/>
      <c r="O4901" s="47"/>
      <c r="P4901" s="47"/>
      <c r="Q4901" s="47">
        <v>0</v>
      </c>
      <c r="R4901" s="47" t="s">
        <v>9997</v>
      </c>
      <c r="S4901" s="47"/>
      <c r="T4901" s="47"/>
      <c r="U4901" s="47"/>
      <c r="V4901" s="47" t="s">
        <v>9994</v>
      </c>
      <c r="W4901" s="47"/>
      <c r="X4901" s="47"/>
      <c r="Y4901" s="47"/>
      <c r="Z4901" s="47">
        <f>Z$7</f>
        <v>4620</v>
      </c>
      <c r="AA4901" s="47"/>
      <c r="AB4901" s="47"/>
      <c r="AC4901" s="47"/>
      <c r="AD4901" s="47"/>
      <c r="AE4901" s="47"/>
      <c r="AF4901" s="47"/>
      <c r="AG4901" s="47"/>
      <c r="AH4901" s="47">
        <v>1500</v>
      </c>
      <c r="AI4901" s="47"/>
      <c r="AJ4901" s="47"/>
    </row>
    <row r="4902" spans="1:36">
      <c r="A4902" s="374" t="s">
        <v>9993</v>
      </c>
      <c r="B4902" s="374">
        <v>2</v>
      </c>
      <c r="C4902" s="374" t="s">
        <v>281</v>
      </c>
      <c r="D4902" s="375" t="str">
        <f>CONCATENATE(A4902,B4902)</f>
        <v>Zeal Estate2</v>
      </c>
      <c r="E4902" s="375" t="s">
        <v>9995</v>
      </c>
      <c r="F4902" s="375"/>
      <c r="G4902" s="375"/>
      <c r="H4902" s="375"/>
      <c r="I4902" s="63"/>
      <c r="J4902" s="47">
        <v>3740</v>
      </c>
      <c r="K4902" s="46" t="s">
        <v>10735</v>
      </c>
      <c r="L4902" s="47"/>
      <c r="M4902" s="47"/>
      <c r="N4902" s="47"/>
      <c r="O4902" s="47"/>
      <c r="P4902" s="47"/>
      <c r="Q4902" s="47">
        <v>0</v>
      </c>
      <c r="R4902" s="47" t="s">
        <v>9997</v>
      </c>
      <c r="S4902" s="47"/>
      <c r="T4902" s="47"/>
      <c r="U4902" s="47"/>
      <c r="V4902" s="47" t="s">
        <v>9994</v>
      </c>
      <c r="W4902" s="47"/>
      <c r="X4902" s="47"/>
      <c r="Y4902" s="47"/>
      <c r="Z4902" s="47">
        <v>4620</v>
      </c>
      <c r="AA4902" s="47"/>
      <c r="AB4902" s="47"/>
      <c r="AC4902" s="47"/>
      <c r="AD4902" s="47"/>
      <c r="AE4902" s="47"/>
      <c r="AF4902" s="47"/>
      <c r="AG4902" s="47"/>
      <c r="AH4902" s="47">
        <v>1500</v>
      </c>
      <c r="AI4902" s="47"/>
      <c r="AJ4902" s="47"/>
    </row>
    <row r="4903" spans="1:36">
      <c r="A4903" s="286"/>
      <c r="B4903" s="286"/>
      <c r="C4903" s="286"/>
      <c r="D4903" s="287"/>
      <c r="E4903" s="287"/>
      <c r="F4903" s="287"/>
      <c r="G4903" s="287"/>
      <c r="H4903" s="287"/>
      <c r="I4903" s="288"/>
      <c r="J4903" s="289"/>
      <c r="K4903" s="289"/>
      <c r="L4903" s="291"/>
      <c r="M4903" s="289"/>
      <c r="N4903" s="291"/>
      <c r="O4903" s="289"/>
      <c r="P4903" s="291"/>
      <c r="Q4903" s="289"/>
      <c r="R4903" s="289"/>
      <c r="S4903" s="289"/>
      <c r="T4903" s="289"/>
      <c r="U4903" s="289"/>
      <c r="V4903" s="289"/>
      <c r="W4903" s="289"/>
      <c r="X4903" s="289"/>
      <c r="Y4903" s="289"/>
      <c r="Z4903" s="289"/>
      <c r="AA4903" s="289"/>
      <c r="AB4903" s="289"/>
      <c r="AC4903" s="289"/>
      <c r="AD4903" s="289"/>
      <c r="AE4903" s="291"/>
      <c r="AF4903" s="289"/>
      <c r="AG4903" s="289"/>
      <c r="AH4903" s="289"/>
      <c r="AI4903" s="289"/>
      <c r="AJ4903" s="289"/>
    </row>
  </sheetData>
  <sheetProtection algorithmName="SHA-512" hashValue="IoWUbibtf3O/WtsPgC48sBTrgy2aW2/0lxVe+s0mxAvmgTp/InXBoF7psBeWkkLPu+z798TDvdjKgmlktaLdnA==" saltValue="2g0y+5MZGfmuD2+sTgdgtw==" spinCount="100000" sheet="1" objects="1" scenarios="1" formatRows="0" insertRows="0" deleteRows="0"/>
  <mergeCells count="4">
    <mergeCell ref="V1:W1"/>
    <mergeCell ref="X1:Y1"/>
    <mergeCell ref="Z1:AA1"/>
    <mergeCell ref="Q9:U9"/>
  </mergeCells>
  <phoneticPr fontId="2" type="noConversion"/>
  <hyperlinks>
    <hyperlink ref="I243" r:id="rId1" xr:uid="{896D72CB-0ECD-4EF4-B16F-45A15A25ABA9}"/>
    <hyperlink ref="I246" r:id="rId2" xr:uid="{0268B261-BE63-4858-B2E8-A9A3A80CBE80}"/>
    <hyperlink ref="I756" r:id="rId3" xr:uid="{7FBE4339-DC09-4E17-A87B-CC9AB3172444}"/>
    <hyperlink ref="I760" r:id="rId4" xr:uid="{4F4D2F89-2E59-49CB-A8C8-ABA8863711E0}"/>
    <hyperlink ref="I3598" r:id="rId5" xr:uid="{05C20536-E8B1-44A4-B464-8DB7A09299C4}"/>
    <hyperlink ref="I2319" r:id="rId6" xr:uid="{95A6B3B0-BAD8-433C-853B-C36403E8C835}"/>
    <hyperlink ref="I1747" r:id="rId7" xr:uid="{90697562-A681-400C-8432-E5D1CED9EC7F}"/>
    <hyperlink ref="I1847" r:id="rId8" xr:uid="{E306C883-0783-458F-94D9-34E31624D785}"/>
    <hyperlink ref="I2024" r:id="rId9" xr:uid="{2E299A7F-5B6A-4788-B068-EEC7A7FE67FB}"/>
    <hyperlink ref="I2025" r:id="rId10" xr:uid="{919D4A4F-52CE-460D-AC7B-BFCE3A661C4A}"/>
    <hyperlink ref="I2042" r:id="rId11" xr:uid="{E3953CE9-1E9D-40CD-882D-0E8054751FC8}"/>
    <hyperlink ref="I2077" r:id="rId12" xr:uid="{E3CCCD08-12D4-40C7-A375-54F5F6831B8B}"/>
    <hyperlink ref="I2171" r:id="rId13" xr:uid="{6AF495C1-2C54-4846-8997-BB04D846D96D}"/>
    <hyperlink ref="I2264" r:id="rId14" xr:uid="{777B1D96-1E5C-455E-828F-2022475D335A}"/>
    <hyperlink ref="I2265" r:id="rId15" xr:uid="{4E09D5E1-B501-4B82-B20C-4DF464D7F1F3}"/>
    <hyperlink ref="I2396" r:id="rId16" xr:uid="{E606C417-C670-4FB4-A633-3D3709DD75B1}"/>
    <hyperlink ref="I2483" r:id="rId17" xr:uid="{4D5868C7-502D-47E2-A295-FD36FDE31E37}"/>
    <hyperlink ref="I2486" r:id="rId18" xr:uid="{9A8BD948-5124-42A8-A848-8C7BA234CF85}"/>
    <hyperlink ref="I2753" r:id="rId19" xr:uid="{A8AD5974-F4C6-4011-94D0-1609EC5C557B}"/>
    <hyperlink ref="I2811" r:id="rId20" xr:uid="{A4F1A30D-27CA-4B07-BC6B-E86122AE0E5D}"/>
    <hyperlink ref="I4335" r:id="rId21" xr:uid="{F2C911DA-0C83-48EA-AF03-0A89FFD00379}"/>
    <hyperlink ref="I4336" r:id="rId22" xr:uid="{736864FD-26E7-4277-9346-0A5500C4FB2B}"/>
    <hyperlink ref="I4344" r:id="rId23" xr:uid="{03A5B32F-EDC6-4D7C-BBB0-F780E848DD78}"/>
    <hyperlink ref="I4554" r:id="rId24" xr:uid="{2631C37C-54B9-4B2F-85B4-97CFE22CEB32}"/>
    <hyperlink ref="I4555" r:id="rId25" xr:uid="{DB5D7B0D-05E8-4ACA-92F7-BBDEBD1CEEB8}"/>
    <hyperlink ref="I4556" r:id="rId26" xr:uid="{10B0B485-8906-4323-BB1B-3ED424B14F6D}"/>
    <hyperlink ref="I4557" r:id="rId27" xr:uid="{D42B8DD3-A24B-420E-BA4F-6A266F8A91F9}"/>
    <hyperlink ref="I4580" r:id="rId28" xr:uid="{6BFB37D6-E01F-4C9C-8B45-5715C5BC9EBA}"/>
    <hyperlink ref="I4625" r:id="rId29" xr:uid="{AF16CDEA-8735-4B7E-9271-F25EC38A7DA9}"/>
    <hyperlink ref="I2659" r:id="rId30" xr:uid="{0B650B12-1855-4AE1-9440-CECF0954067B}"/>
    <hyperlink ref="I2624" r:id="rId31" xr:uid="{92076F9F-65EB-4B36-8951-AF340D93B836}"/>
    <hyperlink ref="I1861" r:id="rId32" xr:uid="{D2C65C24-E2C9-40DC-9CFF-F53E1B934923}"/>
    <hyperlink ref="I4223" r:id="rId33" xr:uid="{492AF846-5D95-428C-B0D6-B60C2706FC94}"/>
    <hyperlink ref="I4585" r:id="rId34" xr:uid="{F95CEE3C-8CD7-437D-9F98-A65CFAAE35D3}"/>
    <hyperlink ref="I4586" r:id="rId35" xr:uid="{F674615D-0980-43F6-92F3-6470E57B4947}"/>
    <hyperlink ref="I1382" r:id="rId36" xr:uid="{0FE00DC0-1CD6-47B7-9233-18D0229C1876}"/>
    <hyperlink ref="I1953" r:id="rId37" xr:uid="{17C4D493-A399-4745-962C-57D49D1753D2}"/>
    <hyperlink ref="I1948" r:id="rId38" xr:uid="{3F99C383-6D6B-4FE2-A323-65EBADC024F5}"/>
    <hyperlink ref="I753" r:id="rId39" xr:uid="{8738B399-B6DB-4605-9CE9-31F3CE38EEDA}"/>
    <hyperlink ref="I4581" r:id="rId40" xr:uid="{E75EB456-0D0D-4015-A1B7-15E25B674D1E}"/>
    <hyperlink ref="I4582" r:id="rId41" xr:uid="{EB4213E8-2CE1-4CD8-9B69-8B8F4EA6E815}"/>
    <hyperlink ref="I4337" r:id="rId42" xr:uid="{0756C618-848C-4BB4-8769-AAA132A220E1}"/>
    <hyperlink ref="I2754" r:id="rId43" xr:uid="{C1857BA6-9F6E-4EF2-AC8F-D34860A29E94}"/>
    <hyperlink ref="I245" r:id="rId44" xr:uid="{96DDFA50-3F86-4607-91DF-2B1DBE41BBA1}"/>
    <hyperlink ref="I2320" r:id="rId45" xr:uid="{34498667-F4B2-4F91-88C1-7CC5A70572CA}"/>
    <hyperlink ref="I1713" r:id="rId46" xr:uid="{DB137345-671E-4520-AD25-0A2695F17A60}"/>
    <hyperlink ref="I1715" r:id="rId47" xr:uid="{3729BBAA-1C3A-42E5-A772-27B96AF93171}"/>
    <hyperlink ref="I2169" r:id="rId48" xr:uid="{F279C64E-3CE5-401E-BE89-CC8E62F20148}"/>
    <hyperlink ref="I2174" r:id="rId49" xr:uid="{C8B937C6-85C3-403B-87AB-3B84C1B8EC98}"/>
    <hyperlink ref="I1637" r:id="rId50" xr:uid="{19CDA792-CA33-4968-B74F-C6956A02F12C}"/>
    <hyperlink ref="I4058" r:id="rId51" xr:uid="{2F96F2AC-4E69-425B-AAA4-97D5FDB0B81D}"/>
    <hyperlink ref="I4057" r:id="rId52" xr:uid="{05536B74-56D5-415F-BBBC-B8D4D05C7335}"/>
    <hyperlink ref="I3711" r:id="rId53" xr:uid="{832AA294-D245-4415-B07C-32AEEEE23C0E}"/>
    <hyperlink ref="I3542" r:id="rId54" xr:uid="{3391CB16-A8A5-4B82-A271-81C4EB6A2A23}"/>
    <hyperlink ref="I2061" r:id="rId55" xr:uid="{E2C71B92-8ECE-4752-8C5C-7C620AF81102}"/>
    <hyperlink ref="I3703" r:id="rId56" xr:uid="{AC9463AE-C8AC-4B50-B62F-08180443A94E}"/>
    <hyperlink ref="I3702" r:id="rId57" xr:uid="{855926AE-868E-4FC7-96B5-A82483D03878}"/>
    <hyperlink ref="I2361" r:id="rId58" xr:uid="{C61279FD-45A8-4A88-9EE2-7950F0003437}"/>
    <hyperlink ref="I2362" r:id="rId59" xr:uid="{2E282C9B-AAFB-4031-9EA5-71AB47826908}"/>
    <hyperlink ref="I2585" r:id="rId60" xr:uid="{F4C085CF-5B2F-4173-8D82-A85217679D8B}"/>
    <hyperlink ref="I2582" r:id="rId61" xr:uid="{CF4E23FC-F91B-424E-A328-409B03AA7B92}"/>
    <hyperlink ref="I270" r:id="rId62" xr:uid="{B8E9A6FC-8889-4675-8CF1-C814DF644C49}"/>
    <hyperlink ref="I379" r:id="rId63" xr:uid="{40F7E399-04C7-4EFE-8D8A-05A2B7EB7BAC}"/>
    <hyperlink ref="I697" r:id="rId64" xr:uid="{F5C6A514-D026-42AA-ADB5-651E7CA30067}"/>
    <hyperlink ref="I2820" r:id="rId65" xr:uid="{DA4E46CE-A42F-46B9-947C-374C71C9B5C2}"/>
    <hyperlink ref="I2828" r:id="rId66" xr:uid="{A8D4B584-8FA6-4EB9-A3AF-3D82576108D9}"/>
    <hyperlink ref="I1582" r:id="rId67" xr:uid="{7F66A331-C23B-4198-B4D2-3D001CB19632}"/>
    <hyperlink ref="I4394" r:id="rId68" xr:uid="{C957FF20-7FB6-4DB2-BA57-1C970F92D619}"/>
    <hyperlink ref="I1949" r:id="rId69" xr:uid="{5715C688-76DE-4448-A578-0CAEE2647D71}"/>
    <hyperlink ref="I250" r:id="rId70" xr:uid="{10A6E020-8E7F-4C76-BD78-6F8A764B7923}"/>
    <hyperlink ref="I1630" r:id="rId71" xr:uid="{5C3D7473-68F3-41A5-A9EA-E8E32A2BC67C}"/>
    <hyperlink ref="I1483" r:id="rId72" xr:uid="{A55C9C7D-69BC-4B40-90A0-4011496EBBD7}"/>
    <hyperlink ref="I1484" r:id="rId73" xr:uid="{8758AEC9-97BE-463A-B968-11F9F2322CC2}"/>
    <hyperlink ref="I1495" r:id="rId74" xr:uid="{A0795314-EECC-45CF-951B-F0454C68F598}"/>
    <hyperlink ref="I3557" r:id="rId75" xr:uid="{328A9E12-E2CC-4C8C-80BD-440674F7E89E}"/>
    <hyperlink ref="I2060" r:id="rId76" xr:uid="{C001F3A4-5DDB-41EC-A220-0A7A541B08A6}"/>
    <hyperlink ref="I376" r:id="rId77" xr:uid="{C5A875F6-1DC5-494F-BE8F-FB6E6E819D4A}"/>
    <hyperlink ref="I1855" r:id="rId78" xr:uid="{379AC321-1CF7-4F93-B4A6-FD89F8023BE6}"/>
    <hyperlink ref="I377" r:id="rId79" xr:uid="{3A4EC770-539E-4E8E-997C-1C21AEE56AA6}"/>
    <hyperlink ref="I4225" r:id="rId80" xr:uid="{A1F80358-5804-485B-A7AE-0AFEA5D24D60}"/>
    <hyperlink ref="I90" r:id="rId81" xr:uid="{5C84A3C5-6937-410C-99E7-208A609B5F3E}"/>
    <hyperlink ref="I378" r:id="rId82" xr:uid="{86457A27-A34D-4104-A4E7-1C3DBC46E595}"/>
    <hyperlink ref="I1900" r:id="rId83" xr:uid="{403A8246-783E-4B1F-941B-A95A004035AB}"/>
    <hyperlink ref="I1894" r:id="rId84" xr:uid="{A4B42645-8A32-432B-8FE8-186F90FF3641}"/>
    <hyperlink ref="I1893" r:id="rId85" xr:uid="{A1C65D8E-3D42-4F24-82CB-34D4EC4B4046}"/>
    <hyperlink ref="I3740" r:id="rId86" xr:uid="{6924D0C5-7A33-44A2-B2C0-C17EDE93CA9F}"/>
    <hyperlink ref="I2818" r:id="rId87" xr:uid="{BE1B49C1-34DD-4F27-A6F5-05B3609BAF9B}"/>
    <hyperlink ref="I2493" r:id="rId88" xr:uid="{CE45E730-FC44-4B0E-B612-1127D1D947BC}"/>
    <hyperlink ref="I2492" r:id="rId89" xr:uid="{4048FE62-B06A-4B85-84EE-7E68CA0B30C9}"/>
    <hyperlink ref="I3560" r:id="rId90" xr:uid="{92A6F55C-653C-41B2-BAA4-03FE42F8E923}"/>
    <hyperlink ref="I4629" r:id="rId91" xr:uid="{3D4AE932-8030-4458-A0E0-E9F99A71861E}"/>
    <hyperlink ref="I2033" r:id="rId92" display="mailto:thuyen@bpg.com.au" xr:uid="{1CF13BBA-B5AC-404A-98E6-A1DEBC12992C}"/>
    <hyperlink ref="I2034" r:id="rId93" display="mailto:thuyen@bpg.com.au" xr:uid="{FC02ACD2-0F4B-4DC1-807D-97B03B6809DB}"/>
    <hyperlink ref="I3906" r:id="rId94" xr:uid="{23F0EEAC-0375-408E-A0D6-3E012B58E57D}"/>
    <hyperlink ref="I3909" r:id="rId95" xr:uid="{7BE42186-FDE4-4811-BCBB-BC17A885062F}"/>
    <hyperlink ref="I1856" r:id="rId96" xr:uid="{BAA88366-8137-498F-8ED2-642B171E1CF5}"/>
    <hyperlink ref="I2175" r:id="rId97" xr:uid="{A4DCD10F-73D7-4A92-B922-56B8CE2EF181}"/>
    <hyperlink ref="I2367" r:id="rId98" xr:uid="{59F6AE56-CA24-4985-9254-E498A7E34BBA}"/>
    <hyperlink ref="I822" r:id="rId99" xr:uid="{0F1728C3-D1F0-4355-8E11-E0A5E8D93E9C}"/>
    <hyperlink ref="I2363" r:id="rId100" xr:uid="{B7852171-0094-4DC4-A465-3AB0D81D0DBC}"/>
    <hyperlink ref="I2365" r:id="rId101" xr:uid="{DBC1646E-26C2-4BE3-AEDA-E25594B3A4DA}"/>
    <hyperlink ref="I1854" r:id="rId102" xr:uid="{EAA6D19F-8D29-4DDF-874C-7BA432E870F2}"/>
    <hyperlink ref="I762" r:id="rId103" xr:uid="{13A79A63-7320-4D17-BB91-CA661D16D7DA}"/>
    <hyperlink ref="I445" r:id="rId104" xr:uid="{0B888610-ACFB-4038-B4C8-C7D6721BEE77}"/>
    <hyperlink ref="I443" r:id="rId105" xr:uid="{6DC240A3-3213-45BF-A076-F84B068ACB78}"/>
    <hyperlink ref="I4237" r:id="rId106" xr:uid="{3114A52E-0A96-440F-B01A-D04A56555C19}"/>
    <hyperlink ref="I4239" r:id="rId107" xr:uid="{BF07956C-D000-47EF-96FE-CCB51A20EBC8}"/>
    <hyperlink ref="I3588" r:id="rId108" xr:uid="{A040169B-5FA3-4C57-9BEC-6B3F1287BF02}"/>
    <hyperlink ref="I4456" r:id="rId109" xr:uid="{FC262DF9-1CC3-4318-9884-296E28C5B55C}"/>
    <hyperlink ref="I2752" r:id="rId110" xr:uid="{A7D634AD-2DF1-4138-B2F7-EE752ADD23C7}"/>
    <hyperlink ref="I2676" r:id="rId111" xr:uid="{11EF9CD8-3199-4AAB-A31D-E07E4B368AFD}"/>
    <hyperlink ref="I2673" r:id="rId112" xr:uid="{19004803-B492-414E-AEFC-5EED0F6BD4D9}"/>
    <hyperlink ref="I2674" r:id="rId113" xr:uid="{3FF958CF-CC32-4ACC-8D28-D45D29DCEB13}"/>
    <hyperlink ref="I1848" r:id="rId114" xr:uid="{530733EE-C8EE-48C2-AC8C-931E7E4D9AEC}"/>
    <hyperlink ref="I4830" r:id="rId115" xr:uid="{44D8E820-D412-4B7E-8A16-A0034BDC6038}"/>
    <hyperlink ref="I4338" r:id="rId116" xr:uid="{5AB7A434-D1C5-49D7-AFFB-6513916ACD87}"/>
    <hyperlink ref="I301" r:id="rId117" xr:uid="{60EB38FD-7373-48A3-8290-4C27AC037667}"/>
    <hyperlink ref="I2038" r:id="rId118" xr:uid="{F63A3C2E-D204-4923-B489-537CAC8C4BC4}"/>
    <hyperlink ref="I2623" r:id="rId119" xr:uid="{A6CFFCC3-8AAB-414C-AACC-08CEA51A1D5E}"/>
    <hyperlink ref="I273" r:id="rId120" xr:uid="{B9253FD2-3F48-40FE-BA72-528E23AEB2A8}"/>
    <hyperlink ref="I269" r:id="rId121" xr:uid="{B5CAF887-128D-4A50-A07C-40526548C1D8}"/>
    <hyperlink ref="I4727" r:id="rId122" xr:uid="{8A900D32-4B7A-4656-B46C-FFD77CD74DA6}"/>
    <hyperlink ref="I1383" r:id="rId123" xr:uid="{AC14EC3F-0E87-4E37-9526-247BFC321FC7}"/>
    <hyperlink ref="I4703" r:id="rId124" xr:uid="{3969CE12-9CE1-4A2C-B1C2-831F7B8355EB}"/>
    <hyperlink ref="I1967" r:id="rId125" display="mailto:Janet.Skinner@peet.com.au" xr:uid="{6D96B687-92E3-4F14-911C-8C7CD4A049A4}"/>
    <hyperlink ref="I4287" r:id="rId126" xr:uid="{F78C72B6-F280-4D7B-8CFF-11C2EED2A0AC}"/>
    <hyperlink ref="I4284" r:id="rId127" xr:uid="{BC981F3F-BFF7-47FF-88DC-F3BB611ECF4B}"/>
    <hyperlink ref="I4707" r:id="rId128" xr:uid="{D8EFBECD-A98E-4C2A-80C9-9B9DA03CC459}"/>
    <hyperlink ref="I2172" r:id="rId129" xr:uid="{6448C434-73FA-4FA1-A1FC-4194E9EC7110}"/>
    <hyperlink ref="I2176" r:id="rId130" xr:uid="{3BDB0F06-E641-4513-A5EF-2A116E12CDA7}"/>
    <hyperlink ref="I300" r:id="rId131" xr:uid="{401945E7-8119-424B-8E53-A86B3F607728}"/>
    <hyperlink ref="I2755" r:id="rId132" xr:uid="{A63AE560-2CFE-40D3-8122-DD5E3194C032}"/>
    <hyperlink ref="I1746" r:id="rId133" xr:uid="{BA00C289-9BDC-463B-BC7F-BDBA9D1C749C}"/>
    <hyperlink ref="I3720" r:id="rId134" xr:uid="{A3F253FF-56FA-4162-AF22-D12CBE477053}"/>
    <hyperlink ref="I3908" r:id="rId135" xr:uid="{D73D91AE-79EA-4612-8EF5-5545AA4AE18A}"/>
    <hyperlink ref="I4588" r:id="rId136" xr:uid="{E56B735E-7118-4C59-A77E-C0B02A3B6AE2}"/>
    <hyperlink ref="I3345" r:id="rId137" xr:uid="{F435E6FE-522E-460C-ADB4-7A3279755ECF}"/>
    <hyperlink ref="I783" r:id="rId138" xr:uid="{067CFF9A-E2AE-47EA-954B-7AAE87BFADA0}"/>
    <hyperlink ref="I3938" r:id="rId139" xr:uid="{59D02EE3-5A43-4E69-9D6F-EF4EAB4D5768}"/>
    <hyperlink ref="I3939" r:id="rId140" xr:uid="{E29C7A10-5842-46F6-948B-4DDABB897851}"/>
    <hyperlink ref="I3940" r:id="rId141" xr:uid="{EC22C8EE-5650-4F06-ADEF-0DF148654FFC}"/>
    <hyperlink ref="I4059" r:id="rId142" xr:uid="{1CE542F6-B6C9-4143-99B2-5B5C1966DA04}"/>
    <hyperlink ref="I247" r:id="rId143" xr:uid="{F54798B9-41E6-4743-B5C8-45CFFDC4062F}"/>
    <hyperlink ref="I3727" r:id="rId144" xr:uid="{EB808ABB-6E6E-42B2-A0A2-BEBC252D5AB4}"/>
    <hyperlink ref="I4708" r:id="rId145" xr:uid="{188DF105-D760-4DDE-82F4-B43DBCA28FC9}"/>
    <hyperlink ref="I4709" r:id="rId146" xr:uid="{AB46E3B0-164D-465C-BA7B-551DE525B326}"/>
    <hyperlink ref="I1857" r:id="rId147" xr:uid="{5B0E0D73-8AC4-4369-98F9-FC34F0B93B8A}"/>
    <hyperlink ref="I781" r:id="rId148" xr:uid="{058F4646-0DB4-4744-A9D9-1BD59B2D77DF}"/>
    <hyperlink ref="I780" r:id="rId149" xr:uid="{395E9AD3-F4FE-462F-BB8A-DB2D14A169CE}"/>
    <hyperlink ref="I1297" r:id="rId150" xr:uid="{68BF0998-267A-4D96-8281-335F75448F68}"/>
    <hyperlink ref="I4408" r:id="rId151" xr:uid="{F176C390-C022-42BC-9CF9-6EC3753D3BEC}"/>
    <hyperlink ref="I696" r:id="rId152" xr:uid="{21F4B542-D1B1-446C-8D34-8AB3642CB6DD}"/>
    <hyperlink ref="I1966" r:id="rId153" display="mailto:Janet.Skinner@peet.com.au" xr:uid="{132AD21D-4E82-49E0-B3D0-94185D8A0756}"/>
    <hyperlink ref="I2513" r:id="rId154" xr:uid="{DC84825C-C078-441F-A1CD-9DD2142EBAD4}"/>
    <hyperlink ref="I2414" r:id="rId155" xr:uid="{A1BEF7BB-C393-499A-A5C1-7C5496AD3B98}"/>
    <hyperlink ref="I2407" r:id="rId156" xr:uid="{DE6868BE-ACF1-41F0-B4DC-AEF5712FAA3C}"/>
    <hyperlink ref="I529" r:id="rId157" xr:uid="{325068C5-2286-4ACF-B03F-09B46A665D7A}"/>
    <hyperlink ref="I532" r:id="rId158" xr:uid="{6D726157-F56D-4F87-9700-1E1EEE5A6B88}"/>
    <hyperlink ref="I557" r:id="rId159" xr:uid="{F2B6F4E2-28BC-4909-B7B7-E6BA4FF8D40B}"/>
    <hyperlink ref="I3543" r:id="rId160" xr:uid="{A18DABAF-1B9C-456C-B65A-6D4B1D4EAE6F}"/>
    <hyperlink ref="I2041" r:id="rId161" xr:uid="{42970EF4-0E2F-45D5-BAC0-0EB7F9179208}"/>
    <hyperlink ref="I3587" r:id="rId162" xr:uid="{70B6E800-F152-45A4-8FEB-961181F7218E}"/>
    <hyperlink ref="I4123" r:id="rId163" xr:uid="{7FDBC0CE-58C9-4609-AC31-C414FE76E1E4}"/>
    <hyperlink ref="I1714" r:id="rId164" xr:uid="{A778599B-0FFB-4956-9560-5BCC93ACEDF6}"/>
    <hyperlink ref="I2177" r:id="rId165" xr:uid="{22391EBC-8970-49E2-88A7-CF290E09A1E1}"/>
    <hyperlink ref="I1386" r:id="rId166" xr:uid="{BBF7E1A8-A66A-4994-A781-4009717E9649}"/>
    <hyperlink ref="I1407" r:id="rId167" display="mailto:Eliston@rpmrealestate.com.au" xr:uid="{D4B96858-F367-47E1-AF2E-13831BCB1EB9}"/>
    <hyperlink ref="I4090" r:id="rId168" xr:uid="{6808D8F5-5343-4AAC-99CA-C1128A6EC801}"/>
    <hyperlink ref="I198" r:id="rId169" xr:uid="{7A94A611-1796-4686-93D7-702E7F6D8996}"/>
    <hyperlink ref="I89" r:id="rId170" xr:uid="{C85BE2E2-0990-4AB2-A69D-A9A1036445D5}"/>
    <hyperlink ref="I3710" r:id="rId171" xr:uid="{81F0005D-3877-4821-8083-0A350AA6656D}"/>
    <hyperlink ref="I3595" r:id="rId172" xr:uid="{63BA9637-C34D-44C8-9E53-55B621CD7BCE}"/>
    <hyperlink ref="I750" r:id="rId173" xr:uid="{293D3A62-F4F9-4E48-A342-FD578AFAC0C5}"/>
    <hyperlink ref="I3905" r:id="rId174" xr:uid="{3B479F7B-B86A-4495-B0A9-21848843BB17}"/>
    <hyperlink ref="I1849" r:id="rId175" xr:uid="{812A3216-8C69-4195-A684-1C96FA61EAE2}"/>
    <hyperlink ref="I2406" r:id="rId176" xr:uid="{A14714B3-7C5E-4661-B5A2-AE76553EB342}"/>
    <hyperlink ref="I1384" r:id="rId177" xr:uid="{59161022-26F1-4BA6-89A4-1D0AA20A78C2}"/>
    <hyperlink ref="I1135" r:id="rId178" xr:uid="{3F77F684-70AF-42E3-B8F4-DAE1D2E1AF7A}"/>
    <hyperlink ref="I4389" r:id="rId179" xr:uid="{73E9D82B-9A97-439E-BDC2-87CCE9B26935}"/>
    <hyperlink ref="I709" r:id="rId180" xr:uid="{0BC69839-77D1-4C02-8DCD-AF431F803DD0}"/>
    <hyperlink ref="I1485" r:id="rId181" xr:uid="{5D538D17-E0D6-4E10-A253-ACCAEC8634CB}"/>
    <hyperlink ref="I1486" r:id="rId182" xr:uid="{5A7EC83F-C180-4AFB-A1A0-F47C838C2286}"/>
    <hyperlink ref="I4824" r:id="rId183" xr:uid="{D2A5E867-3211-4187-AE2D-A8B058B6C74B}"/>
    <hyperlink ref="I2808" r:id="rId184" xr:uid="{E7EE2013-07D1-4F99-9FC1-499C48DD7140}"/>
    <hyperlink ref="I4827" r:id="rId185" xr:uid="{C936F2F1-855C-4910-A449-379F5F378FB9}"/>
    <hyperlink ref="I3554" r:id="rId186" xr:uid="{CB54A954-97B6-4E1E-A78F-78F544227B45}"/>
    <hyperlink ref="I3904" r:id="rId187" xr:uid="{D25258D4-1DE8-4D9F-AEC5-24F6A66E2667}"/>
    <hyperlink ref="I978" r:id="rId188" xr:uid="{0EFC8FAC-0BAC-40FF-849C-F2584BC54D5A}"/>
    <hyperlink ref="I154" r:id="rId189" display="mailto:alira@rpmrealestate.com.au" xr:uid="{F6568218-4362-44FA-889C-14A98892E68C}"/>
    <hyperlink ref="I1877" r:id="rId190" xr:uid="{528259DB-C3E9-46CE-9209-7F3E1AF6586B}"/>
    <hyperlink ref="I2807" r:id="rId191" xr:uid="{2BA4543B-C66F-4FD7-9367-7DF2E907755F}"/>
    <hyperlink ref="I197" r:id="rId192" xr:uid="{2C9A3513-701C-49B2-A6CB-1C2C48623D13}"/>
    <hyperlink ref="I182" r:id="rId193" xr:uid="{103D88E3-4FFB-4EEB-AFF6-61C820BE7C82}"/>
    <hyperlink ref="I1858" r:id="rId194" xr:uid="{2F2F62BF-66E3-49E5-AE6A-EB0277961417}"/>
    <hyperlink ref="I4388" r:id="rId195" xr:uid="{453A612C-9F86-4A67-AAF2-DB7943388987}"/>
    <hyperlink ref="I3736" r:id="rId196" xr:uid="{9969915B-1337-4D14-B437-B455772BF784}"/>
    <hyperlink ref="I1283" r:id="rId197" display="n.harb@oliverhume.com.au" xr:uid="{590DF400-A751-4BA9-A394-90778DCF0BA3}"/>
    <hyperlink ref="I2180" r:id="rId198" xr:uid="{9A8547DE-36B4-474C-A89F-1B0AD085E68D}"/>
    <hyperlink ref="I3540" r:id="rId199" xr:uid="{E71E8F7F-FFF1-4E58-BE0B-C609E05A49D3}"/>
    <hyperlink ref="I4340" r:id="rId200" xr:uid="{F72CF198-9EF3-4DE4-9A34-C16F8277C2D7}"/>
    <hyperlink ref="I2821" r:id="rId201" xr:uid="{48BD3FEB-108F-4431-9348-68DC8DC1A7C5}"/>
    <hyperlink ref="I4311" r:id="rId202" xr:uid="{6DB03D46-E5F5-4350-9407-1BF3872DDD3E}"/>
    <hyperlink ref="I1896" r:id="rId203" xr:uid="{52EF684C-B9AE-4068-AA92-720AE6F2208A}"/>
    <hyperlink ref="I1897" r:id="rId204" xr:uid="{3540FD18-A4A4-4246-A56B-62312EC71020}"/>
    <hyperlink ref="I1898" r:id="rId205" xr:uid="{CADFAAC4-DD9F-4577-83A6-D931FD103C23}"/>
    <hyperlink ref="I2810" r:id="rId206" xr:uid="{2A59E4DA-2BB5-4ADB-960D-8D4205E6926B}"/>
    <hyperlink ref="I1453" r:id="rId207" display="mailto:sara.lowe@eigdevelopments.com.au" xr:uid="{F61E5AE8-6BAA-4E39-8217-87D583C5EF64}"/>
    <hyperlink ref="I1853" r:id="rId208" xr:uid="{C0E7D8EB-DE43-4A16-97B6-B4A919DC5E0F}"/>
    <hyperlink ref="I3951" r:id="rId209" xr:uid="{F240A8CA-8908-49B4-AFF4-9D40FBEDDCE3}"/>
    <hyperlink ref="I3954" r:id="rId210" xr:uid="{753AA2F8-6D1F-47CD-B5D2-2E368A184665}"/>
    <hyperlink ref="I3541" r:id="rId211" xr:uid="{B2491673-1392-45F3-AE64-8427BBC5DFC3}"/>
    <hyperlink ref="I763" r:id="rId212" xr:uid="{0B5666AA-BA6F-4157-8B45-68BF707B041B}"/>
    <hyperlink ref="I2408" r:id="rId213" xr:uid="{86C7190E-882D-4E61-BE28-93B57363057A}"/>
    <hyperlink ref="I4822" r:id="rId214" xr:uid="{E878B4C1-FB5D-40C6-ADBC-4E62A45D55D3}"/>
    <hyperlink ref="I4238" r:id="rId215" xr:uid="{FBA9C8AC-076E-4CD0-8DAA-99C3F571AF2D}"/>
    <hyperlink ref="I2366" r:id="rId216" xr:uid="{71AEF266-FDFB-4905-B8A8-A16506638E6E}"/>
    <hyperlink ref="I1290" r:id="rId217" xr:uid="{B436ED37-06A5-4CB7-BD99-57F161590C14}"/>
    <hyperlink ref="I1291" r:id="rId218" xr:uid="{1C0F8A28-98AA-498D-B457-D8EB43A6B5B1}"/>
    <hyperlink ref="I3960" r:id="rId219" display="mailto:stgermain@rpmrealestate.com.au" xr:uid="{BFD904D9-DE53-45DB-AC3A-587476BF8AD0}"/>
    <hyperlink ref="I2070" r:id="rId220" xr:uid="{CCC880EF-1D9B-4E67-A1E0-E7BFF612DEDC}"/>
    <hyperlink ref="I1950" r:id="rId221" xr:uid="{E0BFC0E9-D6BF-43FF-A0D2-E9A0A80538F3}"/>
    <hyperlink ref="I3950" r:id="rId222" xr:uid="{FBA51D86-8916-4B91-91D4-11448D9B10A0}"/>
    <hyperlink ref="I874" r:id="rId223" xr:uid="{EF1B7775-879C-4CBC-A23F-2144FEB3B56F}"/>
    <hyperlink ref="I875" r:id="rId224" xr:uid="{A74F6868-6747-4FCE-9F32-94F01E9FB166}"/>
    <hyperlink ref="I880" r:id="rId225" xr:uid="{9740E97E-F7A8-41A3-ABA9-2382EFAF1C3C}"/>
    <hyperlink ref="I4446" r:id="rId226" xr:uid="{2A728B4F-AD23-4084-9C74-1AF1257BED54}"/>
    <hyperlink ref="I2440" r:id="rId227" xr:uid="{E872F765-3B08-4220-A7D6-8C4D471FFFBE}"/>
    <hyperlink ref="I3919" r:id="rId228" xr:uid="{75EBC19F-5C1B-4B99-88C7-85F790728C53}"/>
    <hyperlink ref="I3920" r:id="rId229" xr:uid="{441640C2-074C-4684-B11F-EC93C4AC744D}"/>
    <hyperlink ref="I1488" r:id="rId230" xr:uid="{C1447DD0-358B-49D4-9B25-50A7B1D1C2AD}"/>
    <hyperlink ref="I4390" r:id="rId231" xr:uid="{C2386347-5270-4377-9929-4B573C228152}"/>
    <hyperlink ref="I1199" r:id="rId232" display="mailto:angelo.granata@peet.com.au" xr:uid="{0ADC6586-2A47-4042-92A0-A818ADC64483}"/>
    <hyperlink ref="I272" r:id="rId233" xr:uid="{00575DE1-7BB3-402F-9C50-9E555C4CE712}"/>
    <hyperlink ref="I299" r:id="rId234" xr:uid="{B3A626D2-691D-4EC2-8785-D5FDB2618FF5}"/>
    <hyperlink ref="I2825" r:id="rId235" xr:uid="{CAD85B35-2506-46F6-9C53-BF27453E4B3D}"/>
    <hyperlink ref="I761" r:id="rId236" xr:uid="{E869B5D3-469C-4C3B-8EEC-BA30A0C0E29B}"/>
    <hyperlink ref="I2409" r:id="rId237" xr:uid="{4180E396-11B1-45A1-99C0-1D5356E44A1B}"/>
    <hyperlink ref="I3597" r:id="rId238" xr:uid="{1525FFC3-E26E-434F-A233-6211A4E3A0F2}"/>
    <hyperlink ref="I1198" r:id="rId239" display="mailto:angelo.granata@peet.com.au" xr:uid="{8ACA2559-E3A9-45BB-9DD1-5C9AD1CE5118}"/>
    <hyperlink ref="I1123" r:id="rId240" xr:uid="{CFB5A896-4EC2-426B-96B8-2450B3755B79}"/>
    <hyperlink ref="I3539" r:id="rId241" xr:uid="{10B81324-075F-4057-AB50-52DBF2DFDCB9}"/>
    <hyperlink ref="I3952" r:id="rId242" xr:uid="{20D7079F-3EEC-475E-8142-D5146BB31AB2}"/>
    <hyperlink ref="I1712" r:id="rId243" xr:uid="{3F2DE8FF-15CC-4B88-988E-70AEE21AC9CD}"/>
    <hyperlink ref="I2614" r:id="rId244" xr:uid="{50C650DA-D3D5-4F55-9D9D-D3521C792EFB}"/>
    <hyperlink ref="I1043" r:id="rId245" xr:uid="{7D940994-3CE3-4810-AE89-CCC2B7BCF455}"/>
    <hyperlink ref="I244" r:id="rId246" xr:uid="{7A8771FE-D04D-42A1-966F-895D0EAFE617}"/>
    <hyperlink ref="I977" r:id="rId247" xr:uid="{9C36FED3-D043-4EBF-88EF-E7A6B7EF2EAD}"/>
    <hyperlink ref="I1122" r:id="rId248" xr:uid="{35E132D5-A19F-433F-8235-312DC01D5668}"/>
    <hyperlink ref="I4553" r:id="rId249" xr:uid="{C105F323-60D5-459D-9FB5-3ACB4D7726F2}"/>
    <hyperlink ref="I4341" r:id="rId250" xr:uid="{510439AB-D844-4F87-83F9-C47F57C6C91F}"/>
    <hyperlink ref="I1292" r:id="rId251" xr:uid="{4E8A173C-CFC8-4373-A4D2-16C18E4F4D75}"/>
    <hyperlink ref="I353" r:id="rId252" xr:uid="{19AE5C6E-08BA-46B2-A591-05BE07BAC0A1}"/>
    <hyperlink ref="I876" r:id="rId253" xr:uid="{E01F901B-7E04-46BB-9646-671E43835491}"/>
    <hyperlink ref="I3907" r:id="rId254" xr:uid="{22E0CD59-0B35-4067-859A-88F52B1BFA9F}"/>
    <hyperlink ref="I2058" r:id="rId255" xr:uid="{899D8931-8CD4-4932-A762-42B649916B46}"/>
    <hyperlink ref="I2321" r:id="rId256" xr:uid="{78AB9DFD-08B4-424A-AE94-D6B988C0B3EF}"/>
    <hyperlink ref="I352" r:id="rId257" xr:uid="{861096CF-1B29-454C-A2E5-37A66EE3048F}"/>
    <hyperlink ref="I348" r:id="rId258" xr:uid="{E5CAA332-CEE4-47D8-832B-4AD38A13FF06}"/>
    <hyperlink ref="I1452" r:id="rId259" display="mailto:sara.lowe@eigdevelopments.com.au" xr:uid="{65A20CA9-52C4-401A-90A0-609B5D82D951}"/>
    <hyperlink ref="I241" r:id="rId260" xr:uid="{CFBEC01E-54A8-4B3C-B0C9-066B50AC48E4}"/>
    <hyperlink ref="I975" r:id="rId261" xr:uid="{D2F07AC8-8F43-432A-8A6D-E5EEF14DAABB}"/>
    <hyperlink ref="I1859" r:id="rId262" xr:uid="{DF678B0D-0EB6-45EE-92F4-8A140867F3B1}"/>
    <hyperlink ref="I2826" r:id="rId263" xr:uid="{FA81446E-414A-4A54-BB7F-6C86E560E320}"/>
    <hyperlink ref="I530" r:id="rId264" xr:uid="{503C9DDA-08D0-48C0-82D6-57D039D22E3E}"/>
    <hyperlink ref="I4342" r:id="rId265" xr:uid="{ECB4E770-1CC3-40E5-AC22-7331D3FF6701}"/>
    <hyperlink ref="I1951" r:id="rId266" xr:uid="{3B1C1524-C2A9-471A-A2F3-DA0F0FF4C7B2}"/>
    <hyperlink ref="I3957" r:id="rId267" display="mailto:stgermain@rpmrealestate.com.au" xr:uid="{C837DF9A-8828-4D86-9A9A-75A85C401001}"/>
    <hyperlink ref="I4702" r:id="rId268" xr:uid="{CF83F04C-C6D3-4ADD-AE9F-C0857FB0E8BF}"/>
    <hyperlink ref="I4587" r:id="rId269" xr:uid="{C16DFE6E-B9EE-463A-A05D-6A656FD373C2}"/>
    <hyperlink ref="I3441" r:id="rId270" xr:uid="{82C6C79F-A732-42B8-A84B-345CDD971241}"/>
    <hyperlink ref="I1125" r:id="rId271" xr:uid="{BA2974E8-B225-4BB1-8EA9-962D6F0ED121}"/>
    <hyperlink ref="I3709" r:id="rId272" xr:uid="{0A8FE3CD-0C1A-46FE-B84E-6667B45C55B5}"/>
    <hyperlink ref="I751" r:id="rId273" xr:uid="{CF501E2C-DBD8-4858-8E1D-35D5CA09A205}"/>
    <hyperlink ref="I2806" r:id="rId274" xr:uid="{551546CD-6AD6-45B4-9C05-D2B364163A85}"/>
    <hyperlink ref="I3538" r:id="rId275" xr:uid="{DFF58BEB-2D48-48E5-888D-DCE90CFA55BA}"/>
    <hyperlink ref="I248" r:id="rId276" xr:uid="{9C2D06E1-2A67-4E55-B590-8E185B70E5CD}"/>
    <hyperlink ref="I1385" r:id="rId277" xr:uid="{D995D39A-FF15-484B-8CCA-B7A302204AF9}"/>
    <hyperlink ref="I1952" r:id="rId278" xr:uid="{1BAA1331-7341-4FAC-9196-C54A518DCA82}"/>
    <hyperlink ref="I708" r:id="rId279" xr:uid="{89C2524F-2EA8-4C90-A68C-66E0DA7120B3}"/>
    <hyperlink ref="I3953" r:id="rId280" xr:uid="{29A34EA9-0DC0-44D7-A2EC-537E91D881E2}"/>
    <hyperlink ref="I3547" r:id="rId281" xr:uid="{1A5FE297-A9FD-49EC-A373-4C1CC0B551B7}"/>
    <hyperlink ref="I2189" r:id="rId282" xr:uid="{EA3DB7C8-C678-4218-80E1-647B593BB841}"/>
    <hyperlink ref="I2179" r:id="rId283" xr:uid="{35051CE6-F6CC-4B53-B301-CF1E1A7CC988}"/>
    <hyperlink ref="I779" r:id="rId284" xr:uid="{AC1E028D-9728-4C17-AEAE-1283BB7BB7DE}"/>
    <hyperlink ref="I3465" r:id="rId285" xr:uid="{2C3A9C8D-7819-4C51-98BD-8926DE8ED636}"/>
    <hyperlink ref="I2472" r:id="rId286" xr:uid="{B36C915C-04DA-4B0E-9D54-181947CCFC2C}"/>
    <hyperlink ref="I1539" r:id="rId287" xr:uid="{3984062C-9F6C-4EE8-8548-65D45E4A8080}"/>
    <hyperlink ref="I1115" r:id="rId288" xr:uid="{BE512B15-CB17-4DCC-B0A6-05B44139F28D}"/>
    <hyperlink ref="I271" r:id="rId289" xr:uid="{F6D26DA9-51F7-47D0-B427-B17A62EE43F9}"/>
    <hyperlink ref="I176" r:id="rId290" display="mailto:Jason.Hynek@stockland.com.au" xr:uid="{919A69A9-FAF2-4FA2-A90B-15348EFC5F50}"/>
    <hyperlink ref="I1134" r:id="rId291" xr:uid="{3BA94630-6FE0-40C6-A441-FC37E71D8D60}"/>
    <hyperlink ref="I249" r:id="rId292" xr:uid="{4B5BCED5-8A5D-43C7-BEEF-56D017ADABBF}"/>
    <hyperlink ref="I1293" r:id="rId293" xr:uid="{1D12A0BB-5373-4C5E-B85B-80C2A6DA04F3}"/>
    <hyperlink ref="I3413" r:id="rId294" xr:uid="{4B921066-D623-4B36-A092-CF5A25A44D40}"/>
    <hyperlink ref="I1396" r:id="rId295" display="mailto:Eliston@rpmrealestate.com.au" xr:uid="{8B8553E9-9412-4C31-BD36-FA17EEA404F6}"/>
    <hyperlink ref="I292" r:id="rId296" xr:uid="{5E4E1E90-F0D7-4DEE-82E1-693F05481C5E}"/>
    <hyperlink ref="I4343" r:id="rId297" xr:uid="{C7C8154D-A9CB-43FE-8B1D-CE57D43FD9EC}"/>
    <hyperlink ref="I533" r:id="rId298" xr:uid="{7EA3B254-758A-4B66-BDE4-9F0DB4927A3F}"/>
    <hyperlink ref="I1118" r:id="rId299" xr:uid="{317E4B61-040E-4B1D-B540-495434484790}"/>
    <hyperlink ref="I1860" r:id="rId300" xr:uid="{3E1E1BEF-CC13-4C03-B28C-C58337A04FFE}"/>
    <hyperlink ref="I3601" r:id="rId301" xr:uid="{2F6AE9A2-9BF0-4153-9FC6-AD6DAEFE7010}"/>
    <hyperlink ref="I3942" r:id="rId302" xr:uid="{0192EEA9-ADC4-40F7-B025-0EC7514EB6CF}"/>
    <hyperlink ref="I4391" r:id="rId303" xr:uid="{D5E7A2EC-D4A8-4549-895E-D670960A89E8}"/>
    <hyperlink ref="I294" r:id="rId304" xr:uid="{541B486B-F716-4965-8FA7-300C94FE5812}"/>
    <hyperlink ref="I531" r:id="rId305" xr:uid="{DAA20AAD-C70D-470E-BCE5-D650D0A29E65}"/>
    <hyperlink ref="I3737" r:id="rId306" xr:uid="{618DBFF8-CC2B-4192-97A0-551BC2105D14}"/>
    <hyperlink ref="I2410" r:id="rId307" xr:uid="{DAA274EC-14A8-41C0-8187-3F97F1A2745E}"/>
    <hyperlink ref="I3592" r:id="rId308" xr:uid="{F30C882E-61A4-41CA-BE85-943EDBABDE07}"/>
    <hyperlink ref="I3512" r:id="rId309" xr:uid="{0184B33C-B3BC-4E79-A565-758D0EDCD084}"/>
    <hyperlink ref="I3593" r:id="rId310" xr:uid="{838BA65F-5E03-462A-8FC5-CAC9C6D17194}"/>
    <hyperlink ref="I1306" r:id="rId311" xr:uid="{3A88D839-C777-4322-873A-0C2AAABEEF50}"/>
    <hyperlink ref="I4704" r:id="rId312" xr:uid="{94F94310-9F9F-4AF7-BFA4-59448B4D3743}"/>
    <hyperlink ref="I146" r:id="rId313" display="mailto:alira@rpmrealestate.com.au" xr:uid="{ECDB86AA-5EED-4706-B5F7-F7AADA534AC8}"/>
    <hyperlink ref="I495" r:id="rId314" xr:uid="{2CAFE85E-FBDE-4F26-A3DC-59B6F677B0E2}"/>
    <hyperlink ref="I455" r:id="rId315" xr:uid="{1076A322-2666-422C-8F02-AF270E9F054A}"/>
    <hyperlink ref="I2812" r:id="rId316" xr:uid="{00F98414-DD61-43E8-A593-CCF84A52E81D}"/>
    <hyperlink ref="I4241" r:id="rId317" xr:uid="{A097500A-0C3F-477B-AADB-25F7B09DB10F}"/>
    <hyperlink ref="I4242" r:id="rId318" xr:uid="{E64B8DBB-808A-46BC-9D88-D4BDCAA3359C}"/>
    <hyperlink ref="I4244" r:id="rId319" xr:uid="{56E480CF-D1BB-4206-9ECB-239FF8AC7F36}"/>
    <hyperlink ref="I1222" r:id="rId320" display="mailto:angelo.granata@peet.com.au" xr:uid="{7EB6B496-31CC-4060-BA30-2B6E35430517}"/>
    <hyperlink ref="I752" r:id="rId321" xr:uid="{5B5C3C64-1F1C-4368-B274-9B2C52DB802D}"/>
    <hyperlink ref="I447" r:id="rId322" xr:uid="{4B959F2A-C806-46C6-8CEE-E1D35BDF886D}"/>
    <hyperlink ref="I1451" r:id="rId323" display="mailto:sara.lowe@eigdevelopments.com.au" xr:uid="{667176C8-777B-410F-A3F4-0E5DD056363D}"/>
    <hyperlink ref="I4128" r:id="rId324" xr:uid="{5E9C7F95-24EB-4002-8C9C-6692A29592A8}"/>
    <hyperlink ref="I4129" r:id="rId325" xr:uid="{C3DD95FF-59DA-41B0-A37F-138EF4484553}"/>
    <hyperlink ref="I4130" r:id="rId326" xr:uid="{4A5E8AF5-5482-44EB-B973-33579FFC07B3}"/>
    <hyperlink ref="I4131" r:id="rId327" xr:uid="{6B648DC5-80C3-487A-9A9E-052E8ECD604D}"/>
    <hyperlink ref="I2814" r:id="rId328" xr:uid="{461872CA-8AFD-4BD3-AE68-987ABF796C62}"/>
    <hyperlink ref="I3992" r:id="rId329" xr:uid="{DA66F9AF-7E5C-46B3-9C99-1654D55688D8}"/>
    <hyperlink ref="I3994" r:id="rId330" xr:uid="{17465F89-E76C-4AA2-B7D5-42BDFCB0B9B9}"/>
    <hyperlink ref="I2865" r:id="rId331" xr:uid="{78AB9A98-3E88-490C-8F39-F13133F7844C}"/>
    <hyperlink ref="I1899" r:id="rId332" xr:uid="{AD4CED09-E5E1-47DA-B3A3-115C170A1205}"/>
    <hyperlink ref="I2621" r:id="rId333" xr:uid="{58CA8F1B-E587-4503-B8B7-2BBE12C1C783}"/>
    <hyperlink ref="I4226" r:id="rId334" xr:uid="{7E8E1F71-BCCC-4E3C-8331-2FBDDF546DB3}"/>
    <hyperlink ref="I4227" r:id="rId335" xr:uid="{9E4E5F88-3EAE-4694-A15E-0E9497E35D0E}"/>
    <hyperlink ref="I3344" r:id="rId336" xr:uid="{C610D7F3-C73E-4E39-A55E-A63E40D7E60C}"/>
    <hyperlink ref="I3342" r:id="rId337" xr:uid="{13F7EBF8-2F6D-47D2-AA62-0A225B795D1B}"/>
    <hyperlink ref="I1954" r:id="rId338" xr:uid="{F05CF73B-FEB6-4A29-B0E2-BF567E2BAD01}"/>
    <hyperlink ref="I2322" r:id="rId339" xr:uid="{DBE7214A-2026-411B-944E-E4D213C81359}"/>
    <hyperlink ref="I1120" r:id="rId340" xr:uid="{91BD44D2-2106-48AF-B415-695C65BADCD1}"/>
    <hyperlink ref="I2815" r:id="rId341" xr:uid="{F2D1B4D1-F34A-4132-BC1E-B4E8C7E0ED2E}"/>
    <hyperlink ref="I1541" r:id="rId342" xr:uid="{E6C6DAD8-CCD9-4C2D-A2A4-C7D4CF0FB006}"/>
    <hyperlink ref="I3739" r:id="rId343" xr:uid="{4CF965D3-8AE5-4EC2-AE54-8E5FEDACF3B2}"/>
    <hyperlink ref="I4466" r:id="rId344" xr:uid="{0BDC4AC0-6AAB-4B45-A98E-416733D2FB52}"/>
    <hyperlink ref="I3902" r:id="rId345" xr:uid="{50A03861-2AC9-44E6-8614-48DEDBA6F7C3}"/>
    <hyperlink ref="I2173" r:id="rId346" xr:uid="{CA2501AB-E860-4A50-BAEF-9809538BFA8C}"/>
    <hyperlink ref="I699" r:id="rId347" xr:uid="{3687BA71-EA46-4543-B032-13C97FDC83A2}"/>
    <hyperlink ref="I979" r:id="rId348" xr:uid="{F18F412F-D639-4C70-A8EC-741B1E29F39F}"/>
    <hyperlink ref="I3961" r:id="rId349" display="mailto:stgermain@rpmrealestate.com.au" xr:uid="{71F2F996-A030-4E0C-8B37-8CEB8902AF53}"/>
    <hyperlink ref="I712" r:id="rId350" xr:uid="{815AF861-6D94-411F-BFAA-C453B4198EF9}"/>
    <hyperlink ref="I714" r:id="rId351" xr:uid="{5B664499-5641-4479-BE75-8D21C6A7CABA}"/>
    <hyperlink ref="I4061" r:id="rId352" xr:uid="{CE95B36C-7508-4696-AFBD-DC0294292E77}"/>
    <hyperlink ref="I4060" r:id="rId353" xr:uid="{A8E5CB61-C141-4CF1-A990-EF0E5D84EC73}"/>
    <hyperlink ref="I201" r:id="rId354" xr:uid="{1DFEFAE4-F505-40FD-9F9F-8858DBB17BDA}"/>
    <hyperlink ref="I199" r:id="rId355" xr:uid="{D210B41B-328D-4C9B-9D4E-D34C11FDC272}"/>
    <hyperlink ref="I988" r:id="rId356" xr:uid="{87DC9B60-A19E-43EE-9C97-DFC4E83FBAA7}"/>
    <hyperlink ref="I989" r:id="rId357" xr:uid="{6AB39240-8A3E-4F11-9AE6-F627EC7F6459}"/>
    <hyperlink ref="I2827" r:id="rId358" xr:uid="{942087D5-6C7E-47EE-9998-55845D91E7B6}"/>
    <hyperlink ref="I4345" r:id="rId359" xr:uid="{E7DD30E8-2115-4C66-AB3B-318E251AAC14}"/>
    <hyperlink ref="I1344" r:id="rId360" xr:uid="{392BFF0E-EF2A-456C-BCD1-B329191E4BCD}"/>
    <hyperlink ref="I4080" r:id="rId361" xr:uid="{1975F0D9-711D-43BA-A244-D951474234B1}"/>
    <hyperlink ref="I4081" r:id="rId362" xr:uid="{9EA0CED1-0F6F-489D-A69F-B0B83994492E}"/>
    <hyperlink ref="I4086" r:id="rId363" xr:uid="{77A1268B-9225-4432-BF5C-2E6993FA2B53}"/>
    <hyperlink ref="I2325" r:id="rId364" xr:uid="{DC8EF260-0E10-4BCC-999A-D66D0C793BAC}"/>
    <hyperlink ref="I2329" r:id="rId365" xr:uid="{8A0B59B6-4E8F-44C5-BCED-2AE3706B8357}"/>
    <hyperlink ref="I2043" r:id="rId366" xr:uid="{2F7AE53D-FE56-4626-B9C0-16FD26D8A18D}"/>
    <hyperlink ref="I535" r:id="rId367" xr:uid="{767423C9-DA04-4397-947A-85A761A66A65}"/>
    <hyperlink ref="I3955" r:id="rId368" xr:uid="{642C32D6-C8C6-4B1E-B9C2-517DCBEF38B8}"/>
    <hyperlink ref="I1863" r:id="rId369" xr:uid="{E408C063-C5FA-475E-9F04-42DAA995EE16}"/>
    <hyperlink ref="I2184" r:id="rId370" xr:uid="{4F933941-99A6-45D0-B53D-2A07584716C5}"/>
    <hyperlink ref="I3680" r:id="rId371" xr:uid="{5AE9C207-8A73-4038-BABE-E209E9872953}"/>
    <hyperlink ref="I3696" r:id="rId372" xr:uid="{6CAD8D34-0FF0-4190-B31C-F87B9348EACE}"/>
    <hyperlink ref="I2625" r:id="rId373" xr:uid="{081CFBAF-204F-4E53-9C2A-EC2A1C775287}"/>
    <hyperlink ref="I1902" r:id="rId374" xr:uid="{92151031-41B5-416F-A573-28F26CF6315D}"/>
    <hyperlink ref="I252" r:id="rId375" xr:uid="{862C98E9-791B-4323-9C06-78635D7C9E51}"/>
    <hyperlink ref="I3604" r:id="rId376" xr:uid="{EE645642-2182-47A0-83A8-0C2CEA0EA754}"/>
    <hyperlink ref="I3602" r:id="rId377" xr:uid="{2FC0F002-80F0-4804-9DF7-95C7C3A5053E}"/>
    <hyperlink ref="I534" r:id="rId378" xr:uid="{074E9D8C-48E8-4E1E-9565-24A7A7740D51}"/>
    <hyperlink ref="I711" r:id="rId379" xr:uid="{ACB55ABB-36DD-45A5-81E8-6E078AD4D8E5}"/>
    <hyperlink ref="I713" r:id="rId380" xr:uid="{6578E1BF-025E-43E3-98FC-B71A66AB0FA5}"/>
    <hyperlink ref="I2324" r:id="rId381" xr:uid="{208793EB-008B-4029-940F-1C7747684F51}"/>
    <hyperlink ref="I767" r:id="rId382" xr:uid="{FA5B1938-ABF9-45E6-97FF-DE842B17FC29}"/>
    <hyperlink ref="I769" r:id="rId383" xr:uid="{A1F63C44-4DE4-4366-8730-A2D2F52EB367}"/>
    <hyperlink ref="I4384" r:id="rId384" xr:uid="{F71E8BF7-651D-453C-887F-0DC674AE647D}"/>
    <hyperlink ref="I4132" r:id="rId385" xr:uid="{C9FE0711-FD84-46E2-A679-8417C5CC73C8}"/>
    <hyperlink ref="I4093" r:id="rId386" xr:uid="{C5EBD74C-486C-4072-83B9-6C68EA2B972E}"/>
    <hyperlink ref="I2411" r:id="rId387" xr:uid="{0562E736-905B-4A02-AB16-595BFA978C4C}"/>
    <hyperlink ref="I3549" r:id="rId388" xr:uid="{C1489CC2-B4CA-4751-96AF-F33CFB174963}"/>
    <hyperlink ref="I2678" r:id="rId389" xr:uid="{6A2D6EF4-AB65-4044-BE79-832FD49D6A33}"/>
    <hyperlink ref="I2397" r:id="rId390" xr:uid="{9A54EFF3-F4DA-4F16-AD84-314AED89D738}"/>
    <hyperlink ref="I4064" r:id="rId391" xr:uid="{DD8475DA-A8A7-4243-A832-8685D93A6C5A}"/>
    <hyperlink ref="I4032" r:id="rId392" xr:uid="{2B176254-3184-4350-9E52-D1570F570C32}"/>
    <hyperlink ref="I749" r:id="rId393" xr:uid="{A536D356-7645-42CD-936C-C3381C81D39F}"/>
    <hyperlink ref="I716" r:id="rId394" xr:uid="{26C3B9C1-41A9-467D-B64F-F23EFFFCB4B4}"/>
    <hyperlink ref="I717" r:id="rId395" xr:uid="{B4729E2B-E5D9-4C27-8D3C-255DDDBAAEF6}"/>
    <hyperlink ref="I4392" r:id="rId396" xr:uid="{69A2C8F9-61AD-4157-B7E4-78BB4B3E0598}"/>
    <hyperlink ref="I2809" r:id="rId397" xr:uid="{0C96FDED-C192-493F-A8DF-1E4051E8BAF9}"/>
    <hyperlink ref="I2393" r:id="rId398" xr:uid="{785D6F5F-9BB7-4C94-AC83-EFCDE6301AA8}"/>
    <hyperlink ref="I3596" r:id="rId399" xr:uid="{7AEB7D69-5D76-4EAA-9B74-21C88B3036AA}"/>
    <hyperlink ref="I755" r:id="rId400" xr:uid="{5D1AAB1F-3530-4416-B1E3-CA0D285A08C0}"/>
    <hyperlink ref="I442" r:id="rId401" xr:uid="{D97B19A3-9BED-479B-8AEC-C9A4B88D8FBC}"/>
    <hyperlink ref="I214" r:id="rId402" xr:uid="{19DB1BB0-ACB4-4CD9-8FDE-AA02916A4FA0}"/>
    <hyperlink ref="I204" r:id="rId403" xr:uid="{89673A6A-D870-42A8-948A-20180ABE4A37}"/>
    <hyperlink ref="I179" r:id="rId404" display="mailto:Jason.Hynek@stockland.com.au" xr:uid="{EEF2060D-5C1A-4B01-949C-B53A214E590B}"/>
    <hyperlink ref="I1983" r:id="rId405" xr:uid="{EB9207C8-6511-416F-9953-116D8A8777D8}"/>
    <hyperlink ref="I1984" r:id="rId406" xr:uid="{409885C2-063A-4A8B-B4D0-B2BE21E9C9B8}"/>
    <hyperlink ref="I1455" r:id="rId407" display="mailto:sara.lowe@eigdevelopments.com.au" xr:uid="{2B63C1BA-8AD2-4D56-BFE8-5513B88CC298}"/>
    <hyperlink ref="I178" r:id="rId408" display="mailto:Jason.Hynek@stockland.com.au" xr:uid="{D42437EB-3E6A-4D98-BE59-AA90C6BE7329}"/>
    <hyperlink ref="I4393" r:id="rId409" xr:uid="{66820752-0989-4B85-8C31-5BAE3B87D5E0}"/>
    <hyperlink ref="I4396" r:id="rId410" xr:uid="{5E40833E-23E4-403F-A4A2-6300F691F09D}"/>
    <hyperlink ref="I1878" r:id="rId411" xr:uid="{7BD3B569-1CC6-400F-84D2-73E5D6AA3EB9}"/>
    <hyperlink ref="I3705" r:id="rId412" xr:uid="{DED868D8-034A-4ACF-A964-9BD76AA891E7}"/>
    <hyperlink ref="I310" r:id="rId413" xr:uid="{69A4CD20-F060-4EA0-96BA-834E0CCADCF4}"/>
    <hyperlink ref="I2586" r:id="rId414" xr:uid="{7D5C5DFB-8BFF-4105-97C2-1E00C91B3FC2}"/>
    <hyperlink ref="I1456" r:id="rId415" display="mailto:sara.lowe@eigdevelopments.com.au" xr:uid="{EB0CA41C-6CA6-4928-8C5F-641C8085EFBF}"/>
    <hyperlink ref="I764" r:id="rId416" xr:uid="{845BD65F-5D86-49AF-A2D5-0E2CFC62F4FA}"/>
    <hyperlink ref="I2813" r:id="rId417" xr:uid="{A48085F4-6FDC-4055-AAA7-2645D5BE9BF2}"/>
    <hyperlink ref="I458" r:id="rId418" xr:uid="{73056831-397A-428A-A9AA-6301146E29D3}"/>
    <hyperlink ref="I465" r:id="rId419" xr:uid="{7A2F066D-35EB-4BD0-A44D-3815FEA99EA3}"/>
    <hyperlink ref="I924" r:id="rId420" xr:uid="{FF61103F-FBF2-4D14-AF51-CF41A303F203}"/>
    <hyperlink ref="I1310" r:id="rId421" xr:uid="{3FB40648-C1A9-4CF5-9291-F17BD005567D}"/>
    <hyperlink ref="I1309" r:id="rId422" xr:uid="{FF1BC576-DA79-4001-8355-D498E440180A}"/>
    <hyperlink ref="I1307" r:id="rId423" xr:uid="{2310F4C6-D288-4BCF-A77B-1A92815F78D2}"/>
    <hyperlink ref="I2364" r:id="rId424" xr:uid="{3AF02773-3BCB-410C-AE20-12C159F00494}"/>
    <hyperlink ref="I2398" r:id="rId425" xr:uid="{E1DA68DA-32D6-418C-902C-BD2B9E6B2D90}"/>
    <hyperlink ref="I3963" r:id="rId426" display="mailto:stgermain@rpmrealestate.com.au" xr:uid="{264824C4-0CE9-4E06-8916-5D54D9ED27F6}"/>
    <hyperlink ref="I2062" r:id="rId427" xr:uid="{0EC35FA5-4854-4927-BCA6-A1E7E98B386D}"/>
    <hyperlink ref="I1955" r:id="rId428" xr:uid="{8B168395-C984-4CAE-A586-FE1C5042B797}"/>
    <hyperlink ref="I1895" r:id="rId429" xr:uid="{16A94318-1E21-4AE1-AA35-997A1887C709}"/>
    <hyperlink ref="I1901" r:id="rId430" xr:uid="{6C70C2FF-98E6-417A-B705-9EFE4C9D290E}"/>
    <hyperlink ref="I2437" r:id="rId431" xr:uid="{FA6C156E-71EE-444A-A736-B3CBD9BD1586}"/>
    <hyperlink ref="I1969" r:id="rId432" display="mailto:Janet.Skinner@peet.com.au" xr:uid="{1113EB0B-093D-4C7A-9135-531815A0899C}"/>
    <hyperlink ref="I4379" r:id="rId433" xr:uid="{F516E2FA-C7B2-4331-AC0E-F36F15EF6C97}"/>
    <hyperlink ref="I4346" r:id="rId434" xr:uid="{C656BE9F-2957-4E81-B731-799BF237936D}"/>
    <hyperlink ref="I1308" r:id="rId435" xr:uid="{52DAFF79-79C4-470A-9D12-C8A0AB9D3263}"/>
    <hyperlink ref="I2439" r:id="rId436" xr:uid="{406DEB4A-5E18-4EE9-982C-924B947A13D9}"/>
    <hyperlink ref="I1903" r:id="rId437" xr:uid="{44D42ECD-5CA6-40DA-BD8F-CC9F23361F6D}"/>
    <hyperlink ref="I448" r:id="rId438" xr:uid="{F867A1B7-0B09-4EE8-BE30-7D525C578178}"/>
    <hyperlink ref="I347" r:id="rId439" xr:uid="{1FC01C90-6784-47FE-B72A-4F287F3B8A6D}"/>
    <hyperlink ref="I536" r:id="rId440" xr:uid="{ED6DCB1A-DCB2-48FF-A3B0-8F132DE6E4DB}"/>
    <hyperlink ref="I537" r:id="rId441" xr:uid="{1D39FCFE-3F99-499B-92A8-48C1AD4E26A7}"/>
    <hyperlink ref="I3529" r:id="rId442" xr:uid="{B8229E48-102D-4B1C-B7DD-3F3AC7EF30F2}"/>
    <hyperlink ref="I2368" r:id="rId443" xr:uid="{B66A9960-6960-44AF-8F06-7EFF06A48C8C}"/>
    <hyperlink ref="I4339" r:id="rId444" xr:uid="{756475F3-C5C1-417B-9681-7D95DF516716}"/>
    <hyperlink ref="I2436" r:id="rId445" xr:uid="{E745B04F-6329-4917-93A5-BA5EF55F5D2D}"/>
    <hyperlink ref="I1345" r:id="rId446" xr:uid="{3D2BA27E-BF51-4B47-9C16-BF558760C8DE}"/>
    <hyperlink ref="I3011" r:id="rId447" xr:uid="{DBFFC0F9-7E6A-4DC5-A62E-663A3807BF9F}"/>
    <hyperlink ref="I2349" r:id="rId448" xr:uid="{90C7C34D-C39F-472C-ABB6-F9DCCD1913C3}"/>
    <hyperlink ref="I3818" r:id="rId449" xr:uid="{A0E7472C-ADC3-4B5F-9A1C-A81F02997CC9}"/>
    <hyperlink ref="I715" r:id="rId450" xr:uid="{2F23B557-ECD1-4E5D-A50E-B6E491B16951}"/>
    <hyperlink ref="I1203" r:id="rId451" display="mailto:angelo.granata@peet.com.au" xr:uid="{458E096E-2B73-4321-AB4F-2568878EBDED}"/>
    <hyperlink ref="I1876" r:id="rId452" xr:uid="{8F9F710E-9B99-4D55-9C19-DED7C3D5630D}"/>
    <hyperlink ref="I295" r:id="rId453" xr:uid="{8588550B-1B54-4FD0-84B3-692A7292E61F}"/>
    <hyperlink ref="I1635" r:id="rId454" xr:uid="{453779DE-0510-47A3-9E9E-4E4E106C1A49}"/>
    <hyperlink ref="I1151" r:id="rId455" xr:uid="{543E0D70-595F-4CC2-BB0E-9B251BAA7BB4}"/>
    <hyperlink ref="I4398" r:id="rId456" xr:uid="{58AA1131-FAA1-4CF3-B982-753F12978864}"/>
    <hyperlink ref="I4828" r:id="rId457" xr:uid="{2F133372-D50A-43B3-9F79-9D3F7EB4378A}"/>
    <hyperlink ref="I1359" r:id="rId458" xr:uid="{3E5E5CA2-F173-42DA-BD43-81CBBC56CBAF}"/>
    <hyperlink ref="I449" r:id="rId459" xr:uid="{DD9CD9BD-0528-48B1-80F5-6D6F53AD3DC7}"/>
    <hyperlink ref="I418" r:id="rId460" xr:uid="{D15ADD01-56EE-476A-88B9-18D2231AC4A6}"/>
    <hyperlink ref="I4062" r:id="rId461" xr:uid="{13D2A627-4C15-44E4-83BB-9A58B7D9A170}"/>
    <hyperlink ref="I2829" r:id="rId462" xr:uid="{22E925D0-548B-40AD-AA91-E6A7741B05F4}"/>
    <hyperlink ref="I1862" r:id="rId463" xr:uid="{52C27221-995C-421D-9580-32FE11527E4B}"/>
    <hyperlink ref="I2040" r:id="rId464" xr:uid="{388D02C8-C2E7-4A61-A538-5F8785CC8048}"/>
    <hyperlink ref="I541" r:id="rId465" xr:uid="{A6A0FC16-6334-44AB-82BC-52F9359A1020}"/>
    <hyperlink ref="I4589" r:id="rId466" xr:uid="{94F9472A-F54B-45D1-9947-C206AC0E59F8}"/>
    <hyperlink ref="I4417" r:id="rId467" xr:uid="{CFA4BE74-BFB9-48CE-8014-418EC7F379B1}"/>
    <hyperlink ref="I2453" r:id="rId468" xr:uid="{0F5E9BA1-3760-4F71-8A8C-B11E23857EFE}"/>
    <hyperlink ref="I1430" r:id="rId469" xr:uid="{3859F0D9-62E7-4730-A172-C626A6667D39}"/>
    <hyperlink ref="I539" r:id="rId470" xr:uid="{3461325E-847B-4B54-985C-2F52D68F4F3B}"/>
    <hyperlink ref="I200" r:id="rId471" xr:uid="{6F761DD7-013E-421F-94F6-97D8BD1285B6}"/>
    <hyperlink ref="I4098" r:id="rId472" xr:uid="{88F06F25-5543-425C-BDD9-5D23B58C6FFB}"/>
    <hyperlink ref="I720" r:id="rId473" xr:uid="{892F6A67-AFE5-4237-9863-B3C26F726366}"/>
    <hyperlink ref="I1406" r:id="rId474" display="mailto:Eliston@rpmrealestate.com.au" xr:uid="{16A00446-E16C-41BD-B9C0-2D3D7F2363D1}"/>
    <hyperlink ref="I1638" r:id="rId475" xr:uid="{455604A2-6F94-446E-B9A1-8B31576C517E}"/>
    <hyperlink ref="I1204" r:id="rId476" display="mailto:angelo.granata@peet.com.au" xr:uid="{5C5554B0-C4CF-496A-9A03-FDB7A21AE89A}"/>
    <hyperlink ref="I196" r:id="rId477" xr:uid="{2EFB2033-1CF7-4440-B875-AFFC5CEF6E77}"/>
    <hyperlink ref="I4243" r:id="rId478" xr:uid="{61A5FD93-DE0B-408C-9C90-E6CB29326BF7}"/>
    <hyperlink ref="I275" r:id="rId479" xr:uid="{9D0DDCB5-27C9-4E31-9C77-F35D0669A597}"/>
    <hyperlink ref="I177" r:id="rId480" display="mailto:Jason.Hynek@stockland.com.au" xr:uid="{BB04620F-43F7-41B0-896E-3E342312DC94}"/>
    <hyperlink ref="I718" r:id="rId481" xr:uid="{2FAD4404-5046-4FC4-A78A-A112EE590583}"/>
    <hyperlink ref="I3483" r:id="rId482" xr:uid="{4550356B-95EA-4883-81D0-7CB1E527FBD3}"/>
    <hyperlink ref="I4096" r:id="rId483" xr:uid="{F1086FD7-3BFB-4616-B01D-722868ADD5E6}"/>
    <hyperlink ref="I4283" r:id="rId484" xr:uid="{10329BE5-11AD-4197-A652-1652F468D764}"/>
    <hyperlink ref="I306" r:id="rId485" xr:uid="{2175B0BF-BFAA-41C3-A7F0-AE82B7543AB0}"/>
    <hyperlink ref="I344" r:id="rId486" xr:uid="{1DA840DA-BF86-4744-A0C9-CE68DF8C4CD7}"/>
    <hyperlink ref="I754" r:id="rId487" xr:uid="{07892143-E888-49E5-84D0-5B1B6B7A143A}"/>
    <hyperlink ref="I3013" r:id="rId488" xr:uid="{B5340824-DBED-4196-B186-9396F5E5EE3F}"/>
    <hyperlink ref="I4382" r:id="rId489" xr:uid="{1C517739-1FA6-4294-A2BA-2E5005903DCB}"/>
    <hyperlink ref="I2445" r:id="rId490" xr:uid="{232F76C8-4EC1-4325-8167-2E1C0C2F8EE7}"/>
    <hyperlink ref="I2182" r:id="rId491" xr:uid="{9313102E-8C98-43F4-9EAD-10091E9798C0}"/>
    <hyperlink ref="I3045" r:id="rId492" xr:uid="{7322D7A3-F5D9-47E2-B8EE-A0940CA41431}"/>
    <hyperlink ref="I3046" r:id="rId493" xr:uid="{46BC0722-6374-4E9C-BC90-562E3BBD9ABA}"/>
    <hyperlink ref="I3925" r:id="rId494" xr:uid="{D0BF04B1-44ED-4EB3-8DC2-10D001B7094A}"/>
    <hyperlink ref="I4590" r:id="rId495" xr:uid="{0074540A-A373-4C99-A5DE-41546FC3DCE4}"/>
    <hyperlink ref="I801" r:id="rId496" display="mailto:ian@krpeters.com.au" xr:uid="{8A880FD6-A3A3-4DB6-8DB0-4B20CFDFDE54}"/>
    <hyperlink ref="I3449" r:id="rId497" xr:uid="{06FC6B23-83E7-45F6-AFD8-BFF7BCEB1310}"/>
    <hyperlink ref="I65" r:id="rId498" xr:uid="{0FC24519-5B67-403B-A648-B14ED443CF2F}"/>
    <hyperlink ref="I2831" r:id="rId499" xr:uid="{1E7CDE08-86DF-43A7-A300-56CE983151A2}"/>
    <hyperlink ref="I4385" r:id="rId500" xr:uid="{A675C0AC-1559-44C5-A50C-311577045525}"/>
    <hyperlink ref="I459" r:id="rId501" xr:uid="{3E7C86E0-55FB-4F42-BF0D-A81BC0C5F2D4}"/>
    <hyperlink ref="I719" r:id="rId502" xr:uid="{F4D6308C-088C-4416-9716-81EFFE4EFD2A}"/>
    <hyperlink ref="I1425" r:id="rId503" xr:uid="{A75072EF-5185-4661-882B-88240FC344C3}"/>
    <hyperlink ref="I1426" r:id="rId504" xr:uid="{38EB224D-20EE-419F-A842-971A60518572}"/>
    <hyperlink ref="I2327" r:id="rId505" xr:uid="{918AF2EC-88EA-47D2-8DD3-EC446003ABBD}"/>
    <hyperlink ref="I2587" r:id="rId506" xr:uid="{17C226AB-7EAB-4416-B239-5912AADC1812}"/>
    <hyperlink ref="I4245" r:id="rId507" xr:uid="{237F77A5-57FA-443C-846F-DE8C387D15BF}"/>
    <hyperlink ref="I3346" r:id="rId508" xr:uid="{93BEDD3D-E46C-4C61-ACA6-122B1C1EEF67}"/>
    <hyperlink ref="I1126" r:id="rId509" xr:uid="{43F68374-B813-4931-BCCA-FF4834AA6F2B}"/>
    <hyperlink ref="I3600" r:id="rId510" xr:uid="{F5D0E6F7-423A-4709-872D-6098726F1636}"/>
    <hyperlink ref="I1720" r:id="rId511" xr:uid="{753CE2DC-3935-44F8-A4E6-9101C9709686}"/>
    <hyperlink ref="I1721" r:id="rId512" xr:uid="{CD424086-0E46-4CD7-A2DE-4E2DD959B77B}"/>
    <hyperlink ref="I1722" r:id="rId513" xr:uid="{DA466264-85FA-4E51-882C-65E342FDA9E4}"/>
    <hyperlink ref="I882" r:id="rId514" xr:uid="{C01D741D-04CB-413E-8B89-A7E53BCA7896}"/>
    <hyperlink ref="I2369" r:id="rId515" xr:uid="{F3F17841-160F-41F3-A021-D49ADC26ABF5}"/>
    <hyperlink ref="I3995" r:id="rId516" xr:uid="{21DED8DB-F0C1-4319-9940-1E1DA07980C5}"/>
    <hyperlink ref="I981" r:id="rId517" xr:uid="{41852C49-DB13-4F52-9FB3-7EABC18DAAAC}"/>
    <hyperlink ref="I2417" r:id="rId518" xr:uid="{ABB3929D-CD0F-45E4-82E9-71A8C5D8BF8A}"/>
    <hyperlink ref="I1929" r:id="rId519" xr:uid="{26DC5988-54D1-4521-89A4-3AF223BC1E97}"/>
    <hyperlink ref="I2185" r:id="rId520" xr:uid="{4AB96114-8349-4485-AA26-47C422731DA6}"/>
    <hyperlink ref="I4583" r:id="rId521" xr:uid="{4F4FE49C-B2C4-40F9-A273-58F5E9DB3FDD}"/>
    <hyperlink ref="I2830" r:id="rId522" xr:uid="{E927B583-695C-4466-AA0F-823ACD8F9CD7}"/>
    <hyperlink ref="I1152" r:id="rId523" xr:uid="{449E7A05-DA3F-45B1-A755-B0C29444BA8D}"/>
    <hyperlink ref="I4821" r:id="rId524" xr:uid="{8428F324-1013-47BC-A5BB-68CBDE765CE5}"/>
    <hyperlink ref="I721" r:id="rId525" xr:uid="{671CADAF-FB81-40F1-A65B-198ADB1A0B63}"/>
    <hyperlink ref="I278" r:id="rId526" xr:uid="{859802A4-CD66-49D9-8B65-DBD3085EFA09}"/>
    <hyperlink ref="I4397" r:id="rId527" xr:uid="{CBBEE099-4370-4813-B745-9E87C338AEF1}"/>
    <hyperlink ref="I4092" r:id="rId528" xr:uid="{0E5C17BD-10AD-4FE8-83AA-B2AE4907F977}"/>
    <hyperlink ref="I917" r:id="rId529" xr:uid="{63C997D6-33B7-44D4-88F6-7E30D32178CA}"/>
    <hyperlink ref="I4030" r:id="rId530" xr:uid="{D50C9380-E72F-463E-B113-C04C7A8223CE}"/>
    <hyperlink ref="I1200" r:id="rId531" display="mailto:angelo.granata@peet.com.au" xr:uid="{047DD2B1-0180-462F-8062-550F9D73639B}"/>
    <hyperlink ref="I1821" r:id="rId532" xr:uid="{2643E9ED-AE8E-4B24-B512-3E5C4FD2181B}"/>
    <hyperlink ref="I2805" r:id="rId533" xr:uid="{93CEEFE9-6016-4D7C-B266-5B8889C3B93F}"/>
    <hyperlink ref="I254" r:id="rId534" xr:uid="{521E1D68-D6BB-4C64-ABC1-FCF321B19D7D}"/>
    <hyperlink ref="I4251" r:id="rId535" xr:uid="{94DCE8DE-B01B-40A0-AEB6-08A2FC5C427D}"/>
    <hyperlink ref="I772" r:id="rId536" xr:uid="{A0BB1F02-6BA8-4BEE-AD6A-D01D102397C9}"/>
    <hyperlink ref="I3544" r:id="rId537" xr:uid="{DF8EB3C3-DC42-4C65-8E68-F66EEDD44EBF}"/>
    <hyperlink ref="I3558" r:id="rId538" xr:uid="{32AF0CBE-E426-48A1-A441-B9ADC2200A49}"/>
    <hyperlink ref="I2867" r:id="rId539" xr:uid="{6F401D20-EA2C-4EF8-89B2-2F0D9BD0330A}"/>
    <hyperlink ref="I1415" r:id="rId540" display="mailto:Eliston@rpmrealestate.com.au" xr:uid="{76CADCBF-2C77-4839-B325-B3693ABECBC5}"/>
    <hyperlink ref="I2868" r:id="rId541" xr:uid="{7C2DB118-5A4F-451D-94DD-D73F0A5F2E60}"/>
    <hyperlink ref="I4720" r:id="rId542" xr:uid="{4039F59C-9C10-4880-9A9E-9E27FA686EE6}"/>
    <hyperlink ref="I1634" r:id="rId543" xr:uid="{2FBF61E5-59DF-4D02-8DE6-5E483CE195B9}"/>
    <hyperlink ref="I1709" r:id="rId544" xr:uid="{A4845E5B-4992-4180-9F79-652FCD103087}"/>
    <hyperlink ref="I976" r:id="rId545" xr:uid="{3D6AD52A-0855-40D8-9739-6493BA674035}"/>
    <hyperlink ref="I2590" r:id="rId546" xr:uid="{94B8ED81-3674-4730-AB49-EBCA9B7EF03E}"/>
    <hyperlink ref="I698" r:id="rId547" xr:uid="{1DC02FCD-0DE4-4A35-BA05-5C5E418CB04C}"/>
    <hyperlink ref="I1030" r:id="rId548" xr:uid="{1FBD8CDA-C221-43F6-B166-046208820B0F}"/>
    <hyperlink ref="I1032" r:id="rId549" xr:uid="{05AC71F4-08F2-457E-87BF-AE8D70E823C2}"/>
    <hyperlink ref="I2037" r:id="rId550" display="mailto:thuyen@bpg.com.au" xr:uid="{C5B43C6C-ED44-4939-9DDA-605C17621C66}"/>
    <hyperlink ref="I1905" r:id="rId551" xr:uid="{36138A92-F5A1-4145-AD79-D3C9DD4F9BC4}"/>
    <hyperlink ref="I3712" r:id="rId552" xr:uid="{4589C55D-CF17-48C8-8C04-DA652B71D0CF}"/>
    <hyperlink ref="I881" r:id="rId553" xr:uid="{0B76EAE9-6E85-45BB-B0E4-C2ACE30E987D}"/>
    <hyperlink ref="I2057" r:id="rId554" xr:uid="{7126EFF5-2FF5-486F-8397-EAD32BCC1098}"/>
    <hyperlink ref="I3721" r:id="rId555" xr:uid="{C588EAB8-C8F2-4BFA-A2FD-AC693B5009CC}"/>
    <hyperlink ref="I152" r:id="rId556" display="mailto:alira@rpmrealestate.com.au" xr:uid="{79727C5F-489C-4928-A134-531CEB8DBC66}"/>
    <hyperlink ref="I4127" r:id="rId557" xr:uid="{9A520D3B-8C40-44D9-8D5B-C390603B8C83}"/>
    <hyperlink ref="I2438" r:id="rId558" xr:uid="{CC99AA75-3439-4FC5-9014-12A392491A0D}"/>
    <hyperlink ref="I4381" r:id="rId559" xr:uid="{51B82F1A-5496-4A07-8622-EEC7C7DC31E9}"/>
    <hyperlink ref="I2833" r:id="rId560" xr:uid="{212066D1-C6BA-40A3-85B6-5206060C9116}"/>
    <hyperlink ref="I4395" r:id="rId561" xr:uid="{32C0A516-9D11-4029-8A2B-B497E04CCE3A}"/>
    <hyperlink ref="I4097" r:id="rId562" xr:uid="{CD254F5F-1B54-450B-A287-68034F12F6DD}"/>
    <hyperlink ref="I2069" r:id="rId563" xr:uid="{F4DCF53E-92DD-4C59-9C17-66A24D01FBBE}"/>
    <hyperlink ref="I785" r:id="rId564" xr:uid="{5E6EC450-2E2B-4FD8-82C7-64F715D8253D}"/>
    <hyperlink ref="I766" r:id="rId565" xr:uid="{26EB5BF7-DDFC-4DB3-8911-3622C2A79507}"/>
    <hyperlink ref="I2049" r:id="rId566" xr:uid="{C3478630-F2B2-4224-AA7A-6F404BD7F7DF}"/>
    <hyperlink ref="I3047" r:id="rId567" xr:uid="{724AD2A9-CD5F-44DB-897C-35D6B5E8A83B}"/>
    <hyperlink ref="I3442" r:id="rId568" xr:uid="{96E0F04C-1583-44D0-BBE2-9A6A3B6488BD}"/>
    <hyperlink ref="I1358" r:id="rId569" xr:uid="{FE058F55-9B35-46D8-8E7A-5988C693A99F}"/>
    <hyperlink ref="I1217" r:id="rId570" display="mailto:angelo.granata@peet.com.au" xr:uid="{45E1E530-3D41-4B07-BF46-9EA74C4A577C}"/>
    <hyperlink ref="I4402" r:id="rId571" xr:uid="{9C1769BE-3772-44FF-97F7-4CA20BD191A4}"/>
    <hyperlink ref="I1346" r:id="rId572" xr:uid="{3B94F781-2CA9-4CF3-AC96-A3B9781DF737}"/>
    <hyperlink ref="I3704" r:id="rId573" xr:uid="{638684EB-5F88-4A86-AEA1-0402D98CF72A}"/>
    <hyperlink ref="I3456" r:id="rId574" xr:uid="{F0BE6B5B-AF34-4104-B8B7-D5ED8CBE34EF}"/>
    <hyperlink ref="I3965" r:id="rId575" display="mailto:stgermain@rpmrealestate.com.au" xr:uid="{93E934F7-F576-48B6-9753-4931E113224A}"/>
    <hyperlink ref="I1756" r:id="rId576" xr:uid="{2CED1CF7-1509-48A4-BEA1-C1063AD9E7A2}"/>
    <hyperlink ref="I1758" r:id="rId577" xr:uid="{EEDD3975-AB90-4EB3-B581-61098D87A546}"/>
    <hyperlink ref="I355" r:id="rId578" xr:uid="{CE65081E-D56E-4253-8406-BB56602D7581}"/>
    <hyperlink ref="I359" r:id="rId579" xr:uid="{89281A96-31BC-46EA-85F0-C6C7C6E05408}"/>
    <hyperlink ref="I4878" r:id="rId580" xr:uid="{C06AD131-45A5-4BE6-BDDA-4238E3F91A31}"/>
    <hyperlink ref="I4879" r:id="rId581" xr:uid="{64D037DD-C537-4534-9349-97339623E7D1}"/>
    <hyperlink ref="I4880" r:id="rId582" xr:uid="{F9B40B58-5624-4556-BA27-29A445AFAF67}"/>
    <hyperlink ref="I765" r:id="rId583" xr:uid="{CAD43DE8-85E5-42B1-ADEA-BBAED6C3609D}"/>
    <hyperlink ref="I3343" r:id="rId584" xr:uid="{9F4EA750-31F9-44C4-961B-60334F68C41B}"/>
    <hyperlink ref="I450" r:id="rId585" xr:uid="{F45C46A2-DDD8-4CDC-BCE3-4E7965E2000E}"/>
    <hyperlink ref="I256" r:id="rId586" xr:uid="{570E91DA-E625-4B58-A529-BA53F90EB429}"/>
    <hyperlink ref="I1540" r:id="rId587" xr:uid="{72FC95BA-71AC-4469-B56E-9FFEC738976C}"/>
    <hyperlink ref="I883" r:id="rId588" xr:uid="{575E7155-A166-4F1F-BC08-1AA8628B9148}"/>
    <hyperlink ref="I4592" r:id="rId589" xr:uid="{04EBFBC0-C528-4215-A616-81DD75F39BF9}"/>
    <hyperlink ref="I1387" r:id="rId590" xr:uid="{A269F872-A5E6-4715-BAB4-F6A69A993975}"/>
    <hyperlink ref="I1388" r:id="rId591" xr:uid="{4266CD3D-3224-4059-9DB8-B75E1DA8C0F0}"/>
    <hyperlink ref="I1390" r:id="rId592" xr:uid="{D6BCF927-E3D7-4EB7-ACB6-BD5F00EA7511}"/>
    <hyperlink ref="I1389" r:id="rId593" xr:uid="{B4078852-6400-4454-9B8A-F5746B46BF48}"/>
    <hyperlink ref="I1201" r:id="rId594" display="mailto:angelo.granata@peet.com.au" xr:uid="{99E910CB-85FF-4C8B-BC92-8652407FDDF1}"/>
    <hyperlink ref="I4383" r:id="rId595" xr:uid="{BAD5D51A-FA3C-4A4A-B434-2134E839F3ED}"/>
    <hyperlink ref="I205" r:id="rId596" xr:uid="{0779C9BE-38FA-4A51-B786-8A63F53BBB97}"/>
    <hyperlink ref="I1865" r:id="rId597" xr:uid="{A30DE025-C1E5-431D-AEED-13326AED3D31}"/>
    <hyperlink ref="I3594" r:id="rId598" xr:uid="{A76461FE-20D6-4649-A7BE-6AD53997D873}"/>
    <hyperlink ref="I202" r:id="rId599" xr:uid="{BF56853A-BE68-4224-97AF-0C054269F4DC}"/>
    <hyperlink ref="I3015" r:id="rId600" xr:uid="{746C8238-FC39-452E-A128-BBD458DE30C2}"/>
    <hyperlink ref="I4584" r:id="rId601" xr:uid="{94A313C2-A913-4D54-9BE3-CB1DA87F0BD1}"/>
    <hyperlink ref="I3690" r:id="rId602" xr:uid="{D208BF03-6EC0-4D2B-B1DC-EADE5CB1AA31}"/>
    <hyperlink ref="I1113" r:id="rId603" xr:uid="{5F981207-0D64-4534-8DBD-1DE985F53E5D}"/>
    <hyperlink ref="I1127" r:id="rId604" xr:uid="{6F9F64EC-66C5-4FD5-BD37-5DECEE53B5DA}"/>
    <hyperlink ref="I3692" r:id="rId605" xr:uid="{6E5AA8C2-1023-4677-8644-D4D55516D601}"/>
    <hyperlink ref="I3687" r:id="rId606" xr:uid="{DBB26FA9-E8B0-4041-B5FB-147012E9E384}"/>
    <hyperlink ref="I4091" r:id="rId607" xr:uid="{3442B9CA-DCA9-4B79-9731-A24A730ADB7A}"/>
    <hyperlink ref="I3014" r:id="rId608" xr:uid="{DC43EDF9-177B-44F9-B218-A20D24B5586A}"/>
    <hyperlink ref="I4099" r:id="rId609" xr:uid="{A6B1CE73-817D-479D-915B-BB404C42A93A}"/>
    <hyperlink ref="I2059" r:id="rId610" xr:uid="{A705FE67-97E3-43FF-A3CF-5D457C1230AC}"/>
    <hyperlink ref="I784" r:id="rId611" xr:uid="{31C54283-E375-4549-AE83-B57206C36A56}"/>
    <hyperlink ref="I309" r:id="rId612" xr:uid="{DB96EC10-C541-4C23-9208-AF808535A73F}"/>
    <hyperlink ref="I2832" r:id="rId613" xr:uid="{2C0573D9-2842-46AA-BD04-BF6C6E792FAA}"/>
    <hyperlink ref="I4829" r:id="rId614" xr:uid="{2431B26B-F7A8-45D6-8B9D-A58E6D67A080}"/>
    <hyperlink ref="I4835" r:id="rId615" xr:uid="{15E4B5A0-33C5-4B1B-894C-FDC61C25A595}"/>
    <hyperlink ref="I308" r:id="rId616" xr:uid="{E0C8322A-781C-4D51-AFAA-33F1E7A2DC97}"/>
    <hyperlink ref="I314" r:id="rId617" xr:uid="{E92EAE82-F6D5-4DE0-AB45-DAD7B092A4C8}"/>
    <hyperlink ref="I315" r:id="rId618" xr:uid="{26BAC2A3-D4E8-474A-8728-DE6B7439F825}"/>
    <hyperlink ref="I311" r:id="rId619" xr:uid="{1181FCEF-4E03-4641-9018-6C899FD0944B}"/>
    <hyperlink ref="I2869" r:id="rId620" xr:uid="{738EAE24-1139-459B-BCD0-344DF70AE65B}"/>
    <hyperlink ref="I4399" r:id="rId621" xr:uid="{CBEEC8D9-90B7-4A1E-AE40-8E2B6DA659A0}"/>
    <hyperlink ref="I2178" r:id="rId622" xr:uid="{31CB287C-5D7B-4907-A70B-99AE3F787747}"/>
    <hyperlink ref="I1405" r:id="rId623" display="mailto:Eliston@rpmrealestate.com.au" xr:uid="{954D987F-8C95-4D92-884D-E5ADE4247723}"/>
    <hyperlink ref="I2181" r:id="rId624" xr:uid="{19719235-24D3-41C5-8CFB-5BB8D0929968}"/>
    <hyperlink ref="I375" r:id="rId625" xr:uid="{64017C53-30EF-4CA1-9137-4CA5FC80E992}"/>
    <hyperlink ref="I419" r:id="rId626" xr:uid="{518322CE-FE6D-47F1-9CE6-C9ED7483AEC9}"/>
    <hyperlink ref="I723" r:id="rId627" xr:uid="{331F8F49-FEBA-42F6-A96D-2DFA48FA764C}"/>
    <hyperlink ref="I725" r:id="rId628" xr:uid="{4A3E8508-CAB1-4D0A-B4BB-76FC02338259}"/>
    <hyperlink ref="I3929" r:id="rId629" xr:uid="{0F9458CF-B243-4CFC-84F3-831B964E341F}"/>
    <hyperlink ref="I724" r:id="rId630" display="mailto:tonys@maxbrown.com.au" xr:uid="{D26972F2-7FB5-4807-AF7B-AE09A4440ABE}"/>
    <hyperlink ref="I726" r:id="rId631" display="mailto:tonys@maxbrown.com.au" xr:uid="{34395CF4-4C12-476A-A9BF-0F65B7C8F2E6}"/>
    <hyperlink ref="I729" r:id="rId632" display="mailto:tonys@maxbrown.com.au" xr:uid="{352E7A6F-EB01-4872-B4AB-E01018811B1C}"/>
    <hyperlink ref="I2015" r:id="rId633" xr:uid="{3D281650-9DE7-4984-A9F2-9C7116DB404A}"/>
    <hyperlink ref="I2016" r:id="rId634" xr:uid="{7D52D840-54BF-4A4E-9695-820A48A45C12}"/>
    <hyperlink ref="I2017" r:id="rId635" xr:uid="{5F6A965D-A787-4066-8886-2F33D92BD327}"/>
    <hyperlink ref="I255" r:id="rId636" xr:uid="{56BC2EC1-2D17-4E0F-A86C-2C65E1BA74DA}"/>
    <hyperlink ref="I2412" r:id="rId637" xr:uid="{D6D1486D-A0BF-40CA-9761-F73B6FC21AEB}"/>
    <hyperlink ref="I1584" r:id="rId638" xr:uid="{B7106083-7133-4B07-B7D7-AEF3916D501F}"/>
    <hyperlink ref="I1587" r:id="rId639" xr:uid="{BC307860-CD4D-4EDE-9FAD-0A8003B25C0B}"/>
    <hyperlink ref="I4659" r:id="rId640" xr:uid="{D1D59362-2568-49A4-975C-BCA8EA4EA3FC}"/>
    <hyperlink ref="I4350" r:id="rId641" display="mailto:umbra2@rpmrealestate.com.au" xr:uid="{BD6607AA-D2EC-45EF-AFF1-A9EBFED1AB91}"/>
    <hyperlink ref="I4349" r:id="rId642" display="mailto:umbra2@rpmrealestate.com.au" xr:uid="{12F79A3C-7EAD-4B2E-83E8-B42F9FFE34AF}"/>
    <hyperlink ref="I1031" r:id="rId643" xr:uid="{227A123B-1C30-4174-A5C3-1C5CE4A78CFD}"/>
    <hyperlink ref="I1202" r:id="rId644" display="mailto:angelo.granata@peet.com.au" xr:uid="{C41BC82F-F6CE-4150-8E13-ED2B1A981B9C}"/>
    <hyperlink ref="I1913" r:id="rId645" xr:uid="{338686EA-D0E6-4C2E-9ABE-FCDF76F38056}"/>
    <hyperlink ref="I1409" r:id="rId646" display="mailto:Eliston@rpmrealestate.com.au" xr:uid="{90E8EC3A-A4F4-4D2E-A5A4-FBC8D27F67D6}"/>
    <hyperlink ref="I4872" r:id="rId647" xr:uid="{6307F1BF-9709-4F33-A670-FBA4AAA2F9BC}"/>
    <hyperlink ref="I4875" r:id="rId648" xr:uid="{B99E36BD-6DF8-4B07-9C52-06D24233A471}"/>
    <hyperlink ref="I3956" r:id="rId649" display="mailto:stgermain@rpmrealestate.com.au" xr:uid="{71155901-3E94-44B2-83B4-A88DBE064C1F}"/>
    <hyperlink ref="I702" r:id="rId650" xr:uid="{D79963BB-6C04-420E-ADCD-204E6F71AE32}"/>
    <hyperlink ref="I704" r:id="rId651" xr:uid="{B828D3E6-7394-43FB-8B6F-64C20E7C6361}"/>
    <hyperlink ref="I4591" r:id="rId652" xr:uid="{AC372C6E-23C8-4335-99C6-8F403727F86F}"/>
    <hyperlink ref="I1912" r:id="rId653" xr:uid="{6E752739-C188-4845-A3F0-55D9C201FD25}"/>
    <hyperlink ref="I2071" r:id="rId654" xr:uid="{80C96F8D-E59B-45D6-95B8-16B710D495F4}"/>
    <hyperlink ref="I990" r:id="rId655" xr:uid="{2732CB07-724A-4C86-8A80-09B4A2BC4059}"/>
    <hyperlink ref="I1413" r:id="rId656" display="mailto:Eliston@rpmrealestate.com.au" xr:uid="{DEE9CDB1-C15B-4194-8219-AAEF565408E5}"/>
    <hyperlink ref="I3466" r:id="rId657" xr:uid="{EA3A32B6-B6A9-450F-85C7-54A1D906C000}"/>
    <hyperlink ref="I4247" r:id="rId658" xr:uid="{452E5D35-9252-46FB-83EE-8D7AC3300204}"/>
    <hyperlink ref="I3760" r:id="rId659" xr:uid="{AEAB8AE2-EB5C-434D-B4AB-59A7B5FD2739}"/>
    <hyperlink ref="I2326" r:id="rId660" xr:uid="{FE12E1B8-2B97-487A-847A-D82983D58E15}"/>
    <hyperlink ref="I2680" r:id="rId661" xr:uid="{96FCE5D8-9CC4-4585-A63D-CD64F50EB3C2}"/>
    <hyperlink ref="I4312" r:id="rId662" xr:uid="{6826FA22-AA2F-4CFD-A48B-00E8831EEADE}"/>
    <hyperlink ref="I2520" r:id="rId663" xr:uid="{489AACD2-A5E0-4B5D-A1E8-CFD0424E4321}"/>
    <hyperlink ref="I4628" r:id="rId664" xr:uid="{04EE426C-8CAC-44C0-9333-5ED731D7D577}"/>
    <hyperlink ref="I4400" r:id="rId665" xr:uid="{5B360C00-5818-47F6-94BD-CBB37377E7F7}"/>
    <hyperlink ref="I3964" r:id="rId666" display="mailto:stgermain@rpmrealestate.com.au" xr:uid="{F7ADE65F-2554-47D2-8048-A6C16205BCDC}"/>
    <hyperlink ref="I885" r:id="rId667" xr:uid="{53C95048-E3B1-4AEF-BF05-DB3BF6A3E6D1}"/>
    <hyperlink ref="I1633" r:id="rId668" xr:uid="{3DBA5949-38F0-4F63-BB28-A37DB4B46B98}"/>
    <hyperlink ref="I1632" r:id="rId669" xr:uid="{BB2647F2-B03E-4A79-9201-848B361981D7}"/>
    <hyperlink ref="I72" r:id="rId670" xr:uid="{B15DD17F-5C84-428F-86E1-7F0B3E424074}"/>
    <hyperlink ref="I73" r:id="rId671" xr:uid="{9177F226-707D-4A25-B4FC-76324E940C2B}"/>
    <hyperlink ref="I2631" r:id="rId672" xr:uid="{AF34E82E-CF30-46C0-86F2-E3C10E2F9311}"/>
    <hyperlink ref="I461" r:id="rId673" xr:uid="{17D42E58-C5C5-4D37-BCFC-4E9EA088D8D1}"/>
    <hyperlink ref="I1428" r:id="rId674" xr:uid="{E6BE14AC-B373-4AA0-81F0-DC7CB1A34F1D}"/>
    <hyperlink ref="I454" r:id="rId675" xr:uid="{1F71492C-7833-4982-A083-B55FC2425A9F}"/>
    <hyperlink ref="I213" r:id="rId676" xr:uid="{FD18C82F-0F82-4083-A95B-6C3E8B43A892}"/>
    <hyperlink ref="I3716" r:id="rId677" xr:uid="{BF2DDFC8-C5EA-4020-BC29-76E5A25E7907}"/>
    <hyperlink ref="I2866" r:id="rId678" xr:uid="{7DF4C0EE-E518-4681-BB76-D58062381C6B}"/>
    <hyperlink ref="I4834" r:id="rId679" xr:uid="{636B426D-3322-4900-9C80-F6C89CCD9454}"/>
    <hyperlink ref="I4851" r:id="rId680" xr:uid="{E3D3A2AC-50C3-4BD3-872D-5959CC5CE96E}"/>
    <hyperlink ref="I734" r:id="rId681" xr:uid="{568D99ED-4B7B-40A5-B54E-16E82947A985}"/>
    <hyperlink ref="I735" r:id="rId682" xr:uid="{1709EEB1-3ED9-4CB2-B4D1-DE2C3DD3336E}"/>
    <hyperlink ref="I1131" r:id="rId683" xr:uid="{CE3FDD40-1D30-4C3B-8123-0833FAB2B51A}"/>
    <hyperlink ref="I217" r:id="rId684" xr:uid="{580EF49B-B2BA-4F2C-ABEC-8A8FD5D3991D}"/>
    <hyperlink ref="I4631" r:id="rId685" xr:uid="{E12CFDC4-F39F-4DE1-8E70-1AF3451812DE}"/>
    <hyperlink ref="I2679" r:id="rId686" xr:uid="{45590591-435D-4484-BEC6-E6E038D23FFC}"/>
    <hyperlink ref="I3603" r:id="rId687" xr:uid="{EB37A5B2-9E43-49B9-8E33-2A74CA845467}"/>
    <hyperlink ref="I2592" r:id="rId688" xr:uid="{83BFD830-9EFC-4831-B6DE-9EC801B0412D}"/>
    <hyperlink ref="I298" r:id="rId689" xr:uid="{302CB5F9-4206-4805-9AA4-DB51EE8770CE}"/>
    <hyperlink ref="I3016" r:id="rId690" xr:uid="{C828F60E-9D13-4888-A7A4-EF3BA83D6A71}"/>
    <hyperlink ref="I4063" r:id="rId691" xr:uid="{70888B8B-87D3-4EC8-88CF-EA6D23B7BFC1}"/>
    <hyperlink ref="I722" r:id="rId692" xr:uid="{CA1F6505-2071-4451-8561-74D2C6AEC732}"/>
    <hyperlink ref="I2591" r:id="rId693" xr:uid="{2AA05FA2-138F-4B31-AD89-A65E95A90DA4}"/>
    <hyperlink ref="I260" r:id="rId694" xr:uid="{471E014A-9DB1-4950-A0BB-81D5B1CC1A3E}"/>
    <hyperlink ref="I4254" r:id="rId695" xr:uid="{09850090-52FF-404C-9E9F-C1EFC7831B8A}"/>
    <hyperlink ref="I778" r:id="rId696" xr:uid="{803B0F66-0954-4AA1-94C8-EB0F16312685}"/>
    <hyperlink ref="I74" r:id="rId697" xr:uid="{DEB4636A-6B7B-4838-AB7E-8D4935F1AEF3}"/>
    <hyperlink ref="I2834" r:id="rId698" xr:uid="{FA154C01-C841-4685-97AA-C900C455AEF1}"/>
    <hyperlink ref="I242" r:id="rId699" xr:uid="{E92BFD21-0136-414A-BA4A-BD531E064DA4}"/>
    <hyperlink ref="I4832" r:id="rId700" xr:uid="{7A017DD7-4D4D-4BC1-8E1C-E3926235C91C}"/>
    <hyperlink ref="I2388" r:id="rId701" xr:uid="{204AB16E-3757-4CEE-A74E-C350E9A5B91F}"/>
    <hyperlink ref="I1391" r:id="rId702" xr:uid="{A8C427E6-5E76-4C3B-95F2-82F343A1CDA4}"/>
    <hyperlink ref="I3666" r:id="rId703" xr:uid="{E1CF20DD-71D9-4C93-8C0D-BC961687A70A}"/>
    <hyperlink ref="I710" r:id="rId704" xr:uid="{A9293F66-CF63-4C27-AA32-6EA3E6190EE9}"/>
    <hyperlink ref="I1968" r:id="rId705" display="mailto:Janet.Skinner@peet.com.au" xr:uid="{E9790693-0014-4CD8-88C8-51A643337E12}"/>
    <hyperlink ref="I662" r:id="rId706" xr:uid="{63CAF625-E0D7-472B-88E9-8E40565799C3}"/>
    <hyperlink ref="I1636" r:id="rId707" xr:uid="{DD6025E7-04B7-42AE-BC2E-A42532339D9D}"/>
    <hyperlink ref="I3415" r:id="rId708" xr:uid="{849E05FA-1B3E-4545-90B2-823F0E897AC8}"/>
    <hyperlink ref="I3513" r:id="rId709" xr:uid="{FFF47728-53BD-4003-AD95-38BD3F9FF964}"/>
    <hyperlink ref="I261" r:id="rId710" xr:uid="{12B3177D-B1C7-4895-8116-D029D8EA7D6C}"/>
    <hyperlink ref="I253" r:id="rId711" xr:uid="{36BCE0EB-3BA8-404D-81F3-1DFB51B7E146}"/>
    <hyperlink ref="I3327" r:id="rId712" xr:uid="{507DCC0C-FC72-437B-A9D9-D249617FF0E1}"/>
    <hyperlink ref="I3722" r:id="rId713" xr:uid="{82FF24EC-715E-4038-B983-B8E354B9B62F}"/>
    <hyperlink ref="I4593" r:id="rId714" xr:uid="{DAF6B19D-E574-4D42-A3BD-DAF2F1C2CCE6}"/>
    <hyperlink ref="I837" r:id="rId715" xr:uid="{AA794229-AE09-4FAD-BFB1-EE37E18A0E5F}"/>
    <hyperlink ref="I980" r:id="rId716" xr:uid="{1597D8AF-5267-4C75-9668-6C022EC4E2A8}"/>
    <hyperlink ref="I2039" r:id="rId717" xr:uid="{1F1CEE02-50F6-43A7-87B4-4B16CFCDF854}"/>
    <hyperlink ref="I1908" r:id="rId718" xr:uid="{AAE7901A-2EA5-4CB7-B35A-EE1C35C6F065}"/>
    <hyperlink ref="I4630" r:id="rId719" xr:uid="{66EE81F8-584F-4946-A416-7BCB91DCDF1F}"/>
    <hyperlink ref="I4715" r:id="rId720" xr:uid="{5F2A594F-4332-4A8F-AA7E-79BF29C568FB}"/>
    <hyperlink ref="I1361" r:id="rId721" xr:uid="{96611B53-78DB-4DEE-A371-8B7CEF818D7E}"/>
    <hyperlink ref="I312" r:id="rId722" xr:uid="{83E77BF2-A3DA-43B8-B8F7-9C9BAD07FA5F}"/>
    <hyperlink ref="I259" r:id="rId723" xr:uid="{2237869E-9AF2-4C6B-AE7E-647A655AF3AB}"/>
    <hyperlink ref="I452" r:id="rId724" xr:uid="{67360F4E-DE4C-472F-AFB7-FCC46F74BF69}"/>
    <hyperlink ref="I365" r:id="rId725" xr:uid="{C8C621F2-E7F7-4179-A8E7-F57EBAE079B7}"/>
    <hyperlink ref="I703" r:id="rId726" xr:uid="{B0BC394C-CBB4-43ED-840E-5001E1A6F512}"/>
    <hyperlink ref="I4255" r:id="rId727" xr:uid="{F5A3159D-ADD5-4B01-AA2D-7CFC6026C817}"/>
    <hyperlink ref="I3968" r:id="rId728" display="mailto:stgermain@rpmrealestate.com.au" xr:uid="{B6003651-D054-4503-97C2-5C83EC6B494A}"/>
    <hyperlink ref="I3944" r:id="rId729" xr:uid="{C65F6A19-A5F0-436B-B078-0C9E559D7FD9}"/>
    <hyperlink ref="I3605" r:id="rId730" xr:uid="{638ABB32-86C4-4587-88EF-ED9A7E91BAC8}"/>
    <hyperlink ref="I203" r:id="rId731" xr:uid="{07FFD2C0-B2A9-4F3C-9CB0-6AB4340A540A}"/>
    <hyperlink ref="I796" r:id="rId732" xr:uid="{9E74A3D6-A43F-4F8C-BD89-63E53F71E690}"/>
    <hyperlink ref="I3993" r:id="rId733" xr:uid="{581A6E10-8A7C-4777-B5F9-1468BD4A670C}"/>
    <hyperlink ref="I1434" r:id="rId734" xr:uid="{1FD0874A-82AF-4661-AA98-EC512AE5C9F7}"/>
    <hyperlink ref="I1904" r:id="rId735" xr:uid="{C262B36B-6880-4824-BFFE-A18B03AE1463}"/>
    <hyperlink ref="I4240" r:id="rId736" xr:uid="{92A95BFA-002C-4AFF-B2C3-4A3E81254638}"/>
    <hyperlink ref="I1128" r:id="rId737" xr:uid="{4D9A19DE-04F4-4712-9BA9-98F32BE26741}"/>
    <hyperlink ref="I4888" r:id="rId738" xr:uid="{AA98E36D-19C4-4E5C-9AE0-EB912EF55236}"/>
    <hyperlink ref="I2454" r:id="rId739" xr:uid="{B1682663-37BA-424D-9A86-39D99B73287E}"/>
    <hyperlink ref="I3683" r:id="rId740" xr:uid="{9B05EECF-8626-4CBE-890C-2DF7E7C88F75}"/>
    <hyperlink ref="I3693" r:id="rId741" xr:uid="{7F673B57-178E-4F6F-A171-E722DD303D51}"/>
    <hyperlink ref="I2711" r:id="rId742" xr:uid="{B21FDAE6-F925-474E-8635-66440BE6181E}"/>
    <hyperlink ref="I3326" r:id="rId743" xr:uid="{D92B31BE-03FD-48E9-862D-85E4C0C975ED}"/>
    <hyperlink ref="I1958" r:id="rId744" xr:uid="{A7AE4F08-33C0-446B-A2CF-644AC06A0A3E}"/>
    <hyperlink ref="I1215" r:id="rId745" display="mailto:angelo.granata@peet.com.au" xr:uid="{8DF67F5C-3897-41BE-AAAE-DDA3329639ED}"/>
    <hyperlink ref="I405" r:id="rId746" xr:uid="{07AEBC6E-617F-42D4-ACED-D57CB4D15D1C}"/>
    <hyperlink ref="I3930" r:id="rId747" xr:uid="{D22B6E99-0BC1-4D1A-B644-F79B469D9842}"/>
    <hyperlink ref="I4290" r:id="rId748" xr:uid="{2483A621-C927-4A95-BD47-A57D3A4DDEF4}"/>
    <hyperlink ref="I148" r:id="rId749" display="mailto:alira@rpmrealestate.com.au" xr:uid="{F745277B-FA52-4631-9761-AC089F08A6C0}"/>
    <hyperlink ref="I115" r:id="rId750" xr:uid="{E1E10D2D-8513-4704-A585-C30881A1520A}"/>
    <hyperlink ref="I3565" r:id="rId751" xr:uid="{4CCD9F68-3D70-405B-B6DE-C99FCCC4B23F}"/>
    <hyperlink ref="I4279" r:id="rId752" xr:uid="{847FC54E-54BC-4E7F-B4D4-26C757CB34F5}"/>
    <hyperlink ref="I4836" r:id="rId753" xr:uid="{FC21192D-8C88-4A4C-A265-DC96F6067075}"/>
    <hyperlink ref="I451" r:id="rId754" xr:uid="{FB15ED67-728D-419C-8E46-F5E517525B54}"/>
    <hyperlink ref="I2413" r:id="rId755" xr:uid="{A14ECC05-F561-4B91-9F51-0093513A033C}"/>
    <hyperlink ref="I884" r:id="rId756" xr:uid="{DBC5F68E-9302-4225-933A-16DA5B230C0F}"/>
    <hyperlink ref="I2323" r:id="rId757" xr:uid="{A67F9555-111D-4598-B3D3-A4D65494BA28}"/>
    <hyperlink ref="I3945" r:id="rId758" xr:uid="{A836B839-6DB8-4F31-921C-2A3155BC3641}"/>
    <hyperlink ref="I3048" r:id="rId759" xr:uid="{6B390B72-52FA-4282-9168-C3FF8E0965D3}"/>
    <hyperlink ref="I1414" r:id="rId760" display="mailto:Eliston@rpmrealestate.com.au" xr:uid="{B3748387-EFC2-4FB2-B043-023C25797A8E}"/>
    <hyperlink ref="I1421" r:id="rId761" display="mailto:Eliston@rpmrealestate.com.au" xr:uid="{D2A84C51-798A-4A0B-B2F5-2946D0DB7D31}"/>
    <hyperlink ref="I76" r:id="rId762" xr:uid="{FDE64357-EC8B-479A-A465-C2C34D6BE24D}"/>
    <hyperlink ref="I1395" r:id="rId763" xr:uid="{E53CE5FC-BA95-427F-B757-8AF6FFF94C6E}"/>
    <hyperlink ref="I1957" r:id="rId764" xr:uid="{D695C72C-026C-4869-9D0A-C1C1F73A10EF}"/>
    <hyperlink ref="I3726" r:id="rId765" xr:uid="{B33B4404-FF57-4BF3-9E70-9D2A7FE5C785}"/>
    <hyperlink ref="I4463" r:id="rId766" xr:uid="{2CDF9436-1AEA-4C49-BB48-A55C4E681600}"/>
    <hyperlink ref="I4458" r:id="rId767" xr:uid="{FC248D0A-50BE-474A-A081-ED2C1B997471}"/>
    <hyperlink ref="I4632" r:id="rId768" xr:uid="{0B073A19-A5F4-40AC-8311-335CA74F5C4D}"/>
    <hyperlink ref="I1716" r:id="rId769" xr:uid="{815DB65B-5A48-430D-B004-CCD70246ACBD}"/>
    <hyperlink ref="I4837" r:id="rId770" xr:uid="{CD4E0C15-DD53-47B9-89D6-EDEAEB1F3213}"/>
    <hyperlink ref="I3017" r:id="rId771" xr:uid="{AA22FBBB-5CB8-4E61-AD1B-5FE49C158B65}"/>
    <hyperlink ref="I4705" r:id="rId772" xr:uid="{34809FAA-5C28-4B00-B031-13DF00A6307C}"/>
    <hyperlink ref="I2183" r:id="rId773" xr:uid="{8326F45D-C727-4E10-847C-2EF63A87ED67}"/>
    <hyperlink ref="I4448" r:id="rId774" xr:uid="{F2E5F082-3B9D-4204-8BE8-41905AE21862}"/>
    <hyperlink ref="I3622" r:id="rId775" xr:uid="{B48E372D-A316-44C4-A81E-1B31CEFFBB7D}"/>
    <hyperlink ref="I4257" r:id="rId776" xr:uid="{F88D396F-68E3-4C67-AD8C-CDD896EAA232}"/>
    <hyperlink ref="I4403" r:id="rId777" xr:uid="{4A23CF8F-7717-4551-9E9B-FB671E871D06}"/>
    <hyperlink ref="I444" r:id="rId778" xr:uid="{E85B1AA5-D051-4AE8-99D2-B8FC8BE17CAA}"/>
    <hyperlink ref="I841" r:id="rId779" xr:uid="{DBA67D4D-AFDF-4508-9E1C-B37AD7ADE6A0}"/>
    <hyperlink ref="I4660" r:id="rId780" xr:uid="{CC65D78D-A4A1-4C00-AD6F-25EC9A51E298}"/>
    <hyperlink ref="I4664" r:id="rId781" xr:uid="{49B75696-86E3-4026-B9C3-74543633EA24}"/>
    <hyperlink ref="I4256" r:id="rId782" xr:uid="{F7FB6578-09CF-42FB-8579-B60697DD526F}"/>
    <hyperlink ref="I2835" r:id="rId783" xr:uid="{A3125FE1-D8FD-41FC-B6AF-7A00AD63AFFA}"/>
    <hyperlink ref="I1819" r:id="rId784" xr:uid="{FDDB360F-6A3E-48DF-9F22-56F6DD335FF6}"/>
    <hyperlink ref="I3756" r:id="rId785" xr:uid="{247EEE1D-94F3-4816-A004-3A2426EC00EF}"/>
    <hyperlink ref="I385" r:id="rId786" xr:uid="{88CE3DE9-CC14-4CAD-8FF8-E6DEB510E13D}"/>
    <hyperlink ref="I1873" r:id="rId787" xr:uid="{945C7F15-97E1-43B8-91A3-8093B4973512}"/>
    <hyperlink ref="I1117" r:id="rId788" xr:uid="{5E952F20-E4BA-4B55-9E2E-177D7D6B00BF}"/>
    <hyperlink ref="I504" r:id="rId789" xr:uid="{AC7D53B9-220B-4F40-B542-6FBDD3B5CFF5}"/>
    <hyperlink ref="I502" r:id="rId790" xr:uid="{0EF92EE4-AD69-4BEB-8482-392A34F71076}"/>
    <hyperlink ref="I467" r:id="rId791" xr:uid="{9C6FBE08-D78E-462A-BC86-78A32C13E31C}"/>
    <hyperlink ref="I4258" r:id="rId792" xr:uid="{7320EA09-44FD-4B98-BB9C-085A8E11405F}"/>
    <hyperlink ref="I1911" r:id="rId793" xr:uid="{483BA662-A439-4185-8C58-4E83227AC9A3}"/>
    <hyperlink ref="I496" r:id="rId794" xr:uid="{9499F149-6223-409F-A3EF-8C55FCA2DC4D}"/>
    <hyperlink ref="I3996" r:id="rId795" xr:uid="{257C4E3C-0803-4797-9815-C4C9C29A8C99}"/>
    <hyperlink ref="I75" r:id="rId796" xr:uid="{58DE4D2C-1B41-4617-981B-38887D512DB1}"/>
    <hyperlink ref="I1343" r:id="rId797" xr:uid="{656C7EA1-736B-4732-97E2-27B4707044BD}"/>
    <hyperlink ref="I3715" r:id="rId798" xr:uid="{10F03BDD-2C17-4E65-B527-AF5387DF8C7E}"/>
    <hyperlink ref="I1704" r:id="rId799" xr:uid="{53DAA9BE-F1FB-4E7C-96D0-3CE13BAC3E73}"/>
    <hyperlink ref="I1705" r:id="rId800" xr:uid="{117E4802-219C-473D-ACA2-7EF32B7FD871}"/>
    <hyperlink ref="I3545" r:id="rId801" xr:uid="{23B3D476-DCC4-446A-8FA1-DB62B6E15773}"/>
    <hyperlink ref="I3018" r:id="rId802" xr:uid="{16B07220-5E2E-4A2E-A59A-CDE1FBDB7E60}"/>
    <hyperlink ref="I4404" r:id="rId803" xr:uid="{4EE930FA-2E97-4D21-A971-83ABC4E74474}"/>
    <hyperlink ref="I2662" r:id="rId804" xr:uid="{88C9048E-7288-4B49-9348-C4E04A89AD31}"/>
    <hyperlink ref="I1347" r:id="rId805" xr:uid="{8BF8F07B-192C-47E6-9BAE-0D7043F4577F}"/>
    <hyperlink ref="I1818" r:id="rId806" xr:uid="{25BF7CA6-0525-4F7E-AB2D-2E447DD91332}"/>
    <hyperlink ref="I1718" r:id="rId807" xr:uid="{1D0ABECB-08EB-4EA1-A88D-68C39306A546}"/>
    <hyperlink ref="I3334" r:id="rId808" xr:uid="{857E40A0-3C9F-4876-9AB7-1A6AF043BB8F}"/>
    <hyperlink ref="I4633" r:id="rId809" xr:uid="{8BFFBBF3-CA65-4A65-83B4-B1440B2D71E7}"/>
    <hyperlink ref="I2615" r:id="rId810" xr:uid="{26C9844E-AF2A-47B3-BD50-C02976D840D4}"/>
    <hyperlink ref="I2594" r:id="rId811" xr:uid="{036B4ECC-A098-4B3F-8404-428DAA89825E}"/>
    <hyperlink ref="I2622" r:id="rId812" xr:uid="{75110D19-747C-45AD-9D84-D21CAF55F263}"/>
    <hyperlink ref="I4281" r:id="rId813" xr:uid="{71096149-F453-4E70-8C01-0C8E7403E7B1}"/>
    <hyperlink ref="I2928" r:id="rId814" xr:uid="{76536914-7A93-42A6-B10C-C8D30EEEB2AF}"/>
    <hyperlink ref="I2929" r:id="rId815" xr:uid="{2C13A1BA-E020-4CFE-A97D-975D22ECCA42}"/>
    <hyperlink ref="I3689" r:id="rId816" xr:uid="{686596E0-810A-4C57-BDD5-4FB0077DE100}"/>
    <hyperlink ref="I1150" r:id="rId817" xr:uid="{AF1A9918-F4E7-423D-A1CA-85830D084061}"/>
    <hyperlink ref="I4145" r:id="rId818" xr:uid="{5DAA45B9-9449-44DA-B9C2-4217876927CF}"/>
    <hyperlink ref="I1600" r:id="rId819" xr:uid="{D81B260B-76CE-4E22-9F06-19D4C42A4D96}"/>
    <hyperlink ref="I3958" r:id="rId820" display="mailto:stgermain@rpmrealestate.com.au" xr:uid="{55E546AC-9E3C-4826-84A2-4CCC33FE6911}"/>
    <hyperlink ref="I2598" r:id="rId821" xr:uid="{9FFD0D64-75F7-4A07-94E8-655361D53872}"/>
    <hyperlink ref="I354" r:id="rId822" xr:uid="{B3CD51B7-31F7-414A-BBFA-DB0CFF6AE518}"/>
    <hyperlink ref="I391" r:id="rId823" xr:uid="{63236399-E464-4DE7-B73C-8247A2148C04}"/>
    <hyperlink ref="I1305" r:id="rId824" xr:uid="{60F4C176-768D-4A7E-AB62-514670ABF2A8}"/>
    <hyperlink ref="I2036" r:id="rId825" display="mailto:thuyen@bpg.com.au" xr:uid="{4FFD2A08-34B5-4A16-9754-2C923EB62286}"/>
    <hyperlink ref="I4833" r:id="rId826" xr:uid="{26FB071C-C89F-492D-A76C-F80EC6DF6DF6}"/>
    <hyperlink ref="I1205" r:id="rId827" display="mailto:angelo.granata@peet.com.au" xr:uid="{521BB5A4-B789-41B3-ADC8-B2AAD8740E30}"/>
    <hyperlink ref="I2050" r:id="rId828" xr:uid="{13AE482E-1602-493D-BD8D-45448AAE902D}"/>
    <hyperlink ref="I446" r:id="rId829" xr:uid="{20380768-AEA9-4EED-A7AA-B0C1846BE176}"/>
    <hyperlink ref="I4838" r:id="rId830" xr:uid="{473B1DB5-413B-4849-82C8-A90609E388AA}"/>
    <hyperlink ref="I333" r:id="rId831" xr:uid="{7B455F89-8582-41A6-883E-B89DFA73267A}"/>
    <hyperlink ref="I468" r:id="rId832" xr:uid="{3F0A860E-529C-4330-95B0-936F22A5E2C7}"/>
    <hyperlink ref="I360" r:id="rId833" xr:uid="{6BB3E926-D141-4BE8-895E-D6E8C9B343EB}"/>
    <hyperlink ref="I4419" r:id="rId834" xr:uid="{3BB4A74C-F841-4885-B8A3-7FC27AA14F78}"/>
    <hyperlink ref="I4422" r:id="rId835" xr:uid="{1E49AA16-4FAF-4B50-960A-7E54F61EDC1F}"/>
    <hyperlink ref="I4445" r:id="rId836" xr:uid="{6066B019-CB7E-4BE6-AF21-09B35B0EEA46}"/>
    <hyperlink ref="I892" r:id="rId837" xr:uid="{53EBFA05-33FA-45CF-B42F-CE54E840D4A3}"/>
    <hyperlink ref="I893" r:id="rId838" xr:uid="{58555263-9AB2-4625-BA55-AF49711A55D7}"/>
    <hyperlink ref="I895" r:id="rId839" xr:uid="{E14B4D88-FADC-47E5-A364-F9ED8B662C16}"/>
    <hyperlink ref="I685" r:id="rId840" xr:uid="{031BF445-C858-401C-9875-FB9CD74415E3}"/>
    <hyperlink ref="I469" r:id="rId841" xr:uid="{11DB813C-E328-4E63-B72C-7DD4D1AF0051}"/>
    <hyperlink ref="I705" r:id="rId842" xr:uid="{91DAAEAE-B705-41F9-9244-EC0D7B88E752}"/>
    <hyperlink ref="I327" r:id="rId843" xr:uid="{29D897C7-FEF1-4898-BF97-CA5AFD9EC053}"/>
    <hyperlink ref="I258" r:id="rId844" xr:uid="{07C08DD4-D3D8-43C1-8C69-028661E08A36}"/>
    <hyperlink ref="I2044" r:id="rId845" xr:uid="{B2AA9547-22DE-4F8B-B3FE-C4E810336382}"/>
    <hyperlink ref="I3621" r:id="rId846" xr:uid="{C9805F2C-CA7A-4D1F-B0C3-6FC608AFD8B7}"/>
    <hyperlink ref="I1594" r:id="rId847" xr:uid="{D227DD52-7272-48FE-9818-BA6F923E36DE}"/>
    <hyperlink ref="I4831" r:id="rId848" xr:uid="{3CE10064-46BD-401E-AE97-18106DAA64BF}"/>
    <hyperlink ref="I2423" r:id="rId849" xr:uid="{89902F85-B212-415B-B09E-2B3DE99F1FB5}"/>
    <hyperlink ref="I2424" r:id="rId850" xr:uid="{94625583-AF6A-4C28-8FA7-EA01560E9D38}"/>
    <hyperlink ref="I1820" r:id="rId851" xr:uid="{1292BDF6-F6E2-47BD-89A2-06374500551A}"/>
    <hyperlink ref="I2046" r:id="rId852" xr:uid="{2DFF6AD3-50CC-4D08-8492-8F53FDD30FE8}"/>
    <hyperlink ref="I4253" r:id="rId853" xr:uid="{ED0F8359-09A7-42EC-8051-9E6ADBB2CCE0}"/>
    <hyperlink ref="I2728" r:id="rId854" xr:uid="{37FC8178-251A-4832-8992-98C1698244C1}"/>
    <hyperlink ref="I4095" r:id="rId855" xr:uid="{19BE0B55-9A27-4220-83AA-642959E47832}"/>
    <hyperlink ref="I1350" r:id="rId856" xr:uid="{95049D87-967C-4837-B060-6860CBF6C961}"/>
    <hyperlink ref="I4002" r:id="rId857" xr:uid="{547EB918-6C68-4983-A5E1-EC286FA42607}"/>
    <hyperlink ref="I4407" r:id="rId858" xr:uid="{7793F98A-7D8E-4DF0-AF76-8C067CF4C5F6}"/>
    <hyperlink ref="I1960" r:id="rId859" xr:uid="{1AB0A987-D354-47AE-A0C8-C1C2A31AF815}"/>
    <hyperlink ref="I649" r:id="rId860" xr:uid="{F350C6F1-947A-40C8-96A9-126C060AE3F6}"/>
    <hyperlink ref="I4634" r:id="rId861" xr:uid="{FB9B449E-8718-419B-9494-3930623AB14D}"/>
    <hyperlink ref="I1392" r:id="rId862" xr:uid="{3341409F-54C6-4A9F-B822-1D730F7C0E04}"/>
    <hyperlink ref="I429" r:id="rId863" xr:uid="{CB65113F-CC01-4CF1-8791-38881B8F1066}"/>
    <hyperlink ref="I1035" r:id="rId864" xr:uid="{9DDA9DDE-74E0-40E0-B670-E3D56016E077}"/>
    <hyperlink ref="I4648" r:id="rId865" xr:uid="{5CA92EB9-F8FD-4541-A33B-51900C4A6FE1}"/>
    <hyperlink ref="I384" r:id="rId866" xr:uid="{3D44DF4B-4B25-48C1-8CE8-DE50E7EB9FA3}"/>
    <hyperlink ref="I4297" r:id="rId867" xr:uid="{77F65DD2-8333-482D-BA85-0DF0D8C8A395}"/>
    <hyperlink ref="I4298" r:id="rId868" xr:uid="{A155934A-4A98-4B5A-9E10-E10AB0209A1A}"/>
    <hyperlink ref="I4300" r:id="rId869" xr:uid="{010998F3-50E8-402C-9690-055AAC3F4316}"/>
    <hyperlink ref="I4299" r:id="rId870" xr:uid="{83D5F4DD-A172-4E46-8F2A-115003C67D25}"/>
    <hyperlink ref="I3822" r:id="rId871" xr:uid="{F696684F-5C81-4226-AD73-30D7F66B3C3E}"/>
    <hyperlink ref="I2418" r:id="rId872" xr:uid="{95AEE06F-E590-42CC-A51A-25ED579B3ED3}"/>
    <hyperlink ref="I1314" r:id="rId873" xr:uid="{ACF35748-797A-4821-BD52-156EE92E00A8}"/>
    <hyperlink ref="I1315" r:id="rId874" xr:uid="{E0171B5D-E668-455B-BA8D-4DD0DDEB46C2}"/>
    <hyperlink ref="I1710" r:id="rId875" xr:uid="{14C2A857-618A-416A-8365-770BA6B22781}"/>
    <hyperlink ref="I1711" r:id="rId876" xr:uid="{AFC35E88-217F-4041-B3BE-B4B44858D7FF}"/>
    <hyperlink ref="I896" r:id="rId877" xr:uid="{F4CF196D-626E-47FE-84B3-AADA9EFE8762}"/>
    <hyperlink ref="I4260" r:id="rId878" xr:uid="{57807DC7-220F-4603-952A-3C5B7E304084}"/>
    <hyperlink ref="I471" r:id="rId879" xr:uid="{C4E4FE6D-450D-439D-846B-4471983AC8F3}"/>
    <hyperlink ref="I1133" r:id="rId880" xr:uid="{C393E41A-2401-4389-8023-C8A03F210729}"/>
    <hyperlink ref="I4627" r:id="rId881" xr:uid="{4B150A92-9467-4E2E-9F77-ED61D8D18E58}"/>
    <hyperlink ref="I2425" r:id="rId882" xr:uid="{FC600CA3-9A6F-49F4-BFA6-1A8F87B58180}"/>
    <hyperlink ref="I383" r:id="rId883" xr:uid="{3315E610-DE13-411E-8C93-62E96F3D20B5}"/>
    <hyperlink ref="I2188" r:id="rId884" xr:uid="{2B196FFE-FE93-4149-81D8-42D56A04754C}"/>
    <hyperlink ref="I78" r:id="rId885" xr:uid="{CF0DF93A-545F-48C9-B3F6-F3153B202A9D}"/>
    <hyperlink ref="I77" r:id="rId886" xr:uid="{8E67A318-2E3E-4697-BEAD-B7EE2CADEE82}"/>
    <hyperlink ref="I3055" r:id="rId887" xr:uid="{B6A73180-AE05-498B-A98E-D8737ADEB0BB}"/>
    <hyperlink ref="I547" r:id="rId888" xr:uid="{D8ED4F21-3775-45EB-B77C-353D5DCA6EBA}"/>
    <hyperlink ref="I4460" r:id="rId889" xr:uid="{69C97C57-28F9-44E8-B95D-C6C9896DA3BC}"/>
    <hyperlink ref="I85" r:id="rId890" xr:uid="{C2B8C7F0-CF67-493E-9F7F-8A609DEBF45F}"/>
    <hyperlink ref="I4891" r:id="rId891" xr:uid="{6EC24466-CE7E-4E3F-83C1-FE23BF0016B8}"/>
    <hyperlink ref="I4892" r:id="rId892" xr:uid="{C676CC10-A4A6-49FB-8930-3817601E3FBC}"/>
    <hyperlink ref="I4893" r:id="rId893" xr:uid="{EE8B4EAE-7BCF-4CC8-98A9-75B7E456300E}"/>
    <hyperlink ref="I3714" r:id="rId894" xr:uid="{6F580007-9636-4DE4-85E6-E796890A934C}"/>
    <hyperlink ref="I3406" r:id="rId895" xr:uid="{C303E285-C75C-46AD-941C-4DB52EFABA90}"/>
    <hyperlink ref="I3407" r:id="rId896" xr:uid="{61A2450D-6349-4134-AD96-72F0956E0206}"/>
    <hyperlink ref="I3408" r:id="rId897" xr:uid="{C729F212-C2AF-44B9-BA2E-FABA36663327}"/>
    <hyperlink ref="I3410" r:id="rId898" xr:uid="{C02A0FB0-3E36-4D9D-B292-4D35047325E9}"/>
    <hyperlink ref="I3409" r:id="rId899" xr:uid="{080FBBC4-76AB-4CD2-8944-BA20FAD4EE8C}"/>
    <hyperlink ref="I2638" r:id="rId900" xr:uid="{1FD7A4C7-BE0C-45E2-8EB8-04981E2F4767}"/>
    <hyperlink ref="I325" r:id="rId901" xr:uid="{0530717B-7951-43F9-91F1-255CD5E77BD2}"/>
    <hyperlink ref="I2045" r:id="rId902" xr:uid="{5779297B-1804-4332-8519-B3B0B126072E}"/>
    <hyperlink ref="I707" r:id="rId903" xr:uid="{A2D7A520-C455-4F98-9166-F442382CE1D9}"/>
    <hyperlink ref="I4467" r:id="rId904" xr:uid="{A0C72E1D-519F-4B71-908F-EE8D7106C1EC}"/>
    <hyperlink ref="I926" r:id="rId905" xr:uid="{CD51CAAD-E680-40EE-882A-0E93F57BA97A}"/>
    <hyperlink ref="I934" r:id="rId906" xr:uid="{07AC145B-1C44-49D1-B355-AA26676B6B1F}"/>
    <hyperlink ref="I1959" r:id="rId907" xr:uid="{B5E3E74E-C7B6-44DD-8EBD-82909CE68E30}"/>
    <hyperlink ref="I905" r:id="rId908" xr:uid="{97D7C235-EFD1-4D62-ABE4-C8DE2B55D272}"/>
    <hyperlink ref="I1029" r:id="rId909" xr:uid="{5E57E000-EF78-4DC1-831D-862ACC4771EB}"/>
    <hyperlink ref="I1033" r:id="rId910" xr:uid="{936A9D56-067C-428C-AA99-818424F2586E}"/>
    <hyperlink ref="I1034" r:id="rId911" xr:uid="{D4DDF9A7-3CA4-4621-9F8E-037925105408}"/>
    <hyperlink ref="I4094" r:id="rId912" xr:uid="{D0EAB96B-A557-4058-928B-FA91CDC3DB53}"/>
    <hyperlink ref="I2431" r:id="rId913" xr:uid="{C9D9C7E4-EA4F-4841-8C60-E543D7A95FD8}"/>
    <hyperlink ref="I257" r:id="rId914" xr:uid="{307DBFF5-E00C-438E-B97F-B9DDA841E9D0}"/>
    <hyperlink ref="I4449" r:id="rId915" xr:uid="{CB9B7D6D-30AB-4A9F-9148-76135717D86E}"/>
    <hyperlink ref="I4706" r:id="rId916" xr:uid="{A32FDAA1-8E79-4583-A73D-3AB0839AF5FD}"/>
    <hyperlink ref="I4658" r:id="rId917" xr:uid="{91918A16-6917-4C32-85C1-22559DDFC8CF}"/>
    <hyperlink ref="I2107" r:id="rId918" xr:uid="{81C0E619-EBA2-4383-9E1E-E93BC749E01D}"/>
    <hyperlink ref="I540" r:id="rId919" xr:uid="{53E47797-5D31-497F-BF4E-5C6F2051B9FF}"/>
    <hyperlink ref="I2113" r:id="rId920" xr:uid="{40935CC1-4DEB-4ADD-B6EE-FDE2996B1F84}"/>
    <hyperlink ref="I3072" r:id="rId921" xr:uid="{67D376E3-76E9-4D21-AC9B-653C66F5910A}"/>
    <hyperlink ref="I3079" r:id="rId922" xr:uid="{A930B72C-0776-4717-9EEA-6FFEA9B73239}"/>
    <hyperlink ref="I4451" r:id="rId923" xr:uid="{AAEF6FDD-1E70-4458-A5E7-B86DE162A3F6}"/>
    <hyperlink ref="I4881" r:id="rId924" xr:uid="{B4ABF78C-AD95-418B-A63A-9E4D012F04E9}"/>
    <hyperlink ref="I3941" r:id="rId925" xr:uid="{F2EBE5F6-6746-4A64-B073-9EE1FF2660E0}"/>
    <hyperlink ref="I4682" r:id="rId926" xr:uid="{5E97924A-1264-4321-8858-17C1BF186186}"/>
    <hyperlink ref="I1956" r:id="rId927" xr:uid="{24305FEB-7CCE-48A5-85CF-CFF5B2E8D3E7}"/>
    <hyperlink ref="I486" r:id="rId928" xr:uid="{C393B296-4292-4F8F-96DA-558440F77B0A}"/>
    <hyperlink ref="I4309" r:id="rId929" xr:uid="{52D4ED25-8D5B-4DF2-A35E-5F787368BEFA}"/>
    <hyperlink ref="I1906" r:id="rId930" xr:uid="{5742DD35-618F-4130-A2D6-26C2DE03FB88}"/>
    <hyperlink ref="I1916" r:id="rId931" xr:uid="{B6C60E4C-0EF7-4E1D-AED3-4F12FE83A129}"/>
    <hyperlink ref="I2914" r:id="rId932" xr:uid="{ABAA04E9-AB90-403C-9A36-39DEE61CA14B}"/>
    <hyperlink ref="I1909" r:id="rId933" xr:uid="{AB356DB4-2F86-4816-8118-3F042D7FB623}"/>
    <hyperlink ref="I3903" r:id="rId934" xr:uid="{97E87F29-D69A-48B2-A5CF-5DC60B9FDE4B}"/>
    <hyperlink ref="I2549" r:id="rId935" xr:uid="{78DCCBF8-913E-41AE-A611-958730C49406}"/>
    <hyperlink ref="I4380" r:id="rId936" xr:uid="{B9E900D0-153E-4665-8023-B238D43A3CB7}"/>
    <hyperlink ref="I1914" r:id="rId937" xr:uid="{790B3B14-72A9-4FF8-8F2A-61EB787968B3}"/>
    <hyperlink ref="I3713" r:id="rId938" xr:uid="{65084C0A-CD01-4523-9B07-C932A083844D}"/>
    <hyperlink ref="I4742" r:id="rId939" xr:uid="{41F88757-7302-46B6-93BE-5BB9D8D0E50F}"/>
    <hyperlink ref="I3998" r:id="rId940" xr:uid="{F26486C5-7455-4C0E-99EE-3C552143F1BD}"/>
    <hyperlink ref="I4161" r:id="rId941" xr:uid="{BE5A4B8C-46EA-4D76-A695-E6ADC6648386}"/>
    <hyperlink ref="I4162" r:id="rId942" xr:uid="{C14983A2-662E-435C-ACAB-257740472BBA}"/>
    <hyperlink ref="I1210" r:id="rId943" display="mailto:angelo.granata@peet.com.au" xr:uid="{B8F2B11A-B2E3-4FE6-AA70-86E491C2744D}"/>
    <hyperlink ref="I2628" r:id="rId944" xr:uid="{1ACF929B-D864-43EE-B913-C7474D23E379}"/>
    <hyperlink ref="I2629" r:id="rId945" xr:uid="{36956EAE-FAA5-4972-9732-2AC4806EC380}"/>
    <hyperlink ref="I2630" r:id="rId946" xr:uid="{4510139F-EC29-427A-80BE-9C98C5B28D1B}"/>
    <hyperlink ref="I4405" r:id="rId947" xr:uid="{DEE92B50-ABF6-4568-AE9A-6808519F2194}"/>
    <hyperlink ref="I441" r:id="rId948" xr:uid="{6C591D17-F73C-401F-B32A-252718E2B2AE}"/>
    <hyperlink ref="I1393" r:id="rId949" xr:uid="{F632344D-014A-4AB2-9BA4-0C92C456F260}"/>
    <hyperlink ref="I3959" r:id="rId950" display="mailto:stgermain@rpmrealestate.com.au" xr:uid="{013AD340-546B-441A-B839-BE3BDDAECAE5}"/>
    <hyperlink ref="I4676" r:id="rId951" xr:uid="{87F5750E-2CC2-4FA8-825A-7CE942A3B873}"/>
    <hyperlink ref="I4873" r:id="rId952" xr:uid="{B33AAEF8-B3F3-4077-9F2B-8A5F11C391F5}"/>
    <hyperlink ref="I473" r:id="rId953" xr:uid="{2287EDB2-4E15-410A-9B0F-C8E09048D1B3}"/>
    <hyperlink ref="I1910" r:id="rId954" xr:uid="{99469A50-211F-4880-A98B-1B55387A8BFB}"/>
    <hyperlink ref="I2822" r:id="rId955" xr:uid="{141E075F-8688-47B7-882E-E9647E0DFB93}"/>
    <hyperlink ref="I4894" r:id="rId956" xr:uid="{C96AEB25-7846-4B9D-8E17-E392D42589CB}"/>
    <hyperlink ref="I1296" r:id="rId957" xr:uid="{C92E6AA5-1E6B-4D12-B6CE-1D29C86CDE24}"/>
    <hyperlink ref="I3328" r:id="rId958" xr:uid="{59D97A7A-15E1-42C4-A73A-843ECF51ABA9}"/>
    <hyperlink ref="I1535" r:id="rId959" xr:uid="{9073B492-B580-45F9-8206-8148647EB062}"/>
    <hyperlink ref="I558" r:id="rId960" xr:uid="{B181B830-BB42-4F4D-A4CE-EB0675A91140}"/>
    <hyperlink ref="I1381" r:id="rId961" xr:uid="{2110EE4D-4C89-47F3-B47E-BB0B94DF501C}"/>
    <hyperlink ref="I3719" r:id="rId962" xr:uid="{318848AB-E939-4F0B-84B1-AD986BC41860}"/>
    <hyperlink ref="I2581" r:id="rId963" xr:uid="{98624B24-1C84-498B-A487-67D7D6422504}"/>
    <hyperlink ref="I4447" r:id="rId964" xr:uid="{531C3031-B864-490D-BA90-313D09B58C5F}"/>
    <hyperlink ref="I3725" r:id="rId965" xr:uid="{5CDEA476-0856-42B6-B3D7-1E0C4D9D41FF}"/>
    <hyperlink ref="I2550" r:id="rId966" xr:uid="{5B0F0AA2-ABBF-483A-89E5-97FA3F3D70E3}"/>
    <hyperlink ref="I1460" r:id="rId967" display="mailto:sara.lowe@eigdevelopments.com.au" xr:uid="{75C8AF46-D0CE-46EC-8080-EEA8087E5DD2}"/>
    <hyperlink ref="I4262" r:id="rId968" xr:uid="{BF2CC18E-6385-4897-81EF-91F16F077846}"/>
    <hyperlink ref="I4661" r:id="rId969" xr:uid="{788F9474-ECBD-443D-AB39-2B8F5A0998E2}"/>
    <hyperlink ref="I681" r:id="rId970" xr:uid="{1FBC5939-3672-4AA1-A79F-2CB646BDA8F7}"/>
    <hyperlink ref="I4740" r:id="rId971" xr:uid="{874B5417-D223-4498-AA50-A2C0F6C1D8B0}"/>
    <hyperlink ref="I218" r:id="rId972" xr:uid="{EECF57D1-58CC-43E0-BF41-BDE7C272498F}"/>
    <hyperlink ref="I4677" r:id="rId973" xr:uid="{BB929ACD-F4FD-4EFB-BCD1-EC87F9E94E07}"/>
    <hyperlink ref="I3049" r:id="rId974" xr:uid="{2744EDD5-A3C1-4B21-9F47-3E08B88B42A3}"/>
    <hyperlink ref="I897" r:id="rId975" xr:uid="{E345067B-BECA-49D9-B079-D4B6F29945F4}"/>
    <hyperlink ref="I144" r:id="rId976" display="mailto:alira@rpmrealestate.com.au" xr:uid="{B754581A-659E-40AA-BC09-239C54A9270E}"/>
    <hyperlink ref="I2073" r:id="rId977" xr:uid="{FE625DEA-9124-4F8A-9694-C057D75CA57E}"/>
    <hyperlink ref="I1294" r:id="rId978" xr:uid="{8173B1F3-F23D-45DA-8AE2-81C91006BCFD}"/>
    <hyperlink ref="I2193" r:id="rId979" xr:uid="{440D21F3-0A76-426A-B6FF-AD5431289F10}"/>
    <hyperlink ref="I4644" r:id="rId980" xr:uid="{56BB6990-C416-4DCC-914A-DC48B461D436}"/>
    <hyperlink ref="I1932" r:id="rId981" xr:uid="{C54BB364-3EA3-4042-A658-DA53EAFD5F42}"/>
    <hyperlink ref="I2372" r:id="rId982" xr:uid="{C7BEED17-26FC-435A-AE4F-B7F883A691FD}"/>
    <hyperlink ref="I1348" r:id="rId983" xr:uid="{3774B8BC-9A81-4735-9830-87ED9ABCD025}"/>
    <hyperlink ref="I4252" r:id="rId984" xr:uid="{40D70128-792B-4DE6-B0BD-EFCD9A3223D4}"/>
    <hyperlink ref="I3626" r:id="rId985" xr:uid="{20D2CF43-9391-4123-B426-624001F08C3F}"/>
    <hyperlink ref="I320" r:id="rId986" xr:uid="{E0596583-3669-44EF-9DE8-F43C5337FFB4}"/>
    <hyperlink ref="I4778" r:id="rId987" xr:uid="{EEBA9FB4-901A-42B7-8F69-5602634B41BB}"/>
    <hyperlink ref="I4246" r:id="rId988" xr:uid="{50FF4313-9DB5-4C35-9984-36F6A82B2D0C}"/>
    <hyperlink ref="I4268" r:id="rId989" xr:uid="{8B8359D6-90D6-4074-80DD-F7260899F25E}"/>
    <hyperlink ref="I4271" r:id="rId990" xr:uid="{4F9690E9-3624-4CC2-B9CC-68D54DEC9BC6}"/>
    <hyperlink ref="I842" r:id="rId991" xr:uid="{FD29CC8A-5B0B-4E03-9E22-C0C4432DBDE3}"/>
    <hyperlink ref="I4261" r:id="rId992" xr:uid="{3432C2DC-8939-49E1-B9D7-200E4B720778}"/>
    <hyperlink ref="I4645" r:id="rId993" xr:uid="{69E746F3-281E-48A0-85D7-BF2373A20EA5}"/>
    <hyperlink ref="I2190" r:id="rId994" xr:uid="{9B057C94-CD1C-48B0-9050-B63DA7A39367}"/>
    <hyperlink ref="I3071" r:id="rId995" xr:uid="{6308FFAA-E239-4E2D-90AD-8F6873CBDB79}"/>
    <hyperlink ref="I3655" r:id="rId996" xr:uid="{71581AC4-42D4-4644-9A89-E4395268EEB0}"/>
    <hyperlink ref="I3744" r:id="rId997" xr:uid="{FEFFEE30-967E-401A-B351-4E17EC96C35F}"/>
    <hyperlink ref="I3004" r:id="rId998" xr:uid="{868F23C2-EA77-4828-B832-80495783144E}"/>
    <hyperlink ref="I206" r:id="rId999" xr:uid="{5B7371E5-2101-4CE4-96F3-09CB6B017DD5}"/>
    <hyperlink ref="I2995" r:id="rId1000" xr:uid="{CFC8960D-B958-4B92-9D01-844DE15A4DCB}"/>
    <hyperlink ref="I4280" r:id="rId1001" xr:uid="{1E8DE5E3-4091-4206-8990-C91980F3DD54}"/>
    <hyperlink ref="I4895" r:id="rId1002" xr:uid="{82AD354D-14BB-443E-8CD4-D010A73E4958}"/>
    <hyperlink ref="I1867" r:id="rId1003" xr:uid="{19F3D6A6-81B3-4B95-8716-D7BFBF20DAB4}"/>
    <hyperlink ref="I4745" r:id="rId1004" xr:uid="{D51C46C6-E277-47B3-AB3D-B0BEECC4861C}"/>
    <hyperlink ref="I4744" r:id="rId1005" xr:uid="{092333D5-924C-4A52-8C09-5190A593E806}"/>
    <hyperlink ref="I4743" r:id="rId1006" xr:uid="{C1F286AA-449D-4FC1-BA68-F732F0BF053D}"/>
    <hyperlink ref="I474" r:id="rId1007" xr:uid="{16613394-DE1A-47F6-8F84-D800DCAFA7A5}"/>
    <hyperlink ref="I3550" r:id="rId1008" xr:uid="{09AAFFA9-8A0B-44C3-9141-EAAEC8C2A427}"/>
    <hyperlink ref="I3157" r:id="rId1009" xr:uid="{D3FA035C-7649-407D-83EB-68C0650AA1FB}"/>
    <hyperlink ref="I782" r:id="rId1010" xr:uid="{DC9C4329-B43E-4ACA-9FB7-A53423122134}"/>
    <hyperlink ref="I3946" r:id="rId1011" xr:uid="{EA7B6547-BA91-4DA0-9C0E-BB4233346832}"/>
    <hyperlink ref="I4259" r:id="rId1012" xr:uid="{581841EB-2708-4ABF-A7DE-7B1C6025EF35}"/>
    <hyperlink ref="I3450" r:id="rId1013" xr:uid="{14A00306-AD6D-4556-B755-BF23DFEE769B}"/>
    <hyperlink ref="I4646" r:id="rId1014" xr:uid="{32CD94A0-3C82-4EAF-8349-C726B9CA345F}"/>
    <hyperlink ref="I361" r:id="rId1015" xr:uid="{80CB67CA-2F96-4270-893F-8C95F298C6E8}"/>
    <hyperlink ref="I758" r:id="rId1016" xr:uid="{3FFC4DB0-1504-4886-9442-2429BC70D264}"/>
    <hyperlink ref="I1132" r:id="rId1017" xr:uid="{233AD620-1A70-4373-A54A-FA99C2074F4B}"/>
    <hyperlink ref="I3966" r:id="rId1018" display="mailto:stgermain@rpmrealestate.com.au" xr:uid="{D0DA7A69-651E-4142-AD78-E29EF9C4C1EF}"/>
    <hyperlink ref="I2902" r:id="rId1019" display="Jessica.Hammond@stockland.com.au" xr:uid="{78BF7FAD-3236-4500-9CDB-5DF2965F679C}"/>
    <hyperlink ref="I156" r:id="rId1020" display="mailto:alira@rpmrealestate.com.au" xr:uid="{F16B5357-85A5-4F86-BF40-B106D7A8C931}"/>
    <hyperlink ref="I2706" r:id="rId1021" xr:uid="{2E0241DD-E635-458E-9A38-1A302E1EA3F1}"/>
    <hyperlink ref="I2719" r:id="rId1022" xr:uid="{E6239FAA-E8E2-43D2-B632-6CC798A5B7EB}"/>
    <hyperlink ref="I4455" r:id="rId1023" xr:uid="{EC2531B6-66B1-4DE2-BD7F-66BB3A5CB9BA}"/>
    <hyperlink ref="I2858" r:id="rId1024" xr:uid="{63749BE8-2EA9-47C7-8139-599082128805}"/>
    <hyperlink ref="I4746" r:id="rId1025" xr:uid="{2BBE6F6C-2CD6-4FB2-9DC0-90B7EC0DB14B}"/>
    <hyperlink ref="I4780" r:id="rId1026" xr:uid="{0986C002-DD9D-4620-8FDC-F4318421AB32}"/>
    <hyperlink ref="I3607" r:id="rId1027" xr:uid="{E1CBE8C5-17D8-4C59-823F-DA91C3460A0A}"/>
    <hyperlink ref="I1429" r:id="rId1028" xr:uid="{7DA4740B-0CD9-4E67-8175-47EC52C6BE07}"/>
    <hyperlink ref="I1432" r:id="rId1029" xr:uid="{FB5078A5-E5E3-4EB9-8191-8F94E549B853}"/>
    <hyperlink ref="I4841" r:id="rId1030" xr:uid="{0D3B9432-0389-4CEA-9C24-60D57A50D9AE}"/>
    <hyperlink ref="I3695" r:id="rId1031" xr:uid="{E9078DD8-2165-4952-8DDE-280C1C36DA26}"/>
    <hyperlink ref="I907" r:id="rId1032" xr:uid="{8C0C5C34-15E0-4D4A-A217-2F9ADB666381}"/>
    <hyperlink ref="I1964" r:id="rId1033" xr:uid="{12E149D8-C1F8-4EFE-9279-67BFB621B869}"/>
    <hyperlink ref="I561" r:id="rId1034" xr:uid="{5F20726C-7145-451F-8D2C-F76481949E2C}"/>
    <hyperlink ref="I611" r:id="rId1035" display="mailto:austin@latituderealestate.com.au" xr:uid="{C1C508AB-23BD-4A5B-9FDF-5DF6F5F35E48}"/>
    <hyperlink ref="I3411" r:id="rId1036" xr:uid="{2734A359-6398-4178-B567-5E7D84A68A4B}"/>
    <hyperlink ref="I1965" r:id="rId1037" display="mailto:mark.scordia@gmail.com" xr:uid="{610DBB17-2650-430C-860F-9EDE6D38D7CA}"/>
    <hyperlink ref="I2035" r:id="rId1038" display="mailto:thuyen@bpg.com.au" xr:uid="{5C494D63-0A6F-4875-A2BF-6EDDA78C2D51}"/>
    <hyperlink ref="I3678" r:id="rId1039" xr:uid="{A5FA15C2-D7AF-45E9-A637-F909D6B8DEF0}"/>
    <hyperlink ref="I4286" r:id="rId1040" xr:uid="{322D05A1-AFBC-4D67-97EB-24F5006D5E4F}"/>
    <hyperlink ref="I2074" r:id="rId1041" xr:uid="{F56E7871-4CED-45A5-8FC5-8EB090B3B7F2}"/>
    <hyperlink ref="I3000" r:id="rId1042" xr:uid="{54439C0B-C5F3-45D3-9E94-2B68F81EC21C}"/>
    <hyperlink ref="I4288" r:id="rId1043" xr:uid="{A8E8D636-2E7D-4D02-9AB2-E33C31319757}"/>
    <hyperlink ref="I2632" r:id="rId1044" xr:uid="{0CD33219-9A50-4C7C-BCB2-2393A52DE531}"/>
    <hyperlink ref="I2633" r:id="rId1045" xr:uid="{006D079C-3045-44FD-AAD1-463519262DEA}"/>
    <hyperlink ref="I3962" r:id="rId1046" display="mailto:stgermain@rpmrealestate.com.au" xr:uid="{E77250A3-D3BD-48A3-8BB4-2091D8D79997}"/>
    <hyperlink ref="I4594" r:id="rId1047" xr:uid="{919F6AB8-84FE-46E5-944F-41B3CFD1694B}"/>
    <hyperlink ref="I4427" r:id="rId1048" xr:uid="{13B099A9-A61C-4E5F-9E0A-0E1E450C7EBA}"/>
    <hyperlink ref="I2655" r:id="rId1049" xr:uid="{FDFD7E1D-0A37-4B33-B44A-0E47FCED9731}"/>
    <hyperlink ref="I788" r:id="rId1050" xr:uid="{39EFD989-16DD-4005-A67F-4E8CA82DFD3D}"/>
    <hyperlink ref="I460" r:id="rId1051" xr:uid="{661DF9E1-8FF3-4C36-853A-2AD5E11E327A}"/>
    <hyperlink ref="I4104" r:id="rId1052" xr:uid="{D969B3FB-1CB5-432C-85D2-4CF46C720994}"/>
    <hyperlink ref="I1461" r:id="rId1053" xr:uid="{487A9925-EE5B-4646-A001-C4D2D56214F9}"/>
    <hyperlink ref="I4263" r:id="rId1054" xr:uid="{9AD53A08-47F2-4F36-ABD8-7C3462B0A095}"/>
    <hyperlink ref="I3440" r:id="rId1055" xr:uid="{B0557C57-C0E6-438A-93B8-BBD8BADF0A70}"/>
    <hyperlink ref="I3439" r:id="rId1056" xr:uid="{6D2CF537-A858-436B-93E3-9B75F2838EBA}"/>
    <hyperlink ref="I3329" r:id="rId1057" xr:uid="{0C78452A-08B1-4F0B-8BE7-18672B1A293F}"/>
    <hyperlink ref="I321" r:id="rId1058" xr:uid="{EE5B3D7F-3C7A-46F3-A7FB-CEDF5DD7647B}"/>
    <hyperlink ref="I1408" r:id="rId1059" display="mailto:Eliston@rpmrealestate.com.au" xr:uid="{8C72090E-D34B-48A1-9817-1CD48F8C6498}"/>
    <hyperlink ref="I3551" r:id="rId1060" xr:uid="{83E95503-67C9-4CA2-A293-DF362A48DA40}"/>
    <hyperlink ref="I2434" r:id="rId1061" xr:uid="{0E687292-969A-4F21-804A-755CACC94ABD}"/>
    <hyperlink ref="I2435" r:id="rId1062" xr:uid="{01438F8B-3AC5-4F74-974D-A05DA15632B7}"/>
    <hyperlink ref="I107" r:id="rId1063" xr:uid="{D02F8E0D-A222-4433-A881-CFF12FA157F9}"/>
    <hyperlink ref="I1312" r:id="rId1064" xr:uid="{8E002454-24F5-4A1A-AACB-2C11BA979FEB}"/>
    <hyperlink ref="I2634" r:id="rId1065" xr:uid="{BF6B798F-D064-46C4-BA41-378C39A38340}"/>
    <hyperlink ref="I456" r:id="rId1066" xr:uid="{6B10463D-6274-4D3D-BE21-B9AAB52A0615}"/>
    <hyperlink ref="I274" r:id="rId1067" xr:uid="{B5BC21C4-4083-4935-BAE9-6D04547D53D5}"/>
    <hyperlink ref="I276" r:id="rId1068" xr:uid="{C57F5479-0ABE-4F4C-BE45-82A3520E18F6}"/>
    <hyperlink ref="I3694" r:id="rId1069" xr:uid="{52F0DE76-2780-43B3-9F06-33718A91EFD4}"/>
    <hyperlink ref="I2556" r:id="rId1070" xr:uid="{C6BB5DC7-6192-4A4C-9FF9-1B7BCE04D9CC}"/>
    <hyperlink ref="I2552" r:id="rId1071" xr:uid="{7CFDDEF7-346E-4450-869C-52B687AE7367}"/>
    <hyperlink ref="I3625" r:id="rId1072" xr:uid="{E2EF6597-6516-448D-B59A-4F8D3C5F59E5}"/>
    <hyperlink ref="I4747" r:id="rId1073" xr:uid="{F21DE423-A621-4E06-A824-48E3EF4FB3E3}"/>
    <hyperlink ref="I501" r:id="rId1074" xr:uid="{E79DC419-0FE7-4FF4-A866-5BB75F5F16FF}"/>
    <hyperlink ref="I2066" r:id="rId1075" xr:uid="{2681E9A6-ABCE-4789-94EF-B48FD9B2E3B5}"/>
    <hyperlink ref="I4639" r:id="rId1076" xr:uid="{9B8AA4B0-E7B1-463B-9AB3-D8A695CF9690}"/>
    <hyperlink ref="I262" r:id="rId1077" xr:uid="{9D51047B-86DC-4C88-A878-78A10B2136B9}"/>
    <hyperlink ref="I3800" r:id="rId1078" display="Dhouse@villaworld.com.au " xr:uid="{2ED90A0A-05B8-4480-A93A-E1691C06294E}"/>
    <hyperlink ref="I1304" r:id="rId1079" xr:uid="{A3DBD50E-9F79-4CBF-85EC-99F525E94EDD}"/>
    <hyperlink ref="I3699" r:id="rId1080" xr:uid="{C60FDDF7-86B9-423B-9073-2750A5E0F8B1}"/>
    <hyperlink ref="I2186" r:id="rId1081" xr:uid="{09C0B544-D9D4-460F-BCBA-F2931387A833}"/>
    <hyperlink ref="I478" r:id="rId1082" xr:uid="{DFBD2289-497F-4669-85A4-951A52CB6F01}"/>
    <hyperlink ref="I110" r:id="rId1083" xr:uid="{056BD14B-5B73-44C0-AC9E-610F73C65DDB}"/>
    <hyperlink ref="I2836" r:id="rId1084" xr:uid="{3528C785-7DF2-4A94-B9D8-7A1D46AB226E}"/>
    <hyperlink ref="I984" r:id="rId1085" xr:uid="{D72F0197-8F7F-454A-B737-FF9B4B576372}"/>
    <hyperlink ref="I894" r:id="rId1086" xr:uid="{31F30C1E-882A-45C9-84BB-BDC97E400C31}"/>
    <hyperlink ref="I3997" r:id="rId1087" xr:uid="{29A83949-3EB9-42EE-9942-B74F0CA6E4D0}"/>
    <hyperlink ref="I3580" r:id="rId1088" xr:uid="{CEF75BD4-76C2-46D0-8458-00BB3627DACF}"/>
    <hyperlink ref="I3581" r:id="rId1089" xr:uid="{0F02F4C6-FAF7-467E-B370-E5479F65A322}"/>
    <hyperlink ref="I1697" r:id="rId1090" xr:uid="{30465584-4A7F-4671-91C3-1387DF003B0E}"/>
    <hyperlink ref="I2872" r:id="rId1091" xr:uid="{CD0A5F07-BFC1-46B6-9807-A83401B25AC1}"/>
    <hyperlink ref="I2873" r:id="rId1092" xr:uid="{94DFB7DB-7462-4A59-AD63-8E2EE9E8CA1E}"/>
    <hyperlink ref="I2886" r:id="rId1093" xr:uid="{BAA0E48A-D8F1-4611-A68E-DA48FC57D160}"/>
    <hyperlink ref="I3999" r:id="rId1094" xr:uid="{5F503CC0-0DC1-4832-AA45-BC72C31678E2}"/>
    <hyperlink ref="I1462" r:id="rId1095" xr:uid="{1BDB6B17-1EA1-44B2-817E-60DD76708CCA}"/>
    <hyperlink ref="I1463" r:id="rId1096" xr:uid="{1D955DE6-969E-41A5-89B5-D85E287DBEC2}"/>
    <hyperlink ref="I3330" r:id="rId1097" xr:uid="{3299CD69-C18E-4EEB-925D-292D598C00AA}"/>
    <hyperlink ref="I4877" r:id="rId1098" xr:uid="{38EF05DD-C287-48C4-837F-C9CF1E276DD5}"/>
    <hyperlink ref="I4713" r:id="rId1099" xr:uid="{E76CFDFE-AEB5-40A7-B4AD-AA159B57115E}"/>
    <hyperlink ref="I2158" r:id="rId1100" xr:uid="{5E458AB3-EF55-4A75-A373-88AB63845E9C}"/>
    <hyperlink ref="I2160" r:id="rId1101" xr:uid="{17E03F39-E740-4F3F-8881-09647A0F68AA}"/>
    <hyperlink ref="I4164" r:id="rId1102" xr:uid="{FCCCEDEC-E936-41A7-9F2F-315D909A75A4}"/>
    <hyperlink ref="I3747" r:id="rId1103" xr:uid="{38CDE24F-A232-46B7-9C6D-609971145244}"/>
    <hyperlink ref="I1394" r:id="rId1104" xr:uid="{1D5C1E97-3E49-4A01-8FDD-4008B95B6B68}"/>
    <hyperlink ref="I2204" r:id="rId1105" xr:uid="{6D19C824-DDCF-4F4F-96E5-388171E7B1E9}"/>
    <hyperlink ref="I296" r:id="rId1106" xr:uid="{82E3643A-0286-4621-822D-3CB3FFDB90FD}"/>
    <hyperlink ref="I1918" r:id="rId1107" xr:uid="{27DB3726-6165-4CC0-946D-C267A9B46EEC}"/>
    <hyperlink ref="I4465" r:id="rId1108" xr:uid="{2FAE870D-BB13-41EF-99AE-2CA8F60C3CF7}"/>
    <hyperlink ref="I545" r:id="rId1109" xr:uid="{20AEF588-284E-4ADC-9B06-8D7C9DD6A9CB}"/>
    <hyperlink ref="I3697" r:id="rId1110" xr:uid="{CE3DC8CC-D067-44E5-BE7B-2541C86CE363}"/>
    <hyperlink ref="I3144" r:id="rId1111" xr:uid="{5125DE40-5101-4DC2-97C9-9BD22A9B252E}"/>
    <hyperlink ref="I1349" r:id="rId1112" xr:uid="{B8369DA0-87CF-4C13-B34A-53615CC693CF}"/>
    <hyperlink ref="I1355" r:id="rId1113" display="mailto:evin@eightpi.com.au" xr:uid="{FED58455-24C8-43B7-846C-0B6C0FAB9E93}"/>
    <hyperlink ref="I1542" r:id="rId1114" xr:uid="{AFADE37B-8908-424C-89D2-589727A93C42}"/>
    <hyperlink ref="I2802" r:id="rId1115" xr:uid="{A26FFC3D-18F7-4D6C-A1CA-E31F274DF990}"/>
    <hyperlink ref="I2803" r:id="rId1116" xr:uid="{C867CDA1-1CD8-4F43-8DC4-EB44320D306D}"/>
    <hyperlink ref="I4406" r:id="rId1117" xr:uid="{59B78E65-21AD-4C10-A7DD-2E6666EE6B30}"/>
    <hyperlink ref="I1588" r:id="rId1118" xr:uid="{19455D64-57A0-4C22-9619-48993D62B03F}"/>
    <hyperlink ref="I4874" r:id="rId1119" xr:uid="{E5507E3B-2053-48E8-8DFE-748686E65CDA}"/>
    <hyperlink ref="I3546" r:id="rId1120" xr:uid="{8E244661-5F68-4854-B5D2-28D32C53897A}"/>
    <hyperlink ref="I790" r:id="rId1121" xr:uid="{FB0DF749-A038-42A9-8FF6-F2F4AF03215B}"/>
    <hyperlink ref="I2422" r:id="rId1122" xr:uid="{DC2D7214-01AC-499E-A8D3-CF0346025DAD}"/>
    <hyperlink ref="I923" r:id="rId1123" xr:uid="{A4F9B63F-9824-44D9-8EBA-4BD932F24DF9}"/>
    <hyperlink ref="I3405" r:id="rId1124" xr:uid="{65F1EA9B-1BB3-42BE-83DB-695C25348D49}"/>
    <hyperlink ref="I3385" r:id="rId1125" xr:uid="{04856B5F-23C4-484B-81F6-850F0832765F}"/>
    <hyperlink ref="I3386" r:id="rId1126" xr:uid="{C056369D-A0AD-46A1-95AF-6CEB9BD8FAB1}"/>
    <hyperlink ref="I462" r:id="rId1127" xr:uid="{4A67C2CE-08D1-40AD-87F2-8E8186646BBF}"/>
    <hyperlink ref="I3738" r:id="rId1128" xr:uid="{0D680243-D90C-452A-92D7-5A84CD79F3F2}"/>
    <hyperlink ref="I2908" r:id="rId1129" xr:uid="{B99BD82D-C05A-439B-BCA9-BC835E95F9F5}"/>
    <hyperlink ref="I1411" r:id="rId1130" display="mailto:Eliston@rpmrealestate.com.au" xr:uid="{B4BD9198-79D8-4E0D-82C6-AF5BE9FDB83F}"/>
    <hyperlink ref="I3524" r:id="rId1131" xr:uid="{28FA0794-5F03-4388-A56F-31E578DC2CFE}"/>
    <hyperlink ref="I4143" r:id="rId1132" xr:uid="{92BEB7E1-18AF-4E73-9404-E6EE30CD7A67}"/>
    <hyperlink ref="I2047" r:id="rId1133" xr:uid="{374BFD4C-452F-4AFC-B772-E36D203F2569}"/>
    <hyperlink ref="I2051" r:id="rId1134" xr:uid="{1E54BB66-788E-4B87-BEC3-56635C695071}"/>
    <hyperlink ref="I4301" r:id="rId1135" xr:uid="{7A35A3AE-9230-41BF-823C-6B81D05E6A76}"/>
    <hyperlink ref="I2426" r:id="rId1136" xr:uid="{76595C43-BABD-4031-A407-89EC768A8D4B}"/>
    <hyperlink ref="I109" r:id="rId1137" xr:uid="{A653774C-138F-466C-A0C1-D5F9A1652B0E}"/>
    <hyperlink ref="I349" r:id="rId1138" xr:uid="{3114C3DE-04FD-440F-BB67-6F89F502FA69}"/>
    <hyperlink ref="I351" r:id="rId1139" xr:uid="{AC85BE65-6822-40C4-9435-9092148ECAD9}"/>
    <hyperlink ref="I2494" r:id="rId1140" xr:uid="{5D7491A5-2109-4EFF-892A-7F7443597D19}"/>
    <hyperlink ref="I2499" r:id="rId1141" xr:uid="{9183CD24-06DF-401A-84E6-80DE9855041A}"/>
    <hyperlink ref="I3548" r:id="rId1142" xr:uid="{D358945F-AD77-40E1-8884-270DE5AB680D}"/>
    <hyperlink ref="I3819" r:id="rId1143" xr:uid="{091357D4-0A70-44E9-AED6-C8CC8716EC46}"/>
    <hyperlink ref="I4781" r:id="rId1144" xr:uid="{A1A958DE-8B38-4D8C-BF55-32E101FA9895}"/>
    <hyperlink ref="I2072" r:id="rId1145" xr:uid="{5AAEEDDB-3B70-4469-B469-DDF3ACE67B84}"/>
    <hyperlink ref="I3525" r:id="rId1146" xr:uid="{846F5D45-7556-4C1C-9390-F44833BAA9D8}"/>
    <hyperlink ref="I4100" r:id="rId1147" xr:uid="{3B6C6EC5-88EB-438C-BF42-06C2E8DB2C6E}"/>
    <hyperlink ref="I3528" r:id="rId1148" xr:uid="{64681E79-3DC0-4DD2-92A9-87CE6C663648}"/>
    <hyperlink ref="I4897" r:id="rId1149" xr:uid="{CA2A4609-8ECC-4DED-B64F-70683F4794CC}"/>
    <hyperlink ref="I4416" r:id="rId1150" xr:uid="{3872251E-C4BC-4506-9B86-D967D1AE747A}"/>
    <hyperlink ref="I1690" r:id="rId1151" xr:uid="{70D60648-4872-47D9-9FF4-4F38A808B0A7}"/>
    <hyperlink ref="I1688" r:id="rId1152" xr:uid="{17BD97AD-E51A-4543-B2A5-F0382A9B03F0}"/>
    <hyperlink ref="I1514" r:id="rId1153" xr:uid="{C0F47250-A97E-4B91-9860-10F88A8D3508}"/>
    <hyperlink ref="I404" r:id="rId1154" xr:uid="{A25D00E7-60BD-454D-9203-9EBA39769BA3}"/>
    <hyperlink ref="I386" r:id="rId1155" xr:uid="{DC2E362E-3771-4EAC-B9CA-B3FBB9B706FB}"/>
    <hyperlink ref="I4896" r:id="rId1156" xr:uid="{8648D891-64F8-4792-AF69-CBAC850CF36E}"/>
    <hyperlink ref="I3761" r:id="rId1157" xr:uid="{3B4892C7-1D4C-454A-B200-1295CE77CA65}"/>
    <hyperlink ref="I3723" r:id="rId1158" xr:uid="{AE3DA753-3D88-4001-A06B-35235820C835}"/>
    <hyperlink ref="I2159" r:id="rId1159" xr:uid="{114963E0-FBCD-4E8F-BDE0-4E485EE84A6C}"/>
    <hyperlink ref="I550" r:id="rId1160" xr:uid="{5C0149CA-5612-403A-8CC3-ACAF95000805}"/>
    <hyperlink ref="I2626" r:id="rId1161" xr:uid="{7A255669-FA9F-4B9D-9506-E41A793821C1}"/>
    <hyperlink ref="I4783" r:id="rId1162" xr:uid="{51814611-A815-43FB-A7F1-68FF285AFED6}"/>
    <hyperlink ref="I2208" r:id="rId1163" xr:uid="{6C5BF571-0F35-4BBE-B265-75FF42D4F6FA}"/>
    <hyperlink ref="I145" r:id="rId1164" display="mailto:alira@rpmrealestate.com.au" xr:uid="{22CF7203-445E-47A7-BC20-F7563C065DA1}"/>
    <hyperlink ref="I503" r:id="rId1165" xr:uid="{3A3D49BE-4EDF-44B1-884B-93119AC6D284}"/>
    <hyperlink ref="I3552" r:id="rId1166" xr:uid="{29DAA819-9830-47C8-AA65-13D07F482D55}"/>
    <hyperlink ref="I899" r:id="rId1167" xr:uid="{DE9B6D5C-0F7D-4445-A450-580CF5D87275}"/>
    <hyperlink ref="I1639" r:id="rId1168" xr:uid="{7C957DF8-DB85-4FD5-BB26-1F5DEE19818C}"/>
    <hyperlink ref="I281" r:id="rId1169" xr:uid="{354B8B67-937B-4C8D-AA05-A2D883A61CC9}"/>
    <hyperlink ref="I3148" r:id="rId1170" xr:uid="{DAC0A47F-79A0-4159-984D-9374F4E657D6}"/>
    <hyperlink ref="I3675" r:id="rId1171" xr:uid="{6EF2EEDD-064C-4FDB-96A2-CD364B268187}"/>
    <hyperlink ref="I1108" r:id="rId1172" xr:uid="{4D23914B-8E45-4E21-A1D7-B6E3E19A6B0F}"/>
    <hyperlink ref="I4144" r:id="rId1173" xr:uid="{3F88C804-C042-4953-8FC5-B3D7F463D3E7}"/>
    <hyperlink ref="I4175" r:id="rId1174" xr:uid="{62EE1A8E-0C0E-4566-B256-5F03771F5C5B}"/>
    <hyperlink ref="I1866" r:id="rId1175" xr:uid="{549586D8-6B5A-4DE9-BACE-485D91AE799F}"/>
    <hyperlink ref="I4773" r:id="rId1176" xr:uid="{AC96A130-EB23-4694-BD9A-D88DC8BFCD60}"/>
    <hyperlink ref="I4266" r:id="rId1177" xr:uid="{316D5C47-39F0-4CCF-A043-57ADD9BCAD7B}"/>
    <hyperlink ref="I219" r:id="rId1178" xr:uid="{49D46335-98DF-405D-BD30-0E54615DFD68}"/>
    <hyperlink ref="I1689" r:id="rId1179" xr:uid="{F0EA191F-047B-417F-ACBE-48D691CB72F8}"/>
    <hyperlink ref="I2613" r:id="rId1180" xr:uid="{3854BCFF-1ACD-4006-9148-101D38C5114F}"/>
    <hyperlink ref="I4714" r:id="rId1181" xr:uid="{6D49BA3A-558B-48A7-9539-8B6614FD5920}"/>
    <hyperlink ref="I4771" r:id="rId1182" xr:uid="{E1290E1D-3D44-47F3-80C1-2CC72981732F}"/>
    <hyperlink ref="I1121" r:id="rId1183" xr:uid="{8A2430E9-639A-4748-96B7-52B75D4E4F03}"/>
    <hyperlink ref="I4414" r:id="rId1184" xr:uid="{2710E3AD-64D2-4733-98CC-EB8961A086B3}"/>
    <hyperlink ref="I3611" r:id="rId1185" xr:uid="{3AFB0AFA-C62E-478E-A694-FDF513F781D4}"/>
    <hyperlink ref="I4876" r:id="rId1186" xr:uid="{C527DEB5-8BFA-4EF5-999B-7190F94FC56D}"/>
    <hyperlink ref="I2875" r:id="rId1187" xr:uid="{C081B49E-0431-4A90-B112-155CCC9959DF}"/>
    <hyperlink ref="I4772" r:id="rId1188" xr:uid="{947AD4FF-D054-452D-A5DC-949D2D2F17D3}"/>
    <hyperlink ref="I1755" r:id="rId1189" xr:uid="{8D44E466-0FD1-4ADD-8F6F-CF413103BFB3}"/>
    <hyperlink ref="I1850" r:id="rId1190" xr:uid="{8AE7C58E-9924-47B2-8450-C28695F8BA5E}"/>
    <hyperlink ref="I2932" r:id="rId1191" xr:uid="{6381BC88-5422-46C6-BCD2-DB0232C30560}"/>
    <hyperlink ref="I1431" r:id="rId1192" xr:uid="{C1D3FCC3-DF5E-43F0-9453-BDE9ABE04468}"/>
    <hyperlink ref="I2267" r:id="rId1193" xr:uid="{57D60DE8-A13F-41E8-8E1A-CE5F4002F560}"/>
    <hyperlink ref="I3624" r:id="rId1194" xr:uid="{375408C6-138B-41C3-B280-1C856950073D}"/>
    <hyperlink ref="I1631" r:id="rId1195" xr:uid="{EAEE5F83-F323-4C19-855E-60BEFEF075DE}"/>
    <hyperlink ref="I2076" r:id="rId1196" xr:uid="{6CFE3F4A-604B-489E-9F87-BBF1E05692F6}"/>
    <hyperlink ref="I2415" r:id="rId1197" xr:uid="{C79CEA1F-63AA-47DA-A03B-A391CD5B59F2}"/>
    <hyperlink ref="I3745" r:id="rId1198" xr:uid="{8FBF5F5C-C59C-47C5-9501-F6B026470F44}"/>
    <hyperlink ref="I470" r:id="rId1199" xr:uid="{7295AAD9-D857-4D92-9A0C-608DC7D35CDB}"/>
    <hyperlink ref="I464" r:id="rId1200" xr:uid="{D68003B6-90B7-41E0-9D45-212172316065}"/>
    <hyperlink ref="I505" r:id="rId1201" xr:uid="{3D72738A-A068-4704-9811-C2D4349B0FD8}"/>
    <hyperlink ref="I1208" r:id="rId1202" display="mailto:angelo.granata@peet.com.au" xr:uid="{E7570D7B-6566-4111-A314-E5D3DD0E00E7}"/>
    <hyperlink ref="I1211" r:id="rId1203" display="mailto:angelo.granata@peet.com.au" xr:uid="{4B1D0D21-6AA1-4876-83C1-D104A769E3D1}"/>
    <hyperlink ref="I912" r:id="rId1204" xr:uid="{F03AF330-D114-4B80-9046-186505A24754}"/>
    <hyperlink ref="I2675" r:id="rId1205" xr:uid="{3E8C98D8-C453-462A-862B-5FBDE0A176B6}"/>
    <hyperlink ref="I1915" r:id="rId1206" xr:uid="{DA847931-DF17-4EA6-BB02-D9B794CF5F44}"/>
    <hyperlink ref="I1585" r:id="rId1207" xr:uid="{49328FAB-9EFB-4421-8E01-AEE740260349}"/>
    <hyperlink ref="I4782" r:id="rId1208" xr:uid="{369AE2A0-ED8D-46F8-BBDE-414A8C6A017C}"/>
    <hyperlink ref="I280" r:id="rId1209" xr:uid="{A1124532-6AF2-4493-800A-AE6F67E82186}"/>
    <hyperlink ref="I1785" r:id="rId1210" xr:uid="{723F160A-A6DE-427C-AF3F-6576D81A64E3}"/>
    <hyperlink ref="I864" r:id="rId1211" xr:uid="{28243A3F-A542-4A57-9136-413EB9B3F6D8}"/>
    <hyperlink ref="I1643" r:id="rId1212" xr:uid="{762AA32D-3C9E-4347-949B-1D7B658A65C8}"/>
    <hyperlink ref="I212" r:id="rId1213" xr:uid="{649FDB1A-7004-4BD1-AC81-83AF642EF5A5}"/>
    <hyperlink ref="I1523" r:id="rId1214" xr:uid="{E5C4E040-8ABA-4727-BF07-D93B70883574}"/>
    <hyperlink ref="I868" r:id="rId1215" xr:uid="{CB484F86-EA25-4339-B8F6-A8C4480D405B}"/>
    <hyperlink ref="I4662" r:id="rId1216" xr:uid="{500FC827-B28C-405E-BA7C-53166DE12329}"/>
    <hyperlink ref="I1864" r:id="rId1217" xr:uid="{284C0E6B-A1B1-430B-823A-4F08F4D26A64}"/>
    <hyperlink ref="I1754" r:id="rId1218" xr:uid="{51D6892A-ECF6-4ECF-A339-5E26D0D52AB3}"/>
    <hyperlink ref="I879" r:id="rId1219" xr:uid="{F2EEA4CE-5003-40D5-ACB5-360EF58E21DB}"/>
    <hyperlink ref="I2065" r:id="rId1220" xr:uid="{85D5B033-6104-4516-BD8C-6451B80CBFA4}"/>
    <hyperlink ref="I3754" r:id="rId1221" xr:uid="{AD260FE6-6387-47F4-8AA8-1D8FEF8E5191}"/>
    <hyperlink ref="I1353" r:id="rId1222" display="mailto:evin@eightpi.com.au" xr:uid="{A787B771-5121-4BB7-B8F4-5969DD3A53B2}"/>
    <hyperlink ref="I1354" r:id="rId1223" display="mailto:evin@eightpi.com.au" xr:uid="{D2AF55F4-3FE8-45D9-9F01-6880BDB8B423}"/>
    <hyperlink ref="I2353" r:id="rId1224" xr:uid="{897607EF-5AB2-4396-BCC8-2D7025180881}"/>
    <hyperlink ref="I2009" r:id="rId1225" xr:uid="{786D539C-9D34-4E50-9BC2-409847A9AA86}"/>
    <hyperlink ref="I3400" r:id="rId1226" xr:uid="{FCE3165A-84A3-4D29-A8C1-7A48F8252E90}"/>
    <hyperlink ref="I3404" r:id="rId1227" xr:uid="{247C0076-E489-4CE4-8842-9F6964E4B5A0}"/>
    <hyperlink ref="I1629" r:id="rId1228" xr:uid="{8881339A-2059-48AF-8F54-521507301C16}"/>
    <hyperlink ref="I406" r:id="rId1229" xr:uid="{FB64DDDE-6FF4-4D35-851A-7B22109D745C}"/>
    <hyperlink ref="I2165" r:id="rId1230" xr:uid="{8DF7750C-1559-422C-BDD4-ED3E0A424BA3}"/>
    <hyperlink ref="I4675" r:id="rId1231" xr:uid="{59383DF1-252B-4513-B39A-EF9D45301829}"/>
    <hyperlink ref="I4083" r:id="rId1232" xr:uid="{49FFB2F2-C4D0-4E96-B97E-850B6EA1A62D}"/>
    <hyperlink ref="I4156" r:id="rId1233" xr:uid="{77A3D897-8991-42E4-8D8E-FA6FF1F936FE}"/>
    <hyperlink ref="I1024" r:id="rId1234" xr:uid="{1A788F06-7BC9-4EAE-94DF-7092A8E0C5CA}"/>
    <hyperlink ref="I282" r:id="rId1235" xr:uid="{48B2995F-0021-468B-A66D-87F34AAF04E3}"/>
    <hyperlink ref="I1717" r:id="rId1236" xr:uid="{A95B0A7C-2D82-474B-9AA6-B93F8F9B3D4D}"/>
    <hyperlink ref="I3947" r:id="rId1237" xr:uid="{6EBAFCC0-F148-4732-9A6C-F6A9DD11B8E0}"/>
    <hyperlink ref="I279" r:id="rId1238" xr:uid="{A7E505BF-1959-4915-B950-926482AB7EF2}"/>
    <hyperlink ref="I605" r:id="rId1239" display="mailto:austin@latituderealestate.com.au" xr:uid="{1D4F9FDB-A695-4ECC-BB81-9C5AD37C90FF}"/>
    <hyperlink ref="I319" r:id="rId1240" xr:uid="{FFEF8A28-E345-4C81-8A4F-89447C6C0ED2}"/>
    <hyperlink ref="I928" r:id="rId1241" xr:uid="{BA26AFF1-E057-4CB4-989E-D8C5050C098D}"/>
    <hyperlink ref="I982" r:id="rId1242" xr:uid="{06AEFEF8-8673-49AC-9146-04B2D726499F}"/>
    <hyperlink ref="I4386" r:id="rId1243" xr:uid="{2B460F7C-3014-4B8C-9C12-E39D34A82687}"/>
    <hyperlink ref="I4387" r:id="rId1244" xr:uid="{728E76C7-E826-4343-84F8-C2B8471C5E04}"/>
    <hyperlink ref="I1686" r:id="rId1245" xr:uid="{BA9C054C-42DE-4C74-8186-D741FBBF3AB9}"/>
    <hyperlink ref="I4712" r:id="rId1246" xr:uid="{36BE96A5-5422-4320-A25D-F87B7434281A}"/>
    <hyperlink ref="I2874" r:id="rId1247" xr:uid="{D8E83AE1-0DC5-4CC0-A261-7F2E2229C711}"/>
    <hyperlink ref="I991" r:id="rId1248" xr:uid="{D6792C21-7077-46C7-B1EA-6A08E9600891}"/>
    <hyperlink ref="I2048" r:id="rId1249" xr:uid="{3059A1E3-68D0-4D9E-9673-0EAD78CCCE27}"/>
    <hyperlink ref="I2551" r:id="rId1250" xr:uid="{2C251556-0ED8-4B80-B568-D1591D0C9A33}"/>
    <hyperlink ref="I3331" r:id="rId1251" xr:uid="{EB1EFBB6-2D70-4E84-A439-4CEF62A24E44}"/>
    <hyperlink ref="I4789" r:id="rId1252" xr:uid="{E37DD5D0-6DD1-4F92-A968-C544EF39B8AD}"/>
    <hyperlink ref="I4900" r:id="rId1253" xr:uid="{6AD93D82-270E-403A-950B-3ED5E6627E0C}"/>
    <hyperlink ref="I2712" r:id="rId1254" xr:uid="{E869C109-7552-47EB-B7C6-5E189A94C147}"/>
    <hyperlink ref="I604" r:id="rId1255" display="mailto:austin@latituderealestate.com.au" xr:uid="{B4877CBB-F01E-4694-BC45-E81C7FA403DF}"/>
    <hyperlink ref="I3662" r:id="rId1256" xr:uid="{0EF67037-C042-403A-A28D-A4884D86882A}"/>
    <hyperlink ref="I3654" r:id="rId1257" xr:uid="{694E2046-B2B7-40EC-8C91-297C44497A9F}"/>
    <hyperlink ref="I1457" r:id="rId1258" display="mailto:sara.lowe@eigdevelopments.com.au" xr:uid="{2B40B311-49E6-4882-8BB9-745827A2ECAF}"/>
    <hyperlink ref="I2421" r:id="rId1259" xr:uid="{396E0909-A464-42EA-B6EE-B220D587D9F1}"/>
    <hyperlink ref="I4459" r:id="rId1260" xr:uid="{CBB6D25C-C8CD-471E-8E77-59749E1E5EDC}"/>
    <hyperlink ref="I2931" r:id="rId1261" xr:uid="{A2F3F7FA-3B24-4573-BF3D-72115AB08A60}"/>
    <hyperlink ref="I4749" r:id="rId1262" xr:uid="{7F243EC8-D383-4A7C-80CB-AB900BAB0B83}"/>
    <hyperlink ref="I3937" r:id="rId1263" xr:uid="{67CA980B-54DD-4445-9DA3-274884926503}"/>
    <hyperlink ref="I2672" r:id="rId1264" xr:uid="{68D79296-B26A-49D2-AAEA-ADC3C67F393A}"/>
    <hyperlink ref="I2501" r:id="rId1265" xr:uid="{61532CF0-5F04-4631-832A-AA48ABF5007B}"/>
    <hyperlink ref="I2063" r:id="rId1266" xr:uid="{534FF3D9-4624-4F02-AAF7-D59A0A6EC1D1}"/>
    <hyperlink ref="I2053" r:id="rId1267" xr:uid="{4B2D5A27-C094-4909-8112-7F6D6C741BEF}"/>
    <hyperlink ref="I1124" r:id="rId1268" xr:uid="{26C5DCF7-CF81-4A33-84FC-3CA6146900B8}"/>
    <hyperlink ref="I3526" r:id="rId1269" xr:uid="{C8B4E7A4-835E-465A-BFA3-23FCBDFBBE81}"/>
    <hyperlink ref="I4250" r:id="rId1270" xr:uid="{DB7E6A1E-CFED-4B63-B36B-01791EEB6A99}"/>
    <hyperlink ref="I2496" r:id="rId1271" xr:uid="{D47844C6-F66D-4E7A-AA5E-E1E9EC960FB4}"/>
    <hyperlink ref="I479" r:id="rId1272" xr:uid="{F7CEFFCE-9DF1-4719-8807-2C2599A57333}"/>
    <hyperlink ref="I2541" r:id="rId1273" xr:uid="{116886F9-ED6B-49C3-AAEF-84A9C116A7DE}"/>
    <hyperlink ref="I2021" r:id="rId1274" xr:uid="{3BF01636-617A-4141-959C-4650D150C25D}"/>
    <hyperlink ref="I2023" r:id="rId1275" xr:uid="{70975E63-5C33-43C9-A4E6-684C73D0D73E}"/>
    <hyperlink ref="I2876" r:id="rId1276" xr:uid="{D0BEF8A6-BC5E-47DA-BFE6-5E8DEDDB8CF0}"/>
    <hyperlink ref="I3050" r:id="rId1277" xr:uid="{8F9E1D6F-8506-45EB-8259-738A3B16CB82}"/>
    <hyperlink ref="I2103" r:id="rId1278" xr:uid="{B9CAAB4D-896A-48F8-868C-FD7B0759AF9A}"/>
    <hyperlink ref="I287" r:id="rId1279" xr:uid="{8E59F729-8D1C-431B-B8CE-87D45FF8946A}"/>
    <hyperlink ref="I1586" r:id="rId1280" xr:uid="{4BC3D057-B806-420E-8793-6E29C479DE8E}"/>
    <hyperlink ref="I1982" r:id="rId1281" xr:uid="{6CB89C9F-575D-433E-B4A2-C6968E4F148B}"/>
    <hyperlink ref="I4839" r:id="rId1282" xr:uid="{366F6C6C-B990-4ED9-9D2E-F51CA1018554}"/>
    <hyperlink ref="I2665" r:id="rId1283" xr:uid="{3C3FC695-9D8D-477E-847C-8C17CA74F36D}"/>
    <hyperlink ref="I925" r:id="rId1284" xr:uid="{10FCD36E-ADA1-4746-AF4A-8689732385A0}"/>
    <hyperlink ref="I4249" r:id="rId1285" xr:uid="{ABF1A4D8-FDCB-4AD5-B35F-BFC1464D4C62}"/>
    <hyperlink ref="I457" r:id="rId1286" xr:uid="{A5782772-F8CA-4F37-99A3-B8057E459509}"/>
    <hyperlink ref="I2455" r:id="rId1287" xr:uid="{C66688E5-CFB9-4493-BD12-F8CCF6CEFD3A}"/>
    <hyperlink ref="I409" r:id="rId1288" xr:uid="{EDDC8343-ABAD-4E68-A044-9C66088F8E1A}"/>
    <hyperlink ref="I410" r:id="rId1289" xr:uid="{C0440699-3E75-4644-B42A-3DD55A1B25D5}"/>
    <hyperlink ref="I408" r:id="rId1290" xr:uid="{C0524996-BF86-48DB-9F20-E47A0E2BDBEA}"/>
    <hyperlink ref="I2553" r:id="rId1291" xr:uid="{27932BD8-62E9-4220-9FFE-C552246DCF4C}"/>
    <hyperlink ref="I68" r:id="rId1292" xr:uid="{5F6380F4-1C3F-4CC1-BF47-54EA7BC2105F}"/>
    <hyperlink ref="I2495" r:id="rId1293" xr:uid="{45DCEC41-36A9-4FA7-B59B-2B93DAFF1D22}"/>
    <hyperlink ref="I3269" r:id="rId1294" xr:uid="{291D7AF0-2101-40CA-9A58-422F52FB638A}"/>
    <hyperlink ref="I941" r:id="rId1295" xr:uid="{E0F408AE-5C9A-4BE1-8076-EAA0C1BDE6FB}"/>
    <hyperlink ref="I1492" r:id="rId1296" xr:uid="{6C798EFF-9D7B-4DBB-B796-16B2008E7901}"/>
    <hyperlink ref="I3073" r:id="rId1297" xr:uid="{6894E3C9-1215-45FD-8F86-0B52CBC7C261}"/>
    <hyperlink ref="I1459" r:id="rId1298" display="mailto:sara.lowe@eigdevelopments.com.au" xr:uid="{2B7D76BE-EC7E-4288-BEC1-D0473955DB7F}"/>
    <hyperlink ref="I4898" r:id="rId1299" xr:uid="{B3206A67-6F6A-4486-A943-250180771558}"/>
    <hyperlink ref="I2627" r:id="rId1300" xr:uid="{D0A37DC3-1705-4E4E-8A96-1A68379A129D}"/>
    <hyperlink ref="I466" r:id="rId1301" xr:uid="{B02448F9-DF2C-4132-B006-7AEB4E9C0F43}"/>
    <hyperlink ref="I1137" r:id="rId1302" xr:uid="{2972BC38-10DF-43D3-B0DB-3689ABD3CFCD}"/>
    <hyperlink ref="I1149" r:id="rId1303" xr:uid="{0790E4D3-002D-46AD-A431-ED58505C6AF8}"/>
    <hyperlink ref="I1147" r:id="rId1304" xr:uid="{2E4FE138-B4AE-4E5E-A2EF-BD62F7A6046A}"/>
    <hyperlink ref="I1148" r:id="rId1305" xr:uid="{40C46D1C-810E-4D41-A3D4-8A9A03D574AF}"/>
    <hyperlink ref="I3746" r:id="rId1306" xr:uid="{93416BF3-2D36-4196-B07B-9AF3209F9CDF}"/>
    <hyperlink ref="I2610" r:id="rId1307" xr:uid="{AF96F408-AEEF-4E30-843E-E521D6195AEA}"/>
    <hyperlink ref="I3448" r:id="rId1308" xr:uid="{B5D43C05-BFBC-4190-90F1-D9FD7A4625F3}"/>
    <hyperlink ref="I2500" r:id="rId1309" xr:uid="{5F50EA04-86E2-40F8-B307-1D46A62D42A1}"/>
    <hyperlink ref="I4163" r:id="rId1310" xr:uid="{5A9EE553-2A4E-40D6-B4A3-3714A2F674D8}"/>
    <hyperlink ref="I4264" r:id="rId1311" xr:uid="{783E6642-AD05-4F11-BE4C-01724116D7F2}"/>
    <hyperlink ref="I2911" r:id="rId1312" xr:uid="{067FF325-186A-4F90-AE4F-1DB57B2DDC45}"/>
    <hyperlink ref="I4775" r:id="rId1313" xr:uid="{D46A4752-7AD8-4C5C-8A9C-E2809EC45143}"/>
    <hyperlink ref="I1417" r:id="rId1314" display="mailto:Eliston@rpmrealestate.com.au" xr:uid="{F770292B-BD6B-486A-B351-A1CDB518C543}"/>
    <hyperlink ref="I3688" r:id="rId1315" xr:uid="{C7E4A192-8A64-4047-9CCD-10A9E37E2B65}"/>
    <hyperlink ref="I1511" r:id="rId1316" xr:uid="{F97A46AA-66BD-44AB-8B7D-865084FFF45B}"/>
    <hyperlink ref="I1487" r:id="rId1317" xr:uid="{B297666E-C13F-4B0A-AB78-9E8A619F62B3}"/>
    <hyperlink ref="I1687" r:id="rId1318" xr:uid="{9ECA852D-F097-4FDD-BEFD-4DD913829BA0}"/>
    <hyperlink ref="I4868" r:id="rId1319" xr:uid="{758901DA-1854-4AEB-A00D-30C6AE53B7EC}"/>
    <hyperlink ref="I559" r:id="rId1320" xr:uid="{4541CAAE-AC46-445C-BA3C-82B86D917C9E}"/>
    <hyperlink ref="I2583" r:id="rId1321" xr:uid="{6CA702E0-FD21-4C0F-828E-DBC427050635}"/>
    <hyperlink ref="I4769" r:id="rId1322" xr:uid="{0C076CCE-595D-4FDF-A450-803CC19C02E9}"/>
    <hyperlink ref="I3691" r:id="rId1323" xr:uid="{E3F78397-7645-41AA-B88E-D45B5569C065}"/>
    <hyperlink ref="I2498" r:id="rId1324" xr:uid="{8DE22014-E0C3-454E-A398-29FFC1D7C5A6}"/>
    <hyperlink ref="I463" r:id="rId1325" xr:uid="{BA6B7A35-58FF-44A8-8C1D-5287C5151249}"/>
    <hyperlink ref="I2635" r:id="rId1326" xr:uid="{A44CF755-048A-402C-9E5A-1353B3ED2AE9}"/>
    <hyperlink ref="I2195" r:id="rId1327" xr:uid="{DBFE9FEF-AC7F-4E87-8B53-7516A2F96D31}"/>
    <hyperlink ref="I4635" r:id="rId1328" xr:uid="{1BAD4312-14D1-4B54-930B-68BB0E494847}"/>
    <hyperlink ref="I111" r:id="rId1329" xr:uid="{D708EF59-92D2-4A2F-864C-F36B88C220C5}"/>
    <hyperlink ref="I453" r:id="rId1330" xr:uid="{7986D8F4-C6EF-4F60-B8B4-A97C8E53E65F}"/>
    <hyperlink ref="I2079" r:id="rId1331" xr:uid="{4F686AD2-F10D-4A9A-9019-DC44131E468A}"/>
    <hyperlink ref="I2877" r:id="rId1332" xr:uid="{53A92CA5-246B-4B28-B8F0-A1A13EAD3D9E}"/>
    <hyperlink ref="I1119" r:id="rId1333" xr:uid="{17158A4C-4BC5-4DD8-9623-DBC01B04026B}"/>
    <hyperlink ref="I4710" r:id="rId1334" xr:uid="{97877A48-FECD-434D-A49B-99A11FEEB92B}"/>
    <hyperlink ref="I350" r:id="rId1335" xr:uid="{4FDCBFA0-B25F-43DD-A5D0-93F1FB4B9DB3}"/>
    <hyperlink ref="I3335" r:id="rId1336" xr:uid="{D10FA6EA-C95E-477F-AF50-DB9E7C8E509E}"/>
    <hyperlink ref="I283" r:id="rId1337" xr:uid="{96EDE532-1D7A-41F3-82D3-76756C31458A}"/>
    <hyperlink ref="I1748" r:id="rId1338" xr:uid="{2EAA06AE-4D4B-4069-B0D0-0202A3581514}"/>
    <hyperlink ref="I4415" r:id="rId1339" xr:uid="{574AAC7D-51D2-4E77-97F4-A81BEFF1BA7A}"/>
    <hyperlink ref="I3910" r:id="rId1340" xr:uid="{4A9EDF71-0FD2-4584-AACA-07BBEB97E10C}"/>
    <hyperlink ref="I2562" r:id="rId1341" xr:uid="{FB4239A1-A6F6-48BD-B119-18F04DE559CB}"/>
    <hyperlink ref="I1869" r:id="rId1342" xr:uid="{8ED16CC5-9C6F-4487-A414-F85A36A23590}"/>
    <hyperlink ref="I4160" r:id="rId1343" xr:uid="{385870C2-CC9E-4A3A-AFDA-55C12DDA61AF}"/>
    <hyperlink ref="I1491" r:id="rId1344" xr:uid="{94FF3E62-842B-4F5B-BE6B-4D372D59A77C}"/>
    <hyperlink ref="I160" r:id="rId1345" display="mailto:alira@rpmrealestate.com.au" xr:uid="{5B368A0B-12D4-4EB1-870E-8FE0352AA112}"/>
    <hyperlink ref="I190" r:id="rId1346" xr:uid="{59FFC54C-5047-4D7C-AEFF-55EC9CE699CE}"/>
    <hyperlink ref="I791" r:id="rId1347" xr:uid="{CE6A2466-2DEF-4B4B-9019-3110C9FEF81E}"/>
    <hyperlink ref="I1464" r:id="rId1348" xr:uid="{686ABF25-2A93-41F8-BEE2-B641974F72A4}"/>
    <hyperlink ref="I284" r:id="rId1349" xr:uid="{E28ACE6B-F423-43AE-9024-1CD4765ED5E0}"/>
    <hyperlink ref="I2078" r:id="rId1350" xr:uid="{560381ED-81FC-4E34-8E3F-4AE29677B41E}"/>
    <hyperlink ref="I2994" r:id="rId1351" xr:uid="{EFDE8AAC-432B-4171-A429-FDC0724F1724}"/>
    <hyperlink ref="I901" r:id="rId1352" xr:uid="{10456708-653E-4A51-B2F6-C156CB1B23E5}"/>
    <hyperlink ref="I4107" r:id="rId1353" xr:uid="{F7341F40-0BEF-47F3-9037-AEACF0B855D5}"/>
    <hyperlink ref="I3051" r:id="rId1354" xr:uid="{7E10C05C-22CE-4F54-A2B7-3E3FD914245E}"/>
    <hyperlink ref="I2502" r:id="rId1355" xr:uid="{59798EBE-D1AB-4F63-8B47-D6AF62BF5A1C}"/>
    <hyperlink ref="I1418" r:id="rId1356" display="mailto:Eliston@rpmrealestate.com.au" xr:uid="{4B034919-C5D7-4E2F-8E95-2C1688D27D45}"/>
    <hyperlink ref="I4752" r:id="rId1357" xr:uid="{BA5B98C3-D521-4B4C-8DEB-BE6481106E91}"/>
    <hyperlink ref="I3847" r:id="rId1358" display="mailto:arvind@krpeters.com.au" xr:uid="{C5EE9904-D372-446B-B52E-D5C8087C1EBE}"/>
    <hyperlink ref="I4031" r:id="rId1359" xr:uid="{1F3FA906-0741-4A2A-9ED7-CBD415F36BF9}"/>
    <hyperlink ref="I3686" r:id="rId1360" xr:uid="{9D500F53-6823-402E-9596-5F965FEEE38B}"/>
    <hyperlink ref="I865" r:id="rId1361" xr:uid="{5CC58CF5-FC8D-44FD-80FC-4E911A2B561C}"/>
    <hyperlink ref="I1489" r:id="rId1362" xr:uid="{33E32698-10D1-4000-B625-79ADC39A4759}"/>
    <hyperlink ref="I4154" r:id="rId1363" xr:uid="{262122CC-BF85-461D-9A47-439B4F6246EF}"/>
    <hyperlink ref="I3387" r:id="rId1364" xr:uid="{9EA27A4C-EAED-4E16-8232-BA121DE725E6}"/>
    <hyperlink ref="I2394" r:id="rId1365" xr:uid="{121345A6-3161-49CC-A39C-0B893E175896}"/>
    <hyperlink ref="I4101" r:id="rId1366" xr:uid="{15D388B0-BE8C-4102-AF49-9FE8395C4CAF}"/>
    <hyperlink ref="I608" r:id="rId1367" display="mailto:austin@latituderealestate.com.au" xr:uid="{03BBB762-4CCE-4687-95B0-330B05C6384F}"/>
    <hyperlink ref="I4302" r:id="rId1368" xr:uid="{76FE1732-B1E5-4543-83E2-2F891C3A42D2}"/>
    <hyperlink ref="I108" r:id="rId1369" xr:uid="{38FDC1D7-9761-45E7-8FF4-3D371A72F4B4}"/>
    <hyperlink ref="I4615" r:id="rId1370" display="mailto:mario.roccisano@hhs.org.au" xr:uid="{1015DB3C-7418-4375-A99E-2FD6172F58D2}"/>
    <hyperlink ref="I1814" r:id="rId1371" xr:uid="{E44A996D-5472-40F5-8BDF-4E19E520882A}"/>
    <hyperlink ref="I1757" r:id="rId1372" xr:uid="{184AA60C-7BEF-40B7-B3D4-E58ABBA41D07}"/>
    <hyperlink ref="I727" r:id="rId1373" display="mailto:tonys@maxbrown.com.au" xr:uid="{66CE9AF2-5FA9-40AD-841F-440199B49B03}"/>
    <hyperlink ref="I728" r:id="rId1374" display="mailto:tonys@maxbrown.com.au" xr:uid="{E4D083DA-0D37-40EA-95EC-D704361702FB}"/>
    <hyperlink ref="I2840" r:id="rId1375" xr:uid="{6012775B-5C14-4F3F-A6AB-63CF2DE5725C}"/>
    <hyperlink ref="I3173" r:id="rId1376" xr:uid="{1FA3D184-E111-40A5-9BD5-EEA1E49C8204}"/>
    <hyperlink ref="I3171" r:id="rId1377" xr:uid="{26F08EF1-4144-4A07-AE36-55112D0B3DF1}"/>
    <hyperlink ref="I3172" r:id="rId1378" xr:uid="{55C18D09-946F-4D5F-A15E-F2F5602F4EE4}"/>
    <hyperlink ref="I3724" r:id="rId1379" xr:uid="{BB100742-2E09-4C86-907B-F747C8064348}"/>
    <hyperlink ref="I2067" r:id="rId1380" xr:uid="{0FE7F262-546A-4C50-B4EE-BB95D61B47CB}"/>
    <hyperlink ref="I4089" r:id="rId1381" xr:uid="{6B145998-316D-4EA2-8CFD-837F39561883}"/>
    <hyperlink ref="I4701" r:id="rId1382" xr:uid="{610B756C-1655-482D-B048-4E443A01A6FE}"/>
    <hyperlink ref="I3627" r:id="rId1383" xr:uid="{94320780-0202-423B-9D46-9A185C923282}"/>
    <hyperlink ref="I3652" r:id="rId1384" xr:uid="{CD837D8A-387E-46EC-9591-0295C7726A3E}"/>
    <hyperlink ref="I3656" r:id="rId1385" xr:uid="{89E4F1CE-10D9-424C-9817-17F6FDF40AFB}"/>
    <hyperlink ref="I3388" r:id="rId1386" xr:uid="{388D55D9-C79D-4D30-AAA5-57B977BC309F}"/>
    <hyperlink ref="I153" r:id="rId1387" display="mailto:alira@rpmrealestate.com.au" xr:uid="{5818ADB3-C060-4401-B217-9C79FF704C34}"/>
    <hyperlink ref="I2713" r:id="rId1388" xr:uid="{A5F3C0A9-FE1A-4A51-B7B3-63F24E2C3EF6}"/>
    <hyperlink ref="I157" r:id="rId1389" display="mailto:alira@rpmrealestate.com.au" xr:uid="{1D18827E-CAF7-4F0A-87CA-54E03BF6B308}"/>
    <hyperlink ref="I3758" r:id="rId1390" xr:uid="{9E9742F5-CB4E-4474-8DDB-7D8B9FABDCC6}"/>
    <hyperlink ref="I3146" r:id="rId1391" xr:uid="{A1D8EF69-1069-474B-85FE-22F2D62CD5A3}"/>
    <hyperlink ref="I3149" r:id="rId1392" xr:uid="{012CEFB8-FF6F-482D-B251-0F42C88C324A}"/>
    <hyperlink ref="I3150" r:id="rId1393" xr:uid="{3F52313A-A54D-4D47-AF40-502812201164}"/>
    <hyperlink ref="I3147" r:id="rId1394" xr:uid="{6E2A9329-03BB-4447-BF68-765B77A985B3}"/>
    <hyperlink ref="I2075" r:id="rId1395" xr:uid="{3C7A404A-9A29-4247-8862-AA658157742F}"/>
    <hyperlink ref="I64" r:id="rId1396" xr:uid="{43221BA2-EAC8-4F92-82A3-9681FFF2070A}"/>
    <hyperlink ref="I701" r:id="rId1397" xr:uid="{E5AC004A-68D4-4EA5-94F9-255BA476C28F}"/>
    <hyperlink ref="I2664" r:id="rId1398" xr:uid="{D061DDFE-05A9-45D9-8D2E-3A90944E82D3}"/>
    <hyperlink ref="I4595" r:id="rId1399" xr:uid="{ADBEB17B-B976-49DE-8A15-EC6968B68943}"/>
    <hyperlink ref="I916" r:id="rId1400" display="mailto:Daryl.Gould@arbeerealestate.com.au" xr:uid="{1EC177D9-CF1E-407F-884E-D197C51F421E}"/>
    <hyperlink ref="I3436" r:id="rId1401" xr:uid="{69A2512C-A38F-438E-A086-2BCA9EA8452F}"/>
    <hyperlink ref="I3434" r:id="rId1402" xr:uid="{79E835C3-B35A-4CE9-8779-A7F1DE64705D}"/>
    <hyperlink ref="I3433" r:id="rId1403" xr:uid="{47D7EE8B-98A3-4000-983E-443D3F9313F1}"/>
    <hyperlink ref="I4102" r:id="rId1404" xr:uid="{C6F155D6-5577-47FE-B181-54D761419100}"/>
    <hyperlink ref="I4103" r:id="rId1405" xr:uid="{BFCC502D-1C39-4515-8C13-E0CF0C997C40}"/>
    <hyperlink ref="I4647" r:id="rId1406" xr:uid="{F03A5CA6-00F5-489A-BC5B-2E5EF6246DB2}"/>
    <hyperlink ref="I2288" r:id="rId1407" xr:uid="{1011EB5E-F679-4BDF-8B43-883DDCCE524A}"/>
    <hyperlink ref="I2334" r:id="rId1408" xr:uid="{8FF1B508-B5A0-4885-9D0A-2E4B4C188012}"/>
    <hyperlink ref="I2330" r:id="rId1409" xr:uid="{FBB2952D-0EB8-415E-A051-77D6E6515EE5}"/>
    <hyperlink ref="I2080" r:id="rId1410" xr:uid="{76C0D0FE-D221-4782-B049-06CDC357AC4A}"/>
    <hyperlink ref="I549" r:id="rId1411" xr:uid="{5780733E-80C6-4AA7-8995-EE30640E7F24}"/>
    <hyperlink ref="I3372" r:id="rId1412" xr:uid="{048FF6C9-7B45-40D8-B8D8-4F377E5605A3}"/>
    <hyperlink ref="I3332" r:id="rId1413" xr:uid="{CC54E9D8-8598-4BFD-9982-FAE0D916730D}"/>
    <hyperlink ref="I4840" r:id="rId1414" xr:uid="{D85435BC-95E4-432F-90CA-D70CED5DEFDA}"/>
    <hyperlink ref="I4784" r:id="rId1415" xr:uid="{CFC21D18-CD4F-4F41-ABAB-0FCE5B98425A}"/>
    <hyperlink ref="I2878" r:id="rId1416" xr:uid="{7A98CAEC-EBDE-458A-BF42-6FB40E9B2AB0}"/>
    <hyperlink ref="I2504" r:id="rId1417" xr:uid="{576B67D2-1FA8-403D-91AC-8345855A80E6}"/>
    <hyperlink ref="I63" r:id="rId1418" xr:uid="{06993D83-78AD-4B70-8B48-BB6712AFC45F}"/>
    <hyperlink ref="I4717" r:id="rId1419" xr:uid="{6EE1542E-3A18-4385-A187-162BF488FF30}"/>
    <hyperlink ref="I845" r:id="rId1420" xr:uid="{7FA278E1-53CF-42DB-B3C4-93CB113279F8}"/>
    <hyperlink ref="I2052" r:id="rId1421" xr:uid="{CC89AF6F-BD20-490D-8C1D-210515A41E71}"/>
    <hyperlink ref="I1917" r:id="rId1422" xr:uid="{65E92FBB-12F9-4A81-A9E7-2641F7696C2B}"/>
    <hyperlink ref="I427" r:id="rId1423" xr:uid="{8F8DB45D-A15F-441A-BC5E-0226D502E046}"/>
    <hyperlink ref="I498" r:id="rId1424" xr:uid="{5693E2D6-F54D-435F-B423-35111FDE9176}"/>
    <hyperlink ref="I497" r:id="rId1425" xr:uid="{E8716E00-47EF-4EA8-A8BC-DBD431D0D620}"/>
    <hyperlink ref="I794" r:id="rId1426" xr:uid="{FF3D4523-17DF-4C20-A930-7514B711DB58}"/>
    <hyperlink ref="I786" r:id="rId1427" xr:uid="{F033E154-84EF-41B8-9EC6-E648AE6A20A4}"/>
    <hyperlink ref="I3653" r:id="rId1428" xr:uid="{EA5F64DC-E460-4FB2-9FD3-CAF8D574D5F8}"/>
    <hyperlink ref="I3676" r:id="rId1429" xr:uid="{F1175530-C8B8-4A60-AA38-F2D61603E3B9}"/>
    <hyperlink ref="I3918" r:id="rId1430" xr:uid="{4B91DF42-50F5-4FE0-ABB2-C863739DE97D}"/>
    <hyperlink ref="I2497" r:id="rId1431" xr:uid="{59986766-8A5B-42A2-98C2-C43F3A57EF4B}"/>
    <hyperlink ref="I4401" r:id="rId1432" xr:uid="{B496D20F-F883-4177-A28C-BA4CA838B99F}"/>
    <hyperlink ref="I2482" r:id="rId1433" xr:uid="{34EFE200-13E9-42FD-AD22-5D0C68EABB16}"/>
    <hyperlink ref="I4819" r:id="rId1434" display="mailto:david@charleslloyd.com.au" xr:uid="{6AE36005-E045-423A-8A33-67010C225F4F}"/>
    <hyperlink ref="I843" r:id="rId1435" xr:uid="{A847EAC1-7C2B-4D47-8853-5D447B9D6542}"/>
    <hyperlink ref="I207" r:id="rId1436" xr:uid="{C4A3C33E-57F0-411F-A8D7-DF48A4BB53AB}"/>
    <hyperlink ref="I606" r:id="rId1437" display="mailto:austin@latituderealestate.com.au" xr:uid="{6038D95B-12E6-4A75-B75D-20E44A243FC5}"/>
    <hyperlink ref="I1784:I1788" r:id="rId1438" display="jessica.hammond@stockland.com.au" xr:uid="{99936775-8A30-40EB-BF1C-98572E5CA204}"/>
    <hyperlink ref="I476" r:id="rId1439" xr:uid="{8793241B-D00E-4920-897B-5FC8E5BADF26}"/>
    <hyperlink ref="I215" r:id="rId1440" xr:uid="{FF2AF022-7268-464B-A0E4-4959AAA345C8}"/>
    <hyperlink ref="I277" r:id="rId1441" xr:uid="{3C8292F5-DA37-4B3C-9318-0C80A3485C95}"/>
    <hyperlink ref="I2136" r:id="rId1442" display="mailto:hillstowe@avid.com.au" xr:uid="{54807AF7-07A7-4916-AA58-9960D979607A}"/>
    <hyperlink ref="I2132" r:id="rId1443" display="mailto:hillstowe@avid.com.au" xr:uid="{A391529C-ED0C-44D8-9FE5-295E3240184D}"/>
    <hyperlink ref="I1412" r:id="rId1444" display="mailto:Eliston@rpmrealestate.com.au" xr:uid="{8159ECB5-3625-4659-9A70-1D53A717BD53}"/>
    <hyperlink ref="I2522" r:id="rId1445" xr:uid="{32B6F8AF-3C76-44DB-8C92-8E9A2E9961B3}"/>
    <hyperlink ref="I1493" r:id="rId1446" xr:uid="{A3DFC507-E761-4A6A-AA99-F6564795CF9E}"/>
    <hyperlink ref="I3606" r:id="rId1447" xr:uid="{DCF7F13A-80E5-4864-A4EF-9F2ABD45AAED}"/>
    <hyperlink ref="I2167" r:id="rId1448" xr:uid="{AB97C888-F96D-46B8-9836-722A719F86D9}"/>
    <hyperlink ref="I955" r:id="rId1449" display="jan@catalinapointcook.com.au" xr:uid="{726D973E-0861-4243-98D5-0C3F1699A27E}"/>
    <hyperlink ref="I2068" r:id="rId1450" xr:uid="{C62AD4AC-12FC-481A-AF7F-E05A12C60884}"/>
    <hyperlink ref="I158" r:id="rId1451" display="mailto:alira@rpmrealestate.com.au" xr:uid="{05BF2413-0C31-41BC-AB4D-F2A068803186}"/>
    <hyperlink ref="I357" r:id="rId1452" xr:uid="{577E9253-5A81-49BC-9845-FE474A120741}"/>
    <hyperlink ref="I898" r:id="rId1453" xr:uid="{0A6AEB22-DBF5-43F5-BAB6-A362C05BD834}"/>
    <hyperlink ref="I2268" r:id="rId1454" xr:uid="{ADE46E73-F25C-45BB-A6B8-2462A3E11AC8}"/>
    <hyperlink ref="I2272" r:id="rId1455" display="mailto:kirstie@bevanprojects.com.au" xr:uid="{B2A886BB-FD09-496C-96BC-D1D5B452CDEE}"/>
    <hyperlink ref="I285" r:id="rId1456" xr:uid="{0F220BDB-DF99-4604-B1C4-2BEB67115E59}"/>
    <hyperlink ref="I1752" r:id="rId1457" xr:uid="{7A0BF12E-DAB4-4B61-AA5B-89933CEE1977}"/>
    <hyperlink ref="I175" r:id="rId1458" display="mailto:Jason.Hynek@stockland.com.au" xr:uid="{4AB90566-7578-4778-9CE9-607162073FF2}"/>
    <hyperlink ref="I2328" r:id="rId1459" xr:uid="{1D13F159-2D86-46FB-B16B-7F99EA007925}"/>
    <hyperlink ref="I2266" r:id="rId1460" xr:uid="{443C3C9A-6CA9-4B24-8509-94E0DA65B448}"/>
    <hyperlink ref="I3731" r:id="rId1461" display="mailto:sanctuarysprings@rpmrealestate.com.au" xr:uid="{57354774-7809-471F-9143-CB5293544660}"/>
    <hyperlink ref="I1212" r:id="rId1462" display="mailto:angelo.granata@peet.com.au" xr:uid="{3CAF2B7D-46A5-4F1B-A7E9-A7C752B263CF}"/>
    <hyperlink ref="I3333" r:id="rId1463" xr:uid="{5C02972F-C01B-42BE-A62D-EFF7A3B4D3AB}"/>
    <hyperlink ref="I4774" r:id="rId1464" xr:uid="{69285067-9628-47AA-9CF1-845C49A48106}"/>
    <hyperlink ref="I2427" r:id="rId1465" xr:uid="{E1CAB41C-FA10-4CD2-AE12-48621EE9B30F}"/>
    <hyperlink ref="I2064" r:id="rId1466" xr:uid="{9E2D40D4-E9C8-4D0C-83A9-A6A4768380CD}"/>
    <hyperlink ref="I2879" r:id="rId1467" xr:uid="{58386172-4BEF-425B-9ABF-A22F9132290B}"/>
    <hyperlink ref="I3151" r:id="rId1468" xr:uid="{D3815ED0-F100-46D2-82B2-2490B91DDC05}"/>
    <hyperlink ref="I2554" r:id="rId1469" xr:uid="{C1757A34-C64A-40A0-8DE2-FC470BE5C943}"/>
    <hyperlink ref="I3584" r:id="rId1470" xr:uid="{979DE86C-235A-47F6-9B90-16DFCB74478D}"/>
    <hyperlink ref="I3535" r:id="rId1471" display="mailto:patricio@rivervalley.com.au" xr:uid="{B52A8ED5-8B0D-45BB-ACD0-3238F96E7F87}"/>
    <hyperlink ref="I3534" r:id="rId1472" display="mailto:patricio@rivervalley.com.au" xr:uid="{868A78AF-0950-41CA-A6A3-ED9D2E1A6283}"/>
    <hyperlink ref="I1490" r:id="rId1473" xr:uid="{E81F3055-1A9E-4EC5-8A3F-889F6882BE68}"/>
    <hyperlink ref="I4461" r:id="rId1474" xr:uid="{96D2DC31-E624-48E4-B7EE-618785737601}"/>
    <hyperlink ref="I570" r:id="rId1475" display="mailto:austin@latituderealestate.com.au" xr:uid="{14B82277-73EF-4833-8EDC-F12E113F3F86}"/>
    <hyperlink ref="I1753" r:id="rId1476" xr:uid="{BC2974B1-DB7A-40D1-97E0-9CD04F7A8BEC}"/>
    <hyperlink ref="I1109" r:id="rId1477" xr:uid="{527B7FAD-2484-49B7-851F-2D9EA8E3CEAB}"/>
    <hyperlink ref="I2419" r:id="rId1478" xr:uid="{ED7A475C-F6DE-4D15-8FAC-3C3DC24ACEAD}"/>
    <hyperlink ref="I1023" r:id="rId1479" display="mailto:bhalsall@buxton.com.au" xr:uid="{A81735B4-CA5C-4BFA-8BA6-930F46298075}"/>
    <hyperlink ref="I1022" r:id="rId1480" display="mailto:bhalsall@buxton.com.au" xr:uid="{98D040AF-FB88-403E-8F1D-7C46BE581499}"/>
    <hyperlink ref="I983" r:id="rId1481" xr:uid="{FF09F62B-122F-44E3-9295-35AC872471E0}"/>
    <hyperlink ref="I2375" r:id="rId1482" xr:uid="{7FDBCD4A-3B78-4F83-AC25-0C708185D2F0}"/>
    <hyperlink ref="I4842" r:id="rId1483" xr:uid="{3AC57436-0BD2-4228-80F8-E070B9727555}"/>
    <hyperlink ref="I4843" r:id="rId1484" xr:uid="{016AEB33-B9A0-4D7B-85E8-DA3ACF24EF4E}"/>
    <hyperlink ref="I2395" r:id="rId1485" xr:uid="{1A3351B6-70F3-46FD-9C71-08FB5B8AF05E}"/>
    <hyperlink ref="I356" r:id="rId1486" xr:uid="{65AD9AD7-9B91-49E2-9E70-D1B791566601}"/>
    <hyperlink ref="I927" r:id="rId1487" xr:uid="{F4E91AE5-8F04-4E0D-ACCE-210C437A3D9F}"/>
    <hyperlink ref="I929" r:id="rId1488" xr:uid="{996FC6AF-295C-494B-ABE2-F4DC348FEFB6}"/>
    <hyperlink ref="I2374" r:id="rId1489" xr:uid="{7595DD69-B93E-422E-A530-46C4BDBC23F8}"/>
    <hyperlink ref="I2373" r:id="rId1490" xr:uid="{F0D516C8-B495-4BF4-B8C5-6D4453461BB5}"/>
    <hyperlink ref="I426" r:id="rId1491" xr:uid="{CA587118-2130-49DF-AFFB-47E4E8A403E7}"/>
    <hyperlink ref="I4003" r:id="rId1492" xr:uid="{179C2EAF-8E50-4C4F-B487-8C6238630A98}"/>
    <hyperlink ref="I4248" r:id="rId1493" xr:uid="{0E1AE789-FD06-44E7-BD63-C46972688040}"/>
    <hyperlink ref="I1313" r:id="rId1494" xr:uid="{A658C11C-111D-49C3-BACF-0E188AD03BA9}"/>
    <hyperlink ref="I2207" r:id="rId1495" xr:uid="{FD4C58D1-1BE7-4353-9A0E-4B254E664BF1}"/>
    <hyperlink ref="I2588" r:id="rId1496" xr:uid="{1EC93EF4-D1E0-4095-B7E0-96CDC77E3DAC}"/>
    <hyperlink ref="I2589" r:id="rId1497" xr:uid="{D780F955-41AF-4155-A746-6B9B488A36F8}"/>
    <hyperlink ref="I3215" r:id="rId1498" display="mailto:ted@kohamproperty.com" xr:uid="{E09FECD0-742B-46C8-B9C5-68395B6449FC}"/>
    <hyperlink ref="I577" r:id="rId1499" display="mailto:austin@latituderealestate.com.au" xr:uid="{A2EEB8CF-EF0E-4D67-AFFE-F98AF76241BE}"/>
    <hyperlink ref="I1728" r:id="rId1500" xr:uid="{EFFD8647-4E79-40E2-97DA-1EF3F8D958F9}"/>
    <hyperlink ref="I4289" r:id="rId1501" xr:uid="{A7BA765B-E99F-4E4A-BDF7-4B1D869C0F1F}"/>
    <hyperlink ref="I3608" r:id="rId1502" xr:uid="{E31FA7A1-439C-47F7-AC57-E2C1472BAF11}"/>
    <hyperlink ref="I1868" r:id="rId1503" xr:uid="{8C7937DB-438E-47C3-BA40-EA5C883A8F57}"/>
    <hyperlink ref="I566" r:id="rId1504" display="mailto:austin@latituderealestate.com.au" xr:uid="{3F6F8A2E-62C7-465E-AF03-7C2972CE8DB3}"/>
    <hyperlink ref="I251" r:id="rId1505" xr:uid="{6316E287-439C-4BD0-ABE4-7EE80169E335}"/>
    <hyperlink ref="I2677" r:id="rId1506" xr:uid="{E07FB523-2A8C-4EDA-A2A1-B710F9B93D08}"/>
    <hyperlink ref="I3973" r:id="rId1507" display="mailto:stgermain@rpmrealestate.com.au" xr:uid="{29A5B379-B1D2-4406-AD24-4CB86728479B}"/>
    <hyperlink ref="I2636" r:id="rId1508" xr:uid="{D4A41472-32F8-4F3B-9AD1-6FA3EF9DE8CC}"/>
    <hyperlink ref="I358" r:id="rId1509" xr:uid="{EB7707FB-D7FE-43BE-ABF1-CAE0BEB369A5}"/>
    <hyperlink ref="I4882" r:id="rId1510" xr:uid="{DE01A56A-AE54-49E6-9AD9-04F2260FA34C}"/>
    <hyperlink ref="I4883" r:id="rId1511" xr:uid="{AE8BCAC5-B1FF-47DF-B1AC-FBDEC10A128C}"/>
    <hyperlink ref="I2083" r:id="rId1512" xr:uid="{17774D84-A434-498E-ACC6-EE6329F64187}"/>
    <hyperlink ref="I3127" r:id="rId1513" display="mailto:Catherine@yourland.com" xr:uid="{E98B9765-0836-4DCC-B60D-5A1114E5C35E}"/>
    <hyperlink ref="I1706" r:id="rId1514" xr:uid="{FDD43396-AFEC-46F0-9EB1-ED586328AB02}"/>
    <hyperlink ref="I832" r:id="rId1515" xr:uid="{583FCB3F-A2BA-424C-98F7-C49C12B30E9C}"/>
    <hyperlink ref="I867" r:id="rId1516" xr:uid="{D112D571-A9BE-45DF-B441-60EE7C8F896B}"/>
    <hyperlink ref="I2081" r:id="rId1517" xr:uid="{4C0B14B5-1328-444B-B8B7-8BB90DEAFC44}"/>
    <hyperlink ref="I4303" r:id="rId1518" xr:uid="{C5C301AA-ADB0-4CCE-8F25-2F9D8617A7B7}"/>
    <hyperlink ref="I607" r:id="rId1519" display="mailto:austin@latituderealestate.com.au" xr:uid="{9D3F4C2F-971E-4C90-BD86-0585934B4E8D}"/>
    <hyperlink ref="I609" r:id="rId1520" display="mailto:austin@latituderealestate.com.au" xr:uid="{53C0F8DE-6011-45D7-94D9-E29B608EB844}"/>
    <hyperlink ref="I3393" r:id="rId1521" xr:uid="{AB4DA618-A489-4EA2-91E2-613E39FEEF4D}"/>
    <hyperlink ref="I3080" r:id="rId1522" display="mailto:jess.o@neilsonpartners.com.au" xr:uid="{ADD17927-61C7-4BBA-9BF9-CE140224178F}"/>
    <hyperlink ref="I4133" r:id="rId1523" xr:uid="{29BD7EE5-9F8D-4208-8FF5-FDB21C04EA5D}"/>
    <hyperlink ref="I4139" r:id="rId1524" display="mailto:lucy@rpmrealestate.com.au" xr:uid="{54615CAF-D7B3-463C-A260-E53D103156C1}"/>
    <hyperlink ref="I1784" r:id="rId1525" xr:uid="{8BFF31CC-EDA4-42D5-BA5C-A204F3375FB1}"/>
    <hyperlink ref="I890" r:id="rId1526" xr:uid="{87E7B576-53C4-4BCE-91ED-53405BF32218}"/>
    <hyperlink ref="I1319" r:id="rId1527" xr:uid="{A1DB84C2-CFEF-411F-98A1-DF7AFC808DAC}"/>
    <hyperlink ref="I1337" r:id="rId1528" xr:uid="{85852272-2684-4C1A-94EC-81C0E9161FBB}"/>
    <hyperlink ref="I2756" r:id="rId1529" xr:uid="{DC539DD7-8A90-4F1E-B90D-F2BB580A80AF}"/>
    <hyperlink ref="I2757" r:id="rId1530" display="mailto:phil@lcooper.com.au" xr:uid="{9B28350D-96EA-4696-9F31-60C105EC097F}"/>
    <hyperlink ref="I3001" r:id="rId1531" xr:uid="{62D22A5C-7CC1-4747-8B1F-99A602E67832}"/>
    <hyperlink ref="I3527" r:id="rId1532" xr:uid="{7E24D3CF-C5B5-44D3-9A36-74C279997B3C}"/>
    <hyperlink ref="I1507" r:id="rId1533" xr:uid="{0AD92B9E-D7E7-4257-9000-535563A8A4E8}"/>
    <hyperlink ref="I1416" r:id="rId1534" display="mailto:Eliston@rpmrealestate.com.au" xr:uid="{602E76A7-9870-4560-B6F0-1CF965903037}"/>
    <hyperlink ref="I3599" r:id="rId1535" xr:uid="{07E11124-7889-42DE-A7C2-337DA9F01F3B}"/>
    <hyperlink ref="I4844" r:id="rId1536" xr:uid="{4EEE1D7D-E5F0-413D-B623-8A0D165768D0}"/>
    <hyperlink ref="I4285" r:id="rId1537" xr:uid="{7D9A3772-55C0-4A1D-92F3-071CD408321A}"/>
    <hyperlink ref="I3971" r:id="rId1538" display="mailto:stgermain@rpmrealestate.com.au" xr:uid="{FFCA0FA9-1008-404B-BEEF-05051C54A3D6}"/>
    <hyperlink ref="I1403" r:id="rId1539" display="mailto:segu.majid@gmail.com" xr:uid="{972C5F76-E8E5-4987-B158-A8E5210AFD0C}"/>
    <hyperlink ref="I3748" r:id="rId1540" xr:uid="{62119E9F-03E1-45B0-9B3C-EFF51362523C}"/>
    <hyperlink ref="I1360" r:id="rId1541" xr:uid="{6416F252-50F1-44E8-BBFC-8364DC2181F1}"/>
    <hyperlink ref="I4079" r:id="rId1542" xr:uid="{E3FE9411-C9E1-4AEF-AC8B-18614AF6161E}"/>
    <hyperlink ref="I3022" r:id="rId1543" xr:uid="{F7CE804B-C501-40D7-A1D4-BC3C000562BF}"/>
    <hyperlink ref="I342" r:id="rId1544" xr:uid="{B6505F75-B915-486E-8480-EE85999540D2}"/>
    <hyperlink ref="I2681" r:id="rId1545" xr:uid="{EFB858F0-8227-4A9A-A5A3-F8F7E585DB20}"/>
    <hyperlink ref="I3931" r:id="rId1546" xr:uid="{346B881B-0CCE-40D5-9D28-DEA6FD738DF2}"/>
    <hyperlink ref="I3983" r:id="rId1547" xr:uid="{A581D409-1951-45B3-B847-7ACED937370C}"/>
    <hyperlink ref="I3984" r:id="rId1548" xr:uid="{6B6341BE-1540-4AE5-B02D-8D89F92657C1}"/>
    <hyperlink ref="I680" r:id="rId1549" xr:uid="{77EAE2E8-0202-42F0-AB96-53BBEC90FBC6}"/>
    <hyperlink ref="I3336" r:id="rId1550" xr:uid="{8522C2BC-4D55-4D66-AC52-F1CB71B4C2C7}"/>
    <hyperlink ref="I877" r:id="rId1551" xr:uid="{73079D5E-361E-4B38-9965-5ED9E1E9DFCC}"/>
    <hyperlink ref="I506" r:id="rId1552" xr:uid="{E2C15885-9080-454B-B63C-55F928772C15}"/>
    <hyperlink ref="I1116" r:id="rId1553" xr:uid="{F3EAD5F9-92EC-457B-B95D-6B3F4E4F09F9}"/>
    <hyperlink ref="I500" r:id="rId1554" xr:uid="{D96C3788-E210-4AB1-AF98-5A41B41EABC3}"/>
    <hyperlink ref="I499" r:id="rId1555" xr:uid="{169D562F-FD1A-4281-A37C-A00F8113B711}"/>
    <hyperlink ref="I480" r:id="rId1556" xr:uid="{19E78808-8C8A-4472-8BFF-5EADD17DDD26}"/>
    <hyperlink ref="I51" r:id="rId1557" display="mailto:Jason.bertram@harcourts.com.au" xr:uid="{EEC02184-0461-4C38-9F2C-9BA4C13FF632}"/>
    <hyperlink ref="I1130" r:id="rId1558" xr:uid="{E0311F84-1081-47B5-A8A8-269649A6A5B8}"/>
    <hyperlink ref="I802" r:id="rId1559" display="mailto:ian@krpeters.com.au" xr:uid="{25766EBF-6E30-4662-AED0-90EEA149472C}"/>
    <hyperlink ref="I819" r:id="rId1560" xr:uid="{C221F0E6-091B-42BD-A705-B4A0CC218BA7}"/>
    <hyperlink ref="I823" r:id="rId1561" xr:uid="{79D898DB-03E7-4EE1-91E2-C40FD7499E8F}"/>
    <hyperlink ref="I824" r:id="rId1562" xr:uid="{691BEDC2-3D7B-409D-AB04-0736D4096537}"/>
    <hyperlink ref="I825" r:id="rId1563" xr:uid="{5A39B306-2306-4073-AF6F-B9D885D2C6C3}"/>
    <hyperlink ref="I682" r:id="rId1564" xr:uid="{8B8A5778-D902-4414-BAD9-E3FAB5E19498}"/>
    <hyperlink ref="I1454" r:id="rId1565" display="mailto:sara.lowe@eigdevelopments.com.au" xr:uid="{B9027AF5-136B-4B21-BBF3-20AFC4532FDF}"/>
    <hyperlink ref="I3214" r:id="rId1566" display="mailto:ted@kohamproperty.com" xr:uid="{373BEA13-56E4-47B6-BFCF-72C2A0525520}"/>
    <hyperlink ref="I3218" r:id="rId1567" xr:uid="{3E473FCB-324B-4EA3-9D76-2A2C04057592}"/>
    <hyperlink ref="I3222" r:id="rId1568" xr:uid="{C88CB25A-8914-4BD0-94C6-DE6F17F8ACDA}"/>
    <hyperlink ref="I3451" r:id="rId1569" xr:uid="{DE297154-6AFE-4673-AA6A-55118D78FBD8}"/>
    <hyperlink ref="I706" r:id="rId1570" xr:uid="{1DC20EA8-DDD2-45B1-8F21-07C29F87044A}"/>
    <hyperlink ref="I3142" r:id="rId1571" xr:uid="{16B6AB94-6451-4834-9294-67D0A8AE5CCF}"/>
    <hyperlink ref="I3677" r:id="rId1572" xr:uid="{7B761B77-6CD3-45B9-9770-3C5C3CC5E4E8}"/>
    <hyperlink ref="I3679" r:id="rId1573" xr:uid="{4610319B-E646-40BA-9340-4B792AB7C32A}"/>
    <hyperlink ref="I4596" r:id="rId1574" xr:uid="{13ED13C7-AE46-4A11-9517-4ABCA9008EB1}"/>
    <hyperlink ref="I4598" r:id="rId1575" xr:uid="{6A96350E-603C-4F71-80F3-99C179B41232}"/>
    <hyperlink ref="I1642" r:id="rId1576" xr:uid="{BB32659F-62A7-49C4-94EB-4300ECAD632A}"/>
    <hyperlink ref="I1641" r:id="rId1577" xr:uid="{59C6892E-51D2-44F0-92EC-E3D2231D3681}"/>
    <hyperlink ref="I3972" r:id="rId1578" display="mailto:stgermain@rpmrealestate.com.au" xr:uid="{69A25081-DA07-467D-BD04-1EEFFB24A295}"/>
    <hyperlink ref="I2749" r:id="rId1579" xr:uid="{A7133956-EDA6-4387-98CA-BF522B0E850D}"/>
    <hyperlink ref="I1640" r:id="rId1580" xr:uid="{8E84FAAD-4109-4F14-8BB4-238E2D4D6A06}"/>
    <hyperlink ref="I2022" r:id="rId1581" xr:uid="{3F9810E5-50F7-43D1-9BEB-90369B766B5B}"/>
    <hyperlink ref="I940" r:id="rId1582" xr:uid="{04EC6ACF-339A-4359-B5D1-F01B71438F1B}"/>
    <hyperlink ref="I2392" r:id="rId1583" xr:uid="{EBF97F9B-28AE-4C14-A1A4-D1371C196D50}"/>
    <hyperlink ref="I811" r:id="rId1584" xr:uid="{EA42C16B-3A82-4952-A4B0-75B93F24226F}"/>
    <hyperlink ref="I322" r:id="rId1585" xr:uid="{D2769CAD-B142-4740-AC7D-170C7F269C23}"/>
    <hyperlink ref="I3137" r:id="rId1586" xr:uid="{B86BD42B-5436-4E61-BFBC-94C39ACC9290}"/>
    <hyperlink ref="I1524" r:id="rId1587" xr:uid="{20E1908C-94B0-466C-9DC4-24AD03FBB9CB}"/>
    <hyperlink ref="I610" r:id="rId1588" display="mailto:austin@latituderealestate.com.au" xr:uid="{5664E0F3-CE02-4DD3-B342-C0FD36BE8175}"/>
    <hyperlink ref="I3928" r:id="rId1589" xr:uid="{5C1E707F-FB75-4EA9-9A7C-58EF64F60771}"/>
    <hyperlink ref="I1517" r:id="rId1590" xr:uid="{738A68F8-06EB-4073-870A-E46D9117C241}"/>
    <hyperlink ref="I1518" r:id="rId1591" xr:uid="{D37BE62B-7F43-4110-BDF9-13F8B03D3DDF}"/>
    <hyperlink ref="I2505" r:id="rId1592" xr:uid="{0B2907AF-C90C-4802-959D-BE91FBD546E1}"/>
    <hyperlink ref="I2507" r:id="rId1593" xr:uid="{F3B19413-BDFC-444F-B85E-EFE5B7140DDF}"/>
    <hyperlink ref="I2400" r:id="rId1594" xr:uid="{C98D6C31-C9CB-44F7-AFCD-084025C85814}"/>
    <hyperlink ref="I900" r:id="rId1595" xr:uid="{E47B063A-7240-40D4-84B9-06266129EEEE}"/>
    <hyperlink ref="I61" r:id="rId1596" xr:uid="{5623ECFC-EF17-437A-9F4A-3AD2A8C4DD8B}"/>
    <hyperlink ref="I62" r:id="rId1597" xr:uid="{B9C577E7-7B47-4FD2-B34B-6E92E10C872E}"/>
    <hyperlink ref="I2593" r:id="rId1598" xr:uid="{7E5A6EBD-6A5D-4970-BA0C-8303208D9012}"/>
    <hyperlink ref="I4126" r:id="rId1599" xr:uid="{363348D0-D319-45BA-A518-AFAFC99AECFF}"/>
    <hyperlink ref="I2555" r:id="rId1600" xr:uid="{DD9E259C-087B-4453-A26C-F8E28DDD72FB}"/>
    <hyperlink ref="I544" r:id="rId1601" xr:uid="{71662493-5808-49D7-8728-3888BE806EFC}"/>
    <hyperlink ref="I542" r:id="rId1602" xr:uid="{41779F5C-4ABD-4D3A-B51B-19B7BAAE6C1F}"/>
    <hyperlink ref="I904" r:id="rId1603" xr:uid="{BA57685D-7A3D-4046-89A1-B54C1D52BECD}"/>
    <hyperlink ref="I1410" r:id="rId1604" display="mailto:Eliston@rpmrealestate.com.au" xr:uid="{03C4DBD6-B04B-49E7-9F78-EB4883EBB5B8}"/>
    <hyperlink ref="I1871" r:id="rId1605" xr:uid="{71F50780-3F73-4C3A-82E5-D983E0466F7B}"/>
    <hyperlink ref="I324" r:id="rId1606" xr:uid="{52C99BDF-3BC7-4AA5-9EBF-59AF14853088}"/>
    <hyperlink ref="I1928" r:id="rId1607" xr:uid="{DA97FB64-9AA4-4B7B-8353-C5A96D7AEB67}"/>
    <hyperlink ref="I528" r:id="rId1608" xr:uid="{366066B1-7F90-442E-966C-7AAE5022CB1B}"/>
    <hyperlink ref="I4845" r:id="rId1609" xr:uid="{AE7CCF6B-F8C9-461D-9727-BFB4260C5744}"/>
    <hyperlink ref="I918" r:id="rId1610" xr:uid="{743A7E0D-E64B-4F86-A096-500A6AE3FB4C}"/>
    <hyperlink ref="I919" r:id="rId1611" xr:uid="{BCBFBC80-E99F-4D41-B60F-E0A64AB40DA5}"/>
    <hyperlink ref="I4172" r:id="rId1612" xr:uid="{9856B1B2-F753-4F4E-B16A-DB0785CE6203}"/>
    <hyperlink ref="I863" r:id="rId1613" xr:uid="{766DD8BF-B5CF-4E2F-A88C-FA760FD595B0}"/>
    <hyperlink ref="I4462" r:id="rId1614" xr:uid="{7B2D3FE4-FBBD-459D-B135-B5F8E4DE62D0}"/>
    <hyperlink ref="I323" r:id="rId1615" xr:uid="{FAB95867-1AA5-42B0-8844-37D59D4A7742}"/>
    <hyperlink ref="I387" r:id="rId1616" xr:uid="{5261C6C2-6F23-47A7-8D63-916A4B14DF44}"/>
    <hyperlink ref="I1419" r:id="rId1617" display="mailto:Eliston@rpmrealestate.com.au" xr:uid="{A6C2ADBE-9769-4BC5-B660-7C2B949E3311}"/>
    <hyperlink ref="I2082" r:id="rId1618" xr:uid="{6F9E19A0-D731-4065-854B-ECBC8D1B553A}"/>
    <hyperlink ref="I3268" r:id="rId1619" xr:uid="{0876CD36-FDE4-471D-B689-72736FE5332D}"/>
    <hyperlink ref="I2484" r:id="rId1620" xr:uid="{452D8600-E287-403D-8B82-C80F0C4F4FF9}"/>
    <hyperlink ref="I2487" r:id="rId1621" xr:uid="{5E4AFE2F-CBA1-4726-AC71-5076C23B7784}"/>
    <hyperlink ref="I4155" r:id="rId1622" xr:uid="{6683EB26-58C7-4A8B-86C8-12A60E3FCC35}"/>
    <hyperlink ref="I2084" r:id="rId1623" xr:uid="{CD4F6D7D-3B89-47DB-8CEF-724852974327}"/>
    <hyperlink ref="I4085" r:id="rId1624" xr:uid="{10B641E1-B76A-440A-9F13-C8D8455EEAFF}"/>
    <hyperlink ref="I4711" r:id="rId1625" xr:uid="{856DD0A4-E810-492D-8134-CD421C9313E1}"/>
    <hyperlink ref="I4420" r:id="rId1626" xr:uid="{01C94A19-1E0F-4A70-8085-CF9BD139F564}"/>
    <hyperlink ref="I2663" r:id="rId1627" xr:uid="{CBF8B18D-E17B-4D3D-A73B-DF18B683E7A9}"/>
    <hyperlink ref="I1298" r:id="rId1628" xr:uid="{A5C38669-1FEE-438B-8F10-5E250F3FAE33}"/>
    <hyperlink ref="I1129" r:id="rId1629" xr:uid="{F849D2CB-15BD-45D6-B9A7-4970A067D268}"/>
    <hyperlink ref="I3452" r:id="rId1630" xr:uid="{8BF24067-90D8-49E2-A36E-2115017708BF}"/>
    <hyperlink ref="I969" r:id="rId1631" display="mailto:bhalsall@buxton.com.au" xr:uid="{CBBCB5E5-E2EC-4F73-B653-E9507A60647B}"/>
    <hyperlink ref="I1044" r:id="rId1632" xr:uid="{D965DF49-79FB-41E3-AE8E-FB330EA63106}"/>
    <hyperlink ref="I1041" r:id="rId1633" display="mailto:sales@bisinella.com.au" xr:uid="{E7A1FEEE-F39C-4B17-ABF9-82C6138153B4}"/>
    <hyperlink ref="I1042" r:id="rId1634" display="mailto:sales@bisinella.com.au" xr:uid="{63F0E658-1759-41FC-8559-910CEC44B83D}"/>
    <hyperlink ref="I538" r:id="rId1635" xr:uid="{06A45774-76DB-4C56-B955-D019E4A056F5}"/>
    <hyperlink ref="I1888" r:id="rId1636" display="mailto:kevinmizzi@jxre.com.au" xr:uid="{E0B6C339-2ACA-4B06-BF80-7A7FAE39AE89}"/>
    <hyperlink ref="I1691" r:id="rId1637" xr:uid="{0347C14D-B72D-4458-9ACA-7BA8557E5A97}"/>
    <hyperlink ref="I1812" r:id="rId1638" xr:uid="{3AA58623-65B5-4271-87B4-7D058067421E}"/>
    <hyperlink ref="I3969" r:id="rId1639" display="mailto:stgermain@rpmrealestate.com.au" xr:uid="{ED1C4AF0-90A2-4AFC-8BD9-371C80453655}"/>
    <hyperlink ref="I346" r:id="rId1640" xr:uid="{78937352-E448-42F4-BA1E-F371D723021E}"/>
    <hyperlink ref="I4082" r:id="rId1641" xr:uid="{BD84F1A7-7912-4FC8-AEDA-86670844B12F}"/>
    <hyperlink ref="I4084" r:id="rId1642" xr:uid="{0CC9668B-4B72-4F08-85C4-52B6D9A91D05}"/>
    <hyperlink ref="I4429" r:id="rId1643" xr:uid="{94887913-CE40-468C-B969-96FEC4030FEB}"/>
    <hyperlink ref="I2441" r:id="rId1644" xr:uid="{F315869E-EA2B-49C4-9CC0-39DA030AE2FC}"/>
    <hyperlink ref="I3135" r:id="rId1645" xr:uid="{4275473F-E154-4077-9A3D-FF0264A9B1CB}"/>
    <hyperlink ref="I3143" r:id="rId1646" xr:uid="{FFDD2DBD-B299-44DE-A407-B8C77EC9D747}"/>
    <hyperlink ref="I949" r:id="rId1647" display="jan@catalinapointcook.com.au" xr:uid="{7BF9F8BA-0ED4-4E86-92BE-73F289C5E6E3}"/>
    <hyperlink ref="I3435" r:id="rId1648" xr:uid="{9F690BBC-9217-48D1-A072-2350078A7495}"/>
    <hyperlink ref="I2166" r:id="rId1649" xr:uid="{79127DA1-1BD5-4F1F-876C-086B3092101C}"/>
    <hyperlink ref="I2133" r:id="rId1650" display="mailto:hillstowe@avid.com.au" xr:uid="{4F9C1DE9-143E-4190-AE2B-5EDF74E769BB}"/>
    <hyperlink ref="I3728" r:id="rId1651" xr:uid="{20FC5D88-3A08-413E-88FE-9524CF8F5085}"/>
    <hyperlink ref="I4108" r:id="rId1652" xr:uid="{BBC271A5-71D7-4D7C-B18A-E6110DE3030D}"/>
    <hyperlink ref="I1703" r:id="rId1653" xr:uid="{E0807DDA-8D82-48C3-BF7B-520D264E5EF1}"/>
    <hyperlink ref="I1702" r:id="rId1654" xr:uid="{2B609757-12DD-4C5A-B61C-4A7FC5815AB5}"/>
    <hyperlink ref="I2275" r:id="rId1655" xr:uid="{523EEA6F-E357-4131-9A58-2A7583D4D7DE}"/>
    <hyperlink ref="I2285" r:id="rId1656" xr:uid="{F9E6CB23-AC57-45C5-A18D-A8EBC6D4C4DF}"/>
    <hyperlink ref="I362" r:id="rId1657" xr:uid="{B5387EAB-5037-44C9-A373-9FA856F2906C}"/>
    <hyperlink ref="I878" r:id="rId1658" xr:uid="{035BF306-6464-4D6F-9C95-21BFCE8A135F}"/>
    <hyperlink ref="I3052" r:id="rId1659" xr:uid="{63117673-9121-416A-8A1A-0D3068F7CA19}"/>
    <hyperlink ref="I208" r:id="rId1660" xr:uid="{A98AFFFC-800B-4245-9035-6762BB9956A9}"/>
    <hyperlink ref="I3152" r:id="rId1661" xr:uid="{049826BE-3584-4F1A-9AD4-C0EBF4AC297F}"/>
    <hyperlink ref="I3673" r:id="rId1662" xr:uid="{AD716335-5720-40A1-968B-19C74A1A482C}"/>
    <hyperlink ref="I4723" r:id="rId1663" xr:uid="{23EE085A-F892-4288-B088-DE1018DBCC35}"/>
    <hyperlink ref="I4724" r:id="rId1664" xr:uid="{8F27EB55-0696-4350-8640-7C9FFF7159F3}"/>
    <hyperlink ref="I4725" r:id="rId1665" xr:uid="{739B6476-B0D4-47CD-9A1B-63251333528B}"/>
    <hyperlink ref="I2111" r:id="rId1666" xr:uid="{DFCA8019-4668-42A8-83AB-38A1201D0AB8}"/>
    <hyperlink ref="I2106" r:id="rId1667" xr:uid="{5C9DA864-07CB-4ACE-A701-8A2C594B84EA}"/>
    <hyperlink ref="I2108" r:id="rId1668" xr:uid="{5B6B0D5D-981B-4140-A913-2EFBA62AAA3F}"/>
    <hyperlink ref="I2110" r:id="rId1669" xr:uid="{6C332569-38A7-42B2-9A52-D3BB8CB39C6D}"/>
    <hyperlink ref="I2109" r:id="rId1670" xr:uid="{FCE4A411-6BF6-4636-8D41-4E690E9E0AB4}"/>
    <hyperlink ref="I3582" r:id="rId1671" xr:uid="{37E57ED6-91D9-46DD-A41E-E7CF33BB966B}"/>
    <hyperlink ref="I3729" r:id="rId1672" display="mailto:sanctuarysprings@rpmrealestate.com.au" xr:uid="{81B5FC7C-9B42-42AB-9526-B6927B23ADEC}"/>
    <hyperlink ref="I560" r:id="rId1673" xr:uid="{FCF30568-E4A8-44C6-ABD3-34DA7F71AB3D}"/>
    <hyperlink ref="I4134" r:id="rId1674" display="mailto:lucy@rpmrealestate.com.au" xr:uid="{8A72725D-7C23-4C8F-9696-7CCEC0A5DE41}"/>
    <hyperlink ref="I2134" r:id="rId1675" display="mailto:hillstowe@avid.com.au" xr:uid="{9E57550B-F39E-40EC-A70D-A388F47BB79F}"/>
    <hyperlink ref="I1509" r:id="rId1676" xr:uid="{9C2A73DF-D57A-40CB-BCB8-DC46D40DAA57}"/>
    <hyperlink ref="I3219" r:id="rId1677" xr:uid="{FD407F48-3B2F-445D-B191-D531D2C0E1D9}"/>
    <hyperlink ref="I2279" r:id="rId1678" xr:uid="{F4AF3D03-9A73-43CB-90A4-67A0CAD4FF19}"/>
    <hyperlink ref="I4304" r:id="rId1679" xr:uid="{3B8660C1-6E1E-429B-A0EF-D5BFFB5C1191}"/>
    <hyperlink ref="I906" r:id="rId1680" xr:uid="{F123C5C9-708B-406D-B1EC-40F4696A2E24}"/>
    <hyperlink ref="I3674" r:id="rId1681" xr:uid="{B89F8D7D-1517-4104-8057-176DE9CCDAFE}"/>
    <hyperlink ref="I2390" r:id="rId1682" xr:uid="{B0DAC8D1-FD76-48B4-80CA-B6A610B37ED9}"/>
    <hyperlink ref="I4768" r:id="rId1683" xr:uid="{2ADEE133-28D1-48AF-930A-19AEA85EB8DC}"/>
    <hyperlink ref="I33" r:id="rId1684" xr:uid="{70BEA075-A2D0-4BEB-8B11-8E7796B82061}"/>
    <hyperlink ref="I34" r:id="rId1685" xr:uid="{091DCF30-1DD5-4321-8496-0448C706D112}"/>
    <hyperlink ref="I3153" r:id="rId1686" xr:uid="{4E9D2D3F-C78E-4CAA-9E90-259C598A2FBC}"/>
    <hyperlink ref="I3623" r:id="rId1687" xr:uid="{7F984868-8973-47B6-9FC9-143525306F82}"/>
    <hyperlink ref="I3339" r:id="rId1688" xr:uid="{B30A216A-D463-4EE8-925F-E66A3D84BA6A}"/>
    <hyperlink ref="I869" r:id="rId1689" xr:uid="{1AD4867D-BD8E-4E88-A9DF-475163D8CE44}"/>
    <hyperlink ref="I4106" r:id="rId1690" xr:uid="{2F62CC49-81BD-4E99-8E92-40CAD3332FD7}"/>
    <hyperlink ref="I1962" r:id="rId1691" xr:uid="{6F8E192F-2604-4EE8-8F32-3174B21530A7}"/>
    <hyperlink ref="I2714" r:id="rId1692" xr:uid="{09E1A29A-233E-4FE7-B65E-09214A66CCC1}"/>
    <hyperlink ref="I1723" r:id="rId1693" xr:uid="{0A761E02-4D18-4A84-860A-7790F546EE69}"/>
    <hyperlink ref="I3467" r:id="rId1694" xr:uid="{CB1A3F31-A23D-428C-AE3C-2BED9668AB0C}"/>
    <hyperlink ref="I3485" r:id="rId1695" xr:uid="{EAAC09E4-3AB7-4A60-8910-08F87910992A}"/>
    <hyperlink ref="I3486" r:id="rId1696" xr:uid="{355E637E-9EC5-4441-821A-E9BD039A7411}"/>
    <hyperlink ref="I3487" r:id="rId1697" xr:uid="{71A86A94-C214-4E24-8657-EC242196C337}"/>
    <hyperlink ref="I3488" r:id="rId1698" xr:uid="{391064C1-445A-4C14-ABCE-7D37FF266572}"/>
    <hyperlink ref="I3505" r:id="rId1699" xr:uid="{219937B2-5743-423B-ADE4-2B215C4A3500}"/>
    <hyperlink ref="I3471" r:id="rId1700" xr:uid="{26005672-0D62-4CED-A21F-2E9EEB6CFC19}"/>
    <hyperlink ref="I3509" r:id="rId1701" xr:uid="{59BC2B73-753E-40DD-BD19-65F492D2F56F}"/>
    <hyperlink ref="I3500" r:id="rId1702" xr:uid="{CE8A2125-7BC5-45C0-A60E-0E79867D89CC}"/>
    <hyperlink ref="I3502" r:id="rId1703" xr:uid="{AF5687F0-3CAC-4D58-8ABF-BB13FB2472BD}"/>
    <hyperlink ref="I3503" r:id="rId1704" xr:uid="{08350ECF-47FD-4143-B394-8D7D01758D98}"/>
    <hyperlink ref="I3504" r:id="rId1705" xr:uid="{CD4B5F0F-A45B-43B3-BCB4-28CE1E6F888D}"/>
    <hyperlink ref="I3468" r:id="rId1706" xr:uid="{BADB2578-1833-4F44-AF3D-ADD02107B29B}"/>
    <hyperlink ref="I3469" r:id="rId1707" xr:uid="{D8A55A7B-C0B7-49AD-A793-224BAF9DD986}"/>
    <hyperlink ref="I3470" r:id="rId1708" xr:uid="{241BCCBA-5030-45DD-895F-4D9FFEB36801}"/>
    <hyperlink ref="I3506" r:id="rId1709" xr:uid="{C9BEC2BA-70ED-4D0F-8FE7-52B277ACE076}"/>
    <hyperlink ref="I3507" r:id="rId1710" xr:uid="{F7E0F192-7B2D-4A3E-BF16-99F2F73F88D0}"/>
    <hyperlink ref="I3508" r:id="rId1711" xr:uid="{1810098A-F29A-4A4F-B48F-EAE74F511E4B}"/>
    <hyperlink ref="I3497" r:id="rId1712" xr:uid="{6DC1D159-9F98-48AE-92D5-E695E257E6C2}"/>
    <hyperlink ref="I3498" r:id="rId1713" xr:uid="{D8E8EF97-4443-4709-AFF3-4713BAF14621}"/>
    <hyperlink ref="I3499" r:id="rId1714" xr:uid="{C3AC8694-FF15-44FE-A48D-B679246B0C0B}"/>
    <hyperlink ref="I3480" r:id="rId1715" xr:uid="{18339EC8-CB33-42D6-852C-70C3072F3011}"/>
    <hyperlink ref="I3481" r:id="rId1716" xr:uid="{837EE478-ABA7-43A8-A1DF-1E1912D0BFD5}"/>
    <hyperlink ref="I3482" r:id="rId1717" xr:uid="{38B7B143-2589-4F7D-8820-CAA93290F3A6}"/>
    <hyperlink ref="I1708" r:id="rId1718" xr:uid="{2DF8BFDC-7C54-46E3-92FD-785CD2CCBB20}"/>
    <hyperlink ref="I2503" r:id="rId1719" xr:uid="{6DD3C0DB-9751-4C95-9A83-8422C172142A}"/>
    <hyperlink ref="I307" r:id="rId1720" xr:uid="{974BCB43-3126-49E1-993A-5648BBD4225A}"/>
    <hyperlink ref="I2163" r:id="rId1721" xr:uid="{5FD8AE37-8842-4590-BD28-02FF3E40AF8B}"/>
    <hyperlink ref="I2855" r:id="rId1722" xr:uid="{5D534652-E828-40A3-8F7F-DA0D22FF6841}"/>
    <hyperlink ref="I2856" r:id="rId1723" xr:uid="{88FFA62C-C435-418B-95D5-7B514E88FC87}"/>
    <hyperlink ref="I931" r:id="rId1724" xr:uid="{74E1852B-781C-482E-965E-AC878154764A}"/>
    <hyperlink ref="I2466" r:id="rId1725" xr:uid="{8F4A02B3-4C94-4BC7-A99F-8587341E6763}"/>
    <hyperlink ref="I2470" r:id="rId1726" xr:uid="{9825E8D2-21FD-4DFD-81F0-B91D5372ABB4}"/>
    <hyperlink ref="I3974" r:id="rId1727" display="mailto:stgermain@rpmrealestate.com.au" xr:uid="{2B5066A6-3F88-4288-95B0-262F79F74998}"/>
    <hyperlink ref="I180" r:id="rId1728" display="mailto:Jason.Hynek@stockland.com.au" xr:uid="{F791B766-95DC-43DE-9934-1961DD145BAD}"/>
    <hyperlink ref="I181" r:id="rId1729" xr:uid="{052E48AD-551F-4431-B1C8-F45B9BA14488}"/>
    <hyperlink ref="I4004" r:id="rId1730" xr:uid="{8C6A22A6-1A5C-44D8-B636-1CE546B3C0AA}"/>
    <hyperlink ref="I795" r:id="rId1731" xr:uid="{8C21F377-0FBC-4CEB-A4BF-197D0E368902}"/>
    <hyperlink ref="I3926" r:id="rId1732" xr:uid="{291F5699-350F-426F-B79F-A6C09E29385D}"/>
    <hyperlink ref="I862" r:id="rId1733" xr:uid="{940C981F-0740-48C1-827F-68D87B60D835}"/>
    <hyperlink ref="I2391" r:id="rId1734" xr:uid="{EAE3C01B-F23A-4AAF-9697-B7659E05B460}"/>
    <hyperlink ref="I2882" r:id="rId1735" xr:uid="{324BC7FE-2B1F-4DFD-AD0B-AFCBE07E51A1}"/>
    <hyperlink ref="I963" r:id="rId1736" display="mailto:bhalsall@buxton.com.au" xr:uid="{A3360C2F-CCDE-48E3-BF2B-46DFF4111FFE}"/>
    <hyperlink ref="I3559" r:id="rId1737" xr:uid="{4A25F49F-1454-4023-AE89-A0EDD747C5C8}"/>
    <hyperlink ref="I1961" r:id="rId1738" xr:uid="{101E0B95-607E-49E1-A5DA-AB181FBDAC08}"/>
    <hyperlink ref="I1338" r:id="rId1739" display="mailto:luke@integragroup.com.au" xr:uid="{C5AAF3EE-806F-4BE9-A5B0-15E575A7A79C}"/>
    <hyperlink ref="I26" r:id="rId1740" xr:uid="{D1F827B6-BFCB-412B-AA93-52234F524291}"/>
    <hyperlink ref="I407" r:id="rId1741" xr:uid="{6E729F2D-3B27-4444-A98B-6F5E40DB7301}"/>
    <hyperlink ref="I3347" r:id="rId1742" xr:uid="{39B63E41-2581-46F9-B828-D37713150BC2}"/>
    <hyperlink ref="I291" r:id="rId1743" xr:uid="{104D84AD-8A7B-4132-A5BA-56D9B23F14B1}"/>
    <hyperlink ref="I2331" r:id="rId1744" xr:uid="{E5A7AEE4-E1E7-4701-958A-ECF3FDCCEF95}"/>
    <hyperlink ref="I1335" r:id="rId1745" display="mailto:tgilmore@barryplant.com.au" xr:uid="{1BF483E3-14A3-420C-BD83-B0F4513218F2}"/>
    <hyperlink ref="I2510" r:id="rId1746" xr:uid="{979B2802-187E-423F-B3A0-F1ED8C509FED}"/>
    <hyperlink ref="I4716" r:id="rId1747" xr:uid="{E949A0D2-C779-48D9-A361-97EA06E8E859}"/>
    <hyperlink ref="I3589" r:id="rId1748" xr:uid="{59F217B4-D829-4116-AFF9-CDCBEE1396C0}"/>
    <hyperlink ref="I4054" r:id="rId1749" xr:uid="{89FA1C6F-E7DB-467B-A6E2-21663C6DF5FD}"/>
    <hyperlink ref="I546" r:id="rId1750" xr:uid="{3DFAB172-2825-44AA-9ACC-8568F4C918DC}"/>
    <hyperlink ref="I1811" r:id="rId1751" xr:uid="{6CCC3361-B1A9-4FEB-8B38-482AA5E09B38}"/>
    <hyperlink ref="I2683" r:id="rId1752" xr:uid="{EF03D7DC-4753-4BA8-AB24-60156328EDB0}"/>
    <hyperlink ref="I3074" r:id="rId1753" xr:uid="{DD9D5C8D-3AB7-4395-8284-946BC3E329E8}"/>
    <hyperlink ref="I297" r:id="rId1754" xr:uid="{3BF810B5-F6D5-478E-AE3B-85AD5B02B7EC}"/>
    <hyperlink ref="I770" r:id="rId1755" xr:uid="{96D13716-21DF-4C31-9CA6-055D28910D8D}"/>
    <hyperlink ref="I771" r:id="rId1756" xr:uid="{CFF44E3C-3979-453A-AA27-5432490BC0E6}"/>
    <hyperlink ref="I3027" r:id="rId1757" xr:uid="{AB320388-CD48-40E4-B556-3B0AD8FDDA21}"/>
    <hyperlink ref="I3967" r:id="rId1758" display="mailto:stgermain@rpmrealestate.com.au" xr:uid="{CC22F4F9-22BD-4020-98BB-4705DC653964}"/>
    <hyperlink ref="I2930" r:id="rId1759" xr:uid="{FCB929E6-5B78-4A5B-94AD-5A176AB21AD5}"/>
    <hyperlink ref="I2933" r:id="rId1760" xr:uid="{EB108F61-131C-4639-8256-EE542A20FE30}"/>
    <hyperlink ref="I2934" r:id="rId1761" xr:uid="{8B04F22B-6A4D-4379-8377-7DA245EE3199}"/>
    <hyperlink ref="I2936" r:id="rId1762" xr:uid="{99A5FEA1-D189-4322-B769-AF937D7A6AE0}"/>
    <hyperlink ref="I2937" r:id="rId1763" xr:uid="{C1B2DE38-7169-4692-9E93-D413024D1225}"/>
    <hyperlink ref="I2938" r:id="rId1764" xr:uid="{0887DCA0-80D2-4C96-87C5-FB322D5A759A}"/>
    <hyperlink ref="I48" r:id="rId1765" xr:uid="{150E1624-566E-4159-9FA5-343275A58FC2}"/>
    <hyperlink ref="I2996" r:id="rId1766" xr:uid="{6B14EB58-5D15-4A6C-B789-2BBD0E91E5F6}"/>
    <hyperlink ref="I2804" r:id="rId1767" xr:uid="{341BB7CD-01E2-4398-8897-1027436F3429}"/>
    <hyperlink ref="I4785" r:id="rId1768" xr:uid="{91D25885-9EDA-4F81-8E47-14350AB4905E}"/>
    <hyperlink ref="I3609" r:id="rId1769" xr:uid="{582F3E3B-A8A5-40CD-96FA-81A63B37A3B8}"/>
    <hyperlink ref="I318" r:id="rId1770" xr:uid="{0C39C307-A5B7-482B-A471-AC6005E578CA}"/>
    <hyperlink ref="I335" r:id="rId1771" xr:uid="{40D6D6EB-0610-4443-A183-F1CFD234378F}"/>
    <hyperlink ref="I2595" r:id="rId1772" xr:uid="{D1451DAE-5AB5-4D8C-93F9-CFE5626204BB}"/>
    <hyperlink ref="I4726" r:id="rId1773" xr:uid="{BE90C6E5-B9B5-4B88-AB41-4FF302F69EE2}"/>
    <hyperlink ref="I4741" r:id="rId1774" xr:uid="{8135C645-FCDA-4945-A739-67F4C6C14EE6}"/>
    <hyperlink ref="I363" r:id="rId1775" xr:uid="{39C8911A-1B47-40B6-82BA-450C21102154}"/>
    <hyperlink ref="I3970" r:id="rId1776" display="mailto:stgermain@rpmrealestate.com.au" xr:uid="{79238031-5CA0-4E12-8F6E-A8D069D3040F}"/>
    <hyperlink ref="I4135" r:id="rId1777" display="mailto:lucy@rpmrealestate.com.au" xr:uid="{CA9C1C34-AE26-4B2B-B09A-D40338487E5A}"/>
    <hyperlink ref="I2252" r:id="rId1778" xr:uid="{73472140-ECD2-4FF1-8CE3-0EF65234A389}"/>
    <hyperlink ref="I2244" r:id="rId1779" xr:uid="{48C11F8E-58DB-449A-8793-DBB0557B5381}"/>
    <hyperlink ref="I1543" r:id="rId1780" xr:uid="{6CD72457-1CAC-40A2-AE16-3498D26910E1}"/>
    <hyperlink ref="I1299" r:id="rId1781" xr:uid="{220FB636-4798-4A51-90CE-776C85A0C3D2}"/>
    <hyperlink ref="I3659" r:id="rId1782" xr:uid="{23889E80-767D-454C-BC22-C249923DE090}"/>
    <hyperlink ref="I2940" r:id="rId1783" xr:uid="{B89AC0F1-5CDF-4111-A0D6-6C1556FEF8CF}"/>
    <hyperlink ref="I2054" r:id="rId1784" xr:uid="{C2DBE3AB-EFE0-4E30-927A-379E7AFE5ACF}"/>
    <hyperlink ref="I1424" r:id="rId1785" display="mailto:Eliston@rpmrealestate.com.au" xr:uid="{A32044E5-E762-4703-80B6-AA3635C121A9}"/>
    <hyperlink ref="I4157" r:id="rId1786" xr:uid="{ABC82905-D10E-43EF-9600-33C87F9A7EDD}"/>
    <hyperlink ref="I1136" r:id="rId1787" xr:uid="{8D1C66C5-75AF-4F5D-8677-DDF9465C8765}"/>
    <hyperlink ref="I389" r:id="rId1788" xr:uid="{5CB59DC6-0201-4649-AFE7-1D1FA169D1A7}"/>
    <hyperlink ref="I1591" r:id="rId1789" xr:uid="{38D05D6F-6BD0-45B5-9E34-8266E3BA97C8}"/>
    <hyperlink ref="I2056" r:id="rId1790" xr:uid="{6E7E3090-0C25-4866-956A-C613489BC380}"/>
    <hyperlink ref="I1525" r:id="rId1791" xr:uid="{95BE2B9B-D43E-4ECE-A213-91CD7B94F2CB}"/>
    <hyperlink ref="I1528" r:id="rId1792" xr:uid="{ED94C0C0-BF17-4527-8991-6ECEC0D5FEF0}"/>
    <hyperlink ref="I930" r:id="rId1793" xr:uid="{BB9E646A-2607-483A-8AAD-F3E28C8281B5}"/>
    <hyperlink ref="I1590" r:id="rId1794" xr:uid="{7F7315B0-4176-4DBF-B1E7-37F875C63496}"/>
    <hyperlink ref="I683" r:id="rId1795" xr:uid="{776C1803-75BC-43AA-974C-EA4D91E44EFF}"/>
    <hyperlink ref="I1206" r:id="rId1796" display="mailto:angelo.granata@peet.com.au" xr:uid="{D5DFBBFC-1733-4715-B459-1123055956A9}"/>
    <hyperlink ref="I1508" r:id="rId1797" xr:uid="{8C6E8C46-9BFC-4CA3-B4B0-2DDE3996EE8F}"/>
    <hyperlink ref="I1512" r:id="rId1798" xr:uid="{407ECE5B-A974-4CC2-828B-8033DD638994}"/>
    <hyperlink ref="I1316" r:id="rId1799" xr:uid="{4196FDAA-6934-4A4E-BAD1-0E0CC06E1209}"/>
    <hyperlink ref="I2857" r:id="rId1800" xr:uid="{99875842-524F-4DB4-9E73-F812A17C35C2}"/>
    <hyperlink ref="I3395" r:id="rId1801" xr:uid="{6721D958-7A29-4153-B268-6F8AB1BA0BF8}"/>
    <hyperlink ref="I3397" r:id="rId1802" xr:uid="{12798434-8648-4812-973F-77A60EA63F75}"/>
    <hyperlink ref="I866" r:id="rId1803" xr:uid="{18D40408-8A8D-4F94-90C9-16F2E929932C}"/>
    <hyperlink ref="I844" r:id="rId1804" xr:uid="{5D05B50A-60F9-43AD-A92B-4673241360F2}"/>
    <hyperlink ref="I839" r:id="rId1805" xr:uid="{6F356FE5-D150-4CB6-828F-2D725E8EDDE4}"/>
    <hyperlink ref="I838" r:id="rId1806" xr:uid="{612BD1B9-19B6-4FF1-BE57-7159ADCEA07F}"/>
    <hyperlink ref="I211" r:id="rId1807" xr:uid="{81290E7D-F946-494F-ADFE-C9CBC329788C}"/>
    <hyperlink ref="I3749" r:id="rId1808" xr:uid="{255879FC-86B0-430E-BB9B-66FCD09C236C}"/>
    <hyperlink ref="I2318" r:id="rId1809" xr:uid="{6AF8901E-3582-4310-B54D-2192FE9EFADB}"/>
    <hyperlink ref="I2317" r:id="rId1810" xr:uid="{1E1B98DA-C1F8-41B7-B259-BBACFFD82E79}"/>
    <hyperlink ref="I2316" r:id="rId1811" xr:uid="{29A2D435-0815-47B2-8045-0C6CE8D12F39}"/>
    <hyperlink ref="I3220" r:id="rId1812" xr:uid="{A9992D56-EBDF-4A1B-84B4-00C3737167C9}"/>
    <hyperlink ref="I4597" r:id="rId1813" xr:uid="{948CCAF9-ECA7-406E-8555-5293DBEE7A4C}"/>
    <hyperlink ref="I481" r:id="rId1814" xr:uid="{DA015BD0-4AFA-42CF-8155-49EA2E53B825}"/>
    <hyperlink ref="I79" r:id="rId1815" xr:uid="{1B0D324E-B666-4DA1-82D9-C827E56297CE}"/>
    <hyperlink ref="I477" r:id="rId1816" xr:uid="{64289847-3F6A-4F8B-A219-4D216D698A85}"/>
    <hyperlink ref="I1317" r:id="rId1817" xr:uid="{0505830E-574A-4761-AA12-C637D587289F}"/>
    <hyperlink ref="I4173" r:id="rId1818" xr:uid="{6E7DCCDF-1DBE-4A43-8079-F5720D02CBA5}"/>
    <hyperlink ref="I4174" r:id="rId1819" xr:uid="{E48FC12D-781E-47BE-A128-B65A55E5E191}"/>
    <hyperlink ref="I4718" r:id="rId1820" xr:uid="{4A415177-A11C-4014-9A18-2FEAE322B262}"/>
    <hyperlink ref="I2152" r:id="rId1821" xr:uid="{B458C14C-F2DB-4925-8128-703DCD6AD2F9}"/>
    <hyperlink ref="I4803" r:id="rId1822" xr:uid="{65352146-8061-44C4-B119-418AC3B66574}"/>
    <hyperlink ref="I3706" r:id="rId1823" xr:uid="{EEC67C89-60CA-42B9-AC54-C7CDFE6BAFE3}"/>
    <hyperlink ref="I2801" r:id="rId1824" xr:uid="{FAE8AF2D-B827-4B4A-8893-F7089124A05D}"/>
    <hyperlink ref="I286" r:id="rId1825" xr:uid="{1B615867-B947-4498-A4AF-8B1A481FE7D4}"/>
    <hyperlink ref="I939" r:id="rId1826" xr:uid="{4F5BBE77-2171-4933-9651-8EAECEFEE6D0}"/>
    <hyperlink ref="I4636" r:id="rId1827" xr:uid="{AC849C13-9C4E-4186-BF7E-75EBE6854CB7}"/>
    <hyperlink ref="I2280" r:id="rId1828" xr:uid="{FA3376E5-B8C2-48CB-8214-0E3277354C69}"/>
    <hyperlink ref="I1213" r:id="rId1829" display="mailto:angelo.granata@peet.com.au" xr:uid="{9CF389F2-9A27-4E9D-BBA6-70A57A67917F}"/>
    <hyperlink ref="I3982" r:id="rId1830" xr:uid="{D9686E77-3960-492F-9F09-405A0FD045CC}"/>
    <hyperlink ref="I4305" r:id="rId1831" xr:uid="{9C00155D-7DDA-435C-8B0B-9D8A72C9EBF2}"/>
    <hyperlink ref="I3561" r:id="rId1832" xr:uid="{FF9061DE-E056-44B2-91C1-69CC399C321D}"/>
    <hyperlink ref="I3563" r:id="rId1833" xr:uid="{3AB274D1-4C04-477E-B051-2183BC9E8E74}"/>
    <hyperlink ref="I3296" r:id="rId1834" xr:uid="{03F8D1FF-4AF2-4209-BB3F-4073ED2599A1}"/>
    <hyperlink ref="I3297" r:id="rId1835" xr:uid="{5E442BF0-3948-432D-A446-7646E44ECA69}"/>
    <hyperlink ref="I4767" r:id="rId1836" xr:uid="{AD4EDCD4-0984-4834-AE8D-1EFAD4A5B6D3}"/>
    <hyperlink ref="I3610" r:id="rId1837" xr:uid="{173028C1-8B30-47D8-AA0F-0383837C9A30}"/>
    <hyperlink ref="I964" r:id="rId1838" display="mailto:bhalsall@buxton.com.au" xr:uid="{C18ECF5E-070F-470E-9F25-FB328F311157}"/>
    <hyperlink ref="I846" r:id="rId1839" xr:uid="{D32EDA5A-D95B-437A-927E-4D7BC11F0BC1}"/>
    <hyperlink ref="I2656" r:id="rId1840" xr:uid="{6B70278C-F41C-4EAC-BD60-A6E7DE5BF12C}"/>
    <hyperlink ref="I965" r:id="rId1841" display="mailto:bhalsall@buxton.com.au" xr:uid="{34B6BF8D-3B6F-443D-A6AF-98BDC530AB51}"/>
    <hyperlink ref="I303" r:id="rId1842" xr:uid="{26097F48-0744-4838-B745-A1CB5C1B60FA}"/>
    <hyperlink ref="I2508" r:id="rId1843" xr:uid="{CB4CAE28-EA33-41C3-B313-3CF872A1DE89}"/>
    <hyperlink ref="I2085" r:id="rId1844" xr:uid="{1C924647-CD1D-46AB-AA3B-D81449E56F86}"/>
    <hyperlink ref="I2086" r:id="rId1845" xr:uid="{1836E16E-150F-4350-80DF-3142D5207CFC}"/>
    <hyperlink ref="I792" r:id="rId1846" xr:uid="{949760E0-6636-411B-8E54-6A0CA6164A77}"/>
    <hyperlink ref="I1872" r:id="rId1847" xr:uid="{1A64638D-5C40-43AE-8591-7AAEA1FA43DF}"/>
    <hyperlink ref="I2837" r:id="rId1848" xr:uid="{170FCA0C-31F6-419E-ACE1-40626BE5C936}"/>
    <hyperlink ref="I4450" r:id="rId1849" xr:uid="{7A26647D-758D-4B96-8D31-4D4301D4FFA7}"/>
    <hyperlink ref="I1153" r:id="rId1850" xr:uid="{44106780-30FB-475A-BD71-8037BA5D3B0E}"/>
    <hyperlink ref="I2654" r:id="rId1851" xr:uid="{D08DA19E-6F50-4BBC-AF83-77960AA562EA}"/>
    <hyperlink ref="I388" r:id="rId1852" xr:uid="{12D79DBE-4CA6-4A4D-B07A-93396C377999}"/>
    <hyperlink ref="I4637" r:id="rId1853" xr:uid="{6521A8DF-9A9E-4AD4-88B0-1B41361EEB43}"/>
    <hyperlink ref="I80" r:id="rId1854" xr:uid="{4EF6977C-0859-49CC-A3AE-18DA834603EF}"/>
    <hyperlink ref="I1887" r:id="rId1855" display="mailto:kevinmizzi@jxre.com.au" xr:uid="{C464E6F4-57DB-4909-AFD2-F6808FFDE465}"/>
    <hyperlink ref="I3394" r:id="rId1856" xr:uid="{BB1A0C8C-1F41-48B8-8A3F-C810FB30FE3D}"/>
    <hyperlink ref="I4884" r:id="rId1857" xr:uid="{C1C3AC78-8000-4C0F-9DD1-958CC7FBEF22}"/>
    <hyperlink ref="I4885" r:id="rId1858" xr:uid="{B3B8F056-3347-4EED-B62D-FF517656075A}"/>
    <hyperlink ref="I2191" r:id="rId1859" xr:uid="{E494D49D-DC69-4D24-ACC4-FB89437DD2AD}"/>
    <hyperlink ref="I336" r:id="rId1860" xr:uid="{28F4516E-47ED-441D-B9D7-6E7EFDEF7DBD}"/>
    <hyperlink ref="I3389" r:id="rId1861" xr:uid="{28385322-42EA-46BD-BBE9-A0CEBEF6122D}"/>
    <hyperlink ref="I2245" r:id="rId1862" xr:uid="{BAFD55DD-55AC-4DDE-B9F3-36AE19882DFB}"/>
    <hyperlink ref="I2282" r:id="rId1863" xr:uid="{3E034526-DAE3-4C6D-BCC7-4B442E82ABF8}"/>
    <hyperlink ref="I4678" r:id="rId1864" xr:uid="{F0C1E816-4E1A-4045-BC57-B78C77D12366}"/>
    <hyperlink ref="I4680" r:id="rId1865" xr:uid="{6366D8EC-6F73-4C83-9075-6C534B7DF3E4}"/>
    <hyperlink ref="I4681" r:id="rId1866" xr:uid="{C6DB24C3-0E2C-473A-8406-83573898593E}"/>
    <hyperlink ref="I3820" r:id="rId1867" xr:uid="{6E374391-2EB2-49E4-9F52-DB2F8F92CBBE}"/>
    <hyperlink ref="I1527" r:id="rId1868" xr:uid="{DA0ABC51-9DCB-4C11-8DC1-5307A7F00D3F}"/>
    <hyperlink ref="I112" r:id="rId1869" xr:uid="{B63CC758-D50B-4160-92A0-F59DE308A5EE}"/>
    <hyperlink ref="I113" r:id="rId1870" xr:uid="{3116BDE6-E2C4-4EF7-92BF-27B753775763}"/>
    <hyperlink ref="I114" r:id="rId1871" xr:uid="{B5727167-4387-452A-9FB5-7A0EFBA794B6}"/>
    <hyperlink ref="I4847" r:id="rId1872" xr:uid="{30667ED2-542E-480A-9C97-47D4C64AEBE5}"/>
    <hyperlink ref="I1420" r:id="rId1873" display="mailto:Eliston@rpmrealestate.com.au" xr:uid="{47B10D46-0CAC-434F-A88B-46F3CDD5D82C}"/>
    <hyperlink ref="I4146" r:id="rId1874" xr:uid="{5BF4594B-352A-4631-92F0-6C9649C1EEF6}"/>
    <hyperlink ref="I2998" r:id="rId1875" xr:uid="{BF86B675-D946-40E7-BAB1-D3485045152D}"/>
    <hyperlink ref="I620" r:id="rId1876" xr:uid="{53D496B6-0230-4A0F-93AE-87B44CB25D0A}"/>
    <hyperlink ref="I4120" r:id="rId1877" xr:uid="{D436D923-C499-40C1-B5E9-7A2C20B6A99E}"/>
    <hyperlink ref="I4886" r:id="rId1878" xr:uid="{530FA1C4-3720-4EE1-B22F-72D8B94C216B}"/>
    <hyperlink ref="I2883" r:id="rId1879" xr:uid="{E906DC29-BAAD-4D9E-A92E-6C5F2599F21F}"/>
    <hyperlink ref="I2246" r:id="rId1880" xr:uid="{BA9250EB-3DDE-4FA5-AE07-F33572EF6AB9}"/>
    <hyperlink ref="I2469" r:id="rId1881" xr:uid="{6EE21724-0CA6-417B-80E6-5F0B783F3450}"/>
    <hyperlink ref="I1963" r:id="rId1882" xr:uid="{862B695A-2778-4846-A62C-87175899F21C}"/>
    <hyperlink ref="I4786" r:id="rId1883" xr:uid="{35BC9069-1DFE-41CC-946E-16F487FB2F66}"/>
    <hyperlink ref="I3371" r:id="rId1884" xr:uid="{7AD08427-AD66-468A-9B0F-707EFAC892CD}"/>
    <hyperlink ref="I2112" r:id="rId1885" xr:uid="{033561AC-EC52-45DA-8640-64F59B90353C}"/>
    <hyperlink ref="I382" r:id="rId1886" xr:uid="{8A7C2B82-D2D8-4C1F-B5C9-C923758864F9}"/>
    <hyperlink ref="I94" r:id="rId1887" xr:uid="{C4548CE7-14A2-492B-AA3B-E5561436BE76}"/>
    <hyperlink ref="I1334" r:id="rId1888" display="mailto:tgilmore@barryplant.com.au" xr:uid="{04D58DE2-28D7-4C42-A617-DCDA11C78FD3}"/>
    <hyperlink ref="I3136" r:id="rId1889" xr:uid="{9BFDEE77-B64E-4D35-9B8B-89E7AF8AD874}"/>
    <hyperlink ref="I601" r:id="rId1890" xr:uid="{E6402FB2-EF12-4257-96E3-795CCFC421CC}"/>
    <hyperlink ref="I619" r:id="rId1891" xr:uid="{FAC95233-23A5-4913-BC0D-29111CE52598}"/>
    <hyperlink ref="I3649" r:id="rId1892" xr:uid="{D90AC287-A3A1-465F-8131-5AEDD84735EA}"/>
    <hyperlink ref="I1494" r:id="rId1893" xr:uid="{E7505878-F724-4A6D-B99A-451CC766E52F}"/>
    <hyperlink ref="I4307" r:id="rId1894" xr:uid="{AFA6785F-8FF9-420F-B6F9-D1A4B1067A47}"/>
    <hyperlink ref="I3730" r:id="rId1895" display="mailto:sanctuarysprings@rpmrealestate.com.au" xr:uid="{5502A719-D8C4-4FD1-878C-3A0DFB6AF08F}"/>
    <hyperlink ref="I1592" r:id="rId1896" xr:uid="{2E751DD3-0AD7-4158-9723-E887C37C64A6}"/>
    <hyperlink ref="I3154" r:id="rId1897" xr:uid="{699F6F68-0CD7-4E0B-AFC5-419FFBBF4595}"/>
    <hyperlink ref="I3398" r:id="rId1898" xr:uid="{D90338AD-9681-4A7F-B212-D931E46052CF}"/>
    <hyperlink ref="I3399" r:id="rId1899" xr:uid="{F74AA93F-E743-4F98-86B9-EF533CB31A9F}"/>
    <hyperlink ref="I3975" r:id="rId1900" display="mailto:stgermain@rpmrealestate.com.au" xr:uid="{0414D9A8-6875-495C-AF2B-F811BD04296E}"/>
    <hyperlink ref="I305" r:id="rId1901" xr:uid="{E22B5F80-7C8F-4CA2-BA9E-0212DFF23C3A}"/>
    <hyperlink ref="I475" r:id="rId1902" xr:uid="{DA086C29-4F0B-4C2C-A0F4-CAD96763CB4E}"/>
    <hyperlink ref="I4136" r:id="rId1903" display="mailto:lucy@rpmrealestate.com.au" xr:uid="{989A822C-1997-4DCA-BE20-81CEC631230C}"/>
    <hyperlink ref="I2401" r:id="rId1904" xr:uid="{FA816A0C-7018-41C9-B453-C3315D75671F}"/>
    <hyperlink ref="I3750" r:id="rId1905" xr:uid="{F9FF9F2E-D1DF-4B7E-88C6-A4F8ED85A3A1}"/>
    <hyperlink ref="I3948" r:id="rId1906" xr:uid="{573255FB-2177-4C59-9C1B-D0D8A4713E84}"/>
    <hyperlink ref="I684" r:id="rId1907" xr:uid="{611A6DA3-BF18-43C0-BC6E-AB8DAAF2CE7A}"/>
    <hyperlink ref="I313" r:id="rId1908" xr:uid="{35F15F03-10F6-41C6-901F-2D2D7A1DA963}"/>
    <hyperlink ref="I331" r:id="rId1909" xr:uid="{77D55BA0-F6C0-424E-84E5-B677883AD15A}"/>
    <hyperlink ref="I332" r:id="rId1910" xr:uid="{FF0287FD-88A9-4787-9874-AD2FC7B3D968}"/>
    <hyperlink ref="I2596" r:id="rId1911" xr:uid="{DCB6C2A7-EE07-4D0F-B04D-7753E9F68BD5}"/>
    <hyperlink ref="I82" r:id="rId1912" xr:uid="{18760268-7C1A-4658-BEFB-44A4844FBDB7}"/>
    <hyperlink ref="I2276" r:id="rId1913" xr:uid="{339CC7D5-D4C1-4D43-88E2-5BC07EE0410E}"/>
    <hyperlink ref="I2278" r:id="rId1914" xr:uid="{ED214874-ABE0-46DD-AEE9-4795AA5E4E33}"/>
    <hyperlink ref="I2838" r:id="rId1915" xr:uid="{9F424014-1BB6-4C93-99CD-8F0316811291}"/>
    <hyperlink ref="I4457" r:id="rId1916" xr:uid="{C8FBBE14-AAB1-48A6-8FC5-F6BF0348EBBD}"/>
    <hyperlink ref="I2939" r:id="rId1917" xr:uid="{9AA9F69E-CC91-4409-B0CA-B986941A152D}"/>
    <hyperlink ref="I4158" r:id="rId1918" xr:uid="{F64F6F38-4AD5-40CC-ADA6-46C933584A9E}"/>
    <hyperlink ref="I2999" r:id="rId1919" xr:uid="{810A20C5-3A6A-4A0C-86CC-98A4536E1CDA}"/>
    <hyperlink ref="I343" r:id="rId1920" xr:uid="{92A362AC-07FE-4A4B-B128-4CFCAF0C3557}"/>
    <hyperlink ref="I1510" r:id="rId1921" xr:uid="{F150ACA1-11BD-4F24-B7C9-5CB6F860BDFC}"/>
    <hyperlink ref="I1813" r:id="rId1922" xr:uid="{6D3E99F9-397A-4C28-A39A-9D218BEF6E8C}"/>
    <hyperlink ref="I638" r:id="rId1923" xr:uid="{C5975F17-01E2-49E0-AA15-F5B95ED09C89}"/>
    <hyperlink ref="I647" r:id="rId1924" xr:uid="{F84C8A0E-7387-4BB1-9731-8AFDB678DD96}"/>
    <hyperlink ref="I1573" r:id="rId1925" xr:uid="{E2B6B3EC-9F29-4622-9203-330DD621DE85}"/>
    <hyperlink ref="I848" r:id="rId1926" xr:uid="{0AFAE017-821F-4732-9A2D-6694C2E709EA}"/>
    <hyperlink ref="I2332" r:id="rId1927" xr:uid="{4CD69F92-BABD-45C8-9F59-1BEEACE460A8}"/>
    <hyperlink ref="I2715" r:id="rId1928" xr:uid="{57864859-09FA-4A97-A54C-6F5E7C7479AE}"/>
    <hyperlink ref="I1110" r:id="rId1929" xr:uid="{93DF4C14-C331-4916-A2A9-EE44EF4FC100}"/>
    <hyperlink ref="I3453" r:id="rId1930" xr:uid="{7B18A011-D217-49C9-804D-6153A70FAF31}"/>
    <hyperlink ref="I3455" r:id="rId1931" xr:uid="{6CBCF7F5-8173-4630-95BA-BD2C57A2B233}"/>
    <hyperlink ref="I93" r:id="rId1932" xr:uid="{629886ED-753E-4E6A-A5F3-3979FF532DF2}"/>
    <hyperlink ref="I4638" r:id="rId1933" xr:uid="{4B8477C0-F268-4BEF-AA93-FDB10C9927D7}"/>
    <hyperlink ref="I1380" r:id="rId1934" xr:uid="{9206DEFE-418F-4761-95C3-329D5576D46E}"/>
    <hyperlink ref="I3564" r:id="rId1935" xr:uid="{174883DD-A2BC-428E-A3A7-1275CA9FED66}"/>
    <hyperlink ref="I3115" r:id="rId1936" display="mailto:Catherine@yourland.com" xr:uid="{54E4039E-DA17-4BC1-A67D-38EC21569487}"/>
    <hyperlink ref="I3886" r:id="rId1937" xr:uid="{630FE9C5-3F48-4B67-BB12-1EC7FC4A4BE7}"/>
    <hyperlink ref="I1574" r:id="rId1938" xr:uid="{53338AE4-75C4-44D8-8ED4-BF1E30C64F0B}"/>
    <hyperlink ref="I1581" r:id="rId1939" xr:uid="{989C14C7-09C0-4351-BD67-39304C72D19A}"/>
    <hyperlink ref="I3647" r:id="rId1940" xr:uid="{EB142451-45D4-40E7-BDFC-FF93B7E92C65}"/>
    <hyperlink ref="I4265" r:id="rId1941" xr:uid="{81CFAF0C-723A-4F94-98F1-0C626A975AF1}"/>
    <hyperlink ref="I571" r:id="rId1942" display="mailto:austin@latituderealestate.com.au" xr:uid="{4E9C4927-D1E2-4C7A-B645-7E1ED9684E51}"/>
    <hyperlink ref="I83" r:id="rId1943" xr:uid="{7BA8FD1E-65E2-4B6F-BDD6-874862080E7C}"/>
    <hyperlink ref="I1692" r:id="rId1944" xr:uid="{23876D81-110B-4027-BDC8-EB2FD09202D5}"/>
    <hyperlink ref="I4037" r:id="rId1945" xr:uid="{E7BD228B-749A-45E8-A220-F79BD259C2BD}"/>
    <hyperlink ref="I2682" r:id="rId1946" xr:uid="{0A0DA4AA-F7F7-469A-9E35-4E2404F23B7B}"/>
    <hyperlink ref="I902" r:id="rId1947" xr:uid="{30865B8B-6081-48D1-A286-14EA7127F420}"/>
    <hyperlink ref="I3698" r:id="rId1948" xr:uid="{BE82BDAA-1909-49C0-B70D-87BB99D998F3}"/>
    <hyperlink ref="I2387" r:id="rId1949" xr:uid="{3F2C5240-36DE-42E6-BE48-DF684552CCE8}"/>
    <hyperlink ref="I2870" r:id="rId1950" xr:uid="{3C9201D3-B145-4A47-98ED-172769FF4070}"/>
    <hyperlink ref="I390" r:id="rId1951" xr:uid="{074D7823-F5C0-473C-8463-5CEFEB6768BF}"/>
    <hyperlink ref="I2871" r:id="rId1952" xr:uid="{2CFB7FE4-8FFB-4937-9AED-847E054A2E85}"/>
    <hyperlink ref="I2896" r:id="rId1953" xr:uid="{E8A8A9B2-7600-4F97-BC27-AB14A44316C6}"/>
    <hyperlink ref="I334" r:id="rId1954" xr:uid="{BA7338AD-E1FE-49A5-8A37-4F082F83553D}"/>
    <hyperlink ref="I4848" r:id="rId1955" xr:uid="{158FAB90-392A-4469-BDC6-228C10C28727}"/>
    <hyperlink ref="I4850" r:id="rId1956" xr:uid="{8B2479F7-428A-477D-B066-10ED28F5DEB1}"/>
    <hyperlink ref="I849" r:id="rId1957" xr:uid="{BA133626-9983-4F28-8061-AED8C82388BA}"/>
    <hyperlink ref="I831" r:id="rId1958" xr:uid="{70878BE5-641F-468A-8C74-67729095A194}"/>
    <hyperlink ref="I1593" r:id="rId1959" xr:uid="{A1642367-4F85-4EA3-A3BE-9E523AC51A35}"/>
    <hyperlink ref="I159" r:id="rId1960" display="mailto:alira@rpmrealestate.com.au" xr:uid="{4FFC046E-4FB5-420A-A9B3-E5E2B129194B}"/>
    <hyperlink ref="I2416" r:id="rId1961" xr:uid="{507F3BFE-8B7F-4CA8-9644-D5E9FA62DFB8}"/>
    <hyperlink ref="I428" r:id="rId1962" xr:uid="{1B6F767F-27D2-4184-978E-D31A816B5056}"/>
    <hyperlink ref="I3012" r:id="rId1963" xr:uid="{5EA7EA4E-2A18-423D-8A84-D3A51A654BA0}"/>
    <hyperlink ref="I1815" r:id="rId1964" xr:uid="{216F77E0-8F46-46D5-8360-9B9C48451623}"/>
    <hyperlink ref="I2545" r:id="rId1965" xr:uid="{494B3E10-788D-4713-9C9A-816A08499F24}"/>
    <hyperlink ref="I2546" r:id="rId1966" xr:uid="{CD6152F9-7C27-4039-8066-A36EB9CA9A1C}"/>
    <hyperlink ref="I3553" r:id="rId1967" xr:uid="{71DB8D16-6744-4D39-A1F3-2B09F38F898C}"/>
    <hyperlink ref="I3191" r:id="rId1968" xr:uid="{4EEBB2A6-9269-41D3-9402-1FFB0F7463A4}"/>
    <hyperlink ref="I1838" r:id="rId1969" display="mailto:shaas@hockingstuart.com.au" xr:uid="{08630E4B-C215-46BA-83F4-886B1863DEF7}"/>
    <hyperlink ref="I3845" r:id="rId1970" display="mailto:arvind@krpeters.com.au" xr:uid="{D47128F0-7DC5-462D-A124-5EA7478026B9}"/>
    <hyperlink ref="I2597" r:id="rId1971" xr:uid="{C7E6AA92-1CE5-4BF5-897D-35E7D8C9A60C}"/>
    <hyperlink ref="I2899" r:id="rId1972" xr:uid="{8B41EC48-65A0-4574-980A-3C0C608A4990}"/>
    <hyperlink ref="I2608" r:id="rId1973" xr:uid="{C300BD5D-9855-4453-B7AA-86EAABE4C028}"/>
    <hyperlink ref="I932" r:id="rId1974" xr:uid="{7FE1DE3A-A2FD-447E-AEF8-705915D3834B}"/>
    <hyperlink ref="I4719" r:id="rId1975" xr:uid="{AC83A3CA-F4D5-4B89-909B-ABB7DDDCC445}"/>
    <hyperlink ref="I2637" r:id="rId1976" xr:uid="{6D285DB3-008E-4116-9F20-F844CB12FF4A}"/>
    <hyperlink ref="I970" r:id="rId1977" display="mailto:bhalsall@buxton.com.au" xr:uid="{115017BD-D976-4800-A63C-155627FD5D94}"/>
    <hyperlink ref="I3681" r:id="rId1978" xr:uid="{778579A3-4454-4142-9FDC-FC43607F7399}"/>
    <hyperlink ref="I3682" r:id="rId1979" xr:uid="{87F25ADD-73C9-4DDC-B2D6-8CE5E06F7A14}"/>
    <hyperlink ref="I2723" r:id="rId1980" xr:uid="{4ECE7C26-7375-49C2-A356-2ED04CD55F1D}"/>
    <hyperlink ref="I2277" r:id="rId1981" xr:uid="{A5A025BE-C387-492D-800F-AC1F62E1F30F}"/>
    <hyperlink ref="I2428" r:id="rId1982" xr:uid="{2D9FDED1-33C9-4206-B680-4C5DC0BD79CF}"/>
    <hyperlink ref="I381" r:id="rId1983" xr:uid="{986F7DE0-72AE-48BD-861B-A3E5F2055FF2}"/>
    <hyperlink ref="I2693" r:id="rId1984" xr:uid="{1318C79A-B5E3-4E31-89EA-4C4E08659103}"/>
    <hyperlink ref="I4421" r:id="rId1985" xr:uid="{1C2DC37F-DDAF-4A8F-9B16-CFD400371528}"/>
    <hyperlink ref="I575" r:id="rId1986" display="mailto:austin@latituderealestate.com.au" xr:uid="{E1A83E20-EA94-458D-B495-6D36130BE08F}"/>
    <hyperlink ref="I648" r:id="rId1987" xr:uid="{1059057B-0299-43B9-9F31-E6812C3EF077}"/>
    <hyperlink ref="I4121" r:id="rId1988" xr:uid="{0EFF4615-AFE2-486F-BA9C-B55FA802C7DB}"/>
    <hyperlink ref="I364" r:id="rId1989" xr:uid="{1D21A679-8FD1-4D48-9B45-595457686CA2}"/>
    <hyperlink ref="I3053" r:id="rId1990" xr:uid="{A107FC3E-AEA0-4A38-9AD2-1FDAF1BAC10B}"/>
    <hyperlink ref="I1318" r:id="rId1991" xr:uid="{2D82AD30-32DF-4133-A6A0-51BC3FD1D405}"/>
    <hyperlink ref="I1221" r:id="rId1992" display="mailto:angelo.granata@peet.com.au" xr:uid="{F57FCA4A-960B-4ECC-AE50-724FF8F002C8}"/>
    <hyperlink ref="I4137" r:id="rId1993" display="mailto:lucy@rpmrealestate.com.au" xr:uid="{F14E4800-D59C-4E62-AB89-3FE74EBF3B5C}"/>
    <hyperlink ref="I3054" r:id="rId1994" xr:uid="{88D07A9C-2F67-41EB-9905-7E4304902943}"/>
    <hyperlink ref="I1790" r:id="rId1995" xr:uid="{D884928C-441F-461A-8A8D-8277DC049261}"/>
    <hyperlink ref="I3002" r:id="rId1996" xr:uid="{20F2C872-3686-4EC5-BB3C-1CF6FB583F20}"/>
    <hyperlink ref="I4276" r:id="rId1997" xr:uid="{D35EC22E-D074-440C-B088-8E44AD27AD73}"/>
    <hyperlink ref="I2798" r:id="rId1998" xr:uid="{51559B95-14F9-403E-A111-A9967D850614}"/>
    <hyperlink ref="I2247" r:id="rId1999" xr:uid="{40BCA30F-DFE2-4F65-8CA9-DB48409BDE4F}"/>
    <hyperlink ref="I4306" r:id="rId2000" xr:uid="{BCE137C0-7E8E-4625-A920-D59F8496860B}"/>
    <hyperlink ref="I2839" r:id="rId2001" xr:uid="{F1A7476E-6C5E-4701-8C1A-E1C9E7E1C941}"/>
    <hyperlink ref="I3155" r:id="rId2002" xr:uid="{62E0B819-C27A-4F24-85E0-3BC0E418A72B}"/>
    <hyperlink ref="I147" r:id="rId2003" display="mailto:alira@rpmrealestate.com.au" xr:uid="{79ED04AC-D452-4147-B3DC-8F368DB9699D}"/>
    <hyperlink ref="I4195" r:id="rId2004" xr:uid="{07D1B4FD-A9F2-4F93-A42F-7AD995242544}"/>
    <hyperlink ref="I4196" r:id="rId2005" xr:uid="{4C6D2FE0-B1CD-4820-AF01-CD660CBCF569}"/>
    <hyperlink ref="I1810" r:id="rId2006" xr:uid="{FAB1C040-3A4F-42F9-B1D6-108857098AC2}"/>
    <hyperlink ref="I2055" r:id="rId2007" xr:uid="{ABF65B91-5FF4-44C5-824B-35F75CA1D39D}"/>
    <hyperlink ref="I2087" r:id="rId2008" xr:uid="{305B8394-7D79-41A2-A057-0565A23D97CC}"/>
    <hyperlink ref="I191" r:id="rId2009" xr:uid="{E0978DCA-E18D-43BE-80B0-FC336DF93C6F}"/>
    <hyperlink ref="I1707" r:id="rId2010" xr:uid="{8DE3D593-DF39-4DC1-A52F-1A79FACFB8C0}"/>
    <hyperlink ref="I264" r:id="rId2011" xr:uid="{CF0A9CAE-1F34-4751-A061-17334B4C13A0}"/>
    <hyperlink ref="I555" r:id="rId2012" xr:uid="{D8A3F112-50C8-43C0-A440-30812868E1F2}"/>
    <hyperlink ref="I556" r:id="rId2013" xr:uid="{1879E38B-E7CB-4F59-ADB0-4FD987885256}"/>
    <hyperlink ref="I2161" r:id="rId2014" xr:uid="{D2A12F0B-EE53-4B35-8134-14968CB2A902}"/>
    <hyperlink ref="I2162" r:id="rId2015" xr:uid="{C10644A1-12D6-40E8-969B-17E32C4B321F}"/>
    <hyperlink ref="I4046" r:id="rId2016" xr:uid="{3898BF0E-3ED9-43D7-96B2-5448F899C941}"/>
    <hyperlink ref="I4045" r:id="rId2017" xr:uid="{BE0ACD2B-9F66-44B9-A6BF-F559670AFC3A}"/>
    <hyperlink ref="I1496" r:id="rId2018" xr:uid="{64FC2FAF-6E01-4997-B43D-2E98D02A156D}"/>
    <hyperlink ref="I2841" r:id="rId2019" xr:uid="{72C2F72E-3827-4BBC-8F3B-AABF39920FC6}"/>
    <hyperlink ref="I170" r:id="rId2020" xr:uid="{387F834F-EAAA-4D32-B5CD-CB5C0CFF2E5A}"/>
    <hyperlink ref="I3630" r:id="rId2021" xr:uid="{55464ACA-6161-43FB-B28C-31A87B22E814}"/>
    <hyperlink ref="I3390" r:id="rId2022" xr:uid="{32758E9C-7A44-48AA-B562-15AB9CF1538D}"/>
    <hyperlink ref="I3392" r:id="rId2023" xr:uid="{4C4349F4-AC1E-418C-9E65-11597BBE0B8D}"/>
    <hyperlink ref="I3003" r:id="rId2024" xr:uid="{EA3E60A7-F546-45BE-94B1-A98E46221E82}"/>
    <hyperlink ref="I3753" r:id="rId2025" xr:uid="{F59A0C6B-C5F0-454B-A590-D7086FCFA32D}"/>
    <hyperlink ref="I652" r:id="rId2026" xr:uid="{C6EF3417-BD96-4C2B-9CDF-A2FFA9DD63F2}"/>
    <hyperlink ref="I1822" r:id="rId2027" xr:uid="{15D98AD1-81AE-46EE-B4C9-6F2CC7FE07F3}"/>
    <hyperlink ref="I1823" r:id="rId2028" xr:uid="{F3F407A0-14A6-4FB6-93C2-4235B9021162}"/>
    <hyperlink ref="I1824" r:id="rId2029" xr:uid="{F2DD3006-DCD4-4360-97D7-FD8368895401}"/>
    <hyperlink ref="I1825" r:id="rId2030" xr:uid="{8D6220FE-2CCE-4561-89E8-DC204CEEFF50}"/>
    <hyperlink ref="I1826" r:id="rId2031" xr:uid="{6F629E1F-9F5A-40DB-926B-135A9DA1673C}"/>
    <hyperlink ref="I1320" r:id="rId2032" xr:uid="{2E0B3F47-2B6D-403C-8F37-3AC2445B1285}"/>
    <hyperlink ref="I3571" r:id="rId2033" xr:uid="{3278E7A1-3A15-4EB3-9522-0906EF1B2BDA}"/>
    <hyperlink ref="I3533" r:id="rId2034" display="mailto:patricio@rivervalley.com.au" xr:uid="{E03B3D8A-4306-44FC-9383-CC2065A23C3A}"/>
    <hyperlink ref="I4413" r:id="rId2035" xr:uid="{807952E2-6ABE-4E58-BBD6-1C83031F247D}"/>
    <hyperlink ref="I1433" r:id="rId2036" xr:uid="{7DF65303-9AA1-4019-96B0-1CA88A92F7DD}"/>
    <hyperlink ref="I4122" r:id="rId2037" xr:uid="{56C5DB90-7F20-4D65-ABFE-96373E8E5222}"/>
    <hyperlink ref="I4604" r:id="rId2038" xr:uid="{B8E47B71-6E0F-4045-9951-682B6B34C8AF}"/>
    <hyperlink ref="I2695" r:id="rId2039" xr:uid="{5E6DBD61-9648-42BE-AEB8-3F2CB2DFADA7}"/>
    <hyperlink ref="I3932" r:id="rId2040" xr:uid="{63996E14-7062-4AED-8D36-78924A3AA624}"/>
    <hyperlink ref="I3898" r:id="rId2041" xr:uid="{47E7F018-078A-4E60-ADBC-C62E5339134C}"/>
    <hyperlink ref="I3899" r:id="rId2042" xr:uid="{6F4E38C3-8DD5-4641-ADFF-CD8E1C17C55F}"/>
    <hyperlink ref="I210" r:id="rId2043" xr:uid="{87852F86-696A-4094-B529-285A2D85D046}"/>
    <hyperlink ref="I209" r:id="rId2044" xr:uid="{C9236816-9C2F-4F26-B026-553D405D9929}"/>
    <hyperlink ref="I2559" r:id="rId2045" xr:uid="{8937E250-FDB0-4111-8802-5A458C90EFFA}"/>
    <hyperlink ref="I1234" r:id="rId2046" xr:uid="{ABE9F397-78ED-4D8E-B7A0-D44423C7EAEB}"/>
    <hyperlink ref="I1235" r:id="rId2047" xr:uid="{48D082BF-CB0B-4681-8486-1B25BC62472C}"/>
    <hyperlink ref="I1236" r:id="rId2048" xr:uid="{B5A024DF-A6D5-484D-A31A-DD9A3A5A7CB1}"/>
    <hyperlink ref="I1237" r:id="rId2049" xr:uid="{651B7142-CB9C-4027-80AD-9708269A215A}"/>
    <hyperlink ref="I1238" r:id="rId2050" xr:uid="{D360FB9E-9073-48F5-A39E-40967445B633}"/>
    <hyperlink ref="I1239" r:id="rId2051" xr:uid="{D35E9FC5-650B-4B18-AFA6-3851C5B121B2}"/>
    <hyperlink ref="I1240" r:id="rId2052" xr:uid="{BDAFCB9E-CE74-4CB7-B891-D4EDD7E0435E}"/>
    <hyperlink ref="I1242" r:id="rId2053" xr:uid="{62AC905A-05BF-4B83-A758-31526E0304F0}"/>
    <hyperlink ref="I3846" r:id="rId2054" display="mailto:arvind@krpeters.com.au" xr:uid="{812F3B79-CE3A-4C3A-9265-8C1CB1756794}"/>
    <hyperlink ref="I2891" r:id="rId2055" xr:uid="{082B1DBB-9E0D-4A8B-A5EF-44D95DA049B9}"/>
    <hyperlink ref="I149" r:id="rId2056" display="mailto:alira@rpmrealestate.com.au" xr:uid="{BE8B6061-6535-407B-9035-93C631914368}"/>
    <hyperlink ref="I1303" r:id="rId2057" xr:uid="{C166BBC0-732B-43E1-A18D-C1C56B0E2D78}"/>
    <hyperlink ref="I1422" r:id="rId2058" display="mailto:Eliston@rpmrealestate.com.au" xr:uid="{5B615004-6AB0-4516-A648-6D71AF576654}"/>
    <hyperlink ref="I4750" r:id="rId2059" xr:uid="{CC14A9BF-9A00-418B-A5D6-B66D63E1BF69}"/>
    <hyperlink ref="I950" r:id="rId2060" display="jan@catalinapointcook.com.au" xr:uid="{6EFE4C53-9BF7-48CB-AB9C-E8F73235B272}"/>
    <hyperlink ref="I66" r:id="rId2061" xr:uid="{E5F88495-207C-44C4-9FF7-8EFD4E3D2D6D}"/>
    <hyperlink ref="I576" r:id="rId2062" display="mailto:austin@latituderealestate.com.au" xr:uid="{A0669F8B-8D7B-4EF8-AA53-5C2FEA60BFC4}"/>
    <hyperlink ref="I3391" r:id="rId2063" xr:uid="{C694DD14-63EF-49A4-9A0B-23FDF7AAFACC}"/>
    <hyperlink ref="I3751" r:id="rId2064" xr:uid="{34E10F0D-FD5A-4796-A0C5-9CD8CB41333B}"/>
    <hyperlink ref="I2799" r:id="rId2065" xr:uid="{00CF4EB4-D050-427C-B3C1-2913A8CCB5F6}"/>
    <hyperlink ref="I265" r:id="rId2066" xr:uid="{CA017D78-491E-47A8-A9CB-90455C68D5CA}"/>
    <hyperlink ref="I2377" r:id="rId2067" xr:uid="{7FDF5D24-4622-4A9B-A464-81504CDE42A4}"/>
    <hyperlink ref="I2378" r:id="rId2068" xr:uid="{24272EFC-85C5-48B6-A9A9-31A5C70F3FA1}"/>
    <hyperlink ref="I4308" r:id="rId2069" xr:uid="{86F507CA-51FA-4E7C-859C-4F0FB9539B02}"/>
    <hyperlink ref="I4649" r:id="rId2070" xr:uid="{79542134-CDF5-47F3-9CE5-3AB0B0E3F8F6}"/>
    <hyperlink ref="I3159" r:id="rId2071" xr:uid="{E4BEB320-CAED-4477-8FB5-595FA749989C}"/>
    <hyperlink ref="I3612" r:id="rId2072" xr:uid="{64A53F3A-40CF-4D56-9198-A1705D3CA447}"/>
    <hyperlink ref="I3190" r:id="rId2073" xr:uid="{5F7291D8-444C-416E-AF00-A87BC27C1EEC}"/>
    <hyperlink ref="I3632" r:id="rId2074" xr:uid="{2EDF911B-C1EE-4D8B-9E50-6A2D48B8AC3F}"/>
    <hyperlink ref="I4748" r:id="rId2075" xr:uid="{BBE48DCE-EF90-4A7A-9ED2-38ACC7463616}"/>
    <hyperlink ref="I4753" r:id="rId2076" xr:uid="{3929192E-7736-4F54-8A70-F864AADB1D83}"/>
    <hyperlink ref="I3116" r:id="rId2077" display="mailto:Catherine@yourland.com" xr:uid="{4F0892AD-F293-4234-8B98-12ADF362AAB3}"/>
    <hyperlink ref="I4849" r:id="rId2078" xr:uid="{C3A1FBCD-7C4A-49BE-BE72-C89E8455B3C2}"/>
    <hyperlink ref="I1598" r:id="rId2079" xr:uid="{0BE00AC9-5F3D-4337-B238-0351A4D7F25A}"/>
    <hyperlink ref="I2887" r:id="rId2080" xr:uid="{B001582C-531C-4C04-AAA8-31F6B94FD926}"/>
    <hyperlink ref="I2516" r:id="rId2081" xr:uid="{7E106956-9A2E-46C3-8B40-E2910188117A}"/>
    <hyperlink ref="I1923" r:id="rId2082" xr:uid="{CC2B8BB5-192B-4E46-A98A-8B548BAFB791}"/>
    <hyperlink ref="I3684" r:id="rId2083" xr:uid="{4F6097EF-621F-4169-9C20-28DA2BA68801}"/>
    <hyperlink ref="I510" r:id="rId2084" xr:uid="{CBFAEA3F-27DA-42A8-8711-E3FBB03032ED}"/>
    <hyperlink ref="I514" r:id="rId2085" xr:uid="{315F7444-7A4A-47E9-BB6C-512E0E6EFB97}"/>
    <hyperlink ref="I95" r:id="rId2086" xr:uid="{DCC3FE1B-9BCB-4BCA-A640-3BDDDC9E45EF}"/>
    <hyperlink ref="I4124" r:id="rId2087" xr:uid="{6671ED2B-D3A6-49DD-85D1-A15336231729}"/>
    <hyperlink ref="I4269" r:id="rId2088" xr:uid="{4B6B270D-AF8A-4209-B6FA-B7ED61ABA74B}"/>
    <hyperlink ref="I797" r:id="rId2089" xr:uid="{7812A884-3EF2-4CDF-A32C-28A4979C6724}"/>
    <hyperlink ref="I873" r:id="rId2090" xr:uid="{9B3F36BD-34C0-4B10-BE9F-E407C44D1080}"/>
    <hyperlink ref="I2724" r:id="rId2091" xr:uid="{F7587696-4E46-4E5F-B8FD-0A798A3EF37F}"/>
    <hyperlink ref="I3138" r:id="rId2092" xr:uid="{28B52A51-0972-44AB-A714-8E4B3D6587FE}"/>
    <hyperlink ref="I4436" r:id="rId2093" xr:uid="{7F2BC81C-9F47-43A6-B9F5-60A66FAFA56A}"/>
    <hyperlink ref="I161" r:id="rId2094" display="mailto:alira@rpmrealestate.com.au" xr:uid="{BF5D54CE-77CC-4E70-8406-9AF77F7E57B9}"/>
    <hyperlink ref="I488" r:id="rId2095" xr:uid="{4C0C1CFA-812D-4950-A6B4-8B21B7DDE6D8}"/>
    <hyperlink ref="I4105" r:id="rId2096" xr:uid="{319CF167-64B3-44B2-90D7-B01ABF54B882}"/>
    <hyperlink ref="I2842" r:id="rId2097" xr:uid="{1AF9E06C-ADBB-4AEF-9C8D-9CCE93032ED9}"/>
    <hyperlink ref="I4668" r:id="rId2098" xr:uid="{80A8024C-C986-4859-B9C0-EC964956D11E}"/>
    <hyperlink ref="I736" r:id="rId2099" xr:uid="{505E8EB2-A75B-47A1-A3EA-F92DD8E946AF}"/>
    <hyperlink ref="I748" r:id="rId2100" xr:uid="{D52854A4-F010-4600-945E-207263EA8D90}"/>
    <hyperlink ref="I850" r:id="rId2101" xr:uid="{A26F76AB-34CB-4EF9-B741-AEC4A58DF02A}"/>
    <hyperlink ref="I4751" r:id="rId2102" xr:uid="{C4B09773-CB0A-4753-BA9F-6FA1E2020FF8}"/>
    <hyperlink ref="I578" r:id="rId2103" display="mailto:austin@latituderealestate.com.au" xr:uid="{7C26A4DB-3708-45FE-83F8-0D656FB4761E}"/>
    <hyperlink ref="I4224" r:id="rId2104" xr:uid="{97910952-8C6F-44E9-B946-2169F3C2902A}"/>
    <hyperlink ref="I4039" r:id="rId2105" xr:uid="{DA9CF2E9-0ECE-4102-A225-8DA1EAB66DB2}"/>
    <hyperlink ref="I3059" r:id="rId2106" xr:uid="{019B28F3-F507-4A28-A979-C20C898D1526}"/>
    <hyperlink ref="I668" r:id="rId2107" xr:uid="{EAA7D14D-C1F3-4D5C-93F7-5A5C4DBD8A61}"/>
    <hyperlink ref="I3145" r:id="rId2108" xr:uid="{28B97DBB-A886-4F33-85EC-247EDDFCFA6A}"/>
    <hyperlink ref="I96" r:id="rId2109" xr:uid="{9E0E4EA4-8217-4C7E-9F29-2F9164350517}"/>
    <hyperlink ref="I4428" r:id="rId2110" xr:uid="{68182066-6B54-4254-B345-3069258CBBE2}"/>
    <hyperlink ref="I4418" r:id="rId2111" xr:uid="{92C20D8F-5600-423E-9F1A-5C3D59CBACF6}"/>
    <hyperlink ref="I1800" r:id="rId2112" xr:uid="{D4B810BE-0F46-47B6-BD97-1952B639F438}"/>
    <hyperlink ref="I1802" r:id="rId2113" xr:uid="{8EEEC1A8-90D9-409C-900A-16E7D3CCE1FF}"/>
    <hyperlink ref="I2430" r:id="rId2114" xr:uid="{5E6C8908-8B13-4C32-967D-91812DFDAC01}"/>
    <hyperlink ref="I2639" r:id="rId2115" xr:uid="{EE2D523E-27C7-40FD-92CA-30A6CD8530DC}"/>
    <hyperlink ref="I3888" r:id="rId2116" xr:uid="{83209300-0441-4769-9F21-6CB704697CE9}"/>
    <hyperlink ref="I3889" r:id="rId2117" xr:uid="{BA943D98-CF9C-4958-A239-E82263AF244B}"/>
    <hyperlink ref="I163" r:id="rId2118" xr:uid="{3EB4C5F2-C7A9-48B2-AADE-B3A9FE0C9222}"/>
    <hyperlink ref="I2547" r:id="rId2119" xr:uid="{69DB8893-1500-4063-A8E0-6863A2E32F25}"/>
    <hyperlink ref="I2007" r:id="rId2120" xr:uid="{BD304798-D5E2-4EB0-9DA3-27012CA8ED0A}"/>
    <hyperlink ref="I483" r:id="rId2121" xr:uid="{3ECDB76E-F740-437E-A6B5-9C32ABB8B9DD}"/>
    <hyperlink ref="I39" r:id="rId2122" xr:uid="{F31171D3-CFFA-4E84-9ED9-659514456839}"/>
    <hyperlink ref="I3340" r:id="rId2123" xr:uid="{B06C591C-73B4-4D8E-B908-12F150656923}"/>
    <hyperlink ref="I4453" r:id="rId2124" xr:uid="{E8C68217-B555-4277-9CAF-581DF37EC5F5}"/>
    <hyperlink ref="I4804" r:id="rId2125" xr:uid="{BEFF7938-5045-4278-A4DF-A503FC4F7A31}"/>
    <hyperlink ref="I4808" r:id="rId2126" xr:uid="{40574A98-B667-4DE1-87F4-753302C1A3CB}"/>
    <hyperlink ref="I4809" r:id="rId2127" xr:uid="{7842E46D-04F0-4101-9927-D9C4BA05363D}"/>
    <hyperlink ref="I4034" r:id="rId2128" xr:uid="{0882500B-AFFC-4F52-883F-AA848ED11452}"/>
    <hyperlink ref="I1583" r:id="rId2129" xr:uid="{73ED9A76-E3FF-4FE5-9331-45B17096E352}"/>
    <hyperlink ref="I371" r:id="rId2130" xr:uid="{D3B727DF-3114-4D4F-8C89-181E8D2D4342}"/>
    <hyperlink ref="I1874" r:id="rId2131" xr:uid="{B9CE64DF-40FA-44AD-BAB8-D2ACA743D7C5}"/>
    <hyperlink ref="I2517" r:id="rId2132" xr:uid="{A246FF28-1F57-4258-8006-D1311AAD1894}"/>
    <hyperlink ref="I2705" r:id="rId2133" xr:uid="{21BA73A1-384D-456A-86EF-8AB1DC49A944}"/>
    <hyperlink ref="I2599" r:id="rId2134" xr:uid="{52398FB8-95D2-4C41-AB93-A772B50439B5}"/>
    <hyperlink ref="I833" r:id="rId2135" xr:uid="{D9B602C5-F45D-4D51-A99E-20DDF7DE9ECC}"/>
    <hyperlink ref="I3658" r:id="rId2136" xr:uid="{F6A7179C-4E56-4B59-A92E-E2CFF1127FF5}"/>
    <hyperlink ref="I664" r:id="rId2137" xr:uid="{13F6A4EA-5905-4750-910E-740B22B465B0}"/>
    <hyperlink ref="I3070" r:id="rId2138" xr:uid="{6EE43600-EBCB-4E9F-8B78-7E5819B29605}"/>
    <hyperlink ref="I4166" r:id="rId2139" xr:uid="{3831C98D-788E-44EF-AA5F-FE9D6BE57094}"/>
    <hyperlink ref="I2471" r:id="rId2140" xr:uid="{4501610D-C89B-441A-B5D6-C52F9C2848EA}"/>
    <hyperlink ref="I3657" r:id="rId2141" xr:uid="{482E2249-AD89-4FC4-AB29-36BBC4FCA586}"/>
    <hyperlink ref="I2703" r:id="rId2142" xr:uid="{2471C12C-78DB-4534-B131-41A78AD08B9F}"/>
    <hyperlink ref="I490" r:id="rId2143" xr:uid="{A49DCA06-6DE1-412A-8E86-8B31D5D0D11A}"/>
    <hyperlink ref="I1924" r:id="rId2144" xr:uid="{94A3CDFC-B4E6-418C-B74C-A9CB9ECB68D7}"/>
    <hyperlink ref="I2337" r:id="rId2145" xr:uid="{05240BFF-9B2E-47A2-BF71-1B64A0358D73}"/>
    <hyperlink ref="I4200" r:id="rId2146" xr:uid="{E5FA6473-C636-467B-977E-CEA1D5630139}"/>
    <hyperlink ref="I803" r:id="rId2147" xr:uid="{513C81B0-C167-4EE1-98F1-3988428D7691}"/>
    <hyperlink ref="I3685" r:id="rId2148" xr:uid="{41E9312A-4100-4038-8E48-42EF7A83A45E}"/>
    <hyperlink ref="I670" r:id="rId2149" xr:uid="{D2E09205-5D6E-4BE6-94A5-0A808EB9DFAF}"/>
    <hyperlink ref="I2666" r:id="rId2150" xr:uid="{B9DDE184-240E-4C63-A12E-82875791F3EF}"/>
    <hyperlink ref="I3005" r:id="rId2151" xr:uid="{9ED31D92-AF65-4E01-B958-6C40221B37AB}"/>
    <hyperlink ref="I2248" r:id="rId2152" xr:uid="{A30B4741-4BDD-4E50-9CBB-A22A5C0DC429}"/>
    <hyperlink ref="I2251" r:id="rId2153" xr:uid="{2166CF4C-2B8E-4F91-B2C2-F51ADED7874F}"/>
    <hyperlink ref="I3821" r:id="rId2154" xr:uid="{A1A81912-8DCE-4BF2-B0D0-9C4F489E3719}"/>
    <hyperlink ref="I3631" r:id="rId2155" xr:uid="{541FA3E0-D258-4BA3-AD36-97731164BEEE}"/>
    <hyperlink ref="I3056" r:id="rId2156" xr:uid="{FB83894D-9CAB-403F-A976-02BFBA23AF0B}"/>
    <hyperlink ref="I4125" r:id="rId2157" xr:uid="{30A17C24-78E6-47CD-9979-30E5EA6D5181}"/>
    <hyperlink ref="I1214" r:id="rId2158" display="mailto:angelo.granata@peet.com.au" xr:uid="{37B242BB-7C07-43AB-95FA-217A64E5B4C8}"/>
    <hyperlink ref="I116" r:id="rId2159" xr:uid="{3C4F4BEB-F1CA-4BEC-B6BA-E971EBA74B08}"/>
    <hyperlink ref="I1435" r:id="rId2160" xr:uid="{C687B3DC-86E2-4A2E-A297-856C908352B1}"/>
    <hyperlink ref="I2660" r:id="rId2161" xr:uid="{23998279-8BAB-4FD9-93FB-C4462C6363B8}"/>
    <hyperlink ref="I3341" r:id="rId2162" xr:uid="{DD66FE23-7543-4825-BBD0-10517953BF93}"/>
    <hyperlink ref="I2475" r:id="rId2163" xr:uid="{C756769A-8BA8-4F50-930C-9EE9A45C2674}"/>
    <hyperlink ref="I548" r:id="rId2164" xr:uid="{1D8C6BF9-3DD0-4C56-A875-B9906151278D}"/>
    <hyperlink ref="I2558" r:id="rId2165" xr:uid="{3A5A9E21-7542-409B-A162-E50EAFE0656B}"/>
    <hyperlink ref="I4650" r:id="rId2166" xr:uid="{C693ADF3-B778-401F-AD21-0B0532027E1A}"/>
    <hyperlink ref="I86" r:id="rId2167" xr:uid="{F627E237-E4BB-43C7-9100-ABEEDCB3C70B}"/>
    <hyperlink ref="I2197" r:id="rId2168" xr:uid="{B91321EA-5BAC-41F9-A685-7ACBA43CC752}"/>
    <hyperlink ref="I3628" r:id="rId2169" xr:uid="{CCB61A0A-07AA-4B5C-8A54-BE02A950C126}"/>
    <hyperlink ref="I2640" r:id="rId2170" xr:uid="{8CB2E055-B1C2-4D64-B1C3-11E5C02400C1}"/>
    <hyperlink ref="I263" r:id="rId2171" xr:uid="{5A715EC2-BE19-4793-88DA-E655EECD1432}"/>
    <hyperlink ref="I968" r:id="rId2172" display="mailto:bhalsall@buxton.com.au" xr:uid="{9E5185FD-2ADD-4A0C-9D6D-2B68A169B82F}"/>
    <hyperlink ref="I2800" r:id="rId2173" xr:uid="{843AA01A-8189-4367-B922-7A3DB408A842}"/>
    <hyperlink ref="I2379" r:id="rId2174" xr:uid="{C6670AA4-E836-4D39-BD67-D1E0298134B5}"/>
    <hyperlink ref="I854" r:id="rId2175" xr:uid="{E60CF788-6F0D-4729-86BF-FB26B6A0A85F}"/>
    <hyperlink ref="I2607" r:id="rId2176" xr:uid="{3051B2B3-90B2-46EF-9BDF-3BBF7436B547}"/>
    <hyperlink ref="I4179" r:id="rId2177" xr:uid="{E7C1E614-8584-4806-8B21-A81FF34EBAE1}"/>
    <hyperlink ref="I1244" r:id="rId2178" display="mailto:Jason.bertram@harcourts.com.au" xr:uid="{B58CFA05-DF45-4F27-B988-B7A18CDAE2B2}"/>
    <hyperlink ref="I4310" r:id="rId2179" xr:uid="{B3F4D4A1-5FE0-4C1E-9CA2-150C4BFEB3F6}"/>
    <hyperlink ref="I2843" r:id="rId2180" xr:uid="{AB430802-5030-4732-8523-F4E12801044B}"/>
    <hyperlink ref="I67" r:id="rId2181" xr:uid="{1C6756B7-3EB4-401A-95AA-71FB3F63DF37}"/>
    <hyperlink ref="I3007" r:id="rId2182" xr:uid="{C19CE28A-1A47-40D3-ACA6-4DB10DFDE8BD}"/>
    <hyperlink ref="I958" r:id="rId2183" xr:uid="{2A73E1B0-9294-4749-89A5-9B44599CACA2}"/>
    <hyperlink ref="I155" r:id="rId2184" display="mailto:alira@rpmrealestate.com.au" xr:uid="{9113B2F5-D088-4B7B-9DA4-59C595611CAE}"/>
    <hyperlink ref="I799" r:id="rId2185" xr:uid="{0C23C948-10E5-4324-94FF-8EE319B3293A}"/>
    <hyperlink ref="I2452" r:id="rId2186" xr:uid="{1A0E3A94-0C60-4EBA-9036-1EA0C9CF4571}"/>
    <hyperlink ref="I4807" r:id="rId2187" xr:uid="{23DFCA1C-747F-4C2D-8310-E4756D3E66B0}"/>
    <hyperlink ref="I289" r:id="rId2188" xr:uid="{E0CC2FC7-F8B0-4E08-8822-B48FC1EA9F96}"/>
    <hyperlink ref="I288" r:id="rId2189" xr:uid="{EF53F67B-6642-46A6-AA62-FD3FEB7ACB2E}"/>
    <hyperlink ref="I193" r:id="rId2190" xr:uid="{5634C561-8DCA-42BC-A133-D6FBC00AA2D4}"/>
    <hyperlink ref="I4721" r:id="rId2191" xr:uid="{A1A7117E-2E8F-4F2A-9C6F-640138D6E9E1}"/>
    <hyperlink ref="I268" r:id="rId2192" xr:uid="{EB08B312-54BE-4882-877C-A5196EE88F01}"/>
    <hyperlink ref="I3233" r:id="rId2193" xr:uid="{FEBEF7D2-542D-43F2-AA3D-ED5290FE2340}"/>
    <hyperlink ref="I2548" r:id="rId2194" xr:uid="{12F2BAC1-6423-4969-B89C-26C60A1D1F7A}"/>
    <hyperlink ref="I2460" r:id="rId2195" xr:uid="{6CC4C990-BD73-450D-A759-2910194C1CAC}"/>
    <hyperlink ref="I2925" r:id="rId2196" xr:uid="{B7D91248-D037-43BF-BC60-DBB3F27FBF5F}"/>
    <hyperlink ref="I29" r:id="rId2197" xr:uid="{9E2B6DB8-9C61-4FA4-9455-E6A5A83CFDEC}"/>
    <hyperlink ref="I2888" r:id="rId2198" xr:uid="{71298F96-18CB-42BA-9AAD-96F7ED64D43C}"/>
    <hyperlink ref="I4669" r:id="rId2199" xr:uid="{50A801DB-09C3-412D-95C0-232511F63812}"/>
    <hyperlink ref="I3663" r:id="rId2200" xr:uid="{035482F1-C993-472F-AF8B-EDC93199935C}"/>
    <hyperlink ref="I3496" r:id="rId2201" xr:uid="{40F086F8-3402-4855-B61C-E3BE687334EA}"/>
    <hyperlink ref="I953" r:id="rId2202" display="jan@catalinapointcook.com.au" xr:uid="{C92FC3F8-DDC5-4C00-B332-5F38A0C4D3F4}"/>
    <hyperlink ref="I4603" r:id="rId2203" xr:uid="{93E92717-20C9-4F5F-BBEC-DB48172D27FC}"/>
    <hyperlink ref="I4606" r:id="rId2204" xr:uid="{1548BFE3-7E67-45D8-B51C-F5AE449782BC}"/>
    <hyperlink ref="I4605" r:id="rId2205" xr:uid="{BAD1020A-00B1-49C2-8DC8-7560480AAFA2}"/>
    <hyperlink ref="I959" r:id="rId2206" xr:uid="{F05FAAB3-EBBF-46AC-92F9-8499970F13D2}"/>
    <hyperlink ref="I2209" r:id="rId2207" xr:uid="{46CCB910-9C19-4373-9C7B-72925F2FCC8F}"/>
    <hyperlink ref="I826" r:id="rId2208" xr:uid="{BB0496E2-1A9B-4583-99F0-C0E63AA9EDEA}"/>
    <hyperlink ref="I827" r:id="rId2209" xr:uid="{75916A22-9F1E-4D3A-831E-5945B4E361C8}"/>
    <hyperlink ref="I828" r:id="rId2210" xr:uid="{875ED2C9-B05B-4586-BD9C-CF1BB25CEAFF}"/>
    <hyperlink ref="I820" r:id="rId2211" xr:uid="{658A4821-C7C6-4993-8A5F-6124DF1B2C3B}"/>
    <hyperlink ref="I2389" r:id="rId2212" xr:uid="{22E3B834-0290-400E-9EAC-48C92906993E}"/>
    <hyperlink ref="I117" r:id="rId2213" xr:uid="{78EC8621-C12F-44EB-9378-8CA9B2FAB08A}"/>
    <hyperlink ref="I4291" r:id="rId2214" xr:uid="{8C93C408-F0E5-4DCA-833E-DD1B59FC0D02}"/>
    <hyperlink ref="I345" r:id="rId2215" xr:uid="{5642BBB0-251C-44FC-99B9-C82B73D4B750}"/>
    <hyperlink ref="I1576" r:id="rId2216" xr:uid="{8606EB52-589D-46BC-A20B-1656515D7628}"/>
    <hyperlink ref="I2420" r:id="rId2217" xr:uid="{3700591A-50D0-42D3-8244-2BF4CD6FE715}"/>
    <hyperlink ref="I3897" r:id="rId2218" xr:uid="{696EC7AA-1E0B-4126-AA8C-C6B16F69C9C4}"/>
    <hyperlink ref="I987" r:id="rId2219" xr:uid="{BDA945E1-AC73-4E98-B7DE-0F99861AF639}"/>
    <hyperlink ref="I777" r:id="rId2220" display="alannah@mpai.com.au" xr:uid="{7D802DC7-934D-4CF0-A7FE-38CFF85ACA48}"/>
    <hyperlink ref="I4770" r:id="rId2221" xr:uid="{508300DC-DE36-4CE7-B213-2DDAA832ABF8}"/>
    <hyperlink ref="I2212" r:id="rId2222" xr:uid="{0019CD18-DDDC-4BFA-B17D-BA623E58B23D}"/>
    <hyperlink ref="I3402" r:id="rId2223" xr:uid="{E248E603-2F70-4A52-AA4C-B797C95C4C14}"/>
    <hyperlink ref="I1925" r:id="rId2224" xr:uid="{E6009BDB-B51F-4740-8BBE-48985F2FB418}"/>
    <hyperlink ref="I667" r:id="rId2225" xr:uid="{5A2E5944-AFED-4BA9-98D4-70A1204A7492}"/>
    <hyperlink ref="I835" r:id="rId2226" xr:uid="{0C58B1C4-1EB6-44F5-9DFB-41C96D19F5D6}"/>
    <hyperlink ref="I745" r:id="rId2227" xr:uid="{990009FB-0317-48FE-9A93-18A55506FE65}"/>
    <hyperlink ref="I3401" r:id="rId2228" xr:uid="{C033924F-8497-4A02-B3D5-EFBD2C0CD969}"/>
    <hyperlink ref="I1828" r:id="rId2229" xr:uid="{9981D66E-FEE5-4C5E-9635-209967227302}"/>
    <hyperlink ref="I2448" r:id="rId2230" xr:uid="{C8757053-5173-451C-B16B-24E66D82B891}"/>
    <hyperlink ref="I97" r:id="rId2231" xr:uid="{F90186E0-A86B-41BD-88FD-20784B645954}"/>
    <hyperlink ref="I98" r:id="rId2232" xr:uid="{72594D94-7638-4D16-817D-72995227CD3D}"/>
    <hyperlink ref="I4732" r:id="rId2233" xr:uid="{273F9AD9-8A83-4738-BDDB-66953F00918F}"/>
    <hyperlink ref="I4733" r:id="rId2234" xr:uid="{AA4AEC92-A1B3-4F4A-BDD4-7E13E78550C9}"/>
    <hyperlink ref="I4734" r:id="rId2235" xr:uid="{C8F37FCD-090E-4388-AAF1-F0792B49FAC6}"/>
    <hyperlink ref="I1271" r:id="rId2236" xr:uid="{16BB1AC0-0350-4182-AE26-7568E9F0CBFC}"/>
    <hyperlink ref="I1892" r:id="rId2237" xr:uid="{373D54FB-B22D-4A58-B9C6-B1FC971D53B7}"/>
    <hyperlink ref="I150" r:id="rId2238" display="mailto:alira@rpmrealestate.com.au" xr:uid="{92EF5EA1-72A4-4102-8C64-BC4D0E8E7F56}"/>
    <hyperlink ref="I3532" r:id="rId2239" xr:uid="{AD215750-D03B-4423-A2A3-F270C628704E}"/>
    <hyperlink ref="I4899" r:id="rId2240" xr:uid="{BD2FD0AB-D6D6-4CE5-AF06-A5035C2F03A2}"/>
    <hyperlink ref="I4169" r:id="rId2241" xr:uid="{BD449515-71C2-4B1F-8C6D-00F73AD3BDDA}"/>
    <hyperlink ref="I581" r:id="rId2242" display="mailto:austin@latituderealestate.com.au" xr:uid="{4EB83194-6007-47B5-AAC1-8689FF937027}"/>
    <hyperlink ref="I2600" r:id="rId2243" xr:uid="{037D381E-B5C4-4965-8835-F47E0A241EEC}"/>
    <hyperlink ref="I11" r:id="rId2244" xr:uid="{8AB998AC-0255-4F25-9514-3187DFB7CC02}"/>
    <hyperlink ref="I393" r:id="rId2245" xr:uid="{210F5D21-DFED-4C56-9091-EE64E5E31E7D}"/>
    <hyperlink ref="I392" r:id="rId2246" xr:uid="{ACC38A2F-4B77-41D8-B7EE-A51F799503CC}"/>
    <hyperlink ref="I3633" r:id="rId2247" xr:uid="{07DFD97A-D8FE-49FE-B90A-56191CDE6F68}"/>
    <hyperlink ref="I2557" r:id="rId2248" xr:uid="{CFD4D625-E23E-4CFE-8709-DB8AF313B235}"/>
    <hyperlink ref="I1241" r:id="rId2249" xr:uid="{A0E6D649-0CFD-4CEE-8DA9-B3F973D72C38}"/>
    <hyperlink ref="I622" r:id="rId2250" xr:uid="{CF2CB6E2-DD1C-41B4-805A-93EAB8BF4419}"/>
    <hyperlink ref="I621" r:id="rId2251" xr:uid="{A349062E-2A05-450E-818F-1C1B3ED2BD9F}"/>
    <hyperlink ref="I624" r:id="rId2252" xr:uid="{21114042-9325-4F40-BD3F-731A384AFA2E}"/>
    <hyperlink ref="I623" r:id="rId2253" xr:uid="{4974FE39-7A79-49F4-B61C-C12304B90C77}"/>
    <hyperlink ref="I2697" r:id="rId2254" xr:uid="{0DA8E373-701E-42F8-810D-1C72338EA9D5}"/>
    <hyperlink ref="I3139" r:id="rId2255" xr:uid="{18F47041-2439-4328-A40E-3C6D820D5148}"/>
    <hyperlink ref="I3193" r:id="rId2256" xr:uid="{6D051C69-F0DE-4508-A80A-2E09A541649C}"/>
    <hyperlink ref="I3943" r:id="rId2257" xr:uid="{187434EC-121C-4382-85E5-88EE7F901171}"/>
    <hyperlink ref="I2717" r:id="rId2258" xr:uid="{8F42555B-F666-44B4-8BDC-2769DD6D3F9B}"/>
    <hyperlink ref="I100" r:id="rId2259" xr:uid="{54273EDC-467D-4CCF-B724-9B8DA1CD668B}"/>
    <hyperlink ref="I3161" r:id="rId2260" xr:uid="{624E6495-E3F5-4E35-B3F5-9E5CDD8EA426}"/>
    <hyperlink ref="I741" r:id="rId2261" xr:uid="{63D94BA1-3BE9-4774-A5F3-79ED96EBB03D}"/>
    <hyperlink ref="I3887" r:id="rId2262" xr:uid="{B79998F3-36A9-4E0A-A1D5-8476C78DD358}"/>
    <hyperlink ref="I1498" r:id="rId2263" xr:uid="{031F0EA7-295E-43FD-86A2-93810FDCF291}"/>
    <hyperlink ref="I2338" r:id="rId2264" xr:uid="{4015813F-9E31-46F8-BDF3-999EC88D71B2}"/>
    <hyperlink ref="I3186" r:id="rId2265" xr:uid="{B0BEED2A-A212-49E5-A563-12674A0A24BB}"/>
    <hyperlink ref="I3493" r:id="rId2266" xr:uid="{B0A04456-CA34-45FA-A09F-EC2CE52FF741}"/>
    <hyperlink ref="I3976" r:id="rId2267" display="mailto:stgermain@rpmrealestate.com.au" xr:uid="{083B1545-AE23-465E-9D1C-878D535C3AAC}"/>
    <hyperlink ref="I759" r:id="rId2268" xr:uid="{05EC4B47-9852-451B-AC07-3AAD11315C50}"/>
    <hyperlink ref="I3061" r:id="rId2269" xr:uid="{1A06F879-BC1D-4257-89C8-F4C2803F0A3C}"/>
    <hyperlink ref="I3118" r:id="rId2270" display="mailto:Catherine@yourland.com" xr:uid="{44CE6D5D-80B2-4C31-9CC9-47CA4D02E77F}"/>
    <hyperlink ref="I1436" r:id="rId2271" xr:uid="{A659B37A-10B9-4767-95BA-E21F49DFB2EF}"/>
    <hyperlink ref="I4691" r:id="rId2272" xr:uid="{381F0F51-2864-45DB-B472-A2345F9E5788}"/>
    <hyperlink ref="I4754" r:id="rId2273" xr:uid="{7DB7F2BB-5BBB-4494-BA5D-DB7B7BECB5AA}"/>
    <hyperlink ref="I1549" r:id="rId2274" xr:uid="{876CC45F-2890-409F-B7EB-72E527BF0218}"/>
    <hyperlink ref="I960" r:id="rId2275" xr:uid="{88920C62-280C-492C-9F91-D9D05231724A}"/>
    <hyperlink ref="I366" r:id="rId2276" xr:uid="{7B1A0A86-3050-4F29-8653-1342BB140147}"/>
    <hyperlink ref="I436" r:id="rId2277" xr:uid="{EF243D8F-9CE7-4D1E-A724-4C79DC00E763}"/>
    <hyperlink ref="I2894" r:id="rId2278" xr:uid="{F6A854EB-6E6C-403D-BB9F-365CB5DCC8F1}"/>
    <hyperlink ref="I2381" r:id="rId2279" xr:uid="{920350B2-B384-478C-9DC5-57AA22F7EE84}"/>
    <hyperlink ref="I3008" r:id="rId2280" xr:uid="{1CB3A00B-E914-4541-9518-C8AC1B1E0C3B}"/>
    <hyperlink ref="I4846" r:id="rId2281" xr:uid="{8DCA29C7-61AD-4D6E-8D09-C0DF07EAFD3D}"/>
    <hyperlink ref="I2845" r:id="rId2282" xr:uid="{C11C453E-CA22-49B6-B092-50D9161763B7}"/>
    <hyperlink ref="I2846" r:id="rId2283" xr:uid="{938595E1-7C87-4DF5-93DA-602AC496C2C5}"/>
    <hyperlink ref="I1028" r:id="rId2284" xr:uid="{961DDDA0-4660-46DE-B840-7DB4DD1FDA6C}"/>
    <hyperlink ref="I806" r:id="rId2285" xr:uid="{D37C847D-8B4B-4EFA-AF76-774D13C20066}"/>
    <hyperlink ref="I2943" r:id="rId2286" xr:uid="{13DB8574-825B-47A0-8486-4EF71875CB0C}"/>
    <hyperlink ref="I337" r:id="rId2287" xr:uid="{4473F1F9-0FA4-4984-BC75-D124B713BC7A}"/>
    <hyperlink ref="I3057" r:id="rId2288" xr:uid="{FCC09645-EA72-4076-B627-8E6B45DAD3AB}"/>
    <hyperlink ref="I2944" r:id="rId2289" xr:uid="{B4881C2B-9C44-4F20-A37E-A8B50B5805E8}"/>
    <hyperlink ref="I1550" r:id="rId2290" xr:uid="{65B9C21C-9F07-40C3-B69A-223128040FB4}"/>
    <hyperlink ref="I1557" r:id="rId2291" xr:uid="{C4559384-EE8F-4AC1-AC29-5B8CA7DAD319}"/>
    <hyperlink ref="I1562" r:id="rId2292" xr:uid="{C60A5052-AEEB-4914-B5C3-472545AB0605}"/>
    <hyperlink ref="I3201" r:id="rId2293" xr:uid="{4F582210-3C7A-4191-8FFE-25B1FE5628DB}"/>
    <hyperlink ref="I3636" r:id="rId2294" xr:uid="{62C2A5A8-D8E8-42CB-B3C2-5B2816542B45}"/>
    <hyperlink ref="I266" r:id="rId2295" xr:uid="{A7E06E62-6ADE-4BBE-8BED-3BD26BBF8B55}"/>
    <hyperlink ref="I1921" r:id="rId2296" xr:uid="{909490A9-9B7F-45C7-8A1F-AE083981C600}"/>
    <hyperlink ref="I2900" r:id="rId2297" xr:uid="{2C896B1A-0AEE-47F4-AF2B-36100A94B4F8}"/>
    <hyperlink ref="I3396" r:id="rId2298" xr:uid="{A1226115-F9A1-4A17-AA4F-A5B6B491BBB4}"/>
    <hyperlink ref="I3307" r:id="rId2299" xr:uid="{A095E94A-808E-4945-8998-643FC7A1C7EE}"/>
    <hyperlink ref="I3308" r:id="rId2300" xr:uid="{B437C4F6-0422-44E7-969E-2C26807F4676}"/>
    <hyperlink ref="I398" r:id="rId2301" xr:uid="{4C8F5564-E541-44F7-8E5C-697218406E9A}"/>
    <hyperlink ref="I4426" r:id="rId2302" xr:uid="{07555DD9-DA62-4F61-B9BC-82BCB294858E}"/>
    <hyperlink ref="I568" r:id="rId2303" display="mailto:austin@latituderealestate.com.au" xr:uid="{B4DA5A4C-BF99-4E4E-85CA-ABEE7599DDA2}"/>
    <hyperlink ref="I1809" r:id="rId2304" xr:uid="{33BE5180-9986-49FF-AF36-DDCA41390AAB}"/>
    <hyperlink ref="I2257" r:id="rId2305" xr:uid="{1484FB00-94F4-4C5A-BDDC-2CA04BA5EFE1}"/>
    <hyperlink ref="I1798" r:id="rId2306" xr:uid="{7F15E0E9-5FD2-4EB0-BA0D-CE79ED8D8079}"/>
    <hyperlink ref="I290" r:id="rId2307" xr:uid="{42554402-F7F6-4B4A-B26A-E06AB7167F77}"/>
    <hyperlink ref="I1499" r:id="rId2308" xr:uid="{BF2F0593-A17E-48FA-81CA-7F01C894FCF0}"/>
    <hyperlink ref="I4657" r:id="rId2309" xr:uid="{7A12117B-CEBB-4A2C-9C83-54C226E942E7}"/>
    <hyperlink ref="I3006" r:id="rId2310" xr:uid="{EE976325-3E26-4B64-B698-1C35C828F3B2}"/>
    <hyperlink ref="I3176" r:id="rId2311" xr:uid="{BA6370FD-4713-4166-987F-8D7DC2D5D693}"/>
    <hyperlink ref="I2709" r:id="rId2312" xr:uid="{592C177B-75B7-4BAD-B59A-53BF4F4C619B}"/>
    <hyperlink ref="I1357" r:id="rId2313" xr:uid="{3DA9E00E-6BEB-42AD-85D9-30DF748F0836}"/>
    <hyperlink ref="I4860" r:id="rId2314" xr:uid="{74B3F8A5-3354-4B95-BA76-50CB496414FB}"/>
    <hyperlink ref="I3935" r:id="rId2315" xr:uid="{9150D86B-22F1-464B-A5FA-2D9A87E329D6}"/>
    <hyperlink ref="I1658" r:id="rId2316" xr:uid="{18FED227-B6AB-4240-8073-82278E5D4EAD}"/>
    <hyperlink ref="I1659" r:id="rId2317" xr:uid="{CFB2B693-75F7-4186-840F-9CA9A16765F4}"/>
    <hyperlink ref="I4114" r:id="rId2318" xr:uid="{265F83F1-0CDB-4C4E-8ADA-E24FF053DC44}"/>
    <hyperlink ref="I1503" r:id="rId2319" xr:uid="{A19AD400-2129-4493-AE6E-9A4856D1F977}"/>
    <hyperlink ref="I4735" r:id="rId2320" xr:uid="{27899C12-4493-4B15-B12A-30815C55CEF0}"/>
    <hyperlink ref="I4736" r:id="rId2321" xr:uid="{7145B93F-B271-44C2-AF5A-6545029EF2A6}"/>
    <hyperlink ref="I3990" r:id="rId2322" xr:uid="{57688B57-3B6B-4CAE-8832-7CBEC8452830}"/>
    <hyperlink ref="I1336" r:id="rId2323" display="mailto:tgilmore@barryplant.com.au" xr:uid="{B41AB16F-5228-4062-850D-36CEE377F8B0}"/>
    <hyperlink ref="I886" r:id="rId2324" xr:uid="{88597678-DD5B-4FD7-8F66-DC1F4D9BB869}"/>
    <hyperlink ref="I1975" r:id="rId2325" xr:uid="{5E2C11CB-8FB6-4BB4-A65C-6AE660BAA07D}"/>
    <hyperlink ref="I164" r:id="rId2326" xr:uid="{4AC82631-B7BF-4FE1-8154-A663F161BFE1}"/>
    <hyperlink ref="I2611" r:id="rId2327" xr:uid="{027849B4-1E73-4876-B803-6B6F73AB747D}"/>
    <hyperlink ref="I3090" r:id="rId2328" xr:uid="{F2E39A20-78C0-4863-8AF4-D570C3F6B039}"/>
    <hyperlink ref="I3091" r:id="rId2329" xr:uid="{AF0B669F-9B84-4E3A-91A9-4106E135D998}"/>
    <hyperlink ref="I3129" r:id="rId2330" display="mailto:Catherine@yourland.com" xr:uid="{60F6CA5E-BE6F-4E6C-9D7E-679F8B711147}"/>
    <hyperlink ref="I625" r:id="rId2331" xr:uid="{CD7759AE-CD53-4A7E-83C9-E92F9847900F}"/>
    <hyperlink ref="I2661" r:id="rId2332" xr:uid="{095DE304-48AC-4129-99A6-69EBB446FD2C}"/>
    <hyperlink ref="I4762" r:id="rId2333" xr:uid="{7D06080F-CDAA-4CD9-8BF5-3ADCA20CF9D1}"/>
    <hyperlink ref="I3224" r:id="rId2334" xr:uid="{1004DD6A-F799-4555-97D5-4B8830635087}"/>
    <hyperlink ref="I543" r:id="rId2335" xr:uid="{5CD0D55F-7008-466D-BEE1-6C04DC744271}"/>
    <hyperlink ref="I1324" r:id="rId2336" xr:uid="{CF250930-0057-4BFF-BA13-95B164667C4B}"/>
    <hyperlink ref="I2848" r:id="rId2337" xr:uid="{10B4B3ED-F367-4187-8A60-F3E88E65747D}"/>
    <hyperlink ref="I484" r:id="rId2338" xr:uid="{BF7B234C-F99A-47D1-A1CC-3870280151F2}"/>
    <hyperlink ref="I3530" r:id="rId2339" xr:uid="{938EDFB8-5927-458F-B966-BFA8B040CBCB}"/>
    <hyperlink ref="I1458" r:id="rId2340" display="mailto:sara.lowe@eigdevelopments.com.au" xr:uid="{C6EF759D-B693-47FD-A41A-A7443162551E}"/>
    <hyperlink ref="I3458" r:id="rId2341" xr:uid="{A839BD6C-CB29-4DF8-8A17-1534C4684617}"/>
    <hyperlink ref="I3457" r:id="rId2342" xr:uid="{8E2A5E62-F2D6-4506-A129-FBCA30566EBF}"/>
    <hyperlink ref="I3460" r:id="rId2343" xr:uid="{74D44D2E-894B-4BF2-9231-F5623F5AFCFC}"/>
    <hyperlink ref="I3459" r:id="rId2344" xr:uid="{442CBE86-3D39-4DD8-9192-46DD73FB5516}"/>
    <hyperlink ref="I2612" r:id="rId2345" xr:uid="{A5001848-465C-4129-A7AE-F3848482B6D3}"/>
    <hyperlink ref="I3556" r:id="rId2346" xr:uid="{825ABDFF-1EFA-4C3D-9CE8-4E60B96793A0}"/>
    <hyperlink ref="I4047" r:id="rId2347" xr:uid="{8A51CD70-4FC7-4963-93C0-7D9341CD45FE}"/>
    <hyperlink ref="I3890" r:id="rId2348" xr:uid="{70E76B9D-C920-4009-B387-30B85AA83745}"/>
    <hyperlink ref="I3891" r:id="rId2349" xr:uid="{6590E52D-44AE-4EE6-BC77-B64DF69122E8}"/>
    <hyperlink ref="I4035" r:id="rId2350" xr:uid="{421F3F5B-C943-406A-BC9D-E83ED4357408}"/>
    <hyperlink ref="I4722" r:id="rId2351" xr:uid="{C18961F4-314F-466D-AC35-77F45D096059}"/>
    <hyperlink ref="I4607" r:id="rId2352" xr:uid="{650E5DB7-58C7-4B2D-896D-5AB1A541395F}"/>
    <hyperlink ref="I121" r:id="rId2353" xr:uid="{5C2153C3-3916-4170-BA1D-F599D234234C}"/>
    <hyperlink ref="I746" r:id="rId2354" xr:uid="{4586460B-D818-4F25-B765-4ABDF65B283D}"/>
    <hyperlink ref="I3511" r:id="rId2355" xr:uid="{2DC15832-452F-421B-A474-5DD4EAC3F18F}"/>
    <hyperlink ref="I2993" r:id="rId2356" xr:uid="{6FA3A91B-0557-46E1-973B-5A54D18A505E}"/>
    <hyperlink ref="I4176" r:id="rId2357" xr:uid="{F1F656B1-8997-4AA4-9691-7E0FBDF9A454}"/>
    <hyperlink ref="I1875" r:id="rId2358" xr:uid="{4F9C9F17-564B-427E-8D7E-AECC83AA09AA}"/>
    <hyperlink ref="I4050" r:id="rId2359" xr:uid="{2B88B455-38D3-4602-A2B9-B3D2BF228A44}"/>
    <hyperlink ref="I2342" r:id="rId2360" xr:uid="{26BB9392-092B-4486-B7A9-E5EFDDC9080C}"/>
    <hyperlink ref="I368" r:id="rId2361" xr:uid="{6C70DCAD-D0B6-4F0C-9AC3-6FA8EC428FAD}"/>
    <hyperlink ref="I4048" r:id="rId2362" xr:uid="{0A1DE3FC-A5A0-45CC-98C9-97A3BF8F997E}"/>
    <hyperlink ref="I4470" r:id="rId2363" xr:uid="{82E06FC9-A23A-4B3B-804F-257CC9CF71DE}"/>
    <hyperlink ref="I812" r:id="rId2364" xr:uid="{C1283614-7F8D-444C-8359-460E62822A25}"/>
    <hyperlink ref="I804" r:id="rId2365" xr:uid="{7E301D6C-3D81-4E70-B695-8D7396ED9E52}"/>
    <hyperlink ref="I3495" r:id="rId2366" xr:uid="{8E01C3DF-7AF4-4387-A430-3E470D63ACCC}"/>
    <hyperlink ref="I433" r:id="rId2367" xr:uid="{14DE27C5-9B81-4F02-9F9A-88B08FD08E69}"/>
    <hyperlink ref="I1207" r:id="rId2368" display="mailto:angelo.granata@peet.com.au" xr:uid="{7E6A834C-1A74-48DD-8088-25BE2E70A4BD}"/>
    <hyperlink ref="I1927" r:id="rId2369" xr:uid="{0E116DE7-97B0-475A-97B7-C387AA77E205}"/>
    <hyperlink ref="I740" r:id="rId2370" xr:uid="{B1699DF8-B073-4223-9A38-BE1A6624AC6C}"/>
    <hyperlink ref="I798" r:id="rId2371" xr:uid="{39880A0E-2A14-444C-80D4-60A66D23901E}"/>
    <hyperlink ref="I4167" r:id="rId2372" xr:uid="{D6961C4F-044E-4E83-9204-1C0CE8134646}"/>
    <hyperlink ref="I1114" r:id="rId2373" xr:uid="{EC6A669F-08C1-439E-8B85-CF276A06D417}"/>
    <hyperlink ref="I267" r:id="rId2374" xr:uid="{C682D47E-EEF2-4886-98AC-F291D0F8C069}"/>
    <hyperlink ref="I967" r:id="rId2375" display="mailto:bhalsall@buxton.com.au" xr:uid="{43C1BAEA-8CC3-4ED7-AED2-317BE68E0F69}"/>
    <hyperlink ref="I2488" r:id="rId2376" xr:uid="{36DDDFE9-3733-4731-A440-92E9D7C0F6A0}"/>
    <hyperlink ref="I961" r:id="rId2377" xr:uid="{060ECCBB-1F7F-4678-BDD0-5310D7BD5D31}"/>
    <hyperlink ref="I2509" r:id="rId2378" xr:uid="{DBC786A0-08A9-4F18-9D56-CB5DD97419A6}"/>
    <hyperlink ref="I1816" r:id="rId2379" xr:uid="{A8B3CAB9-3CF2-4235-B7B1-E30BAE4E6D7F}"/>
    <hyperlink ref="I851" r:id="rId2380" xr:uid="{D47F87BB-DCD5-4A52-AACD-9ED5D5386C27}"/>
    <hyperlink ref="I4787" r:id="rId2381" xr:uid="{03BD755E-1223-4985-AD1C-89DE57F4A741}"/>
    <hyperlink ref="I2283" r:id="rId2382" xr:uid="{72DCE03A-62DE-468B-8136-96B063FEEDB0}"/>
    <hyperlink ref="I921" r:id="rId2383" xr:uid="{EAB565D8-F00E-47C2-B008-DB8FE3C7436A}"/>
    <hyperlink ref="I4672" r:id="rId2384" xr:uid="{DD418A4D-44B1-41D5-8EFB-53BE457D905F}"/>
    <hyperlink ref="I4670" r:id="rId2385" xr:uid="{2839AFD9-96F0-4833-B483-F739BD4DB1BB}"/>
    <hyperlink ref="I4671" r:id="rId2386" xr:uid="{682473CF-4C5E-4CC6-A3E4-94A964EC8976}"/>
    <hyperlink ref="I2616" r:id="rId2387" xr:uid="{40C0548E-2691-4FC3-A3E5-FF914F9E2483}"/>
    <hyperlink ref="I4756" r:id="rId2388" xr:uid="{97836A4B-E235-4B42-98E7-E5CCC03C4EC8}"/>
    <hyperlink ref="I4468" r:id="rId2389" xr:uid="{5AD32437-A311-400D-91AD-76F28A62AEE8}"/>
    <hyperlink ref="I2602" r:id="rId2390" xr:uid="{2D37A8DA-8B21-49BF-937A-CBE815BFF706}"/>
    <hyperlink ref="I2609" r:id="rId2391" xr:uid="{3861B85A-5147-42A2-B44B-3DD6C7A30805}"/>
    <hyperlink ref="I3831" r:id="rId2392" xr:uid="{09BB6B39-880F-4583-8E76-C248CFA30776}"/>
    <hyperlink ref="I3058" r:id="rId2393" xr:uid="{E04A6F5A-82E5-4585-B6CA-1AD09BF911E6}"/>
    <hyperlink ref="I3829" r:id="rId2394" xr:uid="{1327D54F-59B5-4B8B-BA87-81A2A8468F17}"/>
    <hyperlink ref="I2889" r:id="rId2395" xr:uid="{E9327CDC-4B39-45A4-9DD5-959FFE013685}"/>
    <hyperlink ref="I852" r:id="rId2396" xr:uid="{1EC57A2F-BDEF-435F-9B5F-2D613FAD06DE}"/>
    <hyperlink ref="I3490" r:id="rId2397" xr:uid="{C5E6A523-CE0B-41E6-ADBB-FC087FF4F705}"/>
    <hyperlink ref="I579" r:id="rId2398" display="mailto:austin@latituderealestate.com.au" xr:uid="{B6EDC9FA-D596-47EE-8D72-1AE23C3AE66D}"/>
    <hyperlink ref="I3613" r:id="rId2399" xr:uid="{672C3464-2CF9-4C75-930A-EE0D8C37C445}"/>
    <hyperlink ref="I744" r:id="rId2400" xr:uid="{56D5DF5D-5735-49C6-A5C3-FACEECA515C5}"/>
    <hyperlink ref="I151" r:id="rId2401" display="mailto:alira@rpmrealestate.com.au" xr:uid="{FB978141-45D6-4FEE-9232-DE0BD48B7BEB}"/>
    <hyperlink ref="I4757" r:id="rId2402" xr:uid="{350E129C-BEC4-4E70-9C29-7F924F947507}"/>
    <hyperlink ref="I4795" r:id="rId2403" xr:uid="{5DF8674F-809D-4F69-83BD-26091379AABD}"/>
    <hyperlink ref="I1719" r:id="rId2404" xr:uid="{2C09BCA1-22E0-4ABC-9E80-C0F32A086B07}"/>
    <hyperlink ref="I2284" r:id="rId2405" xr:uid="{FBFF7F13-06C7-4408-916B-95A1F6336B37}"/>
    <hyperlink ref="I951" r:id="rId2406" display="jan@catalinapointcook.com.au" xr:uid="{39361490-4806-45D0-BA48-13A0EED7BD5C}"/>
    <hyperlink ref="I952" r:id="rId2407" display="jan@catalinapointcook.com.au" xr:uid="{27CD8FED-BE07-44C3-BD01-05313C4DEF00}"/>
    <hyperlink ref="I192" r:id="rId2408" xr:uid="{77F2760F-EFF8-4F83-AF75-1D6952E38685}"/>
    <hyperlink ref="I2923" r:id="rId2409" xr:uid="{03D1EF72-01D5-49B5-BBDE-2356280B4765}"/>
    <hyperlink ref="I4055" r:id="rId2410" xr:uid="{F2F2D80D-ACA7-4179-93F0-AF4F05BA805A}"/>
    <hyperlink ref="I3664" r:id="rId2411" xr:uid="{32E9E48E-0170-4A75-A993-6E91D6F5AAC1}"/>
    <hyperlink ref="I3752" r:id="rId2412" xr:uid="{526858B4-D34C-48E1-9B0A-DF92D50E11C3}"/>
    <hyperlink ref="I3933" r:id="rId2413" xr:uid="{787E75B4-C54C-4B91-9F6B-8110B7D52F26}"/>
    <hyperlink ref="I2696" r:id="rId2414" xr:uid="{44CE35F4-1CDE-4FC3-89EC-884FD28DEE9F}"/>
    <hyperlink ref="I2720" r:id="rId2415" xr:uid="{127916A8-6431-4B53-98EA-86CA5A52BA7E}"/>
    <hyperlink ref="I394" r:id="rId2416" xr:uid="{B7109BDC-FA22-4BAF-A97D-4297E3E4389B}"/>
    <hyperlink ref="I3566" r:id="rId2417" xr:uid="{AA9519E1-9A11-4159-83B2-323C58389C17}"/>
    <hyperlink ref="I4278" r:id="rId2418" xr:uid="{9FD24CB7-676E-4614-8239-A86CE0682A0C}"/>
    <hyperlink ref="I3298" r:id="rId2419" xr:uid="{6D2F99AA-60CA-4094-8582-350E159F2741}"/>
    <hyperlink ref="I3301" r:id="rId2420" xr:uid="{313540E0-6C3A-4CE5-8498-1DB5E94FC40E}"/>
    <hyperlink ref="I872" r:id="rId2421" xr:uid="{BC575DB1-FD69-4D9E-97F4-EE64825EED27}"/>
    <hyperlink ref="I805" r:id="rId2422" xr:uid="{8A885D1C-8E77-4E8C-81CC-D4BF9F4EA0B3}"/>
    <hyperlink ref="I2847" r:id="rId2423" xr:uid="{361E5583-4D8D-4247-A101-93D56715F71E}"/>
    <hyperlink ref="I3117" r:id="rId2424" display="mailto:Catherine@yourland.com" xr:uid="{22A3BB14-89CF-44ED-BA93-368DF47655B0}"/>
    <hyperlink ref="I1795" r:id="rId2425" xr:uid="{B0AA28F4-33AD-4142-8128-C117B0776EC8}"/>
    <hyperlink ref="I3278" r:id="rId2426" xr:uid="{94817F29-6BD2-47FD-A1FD-F2ECC43940FE}"/>
    <hyperlink ref="I511" r:id="rId2427" xr:uid="{55BDFE9F-EDB0-43F0-A24D-92F391190A6C}"/>
    <hyperlink ref="I4793" r:id="rId2428" xr:uid="{52B671C9-2DE6-414F-A5E9-C70EBB1E0F81}"/>
    <hyperlink ref="I2254" r:id="rId2429" xr:uid="{93D9F2D0-44B4-4F20-B65A-E2F76BF04007}"/>
    <hyperlink ref="I4640" r:id="rId2430" xr:uid="{EEA98CB4-92A8-4E07-B2BB-9C15C368B07F}"/>
    <hyperlink ref="I1399" r:id="rId2431" xr:uid="{09FE1949-94AC-4176-B8C6-2855E2D063F1}"/>
    <hyperlink ref="I1575" r:id="rId2432" xr:uid="{C35A8ECE-C7BC-4041-A1D3-7E9F43B6B0AA}"/>
    <hyperlink ref="I2192" r:id="rId2433" xr:uid="{94E51CE5-232F-4F6D-9ACB-D06CAA5A724E}"/>
    <hyperlink ref="I2339" r:id="rId2434" xr:uid="{544B0048-12F6-4E6B-A078-A48ED255956F}"/>
    <hyperlink ref="I2164" r:id="rId2435" xr:uid="{42D64036-9552-4A6E-820D-37BE4918B56E}"/>
    <hyperlink ref="I1922" r:id="rId2436" xr:uid="{C6AFC6EC-BACF-4EF4-A0E4-F6AD6E32A5C1}"/>
    <hyperlink ref="I2617" r:id="rId2437" xr:uid="{5F169DA5-6D9A-4E5F-A42C-AED4DD2A1BA5}"/>
    <hyperlink ref="I2210" r:id="rId2438" xr:uid="{C580AECF-71A4-4E58-AC34-4981F90616CA}"/>
    <hyperlink ref="I2447" r:id="rId2439" xr:uid="{A70B09A0-FF5C-4EC6-86C7-0C45AB1CB8B0}"/>
    <hyperlink ref="I920" r:id="rId2440" xr:uid="{F98C15CB-E40E-4804-A604-E1008882CBA0}"/>
    <hyperlink ref="I4469" r:id="rId2441" xr:uid="{9AE2ACCE-901B-40B4-9074-4EB7498EE975}"/>
    <hyperlink ref="I3026" r:id="rId2442" xr:uid="{928D26C2-6532-4CCB-A4CD-B3CD9AB6374C}"/>
    <hyperlink ref="I4452" r:id="rId2443" xr:uid="{A97E54B5-9E6E-4691-9810-467FF909CCBF}"/>
    <hyperlink ref="I2912" r:id="rId2444" xr:uid="{1E1262C0-49AD-4A0F-951D-93E66AC3ABFF}"/>
    <hyperlink ref="I3300" r:id="rId2445" xr:uid="{46651814-303A-41D9-B827-E737DF9C2042}"/>
    <hyperlink ref="I4755" r:id="rId2446" xr:uid="{71030210-EA05-4561-8AB6-B54BF2EFC56F}"/>
    <hyperlink ref="I4852" r:id="rId2447" xr:uid="{07689D29-1600-49E0-9A08-94D41A18D05E}"/>
    <hyperlink ref="I4758" r:id="rId2448" xr:uid="{DD8010BE-248E-4F60-A841-8B8BF31F66F7}"/>
    <hyperlink ref="I489" r:id="rId2449" xr:uid="{1418155D-52DA-4499-818B-A2678769A17E}"/>
    <hyperlink ref="I3060" r:id="rId2450" xr:uid="{5A22ABDB-7119-4DA6-980F-BD4D24A12FDB}"/>
    <hyperlink ref="I1254" r:id="rId2451" xr:uid="{19E84281-F640-45C3-B0C6-A0DC58E07404}"/>
    <hyperlink ref="I1209" r:id="rId2452" display="mailto:angelo.granata@peet.com.au" xr:uid="{7686C065-C34D-4706-A412-6665DBAA67AD}"/>
    <hyperlink ref="I4684" r:id="rId2453" xr:uid="{2DDDA0A2-DD62-494D-9069-7DF86D99C8E5}"/>
    <hyperlink ref="I4168" r:id="rId2454" xr:uid="{2A289F7C-E8B9-4B9F-BC51-D7DA61C6342B}"/>
    <hyperlink ref="I3270" r:id="rId2455" xr:uid="{9FB90E81-89EE-42FC-86D9-66C9F99FF355}"/>
    <hyperlink ref="I3184" r:id="rId2456" xr:uid="{AEA8C6D4-C881-4476-A3E5-D2D0E29F2AB1}"/>
    <hyperlink ref="I1300" r:id="rId2457" xr:uid="{B35EE631-9DF5-4ED1-88B8-92D934F93EAC}"/>
    <hyperlink ref="I669" r:id="rId2458" xr:uid="{9A93A946-909E-4AA3-8F7B-07D76F4586B4}"/>
    <hyperlink ref="I4138" r:id="rId2459" display="mailto:lucy@rpmrealestate.com.au" xr:uid="{71A550FF-8944-44F5-B709-DCB0437008B2}"/>
    <hyperlink ref="I4858" r:id="rId2460" xr:uid="{6278FA5B-469E-44C4-BA59-B4CC94F441D7}"/>
    <hyperlink ref="I2008" r:id="rId2461" xr:uid="{0505471F-6235-4916-A2BE-61E12EE2013A}"/>
    <hyperlink ref="I661" r:id="rId2462" xr:uid="{5BF820A0-EDA1-4E23-A180-70280919BC71}"/>
    <hyperlink ref="I3830" r:id="rId2463" xr:uid="{4CDB5183-9C21-418E-85D2-D31F7997C429}"/>
    <hyperlink ref="I99" r:id="rId2464" xr:uid="{6496A156-6444-4F72-98AB-C52EA0A08CC6}"/>
    <hyperlink ref="I1699" r:id="rId2465" xr:uid="{6285B83D-D25A-4D22-9525-E3E8A2EABF0F}"/>
    <hyperlink ref="I4177" r:id="rId2466" xr:uid="{35449C76-0E52-4A53-A22E-BB7444E38371}"/>
    <hyperlink ref="I1645" r:id="rId2467" xr:uid="{8E599192-6852-4383-9594-2D2B5D7C5B52}"/>
    <hyperlink ref="I2997" r:id="rId2468" xr:uid="{CA62A920-52A9-4B73-A289-58911892A667}"/>
    <hyperlink ref="I4794" r:id="rId2469" xr:uid="{6BCA65DE-57E4-4952-BD3B-E55E8F0D8D79}"/>
    <hyperlink ref="I4643" r:id="rId2470" xr:uid="{F24DFA35-8603-46CD-9AFF-CAACEF1F3349}"/>
    <hyperlink ref="I3569" r:id="rId2471" xr:uid="{7809ECEB-DBFB-4BFA-AB77-0A24D756FC73}"/>
    <hyperlink ref="I2560" r:id="rId2472" xr:uid="{5721FFF2-3AB8-490A-8962-EEB130D666AE}"/>
    <hyperlink ref="I4666" r:id="rId2473" xr:uid="{7C5115F7-29ED-4C63-9D25-A34F6DB8D721}"/>
    <hyperlink ref="I1450" r:id="rId2474" display="mailto:sara.lowe@eigdevelopments.com.au" xr:uid="{5B778EB6-B774-43EE-9ED4-D644CF788858}"/>
    <hyperlink ref="I1326" r:id="rId2475" xr:uid="{844FE7D9-32C4-4C5C-A0B1-8E810AC7A2A9}"/>
    <hyperlink ref="I4690" r:id="rId2476" xr:uid="{C5ED7983-EB4B-4801-8CF3-4F32E336B0E2}"/>
    <hyperlink ref="I3979" r:id="rId2477" display="mailto:stgermain@rpmrealestate.com.au" xr:uid="{6AD2D377-3220-4373-B8BA-3F2FA553CDCE}"/>
    <hyperlink ref="I367" r:id="rId2478" xr:uid="{1802F735-F673-4B43-883F-3AC83737E1EE}"/>
    <hyperlink ref="I435" r:id="rId2479" xr:uid="{798E95D0-3079-4215-8C5D-2725451FACFE}"/>
    <hyperlink ref="I4760" r:id="rId2480" xr:uid="{94A13A5E-7741-4200-9508-B88926C9728B}"/>
    <hyperlink ref="I2315" r:id="rId2481" xr:uid="{4FF43E64-A1A1-4AFD-A378-A72B9383C6ED}"/>
    <hyperlink ref="I1327" r:id="rId2482" xr:uid="{FD913C0B-806E-4CBE-9DCC-6CCAE7443C73}"/>
    <hyperlink ref="I971" r:id="rId2483" display="mailto:bhalsall@buxton.com.au" xr:uid="{6DC83B66-C49F-455D-8AEF-8B668A7DEB91}"/>
    <hyperlink ref="I4197" r:id="rId2484" xr:uid="{90823C0B-F0C4-4E07-AA0D-059C7326614D}"/>
    <hyperlink ref="I3665" r:id="rId2485" xr:uid="{BF37B2AD-69A8-4529-BE29-64A9F1129449}"/>
    <hyperlink ref="I3978" r:id="rId2486" display="mailto:stgermain@rpmrealestate.com.au" xr:uid="{3D24E907-BC93-436B-BFBB-3B99B028056A}"/>
    <hyperlink ref="I3977" r:id="rId2487" display="mailto:stgermain@rpmrealestate.com.au" xr:uid="{9B6376A9-F7F7-4B4F-9410-B731AE36D695}"/>
    <hyperlink ref="I2561" r:id="rId2488" xr:uid="{C306BD1B-F753-4EA8-8F06-493CB1B8294D}"/>
    <hyperlink ref="I2603" r:id="rId2489" xr:uid="{69FD6251-65F3-4C11-B42E-4488D4B0FEC9}"/>
    <hyperlink ref="I3461" r:id="rId2490" xr:uid="{F144D3B2-0D2C-4224-8ACF-D611D055681E}"/>
    <hyperlink ref="I3555" r:id="rId2491" xr:uid="{C3F6B0D7-EA64-445B-B36A-82AABDFBB5AF}"/>
    <hyperlink ref="I2196" r:id="rId2492" xr:uid="{D2848176-3B86-44C6-9DBF-2E657D451411}"/>
    <hyperlink ref="I1595" r:id="rId2493" xr:uid="{CD9CA950-9C9C-4E59-91A4-5330B179D138}"/>
    <hyperlink ref="I1597" r:id="rId2494" xr:uid="{AEE75031-1A52-449B-8C98-90F266A02C17}"/>
    <hyperlink ref="I829" r:id="rId2495" xr:uid="{04F5D48F-EAF1-4003-9B24-EB827C23682E}"/>
    <hyperlink ref="I4109" r:id="rId2496" xr:uid="{0C0E42F6-5B87-4483-8E52-7B4742444F84}"/>
    <hyperlink ref="I3934" r:id="rId2497" xr:uid="{A4DF447B-09D8-4877-9564-6D129A26148A}"/>
    <hyperlink ref="I395" r:id="rId2498" xr:uid="{75CB3AA5-6BB2-4CAF-BC64-CC200240FEB4}"/>
    <hyperlink ref="I3570" r:id="rId2499" xr:uid="{CECA69A0-87E4-4850-9B2C-4507F93BEE38}"/>
    <hyperlink ref="I3491" r:id="rId2500" xr:uid="{A1E89FB5-691B-414D-BD04-57BF3D7CD1F4}"/>
    <hyperlink ref="I4805" r:id="rId2501" xr:uid="{401F875C-8100-4815-BC72-9185659CA1B7}"/>
    <hyperlink ref="I4759" r:id="rId2502" xr:uid="{604D6D5C-83F0-4030-BA54-66632186746B}"/>
    <hyperlink ref="I3062" r:id="rId2503" xr:uid="{E299688E-A253-4ACC-AE00-7BBB7F21F0CF}"/>
    <hyperlink ref="I3762" r:id="rId2504" xr:uid="{6B181548-CD7E-469A-BD8F-9F4A31EC60C4}"/>
    <hyperlink ref="I1302" r:id="rId2505" xr:uid="{56E9F48A-3FE2-4BCD-9E9D-B61904840745}"/>
    <hyperlink ref="I2478" r:id="rId2506" xr:uid="{E2D0A87B-F10C-4110-8AEC-C2F007A67D3A}"/>
    <hyperlink ref="I2644" r:id="rId2507" xr:uid="{80C2D4F5-88AA-4714-BA02-2AA74B777DD5}"/>
    <hyperlink ref="I1976" r:id="rId2508" xr:uid="{354232CD-5A9D-461A-AD53-9837AA6DFC4A}"/>
    <hyperlink ref="I2604" r:id="rId2509" xr:uid="{595A78AC-3FFD-482D-944A-AE7994E58585}"/>
    <hyperlink ref="I2006" r:id="rId2510" xr:uid="{A0A2F2F2-F42E-4A10-A491-8A20E06422FC}"/>
    <hyperlink ref="I4652" r:id="rId2511" xr:uid="{5AFD4BFB-886C-43D2-9842-C5817BD0C6A1}"/>
    <hyperlink ref="I1926" r:id="rId2512" xr:uid="{FCC04471-EE9E-4520-968F-004609B995CA}"/>
    <hyperlink ref="I2135" r:id="rId2513" display="mailto:hillstowe@avid.com.au" xr:uid="{BF54C006-1340-4E33-ABC0-38B00F96F222}"/>
    <hyperlink ref="I3531" r:id="rId2514" xr:uid="{831323C3-7962-4B7F-83DE-2E4F41420BCA}"/>
    <hyperlink ref="I2473" r:id="rId2515" xr:uid="{964C637E-A8A6-4D94-B5FC-4F9791A871C9}"/>
    <hyperlink ref="I3273" r:id="rId2516" xr:uid="{14BB45E8-A560-40D2-914D-C7DA0002A8E7}"/>
    <hyperlink ref="I4423" r:id="rId2517" xr:uid="{E2A11BDC-E5A5-4B1B-A3AF-F94CB38508D7}"/>
    <hyperlink ref="I1789" r:id="rId2518" xr:uid="{900665C5-9470-4035-AEB2-048931CA84B9}"/>
    <hyperlink ref="I3221" r:id="rId2519" xr:uid="{73610361-E150-4869-8992-9DACC1288F6C}"/>
    <hyperlink ref="I2340" r:id="rId2520" xr:uid="{3BCD2A4B-7FA6-4C64-A6C2-4E0E7508BAC3}"/>
    <hyperlink ref="I2249" r:id="rId2521" xr:uid="{7F93F8E6-31CA-4AF1-A143-A9B1BD93170C}"/>
    <hyperlink ref="I4730" r:id="rId2522" xr:uid="{C6B2CA50-025C-4D30-ACBA-6EF009C02FFD}"/>
    <hyperlink ref="I3634" r:id="rId2523" xr:uid="{0EB3DA1B-BBC3-4F5D-BFEF-F9B1B81A73E3}"/>
    <hyperlink ref="I2890" r:id="rId2524" xr:uid="{4864DF02-7780-43E0-93B8-441BE6F112C5}"/>
    <hyperlink ref="I650" r:id="rId2525" xr:uid="{2695CDF5-B00B-42EC-9EF5-5B7D4870C723}"/>
    <hyperlink ref="I1667" r:id="rId2526" xr:uid="{5DEDAA21-64E6-47A9-AF3D-55086BE72244}"/>
    <hyperlink ref="I834" r:id="rId2527" xr:uid="{A830FD11-38B3-471F-8815-522E17CDF96B}"/>
    <hyperlink ref="I2004" r:id="rId2528" xr:uid="{0E739E2A-1B76-422C-8995-24BD552845CF}"/>
    <hyperlink ref="I602" r:id="rId2529" xr:uid="{EB33801B-093D-4FCE-B991-E23BE999BA23}"/>
    <hyperlink ref="I174" r:id="rId2530" display="mailto:Jason.Hynek@stockland.com.au" xr:uid="{10B65EA4-8414-4CA5-947F-028A30D9433A}"/>
    <hyperlink ref="I4000" r:id="rId2531" xr:uid="{E91FBD7D-4D2C-4F96-A669-4AC792BDCE95}"/>
    <hyperlink ref="I4665" r:id="rId2532" xr:uid="{604CDAD1-6989-4D59-9E11-0953F1FADBC7}"/>
    <hyperlink ref="I118" r:id="rId2533" xr:uid="{CB9C09D0-67C5-4C87-966F-5F08DA4A5656}"/>
    <hyperlink ref="I1427" r:id="rId2534" xr:uid="{F0807B91-74D5-41DC-9C6A-55B6BDCE26BC}"/>
    <hyperlink ref="I1397" r:id="rId2535" display="mailto:Eliston@rpmrealestate.com.au" xr:uid="{53E9C362-C6C0-4F47-B170-7FD2197F45AB}"/>
    <hyperlink ref="I84" r:id="rId2536" xr:uid="{F2B51F9A-0317-4E8F-8460-63F523B5D16B}"/>
    <hyperlink ref="I4171" r:id="rId2537" xr:uid="{1931551A-844A-42B2-AA09-662491868664}"/>
    <hyperlink ref="I4651" r:id="rId2538" xr:uid="{0FC654BE-58BA-48B9-A5FE-190BAB69EAAB}"/>
    <hyperlink ref="I4687" r:id="rId2539" xr:uid="{548AC8F3-43EC-4716-8F15-FC62604138EA}"/>
    <hyperlink ref="I3321" r:id="rId2540" xr:uid="{50CB9DBB-3B1C-4CC7-BC78-FC9F7AC3EF45}"/>
    <hyperlink ref="I2606" r:id="rId2541" xr:uid="{E13B065E-CF28-4E90-BAC6-4927BFF3AA77}"/>
    <hyperlink ref="I2913" r:id="rId2542" xr:uid="{8A593922-4C6C-453E-8C21-E0790A78DA0F}"/>
    <hyperlink ref="I515" r:id="rId2543" xr:uid="{8EAF9560-BA10-42A4-8A3A-F0DA515C2D22}"/>
    <hyperlink ref="I3120" r:id="rId2544" display="mailto:Catherine@yourland.com" xr:uid="{0978AFB5-0965-4D5C-ABE3-1BF8336139C6}"/>
    <hyperlink ref="I552" r:id="rId2545" xr:uid="{570E59BA-73A7-4D31-86FB-900E4954C7BE}"/>
    <hyperlink ref="I3162" r:id="rId2546" xr:uid="{74725520-8158-460A-A0B6-E76F67A49DC0}"/>
    <hyperlink ref="I2563" r:id="rId2547" xr:uid="{45EDCD2F-CDFE-4247-A962-7B87E6DC9B04}"/>
    <hyperlink ref="I2489" r:id="rId2548" xr:uid="{CA03B12A-62F2-4F8C-8074-CB6CAAD1F940}"/>
    <hyperlink ref="I3195" r:id="rId2549" xr:uid="{B291BCD5-56F5-4512-AD20-97F93585EBCA}"/>
    <hyperlink ref="I2645" r:id="rId2550" xr:uid="{865FDF73-8BD6-45A1-A76E-0374880511EF}"/>
    <hyperlink ref="I3202" r:id="rId2551" xr:uid="{156B54C1-4E3D-4946-A482-95B75AB13A6F}"/>
    <hyperlink ref="I4761" r:id="rId2552" xr:uid="{A4AB1727-DE3A-4D39-80CC-C2FE44D813FD}"/>
    <hyperlink ref="I1661" r:id="rId2553" xr:uid="{9CECCC65-9D4A-4CC0-9492-8D4CFD7AF99F}"/>
    <hyperlink ref="I743" r:id="rId2554" xr:uid="{77CB6781-8DA8-4BAB-B3C4-4FBDB9783269}"/>
    <hyperlink ref="I666" r:id="rId2555" xr:uid="{1208B7FE-E9A6-4F3C-A786-4E5A345A7A93}"/>
    <hyperlink ref="I4267" r:id="rId2556" xr:uid="{1D3CAED8-EA3E-40D9-A553-B6A035930884}"/>
    <hyperlink ref="I1497" r:id="rId2557" xr:uid="{5DC116BB-6006-45ED-8602-798FF2665BAC}"/>
    <hyperlink ref="I329" r:id="rId2558" xr:uid="{ECF78817-F764-454A-8EA3-9F73608A38C6}"/>
    <hyperlink ref="I2898" r:id="rId2559" xr:uid="{B420E18A-4724-48CC-9D4F-DF71D5D427A6}"/>
    <hyperlink ref="I3980" r:id="rId2560" display="mailto:stgermain@rpmrealestate.com.au" xr:uid="{D8E27518-B529-4409-A812-EFBD1BFDCA55}"/>
    <hyperlink ref="I3494" r:id="rId2561" xr:uid="{AF42EA72-F5AE-485C-A783-B64B3E84F026}"/>
    <hyperlink ref="I3130" r:id="rId2562" display="mailto:Catherine@yourland.com" xr:uid="{30F79455-6CA6-4529-B6D2-DEB4116F1912}"/>
    <hyperlink ref="I1227" r:id="rId2563" xr:uid="{41008ED7-E8A4-4996-A3B4-C34F810FF2DB}"/>
    <hyperlink ref="I1400" r:id="rId2564" xr:uid="{22166C3D-F8C4-4492-B39C-97820BDED2F9}"/>
    <hyperlink ref="I4854" r:id="rId2565" xr:uid="{14FD0357-461D-43BC-A3D6-423D944FF0E2}"/>
    <hyperlink ref="I3901" r:id="rId2566" xr:uid="{CA672594-9F57-4F59-8B4F-8CE69EF00165}"/>
    <hyperlink ref="I3900" r:id="rId2567" xr:uid="{8C6926F0-901A-44D0-B7BF-DC32F03881F6}"/>
    <hyperlink ref="I2313" r:id="rId2568" xr:uid="{C1D5DC97-2B1A-40D7-ABD6-9E8E1DE5B75C}"/>
    <hyperlink ref="I1827" r:id="rId2569" xr:uid="{43575B45-CC75-4C53-A1FA-EACABED9369E}"/>
    <hyperlink ref="I821" r:id="rId2570" xr:uid="{DCF2B885-E5F1-4CF1-928C-70946B66A709}"/>
    <hyperlink ref="I4180" r:id="rId2571" xr:uid="{D58D3608-8E17-4997-B6A6-8C819246B6C8}"/>
    <hyperlink ref="I1558" r:id="rId2572" xr:uid="{6C2375EC-E37A-4B82-B055-B1EEC5C65331}"/>
    <hyperlink ref="I4641" r:id="rId2573" xr:uid="{93EF1861-699D-42FA-A65D-1B7DF4F03C34}"/>
    <hyperlink ref="I1245" r:id="rId2574" display="mailto:Jason.bertram@harcourts.com.au" xr:uid="{25CA668E-86DD-454D-8611-282F3B0A45C5}"/>
    <hyperlink ref="I4112" r:id="rId2575" xr:uid="{123F655A-3E01-44BF-BE30-03C72F25A4D2}"/>
    <hyperlink ref="I1529" r:id="rId2576" xr:uid="{B6B99F77-0C2B-4C97-B187-8D0FDD4BD06E}"/>
    <hyperlink ref="I3063" r:id="rId2577" xr:uid="{F593FDA9-715D-4407-8C6B-42C8C1610F77}"/>
    <hyperlink ref="I2860" r:id="rId2578" xr:uid="{CFA23E25-5B33-4E19-BB93-9D339DAFDE42}"/>
    <hyperlink ref="I1322" r:id="rId2579" xr:uid="{F12FCCC8-F7D7-4B38-A298-4B6C18A6ED7D}"/>
    <hyperlink ref="I4170" r:id="rId2580" xr:uid="{0891AFAA-5727-49CC-8F84-244917C06E78}"/>
    <hyperlink ref="I87" r:id="rId2581" xr:uid="{865FED9D-F3FB-4D75-B410-233A3A9CFD15}"/>
    <hyperlink ref="I2565" r:id="rId2582" xr:uid="{62BEF4F3-E524-416B-9A6A-D53AA9DC3E6B}"/>
    <hyperlink ref="I614" r:id="rId2583" xr:uid="{9E33FD1B-BEE1-4758-8ADD-DE769BE7E470}"/>
    <hyperlink ref="I3318" r:id="rId2584" xr:uid="{ECA2657A-5A07-4106-AB1F-A691C0C8D8D5}"/>
    <hyperlink ref="I2935" r:id="rId2585" xr:uid="{23B329CE-B4BC-495A-9401-D214CA8D536A}"/>
    <hyperlink ref="I4049" r:id="rId2586" xr:uid="{411B9053-D320-4044-A420-BCCE5D3A2959}"/>
    <hyperlink ref="I2716" r:id="rId2587" xr:uid="{E42A0886-BB05-4873-A3F0-3BD642F92B57}"/>
    <hyperlink ref="I4454" r:id="rId2588" xr:uid="{9B3DFBB0-6602-4F5E-AB5C-2EE7FBAD61BA}"/>
    <hyperlink ref="I3637" r:id="rId2589" xr:uid="{54B87524-2A8E-440D-B36B-5285A184DB84}"/>
    <hyperlink ref="I3638" r:id="rId2590" xr:uid="{E2FF4D3F-6A87-4CF5-8320-CABCB4BC791F}"/>
    <hyperlink ref="I2721" r:id="rId2591" xr:uid="{454D423F-0288-4D32-9808-B253C69838F8}"/>
    <hyperlink ref="I3320" r:id="rId2592" xr:uid="{0C69BD43-D022-4553-906B-8CD426B7B5A0}"/>
    <hyperlink ref="I3319" r:id="rId2593" xr:uid="{0EE7EC67-F603-495C-B21E-08539EAF2024}"/>
    <hyperlink ref="I1228" r:id="rId2594" xr:uid="{3A623C19-B6DD-4592-8EFE-A2F871B3387C}"/>
    <hyperlink ref="I3517" r:id="rId2595" xr:uid="{6CFCEA30-247D-4DA4-A285-CA5BB47B0835}"/>
    <hyperlink ref="I1919" r:id="rId2596" xr:uid="{0FA3D89D-ED12-4EAA-88DF-C9EDABA2BFC8}"/>
    <hyperlink ref="I807" r:id="rId2597" xr:uid="{A3E1A311-10D5-4521-B12B-81D2B8ACEE2E}"/>
    <hyperlink ref="I439" r:id="rId2598" xr:uid="{1EBAD907-78E2-46B7-AEEB-3241C678BB81}"/>
    <hyperlink ref="I3536" r:id="rId2599" display="mailto:patricio@rivervalley.com.au" xr:uid="{F594AFED-0796-4E6A-881B-5FD9CC9C8891}"/>
    <hyperlink ref="I2250" r:id="rId2600" xr:uid="{C13CF36A-8A6C-4D80-ACEB-94AD42438628}"/>
    <hyperlink ref="I4377" r:id="rId2601" xr:uid="{BA2B515E-BD11-4206-9B62-EB03CDDFFE1A}"/>
    <hyperlink ref="I4375" r:id="rId2602" xr:uid="{1F810ED9-0CBB-4A28-BBCA-3B9F3F42E19B}"/>
    <hyperlink ref="I4374" r:id="rId2603" xr:uid="{5F07E635-D9A9-46C0-A62F-B38C78CA789F}"/>
    <hyperlink ref="I4679" r:id="rId2604" xr:uid="{13997966-3BC2-46B3-985F-E1BE9D3AA022}"/>
    <hyperlink ref="I4005" r:id="rId2605" xr:uid="{4EC15221-3B1F-4B38-9FE8-C04B5CAD5D7A}"/>
    <hyperlink ref="I4178" r:id="rId2606" xr:uid="{81D56260-2840-44EC-B428-8E6A78EA4562}"/>
    <hyperlink ref="I4688" r:id="rId2607" xr:uid="{C113FFED-D126-4855-91FA-2776E802073F}"/>
    <hyperlink ref="I369" r:id="rId2608" xr:uid="{F5106C43-00DB-4B83-BB91-1CF20D3B66F9}"/>
    <hyperlink ref="I3489" r:id="rId2609" xr:uid="{2B1C6E5F-ACBA-41FA-B976-7A626DD0B346}"/>
    <hyperlink ref="I4201" r:id="rId2610" xr:uid="{987C1BC8-0EEA-4019-8D6A-250F4257B152}"/>
    <hyperlink ref="I2707" r:id="rId2611" xr:uid="{3EF19E61-E78A-4389-BB86-48EB58279D4D}"/>
    <hyperlink ref="I485" r:id="rId2612" xr:uid="{D5513E9F-079F-4E7E-9C40-84D188EA4719}"/>
    <hyperlink ref="I2605" r:id="rId2613" xr:uid="{C5356D58-B5D6-4374-83A2-04E40A389C59}"/>
    <hyperlink ref="I1284" r:id="rId2614" display="n.harb@oliverhume.com.au" xr:uid="{37A81495-E089-4FF8-BA79-EE51AD0F7010}"/>
    <hyperlink ref="I4790" r:id="rId2615" xr:uid="{09AEE8C9-43ED-43A7-A80F-F42E74C1A64F}"/>
    <hyperlink ref="I3119" r:id="rId2616" display="mailto:Catherine@yourland.com" xr:uid="{BC006C24-8AAC-405F-8C89-85A293210AFD}"/>
    <hyperlink ref="I1807" r:id="rId2617" xr:uid="{AB2A4DBF-8263-4906-B7DF-BE8918E59F4D}"/>
    <hyperlink ref="I1500" r:id="rId2618" xr:uid="{6B14B435-BEE7-4C36-9A53-E20B468E2133}"/>
    <hyperlink ref="I933" r:id="rId2619" xr:uid="{8187EA5C-9A1A-47E6-9FB1-5E8D39B1CC06}"/>
    <hyperlink ref="I2861" r:id="rId2620" xr:uid="{E35C615A-B206-4F1B-B995-4BE4D771C84B}"/>
    <hyperlink ref="I853" r:id="rId2621" xr:uid="{C649F399-F7AB-4C6F-99D2-3DEEEF897C63}"/>
    <hyperlink ref="I2564" r:id="rId2622" xr:uid="{2C7323C3-F599-4F05-885D-A614ED8942E6}"/>
    <hyperlink ref="I1398" r:id="rId2623" display="mailto:Eliston@rpmrealestate.com.au" xr:uid="{D8B89DE2-FF49-46D7-BD0C-D463E5BAFF38}"/>
    <hyperlink ref="I3337" r:id="rId2624" xr:uid="{76ECBA5D-2373-4423-8739-4CD3F0378A23}"/>
    <hyperlink ref="I1295" r:id="rId2625" xr:uid="{065D75B6-A28F-4E61-AC9D-1551C6FD0578}"/>
    <hyperlink ref="I3463" r:id="rId2626" xr:uid="{1FA4BD1A-B800-4643-BE42-EBC18A28238C}"/>
    <hyperlink ref="I1560" r:id="rId2627" xr:uid="{BD3F8CCC-7F14-4C8A-AAEC-296906168834}"/>
    <hyperlink ref="I2341" r:id="rId2628" xr:uid="{11AFD405-B2C0-4320-B4E4-537120EA7E11}"/>
    <hyperlink ref="I2657" r:id="rId2629" xr:uid="{27920A43-E6FF-46BA-8628-5AF4446AAEE5}"/>
    <hyperlink ref="I2915" r:id="rId2630" xr:uid="{78430996-B9ED-4C07-ACF5-0C700790D870}"/>
    <hyperlink ref="I1218" r:id="rId2631" display="mailto:angelo.granata@peet.com.au" xr:uid="{6393A586-5405-4843-AC40-04465625C79F}"/>
    <hyperlink ref="I1668" r:id="rId2632" xr:uid="{9FB2066D-F1BC-4DE6-B98A-9F83CC4D097B}"/>
    <hyperlink ref="I2474" r:id="rId2633" xr:uid="{F901C209-57D9-4294-B4A4-1F5F8FB96131}"/>
    <hyperlink ref="I3989" r:id="rId2634" xr:uid="{47EB7CA4-332B-44F7-85D4-1CB2F5C47495}"/>
    <hyperlink ref="I2476" r:id="rId2635" xr:uid="{11FAD864-2D2B-49F1-9280-F76274BB6037}"/>
    <hyperlink ref="I2511" r:id="rId2636" xr:uid="{342113F9-9997-43A4-A08B-324E7C6EF3A4}"/>
    <hyperlink ref="I2643" r:id="rId2637" xr:uid="{2ABE0726-62AA-4CB0-8E9D-05DDF9B2FB88}"/>
    <hyperlink ref="I2641" r:id="rId2638" xr:uid="{C4E49546-4605-49DA-9753-FE89A042D7CF}"/>
    <hyperlink ref="I431" r:id="rId2639" xr:uid="{C9121AF2-D3B6-4C0C-B3B1-92C1C66E1745}"/>
    <hyperlink ref="I120" r:id="rId2640" xr:uid="{B13F04E4-825C-4483-BF73-0F4473CA5EF3}"/>
    <hyperlink ref="I4277" r:id="rId2641" xr:uid="{70FCDB29-2DB3-425C-9C91-BFA72D734763}"/>
    <hyperlink ref="I2314" r:id="rId2642" xr:uid="{78868163-82C3-4456-9D79-1CE7D8D99FF3}"/>
    <hyperlink ref="I3064" r:id="rId2643" xr:uid="{4E877B8D-B6AE-463E-90BF-2278084FE342}"/>
    <hyperlink ref="I119" r:id="rId2644" xr:uid="{5B9E6148-E13E-4592-A202-616B334170EC}"/>
    <hyperlink ref="I3462" r:id="rId2645" xr:uid="{62C3BD80-6B93-4021-B703-C110FCC0AECD}"/>
    <hyperlink ref="I3175" r:id="rId2646" xr:uid="{309EC282-0809-4351-82F9-31AC75347F17}"/>
    <hyperlink ref="I2658" r:id="rId2647" xr:uid="{826E16B6-F123-4ECA-88CE-882EFD1D4DAF}"/>
    <hyperlink ref="I3197" r:id="rId2648" xr:uid="{2B491243-EF77-42BF-AC31-DB171619E331}"/>
    <hyperlink ref="I3317" r:id="rId2649" xr:uid="{764CBBBD-A4D6-4168-9188-A1ED00600DF5}"/>
    <hyperlink ref="I3225" r:id="rId2650" xr:uid="{8273EA21-9A75-4F30-AF97-DA87E63FD27E}"/>
    <hyperlink ref="I1112" r:id="rId2651" xr:uid="{C135E4AE-C663-435C-868A-7C81232503BE}"/>
    <hyperlink ref="I3192" r:id="rId2652" xr:uid="{5450C980-BABB-4373-93E7-C44D8FC8365A}"/>
    <hyperlink ref="I1920" r:id="rId2653" xr:uid="{3581FA8B-EC47-47B3-BFF4-470BBD3B6338}"/>
    <hyperlink ref="I1301" r:id="rId2654" xr:uid="{742E3F11-92E2-4C11-876E-BFE0AFC150D3}"/>
    <hyperlink ref="I2380" r:id="rId2655" xr:uid="{3E6464F4-7CEB-4D26-AED9-5B9FC4D2C64F}"/>
    <hyperlink ref="I1111" r:id="rId2656" xr:uid="{B44B3CE5-211E-4557-A2B1-65B11D0AE908}"/>
    <hyperlink ref="I4887" r:id="rId2657" xr:uid="{368DB459-72C7-4D56-A30A-94674FFC51DE}"/>
    <hyperlink ref="I4430" r:id="rId2658" xr:uid="{FE87F87F-F69C-448E-AD65-A02721EA373D}"/>
    <hyperlink ref="I2256" r:id="rId2659" xr:uid="{8FF8B16C-2A34-4DD1-A975-D99D99372321}"/>
    <hyperlink ref="I3309" r:id="rId2660" xr:uid="{55A06572-A14C-4CD9-84E2-EAAB39E632EE}"/>
    <hyperlink ref="I2884" r:id="rId2661" xr:uid="{8F5AC3B7-4245-4133-84F1-BD04DBB50538}"/>
    <hyperlink ref="I4738" r:id="rId2662" xr:uid="{C9511F10-4FBA-44A3-AE77-D8AA94AD862C}"/>
    <hyperlink ref="I516" r:id="rId2663" xr:uid="{BB7043D9-441C-4B90-A014-B2D1295A115E}"/>
    <hyperlink ref="I1229" r:id="rId2664" xr:uid="{07D07A06-A67E-435B-9F98-5E7E3368058D}"/>
    <hyperlink ref="I437" r:id="rId2665" xr:uid="{B96768EA-EB9E-4A7D-B715-39DC5429944E}"/>
    <hyperlink ref="I438" r:id="rId2666" xr:uid="{1A895F52-7479-42DD-9E18-FE180676A22F}"/>
    <hyperlink ref="I3568" r:id="rId2667" xr:uid="{31583CA1-BFB0-4B2E-A5AE-151A4AB7A31F}"/>
    <hyperlink ref="I3183" r:id="rId2668" xr:uid="{7B5B8FC5-1F5D-43B8-A74D-11A3433202F0}"/>
    <hyperlink ref="I1977" r:id="rId2669" xr:uid="{8855BC2B-B104-43BD-9B4E-C16B2F68F63E}"/>
    <hyperlink ref="I101" r:id="rId2670" xr:uid="{8333F673-9DC8-43EC-A7E5-40116FEFCBA6}"/>
    <hyperlink ref="I4113" r:id="rId2671" xr:uid="{C6F63CD6-71A7-4810-A39D-D5CCD91B659E}"/>
    <hyperlink ref="I3892" r:id="rId2672" xr:uid="{99BB0D55-CC26-4C5F-AF27-2FE07D78FC2C}"/>
    <hyperlink ref="I551" r:id="rId2673" xr:uid="{B369C4A2-B4AF-4866-9D5A-96AA436C6D7F}"/>
    <hyperlink ref="I1577" r:id="rId2674" xr:uid="{0FD7E579-DA87-483B-AEBF-3034F496A381}"/>
    <hyperlink ref="I1694" r:id="rId2675" xr:uid="{E4F8F82F-8004-499B-855E-15A2B7F509A7}"/>
    <hyperlink ref="I396" r:id="rId2676" xr:uid="{F3E7958F-0C94-4D71-BABF-325503D86029}"/>
    <hyperlink ref="I2941" r:id="rId2677" xr:uid="{1A12CCC6-5CD2-4AD3-8F58-595F85A9F652}"/>
    <hyperlink ref="I2850" r:id="rId2678" xr:uid="{D94BD5EC-A2D5-49AD-BF98-7507FA895D06}"/>
    <hyperlink ref="I3585" r:id="rId2679" xr:uid="{D51DC418-9537-4F92-A51D-7DB8B946AB2D}"/>
    <hyperlink ref="I2515" r:id="rId2680" xr:uid="{518BBE23-EDD3-41A4-A83D-9F022106030C}"/>
    <hyperlink ref="I2708" r:id="rId2681" xr:uid="{7F6956F0-81F5-44A7-B208-AEF1A7504148}"/>
    <hyperlink ref="I4685" r:id="rId2682" xr:uid="{E0049969-A59E-4E1D-BCF4-D0E73C1F88E2}"/>
    <hyperlink ref="I4693" r:id="rId2683" xr:uid="{D5BA26A9-98BC-41DF-BF91-7E45E2BBB558}"/>
    <hyperlink ref="I4674" r:id="rId2684" xr:uid="{85416471-2F38-4043-8722-66C3B399FB38}"/>
    <hyperlink ref="I2088" r:id="rId2685" xr:uid="{D4EC65E1-356C-4D61-95B8-BBB1BDB76F0C}"/>
    <hyperlink ref="I2090" r:id="rId2686" xr:uid="{68987D5E-4D06-4D9C-8E56-7D4DCB871E2A}"/>
    <hyperlink ref="I2667" r:id="rId2687" xr:uid="{B984D75E-DC92-4B3C-9C46-79B8E382EDE6}"/>
    <hyperlink ref="I2668" r:id="rId2688" xr:uid="{D0E98574-A3C9-4457-BA24-48210CDC4DA8}"/>
    <hyperlink ref="I1808" r:id="rId2689" xr:uid="{77CB296A-F312-4D79-BA64-534910F4A6E8}"/>
    <hyperlink ref="I2514" r:id="rId2690" xr:uid="{0B554F73-C9FB-4F8E-BC0A-257731D2F4F2}"/>
    <hyperlink ref="I1216" r:id="rId2691" display="mailto:angelo.granata@peet.com.au" xr:uid="{EA790DFF-C878-4E9A-9343-7EE52C60FAEC}"/>
    <hyperlink ref="I2924" r:id="rId2692" xr:uid="{B86CD331-1A52-4F36-A8F1-B68A0F9775BF}"/>
    <hyperlink ref="I304" r:id="rId2693" xr:uid="{528FEA51-2934-44B5-8B4D-DCFE288FAA2E}"/>
    <hyperlink ref="I3286" r:id="rId2694" xr:uid="{76B81DCB-4118-4806-BCDD-4724E1FB7E33}"/>
    <hyperlink ref="I3322" r:id="rId2695" xr:uid="{8243288F-16BB-48BC-9F43-C37550B9D736}"/>
    <hyperlink ref="I3323" r:id="rId2696" xr:uid="{8F8FE706-162A-4129-A384-82745020B2AE}"/>
    <hyperlink ref="I3325" r:id="rId2697" xr:uid="{26B6CAB6-A1CE-4E4E-99A8-41FECCD79B79}"/>
    <hyperlink ref="I3324" r:id="rId2698" xr:uid="{451E260B-1608-4D20-B054-1635440F8B96}"/>
    <hyperlink ref="I2203" r:id="rId2699" xr:uid="{C5024CE4-584B-42E1-971E-BD9EF47C216E}"/>
    <hyperlink ref="I1551" r:id="rId2700" xr:uid="{141E29AC-1236-4057-8770-2A8175C6C1A3}"/>
    <hyperlink ref="I1669" r:id="rId2701" xr:uid="{E21477C8-E78D-4FC1-8461-2CEC23A2515B}"/>
    <hyperlink ref="I2429" r:id="rId2702" xr:uid="{F3A24C1B-6620-47CA-BC2C-40A7EC76EA74}"/>
    <hyperlink ref="I3182" r:id="rId2703" xr:uid="{B5FC313C-AA04-45CD-8279-F7AFAA7FBE97}"/>
    <hyperlink ref="I793" r:id="rId2704" xr:uid="{B42E10CC-23C6-406A-BDD9-5FAE7015C2DF}"/>
    <hyperlink ref="I2569" r:id="rId2705" xr:uid="{58B20DE3-EBCE-450C-B35A-BC38AFB99676}"/>
    <hyperlink ref="I3025" r:id="rId2706" xr:uid="{AF56D0D9-0EBA-4385-A6BC-7EC474E74581}"/>
    <hyperlink ref="I2402" r:id="rId2707" xr:uid="{DDD11F31-34E3-4A7D-A140-9352B73250FB}"/>
    <hyperlink ref="I2187" r:id="rId2708" xr:uid="{EBB2E724-F437-4FDC-92E5-0E3C681983F0}"/>
    <hyperlink ref="I4228" r:id="rId2709" xr:uid="{DA2D6373-5048-413F-9B3D-FE2CA6E0C82E}"/>
    <hyperlink ref="I3668" r:id="rId2710" xr:uid="{3860494E-4FB1-4728-84A7-110182B5133C}"/>
    <hyperlink ref="I1662" r:id="rId2711" xr:uid="{3A42B1CB-FDB8-41D8-A1DB-19B2FCA72973}"/>
    <hyperlink ref="I472" r:id="rId2712" xr:uid="{03F6ACF8-A30B-4A31-A9D7-ACCD9ED30DAB}"/>
    <hyperlink ref="I1563" r:id="rId2713" xr:uid="{FDA8A576-A4CF-470F-B7F7-522B8C0510F6}"/>
    <hyperlink ref="I1561" r:id="rId2714" xr:uid="{DA8E0FFB-E47F-4F1B-929D-1546DC2A6D7F}"/>
    <hyperlink ref="I2005" r:id="rId2715" xr:uid="{1017A8F1-4E8C-4085-9E99-254064845499}"/>
    <hyperlink ref="I4653" r:id="rId2716" xr:uid="{1FF03E39-D476-4FEC-9D9C-804430AF1421}"/>
    <hyperlink ref="I4853" r:id="rId2717" xr:uid="{CF0D5016-C52F-4770-93A4-5256515D44F8}"/>
    <hyperlink ref="I3567" r:id="rId2718" xr:uid="{B01C729E-F90B-44FE-8D07-EF2B08E339BA}"/>
    <hyperlink ref="I2926" r:id="rId2719" xr:uid="{DB9CC530-787B-4490-B941-02E19C43D851}"/>
    <hyperlink ref="I4683" r:id="rId2720" xr:uid="{E418F943-D1B6-4536-85DE-B99AF758E50A}"/>
    <hyperlink ref="I2647" r:id="rId2721" xr:uid="{D727DCA2-71C5-4E01-BBCE-2A0F967B46B9}"/>
    <hyperlink ref="I1564" r:id="rId2722" xr:uid="{4AD9F408-173A-49E4-8B2B-0A3C73173F8F}"/>
    <hyperlink ref="I3572" r:id="rId2723" xr:uid="{D78F7CEA-210E-4421-A788-EFAC90B0EA1A}"/>
    <hyperlink ref="I2091" r:id="rId2724" xr:uid="{69195A17-B662-4465-B1CF-BEDCF3EAC7EE}"/>
    <hyperlink ref="I747" r:id="rId2725" xr:uid="{946ADDC6-AE71-4476-8277-F539A9483664}"/>
    <hyperlink ref="I1502" r:id="rId2726" xr:uid="{87AFDAB5-8813-4C3D-8DCE-8FB85CF608A3}"/>
    <hyperlink ref="I3586" r:id="rId2727" xr:uid="{82A9EC07-1377-47B4-9CAF-1484E187ED95}"/>
    <hyperlink ref="I4272" r:id="rId2728" xr:uid="{1BFDAE1D-C018-44A5-9295-6ECBA0FB6922}"/>
    <hyperlink ref="I340" r:id="rId2729" xr:uid="{591D790B-6B75-47D9-8350-0A01B29B03CC}"/>
    <hyperlink ref="I341" r:id="rId2730" xr:uid="{25E53FA9-AAB0-47E4-B5C1-8166F97BFE06}"/>
    <hyperlink ref="I1565" r:id="rId2731" xr:uid="{4B8F3091-B971-4941-BCAE-C3C4578C4CB4}"/>
    <hyperlink ref="I430" r:id="rId2732" xr:uid="{4FCB68D9-06BC-4390-9566-F96BBD590FE8}"/>
    <hyperlink ref="I935" r:id="rId2733" xr:uid="{803EB15E-4BA9-4944-ACCC-63413480AF35}"/>
    <hyperlink ref="I81" r:id="rId2734" xr:uid="{985C5D5D-CDD2-4BB3-8CC4-F613B76135B4}"/>
    <hyperlink ref="I4273" r:id="rId2735" xr:uid="{73B10C41-8D8D-4E79-A47E-67B5173C0FA4}"/>
    <hyperlink ref="I2467" r:id="rId2736" xr:uid="{B50C0692-7F5F-44E5-B87C-B51A74E3948D}"/>
    <hyperlink ref="I2350" r:id="rId2737" xr:uid="{A6C47B00-CC63-41A0-A9C7-70C4FE569028}"/>
    <hyperlink ref="I2011" r:id="rId2738" xr:uid="{8B56F388-1EBE-48FD-8682-BDA725127775}"/>
    <hyperlink ref="I2343" r:id="rId2739" xr:uid="{A36592CE-6AA2-410E-B6D3-BD9A3305D6E9}"/>
    <hyperlink ref="I3635" r:id="rId2740" xr:uid="{ACC43816-1FE1-46C4-9C44-E82622500B6D}"/>
    <hyperlink ref="I1930" r:id="rId2741" xr:uid="{B3F09934-3C4B-411C-A41E-CDA0932EF151}"/>
    <hyperlink ref="I2566" r:id="rId2742" xr:uid="{766EA917-8271-4448-810C-FBDCABC0FE1D}"/>
    <hyperlink ref="I836" r:id="rId2743" xr:uid="{4EDBEC7B-F4C6-483C-A2F6-D85D9124AF83}"/>
    <hyperlink ref="I2255" r:id="rId2744" xr:uid="{0F1E869C-9DBA-4C21-9974-D8FA9F4B868A}"/>
    <hyperlink ref="I2253" r:id="rId2745" xr:uid="{A3224A5D-808D-4FF9-A46D-F9A3284D05EE}"/>
    <hyperlink ref="I2518" r:id="rId2746" xr:uid="{5A9AAA08-EA4C-4392-B538-791396AAC61B}"/>
    <hyperlink ref="I4654" r:id="rId2747" xr:uid="{BE47C5EB-7407-42ED-8623-FA618A613A26}"/>
    <hyperlink ref="I2477" r:id="rId2748" xr:uid="{D11FD18F-7C89-4DF4-A32B-9CB7A01C6C78}"/>
    <hyperlink ref="I1513" r:id="rId2749" xr:uid="{EC6BA717-0F85-44D8-9F4F-5A9F9C079255}"/>
    <hyperlink ref="I293" r:id="rId2750" xr:uid="{6A3D1962-95AF-4438-8544-F3FF85A9DA6E}"/>
    <hyperlink ref="I957" r:id="rId2751" display="jan@catalinapointcook.com.au" xr:uid="{6654162B-478E-479D-9422-544460AAE0A6}"/>
    <hyperlink ref="I855" r:id="rId2752" xr:uid="{34FC2F1C-3907-4733-A826-0A11F495B336}"/>
    <hyperlink ref="I2699" r:id="rId2753" xr:uid="{246A32C0-8F86-47C1-B8EC-AB39DD34C913}"/>
    <hyperlink ref="I3518" r:id="rId2754" xr:uid="{890DD1D7-A043-4AE1-BF29-8718DDBC2D0B}"/>
    <hyperlink ref="I1796" r:id="rId2755" xr:uid="{5FC51C4B-1FD8-4F54-BF35-2486069B8808}"/>
    <hyperlink ref="I2512" r:id="rId2756" xr:uid="{2107824F-DEDF-479C-8967-9616224D50D1}"/>
    <hyperlink ref="I1797" r:id="rId2757" xr:uid="{39AE4D1A-840C-4897-9B94-B978C6BFFFDB}"/>
    <hyperlink ref="I2490" r:id="rId2758" xr:uid="{C0DBBD3C-6489-4767-9FDF-90B40A56C8B2}"/>
    <hyperlink ref="I3226" r:id="rId2759" xr:uid="{17523460-A1DE-4E5B-A696-6A70970DAD1F}"/>
    <hyperlink ref="I4159" r:id="rId2760" xr:uid="{18DDDE0C-B29D-42C7-AFFC-2AF90016EE44}"/>
    <hyperlink ref="I653" r:id="rId2761" xr:uid="{46C02432-720E-457E-A9CC-998CCD2F367E}"/>
    <hyperlink ref="I2601" r:id="rId2762" xr:uid="{5EFD6E84-7ED2-4765-9127-12A0965BF160}"/>
    <hyperlink ref="I3573" r:id="rId2763" xr:uid="{A034E5D1-7A87-4B7B-BDDE-46806386AC1B}"/>
    <hyperlink ref="I3299" r:id="rId2764" xr:uid="{690F75AE-1A00-4911-BD51-9F1BC311F149}"/>
    <hyperlink ref="I2854" r:id="rId2765" xr:uid="{354B045A-B6D3-4A21-A573-CF4609621F97}"/>
    <hyperlink ref="I1578" r:id="rId2766" xr:uid="{05EDA08D-67BD-4E1B-B69E-3AAF40EEF0F8}"/>
    <hyperlink ref="I4149" r:id="rId2767" xr:uid="{34E26474-BCAD-4DBE-947C-029765AB0554}"/>
    <hyperlink ref="I3575" r:id="rId2768" xr:uid="{00211007-B0F6-4A76-BC3F-BDEC9CB20004}"/>
    <hyperlink ref="I3177" r:id="rId2769" xr:uid="{AA9441ED-3650-4009-AEF5-AD8CBC920979}"/>
    <hyperlink ref="I582" r:id="rId2770" display="mailto:austin@latituderealestate.com.au" xr:uid="{F8424A43-48C6-4B87-91C5-B83F2E27AED9}"/>
    <hyperlink ref="I2731" r:id="rId2771" xr:uid="{CC560BFA-F55E-4A81-A09D-715E8E083300}"/>
    <hyperlink ref="I2737" r:id="rId2772" xr:uid="{1614E5D4-83C4-4779-AEBC-3C906A254E48}"/>
    <hyperlink ref="I2738" r:id="rId2773" xr:uid="{37507146-FD4C-4160-A781-D3B4F60A7261}"/>
    <hyperlink ref="I2739" r:id="rId2774" xr:uid="{B98C5994-FEC0-47EB-92D9-30C429D237F1}"/>
    <hyperlink ref="I2740" r:id="rId2775" xr:uid="{F2210E1B-A85F-47F9-8DCF-247A7EDB52E6}"/>
    <hyperlink ref="I938" r:id="rId2776" xr:uid="{D044FAEF-7308-40C2-BE7B-4F22871809A5}"/>
    <hyperlink ref="I936" r:id="rId2777" xr:uid="{A6E21E54-3A16-41F9-952B-B778D63C4EC4}"/>
    <hyperlink ref="I830" r:id="rId2778" xr:uid="{A00D82E7-895E-40AB-B587-5023F19A3EC8}"/>
    <hyperlink ref="I122" r:id="rId2779" xr:uid="{D8D72CC8-0A94-45E4-BB63-648B798099BB}"/>
    <hyperlink ref="I4110" r:id="rId2780" xr:uid="{D3B6764B-283D-4AED-A741-C9C7603A9F07}"/>
    <hyperlink ref="I4051" r:id="rId2781" xr:uid="{FBC4B9B1-68A5-45B9-A2A9-E72A1F250BCF}"/>
    <hyperlink ref="I1537" r:id="rId2782" xr:uid="{5967DDE5-61E2-4231-96A8-4F3D62BE56C2}"/>
    <hyperlink ref="I3472" r:id="rId2783" xr:uid="{1E5FC42B-DD9E-40C0-94A2-0B133E80EC30}"/>
    <hyperlink ref="I3991" r:id="rId2784" xr:uid="{F8F30A0F-0C7B-44D5-9026-82BF587792A8}"/>
    <hyperlink ref="I2480" r:id="rId2785" xr:uid="{3229E947-0354-4BC2-9EA8-C4DB4E5FEDC5}"/>
    <hyperlink ref="I2481" r:id="rId2786" xr:uid="{0318FFAF-C41C-4906-A941-CF89FFD80B06}"/>
    <hyperlink ref="I2862" r:id="rId2787" xr:uid="{FA7FF1DB-F690-4277-B032-1C790A29BE78}"/>
    <hyperlink ref="I2094" r:id="rId2788" xr:uid="{FE1494A6-2258-4972-9B9A-7040FE75635B}"/>
    <hyperlink ref="I4053" r:id="rId2789" xr:uid="{29D8A4CD-26A3-4E0A-8EC7-CEF31B89173F}"/>
    <hyperlink ref="I2694" r:id="rId2790" xr:uid="{7108CBAF-A10E-46C6-A045-A4DADD2737E3}"/>
    <hyperlink ref="I4857" r:id="rId2791" xr:uid="{1D2EE21E-DD4F-4BA8-A89B-E02F6F48B64C}"/>
    <hyperlink ref="I2281" r:id="rId2792" xr:uid="{8F1AC2F0-40B3-4685-8A7D-DE6BC9B67260}"/>
    <hyperlink ref="I4431" r:id="rId2793" xr:uid="{F2C4ACA4-AA0D-4E97-A5B6-5F679FCB8B31}"/>
    <hyperlink ref="I4826" r:id="rId2794" xr:uid="{F64A2AE5-3972-4C15-B422-A8384E90FCF9}"/>
    <hyperlink ref="I220" r:id="rId2795" xr:uid="{9E782212-2D11-4BF2-B727-154F9CD568CE}"/>
    <hyperlink ref="I3164" r:id="rId2796" xr:uid="{EB6ADBDD-DE80-4479-BCBB-72019390FD5A}"/>
    <hyperlink ref="I3403" r:id="rId2797" xr:uid="{7B86E365-0D6E-4032-A8D1-6390341C1DBC}"/>
    <hyperlink ref="I4474" r:id="rId2798" xr:uid="{1056B18D-4258-414B-899A-459F836F7FE9}"/>
    <hyperlink ref="I3158" r:id="rId2799" xr:uid="{BDC5C77E-CCEA-420D-BDE3-CE22EFDF30E8}"/>
    <hyperlink ref="I2648" r:id="rId2800" xr:uid="{3320867E-13D4-49CD-A9BF-32503CAE42B1}"/>
    <hyperlink ref="I847" r:id="rId2801" xr:uid="{D6813989-2B1B-4E2A-B153-38ECF3C0F0E5}"/>
    <hyperlink ref="I1233" r:id="rId2802" xr:uid="{E821349F-8C65-4B6D-B1DE-302D76947CF8}"/>
    <hyperlink ref="I1231" r:id="rId2803" xr:uid="{51C5C066-890F-4F89-896F-6DB0184016D8}"/>
    <hyperlink ref="I4791" r:id="rId2804" xr:uid="{F1DF9D79-D463-4873-AA49-B3C5802F6B90}"/>
    <hyperlink ref="I432" r:id="rId2805" xr:uid="{F8B43591-C244-4FFE-9A8F-F6CDD72CB3EE}"/>
    <hyperlink ref="I2892" r:id="rId2806" xr:uid="{AC75110F-39B1-4B3B-AE41-D76733152C08}"/>
    <hyperlink ref="I493" r:id="rId2807" xr:uid="{71E5E1F4-E269-4C43-9BDD-88BE00630D2B}"/>
    <hyperlink ref="I2722" r:id="rId2808" xr:uid="{38FC3B7E-0963-4B89-9419-6BC11DEADD92}"/>
    <hyperlink ref="I1599" r:id="rId2809" xr:uid="{88CBB0F4-FFEF-4527-BE4D-9C0D1307985E}"/>
    <hyperlink ref="I1979" r:id="rId2810" xr:uid="{3B062F47-C159-4675-9F90-BF16C25019F7}"/>
    <hyperlink ref="I4038" r:id="rId2811" xr:uid="{F1113844-85AD-4A84-8946-4B79E60BF220}"/>
    <hyperlink ref="I2336" r:id="rId2812" xr:uid="{00343A38-0418-4032-AD45-3BD8194D1146}"/>
    <hyperlink ref="I2568" r:id="rId2813" xr:uid="{5ADD8F9F-31C8-4519-B9E6-183B8395F082}"/>
    <hyperlink ref="I1144" r:id="rId2814" xr:uid="{C603723D-A787-4201-BD0F-AF2E19C24A9C}"/>
    <hyperlink ref="I370" r:id="rId2815" xr:uid="{088CDB35-4B42-4606-8EB1-0230FDDAD3D0}"/>
    <hyperlink ref="I1891" r:id="rId2816" display="mailto:kevinmizzi@jxre.com.au" xr:uid="{8DAF5DE2-5C2E-4223-AFBB-02D031F4D58D}"/>
    <hyperlink ref="I618" r:id="rId2817" xr:uid="{833A016D-585C-4758-9030-C98B3A8C1D6F}"/>
    <hyperlink ref="I1787" r:id="rId2818" xr:uid="{173CB532-239A-427A-BA88-17D8133E8655}"/>
    <hyperlink ref="I1559" r:id="rId2819" xr:uid="{CCB6C220-B5A5-4D7E-B3BA-F8DF6404A2A3}"/>
    <hyperlink ref="I4776" r:id="rId2820" xr:uid="{A1F194E6-19D9-482E-9B25-842CAD8C74EB}"/>
    <hyperlink ref="I903" r:id="rId2821" xr:uid="{E6A84C69-FF80-42B3-9650-99DD5379C3BE}"/>
    <hyperlink ref="I1232" r:id="rId2822" xr:uid="{54E90326-4B12-4EA2-8ABE-4DB78095E5FD}"/>
    <hyperlink ref="I787" r:id="rId2823" xr:uid="{B8A86C4D-31BE-40CE-A7F6-03C5F68C730C}"/>
    <hyperlink ref="I3893" r:id="rId2824" xr:uid="{3F2FE827-0A96-4513-BF8D-C04DEAD35405}"/>
    <hyperlink ref="I1786" r:id="rId2825" xr:uid="{3A5A4C3E-0453-4818-B26E-C502E1112742}"/>
    <hyperlink ref="I3198" r:id="rId2826" xr:uid="{C327B8F1-526A-4C0A-AEA2-5B80039579E4}"/>
    <hyperlink ref="I3227" r:id="rId2827" xr:uid="{7E1C9A8F-238C-41BC-912E-E72FDD7BAF98}"/>
    <hyperlink ref="I1671" r:id="rId2828" xr:uid="{102E9B1D-EBFD-448C-A1B5-7D0267CED4D3}"/>
    <hyperlink ref="I1501" r:id="rId2829" xr:uid="{0A75A93F-16FA-4468-AAA2-44D3650B2FF6}"/>
    <hyperlink ref="I954" r:id="rId2830" display="jan@catalinapointcook.com.au" xr:uid="{CAA6047A-6108-42C9-988F-7DF2716AD073}"/>
    <hyperlink ref="I2567" r:id="rId2831" xr:uid="{9E540869-A9F2-453B-91E3-24271838D1FB}"/>
    <hyperlink ref="I1038" r:id="rId2832" xr:uid="{51D2DADD-D1D5-4D65-8018-08C6133A01CF}"/>
    <hyperlink ref="I1039" r:id="rId2833" xr:uid="{CEF23AA8-BF49-474F-A481-6624738EB9C0}"/>
    <hyperlink ref="I434" r:id="rId2834" xr:uid="{D0B7822F-F584-4FE8-972A-55835B50606F}"/>
    <hyperlink ref="I1759" r:id="rId2835" xr:uid="{B5D2B501-9063-4DE5-95F7-070CE2974ED5}"/>
    <hyperlink ref="I4806" r:id="rId2836" xr:uid="{ED61F236-CA67-441D-8DE3-7ECDA284B040}"/>
    <hyperlink ref="I2137" r:id="rId2837" xr:uid="{8BA3C2AA-4651-4D5D-8C7A-FD90FD69169C}"/>
    <hyperlink ref="I1663" r:id="rId2838" xr:uid="{57187BF5-6283-476A-AA03-B7FCF40BEADD}"/>
    <hyperlink ref="I3126" r:id="rId2839" display="mailto:Catherine@yourland.com" xr:uid="{B8F40E23-9F82-421D-B515-8CB79173CE46}"/>
    <hyperlink ref="I1890" r:id="rId2840" display="mailto:kevinmizzi@jxre.com.au" xr:uid="{13D731C8-47E0-4134-844F-A7DF55E53775}"/>
    <hyperlink ref="I1140" r:id="rId2841" xr:uid="{C460FEA1-3F40-4E84-A615-A19C86E659DF}"/>
    <hyperlink ref="I1141" r:id="rId2842" xr:uid="{0070EBE4-7559-4352-B15F-A7DD82DFEAE1}"/>
    <hyperlink ref="I1142" r:id="rId2843" xr:uid="{4FD96350-C347-4ABC-86E7-BE7AE36EFBD9}"/>
    <hyperlink ref="I1143" r:id="rId2844" xr:uid="{A5EC3B79-5A5E-4E44-B58A-28F066A535AE}"/>
    <hyperlink ref="I1799" r:id="rId2845" xr:uid="{524C242B-AC4E-492A-930B-05A6CBCF71DF}"/>
    <hyperlink ref="I3615" r:id="rId2846" xr:uid="{FF67C930-3B78-495B-B385-A365FC0585A1}"/>
    <hyperlink ref="I3614" r:id="rId2847" xr:uid="{3A27B52E-4B89-46CE-A18C-8701E36E74D7}"/>
    <hyperlink ref="I2897" r:id="rId2848" xr:uid="{7DE31737-C022-42A2-B648-DE835E5EBE5E}"/>
    <hyperlink ref="I4667" r:id="rId2849" xr:uid="{5D3043D6-D9FF-47C1-876F-EA16F6DA5A57}"/>
    <hyperlink ref="I651" r:id="rId2850" xr:uid="{AC0A841D-DCF5-410D-BD26-8C8F93DD00D8}"/>
    <hyperlink ref="I2351" r:id="rId2851" xr:uid="{D356382E-893F-4ECC-965E-824F46DC60CE}"/>
    <hyperlink ref="I2352" r:id="rId2852" xr:uid="{49B4BEA2-6D88-48BE-B01B-D390FFBCBC01}"/>
    <hyperlink ref="I2570" r:id="rId2853" xr:uid="{269A3B3E-7256-4E13-B636-1D64CFF2DE3F}"/>
    <hyperlink ref="I4147" r:id="rId2854" xr:uid="{96D57DDF-6598-4111-9D48-E02983698A11}"/>
    <hyperlink ref="I4642" r:id="rId2855" xr:uid="{82909BFE-4A50-472B-A42C-BE27CD061F7A}"/>
    <hyperlink ref="I1801" r:id="rId2856" xr:uid="{F54FC3B0-ADF0-4FD8-854B-0354BE8AF825}"/>
    <hyperlink ref="I1401" r:id="rId2857" xr:uid="{7C21CA30-E862-4D8E-B7F8-808E2D431E53}"/>
    <hyperlink ref="I4115" r:id="rId2858" xr:uid="{98772464-2C94-4743-A576-9C0D16A4A8D0}"/>
    <hyperlink ref="I2844" r:id="rId2859" xr:uid="{2BC547A9-2CA9-4BBC-ACBD-4E78788187A1}"/>
    <hyperlink ref="I2851" r:id="rId2860" xr:uid="{D57C48A3-4186-44A0-9C7E-A2CBCC920BCF}"/>
    <hyperlink ref="I162" r:id="rId2861" display="mailto:alira@rpmrealestate.com.au" xr:uid="{00F34AE4-C8F4-4821-A7D3-326B53492893}"/>
    <hyperlink ref="I742" r:id="rId2862" xr:uid="{6A4223A6-67B6-41F0-886F-50AC449A30EF}"/>
    <hyperlink ref="I1589" r:id="rId2863" xr:uid="{2278A6D1-FB15-488E-A457-D11312238355}"/>
    <hyperlink ref="I2096" r:id="rId2864" xr:uid="{4CB0E1CB-9987-40F3-A014-F6494974B136}"/>
    <hyperlink ref="I3650" r:id="rId2865" xr:uid="{5D448287-97C1-40A7-A342-F771F2C24D01}"/>
    <hyperlink ref="I2095" r:id="rId2866" xr:uid="{BD2017C3-7D2A-4EF6-8AD3-4589A61DB984}"/>
    <hyperlink ref="I1698" r:id="rId2867" xr:uid="{892B4438-EB9C-4FFC-90A3-011AF4131BC2}"/>
    <hyperlink ref="I3520" r:id="rId2868" xr:uid="{1B6A7128-BFC1-43CD-9A59-FFD07A2EBB6C}"/>
    <hyperlink ref="I491" r:id="rId2869" xr:uid="{50885CBE-5E7D-4F8C-924F-36B0CE312857}"/>
    <hyperlink ref="I1220" r:id="rId2870" display="mailto:angelo.granata@peet.com.au" xr:uid="{5023C8C0-39DB-468C-AF92-9BFF5E06337C}"/>
    <hyperlink ref="I1889" r:id="rId2871" display="mailto:kevinmizzi@jxre.com.au" xr:uid="{AE8B3D51-8FD4-4381-B613-961A3523A3F2}"/>
    <hyperlink ref="I3576" r:id="rId2872" xr:uid="{69C94BDF-AE6D-4D1D-909D-CD8A643DB3B1}"/>
    <hyperlink ref="I937" r:id="rId2873" xr:uid="{169ECD97-14AA-46FB-97F9-1CB491B9204E}"/>
    <hyperlink ref="I2286" r:id="rId2874" xr:uid="{92ACF05D-A067-46C3-B4D4-E51B735EDF77}"/>
    <hyperlink ref="I4432" r:id="rId2875" xr:uid="{1052DEDE-9661-4357-BE0F-3808864C537D}"/>
    <hyperlink ref="I3067" r:id="rId2876" xr:uid="{640A16C3-1470-4F3F-9B3E-F5C54D995A5B}"/>
    <hyperlink ref="I1670" r:id="rId2877" xr:uid="{726158FD-9AD5-4527-A05C-C534459BA735}"/>
    <hyperlink ref="I4282" r:id="rId2878" xr:uid="{16753F18-52E3-436D-834E-7831F09762DF}"/>
    <hyperlink ref="I891" r:id="rId2879" xr:uid="{8AC74D83-BB99-49A2-96F6-B58912BE76C4}"/>
    <hyperlink ref="I1423" r:id="rId2880" display="mailto:Eliston@rpmrealestate.com.au" xr:uid="{E1842E56-EB8E-45FD-BDC9-8746FCFC243E}"/>
    <hyperlink ref="I2097" r:id="rId2881" xr:uid="{0125F90C-4985-4BC6-8F4A-C8E4116592EC}"/>
    <hyperlink ref="I3801" r:id="rId2882" display="Dhouse@villaworld.com.au " xr:uid="{886A3AD4-4F99-4C36-870D-DC730C03EB58}"/>
    <hyperlink ref="I562" r:id="rId2883" display="mailto:austin@latituderealestate.com.au" xr:uid="{B013EEBF-1549-43E0-BBEC-13F2EC660C21}"/>
    <hyperlink ref="I2259" r:id="rId2884" xr:uid="{D7B6553E-FF20-4C78-A390-4C5A80CA4A85}"/>
    <hyperlink ref="I1321" r:id="rId2885" xr:uid="{A71DD72A-0455-4032-8E4E-4B28C91B86E3}"/>
    <hyperlink ref="I4865" r:id="rId2886" xr:uid="{2B7CC672-EE95-4666-8886-69DFA939CF12}"/>
    <hyperlink ref="I4619" r:id="rId2887" xr:uid="{924E29E4-3A8C-4FA4-B3ED-98AA443FE903}"/>
    <hyperlink ref="I4620" r:id="rId2888" xr:uid="{E389A148-492D-446E-9143-0C51CE65131D}"/>
    <hyperlink ref="I2893" r:id="rId2889" xr:uid="{CBAF3AC7-B476-4541-9C0A-F1EDCF8BC9C0}"/>
    <hyperlink ref="I440" r:id="rId2890" xr:uid="{62AC430A-10D1-4ABC-9AB9-C9D8BF727983}"/>
    <hyperlink ref="I1806" r:id="rId2891" xr:uid="{02566B1D-6B71-4E98-927C-DAE53C08D8A1}"/>
    <hyperlink ref="I3437" r:id="rId2892" xr:uid="{2A230B98-45DF-4F6C-8810-FACAEEE11AA7}"/>
    <hyperlink ref="I1145" r:id="rId2893" xr:uid="{B74055D6-8E9C-4006-BE37-9852CD3A6EC6}"/>
    <hyperlink ref="I1504" r:id="rId2894" xr:uid="{463A0353-F043-4C88-BF3B-13EC91DFE05A}"/>
    <hyperlink ref="I3228" r:id="rId2895" xr:uid="{B5A95872-1B26-4FFC-A277-0DFACE6F8FC8}"/>
    <hyperlink ref="I2432" r:id="rId2896" xr:uid="{8E6D3724-6B6D-4745-89B4-C6F46ECDA451}"/>
    <hyperlink ref="I2093" r:id="rId2897" xr:uid="{586FF9A7-9169-41A2-A7C8-5FE79B989429}"/>
    <hyperlink ref="I775" r:id="rId2898" xr:uid="{0E4A9A8F-2D81-471C-97D7-9CD3A4F56A9B}"/>
    <hyperlink ref="I776" r:id="rId2899" xr:uid="{AA7859D8-A91F-489E-9D23-3B46FB98C307}"/>
    <hyperlink ref="I2344" r:id="rId2900" xr:uid="{76D8BA6B-EEF6-4914-A90A-8CA7AF6B907C}"/>
    <hyperlink ref="I1567" r:id="rId2901" xr:uid="{F2421ABA-A9FA-4E7F-A477-5A5FC657793B}"/>
    <hyperlink ref="I1568" r:id="rId2902" xr:uid="{D723BA5C-F7BC-4755-8978-519662AF1BFD}"/>
    <hyperlink ref="I2698" r:id="rId2903" xr:uid="{A9E7C0FC-D849-4169-A5BF-716BA8C34036}"/>
    <hyperlink ref="I3700" r:id="rId2904" xr:uid="{3B036705-BBA9-4DD8-B6E7-F8ACEC26E0A1}"/>
    <hyperlink ref="I2092" r:id="rId2905" xr:uid="{22267897-0EC4-4251-9941-299AC2B3DE43}"/>
    <hyperlink ref="I1817" r:id="rId2906" xr:uid="{36B3A3EC-EB22-4DD4-ADD0-1BA779CDEB98}"/>
    <hyperlink ref="I1672" r:id="rId2907" xr:uid="{D75694C0-2285-475F-A73F-E1A015B810F6}"/>
    <hyperlink ref="I2732" r:id="rId2908" xr:uid="{4066E12C-D14E-40FD-9313-05DCED40AAE6}"/>
    <hyperlink ref="I3519" r:id="rId2909" xr:uid="{A7C21800-8C5C-4EEC-8F0E-1DA7D90AA859}"/>
    <hyperlink ref="I4689" r:id="rId2910" xr:uid="{7D16F8BF-D38C-45FF-AA1E-31CBFB3B6B33}"/>
    <hyperlink ref="I3009" r:id="rId2911" xr:uid="{CB9BD700-028B-4A40-A8B0-2D4C59070B18}"/>
    <hyperlink ref="I572" r:id="rId2912" display="mailto:austin@latituderealestate.com.au" xr:uid="{D5E5F979-631E-4B94-9F7C-8C48F1A04F43}"/>
    <hyperlink ref="I3065" r:id="rId2913" xr:uid="{4E69252A-4502-4E9C-86E3-9A8CC7DF2767}"/>
    <hyperlink ref="I4111" r:id="rId2914" xr:uid="{813C5BAC-FBFD-40CF-A5FF-4ED1FEE24CF2}"/>
    <hyperlink ref="I2718" r:id="rId2915" xr:uid="{F55C76D4-0E56-4317-BA2A-6D09F09E5DFE}"/>
    <hyperlink ref="I1566" r:id="rId2916" xr:uid="{0B9E8748-749D-46E7-A52C-5813CAFEFAED}"/>
    <hyperlink ref="I2710" r:id="rId2917" xr:uid="{0D970ADF-F5AF-48C4-AE7D-A58953B0D5E4}"/>
    <hyperlink ref="I2383" r:id="rId2918" xr:uid="{3C3C852B-16F1-41E1-B3F7-399B601B8FFB}"/>
    <hyperlink ref="I2089" r:id="rId2919" xr:uid="{68330928-7ADF-4881-A301-D3D2110D3255}"/>
    <hyperlink ref="I3279" r:id="rId2920" xr:uid="{05F62F04-68EC-4C0D-A45A-0468AE3626A7}"/>
    <hyperlink ref="I3280" r:id="rId2921" xr:uid="{E7106286-2778-4021-81E0-73B61D018E55}"/>
    <hyperlink ref="I2885" r:id="rId2922" xr:uid="{E4631C5F-D9F1-4FC9-8E9E-93C657C97357}"/>
    <hyperlink ref="I663" r:id="rId2923" xr:uid="{82EEF66D-66C0-4A3B-B91B-965069391281}"/>
    <hyperlink ref="I2646" r:id="rId2924" xr:uid="{1351C9FB-1567-4F8B-AC62-0BDAEFCB4BB9}"/>
    <hyperlink ref="I1331" r:id="rId2925" xr:uid="{E86F283D-B7EB-4114-9593-9CC24C0BD122}"/>
    <hyperlink ref="I3844" r:id="rId2926" display="mailto:arvind@krpeters.com.au" xr:uid="{9E0C0CF1-75A9-4471-BF7B-B46B9BE407CA}"/>
    <hyperlink ref="I3843" r:id="rId2927" xr:uid="{CA9DB6BA-7EF4-40CB-B9A2-01150E9DCA9E}"/>
    <hyperlink ref="I3185" r:id="rId2928" xr:uid="{671329B4-0158-47F5-91C2-1734930E2A1F}"/>
    <hyperlink ref="I4040" r:id="rId2929" xr:uid="{A6FCDEE3-AB5C-4936-BCB0-7438E289D891}"/>
    <hyperlink ref="I4737" r:id="rId2930" xr:uid="{72528966-E469-490F-83DE-C46F5A87A6D9}"/>
    <hyperlink ref="I2671" r:id="rId2931" xr:uid="{93F1804E-7975-47D8-953A-00F2D230D27E}"/>
    <hyperlink ref="I4728" r:id="rId2932" xr:uid="{F977A871-685E-4261-A20C-0A4240B7F692}"/>
    <hyperlink ref="I2725" r:id="rId2933" xr:uid="{3B292C67-7A80-4304-B46C-11CA4C09E8C0}"/>
    <hyperlink ref="I1761" r:id="rId2934" xr:uid="{2B7726B6-D93E-4C64-BEB5-B8C2C5E02715}"/>
    <hyperlink ref="I1762" r:id="rId2935" xr:uid="{6C1AB882-470F-4BEE-80F5-457A16EC651D}"/>
    <hyperlink ref="I2852" r:id="rId2936" xr:uid="{EB315C67-F015-4E47-A5F0-3E4B2665F883}"/>
    <hyperlink ref="I956" r:id="rId2937" display="jan@catalinapointcook.com.au" xr:uid="{680625B4-73BA-42DD-B16B-1402597D35C9}"/>
    <hyperlink ref="I4655" r:id="rId2938" xr:uid="{5C92423C-C9CE-4BC5-8A94-74F3262FBF27}"/>
    <hyperlink ref="I102" r:id="rId2939" xr:uid="{87EF53E3-E9FE-4D9C-AD4A-C6B8B27AEA38}"/>
    <hyperlink ref="I103" r:id="rId2940" xr:uid="{A5548652-7B5A-4DA3-8FF5-0D03B6941B05}"/>
    <hyperlink ref="I512" r:id="rId2941" xr:uid="{938EAE13-7E12-4C68-9CFA-AB4428EBF328}"/>
    <hyperlink ref="I4663" r:id="rId2942" xr:uid="{28845DE9-EDBF-464E-BE2F-C6E8E6BC1629}"/>
    <hyperlink ref="I3492" r:id="rId2943" xr:uid="{25431552-761F-4589-B9F0-144022229B6B}"/>
    <hyperlink ref="I1760" r:id="rId2944" xr:uid="{BCC44D87-4AFA-4582-9100-7C7D43DD713A}"/>
    <hyperlink ref="I1570" r:id="rId2945" xr:uid="{512DE440-4A3A-4295-8C97-5A918ACF806C}"/>
    <hyperlink ref="I3574" r:id="rId2946" xr:uid="{6D19984E-9AB6-4740-A201-9BE515AAF8C2}"/>
    <hyperlink ref="I2903" r:id="rId2947" display="Jessica.Hammond@stockland.com.au" xr:uid="{CCDEC59E-EF07-4F28-BC38-0AD15F6E8B08}"/>
    <hyperlink ref="I3661" r:id="rId2948" xr:uid="{24942DF4-A52A-4039-9188-A609DC7BA584}"/>
    <hyperlink ref="I4729" r:id="rId2949" xr:uid="{B6E29CF3-6459-472A-87E3-EE920114CEDC}"/>
    <hyperlink ref="I1352" r:id="rId2950" xr:uid="{428772E6-E359-496D-B9AB-91C4DF012283}"/>
    <hyperlink ref="I338" r:id="rId2951" xr:uid="{C664B031-AE0A-4C1A-A3C7-49CADCA699DF}"/>
    <hyperlink ref="I2260" r:id="rId2952" xr:uid="{5F2A9B24-6181-47FF-83F8-A15D97419F5E}"/>
    <hyperlink ref="I2261" r:id="rId2953" xr:uid="{4F00E28A-C759-43CA-893E-9FC66440C4DA}"/>
    <hyperlink ref="I2018" r:id="rId2954" xr:uid="{4DB7796F-8732-4EA4-AFDC-2A2FFFD7558C}"/>
    <hyperlink ref="I2649" r:id="rId2955" xr:uid="{013FCEFF-8BA5-4146-A436-6040A6BCB813}"/>
    <hyperlink ref="I4295" r:id="rId2956" xr:uid="{92685DD1-31F4-478A-BD3B-1E824A9825CB}"/>
    <hyperlink ref="I4296" r:id="rId2957" xr:uid="{3CEAD410-86FC-46DE-8654-A754B4C9D889}"/>
    <hyperlink ref="I339" r:id="rId2958" xr:uid="{7D7F2E7A-B02F-4A8A-A205-567957AEA620}"/>
    <hyperlink ref="I3936" r:id="rId2959" xr:uid="{C7CDDA22-D803-489B-BD5E-D40698F3796D}"/>
    <hyperlink ref="I2205" r:id="rId2960" xr:uid="{AEEEDA08-C5B8-4D5C-8955-FDDE6F2C0A0A}"/>
    <hyperlink ref="I1230" r:id="rId2961" xr:uid="{A5759FB0-B8C9-45E6-9F0A-E7EE07B83B3C}"/>
    <hyperlink ref="I2729" r:id="rId2962" xr:uid="{E0FCA361-DC1C-4C30-BA92-B5F53C3244FF}"/>
    <hyperlink ref="I2258" r:id="rId2963" xr:uid="{1684C6AF-87B8-4A00-AA88-171097E5887C}"/>
    <hyperlink ref="I4777" r:id="rId2964" xr:uid="{6CF37CB4-8F41-4922-8EA5-3942F6F5556C}"/>
    <hyperlink ref="I4348" r:id="rId2965" xr:uid="{B414EACE-4855-44E4-9627-EE4B2943B031}"/>
    <hyperlink ref="I3229" r:id="rId2966" xr:uid="{B38DFC13-67CB-41D7-87A2-35C9CC01B0D4}"/>
    <hyperlink ref="I2816" r:id="rId2967" xr:uid="{37209B13-843F-4A7A-821D-6D3CF67EAFA3}"/>
    <hyperlink ref="I1285" r:id="rId2968" display="n.harb@oliverhume.com.au" xr:uid="{FE4AB1E3-8CDC-4EFD-8722-995D5ABBF696}"/>
    <hyperlink ref="I1803" r:id="rId2969" xr:uid="{50CDEBB7-F4C9-40CB-A220-325957E3B347}"/>
    <hyperlink ref="I1777" r:id="rId2970" display="jessica.hammond@stockland.com.au" xr:uid="{C120FF35-92A4-45BF-B038-043BA099CA9A}"/>
    <hyperlink ref="I3199" r:id="rId2971" xr:uid="{2A715B0B-A860-4A88-B9B7-05DC5DB92B68}"/>
    <hyperlink ref="I1332" r:id="rId2972" xr:uid="{B29A2A4E-A7B4-47EB-B9AC-8B91CD343D2F}"/>
    <hyperlink ref="I105" r:id="rId2973" xr:uid="{890F0C5E-7FD4-42E9-9154-FB7BC6BD52B3}"/>
    <hyperlink ref="I3306" r:id="rId2974" xr:uid="{36B755C1-E481-41B6-818C-C4B1CAFF4860}"/>
    <hyperlink ref="I569" r:id="rId2975" display="mailto:austin@latituderealestate.com.au" xr:uid="{CE3A26AA-580D-4240-BA7A-E59111BFA049}"/>
    <hyperlink ref="I3194" r:id="rId2976" xr:uid="{61CEACDE-D4F1-4D4E-A821-E3FC5CA94465}"/>
    <hyperlink ref="I4274" r:id="rId2977" xr:uid="{09B44496-0CBD-4AFC-B681-F0460A3779F7}"/>
    <hyperlink ref="I2020" r:id="rId2978" xr:uid="{8B5B8661-75FC-4FF7-A5DB-9C42CCF3F83C}"/>
    <hyperlink ref="I2170" r:id="rId2979" xr:uid="{57A0EAA7-6090-4A1F-B4EC-DD4D6ABE3D7B}"/>
    <hyperlink ref="I2201" r:id="rId2980" xr:uid="{E9F79447-0607-4585-9EE3-978C7C75B8BD}"/>
    <hyperlink ref="I3140" r:id="rId2981" xr:uid="{6855ABD6-5FFA-4604-830A-C1474C37458D}"/>
    <hyperlink ref="I655" r:id="rId2982" xr:uid="{A3767A14-B4B5-4995-815B-C729579AC046}"/>
    <hyperlink ref="I3160" r:id="rId2983" xr:uid="{AA2E6EA0-5851-432B-B5D0-EE5C2F39EA75}"/>
    <hyperlink ref="I1556" r:id="rId2984" xr:uid="{987E3AA7-26B5-42D0-A5A4-3F2490532A0F}"/>
    <hyperlink ref="I3189" r:id="rId2985" xr:uid="{AE1F433C-A0D2-41DE-8EC9-343508111CF8}"/>
    <hyperlink ref="I1696" r:id="rId2986" xr:uid="{BB4B08E5-E973-4118-82EF-00D72B4D532E}"/>
    <hyperlink ref="I1751" r:id="rId2987" display="mailto:brix@peakere.com.au" xr:uid="{D8F6F055-543C-4850-BD15-B3FE8B25DC75}"/>
    <hyperlink ref="I574" r:id="rId2988" display="mailto:austin@latituderealestate.com.au" xr:uid="{9E667D49-9F08-4BC4-BFB2-C97D26B39871}"/>
    <hyperlink ref="I1046" r:id="rId2989" display="mailto:clearwater@rpmgrp.com.au" xr:uid="{DE6ED7F7-DB69-46DF-BE9E-6D31AD5F1ADD}"/>
    <hyperlink ref="I4148" r:id="rId2990" xr:uid="{12632913-6FFB-4A00-856E-17DA4A56DC58}"/>
    <hyperlink ref="I2700" r:id="rId2991" xr:uid="{BD65C3F5-3341-4725-BCD8-E0E10D45E4CF}"/>
    <hyperlink ref="I3066" r:id="rId2992" xr:uid="{0B28E8BC-C7F9-4E28-AF21-51D8672A1A23}"/>
    <hyperlink ref="I4001" r:id="rId2993" xr:uid="{1743531D-9550-4EFF-B343-5050098C7AE1}"/>
    <hyperlink ref="I316" r:id="rId2994" xr:uid="{B7C1754E-507B-4DC7-99C0-4807AB6AB0E4}"/>
    <hyperlink ref="I4792" r:id="rId2995" xr:uid="{A6B79424-8D99-475D-94CD-7147313289DA}"/>
    <hyperlink ref="I2194" r:id="rId2996" xr:uid="{D7D9FC60-C2E4-427F-9BB8-9DD34EBC1B0D}"/>
    <hyperlink ref="I3648" r:id="rId2997" xr:uid="{691ACE47-EE4D-4BF7-9CFF-B57EED4D4423}"/>
    <hyperlink ref="I2019" r:id="rId2998" xr:uid="{A0842748-E027-435C-9942-2E27176159A0}"/>
    <hyperlink ref="I45" r:id="rId2999" xr:uid="{97B44A94-F2C5-43A4-A163-C97274B6F4B5}"/>
    <hyperlink ref="I46" r:id="rId3000" xr:uid="{05A51C53-8C7E-4D1D-A463-3E8509649D76}"/>
    <hyperlink ref="I27" r:id="rId3001" xr:uid="{9881B90C-37F2-4C7E-9945-F1D173046487}"/>
    <hyperlink ref="I1506" r:id="rId3002" xr:uid="{FDF4F65B-CB4A-40FC-A880-B4533CBBCE60}"/>
    <hyperlink ref="I4275" r:id="rId3003" xr:uid="{9C41A826-240B-4E4A-8E53-93C3C673F288}"/>
    <hyperlink ref="I3230" r:id="rId3004" xr:uid="{64834E49-AC49-48B7-823D-2AA957FBEB1A}"/>
    <hyperlink ref="I3081" r:id="rId3005" xr:uid="{9ADBE061-F43E-4BA4-883F-380A6DAF5674}"/>
    <hyperlink ref="I1531" r:id="rId3006" xr:uid="{EC290001-626D-4997-836F-24F762E59373}"/>
    <hyperlink ref="I4820" r:id="rId3007" xr:uid="{4FDB0C9A-53C6-4FA6-9FD5-C17FA8B58435}"/>
    <hyperlink ref="I3660" r:id="rId3008" xr:uid="{0BC3399B-FCEB-402E-ACE0-22D0E36CCF6F}"/>
    <hyperlink ref="I4433" r:id="rId3009" xr:uid="{547996F9-6EBF-490A-B7CE-F9838C6CFC0F}"/>
    <hyperlink ref="I2919" r:id="rId3010" display="mailto:TanmayS@centralequity.com.au" xr:uid="{C69FF485-733D-49B0-9AE7-F9BE969EE86E}"/>
    <hyperlink ref="I3156" r:id="rId3011" xr:uid="{F30B92DD-6E19-42BE-B404-56AFC723DDA3}"/>
    <hyperlink ref="I1555" r:id="rId3012" xr:uid="{CF366267-8F8B-4BA5-9B67-8F98DF44A3F2}"/>
    <hyperlink ref="I4855" r:id="rId3013" xr:uid="{127DCBD6-3487-4D37-A668-610D49D67AC9}"/>
    <hyperlink ref="I808" r:id="rId3014" xr:uid="{D569EBC1-14D8-4BDF-95C0-DDD0E959B27D}"/>
    <hyperlink ref="I4856" r:id="rId3015" xr:uid="{4BC1C5AB-056E-47A5-ABD8-72DBA883C660}"/>
    <hyperlink ref="I1255" r:id="rId3016" xr:uid="{91E24D86-2AEB-4C66-9D1D-E714DC5ED45F}"/>
    <hyperlink ref="I2206" r:id="rId3017" xr:uid="{7AA03B12-6BEB-45A3-8536-D176EF9759A2}"/>
    <hyperlink ref="I3578" r:id="rId3018" xr:uid="{4CD6F347-678A-48D7-B012-3D3F990A38CA}"/>
    <hyperlink ref="I2098" r:id="rId3019" xr:uid="{17AF5B2D-F660-4F02-9754-049415904E1F}"/>
    <hyperlink ref="I4825" r:id="rId3020" xr:uid="{7DEEC69E-C556-479C-89D9-1E6F27519240}"/>
    <hyperlink ref="I2918" r:id="rId3021" xr:uid="{E897CE72-CE80-489D-B581-B1F38447DA61}"/>
    <hyperlink ref="I2542" r:id="rId3022" xr:uid="{D0BE7E19-2F6C-41AA-9ECB-2ED46A042F69}"/>
    <hyperlink ref="I4116" r:id="rId3023" xr:uid="{4D899E9F-373A-41CF-B2E0-C11101461A0D}"/>
    <hyperlink ref="I2291" r:id="rId3024" xr:uid="{5C0F6914-06E4-48E4-B78D-C2A21D47AD46}"/>
    <hyperlink ref="I2292" r:id="rId3025" xr:uid="{1FBD589D-61C0-4D1F-A17D-3E37BA0B3565}"/>
    <hyperlink ref="I4440" r:id="rId3026" xr:uid="{43CD0FBB-821B-41A8-9C6F-70E7133C92F7}"/>
    <hyperlink ref="I4859" r:id="rId3027" xr:uid="{858E5D21-F700-409B-9F40-1BF85F9D72FF}"/>
    <hyperlink ref="I104" r:id="rId3028" xr:uid="{38E83FD3-7199-4525-A0E8-AFAC97871457}"/>
    <hyperlink ref="I1673" r:id="rId3029" xr:uid="{81F5FACB-E36A-4AEE-AA1D-6C6D4ED01D27}"/>
    <hyperlink ref="I2730" r:id="rId3030" xr:uid="{D7117BCC-2F34-45DC-9F9E-780B73EBB30B}"/>
    <hyperlink ref="I1257" r:id="rId3031" xr:uid="{60E36D34-0AA7-4744-9F36-D6257327109E}"/>
    <hyperlink ref="I4621" r:id="rId3032" xr:uid="{1FECAFD1-895F-457D-8A60-E43930D0AECE}"/>
    <hyperlink ref="I4292" r:id="rId3033" xr:uid="{3AF6457D-5844-4F68-B808-8723F2EC83F7}"/>
    <hyperlink ref="I3082" r:id="rId3034" xr:uid="{ED4727BE-497A-4A99-8D61-435FE84AE35A}"/>
    <hyperlink ref="I2572" r:id="rId3035" xr:uid="{017FE72F-E48E-4570-BA82-121AEB284ACB}"/>
    <hyperlink ref="I3165" r:id="rId3036" xr:uid="{A9529B58-3C17-44FE-92BA-6531761199A7}"/>
    <hyperlink ref="I2650" r:id="rId3037" xr:uid="{CE190292-AF9F-4084-A1D8-9701B405029A}"/>
    <hyperlink ref="I3088" r:id="rId3038" xr:uid="{63BF857F-3FFC-41AC-9FF0-B76D7380656B}"/>
    <hyperlink ref="I3231" r:id="rId3039" xr:uid="{2A1BE026-7CC6-4A04-8E0B-D68B8180AB06}"/>
    <hyperlink ref="I654" r:id="rId3040" xr:uid="{C89DD1E4-4FBE-4DF8-B1E7-048D52DF4227}"/>
    <hyperlink ref="I4424" r:id="rId3041" xr:uid="{2279ADBD-FA4B-4A44-89ED-8BB765BF90B2}"/>
    <hyperlink ref="I2916" r:id="rId3042" xr:uid="{81639B58-85BE-44B3-92FE-71160BE31B6B}"/>
    <hyperlink ref="I3315" r:id="rId3043" xr:uid="{6B1B4ACA-8FAA-4981-81DB-31695AC6D22F}"/>
    <hyperlink ref="I2863" r:id="rId3044" xr:uid="{62B5011D-9F01-4082-A07D-9F0E4171986F}"/>
    <hyperlink ref="I4150" r:id="rId3045" xr:uid="{451EEAAA-A320-4FE3-856B-CD569898D901}"/>
    <hyperlink ref="I2819" r:id="rId3046" xr:uid="{9F9B5FDD-90EE-4EC7-AECB-34AEAF943135}"/>
    <hyperlink ref="I1980" r:id="rId3047" xr:uid="{6E951CE2-9A15-421C-8E37-A62F0B626188}"/>
    <hyperlink ref="I2200" r:id="rId3048" xr:uid="{10C85266-DE02-481A-933B-BB94E5020F41}"/>
    <hyperlink ref="I1505" r:id="rId3049" xr:uid="{089A1B4D-3136-4AF1-94CB-3DE9DA0DDC73}"/>
    <hyperlink ref="I1931" r:id="rId3050" xr:uid="{73B9A978-0517-453A-807F-BDAF180ECA25}"/>
    <hyperlink ref="I2817" r:id="rId3051" xr:uid="{0CCC7C07-441B-44D0-9286-C6BEFBE1126C}"/>
    <hyperlink ref="I3024" r:id="rId3052" display="mailto:julie@red23.com.au" xr:uid="{34CA4AD4-3E24-4B61-916D-AC70431045B5}"/>
    <hyperlink ref="I3131" r:id="rId3053" display="mailto:Catherine@yourland.com" xr:uid="{598CA1CC-891C-46B7-B8FB-41912D16772B}"/>
    <hyperlink ref="I3717" r:id="rId3054" xr:uid="{10DE1703-D5F6-450A-9414-F40AE0007C7A}"/>
    <hyperlink ref="I3718" r:id="rId3055" xr:uid="{D1BAF4DA-46B5-4690-86BB-C420BF783039}"/>
    <hyperlink ref="I1286" r:id="rId3056" display="n.harb@oliverhume.com.au" xr:uid="{48AB0B98-5429-46C0-BA70-D62B8E3C6C59}"/>
    <hyperlink ref="I1683" r:id="rId3057" xr:uid="{DE580DE7-6543-4657-A9F2-CC54A7CF33FB}"/>
    <hyperlink ref="I586" r:id="rId3058" xr:uid="{59E56CFF-2D70-4A9D-A6AF-E39C9F1516B3}"/>
    <hyperlink ref="I587" r:id="rId3059" xr:uid="{DB37536A-5485-4469-99AF-A67A4C70D60B}"/>
    <hyperlink ref="I774" r:id="rId3060" xr:uid="{9DB2A435-A132-459B-8B03-44E5CD020415}"/>
    <hyperlink ref="I3302" r:id="rId3061" xr:uid="{540B7B6C-5373-4504-B1AC-AFA37098C057}"/>
    <hyperlink ref="I3708" r:id="rId3062" xr:uid="{7A901E30-A26E-404A-9ACE-2399EFE37515}"/>
    <hyperlink ref="I3707" r:id="rId3063" xr:uid="{6551119C-432E-40A6-9D91-972C35E96817}"/>
    <hyperlink ref="I2479" r:id="rId3064" xr:uid="{2B2A3986-424D-4DE2-BB71-BE4A6E7DC7D8}"/>
    <hyperlink ref="I1036" r:id="rId3065" xr:uid="{A4F94BFF-C754-444F-822D-C641EDC8B4C2}"/>
    <hyperlink ref="I3166" r:id="rId3066" xr:uid="{9CD3E5AC-E7D2-42D0-84F2-E3900E356CA6}"/>
    <hyperlink ref="I573" r:id="rId3067" display="mailto:austin@latituderealestate.com.au" xr:uid="{D1E0A8DA-286B-451B-BBE3-B8ADE86BFDD8}"/>
    <hyperlink ref="I3763" r:id="rId3068" xr:uid="{E7D1C765-8047-40A0-80E2-9EDAA39D4253}"/>
    <hyperlink ref="I4198" r:id="rId3069" xr:uid="{317A227F-F315-4981-A36C-C2C1F6214112}"/>
    <hyperlink ref="I397" r:id="rId3070" xr:uid="{5981C35C-8BC4-4E99-A90E-68374B6B53D5}"/>
    <hyperlink ref="I2382" r:id="rId3071" xr:uid="{C229A76F-ED7E-4FB2-8148-3BED860F703A}"/>
    <hyperlink ref="I3338" r:id="rId3072" xr:uid="{6231C66B-DFBD-46EC-A4EA-7F2E28E209A7}"/>
    <hyperlink ref="I2335" r:id="rId3073" xr:uid="{4518D9B1-4E7E-4D34-A494-7FA3450EF263}"/>
    <hyperlink ref="I1047" r:id="rId3074" display="mailto:clearwater@rpmgrp.com.au" xr:uid="{621BE817-A55F-4D02-9765-6618E5CFE2EC}"/>
    <hyperlink ref="I1048" r:id="rId3075" display="mailto:clearwater@rpmgrp.com.au" xr:uid="{45A29B2B-D8D8-4161-B03B-0DB3BE81278B}"/>
    <hyperlink ref="I2734" r:id="rId3076" xr:uid="{863A0405-2DFF-43F2-A2A9-C6C502F514BF}"/>
    <hyperlink ref="I2651" r:id="rId3077" xr:uid="{E129360F-C720-451B-B319-E57861753644}"/>
    <hyperlink ref="I173" r:id="rId3078" xr:uid="{5BE48AE9-D186-4098-980E-FDD606D86BB9}"/>
    <hyperlink ref="I612" r:id="rId3079" xr:uid="{F7547573-7BCF-4F23-805D-20BB5A103D71}"/>
    <hyperlink ref="I1482" r:id="rId3080" xr:uid="{76251F03-42DA-4E52-943D-B55D995B2A8B}"/>
    <hyperlink ref="I3478" r:id="rId3081" xr:uid="{21971301-76D1-4DBF-844A-D54B32C79D19}"/>
    <hyperlink ref="I4473" r:id="rId3082" xr:uid="{637E5B61-50F7-4F48-89B4-B9C06D619130}"/>
    <hyperlink ref="I563" r:id="rId3083" display="mailto:austin@latituderealestate.com.au" xr:uid="{99D45325-6BB4-4027-B234-15E7D8B36D5C}"/>
    <hyperlink ref="I768" r:id="rId3084" xr:uid="{94028C9D-6F81-42E0-B588-0AEFFB9CB21F}"/>
    <hyperlink ref="I401" r:id="rId3085" xr:uid="{8DC527D8-E93C-41C2-BF67-0FDF472E11E6}"/>
    <hyperlink ref="I2148" r:id="rId3086" xr:uid="{DCC01429-563F-495A-9A85-DAA46DEA25A0}"/>
    <hyperlink ref="I2149" r:id="rId3087" xr:uid="{87439E99-7E24-455F-B05D-67FE96A36608}"/>
    <hyperlink ref="I1701" r:id="rId3088" display="mailto:matt@wprci.com.au" xr:uid="{9226549B-C144-4203-BDF6-57D59123FF2F}"/>
    <hyperlink ref="I1037" r:id="rId3089" xr:uid="{15A6D7AB-5698-49A0-AB96-6A96988018C8}"/>
    <hyperlink ref="I3985" r:id="rId3090" display="mailto:garima.pahuja@stockland.com.au" xr:uid="{DFD26BC9-2EA9-411D-8449-916037645120}"/>
    <hyperlink ref="I1644" r:id="rId3091" xr:uid="{97513C7E-51FF-453E-B86E-A7278C8DACDF}"/>
    <hyperlink ref="I124" r:id="rId3092" xr:uid="{E975BD46-6722-4D6C-BC6F-2577E869D48D}"/>
    <hyperlink ref="I1680" r:id="rId3093" xr:uid="{F8613EC5-56AA-43D4-8421-4F6232E09868}"/>
    <hyperlink ref="I3981" r:id="rId3094" xr:uid="{5FBB8F7F-3074-43F9-8323-6E3BDE36B8FD}"/>
    <hyperlink ref="I4866" r:id="rId3095" xr:uid="{C9AC57A1-7AD7-4D91-A9BD-CA42E86475C2}"/>
    <hyperlink ref="I4441" r:id="rId3096" xr:uid="{AA68D2B7-0EBE-442C-B6EB-86F318FF370A}"/>
    <hyperlink ref="I4442" r:id="rId3097" xr:uid="{504B15D0-0318-4C90-BC07-2FBBB5443FB8}"/>
    <hyperlink ref="I4232" r:id="rId3098" xr:uid="{713DAE58-0373-4622-A8CB-C9768AA2D8E9}"/>
    <hyperlink ref="I1533" r:id="rId3099" xr:uid="{DFE473E0-CF50-4956-AAD4-B9675157637D}"/>
    <hyperlink ref="I1534" r:id="rId3100" xr:uid="{6FD2C5CD-2978-4CBA-BD80-28B9F8C3B70B}"/>
    <hyperlink ref="I3629" r:id="rId3101" xr:uid="{ACCD4B8F-AE85-42CD-B0AE-E73291445C9D}"/>
    <hyperlink ref="I1342" r:id="rId3102" xr:uid="{816AB388-B03B-467D-99AB-4213B61DCA2D}"/>
    <hyperlink ref="I69" r:id="rId3103" xr:uid="{25310976-1E15-4ABC-B0DD-A7FBD8DC21E3}"/>
    <hyperlink ref="I757" r:id="rId3104" xr:uid="{0165B6A3-35A1-4D3C-A721-2A1999636DCD}"/>
    <hyperlink ref="I1572" r:id="rId3105" xr:uid="{24F32A07-37CB-4C61-ABED-71475A1B609D}"/>
    <hyperlink ref="I3314" r:id="rId3106" xr:uid="{17609101-7FF8-4D9B-ACA3-FC221871F55B}"/>
    <hyperlink ref="I3087" r:id="rId3107" xr:uid="{24355ECF-F7DB-491B-AD01-E357CDA74312}"/>
    <hyperlink ref="I2521" r:id="rId3108" xr:uid="{7D38601D-539B-4DBF-9893-805F2335D16A}"/>
    <hyperlink ref="I4439" r:id="rId3109" xr:uid="{586C4097-DB09-403B-84F3-26730C92AFA6}"/>
    <hyperlink ref="I3464" r:id="rId3110" xr:uid="{2234F89B-26AA-4CCD-AC3A-D0FFA722DD78}"/>
    <hyperlink ref="I4165" r:id="rId3111" xr:uid="{DE53D2A7-A113-4FEE-82CE-2BA94267B935}"/>
    <hyperlink ref="I4222" r:id="rId3112" xr:uid="{65CF1F5E-E06B-40DE-A55D-EE46A549C652}"/>
    <hyperlink ref="I4686" r:id="rId3113" xr:uid="{C780CFE9-8303-4C0E-AD4F-D3A345B61204}"/>
    <hyperlink ref="I1870" r:id="rId3114" xr:uid="{94191566-260D-42CA-AE01-41AA92700175}"/>
    <hyperlink ref="I1978" r:id="rId3115" xr:uid="{5DCFBB72-D268-47A7-B5DA-195F4618E681}"/>
    <hyperlink ref="I3086" r:id="rId3116" xr:uid="{51E6EE20-7C89-4B48-BD40-2D0C6BA2D743}"/>
    <hyperlink ref="I4779" r:id="rId3117" xr:uid="{D442BFB6-1715-4041-B34A-09D6C7408F2A}"/>
    <hyperlink ref="I1693" r:id="rId3118" xr:uid="{7A060C96-6846-4CF6-81BB-9129320E73D7}"/>
    <hyperlink ref="I412" r:id="rId3119" display="mailto:rachelb@areaspecialist.com.au" xr:uid="{D378C497-B4CF-4BB6-B9C9-AF63F457C870}"/>
    <hyperlink ref="I2404" r:id="rId3120" xr:uid="{2FB212E9-8676-4B03-BD58-10F21F98ECA9}"/>
  </hyperlinks>
  <pageMargins left="0.7" right="0.7" top="0.75" bottom="0.75" header="0.3" footer="0.3"/>
  <tableParts count="2">
    <tablePart r:id="rId3121"/>
    <tablePart r:id="rId312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A6CE39"/>
  </sheetPr>
  <dimension ref="A1:T255"/>
  <sheetViews>
    <sheetView view="pageBreakPreview" topLeftCell="A80" zoomScaleNormal="100" zoomScaleSheetLayoutView="100" workbookViewId="0">
      <selection activeCell="B92" sqref="B92"/>
    </sheetView>
  </sheetViews>
  <sheetFormatPr defaultColWidth="8.5703125" defaultRowHeight="15"/>
  <cols>
    <col min="1" max="1" width="10.42578125" customWidth="1"/>
    <col min="2" max="2" width="70.5703125" bestFit="1" customWidth="1"/>
    <col min="3" max="3" width="10.42578125" bestFit="1" customWidth="1"/>
    <col min="20" max="20" width="96.42578125" customWidth="1"/>
  </cols>
  <sheetData>
    <row r="1" spans="1:3" ht="136.5">
      <c r="A1" s="212" t="s">
        <v>8602</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604" t="s">
        <v>196</v>
      </c>
      <c r="B17" s="604"/>
      <c r="C17" s="1"/>
    </row>
    <row r="18" spans="1:3">
      <c r="A18" s="14"/>
      <c r="B18" s="15"/>
      <c r="C18" s="18"/>
    </row>
    <row r="19" spans="1:3">
      <c r="A19" s="42" t="s">
        <v>197</v>
      </c>
      <c r="B19" s="43" t="s">
        <v>198</v>
      </c>
      <c r="C19" s="44" t="s">
        <v>199</v>
      </c>
    </row>
    <row r="20" spans="1:3">
      <c r="A20" s="2"/>
      <c r="B20" s="3"/>
      <c r="C20" s="4"/>
    </row>
    <row r="21" spans="1:3">
      <c r="A21" s="605" t="s">
        <v>51</v>
      </c>
      <c r="B21" s="605"/>
      <c r="C21" s="28"/>
    </row>
    <row r="22" spans="1:3">
      <c r="A22" s="19" t="s">
        <v>53</v>
      </c>
      <c r="B22" s="15"/>
      <c r="C22" s="16" t="s">
        <v>7351</v>
      </c>
    </row>
    <row r="23" spans="1:3">
      <c r="A23" s="14"/>
      <c r="B23" s="15" t="str">
        <f>IF(B22&lt;&gt;"",_xlfn.XLOOKUP(B22,Table1[House],Table1[House Details]),"")</f>
        <v/>
      </c>
      <c r="C23" s="16"/>
    </row>
    <row r="24" spans="1:3">
      <c r="A24" s="14"/>
      <c r="B24" s="17"/>
      <c r="C24" s="18"/>
    </row>
    <row r="25" spans="1:3">
      <c r="A25" s="605" t="s">
        <v>52</v>
      </c>
      <c r="B25" s="605"/>
      <c r="C25" s="28"/>
    </row>
    <row r="26" spans="1:3">
      <c r="A26" s="19"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605" t="s">
        <v>200</v>
      </c>
      <c r="B29" s="605"/>
      <c r="C29" s="28"/>
    </row>
    <row r="30" spans="1:3">
      <c r="A30" s="19" t="s">
        <v>55</v>
      </c>
      <c r="B30" s="20" t="s">
        <v>8554</v>
      </c>
      <c r="C30" s="18" t="s">
        <v>7351</v>
      </c>
    </row>
    <row r="31" spans="1:3">
      <c r="A31" s="19"/>
      <c r="B31" s="20"/>
      <c r="C31" s="18"/>
    </row>
    <row r="32" spans="1:3">
      <c r="A32" s="605" t="s">
        <v>148</v>
      </c>
      <c r="B32" s="605"/>
      <c r="C32" s="28"/>
    </row>
    <row r="33" spans="1:3">
      <c r="A33" s="19" t="s">
        <v>56</v>
      </c>
      <c r="B33" s="21" t="s">
        <v>107</v>
      </c>
      <c r="C33" s="18" t="s">
        <v>7351</v>
      </c>
    </row>
    <row r="34" spans="1:3">
      <c r="A34" s="22"/>
      <c r="B34" s="15" t="s">
        <v>2</v>
      </c>
      <c r="C34" s="18" t="s">
        <v>7352</v>
      </c>
    </row>
    <row r="35" spans="1:3">
      <c r="A35" s="22"/>
      <c r="B35" s="15" t="s">
        <v>3</v>
      </c>
      <c r="C35" s="13"/>
    </row>
    <row r="36" spans="1:3">
      <c r="A36" s="22"/>
      <c r="B36" s="15" t="s">
        <v>4</v>
      </c>
      <c r="C36" s="13"/>
    </row>
    <row r="37" spans="1:3">
      <c r="A37" s="22"/>
      <c r="B37" s="15" t="s">
        <v>5</v>
      </c>
      <c r="C37" s="13"/>
    </row>
    <row r="38" spans="1:3">
      <c r="A38" s="22"/>
      <c r="B38" s="15" t="s">
        <v>6</v>
      </c>
      <c r="C38" s="13"/>
    </row>
    <row r="39" spans="1:3">
      <c r="A39" s="22"/>
      <c r="B39" s="15" t="s">
        <v>7</v>
      </c>
      <c r="C39" s="13"/>
    </row>
    <row r="40" spans="1:3">
      <c r="A40" s="22"/>
      <c r="B40" s="15" t="s">
        <v>8</v>
      </c>
      <c r="C40" s="13"/>
    </row>
    <row r="41" spans="1:3">
      <c r="A41" s="22"/>
      <c r="B41" s="15" t="s">
        <v>9</v>
      </c>
      <c r="C41" s="13"/>
    </row>
    <row r="42" spans="1:3">
      <c r="A42" s="19"/>
      <c r="B42" s="20"/>
      <c r="C42" s="18"/>
    </row>
    <row r="43" spans="1:3">
      <c r="A43" s="605" t="s">
        <v>7794</v>
      </c>
      <c r="B43" s="605"/>
      <c r="C43" s="28"/>
    </row>
    <row r="44" spans="1:3">
      <c r="A44" s="19" t="s">
        <v>7782</v>
      </c>
      <c r="B44" s="15" t="s">
        <v>11</v>
      </c>
      <c r="C44" s="18" t="s">
        <v>7351</v>
      </c>
    </row>
    <row r="45" spans="1:3">
      <c r="A45" s="19" t="s">
        <v>7783</v>
      </c>
      <c r="B45" s="15" t="s">
        <v>12</v>
      </c>
      <c r="C45" s="18" t="s">
        <v>7351</v>
      </c>
    </row>
    <row r="46" spans="1:3">
      <c r="A46" s="19" t="s">
        <v>7784</v>
      </c>
      <c r="B46" s="15" t="s">
        <v>13</v>
      </c>
      <c r="C46" s="18" t="s">
        <v>7351</v>
      </c>
    </row>
    <row r="47" spans="1:3">
      <c r="A47" s="19" t="s">
        <v>7785</v>
      </c>
      <c r="B47" s="15" t="s">
        <v>118</v>
      </c>
      <c r="C47" s="18" t="s">
        <v>7351</v>
      </c>
    </row>
    <row r="48" spans="1:3">
      <c r="A48" s="19" t="s">
        <v>7786</v>
      </c>
      <c r="B48" s="15" t="s">
        <v>142</v>
      </c>
      <c r="C48" s="18" t="s">
        <v>7351</v>
      </c>
    </row>
    <row r="49" spans="1:3">
      <c r="A49" s="19" t="s">
        <v>7787</v>
      </c>
      <c r="B49" s="15" t="s">
        <v>14</v>
      </c>
      <c r="C49" s="18" t="s">
        <v>7351</v>
      </c>
    </row>
    <row r="50" spans="1:3">
      <c r="A50" s="19" t="s">
        <v>7788</v>
      </c>
      <c r="B50" s="15" t="s">
        <v>15</v>
      </c>
      <c r="C50" s="18" t="s">
        <v>7351</v>
      </c>
    </row>
    <row r="51" spans="1:3">
      <c r="A51" s="19" t="s">
        <v>7789</v>
      </c>
      <c r="B51" s="15" t="s">
        <v>119</v>
      </c>
      <c r="C51" s="18" t="s">
        <v>7351</v>
      </c>
    </row>
    <row r="52" spans="1:3">
      <c r="A52" s="19" t="s">
        <v>7790</v>
      </c>
      <c r="B52" s="15" t="s">
        <v>8641</v>
      </c>
      <c r="C52" s="18" t="s">
        <v>7351</v>
      </c>
    </row>
    <row r="53" spans="1:3">
      <c r="A53" s="19" t="s">
        <v>7791</v>
      </c>
      <c r="B53" s="15" t="s">
        <v>143</v>
      </c>
      <c r="C53" s="18" t="s">
        <v>7351</v>
      </c>
    </row>
    <row r="54" spans="1:3">
      <c r="A54" s="19" t="s">
        <v>7792</v>
      </c>
      <c r="B54" s="15" t="s">
        <v>109</v>
      </c>
      <c r="C54" s="18" t="s">
        <v>7351</v>
      </c>
    </row>
    <row r="55" spans="1:3" ht="25.5">
      <c r="A55" s="19" t="s">
        <v>7793</v>
      </c>
      <c r="B55" s="15" t="s">
        <v>9877</v>
      </c>
      <c r="C55" s="18" t="s">
        <v>7351</v>
      </c>
    </row>
    <row r="56" spans="1:3">
      <c r="A56" s="6"/>
      <c r="B56" s="5"/>
      <c r="C56" s="7"/>
    </row>
    <row r="57" spans="1:3">
      <c r="A57" s="605" t="s">
        <v>7795</v>
      </c>
      <c r="B57" s="605"/>
      <c r="C57" s="28"/>
    </row>
    <row r="58" spans="1:3">
      <c r="A58" s="19" t="s">
        <v>57</v>
      </c>
      <c r="B58" s="15" t="s">
        <v>120</v>
      </c>
      <c r="C58" s="18" t="s">
        <v>7351</v>
      </c>
    </row>
    <row r="59" spans="1:3">
      <c r="A59" s="19" t="s">
        <v>58</v>
      </c>
      <c r="B59" s="15" t="s">
        <v>17</v>
      </c>
      <c r="C59" s="18" t="s">
        <v>7351</v>
      </c>
    </row>
    <row r="60" spans="1:3">
      <c r="A60" s="19" t="s">
        <v>59</v>
      </c>
      <c r="B60" s="15" t="s">
        <v>8642</v>
      </c>
      <c r="C60" s="18" t="s">
        <v>7351</v>
      </c>
    </row>
    <row r="61" spans="1:3">
      <c r="A61" s="19" t="s">
        <v>60</v>
      </c>
      <c r="B61" s="15" t="s">
        <v>18</v>
      </c>
      <c r="C61" s="18" t="s">
        <v>7351</v>
      </c>
    </row>
    <row r="62" spans="1:3">
      <c r="A62" s="19" t="s">
        <v>61</v>
      </c>
      <c r="B62" s="15" t="s">
        <v>19</v>
      </c>
      <c r="C62" s="18" t="s">
        <v>7351</v>
      </c>
    </row>
    <row r="63" spans="1:3">
      <c r="A63" s="19" t="s">
        <v>62</v>
      </c>
      <c r="B63" s="15" t="s">
        <v>144</v>
      </c>
      <c r="C63" s="18" t="s">
        <v>7351</v>
      </c>
    </row>
    <row r="64" spans="1:3">
      <c r="A64" s="19" t="s">
        <v>63</v>
      </c>
      <c r="B64" s="15" t="s">
        <v>37</v>
      </c>
      <c r="C64" s="18" t="s">
        <v>7351</v>
      </c>
    </row>
    <row r="65" spans="1:3">
      <c r="A65" s="19" t="s">
        <v>131</v>
      </c>
      <c r="B65" s="15" t="s">
        <v>9642</v>
      </c>
      <c r="C65" s="18" t="s">
        <v>7351</v>
      </c>
    </row>
    <row r="66" spans="1:3">
      <c r="A66" s="19" t="s">
        <v>149</v>
      </c>
      <c r="B66" s="15" t="s">
        <v>20</v>
      </c>
      <c r="C66" s="18" t="s">
        <v>7351</v>
      </c>
    </row>
    <row r="67" spans="1:3">
      <c r="A67" s="19" t="s">
        <v>150</v>
      </c>
      <c r="B67" s="15" t="s">
        <v>10699</v>
      </c>
      <c r="C67" s="18" t="s">
        <v>7351</v>
      </c>
    </row>
    <row r="68" spans="1:3" ht="25.5">
      <c r="A68" s="19" t="s">
        <v>151</v>
      </c>
      <c r="B68" s="15" t="s">
        <v>8811</v>
      </c>
      <c r="C68" s="18" t="s">
        <v>7351</v>
      </c>
    </row>
    <row r="69" spans="1:3">
      <c r="A69" s="19" t="s">
        <v>152</v>
      </c>
      <c r="B69" s="15" t="s">
        <v>110</v>
      </c>
      <c r="C69" s="18" t="s">
        <v>7351</v>
      </c>
    </row>
    <row r="70" spans="1:3">
      <c r="A70" s="19" t="s">
        <v>7796</v>
      </c>
      <c r="B70" s="17" t="s">
        <v>137</v>
      </c>
      <c r="C70" s="153" t="s">
        <v>7351</v>
      </c>
    </row>
    <row r="71" spans="1:3">
      <c r="A71" s="2"/>
      <c r="B71" s="3"/>
      <c r="C71" s="4"/>
    </row>
    <row r="72" spans="1:3">
      <c r="A72" s="605" t="s">
        <v>7798</v>
      </c>
      <c r="B72" s="605"/>
      <c r="C72" s="28"/>
    </row>
    <row r="73" spans="1:3">
      <c r="A73" s="19" t="s">
        <v>64</v>
      </c>
      <c r="B73" s="15" t="s">
        <v>108</v>
      </c>
      <c r="C73" s="18" t="s">
        <v>7351</v>
      </c>
    </row>
    <row r="74" spans="1:3">
      <c r="A74" s="19" t="s">
        <v>65</v>
      </c>
      <c r="B74" s="15" t="s">
        <v>21</v>
      </c>
      <c r="C74" s="18" t="s">
        <v>7351</v>
      </c>
    </row>
    <row r="75" spans="1:3">
      <c r="A75" s="19" t="s">
        <v>66</v>
      </c>
      <c r="B75" s="15" t="s">
        <v>121</v>
      </c>
      <c r="C75" s="18" t="s">
        <v>7351</v>
      </c>
    </row>
    <row r="76" spans="1:3">
      <c r="A76" s="19" t="s">
        <v>67</v>
      </c>
      <c r="B76" s="15" t="s">
        <v>22</v>
      </c>
      <c r="C76" s="18" t="s">
        <v>7351</v>
      </c>
    </row>
    <row r="77" spans="1:3">
      <c r="A77" s="2"/>
      <c r="B77" s="3"/>
      <c r="C77" s="4"/>
    </row>
    <row r="78" spans="1:3">
      <c r="A78" s="605" t="s">
        <v>7799</v>
      </c>
      <c r="B78" s="605"/>
      <c r="C78" s="28"/>
    </row>
    <row r="79" spans="1:3">
      <c r="A79" s="19" t="s">
        <v>68</v>
      </c>
      <c r="B79" s="15" t="s">
        <v>136</v>
      </c>
      <c r="C79" s="18" t="s">
        <v>7351</v>
      </c>
    </row>
    <row r="80" spans="1:3">
      <c r="A80" s="19" t="s">
        <v>69</v>
      </c>
      <c r="B80" s="15" t="s">
        <v>23</v>
      </c>
      <c r="C80" s="18" t="s">
        <v>7351</v>
      </c>
    </row>
    <row r="81" spans="1:3">
      <c r="A81" s="19" t="s">
        <v>70</v>
      </c>
      <c r="B81" s="15" t="s">
        <v>24</v>
      </c>
      <c r="C81" s="18" t="s">
        <v>7351</v>
      </c>
    </row>
    <row r="82" spans="1:3" ht="25.5">
      <c r="A82" s="19" t="s">
        <v>71</v>
      </c>
      <c r="B82" s="15" t="s">
        <v>8756</v>
      </c>
      <c r="C82" s="18" t="s">
        <v>7351</v>
      </c>
    </row>
    <row r="83" spans="1:3">
      <c r="A83" s="19" t="s">
        <v>7800</v>
      </c>
      <c r="B83" s="15" t="s">
        <v>25</v>
      </c>
      <c r="C83" s="18" t="s">
        <v>7351</v>
      </c>
    </row>
    <row r="84" spans="1:3">
      <c r="A84" s="19" t="s">
        <v>7801</v>
      </c>
      <c r="B84" s="15" t="s">
        <v>169</v>
      </c>
      <c r="C84" s="18" t="s">
        <v>7351</v>
      </c>
    </row>
    <row r="85" spans="1:3">
      <c r="A85" s="2"/>
      <c r="B85" s="3"/>
      <c r="C85" s="4"/>
    </row>
    <row r="86" spans="1:3">
      <c r="A86" s="605" t="s">
        <v>7844</v>
      </c>
      <c r="B86" s="605"/>
      <c r="C86" s="28"/>
    </row>
    <row r="87" spans="1:3">
      <c r="A87" s="19" t="s">
        <v>72</v>
      </c>
      <c r="B87" s="15" t="s">
        <v>8628</v>
      </c>
      <c r="C87" s="18" t="s">
        <v>7351</v>
      </c>
    </row>
    <row r="88" spans="1:3">
      <c r="A88" s="19" t="s">
        <v>73</v>
      </c>
      <c r="B88" s="15" t="s">
        <v>8959</v>
      </c>
      <c r="C88" s="18" t="s">
        <v>7351</v>
      </c>
    </row>
    <row r="89" spans="1:3">
      <c r="A89" s="19" t="s">
        <v>74</v>
      </c>
      <c r="B89" s="15" t="s">
        <v>8627</v>
      </c>
      <c r="C89" s="18" t="s">
        <v>7351</v>
      </c>
    </row>
    <row r="90" spans="1:3">
      <c r="A90" s="19" t="s">
        <v>153</v>
      </c>
      <c r="B90" s="15" t="s">
        <v>38</v>
      </c>
      <c r="C90" s="18" t="s">
        <v>7351</v>
      </c>
    </row>
    <row r="91" spans="1:3">
      <c r="A91" s="19" t="s">
        <v>154</v>
      </c>
      <c r="B91" s="15" t="s">
        <v>146</v>
      </c>
      <c r="C91" s="18" t="s">
        <v>7351</v>
      </c>
    </row>
    <row r="92" spans="1:3" ht="25.5">
      <c r="A92" s="19" t="s">
        <v>9256</v>
      </c>
      <c r="B92" s="15" t="s">
        <v>10973</v>
      </c>
      <c r="C92" s="18" t="s">
        <v>7351</v>
      </c>
    </row>
    <row r="93" spans="1:3">
      <c r="A93" s="2"/>
      <c r="B93" s="3"/>
      <c r="C93" s="4"/>
    </row>
    <row r="94" spans="1:3">
      <c r="A94" s="605" t="s">
        <v>7845</v>
      </c>
      <c r="B94" s="605"/>
      <c r="C94" s="28"/>
    </row>
    <row r="95" spans="1:3" ht="25.5">
      <c r="A95" s="19" t="s">
        <v>75</v>
      </c>
      <c r="B95" s="20" t="s">
        <v>122</v>
      </c>
      <c r="C95" s="18" t="s">
        <v>7351</v>
      </c>
    </row>
    <row r="96" spans="1:3">
      <c r="A96" s="19" t="s">
        <v>76</v>
      </c>
      <c r="B96" s="15" t="s">
        <v>145</v>
      </c>
      <c r="C96" s="18" t="s">
        <v>7351</v>
      </c>
    </row>
    <row r="97" spans="1:3">
      <c r="A97" s="19" t="s">
        <v>77</v>
      </c>
      <c r="B97" s="15" t="s">
        <v>26</v>
      </c>
      <c r="C97" s="18" t="s">
        <v>7351</v>
      </c>
    </row>
    <row r="98" spans="1:3">
      <c r="A98" s="19" t="s">
        <v>138</v>
      </c>
      <c r="B98" s="15" t="s">
        <v>27</v>
      </c>
      <c r="C98" s="18" t="s">
        <v>7351</v>
      </c>
    </row>
    <row r="99" spans="1:3">
      <c r="A99" s="19" t="s">
        <v>163</v>
      </c>
      <c r="B99" s="15" t="s">
        <v>28</v>
      </c>
      <c r="C99" s="18" t="s">
        <v>7351</v>
      </c>
    </row>
    <row r="100" spans="1:3">
      <c r="A100" s="19" t="s">
        <v>7846</v>
      </c>
      <c r="B100" s="15" t="s">
        <v>29</v>
      </c>
      <c r="C100" s="18" t="s">
        <v>7351</v>
      </c>
    </row>
    <row r="101" spans="1:3">
      <c r="A101" s="19" t="s">
        <v>7847</v>
      </c>
      <c r="B101" s="15" t="s">
        <v>30</v>
      </c>
      <c r="C101" s="18" t="s">
        <v>7351</v>
      </c>
    </row>
    <row r="102" spans="1:3">
      <c r="A102" s="19" t="s">
        <v>7848</v>
      </c>
      <c r="B102" s="15" t="s">
        <v>117</v>
      </c>
      <c r="C102" s="18" t="s">
        <v>7351</v>
      </c>
    </row>
    <row r="103" spans="1:3">
      <c r="A103" s="19" t="s">
        <v>7849</v>
      </c>
      <c r="B103" s="15" t="s">
        <v>31</v>
      </c>
      <c r="C103" s="18" t="s">
        <v>7351</v>
      </c>
    </row>
    <row r="104" spans="1:3">
      <c r="A104" s="2"/>
      <c r="B104" s="5"/>
      <c r="C104" s="4"/>
    </row>
    <row r="105" spans="1:3">
      <c r="A105" s="605" t="s">
        <v>7850</v>
      </c>
      <c r="B105" s="605"/>
      <c r="C105" s="28"/>
    </row>
    <row r="106" spans="1:3">
      <c r="A106" s="14" t="s">
        <v>78</v>
      </c>
      <c r="B106" s="15" t="s">
        <v>32</v>
      </c>
      <c r="C106" s="18" t="s">
        <v>7351</v>
      </c>
    </row>
    <row r="107" spans="1:3">
      <c r="A107" s="14" t="s">
        <v>79</v>
      </c>
      <c r="B107" s="15" t="s">
        <v>8017</v>
      </c>
      <c r="C107" s="18" t="s">
        <v>7351</v>
      </c>
    </row>
    <row r="108" spans="1:3">
      <c r="A108" s="14"/>
      <c r="B108" s="15"/>
      <c r="C108" s="18"/>
    </row>
    <row r="109" spans="1:3">
      <c r="A109" s="605" t="s">
        <v>7851</v>
      </c>
      <c r="B109" s="605"/>
      <c r="C109" s="28"/>
    </row>
    <row r="110" spans="1:3">
      <c r="A110" s="14" t="s">
        <v>80</v>
      </c>
      <c r="B110" s="15" t="s">
        <v>170</v>
      </c>
      <c r="C110" s="18" t="s">
        <v>7351</v>
      </c>
    </row>
    <row r="111" spans="1:3">
      <c r="A111" s="14" t="s">
        <v>81</v>
      </c>
      <c r="B111" s="15" t="s">
        <v>171</v>
      </c>
      <c r="C111" s="18" t="s">
        <v>7351</v>
      </c>
    </row>
    <row r="112" spans="1:3">
      <c r="A112" s="14" t="s">
        <v>7802</v>
      </c>
      <c r="B112" s="15" t="s">
        <v>172</v>
      </c>
      <c r="C112" s="18" t="s">
        <v>7351</v>
      </c>
    </row>
    <row r="113" spans="1:3">
      <c r="A113" s="14" t="s">
        <v>7803</v>
      </c>
      <c r="B113" s="15" t="s">
        <v>130</v>
      </c>
      <c r="C113" s="18" t="s">
        <v>7351</v>
      </c>
    </row>
    <row r="114" spans="1:3">
      <c r="A114" s="14" t="s">
        <v>7804</v>
      </c>
      <c r="B114" s="15" t="s">
        <v>33</v>
      </c>
      <c r="C114" s="18" t="s">
        <v>7351</v>
      </c>
    </row>
    <row r="115" spans="1:3">
      <c r="A115" s="14" t="s">
        <v>7805</v>
      </c>
      <c r="B115" s="15" t="s">
        <v>10716</v>
      </c>
      <c r="C115" s="18" t="s">
        <v>7351</v>
      </c>
    </row>
    <row r="116" spans="1:3">
      <c r="A116" s="14" t="s">
        <v>7806</v>
      </c>
      <c r="B116" s="15" t="s">
        <v>112</v>
      </c>
      <c r="C116" s="18" t="s">
        <v>7351</v>
      </c>
    </row>
    <row r="117" spans="1:3">
      <c r="A117" s="14" t="s">
        <v>7807</v>
      </c>
      <c r="B117" s="15" t="s">
        <v>123</v>
      </c>
      <c r="C117" s="18" t="s">
        <v>7351</v>
      </c>
    </row>
    <row r="118" spans="1:3">
      <c r="A118" s="14" t="s">
        <v>7808</v>
      </c>
      <c r="B118" s="15" t="s">
        <v>34</v>
      </c>
      <c r="C118" s="18" t="s">
        <v>7351</v>
      </c>
    </row>
    <row r="119" spans="1:3" ht="51">
      <c r="A119" s="14" t="s">
        <v>7852</v>
      </c>
      <c r="B119" s="15" t="s">
        <v>9054</v>
      </c>
      <c r="C119" s="18" t="s">
        <v>7351</v>
      </c>
    </row>
    <row r="120" spans="1:3">
      <c r="A120" s="2"/>
      <c r="B120" s="3"/>
      <c r="C120" s="4"/>
    </row>
    <row r="121" spans="1:3">
      <c r="A121" s="605" t="s">
        <v>7853</v>
      </c>
      <c r="B121" s="605"/>
      <c r="C121" s="28"/>
    </row>
    <row r="122" spans="1:3">
      <c r="A122" s="14" t="s">
        <v>82</v>
      </c>
      <c r="B122" s="15" t="s">
        <v>164</v>
      </c>
      <c r="C122" s="18" t="s">
        <v>7351</v>
      </c>
    </row>
    <row r="123" spans="1:3">
      <c r="A123" s="14" t="s">
        <v>83</v>
      </c>
      <c r="B123" s="15" t="s">
        <v>129</v>
      </c>
      <c r="C123" s="18" t="s">
        <v>7351</v>
      </c>
    </row>
    <row r="124" spans="1:3">
      <c r="A124" s="14" t="s">
        <v>155</v>
      </c>
      <c r="B124" s="15" t="s">
        <v>33</v>
      </c>
      <c r="C124" s="18" t="s">
        <v>7351</v>
      </c>
    </row>
    <row r="125" spans="1:3" ht="38.25">
      <c r="A125" s="14" t="s">
        <v>156</v>
      </c>
      <c r="B125" s="15" t="s">
        <v>9044</v>
      </c>
      <c r="C125" s="18" t="s">
        <v>7351</v>
      </c>
    </row>
    <row r="126" spans="1:3">
      <c r="A126" s="14" t="s">
        <v>157</v>
      </c>
      <c r="B126" s="15" t="s">
        <v>106</v>
      </c>
      <c r="C126" s="18" t="s">
        <v>7351</v>
      </c>
    </row>
    <row r="127" spans="1:3">
      <c r="A127" s="14" t="s">
        <v>158</v>
      </c>
      <c r="B127" s="15" t="s">
        <v>36</v>
      </c>
      <c r="C127" s="18" t="s">
        <v>7351</v>
      </c>
    </row>
    <row r="128" spans="1:3">
      <c r="A128" s="14" t="s">
        <v>159</v>
      </c>
      <c r="B128" s="15" t="s">
        <v>116</v>
      </c>
      <c r="C128" s="18" t="s">
        <v>7351</v>
      </c>
    </row>
    <row r="129" spans="1:3">
      <c r="A129" s="14" t="s">
        <v>160</v>
      </c>
      <c r="B129" s="15" t="s">
        <v>113</v>
      </c>
      <c r="C129" s="18" t="s">
        <v>7351</v>
      </c>
    </row>
    <row r="130" spans="1:3">
      <c r="A130" s="14" t="s">
        <v>161</v>
      </c>
      <c r="B130" s="15" t="s">
        <v>166</v>
      </c>
      <c r="C130" s="18" t="s">
        <v>7351</v>
      </c>
    </row>
    <row r="131" spans="1:3">
      <c r="A131" s="14" t="s">
        <v>162</v>
      </c>
      <c r="B131" s="15" t="s">
        <v>9055</v>
      </c>
      <c r="C131" s="18" t="s">
        <v>7351</v>
      </c>
    </row>
    <row r="132" spans="1:3">
      <c r="A132" s="2"/>
      <c r="B132" s="3"/>
      <c r="C132" s="4"/>
    </row>
    <row r="133" spans="1:3">
      <c r="A133" s="605" t="s">
        <v>7854</v>
      </c>
      <c r="B133" s="605"/>
      <c r="C133" s="28"/>
    </row>
    <row r="134" spans="1:3">
      <c r="A134" s="14" t="s">
        <v>84</v>
      </c>
      <c r="B134" s="15" t="s">
        <v>164</v>
      </c>
      <c r="C134" s="18" t="s">
        <v>7351</v>
      </c>
    </row>
    <row r="135" spans="1:3">
      <c r="A135" s="14" t="s">
        <v>85</v>
      </c>
      <c r="B135" s="15" t="s">
        <v>114</v>
      </c>
      <c r="C135" s="18" t="s">
        <v>7351</v>
      </c>
    </row>
    <row r="136" spans="1:3">
      <c r="A136" s="14" t="s">
        <v>86</v>
      </c>
      <c r="B136" s="15" t="s">
        <v>128</v>
      </c>
      <c r="C136" s="18" t="s">
        <v>7351</v>
      </c>
    </row>
    <row r="137" spans="1:3">
      <c r="A137" s="14" t="s">
        <v>174</v>
      </c>
      <c r="B137" s="15" t="s">
        <v>33</v>
      </c>
      <c r="C137" s="18" t="s">
        <v>7351</v>
      </c>
    </row>
    <row r="138" spans="1:3" ht="38.25">
      <c r="A138" s="14" t="s">
        <v>175</v>
      </c>
      <c r="B138" s="15" t="s">
        <v>9044</v>
      </c>
      <c r="C138" s="18" t="s">
        <v>7351</v>
      </c>
    </row>
    <row r="139" spans="1:3">
      <c r="A139" s="14" t="s">
        <v>176</v>
      </c>
      <c r="B139" s="15" t="s">
        <v>106</v>
      </c>
      <c r="C139" s="18" t="s">
        <v>7351</v>
      </c>
    </row>
    <row r="140" spans="1:3">
      <c r="A140" s="14" t="s">
        <v>177</v>
      </c>
      <c r="B140" s="15" t="s">
        <v>36</v>
      </c>
      <c r="C140" s="18" t="s">
        <v>7351</v>
      </c>
    </row>
    <row r="141" spans="1:3">
      <c r="A141" s="14" t="s">
        <v>178</v>
      </c>
      <c r="B141" s="15" t="s">
        <v>126</v>
      </c>
      <c r="C141" s="18" t="s">
        <v>7351</v>
      </c>
    </row>
    <row r="142" spans="1:3">
      <c r="A142" s="14" t="s">
        <v>179</v>
      </c>
      <c r="B142" s="15" t="s">
        <v>113</v>
      </c>
      <c r="C142" s="18" t="s">
        <v>7351</v>
      </c>
    </row>
    <row r="143" spans="1:3">
      <c r="A143" s="14" t="s">
        <v>180</v>
      </c>
      <c r="B143" s="15" t="s">
        <v>9056</v>
      </c>
      <c r="C143" s="18" t="s">
        <v>7351</v>
      </c>
    </row>
    <row r="144" spans="1:3">
      <c r="A144" s="15"/>
      <c r="B144" s="15"/>
      <c r="C144" s="15"/>
    </row>
    <row r="145" spans="1:3">
      <c r="A145" s="605" t="s">
        <v>7855</v>
      </c>
      <c r="B145" s="605"/>
      <c r="C145" s="28"/>
    </row>
    <row r="146" spans="1:3">
      <c r="A146" s="14" t="s">
        <v>87</v>
      </c>
      <c r="B146" s="15" t="s">
        <v>166</v>
      </c>
      <c r="C146" s="18" t="s">
        <v>7351</v>
      </c>
    </row>
    <row r="147" spans="1:3">
      <c r="A147" s="14" t="s">
        <v>88</v>
      </c>
      <c r="B147" s="15" t="s">
        <v>165</v>
      </c>
      <c r="C147" s="18" t="s">
        <v>7351</v>
      </c>
    </row>
    <row r="148" spans="1:3">
      <c r="A148" s="14"/>
      <c r="B148" s="15"/>
      <c r="C148" s="18"/>
    </row>
    <row r="149" spans="1:3">
      <c r="A149" s="605" t="s">
        <v>7856</v>
      </c>
      <c r="B149" s="605"/>
      <c r="C149" s="28"/>
    </row>
    <row r="150" spans="1:3">
      <c r="A150" s="14" t="s">
        <v>89</v>
      </c>
      <c r="B150" s="15" t="s">
        <v>35</v>
      </c>
      <c r="C150" s="18" t="s">
        <v>7351</v>
      </c>
    </row>
    <row r="151" spans="1:3">
      <c r="A151" s="14" t="s">
        <v>90</v>
      </c>
      <c r="B151" s="15" t="s">
        <v>112</v>
      </c>
      <c r="C151" s="18" t="s">
        <v>7351</v>
      </c>
    </row>
    <row r="152" spans="1:3">
      <c r="A152" s="14" t="s">
        <v>7809</v>
      </c>
      <c r="B152" s="15" t="s">
        <v>123</v>
      </c>
      <c r="C152" s="18" t="s">
        <v>7351</v>
      </c>
    </row>
    <row r="153" spans="1:3">
      <c r="A153" s="14"/>
      <c r="B153" s="15"/>
      <c r="C153" s="18"/>
    </row>
    <row r="154" spans="1:3">
      <c r="A154" s="605" t="s">
        <v>7857</v>
      </c>
      <c r="B154" s="605"/>
      <c r="C154" s="28"/>
    </row>
    <row r="155" spans="1:3">
      <c r="A155" s="14" t="s">
        <v>91</v>
      </c>
      <c r="B155" s="15" t="s">
        <v>115</v>
      </c>
      <c r="C155" s="18" t="s">
        <v>7351</v>
      </c>
    </row>
    <row r="156" spans="1:3">
      <c r="A156" s="14" t="s">
        <v>92</v>
      </c>
      <c r="B156" s="15" t="s">
        <v>173</v>
      </c>
      <c r="C156" s="18" t="s">
        <v>7351</v>
      </c>
    </row>
    <row r="157" spans="1:3">
      <c r="A157" s="14" t="s">
        <v>93</v>
      </c>
      <c r="B157" s="15" t="s">
        <v>8993</v>
      </c>
      <c r="C157" s="18" t="s">
        <v>7351</v>
      </c>
    </row>
    <row r="158" spans="1:3">
      <c r="A158" s="14" t="s">
        <v>7858</v>
      </c>
      <c r="B158" s="15" t="s">
        <v>8992</v>
      </c>
      <c r="C158" s="18" t="s">
        <v>7351</v>
      </c>
    </row>
    <row r="159" spans="1:3">
      <c r="A159" s="2"/>
      <c r="B159" s="3"/>
      <c r="C159" s="4"/>
    </row>
    <row r="160" spans="1:3">
      <c r="A160" s="605" t="s">
        <v>7859</v>
      </c>
      <c r="B160" s="605"/>
      <c r="C160" s="28"/>
    </row>
    <row r="161" spans="1:3">
      <c r="A161" s="14" t="s">
        <v>94</v>
      </c>
      <c r="B161" s="15" t="s">
        <v>7510</v>
      </c>
      <c r="C161" s="18" t="s">
        <v>7351</v>
      </c>
    </row>
    <row r="162" spans="1:3">
      <c r="A162" s="14" t="s">
        <v>95</v>
      </c>
      <c r="B162" s="15" t="s">
        <v>141</v>
      </c>
      <c r="C162" s="18" t="s">
        <v>7351</v>
      </c>
    </row>
    <row r="163" spans="1:3">
      <c r="A163" s="14" t="s">
        <v>96</v>
      </c>
      <c r="B163" s="15" t="s">
        <v>147</v>
      </c>
      <c r="C163" s="18" t="s">
        <v>7351</v>
      </c>
    </row>
    <row r="164" spans="1:3">
      <c r="A164" s="14" t="s">
        <v>97</v>
      </c>
      <c r="B164" s="15" t="s">
        <v>135</v>
      </c>
      <c r="C164" s="18" t="s">
        <v>7351</v>
      </c>
    </row>
    <row r="165" spans="1:3">
      <c r="A165" s="14" t="s">
        <v>7860</v>
      </c>
      <c r="B165" s="15" t="s">
        <v>139</v>
      </c>
      <c r="C165" s="18" t="s">
        <v>7351</v>
      </c>
    </row>
    <row r="166" spans="1:3">
      <c r="A166" s="14" t="s">
        <v>7861</v>
      </c>
      <c r="B166" s="15" t="s">
        <v>39</v>
      </c>
      <c r="C166" s="18" t="s">
        <v>7351</v>
      </c>
    </row>
    <row r="167" spans="1:3">
      <c r="A167" s="14" t="s">
        <v>7862</v>
      </c>
      <c r="B167" s="15" t="s">
        <v>40</v>
      </c>
      <c r="C167" s="18" t="s">
        <v>7351</v>
      </c>
    </row>
    <row r="168" spans="1:3">
      <c r="A168" s="14" t="s">
        <v>7863</v>
      </c>
      <c r="B168" s="15" t="s">
        <v>16</v>
      </c>
      <c r="C168" s="18" t="s">
        <v>7351</v>
      </c>
    </row>
    <row r="169" spans="1:3">
      <c r="A169" s="14"/>
      <c r="B169" s="15"/>
      <c r="C169" s="18"/>
    </row>
    <row r="170" spans="1:3">
      <c r="A170" s="605" t="s">
        <v>7864</v>
      </c>
      <c r="B170" s="605"/>
      <c r="C170" s="28"/>
    </row>
    <row r="171" spans="1:3">
      <c r="A171" s="14" t="s">
        <v>98</v>
      </c>
      <c r="B171" s="9" t="str">
        <f>_xlfn.CONCAT('Pricing Sheet'!A24:L24)</f>
        <v/>
      </c>
      <c r="C171" s="24" t="str">
        <f>IF(B171&lt;&gt;"", "Included", "")</f>
        <v/>
      </c>
    </row>
    <row r="172" spans="1:3">
      <c r="A172" s="14" t="s">
        <v>99</v>
      </c>
      <c r="B172" s="9" t="str">
        <f>_xlfn.CONCAT('Pricing Sheet'!A25:L25)</f>
        <v/>
      </c>
      <c r="C172" s="24" t="str">
        <f t="shared" ref="C172:C224" si="0">IF(B172&lt;&gt;"", "Included", "")</f>
        <v/>
      </c>
    </row>
    <row r="173" spans="1:3">
      <c r="A173" s="14" t="s">
        <v>181</v>
      </c>
      <c r="B173" s="9" t="str">
        <f>_xlfn.CONCAT('Pricing Sheet'!A26:L26)</f>
        <v/>
      </c>
      <c r="C173" s="24" t="str">
        <f t="shared" si="0"/>
        <v/>
      </c>
    </row>
    <row r="174" spans="1:3">
      <c r="A174" s="14" t="s">
        <v>182</v>
      </c>
      <c r="B174" s="9" t="str">
        <f>_xlfn.CONCAT('Pricing Sheet'!A27:L27)</f>
        <v/>
      </c>
      <c r="C174" s="24" t="str">
        <f t="shared" si="0"/>
        <v/>
      </c>
    </row>
    <row r="175" spans="1:3">
      <c r="A175" s="14" t="s">
        <v>183</v>
      </c>
      <c r="B175" s="9" t="str">
        <f>_xlfn.CONCAT('Pricing Sheet'!A28:L28)</f>
        <v/>
      </c>
      <c r="C175" s="24" t="str">
        <f t="shared" si="0"/>
        <v/>
      </c>
    </row>
    <row r="176" spans="1:3">
      <c r="A176" s="14" t="s">
        <v>184</v>
      </c>
      <c r="B176" s="9" t="str">
        <f>_xlfn.CONCAT('Pricing Sheet'!A29:L29)</f>
        <v/>
      </c>
      <c r="C176" s="24" t="str">
        <f t="shared" si="0"/>
        <v/>
      </c>
    </row>
    <row r="177" spans="1:3">
      <c r="A177" s="14" t="s">
        <v>185</v>
      </c>
      <c r="B177" s="9" t="str">
        <f>_xlfn.CONCAT('Pricing Sheet'!A30:L30)</f>
        <v/>
      </c>
      <c r="C177" s="24" t="str">
        <f t="shared" si="0"/>
        <v/>
      </c>
    </row>
    <row r="178" spans="1:3">
      <c r="A178" s="14" t="s">
        <v>186</v>
      </c>
      <c r="B178" s="9" t="str">
        <f>_xlfn.CONCAT('Pricing Sheet'!A31:L31)</f>
        <v/>
      </c>
      <c r="C178" s="24" t="str">
        <f t="shared" si="0"/>
        <v/>
      </c>
    </row>
    <row r="179" spans="1:3">
      <c r="A179" s="14" t="s">
        <v>7865</v>
      </c>
      <c r="B179" s="9" t="str">
        <f>_xlfn.CONCAT('Pricing Sheet'!A32:L32)</f>
        <v/>
      </c>
      <c r="C179" s="24" t="str">
        <f t="shared" si="0"/>
        <v/>
      </c>
    </row>
    <row r="180" spans="1:3">
      <c r="A180" s="14" t="s">
        <v>7866</v>
      </c>
      <c r="B180" s="9" t="str">
        <f>_xlfn.CONCAT('Pricing Sheet'!A33:L33)</f>
        <v/>
      </c>
      <c r="C180" s="24" t="str">
        <f t="shared" si="0"/>
        <v/>
      </c>
    </row>
    <row r="181" spans="1:3">
      <c r="A181" s="14" t="s">
        <v>7867</v>
      </c>
      <c r="B181" s="9" t="str">
        <f>_xlfn.CONCAT('Pricing Sheet'!A34:L34)</f>
        <v/>
      </c>
      <c r="C181" s="24" t="str">
        <f t="shared" si="0"/>
        <v/>
      </c>
    </row>
    <row r="182" spans="1:3">
      <c r="A182" s="14" t="s">
        <v>7868</v>
      </c>
      <c r="B182" s="9" t="str">
        <f>_xlfn.CONCAT('Pricing Sheet'!A35:L35)</f>
        <v/>
      </c>
      <c r="C182" s="24" t="str">
        <f t="shared" si="0"/>
        <v/>
      </c>
    </row>
    <row r="183" spans="1:3">
      <c r="A183" s="14" t="s">
        <v>7869</v>
      </c>
      <c r="B183" s="9" t="str">
        <f>_xlfn.CONCAT('Pricing Sheet'!A36:L36)</f>
        <v/>
      </c>
      <c r="C183" s="24" t="str">
        <f t="shared" si="0"/>
        <v/>
      </c>
    </row>
    <row r="184" spans="1:3">
      <c r="A184" s="14" t="s">
        <v>7870</v>
      </c>
      <c r="B184" s="9" t="str">
        <f>_xlfn.CONCAT('Pricing Sheet'!A37:L37)</f>
        <v/>
      </c>
      <c r="C184" s="24" t="str">
        <f t="shared" si="0"/>
        <v/>
      </c>
    </row>
    <row r="185" spans="1:3">
      <c r="A185" s="14" t="s">
        <v>7871</v>
      </c>
      <c r="B185" s="9" t="str">
        <f>_xlfn.CONCAT('Pricing Sheet'!A38:L38)</f>
        <v/>
      </c>
      <c r="C185" s="24" t="str">
        <f t="shared" si="0"/>
        <v/>
      </c>
    </row>
    <row r="186" spans="1:3">
      <c r="A186" s="14" t="s">
        <v>7872</v>
      </c>
      <c r="B186" s="9" t="str">
        <f>_xlfn.CONCAT('Pricing Sheet'!A39:L39)</f>
        <v/>
      </c>
      <c r="C186" s="24" t="str">
        <f t="shared" si="0"/>
        <v/>
      </c>
    </row>
    <row r="187" spans="1:3">
      <c r="A187" s="14" t="s">
        <v>7873</v>
      </c>
      <c r="B187" s="9" t="str">
        <f>_xlfn.CONCAT('Pricing Sheet'!A40:L40)</f>
        <v/>
      </c>
      <c r="C187" s="24" t="str">
        <f t="shared" si="0"/>
        <v/>
      </c>
    </row>
    <row r="188" spans="1:3">
      <c r="A188" s="14" t="s">
        <v>7874</v>
      </c>
      <c r="B188" s="9" t="str">
        <f>_xlfn.CONCAT('Pricing Sheet'!A41:L41)</f>
        <v/>
      </c>
      <c r="C188" s="24" t="str">
        <f t="shared" si="0"/>
        <v/>
      </c>
    </row>
    <row r="189" spans="1:3">
      <c r="A189" s="14" t="s">
        <v>7875</v>
      </c>
      <c r="B189" s="9" t="str">
        <f>_xlfn.CONCAT('Pricing Sheet'!A42:L42)</f>
        <v/>
      </c>
      <c r="C189" s="24" t="str">
        <f t="shared" si="0"/>
        <v/>
      </c>
    </row>
    <row r="190" spans="1:3">
      <c r="A190" s="14" t="s">
        <v>7876</v>
      </c>
      <c r="B190" s="9" t="str">
        <f>_xlfn.CONCAT('Pricing Sheet'!A43:L43)</f>
        <v/>
      </c>
      <c r="C190" s="24" t="str">
        <f t="shared" si="0"/>
        <v/>
      </c>
    </row>
    <row r="191" spans="1:3">
      <c r="A191" s="14" t="s">
        <v>7877</v>
      </c>
      <c r="B191" s="9" t="str">
        <f>_xlfn.CONCAT('Pricing Sheet'!A44:L44)</f>
        <v/>
      </c>
      <c r="C191" s="24" t="str">
        <f t="shared" si="0"/>
        <v/>
      </c>
    </row>
    <row r="192" spans="1:3">
      <c r="A192" s="14" t="s">
        <v>7878</v>
      </c>
      <c r="B192" s="9" t="str">
        <f>_xlfn.CONCAT('Pricing Sheet'!A45:L45)</f>
        <v/>
      </c>
      <c r="C192" s="24" t="str">
        <f t="shared" si="0"/>
        <v/>
      </c>
    </row>
    <row r="193" spans="1:3">
      <c r="A193" s="14" t="s">
        <v>7879</v>
      </c>
      <c r="B193" s="9" t="str">
        <f>_xlfn.CONCAT('Pricing Sheet'!A46:L46)</f>
        <v/>
      </c>
      <c r="C193" s="24" t="str">
        <f t="shared" si="0"/>
        <v/>
      </c>
    </row>
    <row r="194" spans="1:3">
      <c r="A194" s="14" t="s">
        <v>7880</v>
      </c>
      <c r="B194" s="9" t="str">
        <f>_xlfn.CONCAT('Pricing Sheet'!A47:L47)</f>
        <v/>
      </c>
      <c r="C194" s="24" t="str">
        <f t="shared" si="0"/>
        <v/>
      </c>
    </row>
    <row r="195" spans="1:3">
      <c r="A195" s="14" t="s">
        <v>7881</v>
      </c>
      <c r="B195" s="9" t="str">
        <f>_xlfn.CONCAT('Pricing Sheet'!A48:L48)</f>
        <v/>
      </c>
      <c r="C195" s="24" t="str">
        <f t="shared" si="0"/>
        <v/>
      </c>
    </row>
    <row r="196" spans="1:3">
      <c r="A196" s="14" t="s">
        <v>7882</v>
      </c>
      <c r="B196" s="9" t="str">
        <f>_xlfn.CONCAT('Pricing Sheet'!A49:L49)</f>
        <v/>
      </c>
      <c r="C196" s="24" t="str">
        <f t="shared" si="0"/>
        <v/>
      </c>
    </row>
    <row r="197" spans="1:3">
      <c r="A197" s="14" t="s">
        <v>7883</v>
      </c>
      <c r="B197" s="9" t="str">
        <f>_xlfn.CONCAT('Pricing Sheet'!A50:L50)</f>
        <v/>
      </c>
      <c r="C197" s="24" t="str">
        <f t="shared" si="0"/>
        <v/>
      </c>
    </row>
    <row r="198" spans="1:3">
      <c r="A198" s="14"/>
      <c r="B198" s="15"/>
      <c r="C198" s="24" t="str">
        <f t="shared" si="0"/>
        <v/>
      </c>
    </row>
    <row r="199" spans="1:3">
      <c r="A199" s="606" t="str">
        <f>"20 - "&amp;UPPER('Pricing Sheet'!O38)&amp;IF('Pricing Sheet'!S38=" (refer to sketch dated: ##/##/#### )","",'Pricing Sheet'!S38)</f>
        <v>20 - STRUCTURAL HOUSE MODIFICATIONS</v>
      </c>
      <c r="B199" s="606"/>
      <c r="C199" s="28"/>
    </row>
    <row r="200" spans="1:3">
      <c r="A200" s="14" t="s">
        <v>100</v>
      </c>
      <c r="B200" s="9" t="str">
        <f>_xlfn.CONCAT('Pricing Sheet'!O41:X41)</f>
        <v/>
      </c>
      <c r="C200" s="24" t="str">
        <f t="shared" si="0"/>
        <v/>
      </c>
    </row>
    <row r="201" spans="1:3">
      <c r="A201" s="14" t="s">
        <v>101</v>
      </c>
      <c r="B201" s="9" t="str">
        <f>_xlfn.CONCAT('Pricing Sheet'!O42:X42)</f>
        <v/>
      </c>
      <c r="C201" s="24" t="str">
        <f t="shared" si="0"/>
        <v/>
      </c>
    </row>
    <row r="202" spans="1:3">
      <c r="A202" s="14" t="s">
        <v>187</v>
      </c>
      <c r="B202" s="9" t="str">
        <f>_xlfn.CONCAT('Pricing Sheet'!O43:X43)</f>
        <v/>
      </c>
      <c r="C202" s="24" t="str">
        <f t="shared" si="0"/>
        <v/>
      </c>
    </row>
    <row r="203" spans="1:3">
      <c r="A203" s="14" t="s">
        <v>188</v>
      </c>
      <c r="B203" s="9" t="str">
        <f>_xlfn.CONCAT('Pricing Sheet'!O44:X44)</f>
        <v/>
      </c>
      <c r="C203" s="24" t="str">
        <f t="shared" si="0"/>
        <v/>
      </c>
    </row>
    <row r="204" spans="1:3">
      <c r="A204" s="14" t="s">
        <v>189</v>
      </c>
      <c r="B204" s="9" t="str">
        <f>_xlfn.CONCAT('Pricing Sheet'!O45:X45)</f>
        <v/>
      </c>
      <c r="C204" s="24" t="str">
        <f t="shared" si="0"/>
        <v/>
      </c>
    </row>
    <row r="205" spans="1:3">
      <c r="A205" s="14" t="s">
        <v>190</v>
      </c>
      <c r="B205" s="9" t="str">
        <f>_xlfn.CONCAT('Pricing Sheet'!O46:X46)</f>
        <v/>
      </c>
      <c r="C205" s="24" t="str">
        <f t="shared" si="0"/>
        <v/>
      </c>
    </row>
    <row r="206" spans="1:3">
      <c r="A206" s="14" t="s">
        <v>191</v>
      </c>
      <c r="B206" s="9" t="str">
        <f>_xlfn.CONCAT('Pricing Sheet'!O47:X47)</f>
        <v/>
      </c>
      <c r="C206" s="24" t="str">
        <f t="shared" si="0"/>
        <v/>
      </c>
    </row>
    <row r="207" spans="1:3">
      <c r="A207" s="14" t="s">
        <v>192</v>
      </c>
      <c r="B207" s="277" t="str">
        <f>_xlfn.CONCAT('Pricing Sheet'!O48:X48)</f>
        <v/>
      </c>
      <c r="C207" s="24" t="str">
        <f t="shared" si="0"/>
        <v/>
      </c>
    </row>
    <row r="208" spans="1:3" ht="25.5">
      <c r="A208" s="14" t="s">
        <v>193</v>
      </c>
      <c r="B208" s="9" t="str">
        <f>_xlfn.CONCAT('Pricing Sheet'!O49:X49)</f>
        <v xml:space="preserve">Provide a preliminary site clean including but not limited to removal of trees, tree root system, rubbish, long grass etc. </v>
      </c>
      <c r="C208" s="24" t="str">
        <f t="shared" si="0"/>
        <v>Included</v>
      </c>
    </row>
    <row r="209" spans="1:3">
      <c r="A209" s="14" t="s">
        <v>7330</v>
      </c>
      <c r="B209" s="9" t="str">
        <f>_xlfn.CONCAT('Pricing Sheet'!O50:X50)</f>
        <v/>
      </c>
      <c r="C209" s="24" t="str">
        <f t="shared" si="0"/>
        <v/>
      </c>
    </row>
    <row r="210" spans="1:3">
      <c r="A210" s="14"/>
      <c r="B210" s="9" t="str">
        <f>_xlfn.CONCAT('Pricing Sheet'!O37:X37)</f>
        <v/>
      </c>
      <c r="C210" s="24" t="str">
        <f t="shared" si="0"/>
        <v/>
      </c>
    </row>
    <row r="211" spans="1:3">
      <c r="A211" s="605" t="s">
        <v>7884</v>
      </c>
      <c r="B211" s="605"/>
      <c r="C211" s="28"/>
    </row>
    <row r="212" spans="1:3">
      <c r="A212" s="14" t="s">
        <v>7321</v>
      </c>
      <c r="B212" s="9" t="str">
        <f>_xlfn.CONCAT('Pricing Sheet'!O24:X24)</f>
        <v/>
      </c>
      <c r="C212" s="24" t="str">
        <f t="shared" si="0"/>
        <v/>
      </c>
    </row>
    <row r="213" spans="1:3">
      <c r="A213" s="14" t="s">
        <v>7322</v>
      </c>
      <c r="B213" s="9" t="str">
        <f>_xlfn.CONCAT('Pricing Sheet'!O25:X25)</f>
        <v/>
      </c>
      <c r="C213" s="24" t="str">
        <f t="shared" si="0"/>
        <v/>
      </c>
    </row>
    <row r="214" spans="1:3">
      <c r="A214" s="14" t="s">
        <v>7323</v>
      </c>
      <c r="B214" s="9" t="str">
        <f>_xlfn.CONCAT('Pricing Sheet'!O26:X26)</f>
        <v/>
      </c>
      <c r="C214" s="24" t="str">
        <f t="shared" si="0"/>
        <v/>
      </c>
    </row>
    <row r="215" spans="1:3" ht="285.75" customHeight="1">
      <c r="A215" s="14" t="s">
        <v>7324</v>
      </c>
      <c r="B215" s="9" t="str">
        <f>_xlfn.CONCAT('Pricing Sheet'!O27:X27)</f>
        <v/>
      </c>
      <c r="C215" s="24" t="str">
        <f t="shared" si="0"/>
        <v/>
      </c>
    </row>
    <row r="216" spans="1:3">
      <c r="A216" s="14" t="s">
        <v>7325</v>
      </c>
      <c r="B216" s="9" t="str">
        <f>_xlfn.CONCAT('Pricing Sheet'!O28:X28)</f>
        <v/>
      </c>
      <c r="C216" s="24" t="str">
        <f t="shared" si="0"/>
        <v/>
      </c>
    </row>
    <row r="217" spans="1:3">
      <c r="A217" s="14" t="s">
        <v>7326</v>
      </c>
      <c r="B217" s="9" t="str">
        <f>_xlfn.CONCAT('Pricing Sheet'!O29:X29)</f>
        <v/>
      </c>
      <c r="C217" s="24" t="str">
        <f t="shared" si="0"/>
        <v/>
      </c>
    </row>
    <row r="218" spans="1:3">
      <c r="A218" s="14" t="s">
        <v>7327</v>
      </c>
      <c r="B218" s="9" t="str">
        <f>_xlfn.CONCAT('Pricing Sheet'!O30:X30)</f>
        <v/>
      </c>
      <c r="C218" s="24" t="str">
        <f t="shared" si="0"/>
        <v/>
      </c>
    </row>
    <row r="219" spans="1:3">
      <c r="A219" s="14" t="s">
        <v>7328</v>
      </c>
      <c r="B219" s="9" t="str">
        <f>_xlfn.CONCAT('Pricing Sheet'!O31:X31)</f>
        <v/>
      </c>
      <c r="C219" s="24" t="str">
        <f t="shared" si="0"/>
        <v/>
      </c>
    </row>
    <row r="220" spans="1:3">
      <c r="A220" s="14" t="s">
        <v>7329</v>
      </c>
      <c r="B220" s="9" t="str">
        <f>_xlfn.CONCAT('Pricing Sheet'!O32:X32)</f>
        <v/>
      </c>
      <c r="C220" s="24" t="str">
        <f t="shared" si="0"/>
        <v/>
      </c>
    </row>
    <row r="221" spans="1:3">
      <c r="A221" s="14" t="s">
        <v>7331</v>
      </c>
      <c r="B221" s="9" t="str">
        <f>_xlfn.CONCAT('Pricing Sheet'!O33:X33)</f>
        <v/>
      </c>
      <c r="C221" s="24" t="str">
        <f t="shared" si="0"/>
        <v/>
      </c>
    </row>
    <row r="222" spans="1:3">
      <c r="A222" s="14" t="s">
        <v>7812</v>
      </c>
      <c r="B222" s="9" t="str">
        <f>_xlfn.CONCAT('Pricing Sheet'!O34:X34)</f>
        <v/>
      </c>
      <c r="C222" s="24" t="str">
        <f t="shared" si="0"/>
        <v/>
      </c>
    </row>
    <row r="223" spans="1:3">
      <c r="A223" s="14" t="s">
        <v>7813</v>
      </c>
      <c r="B223" s="9" t="str">
        <f>_xlfn.CONCAT('Pricing Sheet'!O35:X35)</f>
        <v/>
      </c>
      <c r="C223" s="24" t="str">
        <f t="shared" si="0"/>
        <v/>
      </c>
    </row>
    <row r="224" spans="1:3">
      <c r="A224" s="14" t="s">
        <v>7814</v>
      </c>
      <c r="B224" s="9" t="str">
        <f>_xlfn.CONCAT('Pricing Sheet'!O36:X36)</f>
        <v/>
      </c>
      <c r="C224" s="24" t="str">
        <f t="shared" si="0"/>
        <v/>
      </c>
    </row>
    <row r="225" spans="1:20">
      <c r="A225" s="14"/>
      <c r="B225" s="15"/>
      <c r="C225" s="18"/>
    </row>
    <row r="226" spans="1:20">
      <c r="A226" s="605" t="s">
        <v>7885</v>
      </c>
      <c r="B226" s="605"/>
      <c r="C226" s="28"/>
    </row>
    <row r="227" spans="1:20" ht="25.5">
      <c r="A227" s="14" t="s">
        <v>7332</v>
      </c>
      <c r="B227" s="15" t="s">
        <v>9016</v>
      </c>
      <c r="C227" s="18" t="s">
        <v>7351</v>
      </c>
    </row>
    <row r="228" spans="1:20">
      <c r="A228" s="14" t="s">
        <v>7333</v>
      </c>
      <c r="B228" s="15" t="s">
        <v>41</v>
      </c>
      <c r="C228" s="18" t="s">
        <v>7351</v>
      </c>
    </row>
    <row r="229" spans="1:20">
      <c r="A229" s="14" t="s">
        <v>7334</v>
      </c>
      <c r="B229" s="15" t="s">
        <v>42</v>
      </c>
      <c r="C229" s="18" t="s">
        <v>7351</v>
      </c>
    </row>
    <row r="230" spans="1:20">
      <c r="A230" s="14" t="s">
        <v>7335</v>
      </c>
      <c r="B230" s="15" t="s">
        <v>43</v>
      </c>
      <c r="C230" s="18" t="s">
        <v>7351</v>
      </c>
    </row>
    <row r="231" spans="1:20">
      <c r="A231" s="14" t="s">
        <v>7336</v>
      </c>
      <c r="B231" s="15" t="s">
        <v>124</v>
      </c>
      <c r="C231" s="18" t="s">
        <v>7351</v>
      </c>
    </row>
    <row r="232" spans="1:20">
      <c r="A232" s="14" t="s">
        <v>7337</v>
      </c>
      <c r="B232" s="15" t="s">
        <v>44</v>
      </c>
      <c r="C232" s="18" t="s">
        <v>7351</v>
      </c>
    </row>
    <row r="233" spans="1:20">
      <c r="A233" s="14" t="s">
        <v>7338</v>
      </c>
      <c r="B233" s="15" t="s">
        <v>45</v>
      </c>
      <c r="C233" s="18" t="s">
        <v>7351</v>
      </c>
    </row>
    <row r="234" spans="1:20">
      <c r="A234" s="14" t="s">
        <v>7339</v>
      </c>
      <c r="B234" s="15" t="s">
        <v>46</v>
      </c>
      <c r="C234" s="18" t="s">
        <v>7351</v>
      </c>
    </row>
    <row r="235" spans="1:20">
      <c r="A235" s="14" t="s">
        <v>7340</v>
      </c>
      <c r="B235" s="15" t="s">
        <v>47</v>
      </c>
      <c r="C235" s="18" t="s">
        <v>7351</v>
      </c>
    </row>
    <row r="236" spans="1:20">
      <c r="A236" s="2"/>
      <c r="B236" s="3"/>
      <c r="C236" s="4"/>
    </row>
    <row r="237" spans="1:20">
      <c r="A237" s="45" t="s">
        <v>48</v>
      </c>
      <c r="B237" s="12"/>
      <c r="C237" s="13"/>
    </row>
    <row r="238" spans="1:20">
      <c r="A238" s="603" t="s">
        <v>125</v>
      </c>
      <c r="B238" s="603"/>
      <c r="C238" s="603"/>
      <c r="T238" s="167" t="str">
        <f>A238</f>
        <v>The builder has the right to substitute or change any of the above items without notice or notification.</v>
      </c>
    </row>
    <row r="239" spans="1:20" ht="45">
      <c r="A239" s="602" t="s">
        <v>7913</v>
      </c>
      <c r="B239" s="602"/>
      <c r="C239" s="602"/>
      <c r="T239" s="167" t="str">
        <f>A239</f>
        <v>I / We understand that it is the policy of Hermitage Building Group Pty Ltd (ABN: 79 150 694 572) not to enter into verbal agreements, therefore I / we agree that our special requirements are to be written down and form part of our final building documentation.</v>
      </c>
    </row>
    <row r="240" spans="1:20">
      <c r="A240" s="10"/>
      <c r="B240" s="11"/>
      <c r="C240" s="23"/>
    </row>
    <row r="241" spans="1:3">
      <c r="A241" s="2"/>
      <c r="B241" s="3"/>
      <c r="C241" s="4"/>
    </row>
    <row r="242" spans="1:3">
      <c r="A242" s="2"/>
      <c r="B242" s="24" t="s">
        <v>104</v>
      </c>
      <c r="C242" s="80" cm="1">
        <f t="array" ref="C242">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43" spans="1:3">
      <c r="A243" s="25" t="s">
        <v>49</v>
      </c>
      <c r="B243" s="11"/>
      <c r="C243" s="1"/>
    </row>
    <row r="244" spans="1:3">
      <c r="A244" s="2"/>
      <c r="B244" s="3"/>
      <c r="C244" s="1"/>
    </row>
    <row r="245" spans="1:3">
      <c r="A245" s="2"/>
      <c r="B245" s="15" t="s">
        <v>50</v>
      </c>
      <c r="C245" s="26"/>
    </row>
    <row r="246" spans="1:3">
      <c r="A246" s="2"/>
      <c r="B246" s="3"/>
      <c r="C246" s="1"/>
    </row>
    <row r="247" spans="1:3">
      <c r="A247" s="2"/>
      <c r="B247" s="3"/>
      <c r="C247" s="1"/>
    </row>
    <row r="248" spans="1:3">
      <c r="A248" s="27" t="s">
        <v>167</v>
      </c>
      <c r="B248" s="3"/>
      <c r="C248" s="1"/>
    </row>
    <row r="249" spans="1:3">
      <c r="A249" s="2"/>
      <c r="B249" s="3"/>
      <c r="C249" s="1"/>
    </row>
    <row r="250" spans="1:3">
      <c r="A250" s="2"/>
      <c r="B250" s="3"/>
      <c r="C250" s="1"/>
    </row>
    <row r="251" spans="1:3">
      <c r="A251" s="27" t="s">
        <v>168</v>
      </c>
      <c r="B251" s="3"/>
      <c r="C251" s="1"/>
    </row>
    <row r="252" spans="1:3">
      <c r="A252" s="2"/>
      <c r="B252" s="3"/>
      <c r="C252" s="1"/>
    </row>
    <row r="253" spans="1:3">
      <c r="A253" s="2"/>
      <c r="B253" s="3"/>
      <c r="C253" s="1"/>
    </row>
    <row r="254" spans="1:3">
      <c r="A254" s="27" t="s">
        <v>168</v>
      </c>
      <c r="B254" s="3"/>
      <c r="C254" s="1"/>
    </row>
    <row r="255" spans="1:3">
      <c r="A255" s="2"/>
      <c r="B255" s="3"/>
      <c r="C255" s="1"/>
    </row>
  </sheetData>
  <sheetProtection algorithmName="SHA-512" hashValue="b/mDoU/cgwEBYDyLKPWqqD6CdS8juSdoUVt2TwTWxu+hs2n9Qy03EYW/2H87xUbsT0O1Qphc7pUin8Yd0qgwWw==" saltValue="zMYUJprKqWNmm32WlpyvjA==" spinCount="100000" sheet="1" objects="1" scenarios="1" formatRows="0" insertRows="0" deleteRows="0"/>
  <mergeCells count="25">
    <mergeCell ref="A226:B226"/>
    <mergeCell ref="A170:B170"/>
    <mergeCell ref="A199:B199"/>
    <mergeCell ref="A121:B121"/>
    <mergeCell ref="A133:B133"/>
    <mergeCell ref="A149:B149"/>
    <mergeCell ref="A145:B145"/>
    <mergeCell ref="A154:B154"/>
    <mergeCell ref="A211:B211"/>
    <mergeCell ref="A239:C239"/>
    <mergeCell ref="A238:C238"/>
    <mergeCell ref="A17:B17"/>
    <mergeCell ref="A21:B21"/>
    <mergeCell ref="A25:B25"/>
    <mergeCell ref="A29:B29"/>
    <mergeCell ref="A32:B32"/>
    <mergeCell ref="A43:B43"/>
    <mergeCell ref="A57:B57"/>
    <mergeCell ref="A72:B72"/>
    <mergeCell ref="A78:B78"/>
    <mergeCell ref="A86:B86"/>
    <mergeCell ref="A94:B94"/>
    <mergeCell ref="A105:B105"/>
    <mergeCell ref="A109:B109"/>
    <mergeCell ref="A160:B160"/>
  </mergeCells>
  <phoneticPr fontId="2" type="noConversion"/>
  <conditionalFormatting sqref="B22">
    <cfRule type="cellIs" dxfId="42" priority="1" operator="equal">
      <formula>"Leon 22-1B GE"</formula>
    </cfRule>
  </conditionalFormatting>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4" manualBreakCount="4">
    <brk id="77" max="2" man="1"/>
    <brk id="120" max="2" man="1"/>
    <brk id="169" max="2" man="1"/>
    <brk id="225" max="2" man="1"/>
  </rowBreaks>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310A6D74-3355-4ECE-A725-D46F3C8C1B6A}">
          <x14:formula1>
            <xm:f>_xlfn.ANCHORARRAY(Houses!$AB$4)</xm:f>
          </x14:formula1>
          <xm:sqref>B22</xm:sqref>
        </x14:dataValidation>
        <x14:dataValidation type="list" allowBlank="1" showInputMessage="1" showErrorMessage="1" xr:uid="{2BA97F4B-3809-4F7D-B3F3-B9631D9471AA}">
          <x14:formula1>
            <xm:f>_xlfn.ANCHORARRAY(Houses!$AC$4)</xm:f>
          </x14:formula1>
          <xm:sqref>B26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9BF21-9EB6-4EBF-9ACF-3D68D45E7995}">
  <sheetPr codeName="Sheet11">
    <tabColor theme="9" tint="0.39997558519241921"/>
  </sheetPr>
  <dimension ref="A1:T259"/>
  <sheetViews>
    <sheetView view="pageBreakPreview" topLeftCell="A73" zoomScaleNormal="100" zoomScaleSheetLayoutView="100" workbookViewId="0">
      <selection activeCell="B92" sqref="B92"/>
    </sheetView>
  </sheetViews>
  <sheetFormatPr defaultColWidth="8.5703125" defaultRowHeight="15"/>
  <cols>
    <col min="1" max="1" width="10.42578125" customWidth="1"/>
    <col min="2" max="2" width="70.5703125" bestFit="1" customWidth="1"/>
    <col min="3" max="3" width="10.42578125" bestFit="1" customWidth="1"/>
    <col min="20" max="20" width="96.42578125" customWidth="1"/>
  </cols>
  <sheetData>
    <row r="1" spans="1:3" ht="136.5">
      <c r="A1" s="212" t="s">
        <v>8602</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604" t="s">
        <v>196</v>
      </c>
      <c r="B17" s="604"/>
      <c r="C17" s="1"/>
    </row>
    <row r="18" spans="1:3">
      <c r="A18" s="14"/>
      <c r="B18" s="15"/>
      <c r="C18" s="18"/>
    </row>
    <row r="19" spans="1:3">
      <c r="A19" s="42" t="s">
        <v>197</v>
      </c>
      <c r="B19" s="43" t="s">
        <v>198</v>
      </c>
      <c r="C19" s="44" t="s">
        <v>199</v>
      </c>
    </row>
    <row r="20" spans="1:3">
      <c r="A20" s="2"/>
      <c r="B20" s="3"/>
      <c r="C20" s="4"/>
    </row>
    <row r="21" spans="1:3">
      <c r="A21" s="605" t="s">
        <v>51</v>
      </c>
      <c r="B21" s="605"/>
      <c r="C21" s="28"/>
    </row>
    <row r="22" spans="1:3">
      <c r="A22" s="19" t="s">
        <v>53</v>
      </c>
      <c r="B22" s="15"/>
      <c r="C22" s="16" t="s">
        <v>7351</v>
      </c>
    </row>
    <row r="23" spans="1:3">
      <c r="A23" s="14"/>
      <c r="B23" s="15" t="str">
        <f>IF(B22&lt;&gt;"",_xlfn.XLOOKUP(B22,Table1[House],Table1[House Details]),"")</f>
        <v/>
      </c>
      <c r="C23" s="16"/>
    </row>
    <row r="24" spans="1:3">
      <c r="A24" s="14"/>
      <c r="B24" s="17"/>
      <c r="C24" s="18"/>
    </row>
    <row r="25" spans="1:3">
      <c r="A25" s="605" t="s">
        <v>52</v>
      </c>
      <c r="B25" s="605"/>
      <c r="C25" s="28"/>
    </row>
    <row r="26" spans="1:3">
      <c r="A26" s="19"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605" t="s">
        <v>200</v>
      </c>
      <c r="B29" s="605"/>
      <c r="C29" s="28"/>
    </row>
    <row r="30" spans="1:3">
      <c r="A30" s="19" t="s">
        <v>55</v>
      </c>
      <c r="B30" s="20" t="s">
        <v>8554</v>
      </c>
      <c r="C30" s="18" t="s">
        <v>7351</v>
      </c>
    </row>
    <row r="31" spans="1:3">
      <c r="A31" s="19"/>
      <c r="B31" s="20"/>
      <c r="C31" s="18"/>
    </row>
    <row r="32" spans="1:3">
      <c r="A32" s="605" t="s">
        <v>148</v>
      </c>
      <c r="B32" s="605"/>
      <c r="C32" s="28"/>
    </row>
    <row r="33" spans="1:3">
      <c r="A33" s="19" t="s">
        <v>56</v>
      </c>
      <c r="B33" s="21" t="s">
        <v>107</v>
      </c>
      <c r="C33" s="18" t="s">
        <v>7351</v>
      </c>
    </row>
    <row r="34" spans="1:3">
      <c r="A34" s="22"/>
      <c r="B34" s="15" t="s">
        <v>2</v>
      </c>
      <c r="C34" s="18" t="s">
        <v>7352</v>
      </c>
    </row>
    <row r="35" spans="1:3">
      <c r="A35" s="22"/>
      <c r="B35" s="15" t="s">
        <v>3</v>
      </c>
      <c r="C35" s="13"/>
    </row>
    <row r="36" spans="1:3">
      <c r="A36" s="22"/>
      <c r="B36" s="15" t="s">
        <v>4</v>
      </c>
      <c r="C36" s="13"/>
    </row>
    <row r="37" spans="1:3">
      <c r="A37" s="22"/>
      <c r="B37" s="15" t="s">
        <v>5</v>
      </c>
      <c r="C37" s="13"/>
    </row>
    <row r="38" spans="1:3">
      <c r="A38" s="22"/>
      <c r="B38" s="15" t="s">
        <v>6</v>
      </c>
      <c r="C38" s="13"/>
    </row>
    <row r="39" spans="1:3">
      <c r="A39" s="22"/>
      <c r="B39" s="15" t="s">
        <v>7</v>
      </c>
      <c r="C39" s="13"/>
    </row>
    <row r="40" spans="1:3">
      <c r="A40" s="22"/>
      <c r="B40" s="15" t="s">
        <v>8</v>
      </c>
      <c r="C40" s="13"/>
    </row>
    <row r="41" spans="1:3">
      <c r="A41" s="22"/>
      <c r="B41" s="15" t="s">
        <v>9</v>
      </c>
      <c r="C41" s="13"/>
    </row>
    <row r="42" spans="1:3">
      <c r="A42" s="19"/>
      <c r="B42" s="20"/>
      <c r="C42" s="18"/>
    </row>
    <row r="43" spans="1:3">
      <c r="A43" s="605" t="s">
        <v>7794</v>
      </c>
      <c r="B43" s="605"/>
      <c r="C43" s="28"/>
    </row>
    <row r="44" spans="1:3">
      <c r="A44" s="19" t="s">
        <v>7782</v>
      </c>
      <c r="B44" s="15" t="s">
        <v>11</v>
      </c>
      <c r="C44" s="18" t="s">
        <v>7351</v>
      </c>
    </row>
    <row r="45" spans="1:3">
      <c r="A45" s="19" t="s">
        <v>7783</v>
      </c>
      <c r="B45" s="15" t="s">
        <v>12</v>
      </c>
      <c r="C45" s="18" t="s">
        <v>7351</v>
      </c>
    </row>
    <row r="46" spans="1:3">
      <c r="A46" s="19" t="s">
        <v>7784</v>
      </c>
      <c r="B46" s="15" t="s">
        <v>13</v>
      </c>
      <c r="C46" s="18" t="s">
        <v>7351</v>
      </c>
    </row>
    <row r="47" spans="1:3">
      <c r="A47" s="19" t="s">
        <v>7785</v>
      </c>
      <c r="B47" s="15" t="s">
        <v>118</v>
      </c>
      <c r="C47" s="18" t="s">
        <v>7351</v>
      </c>
    </row>
    <row r="48" spans="1:3">
      <c r="A48" s="19" t="s">
        <v>7786</v>
      </c>
      <c r="B48" s="15" t="s">
        <v>142</v>
      </c>
      <c r="C48" s="18" t="s">
        <v>7351</v>
      </c>
    </row>
    <row r="49" spans="1:3">
      <c r="A49" s="19" t="s">
        <v>7787</v>
      </c>
      <c r="B49" s="15" t="s">
        <v>14</v>
      </c>
      <c r="C49" s="18" t="s">
        <v>7351</v>
      </c>
    </row>
    <row r="50" spans="1:3">
      <c r="A50" s="19" t="s">
        <v>7788</v>
      </c>
      <c r="B50" s="15" t="s">
        <v>15</v>
      </c>
      <c r="C50" s="18" t="s">
        <v>7351</v>
      </c>
    </row>
    <row r="51" spans="1:3">
      <c r="A51" s="19" t="s">
        <v>7789</v>
      </c>
      <c r="B51" s="15" t="s">
        <v>119</v>
      </c>
      <c r="C51" s="18" t="s">
        <v>7351</v>
      </c>
    </row>
    <row r="52" spans="1:3">
      <c r="A52" s="19" t="s">
        <v>7790</v>
      </c>
      <c r="B52" s="15" t="s">
        <v>8641</v>
      </c>
      <c r="C52" s="18" t="s">
        <v>7351</v>
      </c>
    </row>
    <row r="53" spans="1:3">
      <c r="A53" s="19" t="s">
        <v>7791</v>
      </c>
      <c r="B53" s="15" t="s">
        <v>143</v>
      </c>
      <c r="C53" s="18" t="s">
        <v>7351</v>
      </c>
    </row>
    <row r="54" spans="1:3">
      <c r="A54" s="19" t="s">
        <v>7792</v>
      </c>
      <c r="B54" s="15" t="s">
        <v>109</v>
      </c>
      <c r="C54" s="18" t="s">
        <v>7351</v>
      </c>
    </row>
    <row r="55" spans="1:3" ht="25.5">
      <c r="A55" s="19" t="s">
        <v>7793</v>
      </c>
      <c r="B55" s="15" t="s">
        <v>9877</v>
      </c>
      <c r="C55" s="18" t="s">
        <v>7351</v>
      </c>
    </row>
    <row r="56" spans="1:3">
      <c r="A56" s="6"/>
      <c r="B56" s="5"/>
      <c r="C56" s="7"/>
    </row>
    <row r="57" spans="1:3">
      <c r="A57" s="605" t="s">
        <v>7795</v>
      </c>
      <c r="B57" s="605"/>
      <c r="C57" s="28"/>
    </row>
    <row r="58" spans="1:3">
      <c r="A58" s="19" t="s">
        <v>57</v>
      </c>
      <c r="B58" s="15" t="s">
        <v>120</v>
      </c>
      <c r="C58" s="18" t="s">
        <v>7351</v>
      </c>
    </row>
    <row r="59" spans="1:3">
      <c r="A59" s="19" t="s">
        <v>58</v>
      </c>
      <c r="B59" s="15" t="s">
        <v>17</v>
      </c>
      <c r="C59" s="18" t="s">
        <v>7351</v>
      </c>
    </row>
    <row r="60" spans="1:3">
      <c r="A60" s="19" t="s">
        <v>59</v>
      </c>
      <c r="B60" s="15" t="s">
        <v>8642</v>
      </c>
      <c r="C60" s="18" t="s">
        <v>7351</v>
      </c>
    </row>
    <row r="61" spans="1:3">
      <c r="A61" s="19" t="s">
        <v>60</v>
      </c>
      <c r="B61" s="15" t="s">
        <v>18</v>
      </c>
      <c r="C61" s="18" t="s">
        <v>7351</v>
      </c>
    </row>
    <row r="62" spans="1:3">
      <c r="A62" s="19" t="s">
        <v>61</v>
      </c>
      <c r="B62" s="15" t="s">
        <v>19</v>
      </c>
      <c r="C62" s="18" t="s">
        <v>7351</v>
      </c>
    </row>
    <row r="63" spans="1:3">
      <c r="A63" s="19" t="s">
        <v>62</v>
      </c>
      <c r="B63" s="15" t="s">
        <v>144</v>
      </c>
      <c r="C63" s="18" t="s">
        <v>7351</v>
      </c>
    </row>
    <row r="64" spans="1:3">
      <c r="A64" s="19" t="s">
        <v>63</v>
      </c>
      <c r="B64" s="15" t="s">
        <v>37</v>
      </c>
      <c r="C64" s="18" t="s">
        <v>7351</v>
      </c>
    </row>
    <row r="65" spans="1:3">
      <c r="A65" s="19" t="s">
        <v>131</v>
      </c>
      <c r="B65" s="15" t="s">
        <v>9642</v>
      </c>
      <c r="C65" s="18" t="s">
        <v>7351</v>
      </c>
    </row>
    <row r="66" spans="1:3">
      <c r="A66" s="19" t="s">
        <v>149</v>
      </c>
      <c r="B66" s="15" t="s">
        <v>20</v>
      </c>
      <c r="C66" s="18" t="s">
        <v>7351</v>
      </c>
    </row>
    <row r="67" spans="1:3">
      <c r="A67" s="19" t="s">
        <v>150</v>
      </c>
      <c r="B67" s="15" t="s">
        <v>10699</v>
      </c>
      <c r="C67" s="18" t="s">
        <v>7351</v>
      </c>
    </row>
    <row r="68" spans="1:3" ht="25.5">
      <c r="A68" s="19" t="s">
        <v>151</v>
      </c>
      <c r="B68" s="15" t="s">
        <v>8811</v>
      </c>
      <c r="C68" s="18" t="s">
        <v>7351</v>
      </c>
    </row>
    <row r="69" spans="1:3">
      <c r="A69" s="19" t="s">
        <v>152</v>
      </c>
      <c r="B69" s="15" t="s">
        <v>110</v>
      </c>
      <c r="C69" s="18" t="s">
        <v>7351</v>
      </c>
    </row>
    <row r="70" spans="1:3">
      <c r="A70" s="19" t="s">
        <v>7797</v>
      </c>
      <c r="B70" s="17" t="s">
        <v>137</v>
      </c>
      <c r="C70" s="153" t="s">
        <v>7351</v>
      </c>
    </row>
    <row r="71" spans="1:3">
      <c r="A71" s="2"/>
      <c r="B71" s="3"/>
      <c r="C71" s="4"/>
    </row>
    <row r="72" spans="1:3">
      <c r="A72" s="605" t="s">
        <v>7798</v>
      </c>
      <c r="B72" s="605"/>
      <c r="C72" s="28"/>
    </row>
    <row r="73" spans="1:3">
      <c r="A73" s="19" t="s">
        <v>64</v>
      </c>
      <c r="B73" s="15" t="s">
        <v>108</v>
      </c>
      <c r="C73" s="18" t="s">
        <v>7351</v>
      </c>
    </row>
    <row r="74" spans="1:3">
      <c r="A74" s="19" t="s">
        <v>65</v>
      </c>
      <c r="B74" s="15" t="s">
        <v>21</v>
      </c>
      <c r="C74" s="18" t="s">
        <v>7351</v>
      </c>
    </row>
    <row r="75" spans="1:3">
      <c r="A75" s="19" t="s">
        <v>66</v>
      </c>
      <c r="B75" s="15" t="s">
        <v>121</v>
      </c>
      <c r="C75" s="18" t="s">
        <v>7351</v>
      </c>
    </row>
    <row r="76" spans="1:3">
      <c r="A76" s="19" t="s">
        <v>67</v>
      </c>
      <c r="B76" s="15" t="s">
        <v>22</v>
      </c>
      <c r="C76" s="18" t="s">
        <v>7351</v>
      </c>
    </row>
    <row r="77" spans="1:3">
      <c r="A77" s="2"/>
      <c r="B77" s="3"/>
      <c r="C77" s="4"/>
    </row>
    <row r="78" spans="1:3">
      <c r="A78" s="605" t="s">
        <v>7799</v>
      </c>
      <c r="B78" s="605"/>
      <c r="C78" s="28"/>
    </row>
    <row r="79" spans="1:3">
      <c r="A79" s="19" t="s">
        <v>68</v>
      </c>
      <c r="B79" s="15" t="s">
        <v>136</v>
      </c>
      <c r="C79" s="18" t="s">
        <v>7351</v>
      </c>
    </row>
    <row r="80" spans="1:3">
      <c r="A80" s="19" t="s">
        <v>69</v>
      </c>
      <c r="B80" s="15" t="s">
        <v>23</v>
      </c>
      <c r="C80" s="18" t="s">
        <v>7351</v>
      </c>
    </row>
    <row r="81" spans="1:3">
      <c r="A81" s="19" t="s">
        <v>70</v>
      </c>
      <c r="B81" s="15" t="s">
        <v>24</v>
      </c>
      <c r="C81" s="18" t="s">
        <v>7351</v>
      </c>
    </row>
    <row r="82" spans="1:3" ht="25.5">
      <c r="A82" s="19" t="s">
        <v>71</v>
      </c>
      <c r="B82" s="15" t="s">
        <v>8756</v>
      </c>
      <c r="C82" s="18" t="s">
        <v>7351</v>
      </c>
    </row>
    <row r="83" spans="1:3">
      <c r="A83" s="19" t="s">
        <v>7800</v>
      </c>
      <c r="B83" s="15" t="s">
        <v>25</v>
      </c>
      <c r="C83" s="18" t="s">
        <v>7351</v>
      </c>
    </row>
    <row r="84" spans="1:3">
      <c r="A84" s="19" t="s">
        <v>7801</v>
      </c>
      <c r="B84" s="15" t="s">
        <v>169</v>
      </c>
      <c r="C84" s="18" t="s">
        <v>7351</v>
      </c>
    </row>
    <row r="85" spans="1:3">
      <c r="A85" s="2"/>
      <c r="B85" s="3"/>
      <c r="C85" s="4"/>
    </row>
    <row r="86" spans="1:3">
      <c r="A86" s="605" t="s">
        <v>7844</v>
      </c>
      <c r="B86" s="605"/>
      <c r="C86" s="28"/>
    </row>
    <row r="87" spans="1:3">
      <c r="A87" s="19" t="s">
        <v>72</v>
      </c>
      <c r="B87" s="15" t="s">
        <v>8628</v>
      </c>
      <c r="C87" s="18" t="s">
        <v>7351</v>
      </c>
    </row>
    <row r="88" spans="1:3">
      <c r="A88" s="19" t="s">
        <v>73</v>
      </c>
      <c r="B88" s="15" t="s">
        <v>8959</v>
      </c>
      <c r="C88" s="18" t="s">
        <v>7351</v>
      </c>
    </row>
    <row r="89" spans="1:3">
      <c r="A89" s="19" t="s">
        <v>74</v>
      </c>
      <c r="B89" s="15" t="s">
        <v>8627</v>
      </c>
      <c r="C89" s="18" t="s">
        <v>7351</v>
      </c>
    </row>
    <row r="90" spans="1:3">
      <c r="A90" s="19" t="s">
        <v>153</v>
      </c>
      <c r="B90" s="15" t="s">
        <v>38</v>
      </c>
      <c r="C90" s="18" t="s">
        <v>7351</v>
      </c>
    </row>
    <row r="91" spans="1:3">
      <c r="A91" s="19" t="s">
        <v>154</v>
      </c>
      <c r="B91" s="15" t="s">
        <v>146</v>
      </c>
      <c r="C91" s="18" t="s">
        <v>7351</v>
      </c>
    </row>
    <row r="92" spans="1:3" ht="25.5">
      <c r="A92" s="19" t="s">
        <v>9256</v>
      </c>
      <c r="B92" s="15" t="s">
        <v>10973</v>
      </c>
      <c r="C92" s="18" t="s">
        <v>7351</v>
      </c>
    </row>
    <row r="93" spans="1:3">
      <c r="A93" s="2"/>
      <c r="B93" s="3"/>
      <c r="C93" s="4"/>
    </row>
    <row r="94" spans="1:3">
      <c r="A94" s="605" t="s">
        <v>7845</v>
      </c>
      <c r="B94" s="605"/>
      <c r="C94" s="28"/>
    </row>
    <row r="95" spans="1:3" ht="25.5">
      <c r="A95" s="19" t="s">
        <v>75</v>
      </c>
      <c r="B95" s="20" t="s">
        <v>122</v>
      </c>
      <c r="C95" s="18" t="s">
        <v>7351</v>
      </c>
    </row>
    <row r="96" spans="1:3">
      <c r="A96" s="19" t="s">
        <v>76</v>
      </c>
      <c r="B96" s="15" t="s">
        <v>145</v>
      </c>
      <c r="C96" s="18" t="s">
        <v>7351</v>
      </c>
    </row>
    <row r="97" spans="1:3">
      <c r="A97" s="19" t="s">
        <v>77</v>
      </c>
      <c r="B97" s="15" t="s">
        <v>26</v>
      </c>
      <c r="C97" s="18" t="s">
        <v>7351</v>
      </c>
    </row>
    <row r="98" spans="1:3">
      <c r="A98" s="19" t="s">
        <v>138</v>
      </c>
      <c r="B98" s="15" t="s">
        <v>27</v>
      </c>
      <c r="C98" s="18" t="s">
        <v>7351</v>
      </c>
    </row>
    <row r="99" spans="1:3">
      <c r="A99" s="19" t="s">
        <v>163</v>
      </c>
      <c r="B99" s="15" t="s">
        <v>9573</v>
      </c>
      <c r="C99" s="18" t="s">
        <v>7351</v>
      </c>
    </row>
    <row r="100" spans="1:3">
      <c r="A100" s="19" t="s">
        <v>7846</v>
      </c>
      <c r="B100" s="15" t="s">
        <v>29</v>
      </c>
      <c r="C100" s="18" t="s">
        <v>7351</v>
      </c>
    </row>
    <row r="101" spans="1:3">
      <c r="A101" s="19" t="s">
        <v>7847</v>
      </c>
      <c r="B101" s="15" t="s">
        <v>30</v>
      </c>
      <c r="C101" s="18" t="s">
        <v>7351</v>
      </c>
    </row>
    <row r="102" spans="1:3">
      <c r="A102" s="19" t="s">
        <v>7848</v>
      </c>
      <c r="B102" s="15" t="s">
        <v>117</v>
      </c>
      <c r="C102" s="18" t="s">
        <v>7351</v>
      </c>
    </row>
    <row r="103" spans="1:3">
      <c r="A103" s="19" t="s">
        <v>7849</v>
      </c>
      <c r="B103" s="15" t="s">
        <v>31</v>
      </c>
      <c r="C103" s="18" t="s">
        <v>7351</v>
      </c>
    </row>
    <row r="104" spans="1:3">
      <c r="A104" s="2"/>
      <c r="B104" s="5"/>
      <c r="C104" s="4"/>
    </row>
    <row r="105" spans="1:3">
      <c r="A105" s="605" t="s">
        <v>7850</v>
      </c>
      <c r="B105" s="605"/>
      <c r="C105" s="28"/>
    </row>
    <row r="106" spans="1:3">
      <c r="A106" s="14" t="s">
        <v>78</v>
      </c>
      <c r="B106" s="15" t="s">
        <v>32</v>
      </c>
      <c r="C106" s="18" t="s">
        <v>7351</v>
      </c>
    </row>
    <row r="107" spans="1:3">
      <c r="A107" s="14" t="s">
        <v>79</v>
      </c>
      <c r="B107" s="15" t="s">
        <v>8017</v>
      </c>
      <c r="C107" s="18" t="s">
        <v>7351</v>
      </c>
    </row>
    <row r="108" spans="1:3">
      <c r="A108" s="14"/>
      <c r="B108" s="15"/>
      <c r="C108" s="18"/>
    </row>
    <row r="109" spans="1:3">
      <c r="A109" s="605" t="s">
        <v>7851</v>
      </c>
      <c r="B109" s="605"/>
      <c r="C109" s="28"/>
    </row>
    <row r="110" spans="1:3">
      <c r="A110" s="14" t="s">
        <v>80</v>
      </c>
      <c r="B110" s="15" t="s">
        <v>170</v>
      </c>
      <c r="C110" s="18" t="s">
        <v>7351</v>
      </c>
    </row>
    <row r="111" spans="1:3">
      <c r="A111" s="14" t="s">
        <v>81</v>
      </c>
      <c r="B111" s="15" t="s">
        <v>171</v>
      </c>
      <c r="C111" s="18" t="s">
        <v>7351</v>
      </c>
    </row>
    <row r="112" spans="1:3">
      <c r="A112" s="14" t="s">
        <v>7802</v>
      </c>
      <c r="B112" s="15" t="s">
        <v>172</v>
      </c>
      <c r="C112" s="18" t="s">
        <v>7351</v>
      </c>
    </row>
    <row r="113" spans="1:3">
      <c r="A113" s="14" t="s">
        <v>7803</v>
      </c>
      <c r="B113" s="15" t="s">
        <v>130</v>
      </c>
      <c r="C113" s="18" t="s">
        <v>7351</v>
      </c>
    </row>
    <row r="114" spans="1:3">
      <c r="A114" s="14" t="s">
        <v>7804</v>
      </c>
      <c r="B114" s="15" t="s">
        <v>33</v>
      </c>
      <c r="C114" s="18" t="s">
        <v>7351</v>
      </c>
    </row>
    <row r="115" spans="1:3">
      <c r="A115" s="14" t="s">
        <v>7805</v>
      </c>
      <c r="B115" s="15" t="s">
        <v>10716</v>
      </c>
      <c r="C115" s="18" t="s">
        <v>7351</v>
      </c>
    </row>
    <row r="116" spans="1:3">
      <c r="A116" s="14" t="s">
        <v>7806</v>
      </c>
      <c r="B116" s="15" t="s">
        <v>112</v>
      </c>
      <c r="C116" s="18" t="s">
        <v>7351</v>
      </c>
    </row>
    <row r="117" spans="1:3">
      <c r="A117" s="14" t="s">
        <v>7807</v>
      </c>
      <c r="B117" s="15" t="s">
        <v>123</v>
      </c>
      <c r="C117" s="18" t="s">
        <v>7351</v>
      </c>
    </row>
    <row r="118" spans="1:3">
      <c r="A118" s="14" t="s">
        <v>7808</v>
      </c>
      <c r="B118" s="15" t="s">
        <v>34</v>
      </c>
      <c r="C118" s="18" t="s">
        <v>7351</v>
      </c>
    </row>
    <row r="119" spans="1:3" ht="51">
      <c r="A119" s="14" t="s">
        <v>7852</v>
      </c>
      <c r="B119" s="15" t="s">
        <v>9054</v>
      </c>
      <c r="C119" s="18" t="s">
        <v>7351</v>
      </c>
    </row>
    <row r="120" spans="1:3">
      <c r="A120" s="14"/>
      <c r="B120" s="15"/>
      <c r="C120" s="18"/>
    </row>
    <row r="121" spans="1:3">
      <c r="A121" s="605" t="s">
        <v>8863</v>
      </c>
      <c r="B121" s="605"/>
      <c r="C121" s="18"/>
    </row>
    <row r="122" spans="1:3">
      <c r="A122" s="14" t="s">
        <v>82</v>
      </c>
      <c r="B122" s="15" t="s">
        <v>8872</v>
      </c>
      <c r="C122" s="18" t="s">
        <v>7351</v>
      </c>
    </row>
    <row r="123" spans="1:3">
      <c r="A123" s="14" t="s">
        <v>83</v>
      </c>
      <c r="B123" s="15" t="s">
        <v>8873</v>
      </c>
      <c r="C123" s="18" t="s">
        <v>7351</v>
      </c>
    </row>
    <row r="124" spans="1:3">
      <c r="A124" s="14" t="s">
        <v>155</v>
      </c>
      <c r="B124" s="15" t="s">
        <v>8874</v>
      </c>
      <c r="C124" s="18" t="s">
        <v>7351</v>
      </c>
    </row>
    <row r="125" spans="1:3">
      <c r="A125" s="14" t="s">
        <v>156</v>
      </c>
      <c r="B125" s="15" t="s">
        <v>8875</v>
      </c>
      <c r="C125" s="18" t="s">
        <v>7351</v>
      </c>
    </row>
    <row r="126" spans="1:3">
      <c r="A126" s="14" t="s">
        <v>157</v>
      </c>
      <c r="B126" s="15" t="s">
        <v>36</v>
      </c>
      <c r="C126" s="18" t="s">
        <v>7351</v>
      </c>
    </row>
    <row r="127" spans="1:3">
      <c r="A127" s="14" t="s">
        <v>158</v>
      </c>
      <c r="B127" s="15" t="s">
        <v>8876</v>
      </c>
      <c r="C127" s="18" t="s">
        <v>7351</v>
      </c>
    </row>
    <row r="128" spans="1:3">
      <c r="A128" s="14" t="s">
        <v>159</v>
      </c>
      <c r="B128" s="15" t="s">
        <v>8877</v>
      </c>
      <c r="C128" s="18" t="s">
        <v>7351</v>
      </c>
    </row>
    <row r="129" spans="1:3">
      <c r="A129" s="14" t="s">
        <v>160</v>
      </c>
      <c r="B129" s="15" t="s">
        <v>8878</v>
      </c>
      <c r="C129" s="18" t="s">
        <v>7351</v>
      </c>
    </row>
    <row r="130" spans="1:3">
      <c r="A130" s="14" t="s">
        <v>161</v>
      </c>
      <c r="B130" s="15" t="s">
        <v>8879</v>
      </c>
      <c r="C130" s="18" t="s">
        <v>7351</v>
      </c>
    </row>
    <row r="131" spans="1:3">
      <c r="A131" s="14" t="s">
        <v>162</v>
      </c>
      <c r="B131" s="15" t="s">
        <v>8880</v>
      </c>
      <c r="C131" s="18" t="s">
        <v>7351</v>
      </c>
    </row>
    <row r="132" spans="1:3" ht="25.5">
      <c r="A132" s="14" t="s">
        <v>8671</v>
      </c>
      <c r="B132" s="15" t="s">
        <v>8881</v>
      </c>
      <c r="C132" s="18" t="s">
        <v>7351</v>
      </c>
    </row>
    <row r="133" spans="1:3">
      <c r="A133" s="14" t="s">
        <v>8672</v>
      </c>
      <c r="B133" s="15" t="s">
        <v>9569</v>
      </c>
      <c r="C133" s="18" t="s">
        <v>7351</v>
      </c>
    </row>
    <row r="134" spans="1:3">
      <c r="A134" s="14"/>
      <c r="B134" s="15"/>
      <c r="C134" s="18"/>
    </row>
    <row r="135" spans="1:3">
      <c r="A135" s="42" t="s">
        <v>10717</v>
      </c>
      <c r="B135" s="42"/>
      <c r="C135" s="28"/>
    </row>
    <row r="136" spans="1:3">
      <c r="A136" s="14" t="s">
        <v>84</v>
      </c>
      <c r="B136" s="15" t="s">
        <v>8864</v>
      </c>
      <c r="C136" s="18" t="s">
        <v>7351</v>
      </c>
    </row>
    <row r="137" spans="1:3">
      <c r="A137" s="14" t="s">
        <v>85</v>
      </c>
      <c r="B137" s="15" t="s">
        <v>8865</v>
      </c>
      <c r="C137" s="18" t="s">
        <v>7351</v>
      </c>
    </row>
    <row r="138" spans="1:3">
      <c r="A138" s="14" t="s">
        <v>86</v>
      </c>
      <c r="B138" s="15" t="s">
        <v>8866</v>
      </c>
      <c r="C138" s="18" t="s">
        <v>7351</v>
      </c>
    </row>
    <row r="139" spans="1:3">
      <c r="A139" s="14" t="s">
        <v>174</v>
      </c>
      <c r="B139" s="15" t="s">
        <v>8867</v>
      </c>
      <c r="C139" s="18" t="s">
        <v>7351</v>
      </c>
    </row>
    <row r="140" spans="1:3">
      <c r="A140" s="14" t="s">
        <v>175</v>
      </c>
      <c r="B140" s="15" t="s">
        <v>9058</v>
      </c>
      <c r="C140" s="18" t="s">
        <v>7351</v>
      </c>
    </row>
    <row r="141" spans="1:3">
      <c r="A141" s="14" t="s">
        <v>176</v>
      </c>
      <c r="B141" s="15" t="s">
        <v>36</v>
      </c>
      <c r="C141" s="18" t="s">
        <v>7351</v>
      </c>
    </row>
    <row r="142" spans="1:3">
      <c r="A142" s="14" t="s">
        <v>177</v>
      </c>
      <c r="B142" s="15" t="s">
        <v>8868</v>
      </c>
      <c r="C142" s="18" t="s">
        <v>7351</v>
      </c>
    </row>
    <row r="143" spans="1:3">
      <c r="A143" s="14" t="s">
        <v>178</v>
      </c>
      <c r="B143" s="15" t="s">
        <v>8869</v>
      </c>
      <c r="C143" s="18" t="s">
        <v>7351</v>
      </c>
    </row>
    <row r="144" spans="1:3">
      <c r="A144" s="14" t="s">
        <v>179</v>
      </c>
      <c r="B144" s="15" t="s">
        <v>8870</v>
      </c>
      <c r="C144" s="18" t="s">
        <v>7351</v>
      </c>
    </row>
    <row r="145" spans="1:3">
      <c r="A145" s="14" t="s">
        <v>180</v>
      </c>
      <c r="B145" s="15" t="s">
        <v>113</v>
      </c>
      <c r="C145" s="18" t="s">
        <v>7351</v>
      </c>
    </row>
    <row r="146" spans="1:3">
      <c r="A146" s="14" t="s">
        <v>8678</v>
      </c>
      <c r="B146" s="15" t="s">
        <v>166</v>
      </c>
      <c r="C146" s="18" t="s">
        <v>7351</v>
      </c>
    </row>
    <row r="147" spans="1:3">
      <c r="A147" s="2"/>
      <c r="B147" s="3"/>
      <c r="C147" s="4"/>
    </row>
    <row r="148" spans="1:3">
      <c r="A148" s="605" t="s">
        <v>7855</v>
      </c>
      <c r="B148" s="605"/>
      <c r="C148" s="28"/>
    </row>
    <row r="149" spans="1:3">
      <c r="A149" s="14" t="s">
        <v>87</v>
      </c>
      <c r="B149" s="15" t="s">
        <v>166</v>
      </c>
      <c r="C149" s="18" t="s">
        <v>7351</v>
      </c>
    </row>
    <row r="150" spans="1:3">
      <c r="A150" s="14" t="s">
        <v>88</v>
      </c>
      <c r="B150" s="15" t="s">
        <v>165</v>
      </c>
      <c r="C150" s="18" t="s">
        <v>7351</v>
      </c>
    </row>
    <row r="151" spans="1:3">
      <c r="A151" s="14"/>
      <c r="B151" s="15"/>
      <c r="C151" s="18"/>
    </row>
    <row r="152" spans="1:3">
      <c r="A152" s="605" t="s">
        <v>7856</v>
      </c>
      <c r="B152" s="605"/>
      <c r="C152" s="28"/>
    </row>
    <row r="153" spans="1:3">
      <c r="A153" s="14" t="s">
        <v>89</v>
      </c>
      <c r="B153" s="15" t="s">
        <v>35</v>
      </c>
      <c r="C153" s="18" t="s">
        <v>7351</v>
      </c>
    </row>
    <row r="154" spans="1:3">
      <c r="A154" s="14" t="s">
        <v>90</v>
      </c>
      <c r="B154" s="15" t="s">
        <v>112</v>
      </c>
      <c r="C154" s="18" t="s">
        <v>7351</v>
      </c>
    </row>
    <row r="155" spans="1:3">
      <c r="A155" s="14" t="s">
        <v>7809</v>
      </c>
      <c r="B155" s="15" t="s">
        <v>123</v>
      </c>
      <c r="C155" s="18" t="s">
        <v>7351</v>
      </c>
    </row>
    <row r="156" spans="1:3">
      <c r="A156" s="14"/>
      <c r="B156" s="15"/>
      <c r="C156" s="18"/>
    </row>
    <row r="157" spans="1:3">
      <c r="A157" s="605" t="s">
        <v>7857</v>
      </c>
      <c r="B157" s="605"/>
      <c r="C157" s="28"/>
    </row>
    <row r="158" spans="1:3">
      <c r="A158" s="14" t="s">
        <v>91</v>
      </c>
      <c r="B158" s="15" t="s">
        <v>115</v>
      </c>
      <c r="C158" s="18" t="s">
        <v>7351</v>
      </c>
    </row>
    <row r="159" spans="1:3">
      <c r="A159" s="14" t="s">
        <v>92</v>
      </c>
      <c r="B159" s="15" t="s">
        <v>9572</v>
      </c>
      <c r="C159" s="18" t="s">
        <v>7351</v>
      </c>
    </row>
    <row r="160" spans="1:3">
      <c r="A160" s="14" t="s">
        <v>93</v>
      </c>
      <c r="B160" s="15" t="s">
        <v>173</v>
      </c>
      <c r="C160" s="18" t="s">
        <v>7351</v>
      </c>
    </row>
    <row r="161" spans="1:3">
      <c r="A161" s="14" t="s">
        <v>7858</v>
      </c>
      <c r="B161" s="15" t="s">
        <v>8993</v>
      </c>
      <c r="C161" s="18" t="s">
        <v>7351</v>
      </c>
    </row>
    <row r="162" spans="1:3">
      <c r="A162" s="14" t="s">
        <v>9571</v>
      </c>
      <c r="B162" s="15" t="s">
        <v>8992</v>
      </c>
      <c r="C162" s="18" t="s">
        <v>7351</v>
      </c>
    </row>
    <row r="163" spans="1:3">
      <c r="A163" s="2"/>
      <c r="B163" s="3"/>
      <c r="C163" s="4"/>
    </row>
    <row r="164" spans="1:3">
      <c r="A164" s="605" t="s">
        <v>7859</v>
      </c>
      <c r="B164" s="605"/>
      <c r="C164" s="28"/>
    </row>
    <row r="165" spans="1:3">
      <c r="A165" s="14" t="s">
        <v>94</v>
      </c>
      <c r="B165" s="15" t="s">
        <v>7510</v>
      </c>
      <c r="C165" s="18" t="s">
        <v>7351</v>
      </c>
    </row>
    <row r="166" spans="1:3">
      <c r="A166" s="14" t="s">
        <v>95</v>
      </c>
      <c r="B166" s="15" t="s">
        <v>141</v>
      </c>
      <c r="C166" s="18" t="s">
        <v>7351</v>
      </c>
    </row>
    <row r="167" spans="1:3">
      <c r="A167" s="14" t="s">
        <v>96</v>
      </c>
      <c r="B167" s="15" t="s">
        <v>147</v>
      </c>
      <c r="C167" s="18" t="s">
        <v>7351</v>
      </c>
    </row>
    <row r="168" spans="1:3">
      <c r="A168" s="14" t="s">
        <v>97</v>
      </c>
      <c r="B168" s="15" t="s">
        <v>135</v>
      </c>
      <c r="C168" s="18" t="s">
        <v>7351</v>
      </c>
    </row>
    <row r="169" spans="1:3">
      <c r="A169" s="14" t="s">
        <v>7860</v>
      </c>
      <c r="B169" s="15" t="s">
        <v>139</v>
      </c>
      <c r="C169" s="18" t="s">
        <v>7351</v>
      </c>
    </row>
    <row r="170" spans="1:3">
      <c r="A170" s="14" t="s">
        <v>7861</v>
      </c>
      <c r="B170" s="15" t="s">
        <v>39</v>
      </c>
      <c r="C170" s="18" t="s">
        <v>7351</v>
      </c>
    </row>
    <row r="171" spans="1:3">
      <c r="A171" s="14" t="s">
        <v>7862</v>
      </c>
      <c r="B171" s="15" t="s">
        <v>40</v>
      </c>
      <c r="C171" s="18" t="s">
        <v>7351</v>
      </c>
    </row>
    <row r="172" spans="1:3">
      <c r="A172" s="14" t="s">
        <v>7863</v>
      </c>
      <c r="B172" s="15" t="s">
        <v>16</v>
      </c>
      <c r="C172" s="18" t="s">
        <v>7351</v>
      </c>
    </row>
    <row r="173" spans="1:3">
      <c r="A173" s="14"/>
      <c r="B173" s="15"/>
      <c r="C173" s="18"/>
    </row>
    <row r="174" spans="1:3">
      <c r="A174" s="605" t="s">
        <v>7864</v>
      </c>
      <c r="B174" s="605"/>
      <c r="C174" s="28"/>
    </row>
    <row r="175" spans="1:3">
      <c r="A175" s="14" t="s">
        <v>98</v>
      </c>
      <c r="B175" s="9" t="str">
        <f>_xlfn.CONCAT('Pricing Sheet'!A24:L24)</f>
        <v/>
      </c>
      <c r="C175" s="24" t="s">
        <v>7350</v>
      </c>
    </row>
    <row r="176" spans="1:3">
      <c r="A176" s="14" t="s">
        <v>99</v>
      </c>
      <c r="B176" s="9" t="str">
        <f>_xlfn.CONCAT('Pricing Sheet'!A25:L25)</f>
        <v/>
      </c>
      <c r="C176" s="24" t="s">
        <v>7350</v>
      </c>
    </row>
    <row r="177" spans="1:3">
      <c r="A177" s="14" t="s">
        <v>181</v>
      </c>
      <c r="B177" s="9" t="str">
        <f>_xlfn.CONCAT('Pricing Sheet'!A26:L26)</f>
        <v/>
      </c>
      <c r="C177" s="24" t="s">
        <v>7350</v>
      </c>
    </row>
    <row r="178" spans="1:3">
      <c r="A178" s="14" t="s">
        <v>182</v>
      </c>
      <c r="B178" s="9" t="str">
        <f>_xlfn.CONCAT('Pricing Sheet'!A27:L27)</f>
        <v/>
      </c>
      <c r="C178" s="24" t="s">
        <v>7350</v>
      </c>
    </row>
    <row r="179" spans="1:3">
      <c r="A179" s="14" t="s">
        <v>183</v>
      </c>
      <c r="B179" s="9" t="str">
        <f>_xlfn.CONCAT('Pricing Sheet'!A28:L28)</f>
        <v/>
      </c>
      <c r="C179" s="24" t="s">
        <v>7350</v>
      </c>
    </row>
    <row r="180" spans="1:3">
      <c r="A180" s="14" t="s">
        <v>184</v>
      </c>
      <c r="B180" s="9" t="str">
        <f>_xlfn.CONCAT('Pricing Sheet'!A29:L29)</f>
        <v/>
      </c>
      <c r="C180" s="24" t="s">
        <v>7350</v>
      </c>
    </row>
    <row r="181" spans="1:3">
      <c r="A181" s="14" t="s">
        <v>185</v>
      </c>
      <c r="B181" s="9" t="str">
        <f>_xlfn.CONCAT('Pricing Sheet'!A30:L30)</f>
        <v/>
      </c>
      <c r="C181" s="24" t="s">
        <v>7350</v>
      </c>
    </row>
    <row r="182" spans="1:3">
      <c r="A182" s="14" t="s">
        <v>186</v>
      </c>
      <c r="B182" s="9" t="str">
        <f>_xlfn.CONCAT('Pricing Sheet'!A31:L31)</f>
        <v/>
      </c>
      <c r="C182" s="24" t="s">
        <v>7350</v>
      </c>
    </row>
    <row r="183" spans="1:3">
      <c r="A183" s="14" t="s">
        <v>7865</v>
      </c>
      <c r="B183" s="9" t="str">
        <f>_xlfn.CONCAT('Pricing Sheet'!A32:L32)</f>
        <v/>
      </c>
      <c r="C183" s="24" t="s">
        <v>7350</v>
      </c>
    </row>
    <row r="184" spans="1:3">
      <c r="A184" s="14" t="s">
        <v>7866</v>
      </c>
      <c r="B184" s="9" t="str">
        <f>_xlfn.CONCAT('Pricing Sheet'!A33:L33)</f>
        <v/>
      </c>
      <c r="C184" s="24" t="s">
        <v>7350</v>
      </c>
    </row>
    <row r="185" spans="1:3">
      <c r="A185" s="14" t="s">
        <v>7867</v>
      </c>
      <c r="B185" s="9" t="str">
        <f>_xlfn.CONCAT('Pricing Sheet'!A34:L34)</f>
        <v/>
      </c>
      <c r="C185" s="24" t="s">
        <v>7350</v>
      </c>
    </row>
    <row r="186" spans="1:3">
      <c r="A186" s="14" t="s">
        <v>7868</v>
      </c>
      <c r="B186" s="9" t="str">
        <f>_xlfn.CONCAT('Pricing Sheet'!A35:L35)</f>
        <v/>
      </c>
      <c r="C186" s="24" t="s">
        <v>7350</v>
      </c>
    </row>
    <row r="187" spans="1:3">
      <c r="A187" s="14" t="s">
        <v>7869</v>
      </c>
      <c r="B187" s="9" t="str">
        <f>_xlfn.CONCAT('Pricing Sheet'!A36:L36)</f>
        <v/>
      </c>
      <c r="C187" s="24" t="s">
        <v>7350</v>
      </c>
    </row>
    <row r="188" spans="1:3">
      <c r="A188" s="14" t="s">
        <v>7870</v>
      </c>
      <c r="B188" s="9" t="str">
        <f>_xlfn.CONCAT('Pricing Sheet'!A37:L37)</f>
        <v/>
      </c>
      <c r="C188" s="24" t="s">
        <v>7350</v>
      </c>
    </row>
    <row r="189" spans="1:3">
      <c r="A189" s="14" t="s">
        <v>7871</v>
      </c>
      <c r="B189" s="9" t="str">
        <f>_xlfn.CONCAT('Pricing Sheet'!A38:L38)</f>
        <v/>
      </c>
      <c r="C189" s="24" t="s">
        <v>7350</v>
      </c>
    </row>
    <row r="190" spans="1:3">
      <c r="A190" s="14" t="s">
        <v>7872</v>
      </c>
      <c r="B190" s="9" t="str">
        <f>_xlfn.CONCAT('Pricing Sheet'!A39:L39)</f>
        <v/>
      </c>
      <c r="C190" s="24" t="s">
        <v>7350</v>
      </c>
    </row>
    <row r="191" spans="1:3">
      <c r="A191" s="14" t="s">
        <v>7873</v>
      </c>
      <c r="B191" s="9" t="str">
        <f>_xlfn.CONCAT('Pricing Sheet'!A40:L40)</f>
        <v/>
      </c>
      <c r="C191" s="24" t="s">
        <v>7350</v>
      </c>
    </row>
    <row r="192" spans="1:3">
      <c r="A192" s="14" t="s">
        <v>7874</v>
      </c>
      <c r="B192" s="9" t="str">
        <f>_xlfn.CONCAT('Pricing Sheet'!A41:L41)</f>
        <v/>
      </c>
      <c r="C192" s="24" t="s">
        <v>7350</v>
      </c>
    </row>
    <row r="193" spans="1:3">
      <c r="A193" s="14" t="s">
        <v>7875</v>
      </c>
      <c r="B193" s="9" t="str">
        <f>_xlfn.CONCAT('Pricing Sheet'!A42:L42)</f>
        <v/>
      </c>
      <c r="C193" s="24" t="s">
        <v>7350</v>
      </c>
    </row>
    <row r="194" spans="1:3">
      <c r="A194" s="14" t="s">
        <v>7876</v>
      </c>
      <c r="B194" s="9" t="str">
        <f>_xlfn.CONCAT('Pricing Sheet'!A43:L43)</f>
        <v/>
      </c>
      <c r="C194" s="24" t="s">
        <v>7350</v>
      </c>
    </row>
    <row r="195" spans="1:3">
      <c r="A195" s="14" t="s">
        <v>7877</v>
      </c>
      <c r="B195" s="9" t="str">
        <f>_xlfn.CONCAT('Pricing Sheet'!A44:L44)</f>
        <v/>
      </c>
      <c r="C195" s="24" t="s">
        <v>7350</v>
      </c>
    </row>
    <row r="196" spans="1:3">
      <c r="A196" s="14" t="s">
        <v>7878</v>
      </c>
      <c r="B196" s="9" t="str">
        <f>_xlfn.CONCAT('Pricing Sheet'!A45:L45)</f>
        <v/>
      </c>
      <c r="C196" s="24" t="s">
        <v>7350</v>
      </c>
    </row>
    <row r="197" spans="1:3">
      <c r="A197" s="14" t="s">
        <v>7879</v>
      </c>
      <c r="B197" s="9" t="str">
        <f>_xlfn.CONCAT('Pricing Sheet'!A46:L46)</f>
        <v/>
      </c>
      <c r="C197" s="24" t="s">
        <v>7350</v>
      </c>
    </row>
    <row r="198" spans="1:3">
      <c r="A198" s="14" t="s">
        <v>7880</v>
      </c>
      <c r="B198" s="9" t="str">
        <f>_xlfn.CONCAT('Pricing Sheet'!A47:L47)</f>
        <v/>
      </c>
      <c r="C198" s="24" t="s">
        <v>7350</v>
      </c>
    </row>
    <row r="199" spans="1:3">
      <c r="A199" s="14" t="s">
        <v>7881</v>
      </c>
      <c r="B199" s="9" t="str">
        <f>_xlfn.CONCAT('Pricing Sheet'!A48:L48)</f>
        <v/>
      </c>
      <c r="C199" s="24" t="s">
        <v>7350</v>
      </c>
    </row>
    <row r="200" spans="1:3">
      <c r="A200" s="14" t="s">
        <v>7882</v>
      </c>
      <c r="B200" s="9" t="str">
        <f>_xlfn.CONCAT('Pricing Sheet'!A49:L49)</f>
        <v/>
      </c>
      <c r="C200" s="24" t="s">
        <v>7350</v>
      </c>
    </row>
    <row r="201" spans="1:3">
      <c r="A201" s="14" t="s">
        <v>7883</v>
      </c>
      <c r="B201" s="9" t="str">
        <f>_xlfn.CONCAT('Pricing Sheet'!A50:L50)</f>
        <v/>
      </c>
      <c r="C201" s="24" t="s">
        <v>7350</v>
      </c>
    </row>
    <row r="202" spans="1:3">
      <c r="A202" s="14"/>
      <c r="B202" s="15"/>
      <c r="C202" s="18"/>
    </row>
    <row r="203" spans="1:3">
      <c r="A203" s="606" t="str">
        <f>"20 - "&amp;UPPER('Pricing Sheet'!O38)&amp;IF('Pricing Sheet'!S38=" (refer to sketch dated: ##/##/#### )","",'Pricing Sheet'!S38)</f>
        <v>20 - STRUCTURAL HOUSE MODIFICATIONS</v>
      </c>
      <c r="B203" s="606"/>
      <c r="C203" s="28"/>
    </row>
    <row r="204" spans="1:3">
      <c r="A204" s="14" t="s">
        <v>100</v>
      </c>
      <c r="B204" s="9" t="str">
        <f>_xlfn.CONCAT('Pricing Sheet'!O41:X41)</f>
        <v/>
      </c>
      <c r="C204" s="24" t="s">
        <v>7350</v>
      </c>
    </row>
    <row r="205" spans="1:3">
      <c r="A205" s="14" t="s">
        <v>101</v>
      </c>
      <c r="B205" s="9" t="str">
        <f>_xlfn.CONCAT('Pricing Sheet'!O42:X42)</f>
        <v/>
      </c>
      <c r="C205" s="24" t="s">
        <v>7350</v>
      </c>
    </row>
    <row r="206" spans="1:3">
      <c r="A206" s="14" t="s">
        <v>187</v>
      </c>
      <c r="B206" s="9" t="str">
        <f>_xlfn.CONCAT('Pricing Sheet'!O43:X43)</f>
        <v/>
      </c>
      <c r="C206" s="24" t="s">
        <v>7350</v>
      </c>
    </row>
    <row r="207" spans="1:3">
      <c r="A207" s="14" t="s">
        <v>188</v>
      </c>
      <c r="B207" s="9" t="str">
        <f>_xlfn.CONCAT('Pricing Sheet'!O44:X44)</f>
        <v/>
      </c>
      <c r="C207" s="24" t="s">
        <v>7350</v>
      </c>
    </row>
    <row r="208" spans="1:3">
      <c r="A208" s="14" t="s">
        <v>189</v>
      </c>
      <c r="B208" s="9" t="str">
        <f>_xlfn.CONCAT('Pricing Sheet'!O45:X45)</f>
        <v/>
      </c>
      <c r="C208" s="24" t="s">
        <v>7350</v>
      </c>
    </row>
    <row r="209" spans="1:3">
      <c r="A209" s="14" t="s">
        <v>190</v>
      </c>
      <c r="B209" s="9" t="str">
        <f>_xlfn.CONCAT('Pricing Sheet'!O46:X46)</f>
        <v/>
      </c>
      <c r="C209" s="24" t="s">
        <v>7350</v>
      </c>
    </row>
    <row r="210" spans="1:3">
      <c r="A210" s="14" t="s">
        <v>191</v>
      </c>
      <c r="B210" s="9" t="str">
        <f>_xlfn.CONCAT('Pricing Sheet'!O47:X47)</f>
        <v/>
      </c>
      <c r="C210" s="24" t="s">
        <v>7350</v>
      </c>
    </row>
    <row r="211" spans="1:3">
      <c r="A211" s="14" t="s">
        <v>192</v>
      </c>
      <c r="B211" s="277" t="str">
        <f>_xlfn.CONCAT('Pricing Sheet'!O48:X48)</f>
        <v/>
      </c>
      <c r="C211" s="24" t="s">
        <v>7350</v>
      </c>
    </row>
    <row r="212" spans="1:3" ht="25.5">
      <c r="A212" s="14" t="s">
        <v>193</v>
      </c>
      <c r="B212" s="9" t="str">
        <f>_xlfn.CONCAT('Pricing Sheet'!O49:X49)</f>
        <v xml:space="preserve">Provide a preliminary site clean including but not limited to removal of trees, tree root system, rubbish, long grass etc. </v>
      </c>
      <c r="C212" s="24" t="s">
        <v>7350</v>
      </c>
    </row>
    <row r="213" spans="1:3">
      <c r="A213" s="14" t="s">
        <v>7330</v>
      </c>
      <c r="B213" s="9" t="str">
        <f>_xlfn.CONCAT('Pricing Sheet'!O50:X50)</f>
        <v/>
      </c>
      <c r="C213" s="24" t="s">
        <v>7350</v>
      </c>
    </row>
    <row r="214" spans="1:3">
      <c r="A214" s="14"/>
      <c r="B214" s="9" t="str">
        <f>_xlfn.CONCAT('Pricing Sheet'!O37:X37)</f>
        <v/>
      </c>
      <c r="C214" s="18"/>
    </row>
    <row r="215" spans="1:3">
      <c r="A215" s="605" t="s">
        <v>7884</v>
      </c>
      <c r="B215" s="605"/>
      <c r="C215" s="18"/>
    </row>
    <row r="216" spans="1:3">
      <c r="A216" s="14" t="s">
        <v>7321</v>
      </c>
      <c r="B216" s="9" t="str">
        <f>_xlfn.CONCAT('Pricing Sheet'!O24:X24)</f>
        <v/>
      </c>
      <c r="C216" s="24" t="s">
        <v>7350</v>
      </c>
    </row>
    <row r="217" spans="1:3">
      <c r="A217" s="14" t="s">
        <v>7322</v>
      </c>
      <c r="B217" s="9" t="str">
        <f>_xlfn.CONCAT('Pricing Sheet'!O25:X25)</f>
        <v/>
      </c>
      <c r="C217" s="24" t="s">
        <v>7350</v>
      </c>
    </row>
    <row r="218" spans="1:3">
      <c r="A218" s="14" t="s">
        <v>7323</v>
      </c>
      <c r="B218" s="9" t="str">
        <f>_xlfn.CONCAT('Pricing Sheet'!O26:X26)</f>
        <v/>
      </c>
      <c r="C218" s="24" t="s">
        <v>7350</v>
      </c>
    </row>
    <row r="219" spans="1:3">
      <c r="A219" s="14" t="s">
        <v>7324</v>
      </c>
      <c r="B219" s="9" t="str">
        <f>_xlfn.CONCAT('Pricing Sheet'!O27:X27)</f>
        <v/>
      </c>
      <c r="C219" s="24" t="s">
        <v>7350</v>
      </c>
    </row>
    <row r="220" spans="1:3">
      <c r="A220" s="14" t="s">
        <v>7325</v>
      </c>
      <c r="B220" s="9" t="str">
        <f>_xlfn.CONCAT('Pricing Sheet'!O28:X28)</f>
        <v/>
      </c>
      <c r="C220" s="24" t="s">
        <v>7350</v>
      </c>
    </row>
    <row r="221" spans="1:3">
      <c r="A221" s="14" t="s">
        <v>7326</v>
      </c>
      <c r="B221" s="9" t="str">
        <f>_xlfn.CONCAT('Pricing Sheet'!O29:X29)</f>
        <v/>
      </c>
      <c r="C221" s="24" t="s">
        <v>7350</v>
      </c>
    </row>
    <row r="222" spans="1:3">
      <c r="A222" s="14" t="s">
        <v>7327</v>
      </c>
      <c r="B222" s="9" t="str">
        <f>_xlfn.CONCAT('Pricing Sheet'!O30:X30)</f>
        <v/>
      </c>
      <c r="C222" s="24" t="s">
        <v>7350</v>
      </c>
    </row>
    <row r="223" spans="1:3">
      <c r="A223" s="14" t="s">
        <v>7328</v>
      </c>
      <c r="B223" s="9" t="str">
        <f>_xlfn.CONCAT('Pricing Sheet'!O31:X31)</f>
        <v/>
      </c>
      <c r="C223" s="24" t="s">
        <v>7350</v>
      </c>
    </row>
    <row r="224" spans="1:3">
      <c r="A224" s="14" t="s">
        <v>7329</v>
      </c>
      <c r="B224" s="9" t="str">
        <f>_xlfn.CONCAT('Pricing Sheet'!O32:X32)</f>
        <v/>
      </c>
      <c r="C224" s="24" t="s">
        <v>7350</v>
      </c>
    </row>
    <row r="225" spans="1:3">
      <c r="A225" s="14" t="s">
        <v>7331</v>
      </c>
      <c r="B225" s="9" t="str">
        <f>_xlfn.CONCAT('Pricing Sheet'!O33:X33)</f>
        <v/>
      </c>
      <c r="C225" s="24" t="s">
        <v>7350</v>
      </c>
    </row>
    <row r="226" spans="1:3">
      <c r="A226" s="14" t="s">
        <v>7812</v>
      </c>
      <c r="B226" s="9" t="str">
        <f>_xlfn.CONCAT('Pricing Sheet'!O34:X34)</f>
        <v/>
      </c>
      <c r="C226" s="24" t="s">
        <v>7350</v>
      </c>
    </row>
    <row r="227" spans="1:3">
      <c r="A227" s="14" t="s">
        <v>7813</v>
      </c>
      <c r="B227" s="9" t="str">
        <f>_xlfn.CONCAT('Pricing Sheet'!O35:X35)</f>
        <v/>
      </c>
      <c r="C227" s="24" t="s">
        <v>7350</v>
      </c>
    </row>
    <row r="228" spans="1:3">
      <c r="A228" s="14" t="s">
        <v>7814</v>
      </c>
      <c r="B228" s="9" t="str">
        <f>_xlfn.CONCAT('Pricing Sheet'!O36:X36)</f>
        <v/>
      </c>
      <c r="C228" s="24" t="s">
        <v>7350</v>
      </c>
    </row>
    <row r="229" spans="1:3">
      <c r="A229" s="14"/>
      <c r="B229" s="15"/>
      <c r="C229" s="18"/>
    </row>
    <row r="230" spans="1:3">
      <c r="A230" s="605" t="s">
        <v>7885</v>
      </c>
      <c r="B230" s="605"/>
      <c r="C230" s="28"/>
    </row>
    <row r="231" spans="1:3" ht="25.5">
      <c r="A231" s="14" t="s">
        <v>7332</v>
      </c>
      <c r="B231" s="15" t="s">
        <v>9016</v>
      </c>
      <c r="C231" s="18" t="s">
        <v>7351</v>
      </c>
    </row>
    <row r="232" spans="1:3">
      <c r="A232" s="14" t="s">
        <v>7333</v>
      </c>
      <c r="B232" s="15" t="s">
        <v>41</v>
      </c>
      <c r="C232" s="18" t="s">
        <v>7351</v>
      </c>
    </row>
    <row r="233" spans="1:3">
      <c r="A233" s="14" t="s">
        <v>7334</v>
      </c>
      <c r="B233" s="15" t="s">
        <v>9574</v>
      </c>
      <c r="C233" s="18" t="s">
        <v>7351</v>
      </c>
    </row>
    <row r="234" spans="1:3">
      <c r="A234" s="14" t="s">
        <v>7335</v>
      </c>
      <c r="B234" s="15" t="s">
        <v>43</v>
      </c>
      <c r="C234" s="18" t="s">
        <v>7351</v>
      </c>
    </row>
    <row r="235" spans="1:3">
      <c r="A235" s="14" t="s">
        <v>7336</v>
      </c>
      <c r="B235" s="15" t="s">
        <v>124</v>
      </c>
      <c r="C235" s="18" t="s">
        <v>7351</v>
      </c>
    </row>
    <row r="236" spans="1:3">
      <c r="A236" s="14" t="s">
        <v>7337</v>
      </c>
      <c r="B236" s="15" t="s">
        <v>44</v>
      </c>
      <c r="C236" s="18" t="s">
        <v>7351</v>
      </c>
    </row>
    <row r="237" spans="1:3">
      <c r="A237" s="14" t="s">
        <v>7338</v>
      </c>
      <c r="B237" s="15" t="s">
        <v>45</v>
      </c>
      <c r="C237" s="18" t="s">
        <v>7351</v>
      </c>
    </row>
    <row r="238" spans="1:3">
      <c r="A238" s="14" t="s">
        <v>7339</v>
      </c>
      <c r="B238" s="15" t="s">
        <v>46</v>
      </c>
      <c r="C238" s="18" t="s">
        <v>7351</v>
      </c>
    </row>
    <row r="239" spans="1:3">
      <c r="A239" s="14" t="s">
        <v>7340</v>
      </c>
      <c r="B239" s="15" t="s">
        <v>47</v>
      </c>
      <c r="C239" s="18" t="s">
        <v>7351</v>
      </c>
    </row>
    <row r="240" spans="1:3">
      <c r="A240" s="2"/>
      <c r="B240" s="3"/>
      <c r="C240" s="4"/>
    </row>
    <row r="241" spans="1:20">
      <c r="A241" s="45" t="s">
        <v>48</v>
      </c>
      <c r="B241" s="12"/>
      <c r="C241" s="13"/>
    </row>
    <row r="242" spans="1:20">
      <c r="A242" s="603" t="s">
        <v>125</v>
      </c>
      <c r="B242" s="603"/>
      <c r="C242" s="603"/>
      <c r="T242" s="167" t="str">
        <f>A242</f>
        <v>The builder has the right to substitute or change any of the above items without notice or notification.</v>
      </c>
    </row>
    <row r="243" spans="1:20" ht="45">
      <c r="A243" s="602" t="s">
        <v>7913</v>
      </c>
      <c r="B243" s="602"/>
      <c r="C243" s="602"/>
      <c r="T243" s="167" t="str">
        <f>A243</f>
        <v>I / We understand that it is the policy of Hermitage Building Group Pty Ltd (ABN: 79 150 694 572) not to enter into verbal agreements, therefore I / we agree that our special requirements are to be written down and form part of our final building documentation.</v>
      </c>
    </row>
    <row r="244" spans="1:20">
      <c r="A244" s="10"/>
      <c r="B244" s="11"/>
      <c r="C244" s="23"/>
    </row>
    <row r="245" spans="1:20">
      <c r="A245" s="2"/>
      <c r="B245" s="3"/>
      <c r="C245" s="4"/>
    </row>
    <row r="246" spans="1:20">
      <c r="A246" s="2"/>
      <c r="B246" s="24" t="s">
        <v>104</v>
      </c>
      <c r="C246" s="80" cm="1">
        <f t="array" ref="C246">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47" spans="1:20">
      <c r="A247" s="25" t="s">
        <v>49</v>
      </c>
      <c r="B247" s="11"/>
      <c r="C247" s="1"/>
    </row>
    <row r="248" spans="1:20">
      <c r="A248" s="2"/>
      <c r="B248" s="3"/>
      <c r="C248" s="1"/>
    </row>
    <row r="249" spans="1:20">
      <c r="A249" s="2"/>
      <c r="B249" s="15" t="s">
        <v>50</v>
      </c>
      <c r="C249" s="26"/>
    </row>
    <row r="250" spans="1:20">
      <c r="A250" s="2"/>
      <c r="B250" s="3"/>
      <c r="C250" s="1"/>
    </row>
    <row r="251" spans="1:20">
      <c r="A251" s="2"/>
      <c r="B251" s="3"/>
      <c r="C251" s="1"/>
    </row>
    <row r="252" spans="1:20">
      <c r="A252" s="27" t="s">
        <v>167</v>
      </c>
      <c r="B252" s="3"/>
      <c r="C252" s="1"/>
    </row>
    <row r="253" spans="1:20">
      <c r="A253" s="2"/>
      <c r="B253" s="3"/>
      <c r="C253" s="1"/>
    </row>
    <row r="254" spans="1:20">
      <c r="A254" s="2"/>
      <c r="B254" s="3"/>
      <c r="C254" s="1"/>
    </row>
    <row r="255" spans="1:20">
      <c r="A255" s="27" t="s">
        <v>168</v>
      </c>
      <c r="B255" s="3"/>
      <c r="C255" s="1"/>
    </row>
    <row r="256" spans="1:20">
      <c r="A256" s="2"/>
      <c r="B256" s="3"/>
      <c r="C256" s="1"/>
    </row>
    <row r="257" spans="1:3">
      <c r="A257" s="2"/>
      <c r="B257" s="3"/>
      <c r="C257" s="1"/>
    </row>
    <row r="258" spans="1:3">
      <c r="A258" s="27" t="s">
        <v>168</v>
      </c>
      <c r="B258" s="3"/>
      <c r="C258" s="1"/>
    </row>
    <row r="259" spans="1:3">
      <c r="A259" s="2"/>
      <c r="B259" s="3"/>
      <c r="C259" s="1"/>
    </row>
  </sheetData>
  <sheetProtection algorithmName="SHA-512" hashValue="tSJeRamr4sVCtyyjUGkvTLKaxcB4WR2nPM7zbNgLAWAzZYyWtLlQTUAs8BkQqb9oXaWVx7Zh3ym6OmSZTcK/4Q==" saltValue="nmVoRxX5z0cOSEwTW1ySrw==" spinCount="100000" sheet="1" objects="1" scenarios="1" formatRows="0" insertRows="0" deleteRows="0"/>
  <mergeCells count="24">
    <mergeCell ref="A43:B43"/>
    <mergeCell ref="A17:B17"/>
    <mergeCell ref="A21:B21"/>
    <mergeCell ref="A25:B25"/>
    <mergeCell ref="A29:B29"/>
    <mergeCell ref="A32:B32"/>
    <mergeCell ref="A157:B157"/>
    <mergeCell ref="A57:B57"/>
    <mergeCell ref="A72:B72"/>
    <mergeCell ref="A78:B78"/>
    <mergeCell ref="A86:B86"/>
    <mergeCell ref="A94:B94"/>
    <mergeCell ref="A105:B105"/>
    <mergeCell ref="A109:B109"/>
    <mergeCell ref="A121:B121"/>
    <mergeCell ref="A148:B148"/>
    <mergeCell ref="A152:B152"/>
    <mergeCell ref="A243:C243"/>
    <mergeCell ref="A164:B164"/>
    <mergeCell ref="A174:B174"/>
    <mergeCell ref="A203:B203"/>
    <mergeCell ref="A215:B215"/>
    <mergeCell ref="A230:B230"/>
    <mergeCell ref="A242:C242"/>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5" manualBreakCount="5">
    <brk id="77" max="2" man="1"/>
    <brk id="134" max="2" man="1"/>
    <brk id="156" max="2" man="1"/>
    <brk id="202" max="2" man="1"/>
    <brk id="240" max="2" man="1"/>
  </rowBreaks>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C761BABC-0307-414A-A0FE-8F0EDCB9DBC8}">
          <x14:formula1>
            <xm:f>_xlfn.ANCHORARRAY(Houses!$AC$4)</xm:f>
          </x14:formula1>
          <xm:sqref>B26</xm:sqref>
        </x14:dataValidation>
        <x14:dataValidation type="list" allowBlank="1" showInputMessage="1" showErrorMessage="1" xr:uid="{79E1B40A-633C-47FA-84DA-3A4D47B0D9EF}">
          <x14:formula1>
            <xm:f>_xlfn.ANCHORARRAY(Houses!$AB$4)</xm:f>
          </x14:formula1>
          <xm:sqref>B22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3F0ED-DCCB-4BAD-B71E-4FB12E69E377}">
  <sheetPr codeName="Sheet16">
    <tabColor theme="8" tint="0.39997558519241921"/>
  </sheetPr>
  <dimension ref="A1:T292"/>
  <sheetViews>
    <sheetView view="pageBreakPreview" topLeftCell="A78" zoomScaleNormal="100" zoomScaleSheetLayoutView="100" workbookViewId="0">
      <selection activeCell="F98" sqref="F98"/>
    </sheetView>
  </sheetViews>
  <sheetFormatPr defaultColWidth="8.5703125" defaultRowHeight="15"/>
  <cols>
    <col min="1" max="1" width="10.42578125" customWidth="1"/>
    <col min="2" max="2" width="70.5703125" bestFit="1" customWidth="1"/>
    <col min="3" max="3" width="10.42578125" bestFit="1" customWidth="1"/>
    <col min="20" max="20" width="96.42578125" customWidth="1"/>
  </cols>
  <sheetData>
    <row r="1" spans="1:3" ht="136.5">
      <c r="A1" s="212" t="s">
        <v>8602</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604" t="s">
        <v>196</v>
      </c>
      <c r="B17" s="604"/>
      <c r="C17" s="1"/>
    </row>
    <row r="18" spans="1:3">
      <c r="A18" s="14"/>
      <c r="B18" s="15"/>
      <c r="C18" s="18"/>
    </row>
    <row r="19" spans="1:3">
      <c r="A19" s="42" t="s">
        <v>197</v>
      </c>
      <c r="B19" s="43" t="s">
        <v>198</v>
      </c>
      <c r="C19" s="44" t="s">
        <v>199</v>
      </c>
    </row>
    <row r="20" spans="1:3">
      <c r="A20" s="2"/>
      <c r="B20" s="3"/>
      <c r="C20" s="4"/>
    </row>
    <row r="21" spans="1:3">
      <c r="A21" s="605" t="s">
        <v>51</v>
      </c>
      <c r="B21" s="605"/>
      <c r="C21" s="28"/>
    </row>
    <row r="22" spans="1:3">
      <c r="A22" s="19" t="s">
        <v>53</v>
      </c>
      <c r="B22" s="15"/>
      <c r="C22" s="16" t="s">
        <v>7351</v>
      </c>
    </row>
    <row r="23" spans="1:3">
      <c r="A23" s="14"/>
      <c r="B23" s="15" t="str">
        <f>IF(B22&lt;&gt;"",_xlfn.XLOOKUP(B22,Table1[House],Table1[House Details]),"")</f>
        <v/>
      </c>
      <c r="C23" s="16"/>
    </row>
    <row r="24" spans="1:3">
      <c r="A24" s="14"/>
      <c r="B24" s="17"/>
      <c r="C24" s="18"/>
    </row>
    <row r="25" spans="1:3">
      <c r="A25" s="605" t="s">
        <v>52</v>
      </c>
      <c r="B25" s="605"/>
      <c r="C25" s="28"/>
    </row>
    <row r="26" spans="1:3">
      <c r="A26" s="19"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605" t="s">
        <v>200</v>
      </c>
      <c r="B29" s="605"/>
      <c r="C29" s="28"/>
    </row>
    <row r="30" spans="1:3">
      <c r="A30" s="19" t="s">
        <v>55</v>
      </c>
      <c r="B30" s="20" t="s">
        <v>8945</v>
      </c>
      <c r="C30" s="18" t="s">
        <v>7351</v>
      </c>
    </row>
    <row r="31" spans="1:3">
      <c r="A31" s="19" t="s">
        <v>8801</v>
      </c>
      <c r="B31" s="20" t="s">
        <v>8975</v>
      </c>
      <c r="C31" s="18" t="s">
        <v>7351</v>
      </c>
    </row>
    <row r="32" spans="1:3">
      <c r="A32" s="19" t="s">
        <v>8976</v>
      </c>
      <c r="B32" s="20" t="s">
        <v>8977</v>
      </c>
      <c r="C32" s="18" t="s">
        <v>7351</v>
      </c>
    </row>
    <row r="33" spans="1:3">
      <c r="A33" s="19"/>
      <c r="B33" s="20"/>
      <c r="C33" s="18"/>
    </row>
    <row r="34" spans="1:3">
      <c r="A34" s="605" t="s">
        <v>148</v>
      </c>
      <c r="B34" s="605"/>
      <c r="C34" s="28"/>
    </row>
    <row r="35" spans="1:3">
      <c r="A35" s="19" t="s">
        <v>56</v>
      </c>
      <c r="B35" s="21" t="s">
        <v>107</v>
      </c>
      <c r="C35" s="18" t="s">
        <v>7351</v>
      </c>
    </row>
    <row r="36" spans="1:3">
      <c r="A36" s="22"/>
      <c r="B36" s="15" t="s">
        <v>2</v>
      </c>
      <c r="C36" s="18" t="s">
        <v>7352</v>
      </c>
    </row>
    <row r="37" spans="1:3">
      <c r="A37" s="22"/>
      <c r="B37" s="15" t="s">
        <v>3</v>
      </c>
      <c r="C37" s="13"/>
    </row>
    <row r="38" spans="1:3">
      <c r="A38" s="22"/>
      <c r="B38" s="15" t="s">
        <v>4</v>
      </c>
      <c r="C38" s="13"/>
    </row>
    <row r="39" spans="1:3">
      <c r="A39" s="22"/>
      <c r="B39" s="15" t="s">
        <v>5</v>
      </c>
      <c r="C39" s="13"/>
    </row>
    <row r="40" spans="1:3">
      <c r="A40" s="22"/>
      <c r="B40" s="15" t="s">
        <v>6</v>
      </c>
      <c r="C40" s="13"/>
    </row>
    <row r="41" spans="1:3">
      <c r="A41" s="22"/>
      <c r="B41" s="15" t="s">
        <v>7</v>
      </c>
      <c r="C41" s="13"/>
    </row>
    <row r="42" spans="1:3">
      <c r="A42" s="22"/>
      <c r="B42" s="15" t="s">
        <v>8</v>
      </c>
      <c r="C42" s="13"/>
    </row>
    <row r="43" spans="1:3">
      <c r="A43" s="22"/>
      <c r="B43" s="15" t="s">
        <v>9</v>
      </c>
      <c r="C43" s="13"/>
    </row>
    <row r="44" spans="1:3">
      <c r="A44" s="19"/>
      <c r="B44" s="20"/>
      <c r="C44" s="18"/>
    </row>
    <row r="45" spans="1:3">
      <c r="A45" s="605" t="s">
        <v>7794</v>
      </c>
      <c r="B45" s="605"/>
      <c r="C45" s="28"/>
    </row>
    <row r="46" spans="1:3">
      <c r="A46" s="19" t="s">
        <v>7782</v>
      </c>
      <c r="B46" s="15" t="s">
        <v>11</v>
      </c>
      <c r="C46" s="18" t="s">
        <v>7351</v>
      </c>
    </row>
    <row r="47" spans="1:3">
      <c r="A47" s="19" t="s">
        <v>7783</v>
      </c>
      <c r="B47" s="15" t="s">
        <v>12</v>
      </c>
      <c r="C47" s="18" t="s">
        <v>7351</v>
      </c>
    </row>
    <row r="48" spans="1:3">
      <c r="A48" s="19" t="s">
        <v>7784</v>
      </c>
      <c r="B48" s="15" t="s">
        <v>13</v>
      </c>
      <c r="C48" s="18" t="s">
        <v>7351</v>
      </c>
    </row>
    <row r="49" spans="1:3">
      <c r="A49" s="19" t="s">
        <v>7785</v>
      </c>
      <c r="B49" s="15" t="s">
        <v>118</v>
      </c>
      <c r="C49" s="18" t="s">
        <v>7351</v>
      </c>
    </row>
    <row r="50" spans="1:3">
      <c r="A50" s="19" t="s">
        <v>7786</v>
      </c>
      <c r="B50" s="15" t="s">
        <v>142</v>
      </c>
      <c r="C50" s="18" t="s">
        <v>7351</v>
      </c>
    </row>
    <row r="51" spans="1:3">
      <c r="A51" s="19" t="s">
        <v>7787</v>
      </c>
      <c r="B51" s="15" t="s">
        <v>14</v>
      </c>
      <c r="C51" s="18" t="s">
        <v>7351</v>
      </c>
    </row>
    <row r="52" spans="1:3">
      <c r="A52" s="19" t="s">
        <v>7788</v>
      </c>
      <c r="B52" s="15" t="s">
        <v>8802</v>
      </c>
      <c r="C52" s="18" t="s">
        <v>7351</v>
      </c>
    </row>
    <row r="53" spans="1:3">
      <c r="A53" s="19" t="s">
        <v>7789</v>
      </c>
      <c r="B53" s="15" t="s">
        <v>119</v>
      </c>
      <c r="C53" s="18" t="s">
        <v>7351</v>
      </c>
    </row>
    <row r="54" spans="1:3">
      <c r="A54" s="19" t="s">
        <v>7790</v>
      </c>
      <c r="B54" s="15" t="s">
        <v>8803</v>
      </c>
      <c r="C54" s="18" t="s">
        <v>7351</v>
      </c>
    </row>
    <row r="55" spans="1:3">
      <c r="A55" s="19" t="s">
        <v>7791</v>
      </c>
      <c r="B55" s="15" t="s">
        <v>143</v>
      </c>
      <c r="C55" s="18" t="s">
        <v>7351</v>
      </c>
    </row>
    <row r="56" spans="1:3" ht="25.5">
      <c r="A56" s="19" t="s">
        <v>7792</v>
      </c>
      <c r="B56" s="15" t="s">
        <v>9878</v>
      </c>
      <c r="C56" s="18" t="s">
        <v>7351</v>
      </c>
    </row>
    <row r="57" spans="1:3">
      <c r="A57" s="19" t="s">
        <v>7793</v>
      </c>
      <c r="B57" s="15" t="s">
        <v>8804</v>
      </c>
      <c r="C57" s="18" t="s">
        <v>7351</v>
      </c>
    </row>
    <row r="58" spans="1:3">
      <c r="A58" s="19" t="s">
        <v>8805</v>
      </c>
      <c r="B58" s="15" t="s">
        <v>8806</v>
      </c>
      <c r="C58" s="18" t="s">
        <v>7351</v>
      </c>
    </row>
    <row r="59" spans="1:3">
      <c r="A59" s="6"/>
      <c r="B59" s="5"/>
      <c r="C59" s="7"/>
    </row>
    <row r="60" spans="1:3">
      <c r="A60" s="605" t="s">
        <v>7795</v>
      </c>
      <c r="B60" s="605"/>
      <c r="C60" s="28"/>
    </row>
    <row r="61" spans="1:3">
      <c r="A61" s="19" t="s">
        <v>57</v>
      </c>
      <c r="B61" s="15" t="s">
        <v>120</v>
      </c>
      <c r="C61" s="18" t="s">
        <v>7351</v>
      </c>
    </row>
    <row r="62" spans="1:3">
      <c r="A62" s="19" t="s">
        <v>58</v>
      </c>
      <c r="B62" s="15" t="s">
        <v>17</v>
      </c>
      <c r="C62" s="18" t="s">
        <v>7351</v>
      </c>
    </row>
    <row r="63" spans="1:3">
      <c r="A63" s="19" t="s">
        <v>59</v>
      </c>
      <c r="B63" s="15" t="s">
        <v>8643</v>
      </c>
      <c r="C63" s="18" t="s">
        <v>7351</v>
      </c>
    </row>
    <row r="64" spans="1:3">
      <c r="A64" s="19" t="s">
        <v>60</v>
      </c>
      <c r="B64" s="15" t="s">
        <v>18</v>
      </c>
      <c r="C64" s="18" t="s">
        <v>7351</v>
      </c>
    </row>
    <row r="65" spans="1:3">
      <c r="A65" s="19" t="s">
        <v>61</v>
      </c>
      <c r="B65" s="15" t="s">
        <v>19</v>
      </c>
      <c r="C65" s="18" t="s">
        <v>7351</v>
      </c>
    </row>
    <row r="66" spans="1:3">
      <c r="A66" s="19" t="s">
        <v>62</v>
      </c>
      <c r="B66" s="15" t="s">
        <v>144</v>
      </c>
      <c r="C66" s="18" t="s">
        <v>7351</v>
      </c>
    </row>
    <row r="67" spans="1:3">
      <c r="A67" s="19" t="s">
        <v>63</v>
      </c>
      <c r="B67" s="15" t="s">
        <v>37</v>
      </c>
      <c r="C67" s="18" t="s">
        <v>7351</v>
      </c>
    </row>
    <row r="68" spans="1:3">
      <c r="A68" s="19" t="s">
        <v>131</v>
      </c>
      <c r="B68" s="15" t="s">
        <v>9642</v>
      </c>
      <c r="C68" s="18" t="s">
        <v>7351</v>
      </c>
    </row>
    <row r="69" spans="1:3">
      <c r="A69" s="19" t="s">
        <v>149</v>
      </c>
      <c r="B69" s="15" t="s">
        <v>8807</v>
      </c>
      <c r="C69" s="18" t="s">
        <v>7351</v>
      </c>
    </row>
    <row r="70" spans="1:3">
      <c r="A70" s="19" t="s">
        <v>150</v>
      </c>
      <c r="B70" s="15" t="s">
        <v>8808</v>
      </c>
      <c r="C70" s="18" t="s">
        <v>7351</v>
      </c>
    </row>
    <row r="71" spans="1:3">
      <c r="A71" s="19" t="s">
        <v>151</v>
      </c>
      <c r="B71" s="15" t="s">
        <v>8809</v>
      </c>
      <c r="C71" s="18" t="s">
        <v>7351</v>
      </c>
    </row>
    <row r="72" spans="1:3">
      <c r="A72" s="19" t="s">
        <v>152</v>
      </c>
      <c r="B72" s="15" t="s">
        <v>8810</v>
      </c>
      <c r="C72" s="18" t="s">
        <v>7351</v>
      </c>
    </row>
    <row r="73" spans="1:3" ht="25.5">
      <c r="A73" s="19" t="s">
        <v>7796</v>
      </c>
      <c r="B73" s="15" t="s">
        <v>8811</v>
      </c>
      <c r="C73" s="18" t="s">
        <v>7351</v>
      </c>
    </row>
    <row r="74" spans="1:3">
      <c r="A74" s="19" t="s">
        <v>7797</v>
      </c>
      <c r="B74" s="17" t="s">
        <v>8812</v>
      </c>
      <c r="C74" s="18" t="s">
        <v>7351</v>
      </c>
    </row>
    <row r="75" spans="1:3">
      <c r="A75" s="2"/>
      <c r="B75" s="3"/>
      <c r="C75" s="4"/>
    </row>
    <row r="76" spans="1:3">
      <c r="A76" s="605" t="s">
        <v>7798</v>
      </c>
      <c r="B76" s="605"/>
      <c r="C76" s="28"/>
    </row>
    <row r="77" spans="1:3">
      <c r="A77" s="19" t="s">
        <v>64</v>
      </c>
      <c r="B77" s="15" t="s">
        <v>108</v>
      </c>
      <c r="C77" s="18" t="s">
        <v>7351</v>
      </c>
    </row>
    <row r="78" spans="1:3">
      <c r="A78" s="19" t="s">
        <v>65</v>
      </c>
      <c r="B78" s="15" t="s">
        <v>8813</v>
      </c>
      <c r="C78" s="18" t="s">
        <v>7351</v>
      </c>
    </row>
    <row r="79" spans="1:3">
      <c r="A79" s="19" t="s">
        <v>66</v>
      </c>
      <c r="B79" s="15" t="s">
        <v>8814</v>
      </c>
      <c r="C79" s="18" t="s">
        <v>7351</v>
      </c>
    </row>
    <row r="80" spans="1:3">
      <c r="A80" s="19" t="s">
        <v>67</v>
      </c>
      <c r="B80" s="15" t="s">
        <v>8815</v>
      </c>
      <c r="C80" s="18" t="s">
        <v>7351</v>
      </c>
    </row>
    <row r="81" spans="1:3">
      <c r="A81" s="19" t="s">
        <v>8816</v>
      </c>
      <c r="B81" s="15" t="s">
        <v>8817</v>
      </c>
      <c r="C81" s="18" t="s">
        <v>7351</v>
      </c>
    </row>
    <row r="82" spans="1:3">
      <c r="A82" s="19" t="s">
        <v>8818</v>
      </c>
      <c r="B82" s="15" t="s">
        <v>8819</v>
      </c>
      <c r="C82" s="18" t="s">
        <v>7351</v>
      </c>
    </row>
    <row r="83" spans="1:3">
      <c r="A83" s="2"/>
      <c r="B83" s="3"/>
      <c r="C83" s="4"/>
    </row>
    <row r="84" spans="1:3">
      <c r="A84" s="605" t="s">
        <v>7799</v>
      </c>
      <c r="B84" s="605"/>
      <c r="C84" s="28"/>
    </row>
    <row r="85" spans="1:3">
      <c r="A85" s="19" t="s">
        <v>68</v>
      </c>
      <c r="B85" s="15" t="s">
        <v>136</v>
      </c>
      <c r="C85" s="18" t="s">
        <v>7351</v>
      </c>
    </row>
    <row r="86" spans="1:3">
      <c r="A86" s="19" t="s">
        <v>69</v>
      </c>
      <c r="B86" s="15" t="s">
        <v>23</v>
      </c>
      <c r="C86" s="18" t="s">
        <v>7351</v>
      </c>
    </row>
    <row r="87" spans="1:3">
      <c r="A87" s="19" t="s">
        <v>70</v>
      </c>
      <c r="B87" s="15" t="s">
        <v>24</v>
      </c>
      <c r="C87" s="18" t="s">
        <v>7351</v>
      </c>
    </row>
    <row r="88" spans="1:3" ht="25.5">
      <c r="A88" s="19" t="s">
        <v>71</v>
      </c>
      <c r="B88" s="15" t="s">
        <v>8820</v>
      </c>
      <c r="C88" s="18" t="s">
        <v>7351</v>
      </c>
    </row>
    <row r="89" spans="1:3" ht="25.5">
      <c r="A89" s="19" t="s">
        <v>7800</v>
      </c>
      <c r="B89" s="15" t="s">
        <v>8821</v>
      </c>
      <c r="C89" s="18" t="s">
        <v>7351</v>
      </c>
    </row>
    <row r="90" spans="1:3">
      <c r="A90" s="19" t="s">
        <v>7801</v>
      </c>
      <c r="B90" s="15" t="s">
        <v>9204</v>
      </c>
      <c r="C90" s="18" t="s">
        <v>7351</v>
      </c>
    </row>
    <row r="91" spans="1:3">
      <c r="A91" s="19" t="s">
        <v>8663</v>
      </c>
      <c r="B91" s="15" t="s">
        <v>169</v>
      </c>
      <c r="C91" s="18" t="s">
        <v>7351</v>
      </c>
    </row>
    <row r="92" spans="1:3">
      <c r="A92" s="19" t="s">
        <v>8822</v>
      </c>
      <c r="B92" s="15" t="s">
        <v>8823</v>
      </c>
      <c r="C92" s="18" t="s">
        <v>7351</v>
      </c>
    </row>
    <row r="93" spans="1:3">
      <c r="A93" s="19" t="s">
        <v>8824</v>
      </c>
      <c r="B93" s="15" t="s">
        <v>25</v>
      </c>
      <c r="C93" s="18" t="s">
        <v>7351</v>
      </c>
    </row>
    <row r="94" spans="1:3">
      <c r="A94" s="2"/>
      <c r="B94" s="3"/>
      <c r="C94" s="4"/>
    </row>
    <row r="95" spans="1:3">
      <c r="A95" s="42" t="s">
        <v>7844</v>
      </c>
      <c r="B95" s="42"/>
      <c r="C95" s="28"/>
    </row>
    <row r="96" spans="1:3">
      <c r="A96" s="19" t="s">
        <v>72</v>
      </c>
      <c r="B96" s="15" t="s">
        <v>8628</v>
      </c>
      <c r="C96" s="18" t="s">
        <v>7351</v>
      </c>
    </row>
    <row r="97" spans="1:3">
      <c r="A97" s="19" t="s">
        <v>73</v>
      </c>
      <c r="B97" s="15" t="s">
        <v>8959</v>
      </c>
      <c r="C97" s="18" t="s">
        <v>7351</v>
      </c>
    </row>
    <row r="98" spans="1:3">
      <c r="A98" s="19" t="s">
        <v>74</v>
      </c>
      <c r="B98" s="15" t="s">
        <v>8627</v>
      </c>
      <c r="C98" s="18" t="s">
        <v>7351</v>
      </c>
    </row>
    <row r="99" spans="1:3">
      <c r="A99" s="19" t="s">
        <v>153</v>
      </c>
      <c r="B99" s="15" t="s">
        <v>38</v>
      </c>
      <c r="C99" s="18" t="s">
        <v>7351</v>
      </c>
    </row>
    <row r="100" spans="1:3">
      <c r="A100" s="19" t="s">
        <v>154</v>
      </c>
      <c r="B100" s="15" t="s">
        <v>146</v>
      </c>
      <c r="C100" s="18" t="s">
        <v>7351</v>
      </c>
    </row>
    <row r="101" spans="1:3" ht="25.5">
      <c r="A101" s="19" t="s">
        <v>9256</v>
      </c>
      <c r="B101" s="15" t="s">
        <v>10973</v>
      </c>
      <c r="C101" s="18" t="s">
        <v>7351</v>
      </c>
    </row>
    <row r="102" spans="1:3">
      <c r="A102" s="2"/>
      <c r="B102" s="3"/>
      <c r="C102" s="4"/>
    </row>
    <row r="103" spans="1:3">
      <c r="A103" s="42" t="s">
        <v>7845</v>
      </c>
      <c r="B103" s="42"/>
      <c r="C103" s="28"/>
    </row>
    <row r="104" spans="1:3" ht="25.5">
      <c r="A104" s="19" t="s">
        <v>75</v>
      </c>
      <c r="B104" s="20" t="s">
        <v>8825</v>
      </c>
      <c r="C104" s="18" t="s">
        <v>7351</v>
      </c>
    </row>
    <row r="105" spans="1:3">
      <c r="A105" s="19" t="s">
        <v>76</v>
      </c>
      <c r="B105" s="15" t="s">
        <v>8826</v>
      </c>
      <c r="C105" s="18" t="s">
        <v>7351</v>
      </c>
    </row>
    <row r="106" spans="1:3">
      <c r="A106" s="19" t="s">
        <v>77</v>
      </c>
      <c r="B106" s="15" t="s">
        <v>8827</v>
      </c>
      <c r="C106" s="18" t="s">
        <v>7351</v>
      </c>
    </row>
    <row r="107" spans="1:3">
      <c r="A107" s="19" t="s">
        <v>138</v>
      </c>
      <c r="B107" s="15" t="s">
        <v>26</v>
      </c>
      <c r="C107" s="18" t="s">
        <v>7351</v>
      </c>
    </row>
    <row r="108" spans="1:3">
      <c r="A108" s="19" t="s">
        <v>163</v>
      </c>
      <c r="B108" s="15" t="s">
        <v>8828</v>
      </c>
      <c r="C108" s="18" t="s">
        <v>7351</v>
      </c>
    </row>
    <row r="109" spans="1:3">
      <c r="A109" s="19" t="s">
        <v>7846</v>
      </c>
      <c r="B109" s="15" t="s">
        <v>27</v>
      </c>
      <c r="C109" s="18" t="s">
        <v>7351</v>
      </c>
    </row>
    <row r="110" spans="1:3">
      <c r="A110" s="19" t="s">
        <v>7847</v>
      </c>
      <c r="B110" s="15" t="s">
        <v>28</v>
      </c>
      <c r="C110" s="18" t="s">
        <v>7351</v>
      </c>
    </row>
    <row r="111" spans="1:3">
      <c r="A111" s="19" t="s">
        <v>7848</v>
      </c>
      <c r="B111" s="15" t="s">
        <v>29</v>
      </c>
      <c r="C111" s="18" t="s">
        <v>7351</v>
      </c>
    </row>
    <row r="112" spans="1:3">
      <c r="A112" s="19" t="s">
        <v>7849</v>
      </c>
      <c r="B112" s="15" t="s">
        <v>8829</v>
      </c>
      <c r="C112" s="18" t="s">
        <v>7351</v>
      </c>
    </row>
    <row r="113" spans="1:3" ht="114.75">
      <c r="A113" s="19" t="s">
        <v>8830</v>
      </c>
      <c r="B113" s="15" t="s">
        <v>8831</v>
      </c>
      <c r="C113" s="18" t="s">
        <v>7351</v>
      </c>
    </row>
    <row r="114" spans="1:3">
      <c r="A114" s="19" t="s">
        <v>8832</v>
      </c>
      <c r="B114" s="15" t="s">
        <v>8833</v>
      </c>
      <c r="C114" s="18" t="s">
        <v>7351</v>
      </c>
    </row>
    <row r="115" spans="1:3" ht="25.5">
      <c r="A115" s="19" t="s">
        <v>8834</v>
      </c>
      <c r="B115" s="15" t="s">
        <v>8835</v>
      </c>
      <c r="C115" s="18" t="s">
        <v>7351</v>
      </c>
    </row>
    <row r="116" spans="1:3">
      <c r="A116" s="19" t="s">
        <v>8836</v>
      </c>
      <c r="B116" s="15" t="s">
        <v>8837</v>
      </c>
      <c r="C116" s="18" t="s">
        <v>7351</v>
      </c>
    </row>
    <row r="117" spans="1:3">
      <c r="A117" s="19" t="s">
        <v>8838</v>
      </c>
      <c r="B117" s="15" t="s">
        <v>8839</v>
      </c>
      <c r="C117" s="18" t="s">
        <v>7351</v>
      </c>
    </row>
    <row r="118" spans="1:3" ht="25.5">
      <c r="A118" s="19" t="s">
        <v>8840</v>
      </c>
      <c r="B118" s="15" t="s">
        <v>8841</v>
      </c>
      <c r="C118" s="18" t="s">
        <v>7351</v>
      </c>
    </row>
    <row r="119" spans="1:3">
      <c r="A119" s="19" t="s">
        <v>8842</v>
      </c>
      <c r="B119" s="15" t="s">
        <v>8843</v>
      </c>
      <c r="C119" s="18" t="s">
        <v>7351</v>
      </c>
    </row>
    <row r="120" spans="1:3">
      <c r="A120" s="19" t="s">
        <v>8844</v>
      </c>
      <c r="B120" s="15" t="s">
        <v>8845</v>
      </c>
      <c r="C120" s="18" t="s">
        <v>7351</v>
      </c>
    </row>
    <row r="121" spans="1:3">
      <c r="A121" s="19" t="s">
        <v>8846</v>
      </c>
      <c r="B121" s="15" t="s">
        <v>8847</v>
      </c>
      <c r="C121" s="18" t="s">
        <v>7351</v>
      </c>
    </row>
    <row r="122" spans="1:3" ht="25.5">
      <c r="A122" s="19" t="s">
        <v>8848</v>
      </c>
      <c r="B122" s="15" t="s">
        <v>8849</v>
      </c>
      <c r="C122" s="18" t="s">
        <v>7351</v>
      </c>
    </row>
    <row r="123" spans="1:3">
      <c r="A123" s="2"/>
      <c r="B123" s="5"/>
      <c r="C123" s="4"/>
    </row>
    <row r="124" spans="1:3">
      <c r="A124" s="42" t="s">
        <v>7850</v>
      </c>
      <c r="B124" s="42"/>
      <c r="C124" s="28"/>
    </row>
    <row r="125" spans="1:3" ht="25.5">
      <c r="A125" s="14" t="s">
        <v>78</v>
      </c>
      <c r="B125" s="15" t="s">
        <v>8850</v>
      </c>
      <c r="C125" s="18" t="s">
        <v>7351</v>
      </c>
    </row>
    <row r="126" spans="1:3">
      <c r="A126" s="14" t="s">
        <v>79</v>
      </c>
      <c r="B126" s="15" t="s">
        <v>9669</v>
      </c>
      <c r="C126" s="18" t="s">
        <v>7351</v>
      </c>
    </row>
    <row r="127" spans="1:3">
      <c r="A127" s="14"/>
      <c r="B127" s="15"/>
      <c r="C127" s="18"/>
    </row>
    <row r="128" spans="1:3">
      <c r="A128" s="42" t="s">
        <v>7851</v>
      </c>
      <c r="B128" s="42"/>
      <c r="C128" s="28"/>
    </row>
    <row r="129" spans="1:3">
      <c r="A129" s="14" t="s">
        <v>80</v>
      </c>
      <c r="B129" s="15" t="s">
        <v>130</v>
      </c>
      <c r="C129" s="18" t="s">
        <v>7351</v>
      </c>
    </row>
    <row r="130" spans="1:3">
      <c r="A130" s="14" t="s">
        <v>81</v>
      </c>
      <c r="B130" s="15" t="s">
        <v>33</v>
      </c>
      <c r="C130" s="18" t="s">
        <v>7351</v>
      </c>
    </row>
    <row r="131" spans="1:3">
      <c r="A131" s="14" t="s">
        <v>7802</v>
      </c>
      <c r="B131" s="15" t="s">
        <v>9024</v>
      </c>
      <c r="C131" s="18" t="s">
        <v>7351</v>
      </c>
    </row>
    <row r="132" spans="1:3">
      <c r="A132" s="14" t="s">
        <v>7803</v>
      </c>
      <c r="B132" s="15" t="s">
        <v>8851</v>
      </c>
      <c r="C132" s="18" t="s">
        <v>7351</v>
      </c>
    </row>
    <row r="133" spans="1:3">
      <c r="A133" s="14" t="s">
        <v>7804</v>
      </c>
      <c r="B133" s="15" t="s">
        <v>8852</v>
      </c>
      <c r="C133" s="18" t="s">
        <v>7351</v>
      </c>
    </row>
    <row r="134" spans="1:3">
      <c r="A134" s="14" t="s">
        <v>7805</v>
      </c>
      <c r="B134" s="15" t="s">
        <v>8853</v>
      </c>
      <c r="C134" s="18" t="s">
        <v>7351</v>
      </c>
    </row>
    <row r="135" spans="1:3">
      <c r="A135" s="14" t="s">
        <v>7806</v>
      </c>
      <c r="B135" s="15" t="s">
        <v>8854</v>
      </c>
      <c r="C135" s="18" t="s">
        <v>7351</v>
      </c>
    </row>
    <row r="136" spans="1:3">
      <c r="A136" s="14" t="s">
        <v>7807</v>
      </c>
      <c r="B136" s="15" t="s">
        <v>8855</v>
      </c>
      <c r="C136" s="18" t="s">
        <v>7351</v>
      </c>
    </row>
    <row r="137" spans="1:3">
      <c r="A137" s="14" t="s">
        <v>7808</v>
      </c>
      <c r="B137" s="15" t="s">
        <v>8856</v>
      </c>
      <c r="C137" s="18" t="s">
        <v>7351</v>
      </c>
    </row>
    <row r="138" spans="1:3">
      <c r="A138" s="14" t="s">
        <v>7852</v>
      </c>
      <c r="B138" s="15" t="s">
        <v>8857</v>
      </c>
      <c r="C138" s="18" t="s">
        <v>7351</v>
      </c>
    </row>
    <row r="139" spans="1:3" ht="63.75">
      <c r="A139" s="14" t="s">
        <v>8858</v>
      </c>
      <c r="B139" s="15" t="s">
        <v>9057</v>
      </c>
      <c r="C139" s="18" t="s">
        <v>7351</v>
      </c>
    </row>
    <row r="140" spans="1:3">
      <c r="A140" s="14" t="s">
        <v>8859</v>
      </c>
      <c r="B140" s="15" t="s">
        <v>8860</v>
      </c>
      <c r="C140" s="18" t="s">
        <v>7351</v>
      </c>
    </row>
    <row r="141" spans="1:3">
      <c r="A141" s="14" t="s">
        <v>8861</v>
      </c>
      <c r="B141" s="15" t="s">
        <v>8862</v>
      </c>
      <c r="C141" s="18" t="s">
        <v>7351</v>
      </c>
    </row>
    <row r="142" spans="1:3">
      <c r="A142" s="2"/>
      <c r="B142" s="3"/>
      <c r="C142" s="4"/>
    </row>
    <row r="143" spans="1:3">
      <c r="A143" s="42" t="s">
        <v>8863</v>
      </c>
      <c r="B143" s="42"/>
      <c r="C143" s="28"/>
    </row>
    <row r="144" spans="1:3">
      <c r="A144" s="14" t="s">
        <v>82</v>
      </c>
      <c r="B144" s="15" t="s">
        <v>8864</v>
      </c>
      <c r="C144" s="18" t="s">
        <v>7351</v>
      </c>
    </row>
    <row r="145" spans="1:3">
      <c r="A145" s="14" t="s">
        <v>83</v>
      </c>
      <c r="B145" s="15" t="s">
        <v>8865</v>
      </c>
      <c r="C145" s="18" t="s">
        <v>7351</v>
      </c>
    </row>
    <row r="146" spans="1:3">
      <c r="A146" s="14" t="s">
        <v>155</v>
      </c>
      <c r="B146" s="15" t="s">
        <v>8866</v>
      </c>
      <c r="C146" s="18" t="s">
        <v>7351</v>
      </c>
    </row>
    <row r="147" spans="1:3">
      <c r="A147" s="14" t="s">
        <v>156</v>
      </c>
      <c r="B147" s="15" t="s">
        <v>8867</v>
      </c>
      <c r="C147" s="18" t="s">
        <v>7351</v>
      </c>
    </row>
    <row r="148" spans="1:3">
      <c r="A148" s="14" t="s">
        <v>157</v>
      </c>
      <c r="B148" s="15" t="s">
        <v>9058</v>
      </c>
      <c r="C148" s="18" t="s">
        <v>7351</v>
      </c>
    </row>
    <row r="149" spans="1:3">
      <c r="A149" s="14" t="s">
        <v>158</v>
      </c>
      <c r="B149" s="15" t="s">
        <v>36</v>
      </c>
      <c r="C149" s="18" t="s">
        <v>7351</v>
      </c>
    </row>
    <row r="150" spans="1:3">
      <c r="A150" s="14" t="s">
        <v>159</v>
      </c>
      <c r="B150" s="15" t="s">
        <v>8868</v>
      </c>
      <c r="C150" s="18" t="s">
        <v>7351</v>
      </c>
    </row>
    <row r="151" spans="1:3">
      <c r="A151" s="14" t="s">
        <v>160</v>
      </c>
      <c r="B151" s="15" t="s">
        <v>8869</v>
      </c>
      <c r="C151" s="18" t="s">
        <v>7351</v>
      </c>
    </row>
    <row r="152" spans="1:3">
      <c r="A152" s="14" t="s">
        <v>161</v>
      </c>
      <c r="B152" s="15" t="s">
        <v>8870</v>
      </c>
      <c r="C152" s="18" t="s">
        <v>7351</v>
      </c>
    </row>
    <row r="153" spans="1:3">
      <c r="A153" s="14" t="s">
        <v>162</v>
      </c>
      <c r="B153" s="15" t="s">
        <v>113</v>
      </c>
      <c r="C153" s="18" t="s">
        <v>7351</v>
      </c>
    </row>
    <row r="154" spans="1:3">
      <c r="A154" s="14" t="s">
        <v>8671</v>
      </c>
      <c r="B154" s="15" t="s">
        <v>166</v>
      </c>
      <c r="C154" s="18" t="s">
        <v>7351</v>
      </c>
    </row>
    <row r="155" spans="1:3">
      <c r="A155" s="2"/>
      <c r="B155" s="3"/>
      <c r="C155" s="18"/>
    </row>
    <row r="156" spans="1:3">
      <c r="A156" s="42" t="s">
        <v>8871</v>
      </c>
      <c r="B156" s="42"/>
      <c r="C156" s="18"/>
    </row>
    <row r="157" spans="1:3">
      <c r="A157" s="14" t="s">
        <v>84</v>
      </c>
      <c r="B157" s="15" t="s">
        <v>8872</v>
      </c>
      <c r="C157" s="18" t="s">
        <v>7351</v>
      </c>
    </row>
    <row r="158" spans="1:3">
      <c r="A158" s="14" t="s">
        <v>85</v>
      </c>
      <c r="B158" s="15" t="s">
        <v>8873</v>
      </c>
      <c r="C158" s="18" t="s">
        <v>7351</v>
      </c>
    </row>
    <row r="159" spans="1:3">
      <c r="A159" s="14" t="s">
        <v>86</v>
      </c>
      <c r="B159" s="15" t="s">
        <v>8874</v>
      </c>
      <c r="C159" s="18" t="s">
        <v>7351</v>
      </c>
    </row>
    <row r="160" spans="1:3">
      <c r="A160" s="14" t="s">
        <v>174</v>
      </c>
      <c r="B160" s="15" t="s">
        <v>8875</v>
      </c>
      <c r="C160" s="18" t="s">
        <v>7351</v>
      </c>
    </row>
    <row r="161" spans="1:3">
      <c r="A161" s="14" t="s">
        <v>175</v>
      </c>
      <c r="B161" s="15" t="s">
        <v>36</v>
      </c>
      <c r="C161" s="18" t="s">
        <v>7351</v>
      </c>
    </row>
    <row r="162" spans="1:3">
      <c r="A162" s="14" t="s">
        <v>176</v>
      </c>
      <c r="B162" s="15" t="s">
        <v>8876</v>
      </c>
      <c r="C162" s="18" t="s">
        <v>7351</v>
      </c>
    </row>
    <row r="163" spans="1:3">
      <c r="A163" s="14" t="s">
        <v>177</v>
      </c>
      <c r="B163" s="15" t="s">
        <v>8877</v>
      </c>
      <c r="C163" s="18" t="s">
        <v>7351</v>
      </c>
    </row>
    <row r="164" spans="1:3">
      <c r="A164" s="14" t="s">
        <v>178</v>
      </c>
      <c r="B164" s="15" t="s">
        <v>8878</v>
      </c>
      <c r="C164" s="18" t="s">
        <v>7351</v>
      </c>
    </row>
    <row r="165" spans="1:3">
      <c r="A165" s="14" t="s">
        <v>179</v>
      </c>
      <c r="B165" s="15" t="s">
        <v>8879</v>
      </c>
      <c r="C165" s="18" t="s">
        <v>7351</v>
      </c>
    </row>
    <row r="166" spans="1:3">
      <c r="A166" s="14" t="s">
        <v>180</v>
      </c>
      <c r="B166" s="15" t="s">
        <v>8880</v>
      </c>
      <c r="C166" s="18" t="s">
        <v>7351</v>
      </c>
    </row>
    <row r="167" spans="1:3" ht="25.5">
      <c r="A167" s="14" t="s">
        <v>8678</v>
      </c>
      <c r="B167" s="15" t="s">
        <v>8881</v>
      </c>
      <c r="C167" s="18" t="s">
        <v>7351</v>
      </c>
    </row>
    <row r="168" spans="1:3">
      <c r="A168" s="14" t="s">
        <v>8679</v>
      </c>
      <c r="B168" s="15" t="s">
        <v>8966</v>
      </c>
      <c r="C168" s="18" t="s">
        <v>7351</v>
      </c>
    </row>
    <row r="169" spans="1:3" ht="51">
      <c r="A169" s="14" t="s">
        <v>8680</v>
      </c>
      <c r="B169" s="15" t="s">
        <v>8967</v>
      </c>
      <c r="C169" s="18" t="s">
        <v>7351</v>
      </c>
    </row>
    <row r="170" spans="1:3">
      <c r="A170" s="15"/>
      <c r="B170" s="15"/>
      <c r="C170" s="18"/>
    </row>
    <row r="171" spans="1:3">
      <c r="A171" s="42" t="s">
        <v>8882</v>
      </c>
      <c r="B171" s="42"/>
      <c r="C171" s="18"/>
    </row>
    <row r="172" spans="1:3">
      <c r="A172" s="14" t="s">
        <v>87</v>
      </c>
      <c r="B172" s="15" t="s">
        <v>8872</v>
      </c>
      <c r="C172" s="18" t="s">
        <v>7351</v>
      </c>
    </row>
    <row r="173" spans="1:3">
      <c r="A173" s="14" t="s">
        <v>88</v>
      </c>
      <c r="B173" s="15" t="s">
        <v>8874</v>
      </c>
      <c r="C173" s="18" t="s">
        <v>7351</v>
      </c>
    </row>
    <row r="174" spans="1:3">
      <c r="A174" s="14" t="s">
        <v>8883</v>
      </c>
      <c r="B174" s="15" t="s">
        <v>8884</v>
      </c>
      <c r="C174" s="18" t="s">
        <v>7351</v>
      </c>
    </row>
    <row r="175" spans="1:3">
      <c r="A175" s="14" t="s">
        <v>8885</v>
      </c>
      <c r="B175" s="15" t="s">
        <v>36</v>
      </c>
      <c r="C175" s="18" t="s">
        <v>7351</v>
      </c>
    </row>
    <row r="176" spans="1:3">
      <c r="A176" s="14" t="s">
        <v>8886</v>
      </c>
      <c r="B176" s="15" t="s">
        <v>8879</v>
      </c>
      <c r="C176" s="18" t="s">
        <v>7351</v>
      </c>
    </row>
    <row r="177" spans="1:3">
      <c r="A177" s="14" t="s">
        <v>8887</v>
      </c>
      <c r="B177" s="15" t="s">
        <v>8888</v>
      </c>
      <c r="C177" s="18" t="s">
        <v>7351</v>
      </c>
    </row>
    <row r="178" spans="1:3">
      <c r="A178" s="14" t="s">
        <v>8889</v>
      </c>
      <c r="B178" s="15" t="s">
        <v>8890</v>
      </c>
      <c r="C178" s="18" t="s">
        <v>7351</v>
      </c>
    </row>
    <row r="179" spans="1:3">
      <c r="A179" s="14"/>
      <c r="B179" s="15"/>
      <c r="C179" s="18"/>
    </row>
    <row r="180" spans="1:3">
      <c r="A180" s="42" t="s">
        <v>7856</v>
      </c>
      <c r="B180" s="42"/>
      <c r="C180" s="18"/>
    </row>
    <row r="181" spans="1:3">
      <c r="A181" s="14" t="s">
        <v>89</v>
      </c>
      <c r="B181" s="15" t="s">
        <v>8891</v>
      </c>
      <c r="C181" s="18" t="s">
        <v>7351</v>
      </c>
    </row>
    <row r="182" spans="1:3">
      <c r="A182" s="14" t="s">
        <v>90</v>
      </c>
      <c r="B182" s="15" t="s">
        <v>9059</v>
      </c>
      <c r="C182" s="18" t="s">
        <v>7351</v>
      </c>
    </row>
    <row r="183" spans="1:3">
      <c r="A183" s="14" t="s">
        <v>7809</v>
      </c>
      <c r="B183" s="15" t="s">
        <v>8892</v>
      </c>
      <c r="C183" s="18" t="s">
        <v>7351</v>
      </c>
    </row>
    <row r="184" spans="1:3">
      <c r="A184" s="14" t="s">
        <v>8893</v>
      </c>
      <c r="B184" s="15" t="s">
        <v>8894</v>
      </c>
      <c r="C184" s="18" t="s">
        <v>7351</v>
      </c>
    </row>
    <row r="185" spans="1:3">
      <c r="A185" s="14" t="s">
        <v>8895</v>
      </c>
      <c r="B185" s="15" t="s">
        <v>8851</v>
      </c>
      <c r="C185" s="18" t="s">
        <v>7351</v>
      </c>
    </row>
    <row r="186" spans="1:3">
      <c r="A186" s="14"/>
      <c r="B186" s="15"/>
      <c r="C186" s="18"/>
    </row>
    <row r="187" spans="1:3">
      <c r="A187" s="42" t="s">
        <v>7857</v>
      </c>
      <c r="B187" s="42"/>
      <c r="C187" s="18"/>
    </row>
    <row r="188" spans="1:3">
      <c r="A188" s="14" t="s">
        <v>91</v>
      </c>
      <c r="B188" s="15" t="s">
        <v>8896</v>
      </c>
      <c r="C188" s="18" t="s">
        <v>7351</v>
      </c>
    </row>
    <row r="189" spans="1:3">
      <c r="A189" s="14" t="s">
        <v>92</v>
      </c>
      <c r="B189" s="15" t="s">
        <v>8897</v>
      </c>
      <c r="C189" s="18" t="s">
        <v>7351</v>
      </c>
    </row>
    <row r="190" spans="1:3">
      <c r="A190" s="2"/>
      <c r="B190" s="3"/>
      <c r="C190" s="18"/>
    </row>
    <row r="191" spans="1:3">
      <c r="A191" s="42" t="s">
        <v>7859</v>
      </c>
      <c r="B191" s="42"/>
      <c r="C191" s="18"/>
    </row>
    <row r="192" spans="1:3">
      <c r="A192" s="14" t="s">
        <v>94</v>
      </c>
      <c r="B192" s="15" t="s">
        <v>8898</v>
      </c>
      <c r="C192" s="18" t="s">
        <v>7351</v>
      </c>
    </row>
    <row r="193" spans="1:3">
      <c r="A193" s="14" t="s">
        <v>95</v>
      </c>
      <c r="B193" s="15" t="s">
        <v>141</v>
      </c>
      <c r="C193" s="18" t="s">
        <v>7351</v>
      </c>
    </row>
    <row r="194" spans="1:3">
      <c r="A194" s="14" t="s">
        <v>96</v>
      </c>
      <c r="B194" s="15" t="s">
        <v>147</v>
      </c>
      <c r="C194" s="18" t="s">
        <v>7351</v>
      </c>
    </row>
    <row r="195" spans="1:3">
      <c r="A195" s="14" t="s">
        <v>97</v>
      </c>
      <c r="B195" s="15" t="s">
        <v>135</v>
      </c>
      <c r="C195" s="18" t="s">
        <v>7351</v>
      </c>
    </row>
    <row r="196" spans="1:3">
      <c r="A196" s="14" t="s">
        <v>7860</v>
      </c>
      <c r="B196" s="15" t="s">
        <v>39</v>
      </c>
      <c r="C196" s="18" t="s">
        <v>7351</v>
      </c>
    </row>
    <row r="197" spans="1:3">
      <c r="A197" s="14" t="s">
        <v>7861</v>
      </c>
      <c r="B197" s="15" t="s">
        <v>40</v>
      </c>
      <c r="C197" s="18" t="s">
        <v>7351</v>
      </c>
    </row>
    <row r="198" spans="1:3">
      <c r="A198" s="14" t="s">
        <v>7862</v>
      </c>
      <c r="B198" s="15" t="s">
        <v>8980</v>
      </c>
      <c r="C198" s="18" t="s">
        <v>7351</v>
      </c>
    </row>
    <row r="199" spans="1:3">
      <c r="A199" s="14"/>
      <c r="B199" s="15"/>
      <c r="C199" s="18"/>
    </row>
    <row r="200" spans="1:3">
      <c r="A200" s="42" t="s">
        <v>8899</v>
      </c>
      <c r="B200" s="42"/>
      <c r="C200" s="18"/>
    </row>
    <row r="201" spans="1:3">
      <c r="A201" s="210" t="s">
        <v>98</v>
      </c>
      <c r="B201" s="210" t="s">
        <v>8900</v>
      </c>
      <c r="C201" s="18" t="s">
        <v>7351</v>
      </c>
    </row>
    <row r="202" spans="1:3">
      <c r="A202" s="210" t="s">
        <v>99</v>
      </c>
      <c r="B202" s="210" t="s">
        <v>8901</v>
      </c>
      <c r="C202" s="18" t="s">
        <v>7351</v>
      </c>
    </row>
    <row r="203" spans="1:3">
      <c r="A203" s="210" t="s">
        <v>181</v>
      </c>
      <c r="B203" s="210" t="s">
        <v>8902</v>
      </c>
      <c r="C203" s="18" t="s">
        <v>7351</v>
      </c>
    </row>
    <row r="204" spans="1:3" ht="25.5">
      <c r="A204" s="210" t="s">
        <v>182</v>
      </c>
      <c r="B204" s="211" t="s">
        <v>8903</v>
      </c>
      <c r="C204" s="18" t="s">
        <v>7351</v>
      </c>
    </row>
    <row r="205" spans="1:3">
      <c r="A205" s="14"/>
      <c r="B205" s="15"/>
      <c r="C205" s="18"/>
    </row>
    <row r="206" spans="1:3">
      <c r="A206" s="605" t="s">
        <v>8904</v>
      </c>
      <c r="B206" s="605"/>
      <c r="C206" s="28"/>
    </row>
    <row r="207" spans="1:3">
      <c r="A207" s="14" t="s">
        <v>100</v>
      </c>
      <c r="B207" s="9" t="str">
        <f>_xlfn.CONCAT('Pricing Sheet'!A24:L24)</f>
        <v/>
      </c>
      <c r="C207" s="24" t="s">
        <v>7350</v>
      </c>
    </row>
    <row r="208" spans="1:3">
      <c r="A208" s="14" t="s">
        <v>101</v>
      </c>
      <c r="B208" s="9" t="str">
        <f>_xlfn.CONCAT('Pricing Sheet'!A25:L25)</f>
        <v/>
      </c>
      <c r="C208" s="24" t="s">
        <v>7350</v>
      </c>
    </row>
    <row r="209" spans="1:3">
      <c r="A209" s="14" t="s">
        <v>187</v>
      </c>
      <c r="B209" s="9" t="str">
        <f>_xlfn.CONCAT('Pricing Sheet'!A26:L26)</f>
        <v/>
      </c>
      <c r="C209" s="24" t="s">
        <v>7350</v>
      </c>
    </row>
    <row r="210" spans="1:3">
      <c r="A210" s="14" t="s">
        <v>188</v>
      </c>
      <c r="B210" s="9" t="str">
        <f>_xlfn.CONCAT('Pricing Sheet'!A27:L27)</f>
        <v/>
      </c>
      <c r="C210" s="24" t="s">
        <v>7350</v>
      </c>
    </row>
    <row r="211" spans="1:3">
      <c r="A211" s="14" t="s">
        <v>189</v>
      </c>
      <c r="B211" s="9" t="str">
        <f>_xlfn.CONCAT('Pricing Sheet'!A28:L28)</f>
        <v/>
      </c>
      <c r="C211" s="24" t="s">
        <v>7350</v>
      </c>
    </row>
    <row r="212" spans="1:3">
      <c r="A212" s="14" t="s">
        <v>190</v>
      </c>
      <c r="B212" s="9" t="str">
        <f>_xlfn.CONCAT('Pricing Sheet'!A29:L29)</f>
        <v/>
      </c>
      <c r="C212" s="24" t="s">
        <v>7350</v>
      </c>
    </row>
    <row r="213" spans="1:3">
      <c r="A213" s="14" t="s">
        <v>191</v>
      </c>
      <c r="B213" s="9" t="str">
        <f>_xlfn.CONCAT('Pricing Sheet'!A30:L30)</f>
        <v/>
      </c>
      <c r="C213" s="24" t="s">
        <v>7350</v>
      </c>
    </row>
    <row r="214" spans="1:3">
      <c r="A214" s="14" t="s">
        <v>192</v>
      </c>
      <c r="B214" s="9" t="str">
        <f>_xlfn.CONCAT('Pricing Sheet'!A31:L31)</f>
        <v/>
      </c>
      <c r="C214" s="24" t="s">
        <v>7350</v>
      </c>
    </row>
    <row r="215" spans="1:3">
      <c r="A215" s="14" t="s">
        <v>193</v>
      </c>
      <c r="B215" s="9" t="str">
        <f>_xlfn.CONCAT('Pricing Sheet'!A32:L32)</f>
        <v/>
      </c>
      <c r="C215" s="24" t="s">
        <v>7350</v>
      </c>
    </row>
    <row r="216" spans="1:3">
      <c r="A216" s="14" t="s">
        <v>7330</v>
      </c>
      <c r="B216" s="9" t="str">
        <f>_xlfn.CONCAT('Pricing Sheet'!A33:L33)</f>
        <v/>
      </c>
      <c r="C216" s="24" t="s">
        <v>7350</v>
      </c>
    </row>
    <row r="217" spans="1:3">
      <c r="A217" s="14" t="s">
        <v>8551</v>
      </c>
      <c r="B217" s="9" t="str">
        <f>_xlfn.CONCAT('Pricing Sheet'!A34:L34)</f>
        <v/>
      </c>
      <c r="C217" s="24" t="s">
        <v>7350</v>
      </c>
    </row>
    <row r="218" spans="1:3">
      <c r="A218" s="14" t="s">
        <v>8905</v>
      </c>
      <c r="B218" s="9" t="str">
        <f>_xlfn.CONCAT('Pricing Sheet'!A35:L35)</f>
        <v/>
      </c>
      <c r="C218" s="24" t="s">
        <v>7350</v>
      </c>
    </row>
    <row r="219" spans="1:3">
      <c r="A219" s="14" t="s">
        <v>8906</v>
      </c>
      <c r="B219" s="9" t="str">
        <f>_xlfn.CONCAT('Pricing Sheet'!A36:L36)</f>
        <v/>
      </c>
      <c r="C219" s="24" t="s">
        <v>7350</v>
      </c>
    </row>
    <row r="220" spans="1:3">
      <c r="A220" s="14" t="s">
        <v>8907</v>
      </c>
      <c r="B220" s="9" t="str">
        <f>_xlfn.CONCAT('Pricing Sheet'!A37:L37)</f>
        <v/>
      </c>
      <c r="C220" s="24" t="s">
        <v>7350</v>
      </c>
    </row>
    <row r="221" spans="1:3">
      <c r="A221" s="14" t="s">
        <v>8908</v>
      </c>
      <c r="B221" s="9" t="str">
        <f>_xlfn.CONCAT('Pricing Sheet'!A38:L38)</f>
        <v/>
      </c>
      <c r="C221" s="24" t="s">
        <v>7350</v>
      </c>
    </row>
    <row r="222" spans="1:3">
      <c r="A222" s="14" t="s">
        <v>8909</v>
      </c>
      <c r="B222" s="9" t="str">
        <f>_xlfn.CONCAT('Pricing Sheet'!A39:L39)</f>
        <v/>
      </c>
      <c r="C222" s="24" t="s">
        <v>7350</v>
      </c>
    </row>
    <row r="223" spans="1:3">
      <c r="A223" s="14" t="s">
        <v>8910</v>
      </c>
      <c r="B223" s="9" t="str">
        <f>_xlfn.CONCAT('Pricing Sheet'!A40:L40)</f>
        <v/>
      </c>
      <c r="C223" s="24" t="s">
        <v>7350</v>
      </c>
    </row>
    <row r="224" spans="1:3">
      <c r="A224" s="14" t="s">
        <v>8911</v>
      </c>
      <c r="B224" s="9" t="str">
        <f>_xlfn.CONCAT('Pricing Sheet'!A41:L41)</f>
        <v/>
      </c>
      <c r="C224" s="24" t="s">
        <v>7350</v>
      </c>
    </row>
    <row r="225" spans="1:3">
      <c r="A225" s="14" t="s">
        <v>8912</v>
      </c>
      <c r="B225" s="9" t="str">
        <f>_xlfn.CONCAT('Pricing Sheet'!A42:L42)</f>
        <v/>
      </c>
      <c r="C225" s="24" t="s">
        <v>7350</v>
      </c>
    </row>
    <row r="226" spans="1:3">
      <c r="A226" s="14" t="s">
        <v>8913</v>
      </c>
      <c r="B226" s="9" t="str">
        <f>_xlfn.CONCAT('Pricing Sheet'!A43:L43)</f>
        <v/>
      </c>
      <c r="C226" s="24" t="s">
        <v>7350</v>
      </c>
    </row>
    <row r="227" spans="1:3">
      <c r="A227" s="14" t="s">
        <v>8914</v>
      </c>
      <c r="B227" s="9" t="str">
        <f>_xlfn.CONCAT('Pricing Sheet'!A44:L44)</f>
        <v/>
      </c>
      <c r="C227" s="24" t="s">
        <v>7350</v>
      </c>
    </row>
    <row r="228" spans="1:3">
      <c r="A228" s="14" t="s">
        <v>8915</v>
      </c>
      <c r="B228" s="9" t="str">
        <f>_xlfn.CONCAT('Pricing Sheet'!A45:L45)</f>
        <v/>
      </c>
      <c r="C228" s="24" t="s">
        <v>7350</v>
      </c>
    </row>
    <row r="229" spans="1:3">
      <c r="A229" s="14" t="s">
        <v>8916</v>
      </c>
      <c r="B229" s="9" t="str">
        <f>_xlfn.CONCAT('Pricing Sheet'!A46:L46)</f>
        <v/>
      </c>
      <c r="C229" s="24" t="s">
        <v>7350</v>
      </c>
    </row>
    <row r="230" spans="1:3">
      <c r="A230" s="14" t="s">
        <v>8917</v>
      </c>
      <c r="B230" s="9" t="str">
        <f>_xlfn.CONCAT('Pricing Sheet'!A47:L47)</f>
        <v/>
      </c>
      <c r="C230" s="24" t="s">
        <v>7350</v>
      </c>
    </row>
    <row r="231" spans="1:3">
      <c r="A231" s="14" t="s">
        <v>8918</v>
      </c>
      <c r="B231" s="9" t="str">
        <f>_xlfn.CONCAT('Pricing Sheet'!A48:L48)</f>
        <v/>
      </c>
      <c r="C231" s="24" t="s">
        <v>7350</v>
      </c>
    </row>
    <row r="232" spans="1:3">
      <c r="A232" s="14" t="s">
        <v>8919</v>
      </c>
      <c r="B232" s="9" t="str">
        <f>_xlfn.CONCAT('Pricing Sheet'!A49:L49)</f>
        <v/>
      </c>
      <c r="C232" s="24" t="s">
        <v>7350</v>
      </c>
    </row>
    <row r="233" spans="1:3">
      <c r="A233" s="14" t="s">
        <v>8920</v>
      </c>
      <c r="B233" s="9" t="str">
        <f>_xlfn.CONCAT('Pricing Sheet'!A50:L50)</f>
        <v/>
      </c>
      <c r="C233" s="24" t="s">
        <v>7350</v>
      </c>
    </row>
    <row r="234" spans="1:3">
      <c r="A234" s="14"/>
      <c r="B234" s="15"/>
      <c r="C234" s="18"/>
    </row>
    <row r="235" spans="1:3">
      <c r="A235" s="606" t="str">
        <f>"21 - "&amp;UPPER('Pricing Sheet'!O38)&amp;IF('Pricing Sheet'!S38=" (refer to sketch dated: ##/##/#### )","",'Pricing Sheet'!S38)</f>
        <v>21 - STRUCTURAL HOUSE MODIFICATIONS</v>
      </c>
      <c r="B235" s="606"/>
      <c r="C235" s="28"/>
    </row>
    <row r="236" spans="1:3">
      <c r="A236" s="14" t="s">
        <v>7321</v>
      </c>
      <c r="B236" s="9" t="str">
        <f>_xlfn.CONCAT('Pricing Sheet'!O41:X41)</f>
        <v/>
      </c>
      <c r="C236" s="24" t="s">
        <v>7350</v>
      </c>
    </row>
    <row r="237" spans="1:3">
      <c r="A237" s="14" t="s">
        <v>7322</v>
      </c>
      <c r="B237" s="9" t="str">
        <f>_xlfn.CONCAT('Pricing Sheet'!O42:X42)</f>
        <v/>
      </c>
      <c r="C237" s="24" t="s">
        <v>7350</v>
      </c>
    </row>
    <row r="238" spans="1:3">
      <c r="A238" s="14" t="s">
        <v>7323</v>
      </c>
      <c r="B238" s="9" t="str">
        <f>_xlfn.CONCAT('Pricing Sheet'!O43:X43)</f>
        <v/>
      </c>
      <c r="C238" s="24" t="s">
        <v>7350</v>
      </c>
    </row>
    <row r="239" spans="1:3">
      <c r="A239" s="14" t="s">
        <v>7324</v>
      </c>
      <c r="B239" s="9" t="str">
        <f>_xlfn.CONCAT('Pricing Sheet'!O44:X44)</f>
        <v/>
      </c>
      <c r="C239" s="24" t="s">
        <v>7350</v>
      </c>
    </row>
    <row r="240" spans="1:3">
      <c r="A240" s="14" t="s">
        <v>7325</v>
      </c>
      <c r="B240" s="9" t="str">
        <f>_xlfn.CONCAT('Pricing Sheet'!O45:X45)</f>
        <v/>
      </c>
      <c r="C240" s="24" t="s">
        <v>7350</v>
      </c>
    </row>
    <row r="241" spans="1:3">
      <c r="A241" s="14" t="s">
        <v>7326</v>
      </c>
      <c r="B241" s="9" t="str">
        <f>_xlfn.CONCAT('Pricing Sheet'!O46:X46)</f>
        <v/>
      </c>
      <c r="C241" s="24" t="s">
        <v>7350</v>
      </c>
    </row>
    <row r="242" spans="1:3">
      <c r="A242" s="14" t="s">
        <v>7327</v>
      </c>
      <c r="B242" s="9" t="str">
        <f>_xlfn.CONCAT('Pricing Sheet'!O47:X47)</f>
        <v/>
      </c>
      <c r="C242" s="24" t="s">
        <v>7350</v>
      </c>
    </row>
    <row r="243" spans="1:3">
      <c r="A243" s="14" t="s">
        <v>7328</v>
      </c>
      <c r="B243" s="9" t="str">
        <f>_xlfn.CONCAT('Pricing Sheet'!O48:X48)</f>
        <v/>
      </c>
      <c r="C243" s="24" t="s">
        <v>7350</v>
      </c>
    </row>
    <row r="244" spans="1:3" ht="25.5">
      <c r="A244" s="14" t="s">
        <v>7329</v>
      </c>
      <c r="B244" s="9" t="str">
        <f>_xlfn.CONCAT('Pricing Sheet'!O49:X49)</f>
        <v xml:space="preserve">Provide a preliminary site clean including but not limited to removal of trees, tree root system, rubbish, long grass etc. </v>
      </c>
      <c r="C244" s="24" t="s">
        <v>7350</v>
      </c>
    </row>
    <row r="245" spans="1:3">
      <c r="A245" s="14" t="s">
        <v>7331</v>
      </c>
      <c r="B245" s="9" t="str">
        <f>_xlfn.CONCAT('Pricing Sheet'!O50:X50)</f>
        <v/>
      </c>
      <c r="C245" s="24" t="s">
        <v>7350</v>
      </c>
    </row>
    <row r="246" spans="1:3">
      <c r="A246" s="14"/>
      <c r="B246" s="9" t="str">
        <f>_xlfn.CONCAT('Pricing Sheet'!O37:X37)</f>
        <v/>
      </c>
      <c r="C246" s="18"/>
    </row>
    <row r="247" spans="1:3">
      <c r="A247" s="605" t="s">
        <v>8921</v>
      </c>
      <c r="B247" s="605"/>
      <c r="C247" s="18"/>
    </row>
    <row r="248" spans="1:3">
      <c r="A248" s="14" t="s">
        <v>7332</v>
      </c>
      <c r="B248" s="9" t="str">
        <f>_xlfn.CONCAT('Pricing Sheet'!O24:X24)</f>
        <v/>
      </c>
      <c r="C248" s="24" t="s">
        <v>7350</v>
      </c>
    </row>
    <row r="249" spans="1:3">
      <c r="A249" s="14" t="s">
        <v>7333</v>
      </c>
      <c r="B249" s="9" t="str">
        <f>_xlfn.CONCAT('Pricing Sheet'!O25:X25)</f>
        <v/>
      </c>
      <c r="C249" s="24" t="s">
        <v>7350</v>
      </c>
    </row>
    <row r="250" spans="1:3">
      <c r="A250" s="14" t="s">
        <v>7334</v>
      </c>
      <c r="B250" s="9" t="str">
        <f>_xlfn.CONCAT('Pricing Sheet'!O26:X26)</f>
        <v/>
      </c>
      <c r="C250" s="24" t="s">
        <v>7350</v>
      </c>
    </row>
    <row r="251" spans="1:3">
      <c r="A251" s="14" t="s">
        <v>7335</v>
      </c>
      <c r="B251" s="9" t="str">
        <f>_xlfn.CONCAT('Pricing Sheet'!O27:X27)</f>
        <v/>
      </c>
      <c r="C251" s="24" t="s">
        <v>7350</v>
      </c>
    </row>
    <row r="252" spans="1:3">
      <c r="A252" s="14" t="s">
        <v>7336</v>
      </c>
      <c r="B252" s="9" t="str">
        <f>_xlfn.CONCAT('Pricing Sheet'!O28:X28)</f>
        <v/>
      </c>
      <c r="C252" s="24" t="s">
        <v>7350</v>
      </c>
    </row>
    <row r="253" spans="1:3">
      <c r="A253" s="14" t="s">
        <v>7337</v>
      </c>
      <c r="B253" s="9" t="str">
        <f>_xlfn.CONCAT('Pricing Sheet'!O29:X29)</f>
        <v/>
      </c>
      <c r="C253" s="24" t="s">
        <v>7350</v>
      </c>
    </row>
    <row r="254" spans="1:3">
      <c r="A254" s="14" t="s">
        <v>7338</v>
      </c>
      <c r="B254" s="9" t="str">
        <f>_xlfn.CONCAT('Pricing Sheet'!O30:X30)</f>
        <v/>
      </c>
      <c r="C254" s="24" t="s">
        <v>7350</v>
      </c>
    </row>
    <row r="255" spans="1:3">
      <c r="A255" s="14" t="s">
        <v>7339</v>
      </c>
      <c r="B255" s="9" t="str">
        <f>_xlfn.CONCAT('Pricing Sheet'!O31:X31)</f>
        <v/>
      </c>
      <c r="C255" s="24" t="s">
        <v>7350</v>
      </c>
    </row>
    <row r="256" spans="1:3">
      <c r="A256" s="14" t="s">
        <v>7340</v>
      </c>
      <c r="B256" s="9" t="str">
        <f>_xlfn.CONCAT('Pricing Sheet'!O32:X32)</f>
        <v/>
      </c>
      <c r="C256" s="24" t="s">
        <v>7350</v>
      </c>
    </row>
    <row r="257" spans="1:3">
      <c r="A257" s="14" t="s">
        <v>7353</v>
      </c>
      <c r="B257" s="9" t="str">
        <f>_xlfn.CONCAT('Pricing Sheet'!O33:X33)</f>
        <v/>
      </c>
      <c r="C257" s="24" t="s">
        <v>7350</v>
      </c>
    </row>
    <row r="258" spans="1:3">
      <c r="A258" s="14" t="s">
        <v>8922</v>
      </c>
      <c r="B258" s="9" t="str">
        <f>_xlfn.CONCAT('Pricing Sheet'!O34:X34)</f>
        <v/>
      </c>
      <c r="C258" s="24" t="s">
        <v>7350</v>
      </c>
    </row>
    <row r="259" spans="1:3">
      <c r="A259" s="14" t="s">
        <v>8923</v>
      </c>
      <c r="B259" s="9" t="str">
        <f>_xlfn.CONCAT('Pricing Sheet'!O35:X35)</f>
        <v/>
      </c>
      <c r="C259" s="24" t="s">
        <v>7350</v>
      </c>
    </row>
    <row r="260" spans="1:3">
      <c r="A260" s="14" t="s">
        <v>8924</v>
      </c>
      <c r="B260" s="9" t="str">
        <f>_xlfn.CONCAT('Pricing Sheet'!O36:X36)</f>
        <v/>
      </c>
      <c r="C260" s="24" t="s">
        <v>7350</v>
      </c>
    </row>
    <row r="261" spans="1:3">
      <c r="A261" s="14"/>
      <c r="B261" s="15"/>
      <c r="C261" s="18"/>
    </row>
    <row r="262" spans="1:3">
      <c r="A262" s="605" t="s">
        <v>8925</v>
      </c>
      <c r="B262" s="605"/>
      <c r="C262" s="28"/>
    </row>
    <row r="263" spans="1:3" ht="25.5">
      <c r="A263" s="14" t="s">
        <v>7356</v>
      </c>
      <c r="B263" s="15" t="s">
        <v>9016</v>
      </c>
      <c r="C263" s="18" t="s">
        <v>7351</v>
      </c>
    </row>
    <row r="264" spans="1:3" ht="51">
      <c r="A264" s="14" t="s">
        <v>7357</v>
      </c>
      <c r="B264" s="15" t="s">
        <v>8978</v>
      </c>
      <c r="C264" s="18" t="s">
        <v>7351</v>
      </c>
    </row>
    <row r="265" spans="1:3">
      <c r="A265" s="14" t="s">
        <v>7358</v>
      </c>
      <c r="B265" s="15" t="s">
        <v>41</v>
      </c>
      <c r="C265" s="18" t="s">
        <v>7351</v>
      </c>
    </row>
    <row r="266" spans="1:3">
      <c r="A266" s="14" t="s">
        <v>7359</v>
      </c>
      <c r="B266" s="15" t="s">
        <v>42</v>
      </c>
      <c r="C266" s="18" t="s">
        <v>7351</v>
      </c>
    </row>
    <row r="267" spans="1:3">
      <c r="A267" s="14" t="s">
        <v>7360</v>
      </c>
      <c r="B267" s="15" t="s">
        <v>43</v>
      </c>
      <c r="C267" s="18" t="s">
        <v>7351</v>
      </c>
    </row>
    <row r="268" spans="1:3" ht="25.5">
      <c r="A268" s="14" t="s">
        <v>7361</v>
      </c>
      <c r="B268" s="15" t="s">
        <v>8979</v>
      </c>
      <c r="C268" s="18" t="s">
        <v>7351</v>
      </c>
    </row>
    <row r="269" spans="1:3">
      <c r="A269" s="14" t="s">
        <v>7362</v>
      </c>
      <c r="B269" s="15" t="s">
        <v>44</v>
      </c>
      <c r="C269" s="18" t="s">
        <v>7351</v>
      </c>
    </row>
    <row r="270" spans="1:3">
      <c r="A270" s="14" t="s">
        <v>7363</v>
      </c>
      <c r="B270" s="15" t="s">
        <v>45</v>
      </c>
      <c r="C270" s="18" t="s">
        <v>7351</v>
      </c>
    </row>
    <row r="271" spans="1:3">
      <c r="A271" s="14" t="s">
        <v>7830</v>
      </c>
      <c r="B271" s="15" t="s">
        <v>46</v>
      </c>
      <c r="C271" s="18" t="s">
        <v>7351</v>
      </c>
    </row>
    <row r="272" spans="1:3">
      <c r="A272" s="14" t="s">
        <v>7831</v>
      </c>
      <c r="B272" s="15" t="s">
        <v>47</v>
      </c>
      <c r="C272" s="18" t="s">
        <v>7351</v>
      </c>
    </row>
    <row r="273" spans="1:20">
      <c r="A273" s="2"/>
      <c r="B273" s="3"/>
      <c r="C273" s="4"/>
    </row>
    <row r="274" spans="1:20">
      <c r="A274" s="45" t="s">
        <v>48</v>
      </c>
      <c r="B274" s="12"/>
      <c r="C274" s="13"/>
    </row>
    <row r="275" spans="1:20">
      <c r="A275" s="603" t="s">
        <v>125</v>
      </c>
      <c r="B275" s="603"/>
      <c r="C275" s="603"/>
      <c r="T275" s="167" t="str">
        <f>A275</f>
        <v>The builder has the right to substitute or change any of the above items without notice or notification.</v>
      </c>
    </row>
    <row r="276" spans="1:20" ht="45">
      <c r="A276" s="602" t="s">
        <v>7913</v>
      </c>
      <c r="B276" s="602"/>
      <c r="C276" s="602"/>
      <c r="T276" s="167" t="str">
        <f>A276</f>
        <v>I / We understand that it is the policy of Hermitage Building Group Pty Ltd (ABN: 79 150 694 572) not to enter into verbal agreements, therefore I / we agree that our special requirements are to be written down and form part of our final building documentation.</v>
      </c>
    </row>
    <row r="277" spans="1:20">
      <c r="A277" s="10"/>
      <c r="B277" s="11"/>
      <c r="C277" s="23"/>
    </row>
    <row r="278" spans="1:20">
      <c r="A278" s="2"/>
      <c r="B278" s="3"/>
      <c r="C278" s="4"/>
    </row>
    <row r="279" spans="1:20">
      <c r="A279" s="2"/>
      <c r="B279" s="24" t="s">
        <v>104</v>
      </c>
      <c r="C279" s="80" cm="1">
        <f t="array" ref="C279">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80" spans="1:20">
      <c r="A280" s="25" t="s">
        <v>49</v>
      </c>
      <c r="B280" s="11"/>
      <c r="C280" s="1"/>
    </row>
    <row r="281" spans="1:20">
      <c r="A281" s="2"/>
      <c r="B281" s="3"/>
      <c r="C281" s="1"/>
    </row>
    <row r="282" spans="1:20">
      <c r="A282" s="2"/>
      <c r="B282" s="15" t="s">
        <v>50</v>
      </c>
      <c r="C282" s="26"/>
    </row>
    <row r="283" spans="1:20">
      <c r="A283" s="2"/>
      <c r="B283" s="3"/>
      <c r="C283" s="1"/>
    </row>
    <row r="284" spans="1:20">
      <c r="A284" s="2"/>
      <c r="B284" s="3"/>
      <c r="C284" s="1"/>
    </row>
    <row r="285" spans="1:20">
      <c r="A285" s="27" t="s">
        <v>167</v>
      </c>
      <c r="B285" s="3"/>
      <c r="C285" s="1"/>
    </row>
    <row r="286" spans="1:20">
      <c r="A286" s="2"/>
      <c r="B286" s="3"/>
      <c r="C286" s="1"/>
    </row>
    <row r="287" spans="1:20">
      <c r="A287" s="2"/>
      <c r="B287" s="3"/>
      <c r="C287" s="1"/>
    </row>
    <row r="288" spans="1:20">
      <c r="A288" s="27" t="s">
        <v>168</v>
      </c>
      <c r="B288" s="3"/>
      <c r="C288" s="1"/>
    </row>
    <row r="289" spans="1:3">
      <c r="A289" s="2"/>
      <c r="B289" s="3"/>
      <c r="C289" s="1"/>
    </row>
    <row r="290" spans="1:3">
      <c r="A290" s="2"/>
      <c r="B290" s="3"/>
      <c r="C290" s="1"/>
    </row>
    <row r="291" spans="1:3">
      <c r="A291" s="27" t="s">
        <v>168</v>
      </c>
      <c r="B291" s="3"/>
      <c r="C291" s="1"/>
    </row>
    <row r="292" spans="1:3">
      <c r="A292" s="2"/>
      <c r="B292" s="3"/>
      <c r="C292" s="1"/>
    </row>
  </sheetData>
  <sheetProtection algorithmName="SHA-512" hashValue="yrLEX5627tiIyoJ33h6zi2Wsnm2VQY7QLrfJ2o6wijs6Nl1Q8AT+BK2o0ASyEdllYjnGkk6CArJPSjo8PTrl5Q==" saltValue="9XlIdGRoAJluLF/tyHN/uw==" spinCount="100000" sheet="1" objects="1" scenarios="1" formatRows="0" insertRows="0" deleteRows="0"/>
  <mergeCells count="15">
    <mergeCell ref="A262:B262"/>
    <mergeCell ref="A275:C275"/>
    <mergeCell ref="A276:C276"/>
    <mergeCell ref="A60:B60"/>
    <mergeCell ref="A76:B76"/>
    <mergeCell ref="A84:B84"/>
    <mergeCell ref="A206:B206"/>
    <mergeCell ref="A235:B235"/>
    <mergeCell ref="A247:B247"/>
    <mergeCell ref="A45:B45"/>
    <mergeCell ref="A17:B17"/>
    <mergeCell ref="A21:B21"/>
    <mergeCell ref="A25:B25"/>
    <mergeCell ref="A29:B29"/>
    <mergeCell ref="A34:B34"/>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E563F5D5-23D9-4111-8845-2374C826AA84}">
          <x14:formula1>
            <xm:f>_xlfn.ANCHORARRAY(Houses!$AB$4)</xm:f>
          </x14:formula1>
          <xm:sqref>B22</xm:sqref>
        </x14:dataValidation>
        <x14:dataValidation type="list" allowBlank="1" showInputMessage="1" showErrorMessage="1" xr:uid="{1D5ADE96-C195-4608-9379-E1A69F20F5D8}">
          <x14:formula1>
            <xm:f>_xlfn.ANCHORARRAY(Houses!$AC$4)</xm:f>
          </x14:formula1>
          <xm:sqref>B26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ABA3F-A7F9-48D5-B270-4AC0528B00EF}">
  <sheetPr codeName="Sheet17">
    <tabColor theme="2" tint="-0.249977111117893"/>
  </sheetPr>
  <dimension ref="A1:T284"/>
  <sheetViews>
    <sheetView view="pageBreakPreview" topLeftCell="A86" zoomScaleNormal="100" zoomScaleSheetLayoutView="100" workbookViewId="0">
      <selection activeCell="J104" sqref="J104"/>
    </sheetView>
  </sheetViews>
  <sheetFormatPr defaultColWidth="8.5703125" defaultRowHeight="15"/>
  <cols>
    <col min="1" max="1" width="10.42578125" customWidth="1"/>
    <col min="2" max="2" width="70.5703125" bestFit="1" customWidth="1"/>
    <col min="3" max="3" width="10.42578125" bestFit="1" customWidth="1"/>
    <col min="20" max="20" width="96.42578125" customWidth="1"/>
  </cols>
  <sheetData>
    <row r="1" spans="1:3" ht="136.5">
      <c r="A1" s="212" t="s">
        <v>8602</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604" t="s">
        <v>196</v>
      </c>
      <c r="B17" s="604"/>
      <c r="C17" s="1"/>
    </row>
    <row r="18" spans="1:3">
      <c r="A18" s="14"/>
      <c r="B18" s="15"/>
      <c r="C18" s="18"/>
    </row>
    <row r="19" spans="1:3">
      <c r="A19" s="42" t="s">
        <v>197</v>
      </c>
      <c r="B19" s="43" t="s">
        <v>198</v>
      </c>
      <c r="C19" s="44" t="s">
        <v>199</v>
      </c>
    </row>
    <row r="20" spans="1:3">
      <c r="A20" s="2"/>
      <c r="B20" s="3"/>
      <c r="C20" s="4"/>
    </row>
    <row r="21" spans="1:3">
      <c r="A21" s="605" t="s">
        <v>51</v>
      </c>
      <c r="B21" s="605"/>
      <c r="C21" s="28"/>
    </row>
    <row r="22" spans="1:3">
      <c r="A22" s="19" t="s">
        <v>53</v>
      </c>
      <c r="B22" s="15"/>
      <c r="C22" s="16" t="s">
        <v>7351</v>
      </c>
    </row>
    <row r="23" spans="1:3">
      <c r="A23" s="14"/>
      <c r="B23" s="15" t="str">
        <f>IF(B22&lt;&gt;"",_xlfn.XLOOKUP(B22,Table1[House],Table1[House Details]),"")</f>
        <v/>
      </c>
      <c r="C23" s="16"/>
    </row>
    <row r="24" spans="1:3">
      <c r="A24" s="14"/>
      <c r="B24" s="17"/>
      <c r="C24" s="18"/>
    </row>
    <row r="25" spans="1:3">
      <c r="A25" s="605" t="s">
        <v>52</v>
      </c>
      <c r="B25" s="605"/>
      <c r="C25" s="28"/>
    </row>
    <row r="26" spans="1:3">
      <c r="A26" s="19"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605" t="s">
        <v>200</v>
      </c>
      <c r="B29" s="605"/>
      <c r="C29" s="28"/>
    </row>
    <row r="30" spans="1:3">
      <c r="A30" s="19" t="s">
        <v>55</v>
      </c>
      <c r="B30" s="20" t="s">
        <v>8945</v>
      </c>
      <c r="C30" s="18" t="s">
        <v>7351</v>
      </c>
    </row>
    <row r="31" spans="1:3">
      <c r="A31" s="19" t="s">
        <v>8801</v>
      </c>
      <c r="B31" s="20" t="s">
        <v>8975</v>
      </c>
      <c r="C31" s="18" t="s">
        <v>7351</v>
      </c>
    </row>
    <row r="32" spans="1:3">
      <c r="A32" s="19" t="s">
        <v>8976</v>
      </c>
      <c r="B32" s="20" t="s">
        <v>8977</v>
      </c>
      <c r="C32" s="18" t="s">
        <v>7351</v>
      </c>
    </row>
    <row r="33" spans="1:3">
      <c r="A33" s="19"/>
      <c r="B33" s="20"/>
      <c r="C33" s="18"/>
    </row>
    <row r="34" spans="1:3">
      <c r="A34" s="605" t="s">
        <v>148</v>
      </c>
      <c r="B34" s="605"/>
      <c r="C34" s="28"/>
    </row>
    <row r="35" spans="1:3">
      <c r="A35" s="19" t="s">
        <v>56</v>
      </c>
      <c r="B35" s="21" t="s">
        <v>8946</v>
      </c>
      <c r="C35" s="18" t="s">
        <v>7351</v>
      </c>
    </row>
    <row r="36" spans="1:3">
      <c r="A36" s="22"/>
      <c r="B36" s="15" t="s">
        <v>2</v>
      </c>
      <c r="C36" s="18" t="s">
        <v>7352</v>
      </c>
    </row>
    <row r="37" spans="1:3">
      <c r="A37" s="22"/>
      <c r="B37" s="15" t="s">
        <v>3</v>
      </c>
      <c r="C37" s="13"/>
    </row>
    <row r="38" spans="1:3">
      <c r="A38" s="22"/>
      <c r="B38" s="15" t="s">
        <v>4</v>
      </c>
      <c r="C38" s="13"/>
    </row>
    <row r="39" spans="1:3">
      <c r="A39" s="22"/>
      <c r="B39" s="15" t="s">
        <v>5</v>
      </c>
      <c r="C39" s="13"/>
    </row>
    <row r="40" spans="1:3">
      <c r="A40" s="22"/>
      <c r="B40" s="15" t="s">
        <v>6</v>
      </c>
      <c r="C40" s="13"/>
    </row>
    <row r="41" spans="1:3">
      <c r="A41" s="22"/>
      <c r="B41" s="15" t="s">
        <v>7</v>
      </c>
      <c r="C41" s="13"/>
    </row>
    <row r="42" spans="1:3">
      <c r="A42" s="22"/>
      <c r="B42" s="15" t="s">
        <v>8</v>
      </c>
      <c r="C42" s="13"/>
    </row>
    <row r="43" spans="1:3">
      <c r="A43" s="22"/>
      <c r="B43" s="15" t="s">
        <v>9</v>
      </c>
      <c r="C43" s="13"/>
    </row>
    <row r="44" spans="1:3">
      <c r="A44" s="19"/>
      <c r="B44" s="20"/>
      <c r="C44" s="18"/>
    </row>
    <row r="45" spans="1:3">
      <c r="A45" s="605" t="s">
        <v>7794</v>
      </c>
      <c r="B45" s="605"/>
      <c r="C45" s="28"/>
    </row>
    <row r="46" spans="1:3">
      <c r="A46" s="19" t="s">
        <v>7782</v>
      </c>
      <c r="B46" s="15" t="s">
        <v>11</v>
      </c>
      <c r="C46" s="18" t="s">
        <v>7351</v>
      </c>
    </row>
    <row r="47" spans="1:3">
      <c r="A47" s="19" t="s">
        <v>7783</v>
      </c>
      <c r="B47" s="15" t="s">
        <v>12</v>
      </c>
      <c r="C47" s="18" t="s">
        <v>7351</v>
      </c>
    </row>
    <row r="48" spans="1:3">
      <c r="A48" s="19" t="s">
        <v>7784</v>
      </c>
      <c r="B48" s="15" t="s">
        <v>13</v>
      </c>
      <c r="C48" s="18" t="s">
        <v>7351</v>
      </c>
    </row>
    <row r="49" spans="1:3">
      <c r="A49" s="19" t="s">
        <v>7785</v>
      </c>
      <c r="B49" s="15" t="s">
        <v>118</v>
      </c>
      <c r="C49" s="18" t="s">
        <v>7351</v>
      </c>
    </row>
    <row r="50" spans="1:3">
      <c r="A50" s="19" t="s">
        <v>7786</v>
      </c>
      <c r="B50" s="15" t="s">
        <v>142</v>
      </c>
      <c r="C50" s="18" t="s">
        <v>7351</v>
      </c>
    </row>
    <row r="51" spans="1:3">
      <c r="A51" s="19" t="s">
        <v>7787</v>
      </c>
      <c r="B51" s="15" t="s">
        <v>14</v>
      </c>
      <c r="C51" s="18" t="s">
        <v>7351</v>
      </c>
    </row>
    <row r="52" spans="1:3">
      <c r="A52" s="19" t="s">
        <v>7788</v>
      </c>
      <c r="B52" s="15" t="s">
        <v>15</v>
      </c>
      <c r="C52" s="18" t="s">
        <v>7351</v>
      </c>
    </row>
    <row r="53" spans="1:3">
      <c r="A53" s="19" t="s">
        <v>7789</v>
      </c>
      <c r="B53" s="15" t="s">
        <v>119</v>
      </c>
      <c r="C53" s="18" t="s">
        <v>7351</v>
      </c>
    </row>
    <row r="54" spans="1:3">
      <c r="A54" s="19" t="s">
        <v>7790</v>
      </c>
      <c r="B54" s="15" t="s">
        <v>8803</v>
      </c>
      <c r="C54" s="18" t="s">
        <v>7351</v>
      </c>
    </row>
    <row r="55" spans="1:3">
      <c r="A55" s="19" t="s">
        <v>7791</v>
      </c>
      <c r="B55" s="15" t="s">
        <v>143</v>
      </c>
      <c r="C55" s="18" t="s">
        <v>7351</v>
      </c>
    </row>
    <row r="56" spans="1:3" ht="25.5">
      <c r="A56" s="19" t="s">
        <v>7792</v>
      </c>
      <c r="B56" s="15" t="s">
        <v>9878</v>
      </c>
      <c r="C56" s="18" t="s">
        <v>7351</v>
      </c>
    </row>
    <row r="57" spans="1:3" ht="25.5">
      <c r="A57" s="19" t="s">
        <v>7793</v>
      </c>
      <c r="B57" s="15" t="s">
        <v>8926</v>
      </c>
      <c r="C57" s="18" t="s">
        <v>7351</v>
      </c>
    </row>
    <row r="58" spans="1:3">
      <c r="A58" s="19" t="s">
        <v>8805</v>
      </c>
      <c r="B58" s="15" t="s">
        <v>8927</v>
      </c>
      <c r="C58" s="18" t="s">
        <v>7351</v>
      </c>
    </row>
    <row r="59" spans="1:3">
      <c r="A59" s="6"/>
      <c r="B59" s="5"/>
      <c r="C59" s="7"/>
    </row>
    <row r="60" spans="1:3">
      <c r="A60" s="605" t="s">
        <v>7795</v>
      </c>
      <c r="B60" s="605"/>
      <c r="C60" s="28"/>
    </row>
    <row r="61" spans="1:3">
      <c r="A61" s="19" t="s">
        <v>57</v>
      </c>
      <c r="B61" s="15" t="s">
        <v>120</v>
      </c>
      <c r="C61" s="18" t="s">
        <v>7351</v>
      </c>
    </row>
    <row r="62" spans="1:3">
      <c r="A62" s="19" t="s">
        <v>58</v>
      </c>
      <c r="B62" s="15" t="s">
        <v>17</v>
      </c>
      <c r="C62" s="18" t="s">
        <v>7351</v>
      </c>
    </row>
    <row r="63" spans="1:3">
      <c r="A63" s="19" t="s">
        <v>59</v>
      </c>
      <c r="B63" s="15" t="s">
        <v>8642</v>
      </c>
      <c r="C63" s="18" t="s">
        <v>7351</v>
      </c>
    </row>
    <row r="64" spans="1:3">
      <c r="A64" s="19" t="s">
        <v>60</v>
      </c>
      <c r="B64" s="15" t="s">
        <v>18</v>
      </c>
      <c r="C64" s="18" t="s">
        <v>7351</v>
      </c>
    </row>
    <row r="65" spans="1:3">
      <c r="A65" s="19" t="s">
        <v>61</v>
      </c>
      <c r="B65" s="15" t="s">
        <v>19</v>
      </c>
      <c r="C65" s="18" t="s">
        <v>7351</v>
      </c>
    </row>
    <row r="66" spans="1:3">
      <c r="A66" s="19" t="s">
        <v>62</v>
      </c>
      <c r="B66" s="15" t="s">
        <v>144</v>
      </c>
      <c r="C66" s="18" t="s">
        <v>7351</v>
      </c>
    </row>
    <row r="67" spans="1:3">
      <c r="A67" s="19" t="s">
        <v>63</v>
      </c>
      <c r="B67" s="15" t="s">
        <v>37</v>
      </c>
      <c r="C67" s="18" t="s">
        <v>7351</v>
      </c>
    </row>
    <row r="68" spans="1:3">
      <c r="A68" s="19" t="s">
        <v>131</v>
      </c>
      <c r="B68" s="15" t="s">
        <v>9642</v>
      </c>
      <c r="C68" s="18" t="s">
        <v>7351</v>
      </c>
    </row>
    <row r="69" spans="1:3">
      <c r="A69" s="19" t="s">
        <v>149</v>
      </c>
      <c r="B69" s="15" t="s">
        <v>8807</v>
      </c>
      <c r="C69" s="18" t="s">
        <v>7351</v>
      </c>
    </row>
    <row r="70" spans="1:3">
      <c r="A70" s="19" t="s">
        <v>150</v>
      </c>
      <c r="B70" s="15" t="s">
        <v>8928</v>
      </c>
      <c r="C70" s="18" t="s">
        <v>7351</v>
      </c>
    </row>
    <row r="71" spans="1:3" ht="25.5">
      <c r="A71" s="19" t="s">
        <v>151</v>
      </c>
      <c r="B71" s="17" t="s">
        <v>8929</v>
      </c>
      <c r="C71" s="153" t="s">
        <v>7351</v>
      </c>
    </row>
    <row r="72" spans="1:3">
      <c r="A72" s="19" t="s">
        <v>152</v>
      </c>
      <c r="B72" s="17" t="s">
        <v>8809</v>
      </c>
      <c r="C72" s="153" t="s">
        <v>7351</v>
      </c>
    </row>
    <row r="73" spans="1:3">
      <c r="A73" s="19" t="s">
        <v>7796</v>
      </c>
      <c r="B73" s="15" t="s">
        <v>8810</v>
      </c>
      <c r="C73" s="153" t="s">
        <v>7351</v>
      </c>
    </row>
    <row r="74" spans="1:3" ht="25.5">
      <c r="A74" s="19" t="s">
        <v>7797</v>
      </c>
      <c r="B74" s="15" t="s">
        <v>8811</v>
      </c>
      <c r="C74" s="153" t="s">
        <v>7351</v>
      </c>
    </row>
    <row r="75" spans="1:3">
      <c r="A75" s="19" t="s">
        <v>8930</v>
      </c>
      <c r="B75" s="17" t="s">
        <v>8812</v>
      </c>
      <c r="C75" s="153" t="s">
        <v>7351</v>
      </c>
    </row>
    <row r="76" spans="1:3">
      <c r="A76" s="2"/>
      <c r="B76" s="3"/>
      <c r="C76" s="4"/>
    </row>
    <row r="77" spans="1:3">
      <c r="A77" s="605" t="s">
        <v>7798</v>
      </c>
      <c r="B77" s="605"/>
      <c r="C77" s="28"/>
    </row>
    <row r="78" spans="1:3">
      <c r="A78" s="19" t="s">
        <v>64</v>
      </c>
      <c r="B78" s="15" t="s">
        <v>108</v>
      </c>
      <c r="C78" s="18" t="s">
        <v>7351</v>
      </c>
    </row>
    <row r="79" spans="1:3">
      <c r="A79" s="19" t="s">
        <v>65</v>
      </c>
      <c r="B79" s="15" t="s">
        <v>8813</v>
      </c>
      <c r="C79" s="18" t="s">
        <v>7351</v>
      </c>
    </row>
    <row r="80" spans="1:3">
      <c r="A80" s="19" t="s">
        <v>66</v>
      </c>
      <c r="B80" s="15" t="s">
        <v>8814</v>
      </c>
      <c r="C80" s="18" t="s">
        <v>7351</v>
      </c>
    </row>
    <row r="81" spans="1:3">
      <c r="A81" s="19" t="s">
        <v>67</v>
      </c>
      <c r="B81" s="15" t="s">
        <v>8815</v>
      </c>
      <c r="C81" s="18" t="s">
        <v>7351</v>
      </c>
    </row>
    <row r="82" spans="1:3">
      <c r="A82" s="19" t="s">
        <v>8816</v>
      </c>
      <c r="B82" s="15" t="s">
        <v>8817</v>
      </c>
      <c r="C82" s="18" t="s">
        <v>7351</v>
      </c>
    </row>
    <row r="83" spans="1:3">
      <c r="A83" s="19" t="s">
        <v>8818</v>
      </c>
      <c r="B83" s="15" t="s">
        <v>8819</v>
      </c>
      <c r="C83" s="18" t="s">
        <v>7351</v>
      </c>
    </row>
    <row r="84" spans="1:3">
      <c r="A84" s="2"/>
      <c r="B84" s="3"/>
      <c r="C84" s="4"/>
    </row>
    <row r="85" spans="1:3">
      <c r="A85" s="605" t="s">
        <v>7799</v>
      </c>
      <c r="B85" s="605"/>
      <c r="C85" s="28"/>
    </row>
    <row r="86" spans="1:3">
      <c r="A86" s="19" t="s">
        <v>68</v>
      </c>
      <c r="B86" s="15" t="s">
        <v>136</v>
      </c>
      <c r="C86" s="18" t="s">
        <v>7351</v>
      </c>
    </row>
    <row r="87" spans="1:3">
      <c r="A87" s="19" t="s">
        <v>69</v>
      </c>
      <c r="B87" s="15" t="s">
        <v>23</v>
      </c>
      <c r="C87" s="18" t="s">
        <v>7351</v>
      </c>
    </row>
    <row r="88" spans="1:3">
      <c r="A88" s="19" t="s">
        <v>70</v>
      </c>
      <c r="B88" s="15" t="s">
        <v>24</v>
      </c>
      <c r="C88" s="18" t="s">
        <v>7351</v>
      </c>
    </row>
    <row r="89" spans="1:3" ht="25.5">
      <c r="A89" s="19" t="s">
        <v>71</v>
      </c>
      <c r="B89" s="15" t="s">
        <v>8820</v>
      </c>
      <c r="C89" s="18" t="s">
        <v>7351</v>
      </c>
    </row>
    <row r="90" spans="1:3">
      <c r="A90" s="19" t="s">
        <v>7800</v>
      </c>
      <c r="B90" s="15" t="s">
        <v>9204</v>
      </c>
      <c r="C90" s="18" t="s">
        <v>7351</v>
      </c>
    </row>
    <row r="91" spans="1:3">
      <c r="A91" s="19" t="s">
        <v>7801</v>
      </c>
      <c r="B91" s="15" t="s">
        <v>169</v>
      </c>
      <c r="C91" s="18" t="s">
        <v>7351</v>
      </c>
    </row>
    <row r="92" spans="1:3">
      <c r="A92" s="19" t="s">
        <v>8663</v>
      </c>
      <c r="B92" s="15" t="s">
        <v>8823</v>
      </c>
      <c r="C92" s="18" t="s">
        <v>7351</v>
      </c>
    </row>
    <row r="93" spans="1:3">
      <c r="A93" s="19" t="s">
        <v>8822</v>
      </c>
      <c r="B93" s="15" t="s">
        <v>25</v>
      </c>
      <c r="C93" s="18" t="s">
        <v>7351</v>
      </c>
    </row>
    <row r="94" spans="1:3">
      <c r="A94" s="2"/>
      <c r="B94" s="3"/>
      <c r="C94" s="4"/>
    </row>
    <row r="95" spans="1:3">
      <c r="A95" s="605" t="s">
        <v>7844</v>
      </c>
      <c r="B95" s="605"/>
      <c r="C95" s="28"/>
    </row>
    <row r="96" spans="1:3">
      <c r="A96" s="19" t="s">
        <v>72</v>
      </c>
      <c r="B96" s="15" t="s">
        <v>8628</v>
      </c>
      <c r="C96" s="18" t="s">
        <v>7351</v>
      </c>
    </row>
    <row r="97" spans="1:3">
      <c r="A97" s="19" t="s">
        <v>73</v>
      </c>
      <c r="B97" s="15" t="s">
        <v>8959</v>
      </c>
      <c r="C97" s="18" t="s">
        <v>7351</v>
      </c>
    </row>
    <row r="98" spans="1:3">
      <c r="A98" s="19" t="s">
        <v>74</v>
      </c>
      <c r="B98" s="15" t="s">
        <v>8627</v>
      </c>
      <c r="C98" s="18" t="s">
        <v>7351</v>
      </c>
    </row>
    <row r="99" spans="1:3">
      <c r="A99" s="19" t="s">
        <v>153</v>
      </c>
      <c r="B99" s="15" t="s">
        <v>38</v>
      </c>
      <c r="C99" s="18" t="s">
        <v>7351</v>
      </c>
    </row>
    <row r="100" spans="1:3">
      <c r="A100" s="19" t="s">
        <v>154</v>
      </c>
      <c r="B100" s="15" t="s">
        <v>146</v>
      </c>
      <c r="C100" s="18" t="s">
        <v>7351</v>
      </c>
    </row>
    <row r="101" spans="1:3" ht="25.5">
      <c r="A101" s="19" t="s">
        <v>9256</v>
      </c>
      <c r="B101" s="15" t="s">
        <v>10973</v>
      </c>
      <c r="C101" s="18" t="s">
        <v>7351</v>
      </c>
    </row>
    <row r="102" spans="1:3">
      <c r="A102" s="2"/>
      <c r="B102" s="3"/>
      <c r="C102" s="4"/>
    </row>
    <row r="103" spans="1:3">
      <c r="A103" s="605" t="s">
        <v>7845</v>
      </c>
      <c r="B103" s="605"/>
      <c r="C103" s="28"/>
    </row>
    <row r="104" spans="1:3" ht="25.5">
      <c r="A104" s="19" t="s">
        <v>75</v>
      </c>
      <c r="B104" s="20" t="s">
        <v>8825</v>
      </c>
      <c r="C104" s="18" t="s">
        <v>7351</v>
      </c>
    </row>
    <row r="105" spans="1:3">
      <c r="A105" s="19" t="s">
        <v>76</v>
      </c>
      <c r="B105" s="15" t="s">
        <v>8826</v>
      </c>
      <c r="C105" s="18" t="s">
        <v>7351</v>
      </c>
    </row>
    <row r="106" spans="1:3">
      <c r="A106" s="19" t="s">
        <v>77</v>
      </c>
      <c r="B106" s="15" t="s">
        <v>8827</v>
      </c>
      <c r="C106" s="18" t="s">
        <v>7351</v>
      </c>
    </row>
    <row r="107" spans="1:3">
      <c r="A107" s="19" t="s">
        <v>138</v>
      </c>
      <c r="B107" s="15" t="s">
        <v>26</v>
      </c>
      <c r="C107" s="18" t="s">
        <v>7351</v>
      </c>
    </row>
    <row r="108" spans="1:3">
      <c r="A108" s="19" t="s">
        <v>163</v>
      </c>
      <c r="B108" s="15" t="s">
        <v>8931</v>
      </c>
      <c r="C108" s="18" t="s">
        <v>7351</v>
      </c>
    </row>
    <row r="109" spans="1:3">
      <c r="A109" s="19" t="s">
        <v>7846</v>
      </c>
      <c r="B109" s="15" t="s">
        <v>27</v>
      </c>
      <c r="C109" s="18" t="s">
        <v>7351</v>
      </c>
    </row>
    <row r="110" spans="1:3">
      <c r="A110" s="19" t="s">
        <v>7847</v>
      </c>
      <c r="B110" s="15" t="s">
        <v>28</v>
      </c>
      <c r="C110" s="18" t="s">
        <v>7351</v>
      </c>
    </row>
    <row r="111" spans="1:3">
      <c r="A111" s="19" t="s">
        <v>7848</v>
      </c>
      <c r="B111" s="15" t="s">
        <v>29</v>
      </c>
      <c r="C111" s="18" t="s">
        <v>7351</v>
      </c>
    </row>
    <row r="112" spans="1:3">
      <c r="A112" s="19" t="s">
        <v>7849</v>
      </c>
      <c r="B112" s="15" t="s">
        <v>8829</v>
      </c>
      <c r="C112" s="18" t="s">
        <v>7351</v>
      </c>
    </row>
    <row r="113" spans="1:3" ht="114.75">
      <c r="A113" s="19" t="s">
        <v>8830</v>
      </c>
      <c r="B113" s="15" t="s">
        <v>8831</v>
      </c>
      <c r="C113" s="18" t="s">
        <v>7351</v>
      </c>
    </row>
    <row r="114" spans="1:3">
      <c r="A114" s="19" t="s">
        <v>8832</v>
      </c>
      <c r="B114" s="15" t="s">
        <v>8833</v>
      </c>
      <c r="C114" s="18" t="s">
        <v>7351</v>
      </c>
    </row>
    <row r="115" spans="1:3" ht="25.5">
      <c r="A115" s="19" t="s">
        <v>8834</v>
      </c>
      <c r="B115" s="15" t="s">
        <v>8835</v>
      </c>
      <c r="C115" s="18" t="s">
        <v>7351</v>
      </c>
    </row>
    <row r="116" spans="1:3">
      <c r="A116" s="19" t="s">
        <v>8836</v>
      </c>
      <c r="B116" s="15" t="s">
        <v>8837</v>
      </c>
      <c r="C116" s="18" t="s">
        <v>7351</v>
      </c>
    </row>
    <row r="117" spans="1:3">
      <c r="A117" s="19" t="s">
        <v>8838</v>
      </c>
      <c r="B117" s="15" t="s">
        <v>8932</v>
      </c>
      <c r="C117" s="18" t="s">
        <v>7351</v>
      </c>
    </row>
    <row r="118" spans="1:3">
      <c r="A118" s="19" t="s">
        <v>8840</v>
      </c>
      <c r="B118" s="15" t="s">
        <v>8847</v>
      </c>
      <c r="C118" s="18" t="s">
        <v>7351</v>
      </c>
    </row>
    <row r="119" spans="1:3">
      <c r="A119" s="2"/>
      <c r="B119" s="5"/>
      <c r="C119" s="4"/>
    </row>
    <row r="120" spans="1:3">
      <c r="A120" s="605" t="s">
        <v>7850</v>
      </c>
      <c r="B120" s="605"/>
      <c r="C120" s="28"/>
    </row>
    <row r="121" spans="1:3" ht="25.5">
      <c r="A121" s="14" t="s">
        <v>78</v>
      </c>
      <c r="B121" s="15" t="s">
        <v>8850</v>
      </c>
      <c r="C121" s="18" t="s">
        <v>7351</v>
      </c>
    </row>
    <row r="122" spans="1:3">
      <c r="A122" s="14" t="s">
        <v>79</v>
      </c>
      <c r="B122" s="15" t="s">
        <v>9669</v>
      </c>
      <c r="C122" s="18" t="s">
        <v>7351</v>
      </c>
    </row>
    <row r="123" spans="1:3">
      <c r="A123" s="14"/>
      <c r="B123" s="15"/>
      <c r="C123" s="18"/>
    </row>
    <row r="124" spans="1:3">
      <c r="A124" s="605" t="s">
        <v>7851</v>
      </c>
      <c r="B124" s="605"/>
      <c r="C124" s="28"/>
    </row>
    <row r="125" spans="1:3">
      <c r="A125" s="14" t="s">
        <v>80</v>
      </c>
      <c r="B125" s="15" t="s">
        <v>130</v>
      </c>
      <c r="C125" s="18" t="s">
        <v>7351</v>
      </c>
    </row>
    <row r="126" spans="1:3">
      <c r="A126" s="14" t="s">
        <v>81</v>
      </c>
      <c r="B126" s="15" t="s">
        <v>33</v>
      </c>
      <c r="C126" s="18" t="s">
        <v>7351</v>
      </c>
    </row>
    <row r="127" spans="1:3">
      <c r="A127" s="14" t="s">
        <v>7802</v>
      </c>
      <c r="B127" s="15" t="s">
        <v>9024</v>
      </c>
      <c r="C127" s="18" t="s">
        <v>7351</v>
      </c>
    </row>
    <row r="128" spans="1:3">
      <c r="A128" s="14" t="s">
        <v>7803</v>
      </c>
      <c r="B128" s="15" t="s">
        <v>8851</v>
      </c>
      <c r="C128" s="18" t="s">
        <v>7351</v>
      </c>
    </row>
    <row r="129" spans="1:3">
      <c r="A129" s="14" t="s">
        <v>7804</v>
      </c>
      <c r="B129" s="15" t="s">
        <v>112</v>
      </c>
      <c r="C129" s="18" t="s">
        <v>7351</v>
      </c>
    </row>
    <row r="130" spans="1:3">
      <c r="A130" s="14" t="s">
        <v>7805</v>
      </c>
      <c r="B130" s="15" t="s">
        <v>8933</v>
      </c>
      <c r="C130" s="18" t="s">
        <v>7351</v>
      </c>
    </row>
    <row r="131" spans="1:3">
      <c r="A131" s="14" t="s">
        <v>7806</v>
      </c>
      <c r="B131" s="15" t="s">
        <v>8934</v>
      </c>
      <c r="C131" s="18" t="s">
        <v>7351</v>
      </c>
    </row>
    <row r="132" spans="1:3">
      <c r="A132" s="14" t="s">
        <v>7807</v>
      </c>
      <c r="B132" s="15" t="s">
        <v>8935</v>
      </c>
      <c r="C132" s="18" t="s">
        <v>7351</v>
      </c>
    </row>
    <row r="133" spans="1:3">
      <c r="A133" s="14" t="s">
        <v>7808</v>
      </c>
      <c r="B133" s="15" t="s">
        <v>8936</v>
      </c>
      <c r="C133" s="18" t="s">
        <v>7351</v>
      </c>
    </row>
    <row r="134" spans="1:3">
      <c r="A134" s="14" t="s">
        <v>7852</v>
      </c>
      <c r="B134" s="15" t="s">
        <v>8937</v>
      </c>
      <c r="C134" s="18" t="s">
        <v>7351</v>
      </c>
    </row>
    <row r="135" spans="1:3" ht="63.75">
      <c r="A135" s="14" t="s">
        <v>8858</v>
      </c>
      <c r="B135" s="15" t="s">
        <v>9057</v>
      </c>
      <c r="C135" s="18" t="s">
        <v>7351</v>
      </c>
    </row>
    <row r="136" spans="1:3">
      <c r="A136" s="2"/>
      <c r="B136" s="3"/>
      <c r="C136" s="4"/>
    </row>
    <row r="137" spans="1:3">
      <c r="A137" s="42" t="s">
        <v>8938</v>
      </c>
      <c r="B137" s="42"/>
      <c r="C137" s="28"/>
    </row>
    <row r="138" spans="1:3">
      <c r="A138" s="14" t="s">
        <v>82</v>
      </c>
      <c r="B138" s="15" t="s">
        <v>8864</v>
      </c>
      <c r="C138" s="18" t="s">
        <v>7351</v>
      </c>
    </row>
    <row r="139" spans="1:3">
      <c r="A139" s="14" t="s">
        <v>83</v>
      </c>
      <c r="B139" s="15" t="s">
        <v>8865</v>
      </c>
      <c r="C139" s="18" t="s">
        <v>7351</v>
      </c>
    </row>
    <row r="140" spans="1:3">
      <c r="A140" s="14" t="s">
        <v>155</v>
      </c>
      <c r="B140" s="15" t="s">
        <v>8866</v>
      </c>
      <c r="C140" s="18" t="s">
        <v>7351</v>
      </c>
    </row>
    <row r="141" spans="1:3">
      <c r="A141" s="14" t="s">
        <v>156</v>
      </c>
      <c r="B141" s="15" t="s">
        <v>8867</v>
      </c>
      <c r="C141" s="18" t="s">
        <v>7351</v>
      </c>
    </row>
    <row r="142" spans="1:3">
      <c r="A142" s="14" t="s">
        <v>157</v>
      </c>
      <c r="B142" s="15" t="s">
        <v>9058</v>
      </c>
      <c r="C142" s="18" t="s">
        <v>7351</v>
      </c>
    </row>
    <row r="143" spans="1:3">
      <c r="A143" s="14" t="s">
        <v>158</v>
      </c>
      <c r="B143" s="15" t="s">
        <v>36</v>
      </c>
      <c r="C143" s="18" t="s">
        <v>7351</v>
      </c>
    </row>
    <row r="144" spans="1:3">
      <c r="A144" s="14" t="s">
        <v>159</v>
      </c>
      <c r="B144" s="15" t="s">
        <v>8868</v>
      </c>
      <c r="C144" s="18" t="s">
        <v>7351</v>
      </c>
    </row>
    <row r="145" spans="1:3">
      <c r="A145" s="14" t="s">
        <v>160</v>
      </c>
      <c r="B145" s="15" t="s">
        <v>8869</v>
      </c>
      <c r="C145" s="18" t="s">
        <v>7351</v>
      </c>
    </row>
    <row r="146" spans="1:3">
      <c r="A146" s="14" t="s">
        <v>161</v>
      </c>
      <c r="B146" s="15" t="s">
        <v>8870</v>
      </c>
      <c r="C146" s="18" t="s">
        <v>7351</v>
      </c>
    </row>
    <row r="147" spans="1:3">
      <c r="A147" s="14" t="s">
        <v>162</v>
      </c>
      <c r="B147" s="15" t="s">
        <v>113</v>
      </c>
      <c r="C147" s="18" t="s">
        <v>7351</v>
      </c>
    </row>
    <row r="148" spans="1:3">
      <c r="A148" s="14" t="s">
        <v>8671</v>
      </c>
      <c r="B148" s="15" t="s">
        <v>166</v>
      </c>
      <c r="C148" s="18" t="s">
        <v>7351</v>
      </c>
    </row>
    <row r="149" spans="1:3">
      <c r="A149" s="14"/>
      <c r="B149" s="15"/>
      <c r="C149" s="18"/>
    </row>
    <row r="150" spans="1:3">
      <c r="A150" s="42" t="s">
        <v>8939</v>
      </c>
      <c r="B150" s="42"/>
      <c r="C150" s="28"/>
    </row>
    <row r="151" spans="1:3">
      <c r="A151" s="14" t="s">
        <v>84</v>
      </c>
      <c r="B151" s="15" t="s">
        <v>8872</v>
      </c>
      <c r="C151" s="18" t="s">
        <v>7351</v>
      </c>
    </row>
    <row r="152" spans="1:3">
      <c r="A152" s="14" t="s">
        <v>85</v>
      </c>
      <c r="B152" s="15" t="s">
        <v>8873</v>
      </c>
      <c r="C152" s="18" t="s">
        <v>7351</v>
      </c>
    </row>
    <row r="153" spans="1:3">
      <c r="A153" s="14" t="s">
        <v>86</v>
      </c>
      <c r="B153" s="15" t="s">
        <v>8874</v>
      </c>
      <c r="C153" s="18" t="s">
        <v>7351</v>
      </c>
    </row>
    <row r="154" spans="1:3">
      <c r="A154" s="14" t="s">
        <v>174</v>
      </c>
      <c r="B154" s="15" t="s">
        <v>8875</v>
      </c>
      <c r="C154" s="18" t="s">
        <v>7351</v>
      </c>
    </row>
    <row r="155" spans="1:3">
      <c r="A155" s="14" t="s">
        <v>175</v>
      </c>
      <c r="B155" s="213" t="s">
        <v>36</v>
      </c>
      <c r="C155" s="18" t="s">
        <v>7351</v>
      </c>
    </row>
    <row r="156" spans="1:3">
      <c r="A156" s="14" t="s">
        <v>176</v>
      </c>
      <c r="B156" s="15" t="s">
        <v>8876</v>
      </c>
      <c r="C156" s="18" t="s">
        <v>7351</v>
      </c>
    </row>
    <row r="157" spans="1:3">
      <c r="A157" s="14" t="s">
        <v>177</v>
      </c>
      <c r="B157" s="15" t="s">
        <v>8877</v>
      </c>
      <c r="C157" s="18" t="s">
        <v>7351</v>
      </c>
    </row>
    <row r="158" spans="1:3">
      <c r="A158" s="14" t="s">
        <v>178</v>
      </c>
      <c r="B158" s="15" t="s">
        <v>8878</v>
      </c>
      <c r="C158" s="18" t="s">
        <v>7351</v>
      </c>
    </row>
    <row r="159" spans="1:3">
      <c r="A159" s="14" t="s">
        <v>179</v>
      </c>
      <c r="B159" s="15" t="s">
        <v>8879</v>
      </c>
      <c r="C159" s="18" t="s">
        <v>7351</v>
      </c>
    </row>
    <row r="160" spans="1:3">
      <c r="A160" s="14" t="s">
        <v>180</v>
      </c>
      <c r="B160" s="15" t="s">
        <v>8880</v>
      </c>
      <c r="C160" s="18" t="s">
        <v>7351</v>
      </c>
    </row>
    <row r="161" spans="1:3" ht="25.5">
      <c r="A161" s="14" t="s">
        <v>8678</v>
      </c>
      <c r="B161" s="15" t="s">
        <v>8881</v>
      </c>
      <c r="C161" s="18" t="s">
        <v>7351</v>
      </c>
    </row>
    <row r="162" spans="1:3" ht="51">
      <c r="A162" s="14" t="s">
        <v>8679</v>
      </c>
      <c r="B162" s="15" t="s">
        <v>8967</v>
      </c>
      <c r="C162" s="18" t="s">
        <v>7351</v>
      </c>
    </row>
    <row r="163" spans="1:3">
      <c r="A163" s="15"/>
      <c r="B163" s="15"/>
      <c r="C163" s="15"/>
    </row>
    <row r="164" spans="1:3">
      <c r="A164" s="214" t="s">
        <v>8940</v>
      </c>
      <c r="B164" s="15"/>
      <c r="C164" s="28"/>
    </row>
    <row r="165" spans="1:3">
      <c r="A165" s="14" t="s">
        <v>87</v>
      </c>
      <c r="B165" s="15" t="s">
        <v>8864</v>
      </c>
      <c r="C165" s="18" t="s">
        <v>7351</v>
      </c>
    </row>
    <row r="166" spans="1:3">
      <c r="A166" s="14" t="s">
        <v>88</v>
      </c>
      <c r="B166" s="15" t="s">
        <v>8865</v>
      </c>
      <c r="C166" s="18" t="s">
        <v>7351</v>
      </c>
    </row>
    <row r="167" spans="1:3">
      <c r="A167" s="14" t="s">
        <v>8883</v>
      </c>
      <c r="B167" s="15" t="s">
        <v>8866</v>
      </c>
      <c r="C167" s="18" t="s">
        <v>7351</v>
      </c>
    </row>
    <row r="168" spans="1:3">
      <c r="A168" s="14" t="s">
        <v>8885</v>
      </c>
      <c r="B168" s="15" t="s">
        <v>8867</v>
      </c>
      <c r="C168" s="18" t="s">
        <v>7351</v>
      </c>
    </row>
    <row r="169" spans="1:3">
      <c r="A169" s="14" t="s">
        <v>8886</v>
      </c>
      <c r="B169" s="15" t="s">
        <v>9058</v>
      </c>
      <c r="C169" s="18" t="s">
        <v>7351</v>
      </c>
    </row>
    <row r="170" spans="1:3">
      <c r="A170" s="14" t="s">
        <v>8887</v>
      </c>
      <c r="B170" s="15" t="s">
        <v>36</v>
      </c>
      <c r="C170" s="18" t="s">
        <v>7351</v>
      </c>
    </row>
    <row r="171" spans="1:3">
      <c r="A171" s="14" t="s">
        <v>8889</v>
      </c>
      <c r="B171" s="15" t="s">
        <v>8888</v>
      </c>
      <c r="C171" s="18" t="s">
        <v>7351</v>
      </c>
    </row>
    <row r="172" spans="1:3">
      <c r="A172" s="14" t="s">
        <v>8941</v>
      </c>
      <c r="B172" s="15" t="s">
        <v>166</v>
      </c>
      <c r="C172" s="18"/>
    </row>
    <row r="173" spans="1:3">
      <c r="A173" s="14"/>
      <c r="B173" s="15"/>
      <c r="C173" s="18"/>
    </row>
    <row r="174" spans="1:3">
      <c r="A174" s="42" t="s">
        <v>7856</v>
      </c>
      <c r="B174" s="15"/>
      <c r="C174" s="28"/>
    </row>
    <row r="175" spans="1:3">
      <c r="A175" s="14" t="s">
        <v>89</v>
      </c>
      <c r="B175" s="15" t="s">
        <v>35</v>
      </c>
      <c r="C175" s="18" t="s">
        <v>7351</v>
      </c>
    </row>
    <row r="176" spans="1:3">
      <c r="A176" s="14" t="s">
        <v>90</v>
      </c>
      <c r="B176" s="15" t="s">
        <v>112</v>
      </c>
      <c r="C176" s="18" t="s">
        <v>7351</v>
      </c>
    </row>
    <row r="177" spans="1:3">
      <c r="A177" s="14" t="s">
        <v>7809</v>
      </c>
      <c r="B177" s="15" t="s">
        <v>8851</v>
      </c>
      <c r="C177" s="18" t="s">
        <v>7351</v>
      </c>
    </row>
    <row r="178" spans="1:3">
      <c r="A178" s="14"/>
      <c r="B178" s="209"/>
      <c r="C178" s="18"/>
    </row>
    <row r="179" spans="1:3">
      <c r="A179" s="42" t="s">
        <v>7857</v>
      </c>
      <c r="B179" s="15"/>
      <c r="C179" s="28"/>
    </row>
    <row r="180" spans="1:3">
      <c r="A180" s="14" t="s">
        <v>91</v>
      </c>
      <c r="B180" s="15" t="s">
        <v>8896</v>
      </c>
      <c r="C180" s="18" t="s">
        <v>7351</v>
      </c>
    </row>
    <row r="181" spans="1:3">
      <c r="A181" s="14" t="s">
        <v>92</v>
      </c>
      <c r="B181" s="15" t="s">
        <v>8897</v>
      </c>
      <c r="C181" s="18" t="s">
        <v>7351</v>
      </c>
    </row>
    <row r="182" spans="1:3">
      <c r="A182" s="2"/>
      <c r="B182" s="42"/>
      <c r="C182" s="4"/>
    </row>
    <row r="183" spans="1:3">
      <c r="A183" s="42" t="s">
        <v>7859</v>
      </c>
      <c r="B183" s="3"/>
      <c r="C183" s="28"/>
    </row>
    <row r="184" spans="1:3">
      <c r="A184" s="14" t="s">
        <v>94</v>
      </c>
      <c r="B184" s="15" t="s">
        <v>8898</v>
      </c>
      <c r="C184" s="18" t="s">
        <v>7351</v>
      </c>
    </row>
    <row r="185" spans="1:3">
      <c r="A185" s="14" t="s">
        <v>95</v>
      </c>
      <c r="B185" s="15" t="s">
        <v>141</v>
      </c>
      <c r="C185" s="18" t="s">
        <v>7351</v>
      </c>
    </row>
    <row r="186" spans="1:3">
      <c r="A186" s="14" t="s">
        <v>96</v>
      </c>
      <c r="B186" s="15" t="s">
        <v>147</v>
      </c>
      <c r="C186" s="18" t="s">
        <v>7351</v>
      </c>
    </row>
    <row r="187" spans="1:3">
      <c r="A187" s="14" t="s">
        <v>97</v>
      </c>
      <c r="B187" s="15" t="s">
        <v>135</v>
      </c>
      <c r="C187" s="18" t="s">
        <v>7351</v>
      </c>
    </row>
    <row r="188" spans="1:3">
      <c r="A188" s="14" t="s">
        <v>7860</v>
      </c>
      <c r="B188" s="15" t="s">
        <v>39</v>
      </c>
      <c r="C188" s="18" t="s">
        <v>7351</v>
      </c>
    </row>
    <row r="189" spans="1:3">
      <c r="A189" s="14" t="s">
        <v>7861</v>
      </c>
      <c r="B189" s="15" t="s">
        <v>40</v>
      </c>
      <c r="C189" s="18" t="s">
        <v>7351</v>
      </c>
    </row>
    <row r="190" spans="1:3">
      <c r="A190" s="14" t="s">
        <v>7862</v>
      </c>
      <c r="B190" s="15" t="s">
        <v>8980</v>
      </c>
      <c r="C190" s="18" t="s">
        <v>7351</v>
      </c>
    </row>
    <row r="191" spans="1:3">
      <c r="A191" s="14"/>
      <c r="C191" s="18"/>
    </row>
    <row r="192" spans="1:3">
      <c r="A192" s="42" t="s">
        <v>8899</v>
      </c>
      <c r="B192" s="15"/>
      <c r="C192" s="28"/>
    </row>
    <row r="193" spans="1:3">
      <c r="A193" s="210" t="s">
        <v>98</v>
      </c>
      <c r="B193" s="215" t="s">
        <v>8900</v>
      </c>
      <c r="C193" s="216" t="s">
        <v>7351</v>
      </c>
    </row>
    <row r="194" spans="1:3">
      <c r="A194" s="210" t="s">
        <v>99</v>
      </c>
      <c r="B194" s="215" t="s">
        <v>8942</v>
      </c>
      <c r="C194" s="216" t="s">
        <v>7351</v>
      </c>
    </row>
    <row r="195" spans="1:3">
      <c r="A195" s="210" t="s">
        <v>181</v>
      </c>
      <c r="B195" s="15" t="s">
        <v>8943</v>
      </c>
      <c r="C195" s="216" t="s">
        <v>7351</v>
      </c>
    </row>
    <row r="196" spans="1:3" ht="25.5">
      <c r="A196" s="210" t="s">
        <v>182</v>
      </c>
      <c r="B196" s="15" t="s">
        <v>8944</v>
      </c>
      <c r="C196" s="216" t="s">
        <v>7351</v>
      </c>
    </row>
    <row r="197" spans="1:3">
      <c r="A197" s="14"/>
      <c r="B197" s="15"/>
      <c r="C197" s="18"/>
    </row>
    <row r="198" spans="1:3">
      <c r="A198" s="605" t="s">
        <v>8904</v>
      </c>
      <c r="B198" s="605"/>
      <c r="C198" s="28"/>
    </row>
    <row r="199" spans="1:3">
      <c r="A199" s="14" t="s">
        <v>100</v>
      </c>
      <c r="B199" s="9" t="str">
        <f>_xlfn.CONCAT('Pricing Sheet'!A24:L24)</f>
        <v/>
      </c>
      <c r="C199" s="24" t="s">
        <v>7350</v>
      </c>
    </row>
    <row r="200" spans="1:3">
      <c r="A200" s="14" t="s">
        <v>101</v>
      </c>
      <c r="B200" s="9" t="str">
        <f>_xlfn.CONCAT('Pricing Sheet'!A25:L25)</f>
        <v/>
      </c>
      <c r="C200" s="24" t="s">
        <v>7350</v>
      </c>
    </row>
    <row r="201" spans="1:3">
      <c r="A201" s="14" t="s">
        <v>187</v>
      </c>
      <c r="B201" s="9" t="str">
        <f>_xlfn.CONCAT('Pricing Sheet'!A26:L26)</f>
        <v/>
      </c>
      <c r="C201" s="24" t="s">
        <v>7350</v>
      </c>
    </row>
    <row r="202" spans="1:3">
      <c r="A202" s="14" t="s">
        <v>188</v>
      </c>
      <c r="B202" s="9" t="str">
        <f>_xlfn.CONCAT('Pricing Sheet'!A27:L27)</f>
        <v/>
      </c>
      <c r="C202" s="24" t="s">
        <v>7350</v>
      </c>
    </row>
    <row r="203" spans="1:3">
      <c r="A203" s="14" t="s">
        <v>189</v>
      </c>
      <c r="B203" s="9" t="str">
        <f>_xlfn.CONCAT('Pricing Sheet'!A28:L28)</f>
        <v/>
      </c>
      <c r="C203" s="24" t="s">
        <v>7350</v>
      </c>
    </row>
    <row r="204" spans="1:3">
      <c r="A204" s="14" t="s">
        <v>190</v>
      </c>
      <c r="B204" s="9" t="str">
        <f>_xlfn.CONCAT('Pricing Sheet'!A29:L29)</f>
        <v/>
      </c>
      <c r="C204" s="24" t="s">
        <v>7350</v>
      </c>
    </row>
    <row r="205" spans="1:3">
      <c r="A205" s="14" t="s">
        <v>191</v>
      </c>
      <c r="B205" s="9" t="str">
        <f>_xlfn.CONCAT('Pricing Sheet'!A30:L30)</f>
        <v/>
      </c>
      <c r="C205" s="24" t="s">
        <v>7350</v>
      </c>
    </row>
    <row r="206" spans="1:3">
      <c r="A206" s="14" t="s">
        <v>192</v>
      </c>
      <c r="B206" s="9" t="str">
        <f>_xlfn.CONCAT('Pricing Sheet'!A31:L31)</f>
        <v/>
      </c>
      <c r="C206" s="24" t="s">
        <v>7350</v>
      </c>
    </row>
    <row r="207" spans="1:3">
      <c r="A207" s="14" t="s">
        <v>193</v>
      </c>
      <c r="B207" s="9" t="str">
        <f>_xlfn.CONCAT('Pricing Sheet'!A32:L32)</f>
        <v/>
      </c>
      <c r="C207" s="24" t="s">
        <v>7350</v>
      </c>
    </row>
    <row r="208" spans="1:3">
      <c r="A208" s="14" t="s">
        <v>7330</v>
      </c>
      <c r="B208" s="9" t="str">
        <f>_xlfn.CONCAT('Pricing Sheet'!A33:L33)</f>
        <v/>
      </c>
      <c r="C208" s="24" t="s">
        <v>7350</v>
      </c>
    </row>
    <row r="209" spans="1:3">
      <c r="A209" s="14" t="s">
        <v>8551</v>
      </c>
      <c r="B209" s="9" t="str">
        <f>_xlfn.CONCAT('Pricing Sheet'!A34:L34)</f>
        <v/>
      </c>
      <c r="C209" s="24" t="s">
        <v>7350</v>
      </c>
    </row>
    <row r="210" spans="1:3">
      <c r="A210" s="14" t="s">
        <v>8905</v>
      </c>
      <c r="B210" s="9" t="str">
        <f>_xlfn.CONCAT('Pricing Sheet'!A35:L35)</f>
        <v/>
      </c>
      <c r="C210" s="24" t="s">
        <v>7350</v>
      </c>
    </row>
    <row r="211" spans="1:3">
      <c r="A211" s="14" t="s">
        <v>8906</v>
      </c>
      <c r="B211" s="9" t="str">
        <f>_xlfn.CONCAT('Pricing Sheet'!A36:L36)</f>
        <v/>
      </c>
      <c r="C211" s="24" t="s">
        <v>7350</v>
      </c>
    </row>
    <row r="212" spans="1:3">
      <c r="A212" s="14" t="s">
        <v>8907</v>
      </c>
      <c r="B212" s="9" t="str">
        <f>_xlfn.CONCAT('Pricing Sheet'!A37:L37)</f>
        <v/>
      </c>
      <c r="C212" s="24" t="s">
        <v>7350</v>
      </c>
    </row>
    <row r="213" spans="1:3">
      <c r="A213" s="14" t="s">
        <v>8908</v>
      </c>
      <c r="B213" s="9" t="str">
        <f>_xlfn.CONCAT('Pricing Sheet'!A38:L38)</f>
        <v/>
      </c>
      <c r="C213" s="24" t="s">
        <v>7350</v>
      </c>
    </row>
    <row r="214" spans="1:3">
      <c r="A214" s="14" t="s">
        <v>8909</v>
      </c>
      <c r="B214" s="9" t="str">
        <f>_xlfn.CONCAT('Pricing Sheet'!A39:L39)</f>
        <v/>
      </c>
      <c r="C214" s="24" t="s">
        <v>7350</v>
      </c>
    </row>
    <row r="215" spans="1:3">
      <c r="A215" s="14" t="s">
        <v>8910</v>
      </c>
      <c r="B215" s="9" t="str">
        <f>_xlfn.CONCAT('Pricing Sheet'!A40:L40)</f>
        <v/>
      </c>
      <c r="C215" s="24" t="s">
        <v>7350</v>
      </c>
    </row>
    <row r="216" spans="1:3">
      <c r="A216" s="14" t="s">
        <v>8911</v>
      </c>
      <c r="B216" s="9" t="str">
        <f>_xlfn.CONCAT('Pricing Sheet'!A41:L41)</f>
        <v/>
      </c>
      <c r="C216" s="24" t="s">
        <v>7350</v>
      </c>
    </row>
    <row r="217" spans="1:3">
      <c r="A217" s="14" t="s">
        <v>8912</v>
      </c>
      <c r="B217" s="9" t="str">
        <f>_xlfn.CONCAT('Pricing Sheet'!A42:L42)</f>
        <v/>
      </c>
      <c r="C217" s="24" t="s">
        <v>7350</v>
      </c>
    </row>
    <row r="218" spans="1:3">
      <c r="A218" s="14" t="s">
        <v>8913</v>
      </c>
      <c r="B218" s="9" t="str">
        <f>_xlfn.CONCAT('Pricing Sheet'!A43:L43)</f>
        <v/>
      </c>
      <c r="C218" s="24" t="s">
        <v>7350</v>
      </c>
    </row>
    <row r="219" spans="1:3">
      <c r="A219" s="14" t="s">
        <v>8914</v>
      </c>
      <c r="B219" s="9" t="str">
        <f>_xlfn.CONCAT('Pricing Sheet'!A44:L44)</f>
        <v/>
      </c>
      <c r="C219" s="24" t="s">
        <v>7350</v>
      </c>
    </row>
    <row r="220" spans="1:3">
      <c r="A220" s="14" t="s">
        <v>8915</v>
      </c>
      <c r="B220" s="9" t="str">
        <f>_xlfn.CONCAT('Pricing Sheet'!A45:L45)</f>
        <v/>
      </c>
      <c r="C220" s="24" t="s">
        <v>7350</v>
      </c>
    </row>
    <row r="221" spans="1:3">
      <c r="A221" s="14" t="s">
        <v>8916</v>
      </c>
      <c r="B221" s="9" t="str">
        <f>_xlfn.CONCAT('Pricing Sheet'!A46:L46)</f>
        <v/>
      </c>
      <c r="C221" s="24" t="s">
        <v>7350</v>
      </c>
    </row>
    <row r="222" spans="1:3">
      <c r="A222" s="14" t="s">
        <v>8917</v>
      </c>
      <c r="B222" s="9" t="str">
        <f>_xlfn.CONCAT('Pricing Sheet'!A47:L47)</f>
        <v/>
      </c>
      <c r="C222" s="24" t="s">
        <v>7350</v>
      </c>
    </row>
    <row r="223" spans="1:3">
      <c r="A223" s="14" t="s">
        <v>8918</v>
      </c>
      <c r="B223" s="9" t="str">
        <f>_xlfn.CONCAT('Pricing Sheet'!A48:L48)</f>
        <v/>
      </c>
      <c r="C223" s="24" t="s">
        <v>7350</v>
      </c>
    </row>
    <row r="224" spans="1:3">
      <c r="A224" s="14" t="s">
        <v>8919</v>
      </c>
      <c r="B224" s="9" t="str">
        <f>_xlfn.CONCAT('Pricing Sheet'!A49:L49)</f>
        <v/>
      </c>
      <c r="C224" s="24" t="s">
        <v>7350</v>
      </c>
    </row>
    <row r="225" spans="1:3">
      <c r="A225" s="14" t="s">
        <v>8920</v>
      </c>
      <c r="B225" s="9" t="str">
        <f>_xlfn.CONCAT('Pricing Sheet'!A50:L50)</f>
        <v/>
      </c>
      <c r="C225" s="24" t="s">
        <v>7350</v>
      </c>
    </row>
    <row r="226" spans="1:3">
      <c r="A226" s="14"/>
      <c r="B226" s="15"/>
      <c r="C226" s="18"/>
    </row>
    <row r="227" spans="1:3">
      <c r="A227" s="606" t="str">
        <f>"21 - "&amp;UPPER('Pricing Sheet'!O38)&amp;IF('Pricing Sheet'!S38=" (refer to sketch dated: ##/##/#### )","",'Pricing Sheet'!S38)</f>
        <v>21 - STRUCTURAL HOUSE MODIFICATIONS</v>
      </c>
      <c r="B227" s="606"/>
      <c r="C227" s="28"/>
    </row>
    <row r="228" spans="1:3">
      <c r="A228" s="14" t="s">
        <v>7321</v>
      </c>
      <c r="B228" s="9" t="str">
        <f>_xlfn.CONCAT('Pricing Sheet'!O41:X41)</f>
        <v/>
      </c>
      <c r="C228" s="24" t="s">
        <v>7350</v>
      </c>
    </row>
    <row r="229" spans="1:3">
      <c r="A229" s="14" t="s">
        <v>7322</v>
      </c>
      <c r="B229" s="9" t="str">
        <f>_xlfn.CONCAT('Pricing Sheet'!O42:X42)</f>
        <v/>
      </c>
      <c r="C229" s="24" t="s">
        <v>7350</v>
      </c>
    </row>
    <row r="230" spans="1:3">
      <c r="A230" s="14" t="s">
        <v>7323</v>
      </c>
      <c r="B230" s="9" t="str">
        <f>_xlfn.CONCAT('Pricing Sheet'!O43:X43)</f>
        <v/>
      </c>
      <c r="C230" s="24" t="s">
        <v>7350</v>
      </c>
    </row>
    <row r="231" spans="1:3">
      <c r="A231" s="14" t="s">
        <v>7324</v>
      </c>
      <c r="B231" s="9" t="str">
        <f>_xlfn.CONCAT('Pricing Sheet'!O44:X44)</f>
        <v/>
      </c>
      <c r="C231" s="24" t="s">
        <v>7350</v>
      </c>
    </row>
    <row r="232" spans="1:3">
      <c r="A232" s="14" t="s">
        <v>7325</v>
      </c>
      <c r="B232" s="9" t="str">
        <f>_xlfn.CONCAT('Pricing Sheet'!O45:X45)</f>
        <v/>
      </c>
      <c r="C232" s="24" t="s">
        <v>7350</v>
      </c>
    </row>
    <row r="233" spans="1:3">
      <c r="A233" s="14" t="s">
        <v>7326</v>
      </c>
      <c r="B233" s="9" t="str">
        <f>_xlfn.CONCAT('Pricing Sheet'!O46:X46)</f>
        <v/>
      </c>
      <c r="C233" s="24" t="s">
        <v>7350</v>
      </c>
    </row>
    <row r="234" spans="1:3">
      <c r="A234" s="14" t="s">
        <v>7327</v>
      </c>
      <c r="B234" s="9" t="str">
        <f>_xlfn.CONCAT('Pricing Sheet'!O47:X47)</f>
        <v/>
      </c>
      <c r="C234" s="24" t="s">
        <v>7350</v>
      </c>
    </row>
    <row r="235" spans="1:3">
      <c r="A235" s="14" t="s">
        <v>7328</v>
      </c>
      <c r="B235" s="9" t="str">
        <f>_xlfn.CONCAT('Pricing Sheet'!O48:X48)</f>
        <v/>
      </c>
      <c r="C235" s="24" t="s">
        <v>7350</v>
      </c>
    </row>
    <row r="236" spans="1:3" ht="25.5">
      <c r="A236" s="14" t="s">
        <v>7329</v>
      </c>
      <c r="B236" s="9" t="str">
        <f>_xlfn.CONCAT('Pricing Sheet'!O49:X49)</f>
        <v xml:space="preserve">Provide a preliminary site clean including but not limited to removal of trees, tree root system, rubbish, long grass etc. </v>
      </c>
      <c r="C236" s="24" t="s">
        <v>7350</v>
      </c>
    </row>
    <row r="237" spans="1:3">
      <c r="A237" s="14" t="s">
        <v>7331</v>
      </c>
      <c r="B237" s="9" t="str">
        <f>_xlfn.CONCAT('Pricing Sheet'!O50:X50)</f>
        <v/>
      </c>
      <c r="C237" s="24" t="s">
        <v>7350</v>
      </c>
    </row>
    <row r="238" spans="1:3">
      <c r="A238" s="14"/>
      <c r="B238" s="9" t="str">
        <f>_xlfn.CONCAT('Pricing Sheet'!O37:X37)</f>
        <v/>
      </c>
      <c r="C238" s="18"/>
    </row>
    <row r="239" spans="1:3">
      <c r="A239" s="605" t="s">
        <v>8921</v>
      </c>
      <c r="B239" s="605"/>
      <c r="C239" s="18"/>
    </row>
    <row r="240" spans="1:3">
      <c r="A240" s="14" t="s">
        <v>7332</v>
      </c>
      <c r="B240" s="9" t="str">
        <f>_xlfn.CONCAT('Pricing Sheet'!O24:X24)</f>
        <v/>
      </c>
      <c r="C240" s="24" t="s">
        <v>7350</v>
      </c>
    </row>
    <row r="241" spans="1:3">
      <c r="A241" s="14" t="s">
        <v>7333</v>
      </c>
      <c r="B241" s="9" t="str">
        <f>_xlfn.CONCAT('Pricing Sheet'!O25:X25)</f>
        <v/>
      </c>
      <c r="C241" s="24" t="s">
        <v>7350</v>
      </c>
    </row>
    <row r="242" spans="1:3">
      <c r="A242" s="14" t="s">
        <v>7334</v>
      </c>
      <c r="B242" s="9" t="str">
        <f>_xlfn.CONCAT('Pricing Sheet'!O26:X26)</f>
        <v/>
      </c>
      <c r="C242" s="24" t="s">
        <v>7350</v>
      </c>
    </row>
    <row r="243" spans="1:3">
      <c r="A243" s="14" t="s">
        <v>7335</v>
      </c>
      <c r="B243" s="9" t="str">
        <f>_xlfn.CONCAT('Pricing Sheet'!O27:X27)</f>
        <v/>
      </c>
      <c r="C243" s="24" t="s">
        <v>7350</v>
      </c>
    </row>
    <row r="244" spans="1:3">
      <c r="A244" s="14" t="s">
        <v>7336</v>
      </c>
      <c r="B244" s="9" t="str">
        <f>_xlfn.CONCAT('Pricing Sheet'!O28:X28)</f>
        <v/>
      </c>
      <c r="C244" s="24" t="s">
        <v>7350</v>
      </c>
    </row>
    <row r="245" spans="1:3">
      <c r="A245" s="14" t="s">
        <v>7337</v>
      </c>
      <c r="B245" s="9" t="str">
        <f>_xlfn.CONCAT('Pricing Sheet'!O29:X29)</f>
        <v/>
      </c>
      <c r="C245" s="24" t="s">
        <v>7350</v>
      </c>
    </row>
    <row r="246" spans="1:3">
      <c r="A246" s="14" t="s">
        <v>7338</v>
      </c>
      <c r="B246" s="9" t="str">
        <f>_xlfn.CONCAT('Pricing Sheet'!O30:X30)</f>
        <v/>
      </c>
      <c r="C246" s="24" t="s">
        <v>7350</v>
      </c>
    </row>
    <row r="247" spans="1:3">
      <c r="A247" s="14" t="s">
        <v>7339</v>
      </c>
      <c r="B247" s="9" t="str">
        <f>_xlfn.CONCAT('Pricing Sheet'!O31:X31)</f>
        <v/>
      </c>
      <c r="C247" s="24" t="s">
        <v>7350</v>
      </c>
    </row>
    <row r="248" spans="1:3">
      <c r="A248" s="14" t="s">
        <v>7340</v>
      </c>
      <c r="B248" s="9" t="str">
        <f>_xlfn.CONCAT('Pricing Sheet'!O32:X32)</f>
        <v/>
      </c>
      <c r="C248" s="24" t="s">
        <v>7350</v>
      </c>
    </row>
    <row r="249" spans="1:3">
      <c r="A249" s="14" t="s">
        <v>7353</v>
      </c>
      <c r="B249" s="9" t="str">
        <f>_xlfn.CONCAT('Pricing Sheet'!O33:X33)</f>
        <v/>
      </c>
      <c r="C249" s="24" t="s">
        <v>7350</v>
      </c>
    </row>
    <row r="250" spans="1:3">
      <c r="A250" s="14" t="s">
        <v>8922</v>
      </c>
      <c r="B250" s="9" t="str">
        <f>_xlfn.CONCAT('Pricing Sheet'!O34:X34)</f>
        <v/>
      </c>
      <c r="C250" s="24" t="s">
        <v>7350</v>
      </c>
    </row>
    <row r="251" spans="1:3">
      <c r="A251" s="14" t="s">
        <v>8923</v>
      </c>
      <c r="B251" s="9" t="str">
        <f>_xlfn.CONCAT('Pricing Sheet'!O35:X35)</f>
        <v/>
      </c>
      <c r="C251" s="24" t="s">
        <v>7350</v>
      </c>
    </row>
    <row r="252" spans="1:3">
      <c r="A252" s="14" t="s">
        <v>8924</v>
      </c>
      <c r="B252" s="9" t="str">
        <f>_xlfn.CONCAT('Pricing Sheet'!O36:X36)</f>
        <v/>
      </c>
      <c r="C252" s="24" t="s">
        <v>7350</v>
      </c>
    </row>
    <row r="253" spans="1:3">
      <c r="A253" s="14"/>
      <c r="B253" s="15"/>
      <c r="C253" s="18"/>
    </row>
    <row r="254" spans="1:3">
      <c r="A254" s="605" t="s">
        <v>8925</v>
      </c>
      <c r="B254" s="605"/>
      <c r="C254" s="28"/>
    </row>
    <row r="255" spans="1:3" ht="25.5">
      <c r="A255" s="14" t="s">
        <v>7356</v>
      </c>
      <c r="B255" s="15" t="s">
        <v>9016</v>
      </c>
      <c r="C255" s="18" t="s">
        <v>7351</v>
      </c>
    </row>
    <row r="256" spans="1:3" ht="51">
      <c r="A256" s="14" t="s">
        <v>7357</v>
      </c>
      <c r="B256" s="15" t="s">
        <v>8978</v>
      </c>
      <c r="C256" s="18" t="s">
        <v>7351</v>
      </c>
    </row>
    <row r="257" spans="1:20">
      <c r="A257" s="14" t="s">
        <v>7358</v>
      </c>
      <c r="B257" s="15" t="s">
        <v>41</v>
      </c>
      <c r="C257" s="18" t="s">
        <v>7351</v>
      </c>
    </row>
    <row r="258" spans="1:20">
      <c r="A258" s="14" t="s">
        <v>7359</v>
      </c>
      <c r="B258" s="15" t="s">
        <v>42</v>
      </c>
      <c r="C258" s="18" t="s">
        <v>7351</v>
      </c>
    </row>
    <row r="259" spans="1:20">
      <c r="A259" s="14" t="s">
        <v>7360</v>
      </c>
      <c r="B259" s="15" t="s">
        <v>43</v>
      </c>
      <c r="C259" s="18" t="s">
        <v>7351</v>
      </c>
    </row>
    <row r="260" spans="1:20" ht="25.5">
      <c r="A260" s="14" t="s">
        <v>7361</v>
      </c>
      <c r="B260" s="15" t="s">
        <v>8979</v>
      </c>
      <c r="C260" s="18" t="s">
        <v>7351</v>
      </c>
    </row>
    <row r="261" spans="1:20">
      <c r="A261" s="14" t="s">
        <v>7362</v>
      </c>
      <c r="B261" s="15" t="s">
        <v>44</v>
      </c>
      <c r="C261" s="18" t="s">
        <v>7351</v>
      </c>
    </row>
    <row r="262" spans="1:20">
      <c r="A262" s="14" t="s">
        <v>7363</v>
      </c>
      <c r="B262" s="15" t="s">
        <v>45</v>
      </c>
      <c r="C262" s="18" t="s">
        <v>7351</v>
      </c>
    </row>
    <row r="263" spans="1:20">
      <c r="A263" s="14" t="s">
        <v>7830</v>
      </c>
      <c r="B263" s="15" t="s">
        <v>46</v>
      </c>
      <c r="C263" s="18" t="s">
        <v>7351</v>
      </c>
    </row>
    <row r="264" spans="1:20">
      <c r="A264" s="14" t="s">
        <v>7831</v>
      </c>
      <c r="B264" s="15" t="s">
        <v>47</v>
      </c>
      <c r="C264" s="18" t="s">
        <v>7351</v>
      </c>
    </row>
    <row r="265" spans="1:20">
      <c r="A265" s="2"/>
      <c r="B265" s="3"/>
      <c r="C265" s="4"/>
    </row>
    <row r="266" spans="1:20">
      <c r="A266" s="45" t="s">
        <v>48</v>
      </c>
      <c r="B266" s="12"/>
      <c r="C266" s="13"/>
    </row>
    <row r="267" spans="1:20">
      <c r="A267" s="603" t="s">
        <v>125</v>
      </c>
      <c r="B267" s="603"/>
      <c r="C267" s="603"/>
      <c r="T267" s="167" t="str">
        <f>A267</f>
        <v>The builder has the right to substitute or change any of the above items without notice or notification.</v>
      </c>
    </row>
    <row r="268" spans="1:20" ht="45">
      <c r="A268" s="602" t="s">
        <v>7913</v>
      </c>
      <c r="B268" s="602"/>
      <c r="C268" s="602"/>
      <c r="T268" s="167" t="str">
        <f>A268</f>
        <v>I / We understand that it is the policy of Hermitage Building Group Pty Ltd (ABN: 79 150 694 572) not to enter into verbal agreements, therefore I / we agree that our special requirements are to be written down and form part of our final building documentation.</v>
      </c>
    </row>
    <row r="269" spans="1:20">
      <c r="A269" s="10"/>
      <c r="B269" s="11"/>
      <c r="C269" s="23"/>
    </row>
    <row r="270" spans="1:20">
      <c r="A270" s="2"/>
      <c r="B270" s="3"/>
      <c r="C270" s="4"/>
    </row>
    <row r="271" spans="1:20">
      <c r="A271" s="2"/>
      <c r="B271" s="24" t="s">
        <v>104</v>
      </c>
      <c r="C271" s="80" cm="1">
        <f t="array" ref="C271">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72" spans="1:20">
      <c r="A272" s="25" t="s">
        <v>49</v>
      </c>
      <c r="B272" s="11"/>
      <c r="C272" s="1"/>
    </row>
    <row r="273" spans="1:3">
      <c r="A273" s="2"/>
      <c r="B273" s="3"/>
      <c r="C273" s="1"/>
    </row>
    <row r="274" spans="1:3">
      <c r="A274" s="2"/>
      <c r="B274" s="15" t="s">
        <v>50</v>
      </c>
      <c r="C274" s="26"/>
    </row>
    <row r="275" spans="1:3">
      <c r="A275" s="2"/>
      <c r="B275" s="3"/>
      <c r="C275" s="1"/>
    </row>
    <row r="276" spans="1:3">
      <c r="A276" s="2"/>
      <c r="B276" s="3"/>
      <c r="C276" s="1"/>
    </row>
    <row r="277" spans="1:3">
      <c r="A277" s="27" t="s">
        <v>167</v>
      </c>
      <c r="B277" s="3"/>
      <c r="C277" s="1"/>
    </row>
    <row r="278" spans="1:3">
      <c r="A278" s="2"/>
      <c r="B278" s="3"/>
      <c r="C278" s="1"/>
    </row>
    <row r="279" spans="1:3">
      <c r="A279" s="2"/>
      <c r="B279" s="3"/>
      <c r="C279" s="1"/>
    </row>
    <row r="280" spans="1:3">
      <c r="A280" s="27" t="s">
        <v>168</v>
      </c>
      <c r="B280" s="3"/>
      <c r="C280" s="1"/>
    </row>
    <row r="281" spans="1:3">
      <c r="A281" s="2"/>
      <c r="B281" s="3"/>
      <c r="C281" s="1"/>
    </row>
    <row r="282" spans="1:3">
      <c r="A282" s="2"/>
      <c r="B282" s="3"/>
      <c r="C282" s="1"/>
    </row>
    <row r="283" spans="1:3">
      <c r="A283" s="27" t="s">
        <v>168</v>
      </c>
      <c r="B283" s="3"/>
      <c r="C283" s="1"/>
    </row>
    <row r="284" spans="1:3">
      <c r="A284" s="2"/>
      <c r="B284" s="3"/>
      <c r="C284" s="1"/>
    </row>
  </sheetData>
  <sheetProtection algorithmName="SHA-512" hashValue="Sj7POJsdGEPPhZqplv0wxfeLFPtPVO9RmUBaZjmgiBdYXoK3C4U7tD1PgzCBgTOtr+8k6pNtXtZJCcCUKX/Cpw==" saltValue="o9pJKP8IR2hPR6/G6wQcwA==" spinCount="100000" sheet="1" objects="1" scenarios="1" formatRows="0" insertRows="0" deleteRows="0"/>
  <mergeCells count="19">
    <mergeCell ref="A268:C268"/>
    <mergeCell ref="A124:B124"/>
    <mergeCell ref="A198:B198"/>
    <mergeCell ref="A227:B227"/>
    <mergeCell ref="A239:B239"/>
    <mergeCell ref="A254:B254"/>
    <mergeCell ref="A267:C267"/>
    <mergeCell ref="A120:B120"/>
    <mergeCell ref="A17:B17"/>
    <mergeCell ref="A21:B21"/>
    <mergeCell ref="A25:B25"/>
    <mergeCell ref="A29:B29"/>
    <mergeCell ref="A34:B34"/>
    <mergeCell ref="A45:B45"/>
    <mergeCell ref="A60:B60"/>
    <mergeCell ref="A77:B77"/>
    <mergeCell ref="A85:B85"/>
    <mergeCell ref="A95:B95"/>
    <mergeCell ref="A103:B103"/>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4" manualBreakCount="4">
    <brk id="84" max="2" man="1"/>
    <brk id="123" max="2" man="1"/>
    <brk id="163" max="2" man="1"/>
    <brk id="197" max="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6AD80FE-1DDF-42D8-B398-0AF1083F3AD6}">
          <x14:formula1>
            <xm:f>_xlfn.ANCHORARRAY(Houses!$AB$4)</xm:f>
          </x14:formula1>
          <xm:sqref>B22</xm:sqref>
        </x14:dataValidation>
        <x14:dataValidation type="list" allowBlank="1" showInputMessage="1" showErrorMessage="1" xr:uid="{51BCB563-BD87-4E68-B24A-8D4BF8E61681}">
          <x14:formula1>
            <xm:f>_xlfn.ANCHORARRAY(Houses!$AC$4)</xm:f>
          </x14:formula1>
          <xm:sqref>B26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D1B09-2A16-4CB6-880E-3D64DBDEDEC7}">
  <sheetPr codeName="Sheet7">
    <tabColor rgb="FFA6CE39"/>
  </sheetPr>
  <dimension ref="A1:T256"/>
  <sheetViews>
    <sheetView view="pageBreakPreview" topLeftCell="A73" zoomScaleNormal="100" zoomScaleSheetLayoutView="100" workbookViewId="0">
      <selection activeCell="B93" sqref="B93"/>
    </sheetView>
  </sheetViews>
  <sheetFormatPr defaultColWidth="8.5703125" defaultRowHeight="15"/>
  <cols>
    <col min="1" max="1" width="10.42578125" customWidth="1"/>
    <col min="2" max="2" width="70.5703125" bestFit="1" customWidth="1"/>
    <col min="3" max="3" width="10.42578125" bestFit="1" customWidth="1"/>
    <col min="20" max="20" width="96.42578125" customWidth="1"/>
  </cols>
  <sheetData>
    <row r="1" spans="1:3" ht="136.5">
      <c r="A1" s="212" t="s">
        <v>8602</v>
      </c>
      <c r="B1" s="9"/>
      <c r="C1" s="1"/>
    </row>
    <row r="2" spans="1:3">
      <c r="A2" s="8"/>
      <c r="B2" s="41" t="s">
        <v>127</v>
      </c>
      <c r="C2" s="1"/>
    </row>
    <row r="3" spans="1:3">
      <c r="A3" s="40" t="s">
        <v>194</v>
      </c>
      <c r="B3" s="29"/>
      <c r="C3" s="30"/>
    </row>
    <row r="4" spans="1:3">
      <c r="A4" s="31"/>
      <c r="B4" s="32"/>
      <c r="C4" s="30"/>
    </row>
    <row r="5" spans="1:3">
      <c r="A5" s="39" t="s">
        <v>102</v>
      </c>
      <c r="B5" s="29"/>
      <c r="C5" s="30"/>
    </row>
    <row r="6" spans="1:3">
      <c r="A6" s="31"/>
      <c r="B6" s="32"/>
      <c r="C6" s="30"/>
    </row>
    <row r="7" spans="1:3">
      <c r="A7" s="39" t="s">
        <v>103</v>
      </c>
      <c r="B7" s="29"/>
      <c r="C7" s="34"/>
    </row>
    <row r="8" spans="1:3">
      <c r="A8" s="33"/>
      <c r="B8" s="29"/>
      <c r="C8" s="34"/>
    </row>
    <row r="9" spans="1:3">
      <c r="A9" s="33"/>
      <c r="B9" s="29"/>
      <c r="C9" s="34"/>
    </row>
    <row r="10" spans="1:3">
      <c r="A10" s="2"/>
      <c r="B10" s="3"/>
      <c r="C10" s="1"/>
    </row>
    <row r="11" spans="1:3">
      <c r="A11" s="40" t="s">
        <v>195</v>
      </c>
      <c r="B11" s="35"/>
      <c r="C11" s="36"/>
    </row>
    <row r="12" spans="1:3">
      <c r="A12" s="31"/>
      <c r="B12" s="37"/>
      <c r="C12" s="36"/>
    </row>
    <row r="13" spans="1:3">
      <c r="A13" s="39" t="s">
        <v>103</v>
      </c>
      <c r="B13" s="35"/>
      <c r="C13" s="38"/>
    </row>
    <row r="14" spans="1:3">
      <c r="A14" s="31"/>
      <c r="B14" s="37"/>
      <c r="C14" s="36"/>
    </row>
    <row r="15" spans="1:3">
      <c r="A15" s="39" t="s">
        <v>105</v>
      </c>
      <c r="B15" s="35"/>
      <c r="C15" s="38"/>
    </row>
    <row r="16" spans="1:3">
      <c r="A16" s="2"/>
      <c r="B16" s="3"/>
      <c r="C16" s="1"/>
    </row>
    <row r="17" spans="1:3">
      <c r="A17" s="604" t="s">
        <v>196</v>
      </c>
      <c r="B17" s="604"/>
      <c r="C17" s="1"/>
    </row>
    <row r="18" spans="1:3">
      <c r="A18" s="14"/>
      <c r="B18" s="15"/>
      <c r="C18" s="18"/>
    </row>
    <row r="19" spans="1:3">
      <c r="A19" s="42" t="s">
        <v>197</v>
      </c>
      <c r="B19" s="43" t="s">
        <v>198</v>
      </c>
      <c r="C19" s="44" t="s">
        <v>199</v>
      </c>
    </row>
    <row r="20" spans="1:3">
      <c r="A20" s="2"/>
      <c r="B20" s="3"/>
      <c r="C20" s="4"/>
    </row>
    <row r="21" spans="1:3">
      <c r="A21" s="42" t="s">
        <v>51</v>
      </c>
      <c r="B21" s="28"/>
      <c r="C21" s="28"/>
    </row>
    <row r="22" spans="1:3">
      <c r="A22" s="14" t="s">
        <v>53</v>
      </c>
      <c r="B22" s="15"/>
      <c r="C22" s="16" t="s">
        <v>7351</v>
      </c>
    </row>
    <row r="23" spans="1:3">
      <c r="A23" s="14"/>
      <c r="B23" s="15" t="str">
        <f>IF(B22&lt;&gt;"",_xlfn.XLOOKUP(B22,Table1[House],Table1[House Details]),"")</f>
        <v/>
      </c>
      <c r="C23" s="16"/>
    </row>
    <row r="24" spans="1:3">
      <c r="A24" s="14"/>
      <c r="B24" s="17"/>
      <c r="C24" s="18"/>
    </row>
    <row r="25" spans="1:3">
      <c r="A25" s="42" t="s">
        <v>52</v>
      </c>
      <c r="B25" s="28"/>
      <c r="C25" s="28"/>
    </row>
    <row r="26" spans="1:3">
      <c r="A26" s="14" t="s">
        <v>54</v>
      </c>
      <c r="B26" s="15"/>
      <c r="C26" s="16" t="e">
        <f>IF(_xlfn.XLOOKUP(B26,Table1[Facade],Table1[Facade Price])="Included","Standard","Upgrade")</f>
        <v>#N/A</v>
      </c>
    </row>
    <row r="27" spans="1:3">
      <c r="A27" s="14"/>
      <c r="B27" s="15" t="e">
        <f>IF(_xlfn.XLOOKUP(B26,Table1[Facade],Table1[Facade Details])&gt;0,_xlfn.XLOOKUP(B26,Table1[Facade],Table1[Facade Details]),"")</f>
        <v>#N/A</v>
      </c>
      <c r="C27" s="18"/>
    </row>
    <row r="28" spans="1:3">
      <c r="A28" s="14"/>
      <c r="B28" s="15"/>
      <c r="C28" s="18"/>
    </row>
    <row r="29" spans="1:3">
      <c r="A29" s="605" t="s">
        <v>200</v>
      </c>
      <c r="B29" s="605"/>
      <c r="C29" s="28"/>
    </row>
    <row r="30" spans="1:3">
      <c r="A30" s="19" t="s">
        <v>55</v>
      </c>
      <c r="B30" s="20" t="s">
        <v>10</v>
      </c>
      <c r="C30" s="18" t="s">
        <v>7351</v>
      </c>
    </row>
    <row r="31" spans="1:3">
      <c r="A31" s="19"/>
      <c r="B31" s="20"/>
      <c r="C31" s="18"/>
    </row>
    <row r="32" spans="1:3">
      <c r="A32" s="605" t="s">
        <v>148</v>
      </c>
      <c r="B32" s="605"/>
      <c r="C32" s="28"/>
    </row>
    <row r="33" spans="1:3">
      <c r="A33" s="14" t="s">
        <v>56</v>
      </c>
      <c r="B33" s="21" t="s">
        <v>107</v>
      </c>
      <c r="C33" s="18" t="s">
        <v>7351</v>
      </c>
    </row>
    <row r="34" spans="1:3">
      <c r="A34" s="22"/>
      <c r="B34" s="15" t="s">
        <v>2</v>
      </c>
      <c r="C34" s="18" t="s">
        <v>7352</v>
      </c>
    </row>
    <row r="35" spans="1:3">
      <c r="A35" s="22"/>
      <c r="B35" s="15" t="s">
        <v>3</v>
      </c>
      <c r="C35" s="13"/>
    </row>
    <row r="36" spans="1:3">
      <c r="A36" s="22"/>
      <c r="B36" s="15" t="s">
        <v>4</v>
      </c>
      <c r="C36" s="13"/>
    </row>
    <row r="37" spans="1:3">
      <c r="A37" s="22"/>
      <c r="B37" s="15" t="s">
        <v>5</v>
      </c>
      <c r="C37" s="13"/>
    </row>
    <row r="38" spans="1:3">
      <c r="A38" s="22"/>
      <c r="B38" s="15" t="s">
        <v>6</v>
      </c>
      <c r="C38" s="13"/>
    </row>
    <row r="39" spans="1:3">
      <c r="A39" s="22"/>
      <c r="B39" s="15" t="s">
        <v>7</v>
      </c>
      <c r="C39" s="13"/>
    </row>
    <row r="40" spans="1:3">
      <c r="A40" s="22"/>
      <c r="B40" s="15" t="s">
        <v>8</v>
      </c>
      <c r="C40" s="13"/>
    </row>
    <row r="41" spans="1:3">
      <c r="A41" s="22"/>
      <c r="B41" s="15" t="s">
        <v>9</v>
      </c>
      <c r="C41" s="13"/>
    </row>
    <row r="42" spans="1:3">
      <c r="A42" s="19"/>
      <c r="B42" s="20"/>
      <c r="C42" s="18"/>
    </row>
    <row r="43" spans="1:3">
      <c r="A43" s="605" t="s">
        <v>7794</v>
      </c>
      <c r="B43" s="605"/>
      <c r="C43" s="28"/>
    </row>
    <row r="44" spans="1:3">
      <c r="A44" s="19" t="s">
        <v>7782</v>
      </c>
      <c r="B44" s="15" t="s">
        <v>11</v>
      </c>
      <c r="C44" s="18" t="s">
        <v>7351</v>
      </c>
    </row>
    <row r="45" spans="1:3">
      <c r="A45" s="19" t="s">
        <v>7783</v>
      </c>
      <c r="B45" s="15" t="s">
        <v>12</v>
      </c>
      <c r="C45" s="18" t="s">
        <v>7351</v>
      </c>
    </row>
    <row r="46" spans="1:3">
      <c r="A46" s="19" t="s">
        <v>7784</v>
      </c>
      <c r="B46" s="15" t="s">
        <v>13</v>
      </c>
      <c r="C46" s="18" t="s">
        <v>7351</v>
      </c>
    </row>
    <row r="47" spans="1:3">
      <c r="A47" s="19" t="s">
        <v>7785</v>
      </c>
      <c r="B47" s="15" t="s">
        <v>118</v>
      </c>
      <c r="C47" s="18" t="s">
        <v>7351</v>
      </c>
    </row>
    <row r="48" spans="1:3">
      <c r="A48" s="19" t="s">
        <v>7786</v>
      </c>
      <c r="B48" s="15" t="s">
        <v>142</v>
      </c>
      <c r="C48" s="18" t="s">
        <v>7351</v>
      </c>
    </row>
    <row r="49" spans="1:3">
      <c r="A49" s="19" t="s">
        <v>7787</v>
      </c>
      <c r="B49" s="15" t="s">
        <v>14</v>
      </c>
      <c r="C49" s="18" t="s">
        <v>7351</v>
      </c>
    </row>
    <row r="50" spans="1:3">
      <c r="A50" s="19" t="s">
        <v>7788</v>
      </c>
      <c r="B50" s="15" t="s">
        <v>15</v>
      </c>
      <c r="C50" s="18" t="s">
        <v>7351</v>
      </c>
    </row>
    <row r="51" spans="1:3">
      <c r="A51" s="19" t="s">
        <v>7789</v>
      </c>
      <c r="B51" s="15" t="s">
        <v>119</v>
      </c>
      <c r="C51" s="18" t="s">
        <v>7351</v>
      </c>
    </row>
    <row r="52" spans="1:3">
      <c r="A52" s="19" t="s">
        <v>7790</v>
      </c>
      <c r="B52" s="15" t="s">
        <v>8641</v>
      </c>
      <c r="C52" s="18" t="s">
        <v>7351</v>
      </c>
    </row>
    <row r="53" spans="1:3">
      <c r="A53" s="19" t="s">
        <v>7791</v>
      </c>
      <c r="B53" s="15" t="s">
        <v>143</v>
      </c>
      <c r="C53" s="18" t="s">
        <v>7351</v>
      </c>
    </row>
    <row r="54" spans="1:3">
      <c r="A54" s="19" t="s">
        <v>7792</v>
      </c>
      <c r="B54" s="15" t="s">
        <v>109</v>
      </c>
      <c r="C54" s="18" t="s">
        <v>7351</v>
      </c>
    </row>
    <row r="55" spans="1:3" ht="25.5">
      <c r="A55" s="19" t="s">
        <v>7793</v>
      </c>
      <c r="B55" s="15" t="s">
        <v>9877</v>
      </c>
      <c r="C55" s="18" t="s">
        <v>7351</v>
      </c>
    </row>
    <row r="56" spans="1:3">
      <c r="A56" s="6"/>
      <c r="B56" s="5"/>
      <c r="C56" s="7"/>
    </row>
    <row r="57" spans="1:3">
      <c r="A57" s="605" t="s">
        <v>7795</v>
      </c>
      <c r="B57" s="605"/>
      <c r="C57" s="28"/>
    </row>
    <row r="58" spans="1:3">
      <c r="A58" s="19" t="s">
        <v>57</v>
      </c>
      <c r="B58" s="15" t="s">
        <v>120</v>
      </c>
      <c r="C58" s="18" t="s">
        <v>7351</v>
      </c>
    </row>
    <row r="59" spans="1:3">
      <c r="A59" s="19" t="s">
        <v>58</v>
      </c>
      <c r="B59" s="15" t="s">
        <v>17</v>
      </c>
      <c r="C59" s="18" t="s">
        <v>7351</v>
      </c>
    </row>
    <row r="60" spans="1:3">
      <c r="A60" s="19" t="s">
        <v>59</v>
      </c>
      <c r="B60" s="15" t="s">
        <v>133</v>
      </c>
      <c r="C60" s="18" t="s">
        <v>7351</v>
      </c>
    </row>
    <row r="61" spans="1:3">
      <c r="A61" s="19" t="s">
        <v>60</v>
      </c>
      <c r="B61" s="15" t="s">
        <v>18</v>
      </c>
      <c r="C61" s="18" t="s">
        <v>7351</v>
      </c>
    </row>
    <row r="62" spans="1:3">
      <c r="A62" s="19" t="s">
        <v>61</v>
      </c>
      <c r="B62" s="15" t="s">
        <v>19</v>
      </c>
      <c r="C62" s="18" t="s">
        <v>7351</v>
      </c>
    </row>
    <row r="63" spans="1:3">
      <c r="A63" s="19" t="s">
        <v>62</v>
      </c>
      <c r="B63" s="15" t="s">
        <v>144</v>
      </c>
      <c r="C63" s="18" t="s">
        <v>7351</v>
      </c>
    </row>
    <row r="64" spans="1:3">
      <c r="A64" s="19" t="s">
        <v>63</v>
      </c>
      <c r="B64" s="15" t="s">
        <v>37</v>
      </c>
      <c r="C64" s="18" t="s">
        <v>7351</v>
      </c>
    </row>
    <row r="65" spans="1:3">
      <c r="A65" s="19" t="s">
        <v>131</v>
      </c>
      <c r="B65" s="15" t="s">
        <v>9642</v>
      </c>
      <c r="C65" s="18" t="s">
        <v>7351</v>
      </c>
    </row>
    <row r="66" spans="1:3">
      <c r="A66" s="19" t="s">
        <v>149</v>
      </c>
      <c r="B66" s="15" t="s">
        <v>20</v>
      </c>
      <c r="C66" s="18" t="s">
        <v>7351</v>
      </c>
    </row>
    <row r="67" spans="1:3" ht="25.5">
      <c r="A67" s="19" t="s">
        <v>150</v>
      </c>
      <c r="B67" s="15" t="s">
        <v>132</v>
      </c>
      <c r="C67" s="18" t="s">
        <v>7351</v>
      </c>
    </row>
    <row r="68" spans="1:3">
      <c r="A68" s="19" t="s">
        <v>151</v>
      </c>
      <c r="B68" s="15" t="s">
        <v>10699</v>
      </c>
      <c r="C68" s="18" t="s">
        <v>7351</v>
      </c>
    </row>
    <row r="69" spans="1:3" ht="25.5">
      <c r="A69" s="19" t="s">
        <v>152</v>
      </c>
      <c r="B69" s="15" t="s">
        <v>8811</v>
      </c>
      <c r="C69" s="18" t="s">
        <v>7351</v>
      </c>
    </row>
    <row r="70" spans="1:3">
      <c r="A70" s="19" t="s">
        <v>7796</v>
      </c>
      <c r="B70" s="15" t="s">
        <v>110</v>
      </c>
      <c r="C70" s="18" t="s">
        <v>7351</v>
      </c>
    </row>
    <row r="71" spans="1:3">
      <c r="A71" s="19" t="s">
        <v>7797</v>
      </c>
      <c r="B71" s="17" t="s">
        <v>137</v>
      </c>
      <c r="C71" s="153" t="s">
        <v>7351</v>
      </c>
    </row>
    <row r="72" spans="1:3">
      <c r="A72" s="2"/>
      <c r="B72" s="3"/>
      <c r="C72" s="4"/>
    </row>
    <row r="73" spans="1:3">
      <c r="A73" s="605" t="s">
        <v>7798</v>
      </c>
      <c r="B73" s="605"/>
      <c r="C73" s="28"/>
    </row>
    <row r="74" spans="1:3">
      <c r="A74" s="19" t="s">
        <v>64</v>
      </c>
      <c r="B74" s="15" t="s">
        <v>108</v>
      </c>
      <c r="C74" s="18" t="s">
        <v>7351</v>
      </c>
    </row>
    <row r="75" spans="1:3">
      <c r="A75" s="19" t="s">
        <v>65</v>
      </c>
      <c r="B75" s="15" t="s">
        <v>21</v>
      </c>
      <c r="C75" s="18" t="s">
        <v>7351</v>
      </c>
    </row>
    <row r="76" spans="1:3">
      <c r="A76" s="19" t="s">
        <v>66</v>
      </c>
      <c r="B76" s="15" t="s">
        <v>121</v>
      </c>
      <c r="C76" s="18" t="s">
        <v>7351</v>
      </c>
    </row>
    <row r="77" spans="1:3">
      <c r="A77" s="19" t="s">
        <v>67</v>
      </c>
      <c r="B77" s="15" t="s">
        <v>22</v>
      </c>
      <c r="C77" s="18" t="s">
        <v>7351</v>
      </c>
    </row>
    <row r="78" spans="1:3">
      <c r="A78" s="2"/>
      <c r="B78" s="3"/>
      <c r="C78" s="4"/>
    </row>
    <row r="79" spans="1:3">
      <c r="A79" s="605" t="s">
        <v>7799</v>
      </c>
      <c r="B79" s="605"/>
      <c r="C79" s="28"/>
    </row>
    <row r="80" spans="1:3">
      <c r="A80" s="19" t="s">
        <v>68</v>
      </c>
      <c r="B80" s="15" t="s">
        <v>136</v>
      </c>
      <c r="C80" s="18" t="s">
        <v>7351</v>
      </c>
    </row>
    <row r="81" spans="1:3">
      <c r="A81" s="19" t="s">
        <v>69</v>
      </c>
      <c r="B81" s="15" t="s">
        <v>23</v>
      </c>
      <c r="C81" s="18" t="s">
        <v>7351</v>
      </c>
    </row>
    <row r="82" spans="1:3">
      <c r="A82" s="19" t="s">
        <v>70</v>
      </c>
      <c r="B82" s="15" t="s">
        <v>24</v>
      </c>
      <c r="C82" s="18" t="s">
        <v>7351</v>
      </c>
    </row>
    <row r="83" spans="1:3" ht="25.5">
      <c r="A83" s="19" t="s">
        <v>71</v>
      </c>
      <c r="B83" s="15" t="s">
        <v>8756</v>
      </c>
      <c r="C83" s="18" t="s">
        <v>7351</v>
      </c>
    </row>
    <row r="84" spans="1:3">
      <c r="A84" s="19" t="s">
        <v>7800</v>
      </c>
      <c r="B84" s="15" t="s">
        <v>25</v>
      </c>
      <c r="C84" s="18" t="s">
        <v>7351</v>
      </c>
    </row>
    <row r="85" spans="1:3">
      <c r="A85" s="19" t="s">
        <v>7801</v>
      </c>
      <c r="B85" s="15" t="s">
        <v>169</v>
      </c>
      <c r="C85" s="18" t="s">
        <v>7351</v>
      </c>
    </row>
    <row r="86" spans="1:3">
      <c r="A86" s="2"/>
      <c r="B86" s="3"/>
      <c r="C86" s="4"/>
    </row>
    <row r="87" spans="1:3">
      <c r="A87" s="605" t="s">
        <v>7844</v>
      </c>
      <c r="B87" s="605"/>
      <c r="C87" s="28"/>
    </row>
    <row r="88" spans="1:3">
      <c r="A88" s="14" t="s">
        <v>72</v>
      </c>
      <c r="B88" s="15" t="s">
        <v>8628</v>
      </c>
      <c r="C88" s="18" t="s">
        <v>7351</v>
      </c>
    </row>
    <row r="89" spans="1:3">
      <c r="A89" s="14" t="s">
        <v>73</v>
      </c>
      <c r="B89" s="15" t="s">
        <v>8959</v>
      </c>
      <c r="C89" s="18" t="s">
        <v>7351</v>
      </c>
    </row>
    <row r="90" spans="1:3">
      <c r="A90" s="14" t="s">
        <v>74</v>
      </c>
      <c r="B90" s="15" t="s">
        <v>8627</v>
      </c>
      <c r="C90" s="18" t="s">
        <v>7351</v>
      </c>
    </row>
    <row r="91" spans="1:3">
      <c r="A91" s="14" t="s">
        <v>153</v>
      </c>
      <c r="B91" s="15" t="s">
        <v>38</v>
      </c>
      <c r="C91" s="18" t="s">
        <v>7351</v>
      </c>
    </row>
    <row r="92" spans="1:3">
      <c r="A92" s="14" t="s">
        <v>154</v>
      </c>
      <c r="B92" s="15" t="s">
        <v>146</v>
      </c>
      <c r="C92" s="18" t="s">
        <v>7351</v>
      </c>
    </row>
    <row r="93" spans="1:3" ht="25.5">
      <c r="A93" s="14" t="s">
        <v>9256</v>
      </c>
      <c r="B93" s="15" t="s">
        <v>10973</v>
      </c>
      <c r="C93" s="18" t="s">
        <v>7351</v>
      </c>
    </row>
    <row r="94" spans="1:3">
      <c r="A94" s="2"/>
      <c r="B94" s="3"/>
      <c r="C94" s="4"/>
    </row>
    <row r="95" spans="1:3">
      <c r="A95" s="605" t="s">
        <v>7845</v>
      </c>
      <c r="B95" s="605"/>
      <c r="C95" s="28"/>
    </row>
    <row r="96" spans="1:3" ht="25.5">
      <c r="A96" s="19" t="s">
        <v>75</v>
      </c>
      <c r="B96" s="20" t="s">
        <v>122</v>
      </c>
      <c r="C96" s="18" t="s">
        <v>7351</v>
      </c>
    </row>
    <row r="97" spans="1:3">
      <c r="A97" s="19" t="s">
        <v>76</v>
      </c>
      <c r="B97" s="15" t="s">
        <v>145</v>
      </c>
      <c r="C97" s="18" t="s">
        <v>7351</v>
      </c>
    </row>
    <row r="98" spans="1:3">
      <c r="A98" s="19" t="s">
        <v>77</v>
      </c>
      <c r="B98" s="15" t="s">
        <v>26</v>
      </c>
      <c r="C98" s="18" t="s">
        <v>7351</v>
      </c>
    </row>
    <row r="99" spans="1:3">
      <c r="A99" s="19" t="s">
        <v>138</v>
      </c>
      <c r="B99" s="15" t="s">
        <v>27</v>
      </c>
      <c r="C99" s="18" t="s">
        <v>7351</v>
      </c>
    </row>
    <row r="100" spans="1:3">
      <c r="A100" s="19" t="s">
        <v>163</v>
      </c>
      <c r="B100" s="15" t="s">
        <v>28</v>
      </c>
      <c r="C100" s="18" t="s">
        <v>7351</v>
      </c>
    </row>
    <row r="101" spans="1:3">
      <c r="A101" s="19" t="s">
        <v>7846</v>
      </c>
      <c r="B101" s="15" t="s">
        <v>29</v>
      </c>
      <c r="C101" s="18" t="s">
        <v>7351</v>
      </c>
    </row>
    <row r="102" spans="1:3">
      <c r="A102" s="19" t="s">
        <v>7847</v>
      </c>
      <c r="B102" s="15" t="s">
        <v>30</v>
      </c>
      <c r="C102" s="18" t="s">
        <v>7351</v>
      </c>
    </row>
    <row r="103" spans="1:3">
      <c r="A103" s="19" t="s">
        <v>7848</v>
      </c>
      <c r="B103" s="15" t="s">
        <v>117</v>
      </c>
      <c r="C103" s="18" t="s">
        <v>7351</v>
      </c>
    </row>
    <row r="104" spans="1:3">
      <c r="A104" s="19" t="s">
        <v>7849</v>
      </c>
      <c r="B104" s="15" t="s">
        <v>31</v>
      </c>
      <c r="C104" s="18" t="s">
        <v>7351</v>
      </c>
    </row>
    <row r="105" spans="1:3">
      <c r="A105" s="2"/>
      <c r="B105" s="5"/>
      <c r="C105" s="4"/>
    </row>
    <row r="106" spans="1:3">
      <c r="A106" s="605" t="s">
        <v>7850</v>
      </c>
      <c r="B106" s="605"/>
      <c r="C106" s="28"/>
    </row>
    <row r="107" spans="1:3">
      <c r="A107" s="14" t="s">
        <v>78</v>
      </c>
      <c r="B107" s="15" t="s">
        <v>32</v>
      </c>
      <c r="C107" s="18" t="s">
        <v>7351</v>
      </c>
    </row>
    <row r="108" spans="1:3" ht="25.5">
      <c r="A108" s="14" t="s">
        <v>79</v>
      </c>
      <c r="B108" s="15" t="s">
        <v>140</v>
      </c>
      <c r="C108" s="18" t="s">
        <v>7351</v>
      </c>
    </row>
    <row r="109" spans="1:3">
      <c r="A109" s="14"/>
      <c r="B109" s="15"/>
      <c r="C109" s="18"/>
    </row>
    <row r="110" spans="1:3">
      <c r="A110" s="605" t="s">
        <v>7851</v>
      </c>
      <c r="B110" s="605"/>
      <c r="C110" s="28"/>
    </row>
    <row r="111" spans="1:3">
      <c r="A111" s="14" t="s">
        <v>80</v>
      </c>
      <c r="B111" s="15" t="s">
        <v>170</v>
      </c>
      <c r="C111" s="18" t="s">
        <v>7351</v>
      </c>
    </row>
    <row r="112" spans="1:3">
      <c r="A112" s="14" t="s">
        <v>81</v>
      </c>
      <c r="B112" s="15" t="s">
        <v>171</v>
      </c>
      <c r="C112" s="18" t="s">
        <v>7351</v>
      </c>
    </row>
    <row r="113" spans="1:3">
      <c r="A113" s="14" t="s">
        <v>7802</v>
      </c>
      <c r="B113" s="15" t="s">
        <v>172</v>
      </c>
      <c r="C113" s="18" t="s">
        <v>7351</v>
      </c>
    </row>
    <row r="114" spans="1:3">
      <c r="A114" s="14" t="s">
        <v>7803</v>
      </c>
      <c r="B114" s="15" t="s">
        <v>130</v>
      </c>
      <c r="C114" s="18" t="s">
        <v>7351</v>
      </c>
    </row>
    <row r="115" spans="1:3">
      <c r="A115" s="14" t="s">
        <v>7804</v>
      </c>
      <c r="B115" s="15" t="s">
        <v>33</v>
      </c>
      <c r="C115" s="18" t="s">
        <v>7351</v>
      </c>
    </row>
    <row r="116" spans="1:3">
      <c r="A116" s="14" t="s">
        <v>7805</v>
      </c>
      <c r="B116" s="15" t="s">
        <v>10716</v>
      </c>
      <c r="C116" s="18" t="s">
        <v>7351</v>
      </c>
    </row>
    <row r="117" spans="1:3">
      <c r="A117" s="14" t="s">
        <v>7806</v>
      </c>
      <c r="B117" s="15" t="s">
        <v>112</v>
      </c>
      <c r="C117" s="18" t="s">
        <v>7351</v>
      </c>
    </row>
    <row r="118" spans="1:3">
      <c r="A118" s="14" t="s">
        <v>7807</v>
      </c>
      <c r="B118" s="15" t="s">
        <v>123</v>
      </c>
      <c r="C118" s="18" t="s">
        <v>7351</v>
      </c>
    </row>
    <row r="119" spans="1:3">
      <c r="A119" s="14" t="s">
        <v>7808</v>
      </c>
      <c r="B119" s="15" t="s">
        <v>34</v>
      </c>
      <c r="C119" s="18" t="s">
        <v>7351</v>
      </c>
    </row>
    <row r="120" spans="1:3" ht="51">
      <c r="A120" s="14" t="s">
        <v>7852</v>
      </c>
      <c r="B120" s="15" t="s">
        <v>9054</v>
      </c>
      <c r="C120" s="18" t="s">
        <v>7351</v>
      </c>
    </row>
    <row r="121" spans="1:3">
      <c r="A121" s="2"/>
      <c r="B121" s="3"/>
      <c r="C121" s="4"/>
    </row>
    <row r="122" spans="1:3">
      <c r="A122" s="605" t="s">
        <v>7853</v>
      </c>
      <c r="B122" s="605"/>
      <c r="C122" s="28"/>
    </row>
    <row r="123" spans="1:3">
      <c r="A123" s="14" t="s">
        <v>82</v>
      </c>
      <c r="B123" s="15" t="s">
        <v>164</v>
      </c>
      <c r="C123" s="18" t="s">
        <v>7351</v>
      </c>
    </row>
    <row r="124" spans="1:3">
      <c r="A124" s="14" t="s">
        <v>83</v>
      </c>
      <c r="B124" s="15" t="s">
        <v>129</v>
      </c>
      <c r="C124" s="18" t="s">
        <v>7351</v>
      </c>
    </row>
    <row r="125" spans="1:3">
      <c r="A125" s="14" t="s">
        <v>155</v>
      </c>
      <c r="B125" s="15" t="s">
        <v>33</v>
      </c>
      <c r="C125" s="18" t="s">
        <v>7351</v>
      </c>
    </row>
    <row r="126" spans="1:3" ht="38.25">
      <c r="A126" s="14" t="s">
        <v>156</v>
      </c>
      <c r="B126" s="15" t="s">
        <v>9044</v>
      </c>
      <c r="C126" s="18" t="s">
        <v>7351</v>
      </c>
    </row>
    <row r="127" spans="1:3">
      <c r="A127" s="14" t="s">
        <v>157</v>
      </c>
      <c r="B127" s="15" t="s">
        <v>106</v>
      </c>
      <c r="C127" s="18" t="s">
        <v>7351</v>
      </c>
    </row>
    <row r="128" spans="1:3">
      <c r="A128" s="14" t="s">
        <v>158</v>
      </c>
      <c r="B128" s="15" t="s">
        <v>36</v>
      </c>
      <c r="C128" s="18" t="s">
        <v>7351</v>
      </c>
    </row>
    <row r="129" spans="1:3">
      <c r="A129" s="14" t="s">
        <v>159</v>
      </c>
      <c r="B129" s="15" t="s">
        <v>116</v>
      </c>
      <c r="C129" s="18" t="s">
        <v>7351</v>
      </c>
    </row>
    <row r="130" spans="1:3">
      <c r="A130" s="14" t="s">
        <v>160</v>
      </c>
      <c r="B130" s="15" t="s">
        <v>113</v>
      </c>
      <c r="C130" s="18" t="s">
        <v>7351</v>
      </c>
    </row>
    <row r="131" spans="1:3">
      <c r="A131" s="14" t="s">
        <v>161</v>
      </c>
      <c r="B131" s="15" t="s">
        <v>166</v>
      </c>
      <c r="C131" s="18" t="s">
        <v>7351</v>
      </c>
    </row>
    <row r="132" spans="1:3">
      <c r="A132" s="14" t="s">
        <v>162</v>
      </c>
      <c r="B132" s="15" t="s">
        <v>9055</v>
      </c>
      <c r="C132" s="18" t="s">
        <v>7351</v>
      </c>
    </row>
    <row r="133" spans="1:3">
      <c r="A133" s="2"/>
      <c r="B133" s="3"/>
      <c r="C133" s="4"/>
    </row>
    <row r="134" spans="1:3">
      <c r="A134" s="605" t="s">
        <v>7854</v>
      </c>
      <c r="B134" s="605"/>
      <c r="C134" s="28"/>
    </row>
    <row r="135" spans="1:3">
      <c r="A135" s="14" t="s">
        <v>84</v>
      </c>
      <c r="B135" s="15" t="s">
        <v>164</v>
      </c>
      <c r="C135" s="18" t="s">
        <v>7351</v>
      </c>
    </row>
    <row r="136" spans="1:3">
      <c r="A136" s="14" t="s">
        <v>85</v>
      </c>
      <c r="B136" s="15" t="s">
        <v>114</v>
      </c>
      <c r="C136" s="18" t="s">
        <v>7351</v>
      </c>
    </row>
    <row r="137" spans="1:3">
      <c r="A137" s="14" t="s">
        <v>86</v>
      </c>
      <c r="B137" s="15" t="s">
        <v>128</v>
      </c>
      <c r="C137" s="18" t="s">
        <v>7351</v>
      </c>
    </row>
    <row r="138" spans="1:3">
      <c r="A138" s="14" t="s">
        <v>174</v>
      </c>
      <c r="B138" s="15" t="s">
        <v>33</v>
      </c>
      <c r="C138" s="18" t="s">
        <v>7351</v>
      </c>
    </row>
    <row r="139" spans="1:3" ht="38.25">
      <c r="A139" s="14" t="s">
        <v>175</v>
      </c>
      <c r="B139" s="15" t="s">
        <v>9044</v>
      </c>
      <c r="C139" s="18" t="s">
        <v>7351</v>
      </c>
    </row>
    <row r="140" spans="1:3">
      <c r="A140" s="14" t="s">
        <v>176</v>
      </c>
      <c r="B140" s="15" t="s">
        <v>106</v>
      </c>
      <c r="C140" s="18" t="s">
        <v>7351</v>
      </c>
    </row>
    <row r="141" spans="1:3">
      <c r="A141" s="14" t="s">
        <v>177</v>
      </c>
      <c r="B141" s="15" t="s">
        <v>36</v>
      </c>
      <c r="C141" s="18" t="s">
        <v>7351</v>
      </c>
    </row>
    <row r="142" spans="1:3">
      <c r="A142" s="14" t="s">
        <v>178</v>
      </c>
      <c r="B142" s="15" t="s">
        <v>126</v>
      </c>
      <c r="C142" s="18" t="s">
        <v>7351</v>
      </c>
    </row>
    <row r="143" spans="1:3">
      <c r="A143" s="14" t="s">
        <v>179</v>
      </c>
      <c r="B143" s="15" t="s">
        <v>113</v>
      </c>
      <c r="C143" s="18" t="s">
        <v>7351</v>
      </c>
    </row>
    <row r="144" spans="1:3">
      <c r="A144" s="14" t="s">
        <v>180</v>
      </c>
      <c r="B144" s="15" t="s">
        <v>9056</v>
      </c>
      <c r="C144" s="18" t="s">
        <v>7351</v>
      </c>
    </row>
    <row r="145" spans="1:3">
      <c r="A145" s="15"/>
      <c r="B145" s="15"/>
      <c r="C145" s="15"/>
    </row>
    <row r="146" spans="1:3">
      <c r="A146" s="605" t="s">
        <v>7855</v>
      </c>
      <c r="B146" s="605"/>
      <c r="C146" s="28"/>
    </row>
    <row r="147" spans="1:3">
      <c r="A147" s="14" t="s">
        <v>87</v>
      </c>
      <c r="B147" s="15" t="s">
        <v>166</v>
      </c>
      <c r="C147" s="18" t="s">
        <v>7351</v>
      </c>
    </row>
    <row r="148" spans="1:3">
      <c r="A148" s="14" t="s">
        <v>88</v>
      </c>
      <c r="B148" s="15" t="s">
        <v>165</v>
      </c>
      <c r="C148" s="18" t="s">
        <v>7351</v>
      </c>
    </row>
    <row r="149" spans="1:3">
      <c r="A149" s="14"/>
      <c r="B149" s="15"/>
      <c r="C149" s="18"/>
    </row>
    <row r="150" spans="1:3">
      <c r="A150" s="605" t="s">
        <v>7856</v>
      </c>
      <c r="B150" s="605"/>
      <c r="C150" s="28"/>
    </row>
    <row r="151" spans="1:3">
      <c r="A151" s="14" t="s">
        <v>89</v>
      </c>
      <c r="B151" s="15" t="s">
        <v>35</v>
      </c>
      <c r="C151" s="18" t="s">
        <v>7351</v>
      </c>
    </row>
    <row r="152" spans="1:3">
      <c r="A152" s="14" t="s">
        <v>90</v>
      </c>
      <c r="B152" s="15" t="s">
        <v>112</v>
      </c>
      <c r="C152" s="18" t="s">
        <v>7351</v>
      </c>
    </row>
    <row r="153" spans="1:3">
      <c r="A153" s="14" t="s">
        <v>7809</v>
      </c>
      <c r="B153" s="15" t="s">
        <v>123</v>
      </c>
      <c r="C153" s="18" t="s">
        <v>7351</v>
      </c>
    </row>
    <row r="154" spans="1:3">
      <c r="A154" s="14"/>
      <c r="B154" s="15"/>
      <c r="C154" s="18"/>
    </row>
    <row r="155" spans="1:3">
      <c r="A155" s="605" t="s">
        <v>7857</v>
      </c>
      <c r="B155" s="605"/>
      <c r="C155" s="28"/>
    </row>
    <row r="156" spans="1:3">
      <c r="A156" s="14" t="s">
        <v>91</v>
      </c>
      <c r="B156" s="15" t="s">
        <v>115</v>
      </c>
      <c r="C156" s="18" t="s">
        <v>7351</v>
      </c>
    </row>
    <row r="157" spans="1:3">
      <c r="A157" s="14" t="s">
        <v>92</v>
      </c>
      <c r="B157" s="15" t="s">
        <v>173</v>
      </c>
      <c r="C157" s="18" t="s">
        <v>7351</v>
      </c>
    </row>
    <row r="158" spans="1:3">
      <c r="A158" s="14" t="s">
        <v>93</v>
      </c>
      <c r="B158" s="15" t="s">
        <v>8993</v>
      </c>
      <c r="C158" s="18" t="s">
        <v>7351</v>
      </c>
    </row>
    <row r="159" spans="1:3">
      <c r="A159" s="14" t="s">
        <v>7858</v>
      </c>
      <c r="B159" s="15" t="s">
        <v>134</v>
      </c>
      <c r="C159" s="18" t="s">
        <v>7351</v>
      </c>
    </row>
    <row r="160" spans="1:3">
      <c r="A160" s="2"/>
      <c r="B160" s="3"/>
      <c r="C160" s="4"/>
    </row>
    <row r="161" spans="1:3">
      <c r="A161" s="605" t="s">
        <v>7810</v>
      </c>
      <c r="B161" s="605"/>
      <c r="C161" s="28"/>
    </row>
    <row r="162" spans="1:3">
      <c r="A162" s="14" t="s">
        <v>100</v>
      </c>
      <c r="B162" s="15" t="s">
        <v>7510</v>
      </c>
      <c r="C162" s="18" t="s">
        <v>7351</v>
      </c>
    </row>
    <row r="163" spans="1:3">
      <c r="A163" s="14" t="s">
        <v>101</v>
      </c>
      <c r="B163" s="15" t="s">
        <v>141</v>
      </c>
      <c r="C163" s="18" t="s">
        <v>7351</v>
      </c>
    </row>
    <row r="164" spans="1:3">
      <c r="A164" s="14" t="s">
        <v>187</v>
      </c>
      <c r="B164" s="15" t="s">
        <v>147</v>
      </c>
      <c r="C164" s="18" t="s">
        <v>7351</v>
      </c>
    </row>
    <row r="165" spans="1:3">
      <c r="A165" s="14" t="s">
        <v>188</v>
      </c>
      <c r="B165" s="15" t="s">
        <v>135</v>
      </c>
      <c r="C165" s="18" t="s">
        <v>7351</v>
      </c>
    </row>
    <row r="166" spans="1:3">
      <c r="A166" s="14" t="s">
        <v>189</v>
      </c>
      <c r="B166" s="15" t="s">
        <v>139</v>
      </c>
      <c r="C166" s="18" t="s">
        <v>7351</v>
      </c>
    </row>
    <row r="167" spans="1:3">
      <c r="A167" s="14" t="s">
        <v>190</v>
      </c>
      <c r="B167" s="15" t="s">
        <v>39</v>
      </c>
      <c r="C167" s="18" t="s">
        <v>7351</v>
      </c>
    </row>
    <row r="168" spans="1:3">
      <c r="A168" s="14" t="s">
        <v>191</v>
      </c>
      <c r="B168" s="15" t="s">
        <v>40</v>
      </c>
      <c r="C168" s="18" t="s">
        <v>7351</v>
      </c>
    </row>
    <row r="169" spans="1:3">
      <c r="A169" s="14" t="s">
        <v>192</v>
      </c>
      <c r="B169" s="15" t="s">
        <v>16</v>
      </c>
      <c r="C169" s="18" t="s">
        <v>7351</v>
      </c>
    </row>
    <row r="170" spans="1:3">
      <c r="A170" s="14"/>
      <c r="B170" s="15"/>
      <c r="C170" s="18"/>
    </row>
    <row r="171" spans="1:3">
      <c r="A171" s="605" t="s">
        <v>7811</v>
      </c>
      <c r="B171" s="605"/>
      <c r="C171" s="28"/>
    </row>
    <row r="172" spans="1:3">
      <c r="A172" s="14" t="s">
        <v>7321</v>
      </c>
      <c r="B172" s="9" t="str">
        <f>_xlfn.CONCAT('Pricing Sheet'!A24:L24)</f>
        <v/>
      </c>
      <c r="C172" s="24" t="s">
        <v>7350</v>
      </c>
    </row>
    <row r="173" spans="1:3">
      <c r="A173" s="14" t="s">
        <v>7322</v>
      </c>
      <c r="B173" s="9" t="str">
        <f>_xlfn.CONCAT('Pricing Sheet'!A25:L25)</f>
        <v/>
      </c>
      <c r="C173" s="24" t="s">
        <v>7350</v>
      </c>
    </row>
    <row r="174" spans="1:3">
      <c r="A174" s="14" t="s">
        <v>7323</v>
      </c>
      <c r="B174" s="9" t="str">
        <f>_xlfn.CONCAT('Pricing Sheet'!A26:L26)</f>
        <v/>
      </c>
      <c r="C174" s="24" t="s">
        <v>7350</v>
      </c>
    </row>
    <row r="175" spans="1:3">
      <c r="A175" s="14" t="s">
        <v>7324</v>
      </c>
      <c r="B175" s="9" t="str">
        <f>_xlfn.CONCAT('Pricing Sheet'!A27:L27)</f>
        <v/>
      </c>
      <c r="C175" s="24" t="s">
        <v>7350</v>
      </c>
    </row>
    <row r="176" spans="1:3">
      <c r="A176" s="14" t="s">
        <v>7325</v>
      </c>
      <c r="B176" s="9" t="str">
        <f>_xlfn.CONCAT('Pricing Sheet'!A28:L28)</f>
        <v/>
      </c>
      <c r="C176" s="24" t="s">
        <v>7350</v>
      </c>
    </row>
    <row r="177" spans="1:3">
      <c r="A177" s="14" t="s">
        <v>7326</v>
      </c>
      <c r="B177" s="9" t="str">
        <f>_xlfn.CONCAT('Pricing Sheet'!A29:L29)</f>
        <v/>
      </c>
      <c r="C177" s="24" t="s">
        <v>7350</v>
      </c>
    </row>
    <row r="178" spans="1:3">
      <c r="A178" s="14" t="s">
        <v>7327</v>
      </c>
      <c r="B178" s="9" t="str">
        <f>_xlfn.CONCAT('Pricing Sheet'!A30:L30)</f>
        <v/>
      </c>
      <c r="C178" s="24" t="s">
        <v>7350</v>
      </c>
    </row>
    <row r="179" spans="1:3">
      <c r="A179" s="14" t="s">
        <v>7328</v>
      </c>
      <c r="B179" s="9" t="str">
        <f>_xlfn.CONCAT('Pricing Sheet'!A31:L31)</f>
        <v/>
      </c>
      <c r="C179" s="24" t="s">
        <v>7350</v>
      </c>
    </row>
    <row r="180" spans="1:3">
      <c r="A180" s="14" t="s">
        <v>7329</v>
      </c>
      <c r="B180" s="9" t="str">
        <f>_xlfn.CONCAT('Pricing Sheet'!A32:L32)</f>
        <v/>
      </c>
      <c r="C180" s="24" t="s">
        <v>7350</v>
      </c>
    </row>
    <row r="181" spans="1:3">
      <c r="A181" s="14" t="s">
        <v>7331</v>
      </c>
      <c r="B181" s="9" t="str">
        <f>_xlfn.CONCAT('Pricing Sheet'!A33:L33)</f>
        <v/>
      </c>
      <c r="C181" s="24" t="s">
        <v>7350</v>
      </c>
    </row>
    <row r="182" spans="1:3">
      <c r="A182" s="14" t="s">
        <v>7812</v>
      </c>
      <c r="B182" s="9" t="str">
        <f>_xlfn.CONCAT('Pricing Sheet'!A34:L34)</f>
        <v/>
      </c>
      <c r="C182" s="24" t="s">
        <v>7350</v>
      </c>
    </row>
    <row r="183" spans="1:3">
      <c r="A183" s="14" t="s">
        <v>7813</v>
      </c>
      <c r="B183" s="9" t="str">
        <f>_xlfn.CONCAT('Pricing Sheet'!A35:L35)</f>
        <v/>
      </c>
      <c r="C183" s="24" t="s">
        <v>7350</v>
      </c>
    </row>
    <row r="184" spans="1:3">
      <c r="A184" s="14" t="s">
        <v>7814</v>
      </c>
      <c r="B184" s="9" t="str">
        <f>_xlfn.CONCAT('Pricing Sheet'!A36:L36)</f>
        <v/>
      </c>
      <c r="C184" s="24" t="s">
        <v>7350</v>
      </c>
    </row>
    <row r="185" spans="1:3">
      <c r="A185" s="14" t="s">
        <v>7815</v>
      </c>
      <c r="B185" s="9" t="str">
        <f>_xlfn.CONCAT('Pricing Sheet'!A37:L37)</f>
        <v/>
      </c>
      <c r="C185" s="24" t="s">
        <v>7350</v>
      </c>
    </row>
    <row r="186" spans="1:3">
      <c r="A186" s="14" t="s">
        <v>7816</v>
      </c>
      <c r="B186" s="9" t="str">
        <f>_xlfn.CONCAT('Pricing Sheet'!A38:L38)</f>
        <v/>
      </c>
      <c r="C186" s="24" t="s">
        <v>7350</v>
      </c>
    </row>
    <row r="187" spans="1:3">
      <c r="A187" s="14" t="s">
        <v>7817</v>
      </c>
      <c r="B187" s="9" t="str">
        <f>_xlfn.CONCAT('Pricing Sheet'!A39:L39)</f>
        <v/>
      </c>
      <c r="C187" s="24" t="s">
        <v>7350</v>
      </c>
    </row>
    <row r="188" spans="1:3">
      <c r="A188" s="14" t="s">
        <v>7818</v>
      </c>
      <c r="B188" s="9" t="str">
        <f>_xlfn.CONCAT('Pricing Sheet'!A40:L40)</f>
        <v/>
      </c>
      <c r="C188" s="24" t="s">
        <v>7350</v>
      </c>
    </row>
    <row r="189" spans="1:3">
      <c r="A189" s="14" t="s">
        <v>7819</v>
      </c>
      <c r="B189" s="9" t="str">
        <f>_xlfn.CONCAT('Pricing Sheet'!A41:L41)</f>
        <v/>
      </c>
      <c r="C189" s="24" t="s">
        <v>7350</v>
      </c>
    </row>
    <row r="190" spans="1:3">
      <c r="A190" s="14" t="s">
        <v>7820</v>
      </c>
      <c r="B190" s="9" t="str">
        <f>_xlfn.CONCAT('Pricing Sheet'!A42:L42)</f>
        <v/>
      </c>
      <c r="C190" s="24" t="s">
        <v>7350</v>
      </c>
    </row>
    <row r="191" spans="1:3">
      <c r="A191" s="14" t="s">
        <v>7821</v>
      </c>
      <c r="B191" s="9" t="str">
        <f>_xlfn.CONCAT('Pricing Sheet'!A43:L43)</f>
        <v/>
      </c>
      <c r="C191" s="24" t="s">
        <v>7350</v>
      </c>
    </row>
    <row r="192" spans="1:3">
      <c r="A192" s="14" t="s">
        <v>7822</v>
      </c>
      <c r="B192" s="9" t="str">
        <f>_xlfn.CONCAT('Pricing Sheet'!A44:L44)</f>
        <v/>
      </c>
      <c r="C192" s="24" t="s">
        <v>7350</v>
      </c>
    </row>
    <row r="193" spans="1:3">
      <c r="A193" s="14" t="s">
        <v>7823</v>
      </c>
      <c r="B193" s="9" t="str">
        <f>_xlfn.CONCAT('Pricing Sheet'!A45:L45)</f>
        <v/>
      </c>
      <c r="C193" s="24" t="s">
        <v>7350</v>
      </c>
    </row>
    <row r="194" spans="1:3">
      <c r="A194" s="14" t="s">
        <v>7824</v>
      </c>
      <c r="B194" s="9" t="str">
        <f>_xlfn.CONCAT('Pricing Sheet'!A46:L46)</f>
        <v/>
      </c>
      <c r="C194" s="24" t="s">
        <v>7350</v>
      </c>
    </row>
    <row r="195" spans="1:3">
      <c r="A195" s="14" t="s">
        <v>7825</v>
      </c>
      <c r="B195" s="9" t="str">
        <f>_xlfn.CONCAT('Pricing Sheet'!A47:L47)</f>
        <v/>
      </c>
      <c r="C195" s="24" t="s">
        <v>7350</v>
      </c>
    </row>
    <row r="196" spans="1:3">
      <c r="A196" s="14" t="s">
        <v>7826</v>
      </c>
      <c r="B196" s="9" t="str">
        <f>_xlfn.CONCAT('Pricing Sheet'!A48:L48)</f>
        <v/>
      </c>
      <c r="C196" s="24" t="s">
        <v>7350</v>
      </c>
    </row>
    <row r="197" spans="1:3">
      <c r="A197" s="14" t="s">
        <v>7827</v>
      </c>
      <c r="B197" s="9" t="str">
        <f>_xlfn.CONCAT('Pricing Sheet'!A49:L49)</f>
        <v/>
      </c>
      <c r="C197" s="24" t="s">
        <v>7350</v>
      </c>
    </row>
    <row r="198" spans="1:3">
      <c r="A198" s="14" t="s">
        <v>7828</v>
      </c>
      <c r="B198" s="9" t="str">
        <f>_xlfn.CONCAT('Pricing Sheet'!A50:L50)</f>
        <v/>
      </c>
      <c r="C198" s="24" t="s">
        <v>7350</v>
      </c>
    </row>
    <row r="199" spans="1:3">
      <c r="A199" s="14"/>
      <c r="B199" s="15"/>
      <c r="C199" s="18"/>
    </row>
    <row r="200" spans="1:3">
      <c r="A200" s="606" t="str">
        <f>"22 - "&amp;UPPER('Pricing Sheet'!O38)&amp;IF('Pricing Sheet'!S38=" (refer to sketch dated: ##/##/#### )","",'Pricing Sheet'!S38)</f>
        <v>22 - STRUCTURAL HOUSE MODIFICATIONS</v>
      </c>
      <c r="B200" s="606"/>
      <c r="C200" s="28"/>
    </row>
    <row r="201" spans="1:3">
      <c r="A201" s="14" t="s">
        <v>7332</v>
      </c>
      <c r="B201" s="9" t="str">
        <f>_xlfn.CONCAT('Pricing Sheet'!O41:X41)</f>
        <v/>
      </c>
      <c r="C201" s="24" t="s">
        <v>7350</v>
      </c>
    </row>
    <row r="202" spans="1:3">
      <c r="A202" s="14" t="s">
        <v>7333</v>
      </c>
      <c r="B202" s="9" t="str">
        <f>_xlfn.CONCAT('Pricing Sheet'!O42:X42)</f>
        <v/>
      </c>
      <c r="C202" s="24" t="s">
        <v>7350</v>
      </c>
    </row>
    <row r="203" spans="1:3">
      <c r="A203" s="14" t="s">
        <v>7334</v>
      </c>
      <c r="B203" s="9" t="str">
        <f>_xlfn.CONCAT('Pricing Sheet'!O43:X43)</f>
        <v/>
      </c>
      <c r="C203" s="24" t="s">
        <v>7350</v>
      </c>
    </row>
    <row r="204" spans="1:3">
      <c r="A204" s="14" t="s">
        <v>7335</v>
      </c>
      <c r="B204" s="9" t="str">
        <f>_xlfn.CONCAT('Pricing Sheet'!O44:X44)</f>
        <v/>
      </c>
      <c r="C204" s="24" t="s">
        <v>7350</v>
      </c>
    </row>
    <row r="205" spans="1:3">
      <c r="A205" s="14" t="s">
        <v>7336</v>
      </c>
      <c r="B205" s="9" t="str">
        <f>_xlfn.CONCAT('Pricing Sheet'!O45:X45)</f>
        <v/>
      </c>
      <c r="C205" s="24" t="s">
        <v>7350</v>
      </c>
    </row>
    <row r="206" spans="1:3">
      <c r="A206" s="14" t="s">
        <v>7337</v>
      </c>
      <c r="B206" s="9" t="str">
        <f>_xlfn.CONCAT('Pricing Sheet'!O46:X46)</f>
        <v/>
      </c>
      <c r="C206" s="24" t="s">
        <v>7350</v>
      </c>
    </row>
    <row r="207" spans="1:3">
      <c r="A207" s="14" t="s">
        <v>7338</v>
      </c>
      <c r="B207" s="9" t="str">
        <f>_xlfn.CONCAT('Pricing Sheet'!O47:X47)</f>
        <v/>
      </c>
      <c r="C207" s="24" t="s">
        <v>7350</v>
      </c>
    </row>
    <row r="208" spans="1:3">
      <c r="A208" s="14" t="s">
        <v>7339</v>
      </c>
      <c r="B208" s="9" t="str">
        <f>_xlfn.CONCAT('Pricing Sheet'!O48:X48)</f>
        <v/>
      </c>
      <c r="C208" s="24" t="s">
        <v>7350</v>
      </c>
    </row>
    <row r="209" spans="1:3" ht="25.5">
      <c r="A209" s="14" t="s">
        <v>7340</v>
      </c>
      <c r="B209" s="9" t="str">
        <f>_xlfn.CONCAT('Pricing Sheet'!O49:X49)</f>
        <v xml:space="preserve">Provide a preliminary site clean including but not limited to removal of trees, tree root system, rubbish, long grass etc. </v>
      </c>
      <c r="C209" s="24" t="s">
        <v>7350</v>
      </c>
    </row>
    <row r="210" spans="1:3">
      <c r="A210" s="14" t="s">
        <v>7353</v>
      </c>
      <c r="B210" s="9" t="str">
        <f>_xlfn.CONCAT('Pricing Sheet'!O50:X50)</f>
        <v/>
      </c>
      <c r="C210" s="24" t="s">
        <v>7350</v>
      </c>
    </row>
    <row r="211" spans="1:3">
      <c r="A211" s="14"/>
      <c r="B211" s="9" t="str">
        <f>_xlfn.CONCAT('Pricing Sheet'!O37:X37)</f>
        <v/>
      </c>
      <c r="C211" s="18"/>
    </row>
    <row r="212" spans="1:3">
      <c r="A212" s="605" t="s">
        <v>7829</v>
      </c>
      <c r="B212" s="605"/>
      <c r="C212" s="18"/>
    </row>
    <row r="213" spans="1:3">
      <c r="A213" s="14" t="s">
        <v>7356</v>
      </c>
      <c r="B213" s="9" t="str">
        <f>_xlfn.CONCAT('Pricing Sheet'!O24:X24)</f>
        <v/>
      </c>
      <c r="C213" s="24" t="s">
        <v>7350</v>
      </c>
    </row>
    <row r="214" spans="1:3">
      <c r="A214" s="14" t="s">
        <v>7357</v>
      </c>
      <c r="B214" s="9" t="str">
        <f>_xlfn.CONCAT('Pricing Sheet'!O25:X25)</f>
        <v/>
      </c>
      <c r="C214" s="24" t="s">
        <v>7350</v>
      </c>
    </row>
    <row r="215" spans="1:3">
      <c r="A215" s="14" t="s">
        <v>7358</v>
      </c>
      <c r="B215" s="9" t="str">
        <f>_xlfn.CONCAT('Pricing Sheet'!O26:X26)</f>
        <v/>
      </c>
      <c r="C215" s="24" t="s">
        <v>7350</v>
      </c>
    </row>
    <row r="216" spans="1:3">
      <c r="A216" s="14" t="s">
        <v>7359</v>
      </c>
      <c r="B216" s="9" t="str">
        <f>_xlfn.CONCAT('Pricing Sheet'!O27:X27)</f>
        <v/>
      </c>
      <c r="C216" s="24" t="s">
        <v>7350</v>
      </c>
    </row>
    <row r="217" spans="1:3">
      <c r="A217" s="14" t="s">
        <v>7360</v>
      </c>
      <c r="B217" s="9" t="str">
        <f>_xlfn.CONCAT('Pricing Sheet'!O28:X28)</f>
        <v/>
      </c>
      <c r="C217" s="24" t="s">
        <v>7350</v>
      </c>
    </row>
    <row r="218" spans="1:3">
      <c r="A218" s="14" t="s">
        <v>7361</v>
      </c>
      <c r="B218" s="9" t="str">
        <f>_xlfn.CONCAT('Pricing Sheet'!O29:X29)</f>
        <v/>
      </c>
      <c r="C218" s="24" t="s">
        <v>7350</v>
      </c>
    </row>
    <row r="219" spans="1:3">
      <c r="A219" s="14" t="s">
        <v>7362</v>
      </c>
      <c r="B219" s="9" t="str">
        <f>_xlfn.CONCAT('Pricing Sheet'!O30:X30)</f>
        <v/>
      </c>
      <c r="C219" s="24" t="s">
        <v>7350</v>
      </c>
    </row>
    <row r="220" spans="1:3">
      <c r="A220" s="14" t="s">
        <v>7363</v>
      </c>
      <c r="B220" s="9" t="str">
        <f>_xlfn.CONCAT('Pricing Sheet'!O31:X31)</f>
        <v/>
      </c>
      <c r="C220" s="24" t="s">
        <v>7350</v>
      </c>
    </row>
    <row r="221" spans="1:3">
      <c r="A221" s="14" t="s">
        <v>7830</v>
      </c>
      <c r="B221" s="9" t="str">
        <f>_xlfn.CONCAT('Pricing Sheet'!O32:X32)</f>
        <v/>
      </c>
      <c r="C221" s="24" t="s">
        <v>7350</v>
      </c>
    </row>
    <row r="222" spans="1:3">
      <c r="A222" s="14" t="s">
        <v>7831</v>
      </c>
      <c r="B222" s="9" t="str">
        <f>_xlfn.CONCAT('Pricing Sheet'!O33:X33)</f>
        <v/>
      </c>
      <c r="C222" s="24" t="s">
        <v>7350</v>
      </c>
    </row>
    <row r="223" spans="1:3">
      <c r="A223" s="14" t="s">
        <v>7832</v>
      </c>
      <c r="B223" s="9" t="str">
        <f>_xlfn.CONCAT('Pricing Sheet'!O34:X34)</f>
        <v/>
      </c>
      <c r="C223" s="24" t="s">
        <v>7350</v>
      </c>
    </row>
    <row r="224" spans="1:3">
      <c r="A224" s="14" t="s">
        <v>7833</v>
      </c>
      <c r="B224" s="9" t="str">
        <f>_xlfn.CONCAT('Pricing Sheet'!O35:X35)</f>
        <v/>
      </c>
      <c r="C224" s="24" t="s">
        <v>7350</v>
      </c>
    </row>
    <row r="225" spans="1:20">
      <c r="A225" s="14" t="s">
        <v>7834</v>
      </c>
      <c r="B225" s="9" t="str">
        <f>_xlfn.CONCAT('Pricing Sheet'!O36:X36)</f>
        <v/>
      </c>
      <c r="C225" s="24" t="s">
        <v>7350</v>
      </c>
    </row>
    <row r="226" spans="1:20">
      <c r="A226" s="14"/>
      <c r="B226" s="15"/>
      <c r="C226" s="18"/>
    </row>
    <row r="227" spans="1:20">
      <c r="A227" s="605" t="s">
        <v>7835</v>
      </c>
      <c r="B227" s="605"/>
      <c r="C227" s="28"/>
    </row>
    <row r="228" spans="1:20" ht="25.5">
      <c r="A228" s="14" t="s">
        <v>7836</v>
      </c>
      <c r="B228" s="15" t="s">
        <v>9016</v>
      </c>
      <c r="C228" s="18" t="s">
        <v>7351</v>
      </c>
    </row>
    <row r="229" spans="1:20">
      <c r="A229" s="14" t="s">
        <v>7837</v>
      </c>
      <c r="B229" s="15" t="s">
        <v>41</v>
      </c>
      <c r="C229" s="18" t="s">
        <v>7351</v>
      </c>
    </row>
    <row r="230" spans="1:20">
      <c r="A230" s="14" t="s">
        <v>7838</v>
      </c>
      <c r="B230" s="15" t="s">
        <v>42</v>
      </c>
      <c r="C230" s="18" t="s">
        <v>7351</v>
      </c>
    </row>
    <row r="231" spans="1:20">
      <c r="A231" s="14" t="s">
        <v>7839</v>
      </c>
      <c r="B231" s="15" t="s">
        <v>43</v>
      </c>
      <c r="C231" s="18" t="s">
        <v>7351</v>
      </c>
    </row>
    <row r="232" spans="1:20">
      <c r="A232" s="14" t="s">
        <v>7840</v>
      </c>
      <c r="B232" s="15" t="s">
        <v>124</v>
      </c>
      <c r="C232" s="18" t="s">
        <v>7351</v>
      </c>
    </row>
    <row r="233" spans="1:20">
      <c r="A233" s="14" t="s">
        <v>7841</v>
      </c>
      <c r="B233" s="15" t="s">
        <v>44</v>
      </c>
      <c r="C233" s="18" t="s">
        <v>7351</v>
      </c>
    </row>
    <row r="234" spans="1:20">
      <c r="A234" s="14" t="s">
        <v>7842</v>
      </c>
      <c r="B234" s="15" t="s">
        <v>45</v>
      </c>
      <c r="C234" s="18" t="s">
        <v>7351</v>
      </c>
    </row>
    <row r="235" spans="1:20">
      <c r="A235" s="14" t="s">
        <v>7843</v>
      </c>
      <c r="B235" s="15" t="s">
        <v>46</v>
      </c>
      <c r="C235" s="18" t="s">
        <v>7351</v>
      </c>
    </row>
    <row r="236" spans="1:20">
      <c r="A236" s="14" t="s">
        <v>9017</v>
      </c>
      <c r="B236" s="15" t="s">
        <v>47</v>
      </c>
      <c r="C236" s="18" t="s">
        <v>7351</v>
      </c>
    </row>
    <row r="237" spans="1:20">
      <c r="A237" s="2"/>
      <c r="B237" s="3"/>
      <c r="C237" s="4"/>
    </row>
    <row r="238" spans="1:20">
      <c r="A238" s="45" t="s">
        <v>48</v>
      </c>
      <c r="B238" s="12"/>
      <c r="C238" s="13"/>
    </row>
    <row r="239" spans="1:20">
      <c r="A239" s="607" t="s">
        <v>125</v>
      </c>
      <c r="B239" s="607"/>
      <c r="C239" s="607"/>
      <c r="T239" s="167" t="str">
        <f>A239</f>
        <v>The builder has the right to substitute or change any of the above items without notice or notification.</v>
      </c>
    </row>
    <row r="240" spans="1:20" ht="45">
      <c r="A240" s="602" t="s">
        <v>7913</v>
      </c>
      <c r="B240" s="602"/>
      <c r="C240" s="602"/>
      <c r="T240" s="167" t="str">
        <f>A240</f>
        <v>I / We understand that it is the policy of Hermitage Building Group Pty Ltd (ABN: 79 150 694 572) not to enter into verbal agreements, therefore I / we agree that our special requirements are to be written down and form part of our final building documentation.</v>
      </c>
    </row>
    <row r="241" spans="1:3">
      <c r="A241" s="10"/>
      <c r="B241" s="11"/>
      <c r="C241" s="23"/>
    </row>
    <row r="242" spans="1:3">
      <c r="A242" s="2"/>
      <c r="B242" s="3"/>
      <c r="C242" s="4"/>
    </row>
    <row r="243" spans="1:3">
      <c r="A243" s="2"/>
      <c r="B243" s="24" t="s">
        <v>104</v>
      </c>
      <c r="C243" s="80" cm="1">
        <f t="array" ref="C243">IFERROR(_xlfn.IFS(_xlfn.CONCAT(B22,B26)=_xlfn.CONCAT('Pricing Sheet'!K11,'Pricing Sheet'!M11),'Pricing Sheet'!W11,
_xlfn.CONCAT(B22,B26)=_xlfn.CONCAT('Pricing Sheet'!K12,'Pricing Sheet'!M12),'Pricing Sheet'!W12,
_xlfn.CONCAT(B22,B26)=_xlfn.CONCAT('Pricing Sheet'!K13,'Pricing Sheet'!M13),'Pricing Sheet'!W13,
_xlfn.CONCAT(B22,B26)=_xlfn.CONCAT('Pricing Sheet'!K14,'Pricing Sheet'!M14),'Pricing Sheet'!W14,
_xlfn.CONCAT(B22,B26)=_xlfn.CONCAT('Pricing Sheet'!K15,'Pricing Sheet'!M15),'Pricing Sheet'!W15,
_xlfn.CONCAT(B22,B26)=_xlfn.CONCAT('Pricing Sheet'!K16,'Pricing Sheet'!M16),'Pricing Sheet'!W16,
_xlfn.CONCAT(B22,B26)=_xlfn.CONCAT('Pricing Sheet'!K17,'Pricing Sheet'!M17),'Pricing Sheet'!W17,
_xlfn.CONCAT(B22,B26)=_xlfn.CONCAT('Pricing Sheet'!K18,'Pricing Sheet'!M18),'Pricing Sheet'!W18,
_xlfn.CONCAT(B22,B26)=_xlfn.CONCAT('Pricing Sheet'!K19,'Pricing Sheet'!M19),'Pricing Sheet'!W19,
_xlfn.CONCAT(B22,B26)=_xlfn.CONCAT('Pricing Sheet'!K20,'Pricing Sheet'!M20),'Pricing Sheet'!W20),"")</f>
        <v>0</v>
      </c>
    </row>
    <row r="244" spans="1:3">
      <c r="A244" s="25" t="s">
        <v>49</v>
      </c>
      <c r="B244" s="11"/>
      <c r="C244" s="1"/>
    </row>
    <row r="245" spans="1:3">
      <c r="A245" s="2"/>
      <c r="B245" s="3"/>
      <c r="C245" s="1"/>
    </row>
    <row r="246" spans="1:3">
      <c r="A246" s="2"/>
      <c r="B246" s="15" t="s">
        <v>50</v>
      </c>
      <c r="C246" s="26"/>
    </row>
    <row r="247" spans="1:3">
      <c r="A247" s="2"/>
      <c r="B247" s="3"/>
      <c r="C247" s="1"/>
    </row>
    <row r="248" spans="1:3">
      <c r="A248" s="2"/>
      <c r="B248" s="3"/>
      <c r="C248" s="1"/>
    </row>
    <row r="249" spans="1:3">
      <c r="A249" s="27" t="s">
        <v>167</v>
      </c>
      <c r="B249" s="3"/>
      <c r="C249" s="1"/>
    </row>
    <row r="250" spans="1:3">
      <c r="A250" s="2"/>
      <c r="B250" s="3"/>
      <c r="C250" s="1"/>
    </row>
    <row r="251" spans="1:3">
      <c r="A251" s="2"/>
      <c r="B251" s="3"/>
      <c r="C251" s="1"/>
    </row>
    <row r="252" spans="1:3">
      <c r="A252" s="27" t="s">
        <v>168</v>
      </c>
      <c r="B252" s="3"/>
      <c r="C252" s="1"/>
    </row>
    <row r="253" spans="1:3">
      <c r="A253" s="2"/>
      <c r="B253" s="3"/>
      <c r="C253" s="1"/>
    </row>
    <row r="254" spans="1:3">
      <c r="A254" s="2"/>
      <c r="B254" s="3"/>
      <c r="C254" s="1"/>
    </row>
    <row r="255" spans="1:3">
      <c r="A255" s="27" t="s">
        <v>168</v>
      </c>
      <c r="B255" s="3"/>
      <c r="C255" s="1"/>
    </row>
    <row r="256" spans="1:3">
      <c r="A256" s="2"/>
      <c r="B256" s="3"/>
      <c r="C256" s="1"/>
    </row>
  </sheetData>
  <sheetProtection algorithmName="SHA-512" hashValue="qTW6HdMzMqk/Jp7czq+3nYF78uTMDhrZVNG5/6JyNLe21g7/w8iNBaiPnbLwQBrRiP1JJ1TtKDp31eBAmlrZOQ==" saltValue="pPmYBMxncyFkKB0l359l8Q==" spinCount="100000" sheet="1" objects="1" scenarios="1" formatRows="0" insertRows="0" deleteRows="0"/>
  <mergeCells count="23">
    <mergeCell ref="A155:B155"/>
    <mergeCell ref="A161:B161"/>
    <mergeCell ref="A95:B95"/>
    <mergeCell ref="A106:B106"/>
    <mergeCell ref="A110:B110"/>
    <mergeCell ref="A122:B122"/>
    <mergeCell ref="A134:B134"/>
    <mergeCell ref="A17:B17"/>
    <mergeCell ref="A227:B227"/>
    <mergeCell ref="A239:C239"/>
    <mergeCell ref="A240:C240"/>
    <mergeCell ref="A171:B171"/>
    <mergeCell ref="A200:B200"/>
    <mergeCell ref="A212:B212"/>
    <mergeCell ref="A29:B29"/>
    <mergeCell ref="A32:B32"/>
    <mergeCell ref="A43:B43"/>
    <mergeCell ref="A57:B57"/>
    <mergeCell ref="A73:B73"/>
    <mergeCell ref="A79:B79"/>
    <mergeCell ref="A87:B87"/>
    <mergeCell ref="A146:B146"/>
    <mergeCell ref="A150:B150"/>
  </mergeCells>
  <phoneticPr fontId="2" type="noConversion"/>
  <printOptions horizontalCentered="1"/>
  <pageMargins left="0.51181102362204722" right="0.51181102362204722" top="0.74803149606299213" bottom="0.74803149606299213" header="0.31496062992125984" footer="0.31496062992125984"/>
  <pageSetup paperSize="9" orientation="portrait" r:id="rId1"/>
  <headerFooter>
    <oddFooter>&amp;LHermitage Building Group Pty Ltd
Level 3, 37 Dalmore Drive, Scoresby VIC 3179 &amp;C                                                   ABN: 79 150 694 572&amp;RPh: 03 9213 0500
Fax: 03 9213 0501</oddFooter>
  </headerFooter>
  <rowBreaks count="3" manualBreakCount="3">
    <brk id="86" max="2" man="1"/>
    <brk id="121" max="2" man="1"/>
    <brk id="160" max="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6A375F-7796-4829-9664-2B8ACD2984C0}">
          <x14:formula1>
            <xm:f>_xlfn.ANCHORARRAY(Houses!$AE$4)</xm:f>
          </x14:formula1>
          <xm:sqref>B22</xm:sqref>
        </x14:dataValidation>
        <x14:dataValidation type="list" allowBlank="1" showInputMessage="1" showErrorMessage="1" xr:uid="{201D2CE6-7398-497E-B6D9-56F0D4AC0706}">
          <x14:formula1>
            <xm:f>_xlfn.ANCHORARRAY(Houses!$AF$4)</xm:f>
          </x14:formula1>
          <xm:sqref>B26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40722-0B74-4289-B623-84BF91E20E39}">
  <sheetPr codeName="Sheet8">
    <tabColor rgb="FFFF0000"/>
  </sheetPr>
  <dimension ref="A1:Y136"/>
  <sheetViews>
    <sheetView showGridLines="0" zoomScale="90" zoomScaleNormal="90" workbookViewId="0">
      <selection activeCell="B3" sqref="B3:E3"/>
    </sheetView>
  </sheetViews>
  <sheetFormatPr defaultColWidth="9.42578125" defaultRowHeight="15"/>
  <cols>
    <col min="1" max="1" width="27.5703125" style="83" customWidth="1"/>
    <col min="2" max="2" width="21.42578125" style="83" customWidth="1"/>
    <col min="3" max="3" width="14.42578125" style="83" customWidth="1"/>
    <col min="4" max="4" width="19.42578125" style="83" customWidth="1"/>
    <col min="5" max="5" width="16.5703125" style="83" customWidth="1"/>
    <col min="6" max="6" width="32.5703125" style="83" customWidth="1"/>
    <col min="7" max="7" width="46.42578125" style="83" customWidth="1"/>
    <col min="8" max="8" width="3.5703125" style="83" hidden="1" customWidth="1"/>
    <col min="9" max="9" width="4.42578125" style="83" hidden="1" customWidth="1"/>
    <col min="10" max="10" width="9.42578125" style="83" hidden="1" customWidth="1"/>
    <col min="11" max="11" width="10.5703125" style="218" hidden="1" customWidth="1"/>
    <col min="12" max="13" width="10.42578125" style="218" hidden="1" customWidth="1"/>
    <col min="14" max="14" width="14.42578125" style="218" hidden="1" customWidth="1"/>
    <col min="15" max="15" width="14.5703125" style="218" hidden="1" customWidth="1"/>
    <col min="16" max="16" width="15.5703125" style="218" hidden="1" customWidth="1"/>
    <col min="17" max="17" width="16.42578125" style="218" hidden="1" customWidth="1"/>
    <col min="18" max="18" width="13" style="218" hidden="1" customWidth="1"/>
    <col min="19" max="19" width="12.5703125" style="83" hidden="1" customWidth="1"/>
    <col min="20" max="21" width="9.42578125" style="83" customWidth="1"/>
    <col min="22" max="16384" width="9.42578125" style="83"/>
  </cols>
  <sheetData>
    <row r="1" spans="1:25" ht="33.75" customHeight="1">
      <c r="A1" s="503" t="s">
        <v>9094</v>
      </c>
      <c r="B1" s="587"/>
      <c r="C1" s="587"/>
      <c r="D1" s="587"/>
      <c r="E1" s="587"/>
      <c r="F1" s="587"/>
      <c r="G1" s="587"/>
      <c r="J1" s="218"/>
      <c r="L1" s="219" t="s">
        <v>9095</v>
      </c>
      <c r="S1" s="218"/>
      <c r="T1" s="218"/>
    </row>
    <row r="2" spans="1:25" ht="24" thickBot="1">
      <c r="A2" s="503" t="s">
        <v>9096</v>
      </c>
      <c r="B2" s="587"/>
      <c r="C2" s="587"/>
      <c r="D2" s="587"/>
      <c r="E2" s="587"/>
      <c r="F2" s="587"/>
      <c r="G2" s="587"/>
      <c r="J2" s="218"/>
      <c r="K2" s="218" t="s">
        <v>9097</v>
      </c>
      <c r="L2" s="83" t="s">
        <v>9098</v>
      </c>
      <c r="S2" s="218"/>
      <c r="T2" s="218"/>
    </row>
    <row r="3" spans="1:25" ht="15.75" thickBot="1">
      <c r="A3" s="220" t="s">
        <v>9099</v>
      </c>
      <c r="B3" s="588"/>
      <c r="C3" s="589"/>
      <c r="D3" s="589"/>
      <c r="E3" s="590"/>
      <c r="F3" s="220" t="s">
        <v>9100</v>
      </c>
      <c r="G3" s="221"/>
      <c r="J3" s="218"/>
      <c r="K3" s="218" t="s">
        <v>9036</v>
      </c>
      <c r="L3" s="83" t="s">
        <v>9101</v>
      </c>
      <c r="S3" s="218"/>
      <c r="T3" s="218"/>
    </row>
    <row r="4" spans="1:25" ht="15.75" thickBot="1">
      <c r="A4" s="220" t="s">
        <v>7269</v>
      </c>
      <c r="B4" s="222"/>
      <c r="C4" s="563" t="s">
        <v>9102</v>
      </c>
      <c r="D4" s="564"/>
      <c r="E4" s="223"/>
      <c r="F4" s="220" t="s">
        <v>9103</v>
      </c>
      <c r="G4" s="221"/>
      <c r="J4" s="218"/>
      <c r="L4" s="83" t="s">
        <v>9104</v>
      </c>
      <c r="S4" s="218"/>
      <c r="T4" s="218"/>
    </row>
    <row r="5" spans="1:25" ht="15.75" thickBot="1">
      <c r="A5" s="224" t="s">
        <v>9105</v>
      </c>
      <c r="B5" s="222"/>
      <c r="C5" s="563" t="s">
        <v>9106</v>
      </c>
      <c r="D5" s="564"/>
      <c r="E5" s="225"/>
      <c r="F5" s="224" t="s">
        <v>9107</v>
      </c>
      <c r="G5" s="225"/>
      <c r="J5" s="218"/>
      <c r="L5" s="83" t="s">
        <v>9108</v>
      </c>
      <c r="S5" s="218"/>
      <c r="T5" s="218"/>
    </row>
    <row r="6" spans="1:25" ht="15.75" thickBot="1">
      <c r="A6" s="226" t="s">
        <v>9109</v>
      </c>
      <c r="B6" s="225"/>
      <c r="C6" s="596" t="s">
        <v>7267</v>
      </c>
      <c r="D6" s="597"/>
      <c r="E6" s="225"/>
      <c r="F6" s="224" t="s">
        <v>9110</v>
      </c>
      <c r="G6" s="225"/>
      <c r="J6" s="218"/>
      <c r="S6" s="218"/>
      <c r="T6" s="218"/>
    </row>
    <row r="7" spans="1:25" ht="15.75" thickBot="1">
      <c r="A7" s="227" t="s">
        <v>9111</v>
      </c>
      <c r="B7" s="228"/>
      <c r="C7" s="594" t="s">
        <v>9112</v>
      </c>
      <c r="D7" s="595"/>
      <c r="E7" s="229"/>
      <c r="F7" s="230" t="s">
        <v>9113</v>
      </c>
      <c r="G7" s="225"/>
      <c r="J7" s="218"/>
      <c r="S7" s="218"/>
      <c r="T7" s="218"/>
    </row>
    <row r="8" spans="1:25" ht="23.25">
      <c r="A8" s="503" t="s">
        <v>9114</v>
      </c>
      <c r="B8" s="587"/>
      <c r="C8" s="587"/>
      <c r="D8" s="587"/>
      <c r="E8" s="587"/>
      <c r="F8" s="587"/>
      <c r="G8" s="587"/>
      <c r="J8" s="218"/>
      <c r="S8" s="218"/>
      <c r="T8" s="218"/>
    </row>
    <row r="9" spans="1:25" ht="15.75" thickBot="1">
      <c r="A9" s="591" t="s">
        <v>9115</v>
      </c>
      <c r="B9" s="592"/>
      <c r="C9" s="592"/>
      <c r="D9" s="592"/>
      <c r="E9" s="592"/>
      <c r="F9" s="592"/>
      <c r="G9" s="593"/>
      <c r="I9" s="218"/>
      <c r="J9" s="218"/>
      <c r="S9" s="218"/>
      <c r="T9" s="218"/>
      <c r="U9" s="218"/>
      <c r="V9" s="218"/>
      <c r="W9" s="218"/>
      <c r="X9" s="218"/>
      <c r="Y9" s="218"/>
    </row>
    <row r="10" spans="1:25" ht="15.75" thickBot="1">
      <c r="A10" s="563" t="s">
        <v>9116</v>
      </c>
      <c r="B10" s="564"/>
      <c r="C10" s="231"/>
      <c r="D10" s="226" t="s">
        <v>9117</v>
      </c>
      <c r="E10" s="232" t="s">
        <v>9118</v>
      </c>
      <c r="F10" s="224" t="s">
        <v>9119</v>
      </c>
      <c r="G10" s="226" t="s">
        <v>9120</v>
      </c>
      <c r="I10" s="218"/>
      <c r="J10" s="218"/>
      <c r="S10" s="218"/>
      <c r="T10" s="218"/>
      <c r="U10" s="218"/>
      <c r="V10" s="218"/>
      <c r="W10" s="218"/>
      <c r="X10" s="218"/>
      <c r="Y10" s="218"/>
    </row>
    <row r="11" spans="1:25" ht="16.5" thickBot="1">
      <c r="A11" s="220" t="s">
        <v>9121</v>
      </c>
      <c r="B11" s="233"/>
      <c r="C11" s="226" t="s">
        <v>9122</v>
      </c>
      <c r="D11" s="233"/>
      <c r="E11" s="233"/>
      <c r="F11" s="234">
        <f>D11-E11</f>
        <v>0</v>
      </c>
      <c r="G11" s="235"/>
      <c r="I11" s="218"/>
      <c r="J11" s="218"/>
      <c r="K11" s="218" t="b">
        <f>IF(F11&gt;2.001,1,IF(F12&gt;2.001,1))</f>
        <v>0</v>
      </c>
      <c r="L11" s="218" t="b">
        <f>IF(F11&gt;0.39,1,IF(F12&gt;0.39,1))</f>
        <v>0</v>
      </c>
      <c r="N11" s="218" t="b">
        <f>IF(B7="Single",IF(G6&lt;(1+(B13*0.49)),1))</f>
        <v>0</v>
      </c>
      <c r="O11" s="218" t="b">
        <f>IF(B7="Double",IF(G6&lt;(1.5+(B13*0.49)),1))</f>
        <v>0</v>
      </c>
      <c r="Q11" s="218" t="b">
        <f>IF(B7="Single",IF(G7&lt;(1+(B13*0.49)),1))</f>
        <v>0</v>
      </c>
      <c r="R11" s="218" t="b">
        <f>IF(B7="Double",IF(G7&lt;(1.5+(B13*0.49)),1))</f>
        <v>0</v>
      </c>
      <c r="S11" s="218"/>
      <c r="T11" s="218"/>
      <c r="U11" s="218"/>
      <c r="V11" s="218"/>
      <c r="W11" s="218"/>
      <c r="X11" s="218"/>
      <c r="Y11" s="218"/>
    </row>
    <row r="12" spans="1:25" ht="16.5" thickBot="1">
      <c r="A12" s="224" t="s">
        <v>9123</v>
      </c>
      <c r="B12" s="236"/>
      <c r="C12" s="226" t="s">
        <v>9124</v>
      </c>
      <c r="D12" s="233"/>
      <c r="E12" s="233"/>
      <c r="F12" s="234">
        <f>D12-E12</f>
        <v>0</v>
      </c>
      <c r="G12" s="573" t="s">
        <v>9125</v>
      </c>
      <c r="I12" s="218"/>
      <c r="J12" s="218"/>
      <c r="K12" s="218" t="b">
        <f>IF(F13&gt;2.001,1,IF(F14&gt;2.001,1))</f>
        <v>0</v>
      </c>
      <c r="L12" s="218" t="b">
        <f>IF(F13&gt;0.39,1,IF(F14&gt;0.39,1))</f>
        <v>0</v>
      </c>
      <c r="N12" s="218" t="b">
        <f>IF(B7="Single",IF(G6&lt;(1+(B13*0.56)),1))</f>
        <v>0</v>
      </c>
      <c r="O12" s="218" t="b">
        <f>IF(B7="Double",IF(G6&lt;(1.5+(B13*0.56)),1))</f>
        <v>0</v>
      </c>
      <c r="Q12" s="218" t="b">
        <f>IF(B7="Single",IF(G7&lt;(1+(B13*0.56)),1))</f>
        <v>0</v>
      </c>
      <c r="R12" s="218" t="b">
        <f>IF(B7="Double",IF(G7&lt;(1.5+(B13*0.56)),1))</f>
        <v>0</v>
      </c>
      <c r="S12" s="218"/>
      <c r="T12" s="218"/>
      <c r="U12" s="218"/>
      <c r="V12" s="218"/>
      <c r="W12" s="218"/>
      <c r="X12" s="218"/>
      <c r="Y12" s="218"/>
    </row>
    <row r="13" spans="1:25" ht="16.5" thickBot="1">
      <c r="A13" s="569" t="s">
        <v>9126</v>
      </c>
      <c r="B13" s="571">
        <f>IF(K15=1,3,B11-B12)*1000</f>
        <v>0</v>
      </c>
      <c r="C13" s="226" t="s">
        <v>9127</v>
      </c>
      <c r="D13" s="233"/>
      <c r="E13" s="233"/>
      <c r="F13" s="234">
        <f>D13-E13</f>
        <v>0</v>
      </c>
      <c r="G13" s="574"/>
      <c r="I13" s="218"/>
      <c r="J13" s="218"/>
      <c r="N13" s="218" t="b">
        <f>IF(B7="Single",IF(G6&lt;(1.5+(B13*0.56)),1))</f>
        <v>0</v>
      </c>
      <c r="O13" s="218" t="b">
        <f>IF(B7="Double",IF(G6&lt;(2+(B13*0.56)),1))</f>
        <v>0</v>
      </c>
      <c r="Q13" s="218" t="b">
        <f>IF(B7="Single",IF(G7&lt;(1.5+(B13*0.56)),1))</f>
        <v>0</v>
      </c>
      <c r="R13" s="218" t="b">
        <f>IF(B7="Double",IF(G7&lt;(2+(B13*0.56)),1))</f>
        <v>0</v>
      </c>
      <c r="S13" s="218"/>
      <c r="T13" s="218"/>
      <c r="U13" s="218"/>
      <c r="V13" s="218"/>
      <c r="W13" s="218"/>
      <c r="X13" s="218"/>
      <c r="Y13" s="218"/>
    </row>
    <row r="14" spans="1:25" ht="16.5" thickBot="1">
      <c r="A14" s="570"/>
      <c r="B14" s="572"/>
      <c r="C14" s="226" t="s">
        <v>9128</v>
      </c>
      <c r="D14" s="233"/>
      <c r="E14" s="233"/>
      <c r="F14" s="234">
        <f>D14-E14</f>
        <v>0</v>
      </c>
      <c r="G14" s="237"/>
      <c r="I14" s="218"/>
      <c r="J14" s="218"/>
      <c r="S14" s="218"/>
      <c r="T14" s="218"/>
      <c r="U14" s="218"/>
      <c r="V14" s="218"/>
      <c r="W14" s="218"/>
      <c r="X14" s="218"/>
      <c r="Y14" s="218"/>
    </row>
    <row r="15" spans="1:25" ht="20.25">
      <c r="A15" s="575" t="s">
        <v>9129</v>
      </c>
      <c r="B15" s="575"/>
      <c r="C15" s="575"/>
      <c r="D15" s="575"/>
      <c r="E15" s="575"/>
      <c r="F15" s="575"/>
      <c r="G15" s="575"/>
      <c r="I15" s="218"/>
      <c r="J15" s="218"/>
      <c r="K15" s="218" t="b">
        <f>IF(K11=1,1,IF(K12=1,1))</f>
        <v>0</v>
      </c>
      <c r="L15" s="218" t="b">
        <f>IF(L11=1,1,IF(L12=1,1))</f>
        <v>0</v>
      </c>
      <c r="S15" s="218"/>
      <c r="T15" s="218"/>
      <c r="U15" s="218"/>
      <c r="V15" s="218"/>
      <c r="W15" s="218"/>
      <c r="X15" s="218"/>
      <c r="Y15" s="218"/>
    </row>
    <row r="16" spans="1:25" ht="98.25" customHeight="1" thickBot="1">
      <c r="A16" s="576" t="s">
        <v>9130</v>
      </c>
      <c r="B16" s="577"/>
      <c r="C16" s="577"/>
      <c r="D16" s="577"/>
      <c r="E16" s="577"/>
      <c r="F16" s="577"/>
      <c r="G16" s="578"/>
      <c r="I16" s="218"/>
      <c r="J16" s="218"/>
      <c r="S16" s="218"/>
      <c r="T16" s="218"/>
      <c r="U16" s="218"/>
      <c r="V16" s="218"/>
      <c r="W16" s="218"/>
      <c r="X16" s="218"/>
      <c r="Y16" s="218"/>
    </row>
    <row r="17" spans="1:25" ht="15.75" hidden="1" customHeight="1" thickBot="1">
      <c r="A17" s="579" t="s">
        <v>9131</v>
      </c>
      <c r="B17" s="580"/>
      <c r="C17" s="580"/>
      <c r="D17" s="238" t="s">
        <v>250</v>
      </c>
      <c r="E17" s="239" t="s">
        <v>251</v>
      </c>
      <c r="F17" s="583"/>
      <c r="G17" s="584"/>
      <c r="I17" s="218"/>
      <c r="J17" s="218"/>
      <c r="S17" s="218"/>
      <c r="T17" s="218"/>
      <c r="U17" s="218"/>
      <c r="V17" s="218"/>
      <c r="W17" s="218"/>
      <c r="X17" s="218"/>
      <c r="Y17" s="218"/>
    </row>
    <row r="18" spans="1:25" ht="15" hidden="1" customHeight="1">
      <c r="A18" s="581"/>
      <c r="B18" s="582"/>
      <c r="C18" s="582"/>
      <c r="D18" s="240">
        <f>30*B6</f>
        <v>0</v>
      </c>
      <c r="E18" s="241">
        <f>30*B6</f>
        <v>0</v>
      </c>
      <c r="F18" s="585" t="s">
        <v>9132</v>
      </c>
      <c r="G18" s="586"/>
      <c r="I18" s="218"/>
      <c r="J18" s="218"/>
      <c r="S18" s="218"/>
      <c r="T18" s="218"/>
      <c r="U18" s="218"/>
      <c r="V18" s="218"/>
      <c r="W18" s="218"/>
      <c r="X18" s="218"/>
      <c r="Y18" s="218"/>
    </row>
    <row r="19" spans="1:25" ht="15" hidden="1" customHeight="1">
      <c r="A19" s="581"/>
      <c r="B19" s="582"/>
      <c r="C19" s="582"/>
      <c r="D19" s="240">
        <v>1659</v>
      </c>
      <c r="E19" s="241">
        <v>1659</v>
      </c>
      <c r="F19" s="585" t="s">
        <v>9133</v>
      </c>
      <c r="G19" s="586"/>
      <c r="I19" s="218"/>
      <c r="J19" s="218"/>
      <c r="S19" s="218"/>
      <c r="T19" s="218"/>
      <c r="U19" s="218"/>
      <c r="V19" s="218"/>
      <c r="W19" s="218"/>
      <c r="X19" s="218"/>
      <c r="Y19" s="218"/>
    </row>
    <row r="20" spans="1:25" ht="15" hidden="1" customHeight="1">
      <c r="A20" s="581"/>
      <c r="B20" s="582"/>
      <c r="C20" s="582"/>
      <c r="D20" s="240">
        <v>0</v>
      </c>
      <c r="E20" s="241">
        <v>0</v>
      </c>
      <c r="F20" s="541" t="s">
        <v>9134</v>
      </c>
      <c r="G20" s="542"/>
      <c r="I20" s="218"/>
      <c r="J20" s="218"/>
      <c r="S20" s="218"/>
      <c r="T20" s="218"/>
      <c r="U20" s="218"/>
      <c r="V20" s="218"/>
      <c r="W20" s="218"/>
      <c r="X20" s="218"/>
      <c r="Y20" s="218"/>
    </row>
    <row r="21" spans="1:25" ht="15" hidden="1" customHeight="1">
      <c r="A21" s="581"/>
      <c r="B21" s="582"/>
      <c r="C21" s="582"/>
      <c r="D21" s="240"/>
      <c r="E21" s="241"/>
      <c r="F21" s="541" t="s">
        <v>9135</v>
      </c>
      <c r="G21" s="542"/>
      <c r="I21" s="218"/>
      <c r="J21" s="244" t="s">
        <v>9112</v>
      </c>
      <c r="K21" s="245" t="s">
        <v>9136</v>
      </c>
      <c r="S21" s="218"/>
      <c r="T21" s="218"/>
      <c r="U21" s="218"/>
      <c r="V21" s="218"/>
      <c r="W21" s="218"/>
      <c r="X21" s="218"/>
      <c r="Y21" s="218"/>
    </row>
    <row r="22" spans="1:25" ht="15" hidden="1" customHeight="1">
      <c r="A22" s="581"/>
      <c r="B22" s="582"/>
      <c r="C22" s="582"/>
      <c r="D22" s="246" t="b">
        <f>IF(E7=J22,9750)</f>
        <v>0</v>
      </c>
      <c r="E22" s="246" t="b">
        <f>IF(E7=J22,9750)</f>
        <v>0</v>
      </c>
      <c r="F22" s="247"/>
      <c r="G22" s="247"/>
      <c r="I22" s="218"/>
      <c r="J22" s="248">
        <v>3023</v>
      </c>
      <c r="K22" s="248">
        <v>9750</v>
      </c>
      <c r="S22" s="218"/>
      <c r="T22" s="218"/>
      <c r="U22" s="218"/>
      <c r="V22" s="218"/>
      <c r="W22" s="218"/>
      <c r="X22" s="218"/>
      <c r="Y22" s="218"/>
    </row>
    <row r="23" spans="1:25" ht="15" hidden="1" customHeight="1">
      <c r="A23" s="581"/>
      <c r="B23" s="582"/>
      <c r="C23" s="582"/>
      <c r="D23" s="246" t="b">
        <f>IF(E7=J23,1500)</f>
        <v>0</v>
      </c>
      <c r="E23" s="246" t="b">
        <f>IF(E7=J23,1500)</f>
        <v>0</v>
      </c>
      <c r="F23" s="247"/>
      <c r="G23" s="247"/>
      <c r="I23" s="218"/>
      <c r="J23" s="248">
        <v>3024</v>
      </c>
      <c r="K23" s="248">
        <v>1500</v>
      </c>
      <c r="S23" s="218"/>
      <c r="T23" s="218"/>
      <c r="U23" s="218"/>
      <c r="V23" s="218"/>
      <c r="W23" s="218"/>
      <c r="X23" s="218"/>
      <c r="Y23" s="218"/>
    </row>
    <row r="24" spans="1:25" ht="15" hidden="1" customHeight="1">
      <c r="A24" s="581"/>
      <c r="B24" s="582"/>
      <c r="C24" s="582"/>
      <c r="D24" s="246" t="b">
        <f>IF(E7=J24,1500)</f>
        <v>0</v>
      </c>
      <c r="E24" s="246" t="b">
        <f>IF(E7=J24,1500)</f>
        <v>0</v>
      </c>
      <c r="F24" s="247"/>
      <c r="G24" s="247"/>
      <c r="I24" s="218"/>
      <c r="J24" s="248">
        <v>3027</v>
      </c>
      <c r="K24" s="248">
        <v>1500</v>
      </c>
      <c r="S24" s="218"/>
      <c r="T24" s="218"/>
      <c r="U24" s="218"/>
      <c r="V24" s="218"/>
      <c r="W24" s="218"/>
      <c r="X24" s="218"/>
      <c r="Y24" s="218"/>
    </row>
    <row r="25" spans="1:25" ht="15" hidden="1" customHeight="1">
      <c r="A25" s="581"/>
      <c r="B25" s="582"/>
      <c r="C25" s="582"/>
      <c r="D25" s="246" t="b">
        <f>IF(E7=J25,1500)</f>
        <v>0</v>
      </c>
      <c r="E25" s="246" t="b">
        <f>IF(E7=J25,1500)</f>
        <v>0</v>
      </c>
      <c r="F25" s="247"/>
      <c r="G25" s="247"/>
      <c r="I25" s="218"/>
      <c r="J25" s="248">
        <v>3029</v>
      </c>
      <c r="K25" s="248">
        <v>1500</v>
      </c>
      <c r="S25" s="218"/>
      <c r="T25" s="218"/>
      <c r="U25" s="218"/>
      <c r="V25" s="218"/>
      <c r="W25" s="218"/>
      <c r="X25" s="218"/>
      <c r="Y25" s="218"/>
    </row>
    <row r="26" spans="1:25" ht="15.75" hidden="1" customHeight="1">
      <c r="A26" s="581"/>
      <c r="B26" s="582"/>
      <c r="C26" s="582"/>
      <c r="D26" s="246" t="b">
        <f>IF(E7=J26,1500)</f>
        <v>0</v>
      </c>
      <c r="E26" s="246" t="b">
        <f>IF(E7=J26,1500)</f>
        <v>0</v>
      </c>
      <c r="F26" s="247"/>
      <c r="G26" s="247"/>
      <c r="I26" s="218"/>
      <c r="J26" s="248">
        <v>3030</v>
      </c>
      <c r="K26" s="248">
        <v>1500</v>
      </c>
      <c r="S26" s="218"/>
      <c r="T26" s="218"/>
      <c r="U26" s="218"/>
      <c r="V26" s="218"/>
      <c r="W26" s="218"/>
      <c r="X26" s="218"/>
      <c r="Y26" s="218"/>
    </row>
    <row r="27" spans="1:25" hidden="1">
      <c r="A27" s="581"/>
      <c r="B27" s="582"/>
      <c r="C27" s="582"/>
      <c r="D27" s="246" t="b">
        <f>IF(E7=J27,9750)</f>
        <v>0</v>
      </c>
      <c r="E27" s="246" t="b">
        <f>IF(E7=J27,9750)</f>
        <v>0</v>
      </c>
      <c r="F27" s="247"/>
      <c r="G27" s="247"/>
      <c r="I27" s="218"/>
      <c r="J27" s="248">
        <v>3037</v>
      </c>
      <c r="K27" s="248">
        <v>9750</v>
      </c>
      <c r="S27" s="218"/>
      <c r="T27" s="218"/>
      <c r="U27" s="218"/>
      <c r="V27" s="218"/>
      <c r="W27" s="218"/>
      <c r="X27" s="218"/>
      <c r="Y27" s="218"/>
    </row>
    <row r="28" spans="1:25" hidden="1">
      <c r="A28" s="581"/>
      <c r="B28" s="582"/>
      <c r="C28" s="582"/>
      <c r="D28" s="246" t="b">
        <f>IF(E7=J28,9750)</f>
        <v>0</v>
      </c>
      <c r="E28" s="246" t="b">
        <f>IF(E7=J28,9750)</f>
        <v>0</v>
      </c>
      <c r="F28" s="247"/>
      <c r="G28" s="247"/>
      <c r="I28" s="218"/>
      <c r="J28" s="248">
        <v>3038</v>
      </c>
      <c r="K28" s="248">
        <v>9750</v>
      </c>
      <c r="S28" s="218"/>
      <c r="T28" s="218"/>
      <c r="U28" s="218"/>
      <c r="V28" s="218"/>
      <c r="W28" s="218"/>
      <c r="X28" s="218"/>
      <c r="Y28" s="218"/>
    </row>
    <row r="29" spans="1:25" hidden="1">
      <c r="A29" s="581"/>
      <c r="B29" s="582"/>
      <c r="C29" s="582"/>
      <c r="D29" s="246" t="b">
        <f>IF(E7=J29,9750)</f>
        <v>0</v>
      </c>
      <c r="E29" s="246" t="b">
        <f>IF(E7=J29,9750)</f>
        <v>0</v>
      </c>
      <c r="F29" s="247"/>
      <c r="G29" s="247"/>
      <c r="I29" s="218"/>
      <c r="J29" s="248">
        <v>3041</v>
      </c>
      <c r="K29" s="248">
        <v>9750</v>
      </c>
      <c r="S29" s="218"/>
      <c r="T29" s="218"/>
      <c r="U29" s="218"/>
      <c r="V29" s="218"/>
      <c r="W29" s="218"/>
      <c r="X29" s="218"/>
      <c r="Y29" s="218"/>
    </row>
    <row r="30" spans="1:25" hidden="1">
      <c r="A30" s="581"/>
      <c r="B30" s="582"/>
      <c r="C30" s="582"/>
      <c r="D30" s="246" t="b">
        <f>IF(E7=J30,9750)</f>
        <v>0</v>
      </c>
      <c r="E30" s="246" t="b">
        <f>IF(E7=J30,9750)</f>
        <v>0</v>
      </c>
      <c r="F30" s="247"/>
      <c r="G30" s="247"/>
      <c r="I30" s="218"/>
      <c r="J30" s="248">
        <v>3059</v>
      </c>
      <c r="K30" s="248">
        <v>9750</v>
      </c>
      <c r="S30" s="218"/>
      <c r="T30" s="218"/>
      <c r="U30" s="218"/>
      <c r="V30" s="218"/>
      <c r="W30" s="218"/>
      <c r="X30" s="218"/>
      <c r="Y30" s="218"/>
    </row>
    <row r="31" spans="1:25" hidden="1">
      <c r="A31" s="581"/>
      <c r="B31" s="582"/>
      <c r="C31" s="582"/>
      <c r="D31" s="246" t="b">
        <f>IF(E7=J31,9750)</f>
        <v>0</v>
      </c>
      <c r="E31" s="246" t="b">
        <f>IF(E7=J31,9750)</f>
        <v>0</v>
      </c>
      <c r="F31" s="247"/>
      <c r="G31" s="247"/>
      <c r="I31" s="218"/>
      <c r="J31" s="248">
        <v>3064</v>
      </c>
      <c r="K31" s="248">
        <v>9750</v>
      </c>
      <c r="S31" s="218"/>
      <c r="T31" s="218"/>
      <c r="U31" s="218"/>
      <c r="V31" s="218"/>
      <c r="W31" s="218"/>
      <c r="X31" s="218"/>
      <c r="Y31" s="218"/>
    </row>
    <row r="32" spans="1:25" hidden="1">
      <c r="A32" s="581"/>
      <c r="B32" s="582"/>
      <c r="C32" s="582"/>
      <c r="D32" s="246" t="b">
        <f>IF(E7=J32,9750)</f>
        <v>0</v>
      </c>
      <c r="E32" s="246" t="b">
        <f>IF(E7=J32,9750)</f>
        <v>0</v>
      </c>
      <c r="F32" s="247"/>
      <c r="G32" s="247"/>
      <c r="I32" s="218"/>
      <c r="J32" s="248">
        <v>3075</v>
      </c>
      <c r="K32" s="248">
        <v>9750</v>
      </c>
      <c r="S32" s="218"/>
      <c r="T32" s="218"/>
      <c r="U32" s="218"/>
      <c r="V32" s="218"/>
      <c r="W32" s="218"/>
      <c r="X32" s="218"/>
      <c r="Y32" s="218"/>
    </row>
    <row r="33" spans="1:25" hidden="1">
      <c r="A33" s="581"/>
      <c r="B33" s="582"/>
      <c r="C33" s="582"/>
      <c r="D33" s="246" t="b">
        <f>IF(E7=J33,9750)</f>
        <v>0</v>
      </c>
      <c r="E33" s="246" t="b">
        <f>IF(E7=J33,9750)</f>
        <v>0</v>
      </c>
      <c r="F33" s="247"/>
      <c r="G33" s="247"/>
      <c r="I33" s="218"/>
      <c r="J33" s="248">
        <v>3076</v>
      </c>
      <c r="K33" s="248">
        <v>9750</v>
      </c>
      <c r="S33" s="218"/>
      <c r="T33" s="218"/>
      <c r="U33" s="218"/>
      <c r="V33" s="218"/>
      <c r="W33" s="218"/>
      <c r="X33" s="218"/>
      <c r="Y33" s="218"/>
    </row>
    <row r="34" spans="1:25" hidden="1">
      <c r="A34" s="581"/>
      <c r="B34" s="582"/>
      <c r="C34" s="582"/>
      <c r="D34" s="246" t="b">
        <f>IF(E7=J34,0)</f>
        <v>0</v>
      </c>
      <c r="E34" s="246" t="b">
        <f>IF(E7=J34,0)</f>
        <v>0</v>
      </c>
      <c r="F34" s="247"/>
      <c r="G34" s="247"/>
      <c r="I34" s="218"/>
      <c r="J34" s="248">
        <v>3089</v>
      </c>
      <c r="K34" s="248">
        <v>0</v>
      </c>
      <c r="S34" s="218"/>
      <c r="T34" s="218"/>
      <c r="U34" s="218"/>
      <c r="V34" s="218"/>
      <c r="W34" s="218"/>
      <c r="X34" s="218"/>
      <c r="Y34" s="218"/>
    </row>
    <row r="35" spans="1:25" hidden="1">
      <c r="A35" s="581"/>
      <c r="B35" s="582"/>
      <c r="C35" s="582"/>
      <c r="D35" s="246" t="b">
        <f>IF(E7=J35,0)</f>
        <v>0</v>
      </c>
      <c r="E35" s="246" t="b">
        <f>IF(E7=J35,0)</f>
        <v>0</v>
      </c>
      <c r="F35" s="247"/>
      <c r="G35" s="247"/>
      <c r="I35" s="218"/>
      <c r="J35" s="248">
        <v>3116</v>
      </c>
      <c r="K35" s="248">
        <v>0</v>
      </c>
      <c r="S35" s="218"/>
      <c r="T35" s="218"/>
      <c r="U35" s="218"/>
      <c r="V35" s="218"/>
      <c r="W35" s="218"/>
      <c r="X35" s="218"/>
      <c r="Y35" s="218"/>
    </row>
    <row r="36" spans="1:25" hidden="1">
      <c r="A36" s="581"/>
      <c r="B36" s="582"/>
      <c r="C36" s="582"/>
      <c r="D36" s="246" t="b">
        <f>IF(E7=J36,0)</f>
        <v>0</v>
      </c>
      <c r="E36" s="246" t="b">
        <f>IF(E7=J36,0)</f>
        <v>0</v>
      </c>
      <c r="F36" s="247"/>
      <c r="G36" s="247"/>
      <c r="I36" s="218"/>
      <c r="J36" s="248">
        <v>3134</v>
      </c>
      <c r="K36" s="248">
        <v>0</v>
      </c>
      <c r="S36" s="218"/>
      <c r="T36" s="218"/>
      <c r="U36" s="218"/>
      <c r="V36" s="218"/>
      <c r="W36" s="218"/>
      <c r="X36" s="218"/>
      <c r="Y36" s="218"/>
    </row>
    <row r="37" spans="1:25" hidden="1">
      <c r="A37" s="581"/>
      <c r="B37" s="582"/>
      <c r="C37" s="582"/>
      <c r="D37" s="246" t="b">
        <f>IF(E7=J37,0)</f>
        <v>0</v>
      </c>
      <c r="E37" s="246" t="b">
        <f>IF(E7=J37,0)</f>
        <v>0</v>
      </c>
      <c r="F37" s="247"/>
      <c r="G37" s="247"/>
      <c r="I37" s="218"/>
      <c r="J37" s="248">
        <v>3152</v>
      </c>
      <c r="K37" s="248">
        <v>2000</v>
      </c>
      <c r="S37" s="218"/>
      <c r="T37" s="218"/>
      <c r="U37" s="218"/>
      <c r="V37" s="218"/>
      <c r="W37" s="218"/>
      <c r="X37" s="218"/>
      <c r="Y37" s="218"/>
    </row>
    <row r="38" spans="1:25" hidden="1">
      <c r="A38" s="581"/>
      <c r="B38" s="582"/>
      <c r="C38" s="582"/>
      <c r="D38" s="246" t="b">
        <f>IF(E7=J38,0)</f>
        <v>0</v>
      </c>
      <c r="E38" s="246" t="b">
        <f>IF(E7=J38,0)</f>
        <v>0</v>
      </c>
      <c r="F38" s="247"/>
      <c r="G38" s="247"/>
      <c r="I38" s="218"/>
      <c r="J38" s="248">
        <v>3212</v>
      </c>
      <c r="K38" s="248">
        <v>0</v>
      </c>
      <c r="S38" s="218"/>
      <c r="T38" s="218"/>
      <c r="U38" s="218"/>
      <c r="V38" s="218"/>
      <c r="W38" s="218"/>
      <c r="X38" s="218"/>
      <c r="Y38" s="218"/>
    </row>
    <row r="39" spans="1:25" hidden="1">
      <c r="A39" s="581"/>
      <c r="B39" s="582"/>
      <c r="C39" s="582"/>
      <c r="D39" s="246" t="b">
        <f>IF(E7=J39,0)</f>
        <v>0</v>
      </c>
      <c r="E39" s="246" t="b">
        <f>IF(E7=J39,0)</f>
        <v>0</v>
      </c>
      <c r="F39" s="247"/>
      <c r="G39" s="247"/>
      <c r="I39" s="218"/>
      <c r="J39" s="248">
        <v>3216</v>
      </c>
      <c r="K39" s="248">
        <v>0</v>
      </c>
      <c r="S39" s="218"/>
      <c r="T39" s="218"/>
      <c r="U39" s="218"/>
      <c r="V39" s="218"/>
      <c r="W39" s="218"/>
      <c r="X39" s="218"/>
      <c r="Y39" s="218"/>
    </row>
    <row r="40" spans="1:25" hidden="1">
      <c r="A40" s="581"/>
      <c r="B40" s="582"/>
      <c r="C40" s="582"/>
      <c r="D40" s="246" t="b">
        <f>IF(E7=J40,0)</f>
        <v>0</v>
      </c>
      <c r="E40" s="246" t="b">
        <f>IF(E7=J40,0)</f>
        <v>0</v>
      </c>
      <c r="F40" s="247"/>
      <c r="G40" s="247"/>
      <c r="I40" s="218"/>
      <c r="J40" s="248">
        <v>3217</v>
      </c>
      <c r="K40" s="248">
        <v>0</v>
      </c>
      <c r="S40" s="218"/>
      <c r="T40" s="218"/>
      <c r="U40" s="218"/>
      <c r="V40" s="218"/>
      <c r="W40" s="218"/>
      <c r="X40" s="218"/>
      <c r="Y40" s="218"/>
    </row>
    <row r="41" spans="1:25" hidden="1">
      <c r="A41" s="581"/>
      <c r="B41" s="582"/>
      <c r="C41" s="582"/>
      <c r="D41" s="246" t="b">
        <f>IF(E7=J41,0)</f>
        <v>0</v>
      </c>
      <c r="E41" s="246" t="b">
        <f>IF(E7=J41,0)</f>
        <v>0</v>
      </c>
      <c r="F41" s="247"/>
      <c r="G41" s="247"/>
      <c r="I41" s="218"/>
      <c r="J41" s="248">
        <v>3170</v>
      </c>
      <c r="K41" s="248">
        <v>0</v>
      </c>
      <c r="S41" s="218"/>
      <c r="T41" s="218"/>
      <c r="U41" s="218"/>
      <c r="V41" s="218"/>
      <c r="W41" s="218"/>
      <c r="X41" s="218"/>
      <c r="Y41" s="218"/>
    </row>
    <row r="42" spans="1:25" hidden="1">
      <c r="A42" s="581"/>
      <c r="B42" s="582"/>
      <c r="C42" s="582"/>
      <c r="D42" s="246" t="b">
        <f>IF(E7=J42,1500)</f>
        <v>0</v>
      </c>
      <c r="E42" s="246" t="b">
        <f>IF(E7=J42,1500)</f>
        <v>0</v>
      </c>
      <c r="F42" s="247"/>
      <c r="G42" s="247"/>
      <c r="I42" s="218"/>
      <c r="J42" s="249">
        <v>3220</v>
      </c>
      <c r="K42" s="248">
        <v>1500</v>
      </c>
      <c r="S42" s="218"/>
      <c r="T42" s="218"/>
      <c r="U42" s="218"/>
      <c r="V42" s="218"/>
      <c r="W42" s="218"/>
      <c r="X42" s="218"/>
      <c r="Y42" s="218"/>
    </row>
    <row r="43" spans="1:25" hidden="1">
      <c r="A43" s="581"/>
      <c r="B43" s="582"/>
      <c r="C43" s="582"/>
      <c r="D43" s="246" t="b">
        <f>IF(E7=J43,0)</f>
        <v>0</v>
      </c>
      <c r="E43" s="246" t="b">
        <f>IF(E7=J43,0)</f>
        <v>0</v>
      </c>
      <c r="F43" s="247"/>
      <c r="G43" s="247"/>
      <c r="I43" s="218"/>
      <c r="J43" s="248">
        <v>3221</v>
      </c>
      <c r="K43" s="248">
        <v>0</v>
      </c>
      <c r="S43" s="218"/>
      <c r="T43" s="218"/>
      <c r="U43" s="218"/>
      <c r="V43" s="218"/>
      <c r="W43" s="218"/>
      <c r="X43" s="218"/>
      <c r="Y43" s="218"/>
    </row>
    <row r="44" spans="1:25" hidden="1">
      <c r="A44" s="581"/>
      <c r="B44" s="582"/>
      <c r="C44" s="582"/>
      <c r="D44" s="246" t="b">
        <f>IF(E7=J44,0)</f>
        <v>0</v>
      </c>
      <c r="E44" s="246" t="b">
        <f>IF(E7=J44,0)</f>
        <v>0</v>
      </c>
      <c r="F44" s="247"/>
      <c r="G44" s="247"/>
      <c r="I44" s="218"/>
      <c r="J44" s="248">
        <v>3222</v>
      </c>
      <c r="K44" s="248">
        <v>0</v>
      </c>
      <c r="S44" s="218"/>
      <c r="T44" s="218"/>
      <c r="U44" s="218"/>
      <c r="V44" s="218"/>
      <c r="W44" s="218"/>
      <c r="X44" s="218"/>
      <c r="Y44" s="218"/>
    </row>
    <row r="45" spans="1:25" hidden="1">
      <c r="A45" s="581"/>
      <c r="B45" s="582"/>
      <c r="C45" s="582"/>
      <c r="D45" s="246" t="b">
        <f>IF(E7=J45,0)</f>
        <v>0</v>
      </c>
      <c r="E45" s="246" t="b">
        <f>IF(E7=J45,0)</f>
        <v>0</v>
      </c>
      <c r="F45" s="247"/>
      <c r="G45" s="247"/>
      <c r="I45" s="218"/>
      <c r="J45" s="248">
        <v>3223</v>
      </c>
      <c r="K45" s="248">
        <v>0</v>
      </c>
      <c r="S45" s="218"/>
      <c r="T45" s="218"/>
      <c r="U45" s="218"/>
      <c r="V45" s="218"/>
      <c r="W45" s="218"/>
      <c r="X45" s="218"/>
      <c r="Y45" s="218"/>
    </row>
    <row r="46" spans="1:25" hidden="1">
      <c r="A46" s="581"/>
      <c r="B46" s="582"/>
      <c r="C46" s="582"/>
      <c r="D46" s="246" t="b">
        <f>IF(E7=J46,0)</f>
        <v>0</v>
      </c>
      <c r="E46" s="246" t="b">
        <f>IF(E7=J46,0)</f>
        <v>0</v>
      </c>
      <c r="F46" s="247"/>
      <c r="G46" s="247"/>
      <c r="I46" s="218"/>
      <c r="J46" s="248">
        <v>3224</v>
      </c>
      <c r="K46" s="248">
        <v>0</v>
      </c>
      <c r="S46" s="218"/>
      <c r="T46" s="218"/>
      <c r="U46" s="218"/>
      <c r="V46" s="218"/>
      <c r="W46" s="218"/>
      <c r="X46" s="218"/>
      <c r="Y46" s="218"/>
    </row>
    <row r="47" spans="1:25" hidden="1">
      <c r="A47" s="581"/>
      <c r="B47" s="582"/>
      <c r="C47" s="582"/>
      <c r="D47" s="246" t="b">
        <f>IF(E7=J47,0)</f>
        <v>0</v>
      </c>
      <c r="E47" s="246" t="b">
        <f>IF(E7=J47,0)</f>
        <v>0</v>
      </c>
      <c r="F47" s="247"/>
      <c r="G47" s="247"/>
      <c r="I47" s="218"/>
      <c r="J47" s="248">
        <v>3225</v>
      </c>
      <c r="K47" s="248">
        <v>0</v>
      </c>
      <c r="S47" s="218"/>
      <c r="T47" s="218"/>
      <c r="U47" s="218"/>
      <c r="V47" s="218"/>
      <c r="W47" s="218"/>
      <c r="X47" s="218"/>
      <c r="Y47" s="218"/>
    </row>
    <row r="48" spans="1:25" hidden="1">
      <c r="A48" s="581"/>
      <c r="B48" s="582"/>
      <c r="C48" s="582"/>
      <c r="D48" s="246" t="b">
        <f>IF(E7=J48,0)</f>
        <v>0</v>
      </c>
      <c r="E48" s="246" t="b">
        <f>IF(E7=J48,0)</f>
        <v>0</v>
      </c>
      <c r="F48" s="247"/>
      <c r="G48" s="247"/>
      <c r="I48" s="218"/>
      <c r="J48" s="248">
        <v>3226</v>
      </c>
      <c r="K48" s="248">
        <v>0</v>
      </c>
      <c r="S48" s="218"/>
      <c r="T48" s="218"/>
      <c r="U48" s="218"/>
      <c r="V48" s="218"/>
      <c r="W48" s="218"/>
      <c r="X48" s="218"/>
      <c r="Y48" s="218"/>
    </row>
    <row r="49" spans="1:25" hidden="1">
      <c r="A49" s="581"/>
      <c r="B49" s="582"/>
      <c r="C49" s="582"/>
      <c r="D49" s="246" t="b">
        <f>IF(E7=J49,0)</f>
        <v>0</v>
      </c>
      <c r="E49" s="246" t="b">
        <f>IF(E7=J49,0)</f>
        <v>0</v>
      </c>
      <c r="F49" s="247"/>
      <c r="G49" s="247"/>
      <c r="I49" s="218"/>
      <c r="J49" s="248">
        <v>3228</v>
      </c>
      <c r="K49" s="248">
        <v>0</v>
      </c>
      <c r="S49" s="218"/>
      <c r="T49" s="218"/>
      <c r="U49" s="218"/>
      <c r="V49" s="218"/>
      <c r="W49" s="218"/>
      <c r="X49" s="218"/>
      <c r="Y49" s="218"/>
    </row>
    <row r="50" spans="1:25" hidden="1">
      <c r="A50" s="581"/>
      <c r="B50" s="582"/>
      <c r="C50" s="582"/>
      <c r="D50" s="246" t="b">
        <f>IF(E7=J50,1500)</f>
        <v>0</v>
      </c>
      <c r="E50" s="246" t="b">
        <f>IF(E7=J50,1500)</f>
        <v>0</v>
      </c>
      <c r="F50" s="247"/>
      <c r="G50" s="247"/>
      <c r="I50" s="218"/>
      <c r="J50" s="248">
        <v>3331</v>
      </c>
      <c r="K50" s="248">
        <v>1500</v>
      </c>
      <c r="S50" s="218"/>
      <c r="T50" s="218"/>
      <c r="U50" s="218"/>
      <c r="V50" s="218"/>
      <c r="W50" s="218"/>
      <c r="X50" s="218"/>
      <c r="Y50" s="218"/>
    </row>
    <row r="51" spans="1:25" hidden="1">
      <c r="A51" s="581"/>
      <c r="B51" s="582"/>
      <c r="C51" s="582"/>
      <c r="D51" s="246" t="b">
        <f>IF(E7=J51,3750)</f>
        <v>0</v>
      </c>
      <c r="E51" s="246" t="b">
        <f>IF(E7=J51,3750)</f>
        <v>0</v>
      </c>
      <c r="F51" s="247"/>
      <c r="G51" s="247"/>
      <c r="I51" s="218"/>
      <c r="J51" s="248">
        <v>3335</v>
      </c>
      <c r="K51" s="248">
        <v>3750</v>
      </c>
      <c r="S51" s="218"/>
      <c r="T51" s="218"/>
      <c r="U51" s="218"/>
      <c r="V51" s="218"/>
      <c r="W51" s="218"/>
      <c r="X51" s="218"/>
      <c r="Y51" s="218"/>
    </row>
    <row r="52" spans="1:25" hidden="1">
      <c r="A52" s="581"/>
      <c r="B52" s="582"/>
      <c r="C52" s="582"/>
      <c r="D52" s="246" t="b">
        <f>IF(E7=J52,3750)</f>
        <v>0</v>
      </c>
      <c r="E52" s="246" t="b">
        <f>IF(E7=J52,3750)</f>
        <v>0</v>
      </c>
      <c r="F52" s="247"/>
      <c r="G52" s="247"/>
      <c r="I52" s="218"/>
      <c r="J52" s="248">
        <v>3336</v>
      </c>
      <c r="K52" s="248">
        <v>3750</v>
      </c>
      <c r="S52" s="218"/>
      <c r="T52" s="218"/>
      <c r="U52" s="218"/>
      <c r="V52" s="218"/>
      <c r="W52" s="218"/>
      <c r="X52" s="218"/>
      <c r="Y52" s="218"/>
    </row>
    <row r="53" spans="1:25" hidden="1">
      <c r="A53" s="581"/>
      <c r="B53" s="582"/>
      <c r="C53" s="582"/>
      <c r="D53" s="246" t="b">
        <f>IF(E7=J53,3750)</f>
        <v>0</v>
      </c>
      <c r="E53" s="246" t="b">
        <f>IF(E7=J53,3750)</f>
        <v>0</v>
      </c>
      <c r="F53" s="247"/>
      <c r="G53" s="247"/>
      <c r="I53" s="218"/>
      <c r="J53" s="248">
        <v>3337</v>
      </c>
      <c r="K53" s="248">
        <v>3750</v>
      </c>
      <c r="S53" s="218"/>
      <c r="T53" s="218"/>
      <c r="U53" s="218"/>
      <c r="V53" s="218"/>
      <c r="W53" s="218"/>
      <c r="X53" s="218"/>
      <c r="Y53" s="218"/>
    </row>
    <row r="54" spans="1:25" hidden="1">
      <c r="A54" s="581"/>
      <c r="B54" s="582"/>
      <c r="C54" s="582"/>
      <c r="D54" s="246" t="b">
        <f>IF(E7=J54,3750)</f>
        <v>0</v>
      </c>
      <c r="E54" s="246" t="b">
        <f>IF(E7=J54,3750)</f>
        <v>0</v>
      </c>
      <c r="F54" s="247"/>
      <c r="G54" s="247"/>
      <c r="I54" s="218"/>
      <c r="J54" s="248">
        <v>3338</v>
      </c>
      <c r="K54" s="248">
        <v>3750</v>
      </c>
      <c r="S54" s="218"/>
      <c r="T54" s="218"/>
      <c r="U54" s="218"/>
      <c r="V54" s="218"/>
      <c r="W54" s="218"/>
      <c r="X54" s="218"/>
      <c r="Y54" s="218"/>
    </row>
    <row r="55" spans="1:25" hidden="1">
      <c r="A55" s="581"/>
      <c r="B55" s="582"/>
      <c r="C55" s="582"/>
      <c r="D55" s="246" t="b">
        <f>IF(E7=J55,1500)</f>
        <v>0</v>
      </c>
      <c r="E55" s="246" t="b">
        <f>IF(E7=J55,1500)</f>
        <v>0</v>
      </c>
      <c r="F55" s="247"/>
      <c r="G55" s="247"/>
      <c r="I55" s="218"/>
      <c r="J55" s="248">
        <v>3340</v>
      </c>
      <c r="K55" s="248">
        <v>1500</v>
      </c>
      <c r="S55" s="218"/>
      <c r="T55" s="218"/>
      <c r="U55" s="218"/>
      <c r="V55" s="218"/>
      <c r="W55" s="218"/>
      <c r="X55" s="218"/>
      <c r="Y55" s="218"/>
    </row>
    <row r="56" spans="1:25" hidden="1">
      <c r="A56" s="581"/>
      <c r="B56" s="582"/>
      <c r="C56" s="582"/>
      <c r="D56" s="246" t="b">
        <f>IF(E7=J56,3750)</f>
        <v>0</v>
      </c>
      <c r="E56" s="246" t="b">
        <f>IF(E7=J56,3750)</f>
        <v>0</v>
      </c>
      <c r="F56" s="247"/>
      <c r="G56" s="247"/>
      <c r="I56" s="218"/>
      <c r="J56" s="248">
        <v>3427</v>
      </c>
      <c r="K56" s="248">
        <v>3750</v>
      </c>
      <c r="S56" s="218"/>
      <c r="T56" s="218"/>
      <c r="U56" s="218"/>
      <c r="V56" s="218"/>
      <c r="W56" s="218"/>
      <c r="X56" s="218"/>
      <c r="Y56" s="218"/>
    </row>
    <row r="57" spans="1:25" hidden="1">
      <c r="A57" s="581"/>
      <c r="B57" s="582"/>
      <c r="C57" s="582"/>
      <c r="D57" s="246" t="b">
        <f>IF(E7=J57,9750)</f>
        <v>0</v>
      </c>
      <c r="E57" s="246" t="b">
        <f>IF(E7=J57,9750)</f>
        <v>0</v>
      </c>
      <c r="F57" s="247"/>
      <c r="G57" s="247"/>
      <c r="I57" s="218"/>
      <c r="J57" s="248">
        <v>3429</v>
      </c>
      <c r="K57" s="248">
        <v>9750</v>
      </c>
      <c r="S57" s="218"/>
      <c r="T57" s="218"/>
      <c r="U57" s="218"/>
      <c r="V57" s="218"/>
      <c r="W57" s="218"/>
      <c r="X57" s="218"/>
      <c r="Y57" s="218"/>
    </row>
    <row r="58" spans="1:25" hidden="1">
      <c r="A58" s="581"/>
      <c r="B58" s="582"/>
      <c r="C58" s="582"/>
      <c r="D58" s="246" t="b">
        <f>IF(E7=J58,1500)</f>
        <v>0</v>
      </c>
      <c r="E58" s="246" t="b">
        <f>IF(E7=J58,1500)</f>
        <v>0</v>
      </c>
      <c r="F58" s="247"/>
      <c r="G58" s="247"/>
      <c r="I58" s="218"/>
      <c r="J58" s="248">
        <v>3431</v>
      </c>
      <c r="K58" s="248">
        <v>1500</v>
      </c>
      <c r="S58" s="218"/>
      <c r="T58" s="218"/>
      <c r="U58" s="218"/>
      <c r="V58" s="218"/>
      <c r="W58" s="218"/>
      <c r="X58" s="218"/>
      <c r="Y58" s="218"/>
    </row>
    <row r="59" spans="1:25" hidden="1">
      <c r="A59" s="581"/>
      <c r="B59" s="582"/>
      <c r="C59" s="582"/>
      <c r="D59" s="246" t="b">
        <f>IF(E7=J59,3750)</f>
        <v>0</v>
      </c>
      <c r="E59" s="246" t="b">
        <f>IF(E7=J59,3750)</f>
        <v>0</v>
      </c>
      <c r="F59" s="247"/>
      <c r="G59" s="247"/>
      <c r="I59" s="218"/>
      <c r="J59" s="248">
        <v>3434</v>
      </c>
      <c r="K59" s="248">
        <v>1500</v>
      </c>
      <c r="S59" s="218"/>
      <c r="T59" s="218"/>
      <c r="U59" s="218"/>
      <c r="V59" s="218"/>
      <c r="W59" s="218"/>
      <c r="X59" s="218"/>
      <c r="Y59" s="218"/>
    </row>
    <row r="60" spans="1:25" hidden="1">
      <c r="A60" s="581"/>
      <c r="B60" s="582"/>
      <c r="C60" s="582"/>
      <c r="D60" s="246" t="b">
        <f>IF(E7=J60,1500)</f>
        <v>0</v>
      </c>
      <c r="E60" s="246" t="b">
        <f>IF(E7=J60,1500)</f>
        <v>0</v>
      </c>
      <c r="F60" s="247"/>
      <c r="G60" s="247"/>
      <c r="I60" s="218"/>
      <c r="J60" s="248">
        <v>3437</v>
      </c>
      <c r="K60" s="248">
        <v>1500</v>
      </c>
      <c r="S60" s="218"/>
      <c r="T60" s="218"/>
      <c r="U60" s="218"/>
      <c r="V60" s="218"/>
      <c r="W60" s="218"/>
      <c r="X60" s="218"/>
      <c r="Y60" s="218"/>
    </row>
    <row r="61" spans="1:25" hidden="1">
      <c r="A61" s="581"/>
      <c r="B61" s="582"/>
      <c r="C61" s="582"/>
      <c r="D61" s="246" t="b">
        <f>IF(E7=J61,1500)</f>
        <v>0</v>
      </c>
      <c r="E61" s="246" t="b">
        <f>IF(E7=J61,1500)</f>
        <v>0</v>
      </c>
      <c r="F61" s="247"/>
      <c r="G61" s="247"/>
      <c r="I61" s="218"/>
      <c r="J61" s="248">
        <v>3438</v>
      </c>
      <c r="K61" s="248">
        <v>1500</v>
      </c>
      <c r="S61" s="218"/>
      <c r="T61" s="218"/>
      <c r="U61" s="218"/>
      <c r="V61" s="218"/>
      <c r="W61" s="218"/>
      <c r="X61" s="218"/>
      <c r="Y61" s="218"/>
    </row>
    <row r="62" spans="1:25" hidden="1">
      <c r="A62" s="581"/>
      <c r="B62" s="582"/>
      <c r="C62" s="582"/>
      <c r="D62" s="246" t="b">
        <f>IF(E7=J62,0)</f>
        <v>0</v>
      </c>
      <c r="E62" s="246" t="b">
        <f>IF(E7=J62,0)</f>
        <v>0</v>
      </c>
      <c r="F62" s="247"/>
      <c r="G62" s="247"/>
      <c r="I62" s="218"/>
      <c r="J62" s="248">
        <v>3620</v>
      </c>
      <c r="K62" s="248">
        <v>2000</v>
      </c>
      <c r="S62" s="218"/>
      <c r="T62" s="218"/>
      <c r="U62" s="218"/>
      <c r="V62" s="218"/>
      <c r="W62" s="218"/>
      <c r="X62" s="218"/>
      <c r="Y62" s="218"/>
    </row>
    <row r="63" spans="1:25" hidden="1">
      <c r="A63" s="581"/>
      <c r="B63" s="582"/>
      <c r="C63" s="582"/>
      <c r="D63" s="246" t="b">
        <f>IF(E7=J63,9750)</f>
        <v>0</v>
      </c>
      <c r="E63" s="246" t="b">
        <f>IF(E7=J63,9750)</f>
        <v>0</v>
      </c>
      <c r="F63" s="247"/>
      <c r="G63" s="247"/>
      <c r="I63" s="218"/>
      <c r="J63" s="248">
        <v>3750</v>
      </c>
      <c r="K63" s="248">
        <v>9750</v>
      </c>
      <c r="S63" s="218"/>
      <c r="T63" s="218"/>
      <c r="U63" s="218"/>
      <c r="V63" s="218"/>
      <c r="W63" s="218"/>
      <c r="X63" s="218"/>
      <c r="Y63" s="218"/>
    </row>
    <row r="64" spans="1:25" hidden="1">
      <c r="A64" s="581"/>
      <c r="B64" s="582"/>
      <c r="C64" s="582"/>
      <c r="D64" s="246" t="b">
        <f>IF(E7=J64,0)</f>
        <v>0</v>
      </c>
      <c r="E64" s="246" t="b">
        <f>IF(E7=J64,0)</f>
        <v>0</v>
      </c>
      <c r="F64" s="247"/>
      <c r="G64" s="247"/>
      <c r="I64" s="218"/>
      <c r="J64" s="248">
        <v>3752</v>
      </c>
      <c r="K64" s="248">
        <v>2000</v>
      </c>
      <c r="S64" s="218"/>
      <c r="T64" s="218"/>
      <c r="U64" s="218"/>
      <c r="V64" s="218"/>
      <c r="W64" s="218"/>
      <c r="X64" s="218"/>
      <c r="Y64" s="218"/>
    </row>
    <row r="65" spans="1:25" hidden="1">
      <c r="A65" s="581"/>
      <c r="B65" s="582"/>
      <c r="C65" s="582"/>
      <c r="D65" s="246" t="b">
        <f>IF(E7=J65,1500)</f>
        <v>0</v>
      </c>
      <c r="E65" s="246" t="b">
        <f>IF(E7=J65,1500)</f>
        <v>0</v>
      </c>
      <c r="F65" s="247"/>
      <c r="G65" s="247"/>
      <c r="I65" s="218"/>
      <c r="J65" s="248">
        <v>3753</v>
      </c>
      <c r="K65" s="248">
        <v>1500</v>
      </c>
      <c r="S65" s="218"/>
      <c r="T65" s="218"/>
      <c r="U65" s="218"/>
      <c r="V65" s="218"/>
      <c r="W65" s="218"/>
      <c r="X65" s="218"/>
      <c r="Y65" s="218"/>
    </row>
    <row r="66" spans="1:25" hidden="1">
      <c r="A66" s="581"/>
      <c r="B66" s="582"/>
      <c r="C66" s="582"/>
      <c r="D66" s="246" t="b">
        <f>IF(E7=J66,3750)</f>
        <v>0</v>
      </c>
      <c r="E66" s="246" t="b">
        <f>IF(E7=J66,3750)</f>
        <v>0</v>
      </c>
      <c r="F66" s="247"/>
      <c r="G66" s="247"/>
      <c r="I66" s="218"/>
      <c r="J66" s="248">
        <v>3754</v>
      </c>
      <c r="K66" s="248">
        <v>3750</v>
      </c>
      <c r="S66" s="218"/>
      <c r="T66" s="218"/>
      <c r="U66" s="218"/>
      <c r="V66" s="218"/>
      <c r="W66" s="218"/>
      <c r="X66" s="218"/>
      <c r="Y66" s="218"/>
    </row>
    <row r="67" spans="1:25" hidden="1">
      <c r="A67" s="581"/>
      <c r="B67" s="582"/>
      <c r="C67" s="582"/>
      <c r="D67" s="246" t="b">
        <f>IF(E7=J67,0)</f>
        <v>0</v>
      </c>
      <c r="E67" s="246" t="b">
        <f>IF(E7=J67,0)</f>
        <v>0</v>
      </c>
      <c r="F67" s="247"/>
      <c r="G67" s="247"/>
      <c r="I67" s="218"/>
      <c r="J67" s="248">
        <v>3756</v>
      </c>
      <c r="K67" s="248">
        <v>0</v>
      </c>
      <c r="S67" s="218"/>
      <c r="T67" s="218"/>
      <c r="U67" s="218"/>
      <c r="V67" s="218"/>
      <c r="W67" s="218"/>
      <c r="X67" s="218"/>
      <c r="Y67" s="218"/>
    </row>
    <row r="68" spans="1:25" hidden="1">
      <c r="A68" s="581"/>
      <c r="B68" s="582"/>
      <c r="C68" s="582"/>
      <c r="D68" s="246" t="b">
        <f>IF(E7=J68,1500)</f>
        <v>0</v>
      </c>
      <c r="E68" s="246" t="b">
        <f>IF(E7=J68,1500)</f>
        <v>0</v>
      </c>
      <c r="F68" s="247"/>
      <c r="G68" s="247"/>
      <c r="I68" s="218"/>
      <c r="J68" s="248">
        <v>3764</v>
      </c>
      <c r="K68" s="248">
        <v>1500</v>
      </c>
      <c r="S68" s="218"/>
      <c r="T68" s="218"/>
      <c r="U68" s="218"/>
      <c r="V68" s="218"/>
      <c r="W68" s="218"/>
      <c r="X68" s="218"/>
      <c r="Y68" s="218"/>
    </row>
    <row r="69" spans="1:25" hidden="1">
      <c r="A69" s="581"/>
      <c r="B69" s="582"/>
      <c r="C69" s="582"/>
      <c r="D69" s="246" t="b">
        <f>IF(E7=J69,2000)</f>
        <v>0</v>
      </c>
      <c r="E69" s="246" t="b">
        <f>IF(E7=J69,2000)</f>
        <v>0</v>
      </c>
      <c r="F69" s="247"/>
      <c r="G69" s="247"/>
      <c r="I69" s="218"/>
      <c r="J69" s="248">
        <v>3806</v>
      </c>
      <c r="K69" s="248">
        <v>2000</v>
      </c>
      <c r="S69" s="218"/>
      <c r="T69" s="218"/>
      <c r="U69" s="218"/>
      <c r="V69" s="218"/>
      <c r="W69" s="218"/>
      <c r="X69" s="218"/>
      <c r="Y69" s="218"/>
    </row>
    <row r="70" spans="1:25" hidden="1">
      <c r="A70" s="581"/>
      <c r="B70" s="582"/>
      <c r="C70" s="582"/>
      <c r="D70" s="246" t="b">
        <f>IF(E7=J70,2000)</f>
        <v>0</v>
      </c>
      <c r="E70" s="246" t="b">
        <f>IF(E7=J70,2000)</f>
        <v>0</v>
      </c>
      <c r="F70" s="247"/>
      <c r="G70" s="247"/>
      <c r="I70" s="218"/>
      <c r="J70" s="248">
        <v>3809</v>
      </c>
      <c r="K70" s="248">
        <v>2000</v>
      </c>
      <c r="S70" s="218"/>
      <c r="T70" s="218"/>
      <c r="U70" s="218"/>
      <c r="V70" s="218"/>
      <c r="W70" s="218"/>
      <c r="X70" s="218"/>
      <c r="Y70" s="218"/>
    </row>
    <row r="71" spans="1:25" hidden="1">
      <c r="A71" s="581"/>
      <c r="B71" s="582"/>
      <c r="C71" s="582"/>
      <c r="D71" s="246" t="b">
        <f>IF(E7=J71,2000)</f>
        <v>0</v>
      </c>
      <c r="E71" s="246" t="b">
        <f>IF(E7=J71,2000)</f>
        <v>0</v>
      </c>
      <c r="F71" s="247"/>
      <c r="G71" s="247"/>
      <c r="I71" s="218"/>
      <c r="J71" s="248">
        <v>3810</v>
      </c>
      <c r="K71" s="248">
        <v>2000</v>
      </c>
      <c r="S71" s="218"/>
      <c r="T71" s="218"/>
      <c r="U71" s="218"/>
      <c r="V71" s="218"/>
      <c r="W71" s="218"/>
      <c r="X71" s="218"/>
      <c r="Y71" s="218"/>
    </row>
    <row r="72" spans="1:25" hidden="1">
      <c r="A72" s="581"/>
      <c r="B72" s="582"/>
      <c r="C72" s="582"/>
      <c r="D72" s="246" t="b">
        <f>IF(E7=J72,2000)</f>
        <v>0</v>
      </c>
      <c r="E72" s="246" t="b">
        <f>IF(E7=J72,2000)</f>
        <v>0</v>
      </c>
      <c r="F72" s="247"/>
      <c r="G72" s="247"/>
      <c r="I72" s="218"/>
      <c r="J72" s="248">
        <v>3818</v>
      </c>
      <c r="K72" s="248">
        <v>2000</v>
      </c>
      <c r="S72" s="218"/>
      <c r="T72" s="218"/>
      <c r="U72" s="218"/>
      <c r="V72" s="218"/>
      <c r="W72" s="218"/>
      <c r="X72" s="218"/>
      <c r="Y72" s="218"/>
    </row>
    <row r="73" spans="1:25" hidden="1">
      <c r="A73" s="581"/>
      <c r="B73" s="582"/>
      <c r="C73" s="582"/>
      <c r="D73" s="246" t="b">
        <f>IF(E7=J73,0)</f>
        <v>0</v>
      </c>
      <c r="E73" s="246" t="b">
        <f>IF(E7=J73,0)</f>
        <v>0</v>
      </c>
      <c r="F73" s="247"/>
      <c r="G73" s="247"/>
      <c r="I73" s="218"/>
      <c r="J73" s="248">
        <v>3822</v>
      </c>
      <c r="K73" s="248">
        <v>0</v>
      </c>
      <c r="S73" s="218"/>
      <c r="T73" s="218"/>
      <c r="U73" s="218"/>
      <c r="V73" s="218"/>
      <c r="W73" s="218"/>
      <c r="X73" s="218"/>
      <c r="Y73" s="218"/>
    </row>
    <row r="74" spans="1:25" hidden="1">
      <c r="A74" s="581"/>
      <c r="B74" s="582"/>
      <c r="C74" s="582"/>
      <c r="D74" s="246" t="b">
        <f>IF(E7=J74,4000)</f>
        <v>0</v>
      </c>
      <c r="E74" s="246" t="b">
        <f>IF(E7=J74,4000)</f>
        <v>0</v>
      </c>
      <c r="F74" s="242"/>
      <c r="G74" s="242"/>
      <c r="I74" s="218"/>
      <c r="J74" s="248">
        <v>3977</v>
      </c>
      <c r="K74" s="248">
        <v>4000</v>
      </c>
      <c r="S74" s="218"/>
      <c r="T74" s="218"/>
      <c r="U74" s="218"/>
      <c r="V74" s="218"/>
      <c r="W74" s="218"/>
      <c r="X74" s="218"/>
      <c r="Y74" s="218"/>
    </row>
    <row r="75" spans="1:25" hidden="1">
      <c r="A75" s="581"/>
      <c r="B75" s="582"/>
      <c r="C75" s="582"/>
      <c r="D75" s="250" t="b">
        <f>IF(E7=J75,2000)</f>
        <v>0</v>
      </c>
      <c r="E75" s="250" t="b">
        <f>IF(E7=J75,2000)</f>
        <v>0</v>
      </c>
      <c r="F75" s="242"/>
      <c r="G75" s="242"/>
      <c r="I75" s="218"/>
      <c r="J75" s="248">
        <v>3978</v>
      </c>
      <c r="K75" s="248">
        <v>2000</v>
      </c>
      <c r="S75" s="218"/>
      <c r="T75" s="218"/>
      <c r="U75" s="218"/>
      <c r="V75" s="218"/>
      <c r="W75" s="218"/>
      <c r="X75" s="218"/>
      <c r="Y75" s="218"/>
    </row>
    <row r="76" spans="1:25" hidden="1">
      <c r="A76" s="581"/>
      <c r="B76" s="582"/>
      <c r="C76" s="582"/>
      <c r="D76" s="250" t="b">
        <f>IF(E7=J76,0)</f>
        <v>0</v>
      </c>
      <c r="E76" s="250" t="b">
        <f>IF(E7=J76,0)</f>
        <v>0</v>
      </c>
      <c r="F76" s="242"/>
      <c r="G76" s="242"/>
      <c r="I76" s="218"/>
      <c r="J76" s="248">
        <v>3435</v>
      </c>
      <c r="K76" s="248">
        <v>0</v>
      </c>
      <c r="S76" s="218"/>
      <c r="T76" s="218"/>
      <c r="U76" s="218"/>
      <c r="V76" s="218"/>
      <c r="W76" s="218"/>
      <c r="X76" s="218"/>
      <c r="Y76" s="218"/>
    </row>
    <row r="77" spans="1:25" hidden="1">
      <c r="A77" s="581"/>
      <c r="B77" s="582"/>
      <c r="C77" s="582"/>
      <c r="D77" s="250" t="b">
        <f>IF(E7=J77,0)</f>
        <v>0</v>
      </c>
      <c r="E77" s="250" t="b">
        <f>IF(E7=J77,0)</f>
        <v>0</v>
      </c>
      <c r="F77" s="242"/>
      <c r="G77" s="242"/>
      <c r="I77" s="218"/>
      <c r="J77" s="248">
        <v>3140</v>
      </c>
      <c r="K77" s="248">
        <v>0</v>
      </c>
      <c r="S77" s="218"/>
      <c r="T77" s="218"/>
      <c r="U77" s="218"/>
      <c r="V77" s="218"/>
      <c r="W77" s="218"/>
      <c r="X77" s="218"/>
      <c r="Y77" s="218"/>
    </row>
    <row r="78" spans="1:25" hidden="1">
      <c r="A78" s="581"/>
      <c r="B78" s="582"/>
      <c r="C78" s="582"/>
      <c r="D78" s="250" t="b">
        <f>IF(E7=J78,2000)</f>
        <v>0</v>
      </c>
      <c r="E78" s="250" t="b">
        <f>IF(E7=J78,2000)</f>
        <v>0</v>
      </c>
      <c r="F78" s="242"/>
      <c r="G78" s="242"/>
      <c r="I78" s="218"/>
      <c r="J78" s="248">
        <v>3350</v>
      </c>
      <c r="K78" s="248">
        <v>2000</v>
      </c>
      <c r="S78" s="218"/>
      <c r="T78" s="218"/>
      <c r="U78" s="218"/>
      <c r="V78" s="218"/>
      <c r="W78" s="218"/>
      <c r="X78" s="218"/>
      <c r="Y78" s="218"/>
    </row>
    <row r="79" spans="1:25" hidden="1">
      <c r="A79" s="581"/>
      <c r="B79" s="582"/>
      <c r="C79" s="582"/>
      <c r="D79" s="240"/>
      <c r="E79" s="241"/>
      <c r="F79" s="541" t="s">
        <v>9137</v>
      </c>
      <c r="G79" s="542"/>
      <c r="I79" s="218"/>
      <c r="K79" s="83"/>
      <c r="S79" s="218"/>
      <c r="T79" s="218"/>
      <c r="U79" s="218"/>
      <c r="V79" s="218"/>
      <c r="W79" s="218"/>
      <c r="X79" s="218"/>
      <c r="Y79" s="218"/>
    </row>
    <row r="80" spans="1:25" hidden="1">
      <c r="A80" s="581"/>
      <c r="B80" s="582"/>
      <c r="C80" s="582"/>
      <c r="D80" s="240" t="b">
        <f>IF(G14="Y",5400)</f>
        <v>0</v>
      </c>
      <c r="E80" s="241" t="b">
        <f>IF(G14="Y",9000)</f>
        <v>0</v>
      </c>
      <c r="F80" s="242" t="s">
        <v>9138</v>
      </c>
      <c r="G80" s="243"/>
      <c r="I80" s="218"/>
      <c r="K80" s="83"/>
      <c r="S80" s="218"/>
      <c r="T80" s="218"/>
      <c r="U80" s="218"/>
      <c r="V80" s="218"/>
      <c r="W80" s="218"/>
      <c r="X80" s="218"/>
      <c r="Y80" s="218"/>
    </row>
    <row r="81" spans="1:25" hidden="1">
      <c r="A81" s="581"/>
      <c r="B81" s="582"/>
      <c r="C81" s="582"/>
      <c r="D81" s="240">
        <v>1915</v>
      </c>
      <c r="E81" s="241">
        <v>1915</v>
      </c>
      <c r="F81" s="541" t="s">
        <v>9139</v>
      </c>
      <c r="G81" s="542"/>
      <c r="I81" s="218"/>
      <c r="K81" s="83"/>
      <c r="S81" s="218"/>
      <c r="T81" s="218"/>
      <c r="U81" s="218"/>
      <c r="V81" s="218"/>
      <c r="W81" s="218"/>
      <c r="X81" s="218"/>
      <c r="Y81" s="218"/>
    </row>
    <row r="82" spans="1:25" hidden="1">
      <c r="A82" s="581"/>
      <c r="B82" s="582"/>
      <c r="C82" s="582"/>
      <c r="D82" s="240">
        <v>2535</v>
      </c>
      <c r="E82" s="241">
        <v>2535</v>
      </c>
      <c r="F82" s="539" t="s">
        <v>9140</v>
      </c>
      <c r="G82" s="540"/>
      <c r="I82" s="218"/>
      <c r="J82" s="218"/>
      <c r="S82" s="218"/>
      <c r="T82" s="218"/>
      <c r="U82" s="218"/>
      <c r="V82" s="218"/>
      <c r="W82" s="218"/>
      <c r="X82" s="218"/>
      <c r="Y82" s="218"/>
    </row>
    <row r="83" spans="1:25" hidden="1">
      <c r="A83" s="581"/>
      <c r="B83" s="582"/>
      <c r="C83" s="582"/>
      <c r="D83" s="240">
        <v>1700</v>
      </c>
      <c r="E83" s="241">
        <v>1700</v>
      </c>
      <c r="F83" s="541" t="s">
        <v>9141</v>
      </c>
      <c r="G83" s="542"/>
      <c r="I83" s="218"/>
      <c r="J83" s="218"/>
      <c r="S83" s="218"/>
      <c r="T83" s="218"/>
      <c r="U83" s="218"/>
      <c r="V83" s="218"/>
      <c r="W83" s="218"/>
      <c r="X83" s="218"/>
      <c r="Y83" s="218"/>
    </row>
    <row r="84" spans="1:25" ht="20.25">
      <c r="A84" s="503" t="s">
        <v>9142</v>
      </c>
      <c r="B84" s="503"/>
      <c r="C84" s="503"/>
      <c r="D84" s="503"/>
      <c r="E84" s="503"/>
      <c r="F84" s="503"/>
      <c r="G84" s="503"/>
      <c r="I84" s="218"/>
      <c r="J84" s="218"/>
      <c r="S84" s="218"/>
      <c r="T84" s="218"/>
      <c r="U84" s="218"/>
      <c r="V84" s="218"/>
      <c r="W84" s="218"/>
      <c r="X84" s="218"/>
      <c r="Y84" s="218"/>
    </row>
    <row r="85" spans="1:25" ht="15" customHeight="1">
      <c r="A85" s="565"/>
      <c r="B85" s="566"/>
      <c r="C85" s="566"/>
      <c r="D85" s="554" t="s">
        <v>9143</v>
      </c>
      <c r="E85" s="554" t="s">
        <v>9144</v>
      </c>
      <c r="F85" s="558" t="s">
        <v>9145</v>
      </c>
      <c r="G85" s="559"/>
      <c r="I85" s="218"/>
      <c r="J85" s="543" t="s">
        <v>250</v>
      </c>
      <c r="K85" s="543" t="s">
        <v>251</v>
      </c>
      <c r="S85" s="218"/>
      <c r="T85" s="218"/>
      <c r="U85" s="218"/>
      <c r="V85" s="218"/>
      <c r="W85" s="218"/>
      <c r="X85" s="218"/>
      <c r="Y85" s="218"/>
    </row>
    <row r="86" spans="1:25" ht="43.5" customHeight="1" thickBot="1">
      <c r="A86" s="567"/>
      <c r="B86" s="568"/>
      <c r="C86" s="568"/>
      <c r="D86" s="555"/>
      <c r="E86" s="555"/>
      <c r="F86" s="558"/>
      <c r="G86" s="559"/>
      <c r="I86" s="218"/>
      <c r="J86" s="543"/>
      <c r="K86" s="543"/>
      <c r="L86" s="252" t="s">
        <v>9146</v>
      </c>
      <c r="M86" s="252" t="s">
        <v>9147</v>
      </c>
      <c r="N86" s="252" t="s">
        <v>9148</v>
      </c>
      <c r="O86" s="252" t="s">
        <v>9149</v>
      </c>
      <c r="P86" s="252" t="s">
        <v>9150</v>
      </c>
      <c r="Q86" s="252" t="s">
        <v>9151</v>
      </c>
      <c r="R86" s="252" t="s">
        <v>9152</v>
      </c>
      <c r="S86" s="252" t="s">
        <v>9153</v>
      </c>
      <c r="T86" s="253"/>
      <c r="U86" s="218"/>
      <c r="V86" s="218"/>
      <c r="W86" s="218"/>
      <c r="X86" s="218"/>
      <c r="Y86" s="218"/>
    </row>
    <row r="87" spans="1:25" ht="15.75" hidden="1" customHeight="1" thickBot="1">
      <c r="A87" s="556" t="s">
        <v>9154</v>
      </c>
      <c r="B87" s="557"/>
      <c r="C87" s="254" t="b">
        <f>IF((0.6*B13)&gt;0.3,1)</f>
        <v>0</v>
      </c>
      <c r="D87" s="250">
        <f>C87*J87</f>
        <v>0</v>
      </c>
      <c r="E87" s="250">
        <f>C87*K87</f>
        <v>0</v>
      </c>
      <c r="F87" s="558"/>
      <c r="G87" s="559"/>
      <c r="H87" s="255"/>
      <c r="I87" s="218"/>
      <c r="J87" s="256">
        <f>IF(B6&lt;191,L87,IF(B6&lt;249,N87,IF(B6&lt;299.01,P87,IF(B6&gt;299.02,R87))))</f>
        <v>1761</v>
      </c>
      <c r="K87" s="256">
        <f>IF(B6&lt;191,M87,IF(B6&lt;249,O87,IF(B6&lt;299.01,Q87,IF(B6&gt;299.02,S87))))</f>
        <v>1761</v>
      </c>
      <c r="L87" s="257">
        <v>1761</v>
      </c>
      <c r="M87" s="257">
        <v>1761</v>
      </c>
      <c r="N87" s="257">
        <v>1761</v>
      </c>
      <c r="O87" s="257">
        <v>1761</v>
      </c>
      <c r="P87" s="257">
        <v>2054</v>
      </c>
      <c r="Q87" s="257">
        <v>1954</v>
      </c>
      <c r="R87" s="257">
        <v>2800</v>
      </c>
      <c r="S87" s="257">
        <v>2000</v>
      </c>
      <c r="T87" s="257"/>
      <c r="U87" s="218"/>
      <c r="V87" s="218"/>
      <c r="W87" s="218"/>
      <c r="X87" s="218"/>
      <c r="Y87" s="218"/>
    </row>
    <row r="88" spans="1:25" ht="15.75" hidden="1" customHeight="1" thickBot="1">
      <c r="A88" s="515" t="s">
        <v>9155</v>
      </c>
      <c r="B88" s="516"/>
      <c r="C88" s="254" t="b">
        <f>IF(L15=1,1,IF(G11="Y",1))</f>
        <v>0</v>
      </c>
      <c r="D88" s="250">
        <f t="shared" ref="D88:D92" si="0">C88*J88</f>
        <v>0</v>
      </c>
      <c r="E88" s="250">
        <f t="shared" ref="E88:E92" si="1">C88*K88</f>
        <v>0</v>
      </c>
      <c r="F88" s="558"/>
      <c r="G88" s="559"/>
      <c r="I88" s="218"/>
      <c r="J88" s="256">
        <f>IF(B6&lt;191,L88,IF(B6&lt;249,N88,IF(B6&lt;299.01,P88,IF(B6&gt;299.02,R88))))</f>
        <v>3276</v>
      </c>
      <c r="K88" s="256">
        <f>IF(B6&lt;191,M88,IF(B6&lt;249,O88,IF(B6&lt;299.01,Q88,IF(B6&gt;299.02,S88))))</f>
        <v>1814</v>
      </c>
      <c r="L88" s="257">
        <v>3276</v>
      </c>
      <c r="M88" s="257">
        <v>1814</v>
      </c>
      <c r="N88" s="257">
        <v>3776</v>
      </c>
      <c r="O88" s="257">
        <v>3110</v>
      </c>
      <c r="P88" s="257">
        <v>5443</v>
      </c>
      <c r="Q88" s="257">
        <v>4665</v>
      </c>
      <c r="R88" s="257">
        <v>6000</v>
      </c>
      <c r="S88" s="257">
        <v>5000</v>
      </c>
      <c r="T88" s="257"/>
      <c r="U88" s="218"/>
      <c r="V88" s="218"/>
      <c r="W88" s="218"/>
      <c r="X88" s="218"/>
      <c r="Y88" s="218"/>
    </row>
    <row r="89" spans="1:25" ht="15.75" hidden="1" customHeight="1" thickBot="1">
      <c r="A89" s="513" t="s">
        <v>9156</v>
      </c>
      <c r="B89" s="514"/>
      <c r="C89" s="254">
        <f>IF(G5=0,0,G5-E5&lt;1.1)</f>
        <v>0</v>
      </c>
      <c r="D89" s="250">
        <f t="shared" si="0"/>
        <v>0</v>
      </c>
      <c r="E89" s="250">
        <f t="shared" si="1"/>
        <v>0</v>
      </c>
      <c r="F89" s="558"/>
      <c r="G89" s="559"/>
      <c r="I89" s="218"/>
      <c r="J89" s="256">
        <v>3000</v>
      </c>
      <c r="K89" s="256">
        <v>3000</v>
      </c>
      <c r="L89" s="257"/>
      <c r="M89" s="257"/>
      <c r="N89" s="257"/>
      <c r="O89" s="257"/>
      <c r="P89" s="257"/>
      <c r="Q89" s="257"/>
      <c r="R89" s="257"/>
      <c r="S89" s="257"/>
      <c r="T89" s="257"/>
      <c r="U89" s="218"/>
      <c r="V89" s="218"/>
      <c r="W89" s="218"/>
      <c r="X89" s="218"/>
      <c r="Y89" s="218"/>
    </row>
    <row r="90" spans="1:25" ht="15.75" hidden="1" customHeight="1" thickBot="1">
      <c r="A90" s="515" t="s">
        <v>9157</v>
      </c>
      <c r="B90" s="518"/>
      <c r="C90" s="254" t="b">
        <f>IF(N11=1,1,IF(O11=1,1))</f>
        <v>0</v>
      </c>
      <c r="D90" s="250">
        <f t="shared" si="0"/>
        <v>0</v>
      </c>
      <c r="E90" s="250">
        <f t="shared" si="1"/>
        <v>0</v>
      </c>
      <c r="F90" s="558"/>
      <c r="G90" s="559"/>
      <c r="I90" s="218"/>
      <c r="J90" s="256">
        <f>IF(B6&lt;191,L90,IF(B6&lt;249,N90,IF(B6&lt;299.01,P90,IF(B6&gt;299.02,R90))))</f>
        <v>3500</v>
      </c>
      <c r="K90" s="256">
        <f>IF(B6&lt;191,M90,IF(B6&lt;249,O90,IF(B6&lt;299.01,Q90,IF(B6&gt;299.02,S90))))</f>
        <v>2750</v>
      </c>
      <c r="L90" s="257">
        <v>3500</v>
      </c>
      <c r="M90" s="257">
        <v>2750</v>
      </c>
      <c r="N90" s="257">
        <v>3700</v>
      </c>
      <c r="O90" s="257">
        <v>3200</v>
      </c>
      <c r="P90" s="257">
        <v>4000</v>
      </c>
      <c r="Q90" s="257">
        <v>3250</v>
      </c>
      <c r="R90" s="257">
        <v>5500</v>
      </c>
      <c r="S90" s="257">
        <v>4000</v>
      </c>
      <c r="T90" s="257"/>
      <c r="U90" s="218"/>
      <c r="V90" s="218"/>
      <c r="W90" s="218"/>
      <c r="X90" s="218"/>
      <c r="Y90" s="218"/>
    </row>
    <row r="91" spans="1:25" ht="15.75" hidden="1" customHeight="1" thickBot="1">
      <c r="A91" s="515" t="s">
        <v>9158</v>
      </c>
      <c r="B91" s="518"/>
      <c r="C91" s="254" t="b">
        <f>IF(Q11=1,1,IF(R11=1,1))</f>
        <v>0</v>
      </c>
      <c r="D91" s="250">
        <f t="shared" si="0"/>
        <v>0</v>
      </c>
      <c r="E91" s="250">
        <f t="shared" si="1"/>
        <v>0</v>
      </c>
      <c r="F91" s="558"/>
      <c r="G91" s="559"/>
      <c r="I91" s="218"/>
      <c r="J91" s="256">
        <f>IF(B6&lt;191,L91,IF(B6&lt;249,N91,IF(B6&lt;299.01,P91,IF(B6&gt;299.02,R91))))</f>
        <v>3500</v>
      </c>
      <c r="K91" s="256">
        <f>IF(B6&lt;191,M91,IF(B6&lt;249,O91,IF(B6&lt;299.01,Q91,IF(B6&gt;299.02,S91))))</f>
        <v>2750</v>
      </c>
      <c r="L91" s="257">
        <v>3500</v>
      </c>
      <c r="M91" s="257">
        <v>2750</v>
      </c>
      <c r="N91" s="257">
        <v>3700</v>
      </c>
      <c r="O91" s="257">
        <v>3200</v>
      </c>
      <c r="P91" s="257">
        <v>4000</v>
      </c>
      <c r="Q91" s="257">
        <v>3250</v>
      </c>
      <c r="R91" s="257">
        <v>5500</v>
      </c>
      <c r="S91" s="257">
        <v>4000</v>
      </c>
      <c r="T91" s="257"/>
      <c r="U91" s="218"/>
      <c r="V91" s="218"/>
      <c r="W91" s="218"/>
      <c r="X91" s="218"/>
      <c r="Y91" s="218"/>
    </row>
    <row r="92" spans="1:25" ht="15.75" hidden="1" customHeight="1" thickBot="1">
      <c r="A92" s="517" t="s">
        <v>9159</v>
      </c>
      <c r="B92" s="518"/>
      <c r="C92" s="254" t="b">
        <f>IF(E6&gt;650, 1)</f>
        <v>0</v>
      </c>
      <c r="D92" s="250">
        <f t="shared" si="0"/>
        <v>0</v>
      </c>
      <c r="E92" s="250">
        <f t="shared" si="1"/>
        <v>0</v>
      </c>
      <c r="F92" s="558"/>
      <c r="G92" s="559"/>
      <c r="I92" s="218"/>
      <c r="J92" s="256" t="b">
        <f>IF(G5&gt;6,(G5-6)*97)</f>
        <v>0</v>
      </c>
      <c r="K92" s="256" t="b">
        <f>IF(G5&gt;6,(G5-6)*97)</f>
        <v>0</v>
      </c>
      <c r="L92" s="257"/>
      <c r="M92" s="257"/>
      <c r="N92" s="257"/>
      <c r="O92" s="257"/>
      <c r="P92" s="257"/>
      <c r="Q92" s="257"/>
      <c r="R92" s="257"/>
      <c r="S92" s="257"/>
      <c r="T92" s="257"/>
      <c r="U92" s="218"/>
      <c r="V92" s="218"/>
      <c r="W92" s="218"/>
      <c r="X92" s="218"/>
      <c r="Y92" s="218"/>
    </row>
    <row r="93" spans="1:25" ht="15.75" hidden="1" customHeight="1" thickBot="1">
      <c r="A93" s="513" t="s">
        <v>9160</v>
      </c>
      <c r="B93" s="514"/>
      <c r="C93" s="254" t="b">
        <f>IF(G11="Y",1)</f>
        <v>0</v>
      </c>
      <c r="D93" s="250">
        <f>C93*J93</f>
        <v>0</v>
      </c>
      <c r="E93" s="250">
        <f>C93*K93</f>
        <v>0</v>
      </c>
      <c r="F93" s="558"/>
      <c r="G93" s="559"/>
      <c r="I93" s="218"/>
      <c r="J93" s="256">
        <f>B6*12</f>
        <v>0</v>
      </c>
      <c r="K93" s="256">
        <f>B6*12</f>
        <v>0</v>
      </c>
      <c r="L93" s="257"/>
      <c r="M93" s="257"/>
      <c r="N93" s="257"/>
      <c r="O93" s="257"/>
      <c r="P93" s="257"/>
      <c r="Q93" s="257"/>
      <c r="R93" s="257"/>
      <c r="S93" s="257"/>
      <c r="T93" s="257"/>
      <c r="U93" s="218"/>
      <c r="V93" s="218"/>
      <c r="W93" s="218"/>
      <c r="X93" s="218"/>
      <c r="Y93" s="218"/>
    </row>
    <row r="94" spans="1:25" ht="15.75" hidden="1" customHeight="1" thickBot="1">
      <c r="A94" s="513" t="s">
        <v>9161</v>
      </c>
      <c r="B94" s="514"/>
      <c r="C94" s="254" t="b">
        <f>IF(E4="Elegance",G4&lt;0.21)</f>
        <v>0</v>
      </c>
      <c r="D94" s="250">
        <f>C94*J94</f>
        <v>0</v>
      </c>
      <c r="E94" s="250">
        <f>C94*K94</f>
        <v>0</v>
      </c>
      <c r="F94" s="558"/>
      <c r="G94" s="559"/>
      <c r="I94" s="218"/>
      <c r="J94" s="256">
        <f>IF(B6&lt;191,L94,IF(B6&lt;249,N94,IF(B6&lt;299.01,P94,IF(B6&gt;299.02,R94))))</f>
        <v>1118</v>
      </c>
      <c r="K94" s="256">
        <f>IF(B6&lt;191,M94,IF(B6&lt;249,O94,IF(B6&lt;299.01,Q94,IF(B6&gt;299.02,S94))))</f>
        <v>1118</v>
      </c>
      <c r="L94" s="257">
        <v>1118</v>
      </c>
      <c r="M94" s="257">
        <v>1118</v>
      </c>
      <c r="N94" s="257">
        <v>1376</v>
      </c>
      <c r="O94" s="257">
        <v>1275</v>
      </c>
      <c r="P94" s="257">
        <v>2419</v>
      </c>
      <c r="Q94" s="257">
        <v>2219</v>
      </c>
      <c r="R94" s="257">
        <v>2780</v>
      </c>
      <c r="S94" s="257">
        <v>2510</v>
      </c>
      <c r="T94" s="257"/>
      <c r="U94" s="218"/>
      <c r="V94" s="218"/>
      <c r="W94" s="218"/>
      <c r="X94" s="218"/>
      <c r="Y94" s="218"/>
    </row>
    <row r="95" spans="1:25" ht="23.25">
      <c r="A95" s="560" t="s">
        <v>9162</v>
      </c>
      <c r="B95" s="561"/>
      <c r="C95" s="562"/>
      <c r="D95" s="258" t="str">
        <f>IF(AND(B7="Single",B13&gt;0,B13&lt;=1000),SUM(D17:D83,D87:D94),"")</f>
        <v/>
      </c>
      <c r="E95" s="258" t="str">
        <f>IF(AND(B7="Double",B13&gt;0,B13&lt;=1000),SUM(E18:E83,E87:E94),"")</f>
        <v/>
      </c>
      <c r="F95" s="558"/>
      <c r="G95" s="559"/>
      <c r="I95" s="218"/>
      <c r="J95" s="218"/>
      <c r="L95" s="257"/>
      <c r="M95" s="257"/>
      <c r="N95" s="257"/>
      <c r="O95" s="257"/>
      <c r="P95" s="257"/>
      <c r="Q95" s="257"/>
      <c r="R95" s="257"/>
      <c r="S95" s="257"/>
      <c r="T95" s="257"/>
      <c r="U95" s="218"/>
      <c r="V95" s="218"/>
      <c r="W95" s="218"/>
      <c r="X95" s="218"/>
      <c r="Y95" s="218"/>
    </row>
    <row r="96" spans="1:25" ht="20.25">
      <c r="A96" s="503" t="s">
        <v>9163</v>
      </c>
      <c r="B96" s="503"/>
      <c r="C96" s="503"/>
      <c r="D96" s="503"/>
      <c r="E96" s="503"/>
      <c r="F96" s="503"/>
      <c r="G96" s="503"/>
      <c r="I96" s="218"/>
      <c r="J96" s="218"/>
      <c r="L96" s="257"/>
      <c r="M96" s="257"/>
      <c r="N96" s="257"/>
      <c r="O96" s="257"/>
      <c r="P96" s="257"/>
      <c r="Q96" s="257"/>
      <c r="R96" s="257"/>
      <c r="S96" s="257"/>
      <c r="T96" s="257"/>
      <c r="U96" s="218"/>
      <c r="V96" s="218"/>
      <c r="W96" s="218"/>
      <c r="X96" s="218"/>
      <c r="Y96" s="218"/>
    </row>
    <row r="97" spans="1:25" ht="15" customHeight="1">
      <c r="A97" s="550"/>
      <c r="B97" s="551"/>
      <c r="C97" s="551"/>
      <c r="D97" s="544" t="s">
        <v>9143</v>
      </c>
      <c r="E97" s="544" t="s">
        <v>9144</v>
      </c>
      <c r="F97" s="504" t="s">
        <v>9164</v>
      </c>
      <c r="G97" s="504"/>
      <c r="I97" s="218"/>
      <c r="J97" s="543" t="s">
        <v>250</v>
      </c>
      <c r="K97" s="543" t="s">
        <v>251</v>
      </c>
      <c r="L97" s="257"/>
      <c r="M97" s="257"/>
      <c r="N97" s="257"/>
      <c r="O97" s="257"/>
      <c r="P97" s="257"/>
      <c r="Q97" s="257"/>
      <c r="R97" s="257"/>
      <c r="S97" s="257"/>
      <c r="T97" s="257"/>
      <c r="U97" s="218"/>
      <c r="V97" s="218"/>
      <c r="W97" s="218"/>
      <c r="X97" s="218"/>
      <c r="Y97" s="218"/>
    </row>
    <row r="98" spans="1:25" ht="35.25" customHeight="1" thickBot="1">
      <c r="A98" s="552"/>
      <c r="B98" s="553"/>
      <c r="C98" s="553"/>
      <c r="D98" s="545"/>
      <c r="E98" s="545"/>
      <c r="F98" s="504"/>
      <c r="G98" s="504"/>
      <c r="H98" s="546"/>
      <c r="I98" s="218"/>
      <c r="J98" s="543"/>
      <c r="K98" s="543"/>
      <c r="L98" s="252" t="s">
        <v>9146</v>
      </c>
      <c r="M98" s="252" t="s">
        <v>9147</v>
      </c>
      <c r="N98" s="252" t="s">
        <v>9148</v>
      </c>
      <c r="O98" s="252" t="s">
        <v>9149</v>
      </c>
      <c r="P98" s="252" t="s">
        <v>9150</v>
      </c>
      <c r="Q98" s="252" t="s">
        <v>9151</v>
      </c>
      <c r="R98" s="252" t="s">
        <v>9152</v>
      </c>
      <c r="S98" s="252" t="s">
        <v>9153</v>
      </c>
      <c r="T98" s="257"/>
      <c r="U98" s="218"/>
      <c r="V98" s="218"/>
      <c r="W98" s="218"/>
      <c r="X98" s="218"/>
      <c r="Y98" s="218"/>
    </row>
    <row r="99" spans="1:25" ht="18.75" hidden="1" customHeight="1" thickBot="1">
      <c r="A99" s="511" t="s">
        <v>9165</v>
      </c>
      <c r="B99" s="512"/>
      <c r="C99" s="259">
        <v>1</v>
      </c>
      <c r="D99" s="260">
        <v>1900</v>
      </c>
      <c r="E99" s="260">
        <v>1900</v>
      </c>
      <c r="F99" s="504"/>
      <c r="G99" s="504"/>
      <c r="H99" s="546"/>
      <c r="I99" s="218"/>
      <c r="J99" s="251"/>
      <c r="K99" s="251"/>
      <c r="L99" s="252"/>
      <c r="M99" s="252"/>
      <c r="N99" s="252"/>
      <c r="O99" s="252"/>
      <c r="P99" s="252"/>
      <c r="Q99" s="252"/>
      <c r="R99" s="252"/>
      <c r="S99" s="252"/>
      <c r="T99" s="257"/>
      <c r="U99" s="218"/>
      <c r="V99" s="218"/>
      <c r="W99" s="218"/>
      <c r="X99" s="218"/>
      <c r="Y99" s="218"/>
    </row>
    <row r="100" spans="1:25" ht="15.75" hidden="1" customHeight="1" thickBot="1">
      <c r="A100" s="527" t="s">
        <v>9166</v>
      </c>
      <c r="B100" s="528"/>
      <c r="C100" s="254" t="b">
        <f>IF((0.6*B13)&gt;0.3,1)</f>
        <v>0</v>
      </c>
      <c r="D100" s="250">
        <f t="shared" ref="D100:D105" si="2">C100*J100</f>
        <v>0</v>
      </c>
      <c r="E100" s="250">
        <f t="shared" ref="E100:E105" si="3">C100*K100</f>
        <v>0</v>
      </c>
      <c r="F100" s="504"/>
      <c r="G100" s="504"/>
      <c r="H100" s="546"/>
      <c r="I100" s="218"/>
      <c r="J100" s="256">
        <f>IF(B6&lt;191,L100,IF(B6&lt;249,N100,IF(B6&lt;299.01,P100,IF(B6&gt;299.02,R100))))</f>
        <v>2452</v>
      </c>
      <c r="K100" s="256">
        <f>IF(B6&lt;191,M100,IF(B6&lt;249,O100,IF(B6&lt;299.01,Q100,IF(B6&gt;299.02,S100))))</f>
        <v>2452</v>
      </c>
      <c r="L100" s="257">
        <v>2452</v>
      </c>
      <c r="M100" s="257">
        <v>2452</v>
      </c>
      <c r="N100" s="257">
        <v>2452</v>
      </c>
      <c r="O100" s="257">
        <v>2452</v>
      </c>
      <c r="P100" s="257">
        <v>2568</v>
      </c>
      <c r="Q100" s="257">
        <v>2368</v>
      </c>
      <c r="R100" s="257">
        <v>2800</v>
      </c>
      <c r="S100" s="257">
        <v>2500</v>
      </c>
      <c r="T100" s="257"/>
      <c r="U100" s="218"/>
      <c r="V100" s="218"/>
      <c r="W100" s="218"/>
      <c r="X100" s="218"/>
      <c r="Y100" s="218"/>
    </row>
    <row r="101" spans="1:25" ht="15.75" hidden="1" customHeight="1" thickBot="1">
      <c r="A101" s="515" t="s">
        <v>9155</v>
      </c>
      <c r="B101" s="516"/>
      <c r="C101" s="254" t="b">
        <f>IF(L15=1,1,IF(G11="Y",1))</f>
        <v>0</v>
      </c>
      <c r="D101" s="250">
        <f t="shared" si="2"/>
        <v>0</v>
      </c>
      <c r="E101" s="250">
        <f t="shared" si="3"/>
        <v>0</v>
      </c>
      <c r="F101" s="504"/>
      <c r="G101" s="504"/>
      <c r="I101" s="218"/>
      <c r="J101" s="256">
        <f>IF(B6&lt;191,L101,IF(B6&lt;249,N101,IF(B6&lt;299.01,P101,IF(B6&gt;299.02,R101))))</f>
        <v>4227</v>
      </c>
      <c r="K101" s="256">
        <f>IF(B6&lt;191,M101,IF(B6&lt;249,O101,IF(B6&lt;299.01,Q101,IF(B6&gt;299.02,S101))))</f>
        <v>2217</v>
      </c>
      <c r="L101" s="257">
        <v>4227</v>
      </c>
      <c r="M101" s="257">
        <v>2217</v>
      </c>
      <c r="N101" s="257">
        <v>4527</v>
      </c>
      <c r="O101" s="257">
        <v>3801</v>
      </c>
      <c r="P101" s="257">
        <v>6650</v>
      </c>
      <c r="Q101" s="257">
        <v>5702</v>
      </c>
      <c r="R101" s="257">
        <v>6800</v>
      </c>
      <c r="S101" s="257">
        <v>6000</v>
      </c>
      <c r="T101" s="257"/>
      <c r="U101" s="218"/>
      <c r="V101" s="218"/>
      <c r="W101" s="218"/>
      <c r="X101" s="218"/>
      <c r="Y101" s="218"/>
    </row>
    <row r="102" spans="1:25" ht="15.75" hidden="1" customHeight="1" thickBot="1">
      <c r="A102" s="513" t="s">
        <v>9156</v>
      </c>
      <c r="B102" s="514"/>
      <c r="C102" s="254">
        <f>IF(G5=0,0,G5-E5&lt;1.1)</f>
        <v>0</v>
      </c>
      <c r="D102" s="250">
        <f t="shared" si="2"/>
        <v>0</v>
      </c>
      <c r="E102" s="250">
        <f t="shared" si="3"/>
        <v>0</v>
      </c>
      <c r="F102" s="504"/>
      <c r="G102" s="504"/>
      <c r="I102" s="218"/>
      <c r="J102" s="256">
        <v>3000</v>
      </c>
      <c r="K102" s="256">
        <v>3000</v>
      </c>
      <c r="L102" s="257"/>
      <c r="M102" s="257"/>
      <c r="N102" s="257"/>
      <c r="O102" s="257"/>
      <c r="P102" s="257"/>
      <c r="Q102" s="257"/>
      <c r="R102" s="257"/>
      <c r="S102" s="257"/>
      <c r="T102" s="257"/>
      <c r="U102" s="218"/>
      <c r="V102" s="218"/>
      <c r="W102" s="218"/>
      <c r="X102" s="218"/>
      <c r="Y102" s="218"/>
    </row>
    <row r="103" spans="1:25" ht="15.75" hidden="1" customHeight="1" thickBot="1">
      <c r="A103" s="513" t="s">
        <v>9157</v>
      </c>
      <c r="B103" s="514"/>
      <c r="C103" s="254" t="b">
        <f>IF(N12=1,1,IF(O12=1,1))</f>
        <v>0</v>
      </c>
      <c r="D103" s="250">
        <f>C103*J103</f>
        <v>0</v>
      </c>
      <c r="E103" s="250">
        <f t="shared" si="3"/>
        <v>0</v>
      </c>
      <c r="F103" s="504"/>
      <c r="G103" s="504"/>
      <c r="I103" s="218"/>
      <c r="J103" s="256">
        <f>IF(B6&lt;191,L103,IF(B6&lt;249,N103,IF(B6&lt;299.01,P103,IF(B6&gt;299.02,R103))))</f>
        <v>5250</v>
      </c>
      <c r="K103" s="256">
        <f>IF(B6&lt;191,M103,IF(B6&lt;249,O103,IF(B6&lt;299.01,Q103,IF(B6&gt;299.02,S103))))</f>
        <v>4000</v>
      </c>
      <c r="L103" s="257">
        <v>5250</v>
      </c>
      <c r="M103" s="257">
        <v>4000</v>
      </c>
      <c r="N103" s="257">
        <v>6000</v>
      </c>
      <c r="O103" s="257">
        <v>5250</v>
      </c>
      <c r="P103" s="257">
        <v>7000</v>
      </c>
      <c r="Q103" s="257">
        <v>5750</v>
      </c>
      <c r="R103" s="257">
        <v>8000</v>
      </c>
      <c r="S103" s="257">
        <v>6500</v>
      </c>
      <c r="T103" s="257"/>
      <c r="U103" s="218"/>
      <c r="V103" s="218"/>
      <c r="W103" s="218"/>
      <c r="X103" s="218"/>
      <c r="Y103" s="218"/>
    </row>
    <row r="104" spans="1:25" ht="15.75" hidden="1" customHeight="1" thickBot="1">
      <c r="A104" s="513" t="s">
        <v>9158</v>
      </c>
      <c r="B104" s="514"/>
      <c r="C104" s="254" t="b">
        <f>IF(Q12=1,1,IF(R12=1,1))</f>
        <v>0</v>
      </c>
      <c r="D104" s="250">
        <f t="shared" si="2"/>
        <v>0</v>
      </c>
      <c r="E104" s="250">
        <f t="shared" si="3"/>
        <v>0</v>
      </c>
      <c r="F104" s="504"/>
      <c r="G104" s="504"/>
      <c r="I104" s="218"/>
      <c r="J104" s="256">
        <f>IF(B6&lt;191,L104,IF(B6&lt;249,N104,IF(B6&lt;299.01,P104,IF(B6&gt;299.02,R104))))</f>
        <v>5250</v>
      </c>
      <c r="K104" s="256">
        <f>IF(B6&lt;191,M104,IF(B6&lt;249,O104,IF(B6&lt;299.01,Q104,IF(B6&gt;299.02,S104))))</f>
        <v>4000</v>
      </c>
      <c r="L104" s="257">
        <v>5250</v>
      </c>
      <c r="M104" s="257">
        <v>4000</v>
      </c>
      <c r="N104" s="257">
        <v>6000</v>
      </c>
      <c r="O104" s="257">
        <v>5250</v>
      </c>
      <c r="P104" s="257">
        <v>7000</v>
      </c>
      <c r="Q104" s="257">
        <v>5750</v>
      </c>
      <c r="R104" s="257">
        <v>8000</v>
      </c>
      <c r="S104" s="257">
        <v>6500</v>
      </c>
      <c r="T104" s="257"/>
      <c r="U104" s="218"/>
      <c r="V104" s="218"/>
      <c r="W104" s="218"/>
      <c r="X104" s="218"/>
      <c r="Y104" s="218"/>
    </row>
    <row r="105" spans="1:25" ht="15.75" hidden="1" customHeight="1" thickBot="1">
      <c r="A105" s="517" t="s">
        <v>9159</v>
      </c>
      <c r="B105" s="518"/>
      <c r="C105" s="254" t="b">
        <f>IF(E6&gt;650,1)</f>
        <v>0</v>
      </c>
      <c r="D105" s="250">
        <f t="shared" si="2"/>
        <v>0</v>
      </c>
      <c r="E105" s="250">
        <f t="shared" si="3"/>
        <v>0</v>
      </c>
      <c r="F105" s="504"/>
      <c r="G105" s="504"/>
      <c r="I105" s="218"/>
      <c r="J105" s="256" t="b">
        <f>IF(G5&gt;6,(G5-6)*97)</f>
        <v>0</v>
      </c>
      <c r="K105" s="256" t="b">
        <f>IF(G5&gt;6,(G5-6)*97)</f>
        <v>0</v>
      </c>
      <c r="L105" s="257"/>
      <c r="M105" s="257"/>
      <c r="N105" s="257"/>
      <c r="O105" s="257"/>
      <c r="P105" s="257"/>
      <c r="Q105" s="257"/>
      <c r="R105" s="257"/>
      <c r="S105" s="257"/>
      <c r="T105" s="257"/>
      <c r="U105" s="218"/>
      <c r="V105" s="218"/>
      <c r="W105" s="218"/>
      <c r="X105" s="218"/>
      <c r="Y105" s="218"/>
    </row>
    <row r="106" spans="1:25" ht="15.75" hidden="1" customHeight="1" thickBot="1">
      <c r="A106" s="513" t="s">
        <v>9160</v>
      </c>
      <c r="B106" s="514"/>
      <c r="C106" s="254" t="b">
        <f>IF(G11="Y",1)</f>
        <v>0</v>
      </c>
      <c r="D106" s="250">
        <f>C106*J106</f>
        <v>0</v>
      </c>
      <c r="E106" s="250">
        <f>C106*K106</f>
        <v>0</v>
      </c>
      <c r="F106" s="504"/>
      <c r="G106" s="504"/>
      <c r="I106" s="218"/>
      <c r="J106" s="256">
        <f>B6*12</f>
        <v>0</v>
      </c>
      <c r="K106" s="256">
        <f>B6*12</f>
        <v>0</v>
      </c>
      <c r="L106" s="257"/>
      <c r="M106" s="257"/>
      <c r="N106" s="257"/>
      <c r="O106" s="257"/>
      <c r="P106" s="257"/>
      <c r="Q106" s="257"/>
      <c r="R106" s="257"/>
      <c r="S106" s="257"/>
      <c r="T106" s="257"/>
      <c r="U106" s="218"/>
      <c r="V106" s="218"/>
      <c r="W106" s="218"/>
      <c r="X106" s="218"/>
      <c r="Y106" s="218"/>
    </row>
    <row r="107" spans="1:25" ht="15.75" hidden="1" customHeight="1" thickBot="1">
      <c r="A107" s="513" t="s">
        <v>9161</v>
      </c>
      <c r="B107" s="514"/>
      <c r="C107" s="254" t="b">
        <f>IF(E4="Elegance",G4&lt;0.21)</f>
        <v>0</v>
      </c>
      <c r="D107" s="250">
        <f>C107*J107</f>
        <v>0</v>
      </c>
      <c r="E107" s="250">
        <f>C107*K107</f>
        <v>0</v>
      </c>
      <c r="F107" s="504"/>
      <c r="G107" s="504"/>
      <c r="I107" s="218"/>
      <c r="J107" s="256">
        <f>IF(B6&lt;191,L107,IF(B6&lt;249,N107,IF(B6&lt;299.01,P107,IF(B6&gt;299.02,R107))))</f>
        <v>2063</v>
      </c>
      <c r="K107" s="256">
        <f>IF(B6&lt;191,M107,IF(B6&lt;249,O107,IF(B6&lt;299.01,Q107,IF(B6&gt;299.02,S107))))</f>
        <v>1575</v>
      </c>
      <c r="L107" s="257">
        <v>2063</v>
      </c>
      <c r="M107" s="257">
        <v>1575</v>
      </c>
      <c r="N107" s="257">
        <v>2376</v>
      </c>
      <c r="O107" s="257">
        <v>2075</v>
      </c>
      <c r="P107" s="257">
        <v>2892</v>
      </c>
      <c r="Q107" s="257">
        <v>2792</v>
      </c>
      <c r="R107" s="257">
        <v>3340</v>
      </c>
      <c r="S107" s="257">
        <v>3110</v>
      </c>
      <c r="T107" s="257"/>
      <c r="U107" s="218"/>
      <c r="V107" s="218"/>
      <c r="W107" s="218"/>
      <c r="X107" s="218"/>
      <c r="Y107" s="218"/>
    </row>
    <row r="108" spans="1:25" ht="23.25">
      <c r="A108" s="547" t="s">
        <v>9162</v>
      </c>
      <c r="B108" s="548"/>
      <c r="C108" s="549"/>
      <c r="D108" s="261" t="str">
        <f>IF(AND(B7="Single",B13&gt;1001,B13&lt;=1500),SUM(D18:D83,D99:D107),"")</f>
        <v/>
      </c>
      <c r="E108" s="261" t="str">
        <f>IF(AND(B7="Double",B13&gt;1001,B13&lt;=1500),SUM(E18:E83,E99:E107),"")</f>
        <v/>
      </c>
      <c r="F108" s="504"/>
      <c r="G108" s="504"/>
      <c r="I108" s="218"/>
      <c r="J108" s="218"/>
      <c r="L108" s="257"/>
      <c r="M108" s="257"/>
      <c r="N108" s="257"/>
      <c r="O108" s="257"/>
      <c r="P108" s="257"/>
      <c r="Q108" s="257"/>
      <c r="R108" s="257"/>
      <c r="S108" s="257"/>
      <c r="T108" s="257"/>
      <c r="U108" s="218"/>
      <c r="V108" s="218"/>
      <c r="W108" s="218"/>
      <c r="X108" s="218"/>
      <c r="Y108" s="218"/>
    </row>
    <row r="109" spans="1:25" ht="20.25">
      <c r="A109" s="503" t="s">
        <v>9167</v>
      </c>
      <c r="B109" s="503"/>
      <c r="C109" s="503"/>
      <c r="D109" s="503"/>
      <c r="E109" s="503"/>
      <c r="F109" s="503"/>
      <c r="G109" s="503"/>
      <c r="I109" s="218"/>
      <c r="J109" s="218"/>
      <c r="L109" s="257"/>
      <c r="M109" s="257"/>
      <c r="N109" s="257"/>
      <c r="O109" s="257"/>
      <c r="P109" s="257"/>
      <c r="Q109" s="257"/>
      <c r="R109" s="257"/>
      <c r="S109" s="257"/>
      <c r="T109" s="257"/>
      <c r="U109" s="218"/>
      <c r="V109" s="218"/>
      <c r="W109" s="218"/>
      <c r="X109" s="218"/>
      <c r="Y109" s="218"/>
    </row>
    <row r="110" spans="1:25" ht="15" customHeight="1">
      <c r="A110" s="519"/>
      <c r="B110" s="520"/>
      <c r="C110" s="520"/>
      <c r="D110" s="505" t="s">
        <v>9143</v>
      </c>
      <c r="E110" s="505" t="s">
        <v>9144</v>
      </c>
      <c r="F110" s="507" t="s">
        <v>9168</v>
      </c>
      <c r="G110" s="508"/>
      <c r="I110" s="218"/>
      <c r="J110" s="543" t="s">
        <v>250</v>
      </c>
      <c r="K110" s="543" t="s">
        <v>251</v>
      </c>
      <c r="L110" s="257"/>
      <c r="M110" s="257"/>
      <c r="N110" s="257"/>
      <c r="O110" s="257"/>
      <c r="P110" s="257"/>
      <c r="Q110" s="257"/>
      <c r="R110" s="257"/>
      <c r="S110" s="257"/>
      <c r="T110" s="257"/>
      <c r="U110" s="218"/>
      <c r="V110" s="218"/>
      <c r="W110" s="218"/>
      <c r="X110" s="218"/>
      <c r="Y110" s="218"/>
    </row>
    <row r="111" spans="1:25" ht="45" customHeight="1" thickBot="1">
      <c r="A111" s="521"/>
      <c r="B111" s="522"/>
      <c r="C111" s="522"/>
      <c r="D111" s="506"/>
      <c r="E111" s="506"/>
      <c r="F111" s="507"/>
      <c r="G111" s="508"/>
      <c r="H111" s="546"/>
      <c r="I111" s="218"/>
      <c r="J111" s="543"/>
      <c r="K111" s="543"/>
      <c r="L111" s="252" t="s">
        <v>9146</v>
      </c>
      <c r="M111" s="252" t="s">
        <v>9147</v>
      </c>
      <c r="N111" s="252" t="s">
        <v>9148</v>
      </c>
      <c r="O111" s="252" t="s">
        <v>9149</v>
      </c>
      <c r="P111" s="252" t="s">
        <v>9150</v>
      </c>
      <c r="Q111" s="252" t="s">
        <v>9151</v>
      </c>
      <c r="R111" s="252" t="s">
        <v>9152</v>
      </c>
      <c r="S111" s="252" t="s">
        <v>9153</v>
      </c>
      <c r="T111" s="257"/>
      <c r="U111" s="218"/>
      <c r="V111" s="218"/>
      <c r="W111" s="218"/>
      <c r="X111" s="218"/>
      <c r="Y111" s="218"/>
    </row>
    <row r="112" spans="1:25" s="218" customFormat="1" ht="18.75" hidden="1" customHeight="1" thickBot="1">
      <c r="A112" s="511" t="s">
        <v>9165</v>
      </c>
      <c r="B112" s="512"/>
      <c r="C112" s="259">
        <v>1</v>
      </c>
      <c r="D112" s="260">
        <f>C112*J112</f>
        <v>8500</v>
      </c>
      <c r="E112" s="260">
        <f>C112*K112</f>
        <v>7500</v>
      </c>
      <c r="F112" s="507"/>
      <c r="G112" s="508"/>
      <c r="H112" s="546"/>
      <c r="J112" s="262">
        <f>IF(B6&lt;191,L112,IF(B6&lt;249,N112,IF(B6&lt;299.01,P112,IF(B6&gt;299.02,R112))))</f>
        <v>8500</v>
      </c>
      <c r="K112" s="262">
        <f>IF(B6&lt;191,M112,IF(B6&lt;249,O112,IF(B6&lt;299.01,Q112,IF(B6&gt;299.02,S112))))</f>
        <v>7500</v>
      </c>
      <c r="L112" s="257">
        <v>8500</v>
      </c>
      <c r="M112" s="257">
        <v>7500</v>
      </c>
      <c r="N112" s="257">
        <v>9000</v>
      </c>
      <c r="O112" s="257">
        <v>7500</v>
      </c>
      <c r="P112" s="257">
        <v>10800</v>
      </c>
      <c r="Q112" s="257">
        <v>9000</v>
      </c>
      <c r="R112" s="257">
        <v>12900</v>
      </c>
      <c r="S112" s="257">
        <v>10500</v>
      </c>
      <c r="T112" s="257"/>
    </row>
    <row r="113" spans="1:25" s="218" customFormat="1" ht="15.75" hidden="1" customHeight="1" thickBot="1">
      <c r="A113" s="527" t="s">
        <v>9166</v>
      </c>
      <c r="B113" s="528"/>
      <c r="C113" s="254" t="b">
        <f>IF((0.6*B13)&gt;0.3,1)</f>
        <v>0</v>
      </c>
      <c r="D113" s="250">
        <f t="shared" ref="D113:D118" si="4">C113*J113</f>
        <v>0</v>
      </c>
      <c r="E113" s="250">
        <f t="shared" ref="E113:E118" si="5">C113*K113</f>
        <v>0</v>
      </c>
      <c r="F113" s="507"/>
      <c r="G113" s="508"/>
      <c r="H113" s="546"/>
      <c r="J113" s="256">
        <f>IF(B6&lt;191,L113,IF(B6&lt;249,N113,IF(B6&lt;299.01,P113,IF(B6&gt;299.02,R113))))</f>
        <v>3042</v>
      </c>
      <c r="K113" s="256">
        <f>IF(B6&lt;191,M113,IF(B6&lt;249,O113,IF(B6&lt;299.01,Q113,IF(B6&gt;299.02,S113))))</f>
        <v>2664</v>
      </c>
      <c r="L113" s="257">
        <v>3042</v>
      </c>
      <c r="M113" s="257">
        <v>2664</v>
      </c>
      <c r="N113" s="257">
        <v>3042</v>
      </c>
      <c r="O113" s="257">
        <v>2664</v>
      </c>
      <c r="P113" s="257">
        <v>3313</v>
      </c>
      <c r="Q113" s="257">
        <v>2913</v>
      </c>
      <c r="R113" s="257">
        <v>3500</v>
      </c>
      <c r="S113" s="257">
        <v>3300</v>
      </c>
      <c r="T113" s="257"/>
    </row>
    <row r="114" spans="1:25" s="218" customFormat="1" ht="15.75" hidden="1" customHeight="1" thickBot="1">
      <c r="A114" s="515" t="s">
        <v>9155</v>
      </c>
      <c r="B114" s="516"/>
      <c r="C114" s="254" t="b">
        <f>IF(L15=1,1,IF(G11="Y",1))</f>
        <v>0</v>
      </c>
      <c r="D114" s="250">
        <f t="shared" si="4"/>
        <v>0</v>
      </c>
      <c r="E114" s="250">
        <f t="shared" si="5"/>
        <v>0</v>
      </c>
      <c r="F114" s="507"/>
      <c r="G114" s="508"/>
      <c r="J114" s="256">
        <f>IF(B6&lt;191,L114,IF(B6&lt;249,N114,IF(B6&lt;299.01,P114,IF(B6&gt;299.02,R114))))</f>
        <v>4894</v>
      </c>
      <c r="K114" s="256">
        <f>IF(B6&lt;191,M114,IF(B6&lt;249,O114,IF(B6&lt;299.01,Q114,IF(B6&gt;299.02,S114))))</f>
        <v>3024</v>
      </c>
      <c r="L114" s="257">
        <v>4894</v>
      </c>
      <c r="M114" s="257">
        <v>3024</v>
      </c>
      <c r="N114" s="257">
        <v>5394</v>
      </c>
      <c r="O114" s="257">
        <v>4884</v>
      </c>
      <c r="P114" s="257">
        <v>8072</v>
      </c>
      <c r="Q114" s="257">
        <v>6276</v>
      </c>
      <c r="R114" s="257">
        <v>8500</v>
      </c>
      <c r="S114" s="257">
        <v>7800</v>
      </c>
      <c r="T114" s="257"/>
    </row>
    <row r="115" spans="1:25" s="218" customFormat="1" ht="15.75" hidden="1" customHeight="1" thickBot="1">
      <c r="A115" s="513" t="s">
        <v>9169</v>
      </c>
      <c r="B115" s="514"/>
      <c r="C115" s="254">
        <f>IF(G5=0,0,G5-E5&lt;2)</f>
        <v>0</v>
      </c>
      <c r="D115" s="250">
        <f t="shared" si="4"/>
        <v>0</v>
      </c>
      <c r="E115" s="250">
        <f t="shared" si="5"/>
        <v>0</v>
      </c>
      <c r="F115" s="507"/>
      <c r="G115" s="508"/>
      <c r="J115" s="256">
        <v>4000</v>
      </c>
      <c r="K115" s="256">
        <v>4000</v>
      </c>
      <c r="L115" s="257"/>
      <c r="M115" s="257"/>
      <c r="N115" s="257"/>
      <c r="O115" s="257"/>
      <c r="P115" s="257"/>
      <c r="Q115" s="257"/>
      <c r="R115" s="257"/>
      <c r="S115" s="257"/>
      <c r="T115" s="257"/>
    </row>
    <row r="116" spans="1:25" s="218" customFormat="1" ht="15.75" hidden="1" customHeight="1" thickBot="1">
      <c r="A116" s="515" t="s">
        <v>9157</v>
      </c>
      <c r="B116" s="518"/>
      <c r="C116" s="254" t="b">
        <f>IF(N13=1,1,IF(O13=1,1))</f>
        <v>0</v>
      </c>
      <c r="D116" s="250">
        <f t="shared" si="4"/>
        <v>0</v>
      </c>
      <c r="E116" s="250">
        <f t="shared" si="5"/>
        <v>0</v>
      </c>
      <c r="F116" s="507"/>
      <c r="G116" s="508"/>
      <c r="J116" s="256">
        <f>IF(B6&lt;191,L116,IF(B6&lt;249,N116,IF(B6&lt;299.01,P116,IF(B6&gt;299.02,R116))))</f>
        <v>8250</v>
      </c>
      <c r="K116" s="256">
        <f>IF(B6&lt;191,M116,IF(B6&lt;249,O116,IF(B6&lt;299.01,Q116,IF(B6&gt;299.02,S116))))</f>
        <v>6250</v>
      </c>
      <c r="L116" s="257">
        <v>8250</v>
      </c>
      <c r="M116" s="257">
        <v>6250</v>
      </c>
      <c r="N116" s="257">
        <v>7500</v>
      </c>
      <c r="O116" s="257">
        <v>6000</v>
      </c>
      <c r="P116" s="257">
        <v>10000</v>
      </c>
      <c r="Q116" s="257">
        <v>8000</v>
      </c>
      <c r="R116" s="257">
        <v>12000</v>
      </c>
      <c r="S116" s="257">
        <v>10000</v>
      </c>
      <c r="T116" s="257"/>
    </row>
    <row r="117" spans="1:25" s="218" customFormat="1" ht="15.75" hidden="1" customHeight="1" thickBot="1">
      <c r="A117" s="515" t="s">
        <v>9158</v>
      </c>
      <c r="B117" s="518"/>
      <c r="C117" s="254" t="b">
        <f>IF(Q13=1,1,IF(R13=1,1))</f>
        <v>0</v>
      </c>
      <c r="D117" s="250">
        <f t="shared" si="4"/>
        <v>0</v>
      </c>
      <c r="E117" s="250">
        <f t="shared" si="5"/>
        <v>0</v>
      </c>
      <c r="F117" s="507"/>
      <c r="G117" s="508"/>
      <c r="J117" s="256">
        <f>IF(B6&lt;191,L117,IF(B6&lt;249,N117,IF(B6&lt;299.01,P117,IF(B6&gt;299.02,R117))))</f>
        <v>8250</v>
      </c>
      <c r="K117" s="256">
        <f>IF(B6&lt;191,M117,IF(B6&lt;249,O117,IF(B6&lt;299.01,Q117,IF(B6&gt;299.02,S117))))</f>
        <v>6250</v>
      </c>
      <c r="L117" s="257">
        <v>8250</v>
      </c>
      <c r="M117" s="257">
        <v>6250</v>
      </c>
      <c r="N117" s="257">
        <v>7500</v>
      </c>
      <c r="O117" s="257">
        <v>6000</v>
      </c>
      <c r="P117" s="257">
        <v>10000</v>
      </c>
      <c r="Q117" s="257">
        <v>8000</v>
      </c>
      <c r="R117" s="257">
        <v>12000</v>
      </c>
      <c r="S117" s="257">
        <v>10000</v>
      </c>
      <c r="T117" s="257"/>
    </row>
    <row r="118" spans="1:25" s="218" customFormat="1" ht="15.75" hidden="1" customHeight="1" thickBot="1">
      <c r="A118" s="517" t="s">
        <v>9159</v>
      </c>
      <c r="B118" s="518"/>
      <c r="C118" s="254" t="b">
        <f>IF(E6&gt;650,1)</f>
        <v>0</v>
      </c>
      <c r="D118" s="250">
        <f t="shared" si="4"/>
        <v>0</v>
      </c>
      <c r="E118" s="250">
        <f t="shared" si="5"/>
        <v>0</v>
      </c>
      <c r="F118" s="507"/>
      <c r="G118" s="508"/>
      <c r="J118" s="256" t="b">
        <f>IF(G5&gt;6,(G5-6)*97)</f>
        <v>0</v>
      </c>
      <c r="K118" s="256" t="b">
        <f>IF(G5&gt;6,(G5-6)*97)</f>
        <v>0</v>
      </c>
      <c r="L118" s="257"/>
      <c r="M118" s="257"/>
      <c r="N118" s="257"/>
      <c r="O118" s="257"/>
      <c r="P118" s="257"/>
      <c r="Q118" s="257"/>
      <c r="R118" s="257"/>
      <c r="S118" s="257"/>
      <c r="T118" s="257"/>
    </row>
    <row r="119" spans="1:25" s="218" customFormat="1" ht="15.75" hidden="1" customHeight="1" thickBot="1">
      <c r="A119" s="513" t="s">
        <v>9160</v>
      </c>
      <c r="B119" s="514"/>
      <c r="C119" s="263" t="b">
        <f>IF(G11="Y",1)</f>
        <v>0</v>
      </c>
      <c r="D119" s="250">
        <f>C119*J119</f>
        <v>0</v>
      </c>
      <c r="E119" s="250">
        <f>C119*K119</f>
        <v>0</v>
      </c>
      <c r="F119" s="507"/>
      <c r="G119" s="508"/>
      <c r="J119" s="256">
        <f>B6*12</f>
        <v>0</v>
      </c>
      <c r="K119" s="256">
        <f>B6*12</f>
        <v>0</v>
      </c>
      <c r="L119" s="257"/>
      <c r="M119" s="257"/>
      <c r="N119" s="257"/>
      <c r="O119" s="257"/>
      <c r="P119" s="257"/>
      <c r="Q119" s="257"/>
      <c r="R119" s="257"/>
      <c r="S119" s="257"/>
      <c r="T119" s="257"/>
    </row>
    <row r="120" spans="1:25" s="218" customFormat="1" ht="15.75" hidden="1" customHeight="1" thickBot="1">
      <c r="A120" s="513" t="s">
        <v>9170</v>
      </c>
      <c r="B120" s="514"/>
      <c r="C120" s="263" t="b">
        <f>IF(E4="Elegance",G4&lt;0.21)</f>
        <v>0</v>
      </c>
      <c r="D120" s="250">
        <f>C120*J120</f>
        <v>0</v>
      </c>
      <c r="E120" s="250">
        <f>C120*K120</f>
        <v>0</v>
      </c>
      <c r="F120" s="507"/>
      <c r="G120" s="508"/>
      <c r="J120" s="256">
        <f>IF(B6&lt;191,L120,IF(B6&lt;249,N120,IF(B6&lt;299.01,P120,IF(B6&gt;299.02,R120))))</f>
        <v>3036</v>
      </c>
      <c r="K120" s="256">
        <f>IF(B6&lt;191,M120,IF(B6&lt;249,O120,IF(B6&lt;299.01,Q120,IF(B6&gt;299.02,S120))))</f>
        <v>2750</v>
      </c>
      <c r="L120" s="257">
        <v>3036</v>
      </c>
      <c r="M120" s="257">
        <v>2750</v>
      </c>
      <c r="N120" s="257">
        <v>3395</v>
      </c>
      <c r="O120" s="257">
        <v>3064</v>
      </c>
      <c r="P120" s="257">
        <v>3516</v>
      </c>
      <c r="Q120" s="257">
        <v>3026</v>
      </c>
      <c r="R120" s="257">
        <v>3810</v>
      </c>
      <c r="S120" s="257">
        <v>3340</v>
      </c>
      <c r="T120" s="257"/>
    </row>
    <row r="121" spans="1:25" s="218" customFormat="1" ht="15.75" hidden="1" customHeight="1" thickBot="1">
      <c r="A121" s="513" t="s">
        <v>9171</v>
      </c>
      <c r="B121" s="514"/>
      <c r="C121" s="263" t="b">
        <f>IF(B13&gt;1.79,G3&lt;6.1)</f>
        <v>0</v>
      </c>
      <c r="D121" s="250">
        <f>C121*J121</f>
        <v>0</v>
      </c>
      <c r="E121" s="250">
        <f>C121*K121</f>
        <v>0</v>
      </c>
      <c r="F121" s="507"/>
      <c r="G121" s="508"/>
      <c r="J121" s="256">
        <f>IF(B6&lt;191,L121,IF(B6&lt;249,N121,IF(B6&lt;299.01,P121,IF(B6&gt;299.02,R121))))</f>
        <v>3036</v>
      </c>
      <c r="K121" s="256">
        <f>IF(B6&lt;191,M121,IF(B6&lt;249,O121,IF(B6&lt;299.01,Q121,IF(B6&gt;299.02,S121))))</f>
        <v>2750</v>
      </c>
      <c r="L121" s="257">
        <v>3036</v>
      </c>
      <c r="M121" s="257">
        <v>2750</v>
      </c>
      <c r="N121" s="257">
        <v>3395</v>
      </c>
      <c r="O121" s="257">
        <v>3064</v>
      </c>
      <c r="P121" s="257">
        <v>3516</v>
      </c>
      <c r="Q121" s="257">
        <v>3026</v>
      </c>
      <c r="R121" s="257">
        <v>3810</v>
      </c>
      <c r="S121" s="257">
        <v>3340</v>
      </c>
      <c r="T121" s="257"/>
    </row>
    <row r="122" spans="1:25" ht="24" thickBot="1">
      <c r="A122" s="524" t="s">
        <v>9162</v>
      </c>
      <c r="B122" s="525"/>
      <c r="C122" s="526"/>
      <c r="D122" s="264" t="str">
        <f>IF(AND(B7="Single",B13&gt;1501,B13&lt;=2000),SUM(D18:D83,D112:D121),"")</f>
        <v/>
      </c>
      <c r="E122" s="264" t="str">
        <f>IF(AND(B7="Double",B13&gt;1501,B13&lt;=2000),SUM(E18:E83,E112:E121),"")</f>
        <v/>
      </c>
      <c r="F122" s="509"/>
      <c r="G122" s="510"/>
      <c r="I122" s="218"/>
      <c r="J122" s="218"/>
      <c r="L122" s="257"/>
      <c r="M122" s="257"/>
      <c r="N122" s="257"/>
      <c r="O122" s="257"/>
      <c r="P122" s="257"/>
      <c r="Q122" s="257"/>
      <c r="R122" s="257"/>
      <c r="S122" s="257"/>
      <c r="T122" s="257"/>
      <c r="U122" s="218"/>
      <c r="V122" s="218"/>
      <c r="W122" s="218"/>
      <c r="X122" s="218"/>
      <c r="Y122" s="218"/>
    </row>
    <row r="123" spans="1:25">
      <c r="A123" s="531"/>
      <c r="B123" s="532"/>
      <c r="C123" s="532"/>
      <c r="D123" s="532"/>
      <c r="E123" s="533"/>
      <c r="F123" s="537" t="s">
        <v>9172</v>
      </c>
      <c r="G123" s="538"/>
      <c r="I123" s="218"/>
      <c r="J123" s="218"/>
      <c r="L123" s="257"/>
      <c r="M123" s="257"/>
      <c r="N123" s="257"/>
      <c r="O123" s="257"/>
      <c r="P123" s="257"/>
      <c r="Q123" s="257"/>
      <c r="R123" s="257"/>
      <c r="S123" s="257"/>
      <c r="T123" s="257"/>
      <c r="U123" s="218"/>
      <c r="V123" s="218"/>
      <c r="W123" s="218"/>
      <c r="X123" s="218"/>
      <c r="Y123" s="218"/>
    </row>
    <row r="124" spans="1:25">
      <c r="A124" s="534"/>
      <c r="B124" s="535"/>
      <c r="C124" s="535"/>
      <c r="D124" s="535"/>
      <c r="E124" s="536"/>
      <c r="F124" s="265" t="s">
        <v>9173</v>
      </c>
      <c r="G124" s="266"/>
      <c r="I124" s="218"/>
      <c r="J124" s="218"/>
      <c r="L124" s="257"/>
      <c r="M124" s="257"/>
      <c r="N124" s="257"/>
      <c r="O124" s="257"/>
      <c r="P124" s="257"/>
      <c r="Q124" s="257"/>
      <c r="R124" s="257"/>
      <c r="S124" s="257"/>
      <c r="T124" s="257"/>
      <c r="U124" s="218"/>
      <c r="V124" s="218"/>
      <c r="W124" s="218"/>
      <c r="X124" s="218"/>
      <c r="Y124" s="218"/>
    </row>
    <row r="125" spans="1:25" ht="43.5" customHeight="1">
      <c r="A125" s="534"/>
      <c r="B125" s="535"/>
      <c r="C125" s="535"/>
      <c r="D125" s="535"/>
      <c r="E125" s="536"/>
      <c r="F125" s="267" t="s">
        <v>9174</v>
      </c>
      <c r="G125" s="268"/>
      <c r="I125" s="218"/>
      <c r="J125" s="218"/>
      <c r="L125" s="257"/>
      <c r="M125" s="257"/>
      <c r="N125" s="257"/>
      <c r="O125" s="257"/>
      <c r="P125" s="257"/>
      <c r="Q125" s="257"/>
      <c r="R125" s="257"/>
      <c r="S125" s="257"/>
      <c r="T125" s="257"/>
      <c r="U125" s="218"/>
      <c r="V125" s="218"/>
      <c r="W125" s="218"/>
      <c r="X125" s="218"/>
      <c r="Y125" s="218"/>
    </row>
    <row r="126" spans="1:25" ht="18">
      <c r="A126" s="529" t="s">
        <v>9175</v>
      </c>
      <c r="B126" s="530"/>
      <c r="C126" s="530"/>
      <c r="D126" s="530"/>
      <c r="E126" s="530"/>
      <c r="F126" s="530"/>
      <c r="G126" s="530"/>
      <c r="I126" s="218"/>
      <c r="J126" s="218"/>
      <c r="L126" s="257"/>
      <c r="M126" s="257"/>
      <c r="N126" s="257"/>
      <c r="O126" s="257"/>
      <c r="P126" s="257"/>
      <c r="Q126" s="257"/>
      <c r="R126" s="257"/>
      <c r="S126" s="257"/>
      <c r="T126" s="257"/>
      <c r="U126" s="218"/>
      <c r="V126" s="218"/>
      <c r="W126" s="218"/>
      <c r="X126" s="218"/>
      <c r="Y126" s="218"/>
    </row>
    <row r="127" spans="1:25" ht="18">
      <c r="A127" s="269"/>
      <c r="B127" s="269"/>
      <c r="H127" s="270"/>
      <c r="I127" s="218"/>
      <c r="J127" s="218"/>
      <c r="S127" s="218"/>
      <c r="T127" s="218"/>
      <c r="U127" s="218"/>
      <c r="V127" s="218"/>
      <c r="W127" s="218"/>
      <c r="X127" s="218"/>
      <c r="Y127" s="218"/>
    </row>
    <row r="128" spans="1:25" ht="18">
      <c r="A128" s="269"/>
      <c r="B128" s="269"/>
      <c r="C128" s="270"/>
      <c r="D128" s="270"/>
      <c r="E128" s="270"/>
      <c r="F128" s="270"/>
      <c r="G128" s="270"/>
      <c r="H128" s="270"/>
      <c r="I128" s="218"/>
      <c r="J128" s="218"/>
      <c r="S128" s="218"/>
      <c r="T128" s="218"/>
      <c r="U128" s="218"/>
      <c r="V128" s="218"/>
      <c r="W128" s="218"/>
      <c r="X128" s="218"/>
      <c r="Y128" s="218"/>
    </row>
    <row r="129" spans="1:20" ht="18">
      <c r="A129" s="269"/>
      <c r="B129" s="269"/>
      <c r="C129" s="270"/>
      <c r="D129" s="270"/>
      <c r="E129" s="270"/>
      <c r="F129" s="270"/>
      <c r="G129" s="270"/>
      <c r="H129" s="270"/>
      <c r="J129" s="218"/>
      <c r="S129" s="218"/>
      <c r="T129" s="218"/>
    </row>
    <row r="130" spans="1:20" ht="18">
      <c r="A130" s="269"/>
      <c r="B130" s="269"/>
      <c r="C130" s="270"/>
      <c r="D130" s="270"/>
      <c r="E130" s="270"/>
      <c r="F130" s="270"/>
      <c r="G130" s="270"/>
      <c r="H130" s="270"/>
      <c r="J130" s="218"/>
      <c r="S130" s="218"/>
      <c r="T130" s="218"/>
    </row>
    <row r="131" spans="1:20" ht="18">
      <c r="A131" s="269"/>
      <c r="B131" s="269"/>
      <c r="C131" s="270"/>
      <c r="D131" s="270"/>
      <c r="E131" s="270"/>
      <c r="F131" s="270"/>
      <c r="G131" s="270"/>
      <c r="H131" s="270"/>
      <c r="J131" s="218"/>
      <c r="S131" s="218"/>
      <c r="T131" s="218"/>
    </row>
    <row r="132" spans="1:20" ht="18">
      <c r="A132" s="269"/>
      <c r="B132" s="269"/>
      <c r="C132" s="269"/>
      <c r="D132" s="269"/>
      <c r="E132" s="270"/>
      <c r="F132" s="270"/>
      <c r="G132" s="270"/>
      <c r="H132" s="270"/>
      <c r="J132" s="218"/>
      <c r="S132" s="218"/>
      <c r="T132" s="218"/>
    </row>
    <row r="133" spans="1:20" ht="18.75">
      <c r="A133" s="271"/>
      <c r="B133" s="271"/>
      <c r="C133" s="270"/>
      <c r="D133" s="270"/>
      <c r="E133" s="270"/>
      <c r="F133" s="270"/>
      <c r="G133" s="270"/>
      <c r="H133" s="270"/>
      <c r="J133" s="218"/>
      <c r="S133" s="218"/>
      <c r="T133" s="218"/>
    </row>
    <row r="134" spans="1:20">
      <c r="A134" s="523"/>
      <c r="B134" s="523"/>
      <c r="C134" s="523"/>
      <c r="D134" s="523"/>
      <c r="E134" s="270"/>
      <c r="F134" s="270"/>
      <c r="G134" s="270"/>
      <c r="H134" s="270"/>
    </row>
    <row r="135" spans="1:20">
      <c r="A135" s="272"/>
      <c r="B135" s="272"/>
      <c r="C135" s="270"/>
      <c r="D135" s="270"/>
      <c r="E135" s="270"/>
      <c r="F135" s="270"/>
      <c r="G135" s="270"/>
      <c r="H135" s="270"/>
    </row>
    <row r="136" spans="1:20">
      <c r="A136" s="523"/>
      <c r="B136" s="523"/>
      <c r="C136" s="523"/>
      <c r="D136" s="523"/>
      <c r="E136" s="523"/>
      <c r="F136" s="270"/>
      <c r="G136" s="270"/>
    </row>
  </sheetData>
  <sheetProtection algorithmName="SHA-512" hashValue="er8jsy2YKgZijyLg9tE7e0QqbOdifA/UVm++XDsvUzgnNNiBi0rgvRyvvGEaPI6g6BZAac3HIiTv7hjt9Kzz/w==" saltValue="FefkKE/FrUFdWzDAoNcGuQ==" spinCount="100000" sheet="1" objects="1" scenarios="1" formatRows="0" insertRows="0" deleteRows="0" selectLockedCells="1"/>
  <mergeCells count="83">
    <mergeCell ref="C6:D6"/>
    <mergeCell ref="A1:G1"/>
    <mergeCell ref="A2:G2"/>
    <mergeCell ref="B3:E3"/>
    <mergeCell ref="C4:D4"/>
    <mergeCell ref="C5:D5"/>
    <mergeCell ref="C7:D7"/>
    <mergeCell ref="A8:G8"/>
    <mergeCell ref="A9:G9"/>
    <mergeCell ref="A10:B10"/>
    <mergeCell ref="G12:G13"/>
    <mergeCell ref="A13:A14"/>
    <mergeCell ref="B13:B14"/>
    <mergeCell ref="A15:G15"/>
    <mergeCell ref="A16:G16"/>
    <mergeCell ref="A17:C83"/>
    <mergeCell ref="F17:G17"/>
    <mergeCell ref="F18:G18"/>
    <mergeCell ref="F19:G19"/>
    <mergeCell ref="F20:G20"/>
    <mergeCell ref="F21:G21"/>
    <mergeCell ref="F79:G79"/>
    <mergeCell ref="F81:G81"/>
    <mergeCell ref="A90:B90"/>
    <mergeCell ref="F82:G82"/>
    <mergeCell ref="F83:G83"/>
    <mergeCell ref="A84:G84"/>
    <mergeCell ref="A85:C86"/>
    <mergeCell ref="D85:D86"/>
    <mergeCell ref="E85:E86"/>
    <mergeCell ref="F85:G95"/>
    <mergeCell ref="A91:B91"/>
    <mergeCell ref="A92:B92"/>
    <mergeCell ref="A93:B93"/>
    <mergeCell ref="J85:J86"/>
    <mergeCell ref="K85:K86"/>
    <mergeCell ref="A87:B87"/>
    <mergeCell ref="A88:B88"/>
    <mergeCell ref="A89:B89"/>
    <mergeCell ref="A101:B101"/>
    <mergeCell ref="A94:B94"/>
    <mergeCell ref="A95:C95"/>
    <mergeCell ref="A96:G96"/>
    <mergeCell ref="A97:C98"/>
    <mergeCell ref="D97:D98"/>
    <mergeCell ref="E97:E98"/>
    <mergeCell ref="F97:G108"/>
    <mergeCell ref="A102:B102"/>
    <mergeCell ref="A103:B103"/>
    <mergeCell ref="A104:B104"/>
    <mergeCell ref="J97:J98"/>
    <mergeCell ref="K97:K98"/>
    <mergeCell ref="H98:H100"/>
    <mergeCell ref="A99:B99"/>
    <mergeCell ref="A100:B100"/>
    <mergeCell ref="A114:B114"/>
    <mergeCell ref="A105:B105"/>
    <mergeCell ref="A106:B106"/>
    <mergeCell ref="A107:B107"/>
    <mergeCell ref="A108:C108"/>
    <mergeCell ref="A109:G109"/>
    <mergeCell ref="A110:C111"/>
    <mergeCell ref="D110:D111"/>
    <mergeCell ref="E110:E111"/>
    <mergeCell ref="F110:G122"/>
    <mergeCell ref="A115:B115"/>
    <mergeCell ref="J110:J111"/>
    <mergeCell ref="K110:K111"/>
    <mergeCell ref="H111:H113"/>
    <mergeCell ref="A112:B112"/>
    <mergeCell ref="A113:B113"/>
    <mergeCell ref="F123:G123"/>
    <mergeCell ref="A126:G126"/>
    <mergeCell ref="A134:D134"/>
    <mergeCell ref="A136:E136"/>
    <mergeCell ref="A116:B116"/>
    <mergeCell ref="A117:B117"/>
    <mergeCell ref="A118:B118"/>
    <mergeCell ref="A119:B119"/>
    <mergeCell ref="A120:B120"/>
    <mergeCell ref="A121:B121"/>
    <mergeCell ref="A122:C122"/>
    <mergeCell ref="A123:E125"/>
  </mergeCells>
  <conditionalFormatting sqref="B3:B7 G3:G7 E4:E7 G11 B11:B12 D11:E14 G14">
    <cfRule type="expression" dxfId="41" priority="1">
      <formula>ISBLANK(B3)</formula>
    </cfRule>
  </conditionalFormatting>
  <conditionalFormatting sqref="B5">
    <cfRule type="cellIs" dxfId="40" priority="2" operator="equal">
      <formula>"Yes"</formula>
    </cfRule>
  </conditionalFormatting>
  <conditionalFormatting sqref="B13:B14">
    <cfRule type="cellIs" dxfId="39" priority="3" operator="greaterThan">
      <formula>2001</formula>
    </cfRule>
    <cfRule type="cellIs" dxfId="38" priority="4" operator="between">
      <formula>1501</formula>
      <formula>2000</formula>
    </cfRule>
    <cfRule type="cellIs" dxfId="37" priority="5" operator="between">
      <formula>1001</formula>
      <formula>1500</formula>
    </cfRule>
    <cfRule type="cellIs" dxfId="36" priority="6" operator="between">
      <formula>0</formula>
      <formula>1000</formula>
    </cfRule>
  </conditionalFormatting>
  <dataValidations count="6">
    <dataValidation type="list" allowBlank="1" showInputMessage="1" showErrorMessage="1" sqref="G14 G11" xr:uid="{358E6D08-51EE-4A5D-A7C0-3FEDEC31B11E}">
      <formula1>"Y,N"</formula1>
    </dataValidation>
    <dataValidation type="list" allowBlank="1" showInputMessage="1" showErrorMessage="1" sqref="E4" xr:uid="{E16E098B-3804-4180-9DAA-D2B20248E5A0}">
      <formula1>$L$2:$L$5</formula1>
    </dataValidation>
    <dataValidation type="list" allowBlank="1" showInputMessage="1" showErrorMessage="1" sqref="E7" xr:uid="{60DB2E84-5F0B-4F82-8E59-B022C8D4EB6A}">
      <formula1>$J$22:$J$78</formula1>
    </dataValidation>
    <dataValidation type="list" allowBlank="1" showInputMessage="1" showErrorMessage="1" sqref="B7" xr:uid="{9CB4BE37-D69E-4D84-894F-F745F42AFC78}">
      <formula1>"Double,Single"</formula1>
    </dataValidation>
    <dataValidation type="decimal" allowBlank="1" showInputMessage="1" showErrorMessage="1" sqref="B11:B12 D11:E14 G3:G7 E5:E6 B6" xr:uid="{118A090F-25D9-4862-A328-16C93CAA16F5}">
      <formula1>-1000</formula1>
      <formula2>1000</formula2>
    </dataValidation>
    <dataValidation type="list" allowBlank="1" showInputMessage="1" showErrorMessage="1" sqref="B5" xr:uid="{AE6CED49-6557-494C-B51C-3D2923BE1016}">
      <formula1>$K$2:$K$3</formula1>
    </dataValidation>
  </dataValidations>
  <pageMargins left="0.7" right="0.7" top="0.75" bottom="0.75" header="0.3" footer="0.3"/>
  <pageSetup paperSize="9" scale="50" fitToWidth="0" fitToHeight="0"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0C78F-4C40-432B-B878-E895218F132B}">
  <sheetPr codeName="Sheet9">
    <tabColor theme="1" tint="0.34998626667073579"/>
    <pageSetUpPr fitToPage="1"/>
  </sheetPr>
  <dimension ref="A1:AG76"/>
  <sheetViews>
    <sheetView zoomScaleNormal="100" zoomScaleSheetLayoutView="100" workbookViewId="0">
      <selection activeCell="R13" sqref="R13"/>
    </sheetView>
  </sheetViews>
  <sheetFormatPr defaultColWidth="2.5703125" defaultRowHeight="12.75"/>
  <cols>
    <col min="1" max="1" width="8.5703125" style="109" bestFit="1" customWidth="1"/>
    <col min="2" max="2" width="10.42578125" style="109" bestFit="1" customWidth="1"/>
    <col min="3" max="3" width="5.42578125" style="109" bestFit="1" customWidth="1"/>
    <col min="4" max="4" width="8" style="109" customWidth="1"/>
    <col min="5" max="5" width="11.42578125" style="110" bestFit="1" customWidth="1"/>
    <col min="6" max="7" width="5.5703125" style="109" bestFit="1" customWidth="1"/>
    <col min="8" max="8" width="7" style="109" bestFit="1" customWidth="1"/>
    <col min="9" max="9" width="7.5703125" style="109" customWidth="1"/>
    <col min="10" max="10" width="7.85546875" style="109" customWidth="1"/>
    <col min="11" max="11" width="14.5703125" style="109" customWidth="1"/>
    <col min="12" max="12" width="7" style="109" bestFit="1" customWidth="1"/>
    <col min="13" max="13" width="12.5703125" style="109" customWidth="1"/>
    <col min="14" max="14" width="9" style="109" bestFit="1" customWidth="1"/>
    <col min="15" max="15" width="10.42578125" style="109" bestFit="1" customWidth="1"/>
    <col min="16" max="16" width="10.5703125" style="109" bestFit="1" customWidth="1"/>
    <col min="17" max="18" width="9.42578125" style="109" bestFit="1" customWidth="1"/>
    <col min="19" max="19" width="10.42578125" style="109" customWidth="1"/>
    <col min="20" max="21" width="9.42578125" style="109" bestFit="1" customWidth="1"/>
    <col min="22" max="22" width="10" style="109" bestFit="1" customWidth="1"/>
    <col min="23" max="23" width="13.140625" style="109" customWidth="1"/>
    <col min="24" max="24" width="8.5703125" style="109" customWidth="1"/>
    <col min="25" max="25" width="7.5703125" style="109" customWidth="1"/>
    <col min="26" max="26" width="8.42578125" style="109" bestFit="1" customWidth="1"/>
    <col min="27" max="27" width="9.5703125" style="109" customWidth="1"/>
    <col min="28" max="28" width="7.42578125" style="109" bestFit="1" customWidth="1"/>
    <col min="29" max="29" width="5" style="109" bestFit="1" customWidth="1"/>
    <col min="30" max="30" width="5.42578125" style="109" bestFit="1" customWidth="1"/>
    <col min="31" max="31" width="6.42578125" style="109" customWidth="1"/>
    <col min="32" max="32" width="10" style="109" bestFit="1" customWidth="1"/>
    <col min="33" max="33" width="10.140625" style="109" customWidth="1"/>
    <col min="34" max="16384" width="2.5703125" style="109"/>
  </cols>
  <sheetData>
    <row r="1" spans="1:33" ht="29.25" thickBot="1">
      <c r="A1" s="417" t="s">
        <v>10177</v>
      </c>
      <c r="B1" s="418"/>
      <c r="C1" s="418"/>
      <c r="D1" s="418"/>
      <c r="E1" s="418"/>
      <c r="F1" s="418"/>
      <c r="G1" s="418"/>
      <c r="H1" s="418"/>
      <c r="I1" s="418"/>
      <c r="J1" s="418"/>
      <c r="K1" s="418"/>
      <c r="L1" s="418"/>
      <c r="M1" s="418"/>
      <c r="N1" s="418"/>
      <c r="O1" s="418"/>
      <c r="P1" s="418"/>
      <c r="Q1" s="418"/>
      <c r="R1" s="418"/>
      <c r="S1" s="418"/>
      <c r="T1" s="418"/>
      <c r="U1" s="418"/>
      <c r="V1" s="418"/>
      <c r="W1" s="418"/>
      <c r="X1" s="418"/>
      <c r="Y1" s="419"/>
    </row>
    <row r="2" spans="1:33" ht="5.25" customHeight="1"/>
    <row r="3" spans="1:33" s="113" customFormat="1" ht="15">
      <c r="A3" s="477" t="s">
        <v>105</v>
      </c>
      <c r="B3" s="477"/>
      <c r="C3" s="478"/>
      <c r="D3" s="478"/>
      <c r="E3" s="478"/>
      <c r="F3" s="478"/>
      <c r="G3" s="183"/>
      <c r="H3" s="477" t="s">
        <v>326</v>
      </c>
      <c r="I3" s="477"/>
      <c r="J3" s="477"/>
      <c r="K3" s="479" t="str">
        <f>IF($C$3&lt;&gt;"",_xlfn.XLOOKUP($C$3,Table6[Estate],Table6[Contact]),"")</f>
        <v/>
      </c>
      <c r="L3" s="479"/>
      <c r="M3" s="479"/>
      <c r="N3" s="477" t="s">
        <v>7255</v>
      </c>
      <c r="O3" s="477"/>
      <c r="P3" s="70"/>
      <c r="Q3" s="111"/>
      <c r="R3" s="477" t="s">
        <v>9783</v>
      </c>
      <c r="S3" s="477"/>
      <c r="T3" s="477"/>
      <c r="U3" s="70"/>
      <c r="V3" s="112"/>
      <c r="W3" s="477" t="s">
        <v>7253</v>
      </c>
      <c r="X3" s="477"/>
      <c r="Y3" s="71"/>
    </row>
    <row r="4" spans="1:33" s="113" customFormat="1" ht="15">
      <c r="A4" s="477" t="s">
        <v>7254</v>
      </c>
      <c r="B4" s="477"/>
      <c r="C4" s="479" t="str">
        <f>IF($C$3&lt;&gt;"",_xlfn.XLOOKUP($C$3,Table6[Estate],Table6[Suburb]),"")</f>
        <v/>
      </c>
      <c r="D4" s="479"/>
      <c r="E4" s="479"/>
      <c r="F4" s="479"/>
      <c r="G4" s="183"/>
      <c r="H4" s="477" t="s">
        <v>327</v>
      </c>
      <c r="I4" s="477"/>
      <c r="J4" s="477"/>
      <c r="K4" s="479" t="str">
        <f>IF($C$3&lt;&gt;"",_xlfn.XLOOKUP($C$3,Table6[Estate],Table6[Contact mobile]),"")</f>
        <v/>
      </c>
      <c r="L4" s="479"/>
      <c r="M4" s="479"/>
      <c r="N4" s="477" t="s">
        <v>7258</v>
      </c>
      <c r="O4" s="477"/>
      <c r="P4" s="72"/>
      <c r="Q4" s="111"/>
      <c r="R4" s="477" t="s">
        <v>7256</v>
      </c>
      <c r="S4" s="477"/>
      <c r="T4" s="477"/>
      <c r="U4" s="70"/>
      <c r="V4" s="112"/>
      <c r="W4" s="477" t="s">
        <v>7257</v>
      </c>
      <c r="X4" s="477"/>
      <c r="Y4" s="71"/>
    </row>
    <row r="5" spans="1:33" s="113" customFormat="1" ht="15">
      <c r="A5" s="477" t="s">
        <v>325</v>
      </c>
      <c r="B5" s="477"/>
      <c r="C5" s="479" t="str">
        <f>IF($C$3&lt;&gt;"",_xlfn.XLOOKUP($C$3,Table6[Estate],Table6[Developer]),"")</f>
        <v/>
      </c>
      <c r="D5" s="479"/>
      <c r="E5" s="479"/>
      <c r="F5" s="479"/>
      <c r="G5" s="183"/>
      <c r="H5" s="477" t="s">
        <v>328</v>
      </c>
      <c r="I5" s="477"/>
      <c r="J5" s="477"/>
      <c r="K5" s="479" t="str">
        <f>IF($C$3&lt;&gt;"",_xlfn.XLOOKUP($C$3,Table6[Estate],Table6[Contact email]),"")</f>
        <v/>
      </c>
      <c r="L5" s="479"/>
      <c r="M5" s="479"/>
      <c r="R5" s="477" t="s">
        <v>7259</v>
      </c>
      <c r="S5" s="477"/>
      <c r="T5" s="477"/>
      <c r="U5" s="114" t="str">
        <f>IF($A$10&lt;&gt;"",_xlfn.XLOOKUP(CONCATENATE($C$3,A10),Table6[Concatenate],Table6[POS number],""),"")</f>
        <v/>
      </c>
      <c r="W5" s="477" t="s">
        <v>7252</v>
      </c>
      <c r="X5" s="477"/>
      <c r="Y5" s="70"/>
    </row>
    <row r="6" spans="1:33" ht="5.25" customHeight="1" thickBot="1"/>
    <row r="7" spans="1:33" s="115" customFormat="1" ht="16.5" thickBot="1">
      <c r="A7" s="420" t="s">
        <v>7260</v>
      </c>
      <c r="B7" s="421"/>
      <c r="C7" s="421"/>
      <c r="D7" s="421"/>
      <c r="E7" s="421"/>
      <c r="F7" s="421"/>
      <c r="G7" s="421"/>
      <c r="H7" s="421"/>
      <c r="I7" s="421"/>
      <c r="J7" s="421"/>
      <c r="K7" s="421"/>
      <c r="L7" s="421"/>
      <c r="M7" s="421"/>
      <c r="N7" s="421"/>
      <c r="O7" s="421"/>
      <c r="P7" s="421"/>
      <c r="Q7" s="421"/>
      <c r="R7" s="421"/>
      <c r="S7" s="421"/>
      <c r="T7" s="421"/>
      <c r="U7" s="421"/>
      <c r="V7" s="421"/>
      <c r="W7" s="421"/>
      <c r="X7" s="421"/>
      <c r="Y7" s="422"/>
    </row>
    <row r="8" spans="1:33" s="115" customFormat="1" ht="16.5" thickBot="1">
      <c r="A8" s="423" t="s">
        <v>7090</v>
      </c>
      <c r="B8" s="424"/>
      <c r="C8" s="424"/>
      <c r="D8" s="424"/>
      <c r="E8" s="424"/>
      <c r="F8" s="424"/>
      <c r="G8" s="424"/>
      <c r="H8" s="424"/>
      <c r="I8" s="424"/>
      <c r="J8" s="424"/>
      <c r="K8" s="424"/>
      <c r="L8" s="424"/>
      <c r="M8" s="424"/>
      <c r="N8" s="425"/>
      <c r="O8" s="426" t="s">
        <v>7261</v>
      </c>
      <c r="P8" s="427"/>
      <c r="Q8" s="117" t="s">
        <v>7262</v>
      </c>
      <c r="R8" s="426" t="s">
        <v>7261</v>
      </c>
      <c r="S8" s="428"/>
      <c r="T8" s="427"/>
      <c r="U8" s="423" t="s">
        <v>7090</v>
      </c>
      <c r="V8" s="425"/>
      <c r="W8" s="404" t="s">
        <v>7261</v>
      </c>
      <c r="X8" s="405"/>
      <c r="Y8" s="405"/>
      <c r="Z8" s="482" t="s">
        <v>7263</v>
      </c>
      <c r="AA8" s="483"/>
      <c r="AB8" s="483"/>
      <c r="AC8" s="483"/>
      <c r="AD8" s="483"/>
      <c r="AE8" s="483"/>
      <c r="AF8" s="483"/>
      <c r="AG8" s="484"/>
    </row>
    <row r="9" spans="1:33" s="127" customFormat="1" ht="51.75" thickBot="1">
      <c r="A9" s="119" t="s">
        <v>322</v>
      </c>
      <c r="B9" s="120" t="s">
        <v>7265</v>
      </c>
      <c r="C9" s="485" t="s">
        <v>7266</v>
      </c>
      <c r="D9" s="485"/>
      <c r="E9" s="485"/>
      <c r="F9" s="120" t="s">
        <v>7348</v>
      </c>
      <c r="G9" s="120" t="s">
        <v>7349</v>
      </c>
      <c r="H9" s="120" t="s">
        <v>7267</v>
      </c>
      <c r="I9" s="120" t="s">
        <v>7268</v>
      </c>
      <c r="J9" s="120" t="s">
        <v>10925</v>
      </c>
      <c r="K9" s="120" t="s">
        <v>7269</v>
      </c>
      <c r="L9" s="120" t="s">
        <v>7270</v>
      </c>
      <c r="M9" s="120" t="s">
        <v>7271</v>
      </c>
      <c r="N9" s="121" t="s">
        <v>7272</v>
      </c>
      <c r="O9" s="122" t="s">
        <v>7273</v>
      </c>
      <c r="P9" s="123" t="s">
        <v>7274</v>
      </c>
      <c r="Q9" s="124" t="s">
        <v>7306</v>
      </c>
      <c r="R9" s="122" t="s">
        <v>7304</v>
      </c>
      <c r="S9" s="122" t="s">
        <v>7307</v>
      </c>
      <c r="T9" s="123" t="s">
        <v>7305</v>
      </c>
      <c r="U9" s="433" t="s">
        <v>7275</v>
      </c>
      <c r="V9" s="434"/>
      <c r="W9" s="122" t="s">
        <v>7277</v>
      </c>
      <c r="X9" s="480" t="s">
        <v>7278</v>
      </c>
      <c r="Y9" s="481"/>
      <c r="Z9" s="155" t="s">
        <v>7280</v>
      </c>
      <c r="AA9" s="156" t="s">
        <v>7281</v>
      </c>
      <c r="AB9" s="156" t="s">
        <v>7282</v>
      </c>
      <c r="AC9" s="156" t="s">
        <v>7283</v>
      </c>
      <c r="AD9" s="156" t="s">
        <v>7284</v>
      </c>
      <c r="AE9" s="396" t="s">
        <v>7366</v>
      </c>
      <c r="AF9" s="397" t="s">
        <v>10757</v>
      </c>
      <c r="AG9" s="395" t="s">
        <v>10758</v>
      </c>
    </row>
    <row r="10" spans="1:33" s="127" customFormat="1" ht="15">
      <c r="A10" s="73"/>
      <c r="B10" s="73"/>
      <c r="C10" s="486"/>
      <c r="D10" s="486"/>
      <c r="E10" s="486"/>
      <c r="F10" s="73"/>
      <c r="G10" s="73"/>
      <c r="H10" s="73"/>
      <c r="I10" s="73"/>
      <c r="J10" s="73"/>
      <c r="K10" s="74"/>
      <c r="L10" s="73"/>
      <c r="M10" s="74"/>
      <c r="N10" s="77"/>
      <c r="O10" s="128" t="str">
        <f>IF(K10&lt;&gt;"",
IF(AND($C$3&lt;&gt;"",$C$3&lt;&gt;"Bankside Estate"),_xlfn.XLOOKUP(K10,Table118[House],Table118[Price]),
IF(AND($C$3="Bankside Estate",OR(M10="Bankside",M10="Forde",M10="Elite",M10="Menzies",M10="Keating")),_xlfn.XLOOKUP(K10,Table118[House],Table118[Price]),
"BANKSIDE,FORDE,ELITE,MENZIES,KEATING ONLY")),"")</f>
        <v/>
      </c>
      <c r="P10" s="129" t="str" cm="1">
        <f t="array" ref="P10">IF(M10&lt;&gt;"",INDEX(Table118[Facade Price],MATCH(1,(Table118[House]=K10)*(Table118[Facade]=M10),0)),"")</f>
        <v/>
      </c>
      <c r="Q10" s="130"/>
      <c r="R10" s="131" t="str">
        <f>IF(B10&gt;0,(IF(((I10="No")*AND(IF(ISNA(MATCH("Yes",$I$10:$I$19,0)),"No","Yes")="Yes")),(SUM(M$23:M$49)-4620),(SUM(M$23:M$49)))),"")</f>
        <v/>
      </c>
      <c r="S10" s="132" t="str">
        <f>IFERROR(IF((H10-(_xlfn.XLOOKUP(K10,Table118[House],Table118[Lot Total]))&lt;=0),"",((H10-(_xlfn.XLOOKUP(K10,Table118[House],Table118[Lot Total]))-0)*39)),"")</f>
        <v/>
      </c>
      <c r="T10" s="154" t="str">
        <f>IF(AND(B10&lt;&gt;"",M10="Airlie"),(SUM(Y$23:Y$49)),
IF(AND(B10&lt;&gt;"",M10&lt;&gt;"Airlie"),SUM(Y$24:Y$49),""))</f>
        <v/>
      </c>
      <c r="U10" s="432" t="str">
        <f>IF(OR(AND(H10&lt;&gt;"",H10&lt;300),$C$4="Moe 3825",$C$4="Morwell 3840",$C$4="Traralgon 3844",$C$4="Churchill 3842",$C$4="Boolarra 3870",$C$4="Glengarry 3854",$C$4="Newborough 3825",$C$4="Traralgon South 3844",$C$4="Toongabbie 3856",$C$4="Tyers 3844",$C$4="Yallourn North 3825",$C$4="Yinnar 3869"),VALUE(5000),"")</f>
        <v/>
      </c>
      <c r="V10" s="432"/>
      <c r="W10" s="129" t="str">
        <f>IFERROR(IF(AND($P$4&lt;&gt;"",K10&lt;&gt;""),SUM(ROUNDUP(((SUM(O10:V10)-IF(T10&lt;&gt;"",T10,VALUE(0))+IF(W52&lt;&gt;"",W52,VALUE(0)))),-2)+IF(T10&lt;&gt;"",T10,VALUE(0))),""),"")</f>
        <v/>
      </c>
      <c r="X10" s="476" t="str">
        <f>IF(N10="","",N10+W10)</f>
        <v/>
      </c>
      <c r="Y10" s="476"/>
      <c r="Z10" s="133"/>
      <c r="AA10" s="133"/>
      <c r="AB10" s="134"/>
      <c r="AC10" s="134"/>
      <c r="AD10" s="133"/>
      <c r="AE10" s="176" t="str">
        <f>IFERROR(IF(OR(AND($F10&lt;&gt;"",_xlfn.XLOOKUP($K10,Houses!$A$4:$A$352,Houses!$D$4:$D$352)&gt;$F10),AND($G10&lt;&gt;"",_xlfn.XLOOKUP($K10,Houses!$A$4:$A$352,Houses!$E$4:$E$352)&gt;$G10)),"No","Yes"),"")</f>
        <v/>
      </c>
      <c r="AG10" s="127" t="str">
        <f>IFERROR((F10-_xlfn.XLOOKUP(K10,Table118[House],Table118[Frontage]))+2*(G10-_xlfn.XLOOKUP(K10,Table118[House],Table118[Depth])),"")</f>
        <v/>
      </c>
    </row>
    <row r="11" spans="1:33" s="135" customFormat="1" ht="15">
      <c r="A11" s="75"/>
      <c r="B11" s="75"/>
      <c r="C11" s="438"/>
      <c r="D11" s="438"/>
      <c r="E11" s="438"/>
      <c r="F11" s="75"/>
      <c r="G11" s="75"/>
      <c r="H11" s="73"/>
      <c r="I11" s="75"/>
      <c r="J11" s="73"/>
      <c r="K11" s="74"/>
      <c r="L11" s="73"/>
      <c r="M11" s="74"/>
      <c r="N11" s="77"/>
      <c r="O11" s="128" t="str">
        <f>IF(K11&lt;&gt;"",
IF(AND($C$3&lt;&gt;"",$C$3&lt;&gt;"Bankside Estate"),_xlfn.XLOOKUP(K11,Table118[House],Table118[Price]),
IF(AND($C$3="Bankside Estate",OR(M11="Bankside",M11="Forde",M11="Elite",M11="Menzies",M11="Keating")),_xlfn.XLOOKUP(K11,Table118[House],Table118[Price]),
"BANKSIDE,FORDE,ELITE,MENZIES,KEATING ONLY")),"")</f>
        <v/>
      </c>
      <c r="P11" s="129" t="str" cm="1">
        <f t="array" ref="P11">IF(M11&lt;&gt;"",INDEX(Table118[Facade Price],MATCH(1,(Table118[House]=K11)*(Table118[Facade]=M11),0)),"")</f>
        <v/>
      </c>
      <c r="Q11" s="130"/>
      <c r="R11" s="131" t="str">
        <f t="shared" ref="R11:R19" si="0">IF(B11&gt;0,(IF(((I11="No")*AND(IF(ISNA(MATCH("Yes",$I$10:$I$19,0)),"No","Yes")="Yes")),(SUM(M$23:M$49)-4620),(SUM(M$23:M$49)))),"")</f>
        <v/>
      </c>
      <c r="S11" s="132" t="str">
        <f>IFERROR(IF((H11-(_xlfn.XLOOKUP(K11,Table118[House],Table118[Lot Total]))&lt;=0),"",((H11-(_xlfn.XLOOKUP(K11,Table118[House],Table118[Lot Total]))-0)*39)),"")</f>
        <v/>
      </c>
      <c r="T11" s="154" t="str">
        <f t="shared" ref="T11:T19" si="1">IF(AND(B11&lt;&gt;"",M11="Airlie"),(SUM(Y$23:Y$49)),
IF(AND(B11&lt;&gt;"",M11&lt;&gt;"Airlie"),SUM(Y$24:Y$49),""))</f>
        <v/>
      </c>
      <c r="U11" s="432" t="str">
        <f t="shared" ref="U11:U19" si="2">IF(OR(AND(H11&lt;&gt;"",H11&lt;300),$C$4="Moe 3825",$C$4="Morwell 3840",$C$4="Traralgon 3844",$C$4="Churchill 3842",$C$4="Boolarra 3870",$C$4="Glengarry 3854",$C$4="Newborough 3825",$C$4="Traralgon South 3844",$C$4="Toongabbie 3856",$C$4="Tyers 3844",$C$4="Yallourn North 3825",$C$4="Yinnar 3869"),VALUE(5000),"")</f>
        <v/>
      </c>
      <c r="V11" s="432"/>
      <c r="W11" s="129" t="str">
        <f t="shared" ref="W11:W19" si="3">IFERROR(IF(AND($P$4&lt;&gt;"",K11&lt;&gt;""),SUM(ROUNDUP(((SUM(O11:V11)-IF(T11&lt;&gt;"",T11,VALUE(0))+IF(W53&lt;&gt;"",W53,VALUE(0)))),-2)+IF(T11&lt;&gt;"",T11,VALUE(0))),""),"")</f>
        <v/>
      </c>
      <c r="X11" s="476" t="str">
        <f t="shared" ref="X11:X19" si="4">IF(N11="","",N11+W11)</f>
        <v/>
      </c>
      <c r="Y11" s="476"/>
      <c r="Z11" s="133"/>
      <c r="AA11" s="133"/>
      <c r="AB11" s="134"/>
      <c r="AC11" s="134"/>
      <c r="AD11" s="133"/>
      <c r="AE11" s="176" t="str">
        <f>IFERROR(IF(OR(AND($F11&lt;&gt;"",_xlfn.XLOOKUP($K11,Houses!$A$4:$A$352,Houses!$D$4:$D$352)&gt;$F11),AND($G11&lt;&gt;"",_xlfn.XLOOKUP($K11,Houses!$A$4:$A$352,Houses!$E$4:$E$352)&gt;$G11)),"No","Yes"),"")</f>
        <v/>
      </c>
      <c r="AG11" s="127" t="str">
        <f>IFERROR((F11-_xlfn.XLOOKUP(K11,Table118[House],Table118[Frontage]))+2*(G11-_xlfn.XLOOKUP(K11,Table118[House],Table118[Depth])),"")</f>
        <v/>
      </c>
    </row>
    <row r="12" spans="1:33" s="135" customFormat="1" ht="15">
      <c r="A12" s="75"/>
      <c r="B12" s="75"/>
      <c r="C12" s="438"/>
      <c r="D12" s="438"/>
      <c r="E12" s="438"/>
      <c r="F12" s="75"/>
      <c r="G12" s="75"/>
      <c r="H12" s="73"/>
      <c r="I12" s="75"/>
      <c r="J12" s="73"/>
      <c r="K12" s="74"/>
      <c r="L12" s="73"/>
      <c r="M12" s="74"/>
      <c r="N12" s="77"/>
      <c r="O12" s="128" t="str">
        <f>IF(K12&lt;&gt;"",
IF(AND($C$3&lt;&gt;"",$C$3&lt;&gt;"Bankside Estate"),_xlfn.XLOOKUP(K12,Table118[House],Table118[Price]),
IF(AND($C$3="Bankside Estate",OR(M12="Bankside",M12="Forde",M12="Elite",M12="Menzies",M12="Keating")),_xlfn.XLOOKUP(K12,Table118[House],Table118[Price]),
"BANKSIDE,FORDE,ELITE,MENZIES,KEATING ONLY")),"")</f>
        <v/>
      </c>
      <c r="P12" s="129" t="str" cm="1">
        <f t="array" ref="P12">IF(M12&lt;&gt;"",INDEX(Table118[Facade Price],MATCH(1,(Table118[House]=K12)*(Table118[Facade]=M12),0)),"")</f>
        <v/>
      </c>
      <c r="Q12" s="130"/>
      <c r="R12" s="131" t="str">
        <f t="shared" si="0"/>
        <v/>
      </c>
      <c r="S12" s="132" t="str">
        <f>IFERROR(IF((H12-(_xlfn.XLOOKUP(K12,Table118[House],Table118[Lot Total]))&lt;=0),"",((H12-(_xlfn.XLOOKUP(K12,Table118[House],Table118[Lot Total]))-0)*39)),"")</f>
        <v/>
      </c>
      <c r="T12" s="154" t="str">
        <f t="shared" si="1"/>
        <v/>
      </c>
      <c r="U12" s="432" t="str">
        <f t="shared" si="2"/>
        <v/>
      </c>
      <c r="V12" s="432"/>
      <c r="W12" s="129" t="str">
        <f t="shared" si="3"/>
        <v/>
      </c>
      <c r="X12" s="476" t="str">
        <f t="shared" si="4"/>
        <v/>
      </c>
      <c r="Y12" s="476"/>
      <c r="Z12" s="133"/>
      <c r="AA12" s="133"/>
      <c r="AB12" s="134"/>
      <c r="AC12" s="134"/>
      <c r="AD12" s="133"/>
      <c r="AE12" s="176" t="str">
        <f>IFERROR(IF(OR(AND($F12&lt;&gt;"",_xlfn.XLOOKUP($K12,Houses!$A$4:$A$352,Houses!$D$4:$D$352)&gt;$F12),AND($G12&lt;&gt;"",_xlfn.XLOOKUP($K12,Houses!$A$4:$A$352,Houses!$E$4:$E$352)&gt;$G12)),"No","Yes"),"")</f>
        <v/>
      </c>
      <c r="AG12" s="127" t="str">
        <f>IFERROR((F12-_xlfn.XLOOKUP(K12,Table118[House],Table118[Frontage]))+2*(G12-_xlfn.XLOOKUP(K12,Table118[House],Table118[Depth])),"")</f>
        <v/>
      </c>
    </row>
    <row r="13" spans="1:33" s="135" customFormat="1" ht="15">
      <c r="A13" s="75"/>
      <c r="B13" s="75"/>
      <c r="C13" s="438"/>
      <c r="D13" s="438"/>
      <c r="E13" s="438"/>
      <c r="F13" s="75"/>
      <c r="G13" s="75"/>
      <c r="H13" s="73"/>
      <c r="I13" s="75"/>
      <c r="J13" s="73"/>
      <c r="K13" s="74"/>
      <c r="L13" s="73"/>
      <c r="M13" s="74"/>
      <c r="N13" s="77"/>
      <c r="O13" s="128" t="str">
        <f>IF(K13&lt;&gt;"",
IF(AND($C$3&lt;&gt;"",$C$3&lt;&gt;"Bankside Estate"),_xlfn.XLOOKUP(K13,Table118[House],Table118[Price]),
IF(AND($C$3="Bankside Estate",OR(M13="Bankside",M13="Forde",M13="Elite",M13="Menzies",M13="Keating")),_xlfn.XLOOKUP(K13,Table118[House],Table118[Price]),
"BANKSIDE,FORDE,ELITE,MENZIES,KEATING ONLY")),"")</f>
        <v/>
      </c>
      <c r="P13" s="129" t="str" cm="1">
        <f t="array" ref="P13">IF(M13&lt;&gt;"",INDEX(Table118[Facade Price],MATCH(1,(Table118[House]=K13)*(Table118[Facade]=M13),0)),"")</f>
        <v/>
      </c>
      <c r="Q13" s="130"/>
      <c r="R13" s="131" t="str">
        <f t="shared" si="0"/>
        <v/>
      </c>
      <c r="S13" s="132" t="str">
        <f>IFERROR(IF((H13-(_xlfn.XLOOKUP(K13,Table118[House],Table118[Lot Total]))&lt;=0),"",((H13-(_xlfn.XLOOKUP(K13,Table118[House],Table118[Lot Total]))-0)*39)),"")</f>
        <v/>
      </c>
      <c r="T13" s="154" t="str">
        <f t="shared" si="1"/>
        <v/>
      </c>
      <c r="U13" s="432" t="str">
        <f t="shared" si="2"/>
        <v/>
      </c>
      <c r="V13" s="432"/>
      <c r="W13" s="129" t="str">
        <f t="shared" si="3"/>
        <v/>
      </c>
      <c r="X13" s="476" t="str">
        <f t="shared" si="4"/>
        <v/>
      </c>
      <c r="Y13" s="476"/>
      <c r="Z13" s="133"/>
      <c r="AA13" s="133"/>
      <c r="AB13" s="134"/>
      <c r="AC13" s="134"/>
      <c r="AD13" s="133"/>
      <c r="AE13" s="176" t="str">
        <f>IFERROR(IF(OR(AND($F13&lt;&gt;"",_xlfn.XLOOKUP($K13,Houses!$A$4:$A$352,Houses!$D$4:$D$352)&gt;$F13),AND($G13&lt;&gt;"",_xlfn.XLOOKUP($K13,Houses!$A$4:$A$352,Houses!$E$4:$E$352)&gt;$G13)),"No","Yes"),"")</f>
        <v/>
      </c>
      <c r="AG13" s="127" t="str">
        <f>IFERROR((F13-_xlfn.XLOOKUP(K13,Table118[House],Table118[Frontage]))+2*(G13-_xlfn.XLOOKUP(K13,Table118[House],Table118[Depth])),"")</f>
        <v/>
      </c>
    </row>
    <row r="14" spans="1:33" s="135" customFormat="1" ht="15">
      <c r="A14" s="75"/>
      <c r="B14" s="75"/>
      <c r="C14" s="438"/>
      <c r="D14" s="438"/>
      <c r="E14" s="438"/>
      <c r="F14" s="75"/>
      <c r="G14" s="75"/>
      <c r="H14" s="73"/>
      <c r="I14" s="75"/>
      <c r="J14" s="73"/>
      <c r="K14" s="74"/>
      <c r="L14" s="73"/>
      <c r="M14" s="74"/>
      <c r="N14" s="77"/>
      <c r="O14" s="128" t="str">
        <f>IF(K14&lt;&gt;"",
IF(AND($C$3&lt;&gt;"",$C$3&lt;&gt;"Bankside Estate"),_xlfn.XLOOKUP(K14,Table118[House],Table118[Price]),
IF(AND($C$3="Bankside Estate",OR(M14="Bankside",M14="Forde",M14="Elite",M14="Menzies",M14="Keating")),_xlfn.XLOOKUP(K14,Table118[House],Table118[Price]),
"BANKSIDE,FORDE,ELITE,MENZIES,KEATING ONLY")),"")</f>
        <v/>
      </c>
      <c r="P14" s="129" t="str" cm="1">
        <f t="array" ref="P14">IF(M14&lt;&gt;"",INDEX(Table118[Facade Price],MATCH(1,(Table118[House]=K14)*(Table118[Facade]=M14),0)),"")</f>
        <v/>
      </c>
      <c r="Q14" s="130"/>
      <c r="R14" s="131" t="str">
        <f t="shared" si="0"/>
        <v/>
      </c>
      <c r="S14" s="132" t="str">
        <f>IFERROR(IF((H14-(_xlfn.XLOOKUP(K14,Table118[House],Table118[Lot Total]))&lt;=0),"",((H14-(_xlfn.XLOOKUP(K14,Table118[House],Table118[Lot Total]))-0)*39)),"")</f>
        <v/>
      </c>
      <c r="T14" s="154" t="str">
        <f t="shared" si="1"/>
        <v/>
      </c>
      <c r="U14" s="432" t="str">
        <f t="shared" si="2"/>
        <v/>
      </c>
      <c r="V14" s="432"/>
      <c r="W14" s="129" t="str">
        <f t="shared" si="3"/>
        <v/>
      </c>
      <c r="X14" s="476" t="str">
        <f t="shared" si="4"/>
        <v/>
      </c>
      <c r="Y14" s="476"/>
      <c r="Z14" s="133"/>
      <c r="AA14" s="133"/>
      <c r="AB14" s="134"/>
      <c r="AC14" s="134"/>
      <c r="AD14" s="133"/>
      <c r="AE14" s="176" t="str">
        <f>IFERROR(IF(OR(AND($F14&lt;&gt;"",_xlfn.XLOOKUP($K14,Houses!$A$4:$A$352,Houses!$D$4:$D$352)&gt;$F14),AND($G14&lt;&gt;"",_xlfn.XLOOKUP($K14,Houses!$A$4:$A$352,Houses!$E$4:$E$352)&gt;$G14)),"No","Yes"),"")</f>
        <v/>
      </c>
      <c r="AG14" s="127" t="str">
        <f>IFERROR((F14-_xlfn.XLOOKUP(K14,Table118[House],Table118[Frontage]))+2*(G14-_xlfn.XLOOKUP(K14,Table118[House],Table118[Depth])),"")</f>
        <v/>
      </c>
    </row>
    <row r="15" spans="1:33" s="135" customFormat="1" ht="15">
      <c r="A15" s="75"/>
      <c r="B15" s="75"/>
      <c r="C15" s="438"/>
      <c r="D15" s="438"/>
      <c r="E15" s="438"/>
      <c r="F15" s="75"/>
      <c r="G15" s="75"/>
      <c r="H15" s="73"/>
      <c r="I15" s="75"/>
      <c r="J15" s="73"/>
      <c r="K15" s="74"/>
      <c r="L15" s="73"/>
      <c r="M15" s="74"/>
      <c r="N15" s="77"/>
      <c r="O15" s="128" t="str">
        <f>IF(K15&lt;&gt;"",
IF(AND($C$3&lt;&gt;"",$C$3&lt;&gt;"Bankside Estate"),_xlfn.XLOOKUP(K15,Table118[House],Table118[Price]),
IF(AND($C$3="Bankside Estate",OR(M15="Bankside",M15="Forde",M15="Elite",M15="Menzies",M15="Keating")),_xlfn.XLOOKUP(K15,Table118[House],Table118[Price]),
"BANKSIDE,FORDE,ELITE,MENZIES,KEATING ONLY")),"")</f>
        <v/>
      </c>
      <c r="P15" s="129" t="str" cm="1">
        <f t="array" ref="P15">IF(M15&lt;&gt;"",INDEX(Table118[Facade Price],MATCH(1,(Table118[House]=K15)*(Table118[Facade]=M15),0)),"")</f>
        <v/>
      </c>
      <c r="Q15" s="130"/>
      <c r="R15" s="131" t="str">
        <f t="shared" si="0"/>
        <v/>
      </c>
      <c r="S15" s="132" t="str">
        <f>IFERROR(IF((H15-(_xlfn.XLOOKUP(K15,Table118[House],Table118[Lot Total]))&lt;=0),"",((H15-(_xlfn.XLOOKUP(K15,Table118[House],Table118[Lot Total]))-0)*39)),"")</f>
        <v/>
      </c>
      <c r="T15" s="154" t="str">
        <f t="shared" si="1"/>
        <v/>
      </c>
      <c r="U15" s="432" t="str">
        <f t="shared" si="2"/>
        <v/>
      </c>
      <c r="V15" s="432"/>
      <c r="W15" s="129" t="str">
        <f t="shared" si="3"/>
        <v/>
      </c>
      <c r="X15" s="476" t="str">
        <f t="shared" si="4"/>
        <v/>
      </c>
      <c r="Y15" s="476"/>
      <c r="Z15" s="133"/>
      <c r="AA15" s="133"/>
      <c r="AB15" s="134"/>
      <c r="AC15" s="134"/>
      <c r="AD15" s="133"/>
      <c r="AE15" s="176" t="str">
        <f>IFERROR(IF(OR(AND($F15&lt;&gt;"",_xlfn.XLOOKUP($K15,Houses!$A$4:$A$352,Houses!$D$4:$D$352)&gt;$F15),AND($G15&lt;&gt;"",_xlfn.XLOOKUP($K15,Houses!$A$4:$A$352,Houses!$E$4:$E$352)&gt;$G15)),"No","Yes"),"")</f>
        <v/>
      </c>
      <c r="AG15" s="127" t="str">
        <f>IFERROR((F15-_xlfn.XLOOKUP(K15,Table118[House],Table118[Frontage]))+2*(G15-_xlfn.XLOOKUP(K15,Table118[House],Table118[Depth])),"")</f>
        <v/>
      </c>
    </row>
    <row r="16" spans="1:33" s="135" customFormat="1" ht="15">
      <c r="A16" s="75"/>
      <c r="B16" s="75"/>
      <c r="C16" s="438"/>
      <c r="D16" s="438"/>
      <c r="E16" s="438"/>
      <c r="F16" s="75"/>
      <c r="G16" s="75"/>
      <c r="H16" s="73"/>
      <c r="I16" s="75"/>
      <c r="J16" s="73"/>
      <c r="K16" s="74"/>
      <c r="L16" s="73"/>
      <c r="M16" s="74"/>
      <c r="N16" s="77"/>
      <c r="O16" s="128" t="str">
        <f>IF(K16&lt;&gt;"",
IF(AND($C$3&lt;&gt;"",$C$3&lt;&gt;"Bankside Estate"),_xlfn.XLOOKUP(K16,Table118[House],Table118[Price]),
IF(AND($C$3="Bankside Estate",OR(M16="Bankside",M16="Forde",M16="Elite",M16="Menzies",M16="Keating")),_xlfn.XLOOKUP(K16,Table118[House],Table118[Price]),
"BANKSIDE,FORDE,ELITE,MENZIES,KEATING ONLY")),"")</f>
        <v/>
      </c>
      <c r="P16" s="129" t="str" cm="1">
        <f t="array" ref="P16">IF(M16&lt;&gt;"",INDEX(Table118[Facade Price],MATCH(1,(Table118[House]=K16)*(Table118[Facade]=M16),0)),"")</f>
        <v/>
      </c>
      <c r="Q16" s="130"/>
      <c r="R16" s="131" t="str">
        <f t="shared" si="0"/>
        <v/>
      </c>
      <c r="S16" s="132" t="str">
        <f>IFERROR(IF((H16-(_xlfn.XLOOKUP(K16,Table118[House],Table118[Lot Total]))&lt;=0),"",((H16-(_xlfn.XLOOKUP(K16,Table118[House],Table118[Lot Total]))-0)*39)),"")</f>
        <v/>
      </c>
      <c r="T16" s="154" t="str">
        <f t="shared" si="1"/>
        <v/>
      </c>
      <c r="U16" s="432" t="str">
        <f t="shared" si="2"/>
        <v/>
      </c>
      <c r="V16" s="432"/>
      <c r="W16" s="129" t="str">
        <f t="shared" si="3"/>
        <v/>
      </c>
      <c r="X16" s="476" t="str">
        <f t="shared" si="4"/>
        <v/>
      </c>
      <c r="Y16" s="476"/>
      <c r="Z16" s="133"/>
      <c r="AA16" s="133"/>
      <c r="AB16" s="134"/>
      <c r="AC16" s="134"/>
      <c r="AD16" s="133"/>
      <c r="AE16" s="176" t="str">
        <f>IFERROR(IF(OR(AND($F16&lt;&gt;"",_xlfn.XLOOKUP($K16,Houses!$A$4:$A$352,Houses!$D$4:$D$352)&gt;$F16),AND($G16&lt;&gt;"",_xlfn.XLOOKUP($K16,Houses!$A$4:$A$352,Houses!$E$4:$E$352)&gt;$G16)),"No","Yes"),"")</f>
        <v/>
      </c>
      <c r="AG16" s="127" t="str">
        <f>IFERROR((F16-_xlfn.XLOOKUP(K16,Table118[House],Table118[Frontage]))+2*(G16-_xlfn.XLOOKUP(K16,Table118[House],Table118[Depth])),"")</f>
        <v/>
      </c>
    </row>
    <row r="17" spans="1:33" s="135" customFormat="1" ht="15">
      <c r="A17" s="75"/>
      <c r="B17" s="75"/>
      <c r="C17" s="438"/>
      <c r="D17" s="438"/>
      <c r="E17" s="438"/>
      <c r="F17" s="75"/>
      <c r="G17" s="75"/>
      <c r="H17" s="73"/>
      <c r="I17" s="75"/>
      <c r="J17" s="73"/>
      <c r="K17" s="74"/>
      <c r="L17" s="73"/>
      <c r="M17" s="74"/>
      <c r="N17" s="77"/>
      <c r="O17" s="128" t="str">
        <f>IF(K17&lt;&gt;"",
IF(AND($C$3&lt;&gt;"",$C$3&lt;&gt;"Bankside Estate"),_xlfn.XLOOKUP(K17,Table118[House],Table118[Price]),
IF(AND($C$3="Bankside Estate",OR(M17="Bankside",M17="Forde",M17="Elite",M17="Menzies",M17="Keating")),_xlfn.XLOOKUP(K17,Table118[House],Table118[Price]),
"BANKSIDE,FORDE,ELITE,MENZIES,KEATING ONLY")),"")</f>
        <v/>
      </c>
      <c r="P17" s="129" t="str" cm="1">
        <f t="array" ref="P17">IF(M17&lt;&gt;"",INDEX(Table118[Facade Price],MATCH(1,(Table118[House]=K17)*(Table118[Facade]=M17),0)),"")</f>
        <v/>
      </c>
      <c r="Q17" s="130"/>
      <c r="R17" s="131" t="str">
        <f t="shared" si="0"/>
        <v/>
      </c>
      <c r="S17" s="132" t="str">
        <f>IFERROR(IF((H17-(_xlfn.XLOOKUP(K17,Table118[House],Table118[Lot Total]))&lt;=0),"",((H17-(_xlfn.XLOOKUP(K17,Table118[House],Table118[Lot Total]))-0)*39)),"")</f>
        <v/>
      </c>
      <c r="T17" s="154" t="str">
        <f t="shared" si="1"/>
        <v/>
      </c>
      <c r="U17" s="432" t="str">
        <f t="shared" si="2"/>
        <v/>
      </c>
      <c r="V17" s="432"/>
      <c r="W17" s="129" t="str">
        <f t="shared" si="3"/>
        <v/>
      </c>
      <c r="X17" s="476" t="str">
        <f t="shared" si="4"/>
        <v/>
      </c>
      <c r="Y17" s="476"/>
      <c r="Z17" s="133"/>
      <c r="AA17" s="133"/>
      <c r="AB17" s="134"/>
      <c r="AC17" s="134"/>
      <c r="AD17" s="133"/>
      <c r="AE17" s="176" t="str">
        <f>IFERROR(IF(OR(AND($F17&lt;&gt;"",_xlfn.XLOOKUP($K17,Houses!$A$4:$A$352,Houses!$D$4:$D$352)&gt;$F17),AND($G17&lt;&gt;"",_xlfn.XLOOKUP($K17,Houses!$A$4:$A$352,Houses!$E$4:$E$352)&gt;$G17)),"No","Yes"),"")</f>
        <v/>
      </c>
      <c r="AG17" s="127" t="str">
        <f>IFERROR((F17-_xlfn.XLOOKUP(K17,Table118[House],Table118[Frontage]))+2*(G17-_xlfn.XLOOKUP(K17,Table118[House],Table118[Depth])),"")</f>
        <v/>
      </c>
    </row>
    <row r="18" spans="1:33" s="135" customFormat="1" ht="15">
      <c r="A18" s="75"/>
      <c r="B18" s="75"/>
      <c r="C18" s="438"/>
      <c r="D18" s="438"/>
      <c r="E18" s="438"/>
      <c r="F18" s="75"/>
      <c r="G18" s="75"/>
      <c r="H18" s="73"/>
      <c r="I18" s="75"/>
      <c r="J18" s="73"/>
      <c r="K18" s="74"/>
      <c r="L18" s="73"/>
      <c r="M18" s="74"/>
      <c r="N18" s="77"/>
      <c r="O18" s="128" t="str">
        <f>IF(K18&lt;&gt;"",
IF(AND($C$3&lt;&gt;"",$C$3&lt;&gt;"Bankside Estate"),_xlfn.XLOOKUP(K18,Table118[House],Table118[Price]),
IF(AND($C$3="Bankside Estate",OR(M18="Bankside",M18="Forde",M18="Elite",M18="Menzies",M18="Keating")),_xlfn.XLOOKUP(K18,Table118[House],Table118[Price]),
"BANKSIDE,FORDE,ELITE,MENZIES,KEATING ONLY")),"")</f>
        <v/>
      </c>
      <c r="P18" s="129" t="str" cm="1">
        <f t="array" ref="P18">IF(M18&lt;&gt;"",INDEX(Table118[Facade Price],MATCH(1,(Table118[House]=K18)*(Table118[Facade]=M18),0)),"")</f>
        <v/>
      </c>
      <c r="Q18" s="130"/>
      <c r="R18" s="131" t="str">
        <f t="shared" si="0"/>
        <v/>
      </c>
      <c r="S18" s="132" t="str">
        <f>IFERROR(IF((H18-(_xlfn.XLOOKUP(K18,Table118[House],Table118[Lot Total]))&lt;=0),"",((H18-(_xlfn.XLOOKUP(K18,Table118[House],Table118[Lot Total]))-0)*39)),"")</f>
        <v/>
      </c>
      <c r="T18" s="154" t="str">
        <f t="shared" si="1"/>
        <v/>
      </c>
      <c r="U18" s="432" t="str">
        <f t="shared" si="2"/>
        <v/>
      </c>
      <c r="V18" s="432"/>
      <c r="W18" s="129" t="str">
        <f t="shared" si="3"/>
        <v/>
      </c>
      <c r="X18" s="476" t="str">
        <f t="shared" si="4"/>
        <v/>
      </c>
      <c r="Y18" s="476"/>
      <c r="Z18" s="133"/>
      <c r="AA18" s="133"/>
      <c r="AB18" s="134"/>
      <c r="AC18" s="134"/>
      <c r="AD18" s="133"/>
      <c r="AE18" s="176" t="str">
        <f>IFERROR(IF(OR(AND($F18&lt;&gt;"",_xlfn.XLOOKUP($K18,Houses!$A$4:$A$352,Houses!$D$4:$D$352)&gt;$F18),AND($G18&lt;&gt;"",_xlfn.XLOOKUP($K18,Houses!$A$4:$A$352,Houses!$E$4:$E$352)&gt;$G18)),"No","Yes"),"")</f>
        <v/>
      </c>
      <c r="AG18" s="127" t="str">
        <f>IFERROR((F18-_xlfn.XLOOKUP(K18,Table118[House],Table118[Frontage]))+2*(G18-_xlfn.XLOOKUP(K18,Table118[House],Table118[Depth])),"")</f>
        <v/>
      </c>
    </row>
    <row r="19" spans="1:33" s="127" customFormat="1" ht="15">
      <c r="A19" s="75"/>
      <c r="B19" s="75"/>
      <c r="C19" s="438"/>
      <c r="D19" s="438"/>
      <c r="E19" s="438"/>
      <c r="F19" s="75"/>
      <c r="G19" s="75"/>
      <c r="H19" s="73"/>
      <c r="I19" s="75"/>
      <c r="J19" s="73"/>
      <c r="K19" s="74"/>
      <c r="L19" s="73"/>
      <c r="M19" s="74"/>
      <c r="N19" s="77"/>
      <c r="O19" s="128" t="str">
        <f>IF(K19&lt;&gt;"",
IF(AND($C$3&lt;&gt;"",$C$3&lt;&gt;"Bankside Estate"),_xlfn.XLOOKUP(K19,Table118[House],Table118[Price]),
IF(AND($C$3="Bankside Estate",OR(M19="Bankside",M19="Forde",M19="Elite",M19="Menzies",M19="Keating")),_xlfn.XLOOKUP(K19,Table118[House],Table118[Price]),
"BANKSIDE,FORDE,ELITE,MENZIES,KEATING ONLY")),"")</f>
        <v/>
      </c>
      <c r="P19" s="129" t="str" cm="1">
        <f t="array" ref="P19">IF(M19&lt;&gt;"",INDEX(Table118[Facade Price],MATCH(1,(Table118[House]=K19)*(Table118[Facade]=M19),0)),"")</f>
        <v/>
      </c>
      <c r="Q19" s="130"/>
      <c r="R19" s="131" t="str">
        <f t="shared" si="0"/>
        <v/>
      </c>
      <c r="S19" s="132" t="str">
        <f>IFERROR(IF((H19-(_xlfn.XLOOKUP(K19,Table118[House],Table118[Lot Total]))&lt;=0),"",((H19-(_xlfn.XLOOKUP(K19,Table118[House],Table118[Lot Total]))-0)*39)),"")</f>
        <v/>
      </c>
      <c r="T19" s="154" t="str">
        <f t="shared" si="1"/>
        <v/>
      </c>
      <c r="U19" s="432" t="str">
        <f t="shared" si="2"/>
        <v/>
      </c>
      <c r="V19" s="432"/>
      <c r="W19" s="129" t="str">
        <f t="shared" si="3"/>
        <v/>
      </c>
      <c r="X19" s="476" t="str">
        <f t="shared" si="4"/>
        <v/>
      </c>
      <c r="Y19" s="476"/>
      <c r="Z19" s="133"/>
      <c r="AA19" s="133"/>
      <c r="AB19" s="134"/>
      <c r="AC19" s="134"/>
      <c r="AD19" s="133"/>
      <c r="AE19" s="176" t="str">
        <f>IFERROR(IF(OR(AND($F19&lt;&gt;"",_xlfn.XLOOKUP($K19,Houses!$A$4:$A$352,Houses!$D$4:$D$352)&gt;$F19),AND($G19&lt;&gt;"",_xlfn.XLOOKUP($K19,Houses!$A$4:$A$352,Houses!$E$4:$E$352)&gt;$G19)),"No","Yes"),"")</f>
        <v/>
      </c>
      <c r="AG19" s="127" t="str">
        <f>IFERROR((F19-_xlfn.XLOOKUP(K19,Table118[House],Table118[Frontage]))+2*(G19-_xlfn.XLOOKUP(K19,Table118[House],Table118[Depth])),"")</f>
        <v/>
      </c>
    </row>
    <row r="20" spans="1:33" ht="5.25" customHeight="1"/>
    <row r="21" spans="1:33" ht="15.75">
      <c r="A21" s="180" t="s">
        <v>7364</v>
      </c>
      <c r="B21" s="180"/>
      <c r="C21" s="180"/>
      <c r="D21" s="180"/>
      <c r="E21" s="180"/>
      <c r="O21" s="180" t="s">
        <v>7305</v>
      </c>
      <c r="P21" s="180"/>
      <c r="Q21" s="180"/>
      <c r="R21" s="136"/>
      <c r="S21" s="136"/>
      <c r="T21" s="136"/>
      <c r="U21" s="136"/>
      <c r="V21" s="136"/>
      <c r="W21" s="136"/>
      <c r="X21" s="136"/>
      <c r="Y21" s="136"/>
      <c r="Z21" s="136"/>
      <c r="AA21" s="127"/>
      <c r="AB21" s="127"/>
      <c r="AD21" s="127"/>
      <c r="AE21" s="127"/>
    </row>
    <row r="22" spans="1:33" ht="5.25" customHeight="1"/>
    <row r="23" spans="1:33">
      <c r="A23" s="435" t="str">
        <f>IF(AND($C$3&lt;&gt;"",$A$10&lt;&gt;""),IF(VLOOKUP(CONCATENATE($C$3,(INDEX($A$10:$A$19,COUNTA($A$10:$A$19),1))),ESTATES!$D:$AJ,7,FALSE)&lt;&gt;"",ESTATES!$J$10,""),"")</f>
        <v/>
      </c>
      <c r="B23" s="436"/>
      <c r="C23" s="436"/>
      <c r="D23" s="436"/>
      <c r="E23" s="436"/>
      <c r="F23" s="436"/>
      <c r="G23" s="436"/>
      <c r="H23" s="436"/>
      <c r="I23" s="436"/>
      <c r="J23" s="436"/>
      <c r="K23" s="436"/>
      <c r="L23" s="437"/>
      <c r="M23" s="137" t="str">
        <f>IF(A23&lt;&gt;"",_xlfn.XLOOKUP(CONCATENATE($C$3,(INDEX($A$10:$A$19,COUNTA($A$10:$A$19),1))),Table6[Concatenate],Table6[Provide 3rd pipe recycled water including connections to all Toilets, Washing Machine tap and 1No. Garden tap.],""),"")</f>
        <v/>
      </c>
      <c r="O23" s="429" t="str">
        <f>IF(COUNTIF(M10:M19,"Airlie")&gt;0,Upgrades!B17,"")</f>
        <v/>
      </c>
      <c r="P23" s="430"/>
      <c r="Q23" s="430"/>
      <c r="R23" s="430"/>
      <c r="S23" s="430"/>
      <c r="T23" s="430"/>
      <c r="U23" s="430"/>
      <c r="V23" s="430"/>
      <c r="W23" s="430"/>
      <c r="X23" s="431"/>
      <c r="Y23" s="138" t="str">
        <f>IF(O23&lt;&gt;"",_xlfn.XLOOKUP(O23,Table417[Kingsbridge Complete - Upgrades],Table417[$$]),"")</f>
        <v/>
      </c>
      <c r="Z23" s="140" t="s">
        <v>8965</v>
      </c>
      <c r="AA23" s="139"/>
      <c r="AB23" s="139"/>
      <c r="AC23" s="139"/>
    </row>
    <row r="24" spans="1:33" s="139" customFormat="1" ht="12.75" customHeight="1">
      <c r="A24" s="435" t="str">
        <f>IF(AND(C3&lt;&gt;"",A10&lt;&gt;""),IF(VLOOKUP(CONCATENATE($C$3,(INDEX($A$10:$A$19,COUNTA($A$10:$A$19),1))),ESTATES!$D:$K,8,FALSE)&lt;&gt;"",VLOOKUP(CONCATENATE($C$3,(INDEX($A$10:$A$19,COUNTA($A$10:$A$19),1))),ESTATES!$D:$K,8,FALSE),""),"")</f>
        <v/>
      </c>
      <c r="B24" s="436"/>
      <c r="C24" s="436"/>
      <c r="D24" s="436"/>
      <c r="E24" s="436"/>
      <c r="F24" s="436"/>
      <c r="G24" s="436"/>
      <c r="H24" s="436"/>
      <c r="I24" s="436"/>
      <c r="J24" s="436"/>
      <c r="K24" s="436"/>
      <c r="L24" s="437"/>
      <c r="M24" s="137" t="str">
        <f>IF($A24&lt;&gt;"",_xlfn.XLOOKUP($A24,ESTATES!$J:$J,ESTATES!$K:$K,""),"")</f>
        <v/>
      </c>
      <c r="N24" s="109"/>
      <c r="O24" s="429"/>
      <c r="P24" s="430"/>
      <c r="Q24" s="430"/>
      <c r="R24" s="430"/>
      <c r="S24" s="430"/>
      <c r="T24" s="430"/>
      <c r="U24" s="430"/>
      <c r="V24" s="430"/>
      <c r="W24" s="430"/>
      <c r="X24" s="431"/>
      <c r="Y24" s="138" t="str">
        <f>IF(O24&lt;&gt;"",_xlfn.XLOOKUP(O24,Table417[Kingsbridge Complete - Upgrades],Table417[$$]),"")</f>
        <v/>
      </c>
    </row>
    <row r="25" spans="1:33" s="139" customFormat="1">
      <c r="A25" s="435" t="str">
        <f>IF(AND($C$3&lt;&gt;"",$A$10&lt;&gt;""),IF(VLOOKUP(CONCATENATE($C$3,(INDEX($A$10:$A$19,COUNTA($A$10:$A$19),1))),ESTATES!$D:$AJ,9,FALSE)&lt;&gt;"",ESTATES!$L$10,""),"")</f>
        <v/>
      </c>
      <c r="B25" s="436"/>
      <c r="C25" s="436"/>
      <c r="D25" s="436"/>
      <c r="E25" s="436"/>
      <c r="F25" s="436"/>
      <c r="G25" s="436"/>
      <c r="H25" s="436"/>
      <c r="I25" s="436"/>
      <c r="J25" s="436"/>
      <c r="K25" s="436"/>
      <c r="L25" s="437"/>
      <c r="M25" s="137" t="str">
        <f>IF(A25&lt;&gt;"",_xlfn.XLOOKUP(CONCATENATE($C$3,(INDEX($A$10:$A$19,COUNTA($A$10:$A$19),1))),Table6[Concatenate],Table6[Provide 450mm wide eaves to the front Façade, returning 1500mm down both sides of house (excluding walls on boundary).],""),"")</f>
        <v/>
      </c>
      <c r="N25" s="109"/>
      <c r="O25" s="429"/>
      <c r="P25" s="430"/>
      <c r="Q25" s="430"/>
      <c r="R25" s="430"/>
      <c r="S25" s="430"/>
      <c r="T25" s="430"/>
      <c r="U25" s="430"/>
      <c r="V25" s="430"/>
      <c r="W25" s="430"/>
      <c r="X25" s="431"/>
      <c r="Y25" s="138" t="str">
        <f>IF(O25&lt;&gt;"",_xlfn.XLOOKUP(O25,Table417[Kingsbridge Complete - Upgrades],Table417[$$]),"")</f>
        <v/>
      </c>
    </row>
    <row r="26" spans="1:33" s="139" customFormat="1">
      <c r="A26" s="435" t="str">
        <f>IF(AND($C$3&lt;&gt;"",$A$10&lt;&gt;""),IF(VLOOKUP(CONCATENATE($C$3,(INDEX($A$10:$A$19,COUNTA($A$10:$A$19),1))),ESTATES!$D:$AJ,10,FALSE)&lt;&gt;"",ESTATES!$M$10,""),"")</f>
        <v/>
      </c>
      <c r="B26" s="436"/>
      <c r="C26" s="436"/>
      <c r="D26" s="436"/>
      <c r="E26" s="436"/>
      <c r="F26" s="436"/>
      <c r="G26" s="436"/>
      <c r="H26" s="436"/>
      <c r="I26" s="436"/>
      <c r="J26" s="436"/>
      <c r="K26" s="436"/>
      <c r="L26" s="437"/>
      <c r="M26" s="137" t="str">
        <f>IF(A26&lt;&gt;"",_xlfn.XLOOKUP(CONCATENATE($C$3,(INDEX($A$10:$A$19,COUNTA($A$10:$A$19),1))),Table6[Concatenate],Table6[Provide 450mm wide eaves to the front Façade, returning 3000mm down both sides of house (excluding walls on boundary).],""),"")</f>
        <v/>
      </c>
      <c r="N26" s="109"/>
      <c r="O26" s="429"/>
      <c r="P26" s="430"/>
      <c r="Q26" s="430"/>
      <c r="R26" s="430"/>
      <c r="S26" s="430"/>
      <c r="T26" s="430"/>
      <c r="U26" s="430"/>
      <c r="V26" s="430"/>
      <c r="W26" s="430"/>
      <c r="X26" s="431"/>
      <c r="Y26" s="138" t="str">
        <f>IF(O26&lt;&gt;"",_xlfn.XLOOKUP(O26,Table417[Kingsbridge Complete - Upgrades],Table417[$$]),"")</f>
        <v/>
      </c>
    </row>
    <row r="27" spans="1:33" s="139" customFormat="1">
      <c r="A27" s="435" t="str">
        <f>IF(AND($C$3&lt;&gt;"",$A$10&lt;&gt;""),IF(VLOOKUP(CONCATENATE($C$3,(INDEX($A$10:$A$19,COUNTA($A$10:$A$19),1))),ESTATES!$D:$AJ,11,FALSE)&lt;&gt;"",ESTATES!$N$10,""),"")</f>
        <v/>
      </c>
      <c r="B27" s="436"/>
      <c r="C27" s="436"/>
      <c r="D27" s="436"/>
      <c r="E27" s="436"/>
      <c r="F27" s="436"/>
      <c r="G27" s="436"/>
      <c r="H27" s="436"/>
      <c r="I27" s="436"/>
      <c r="J27" s="436"/>
      <c r="K27" s="436"/>
      <c r="L27" s="437"/>
      <c r="M27" s="137" t="str">
        <f>IF(A27&lt;&gt;"",_xlfn.XLOOKUP(CONCATENATE($C$3,(INDEX($A$10:$A$19,COUNTA($A$10:$A$19),1))),Table6[Concatenate],Table6[Provide 1No. 2000 litre Slim Line Poly Water Tank including 1No. Garden tap.],""),"")</f>
        <v/>
      </c>
      <c r="N27" s="109"/>
      <c r="O27" s="429"/>
      <c r="P27" s="430"/>
      <c r="Q27" s="430"/>
      <c r="R27" s="430"/>
      <c r="S27" s="430"/>
      <c r="T27" s="430"/>
      <c r="U27" s="430"/>
      <c r="V27" s="430"/>
      <c r="W27" s="430"/>
      <c r="X27" s="431"/>
      <c r="Y27" s="138" t="str">
        <f>IF(O27&lt;&gt;"",_xlfn.XLOOKUP(O27,Table417[Kingsbridge Complete - Upgrades],Table417[$$]),"")</f>
        <v/>
      </c>
    </row>
    <row r="28" spans="1:33" s="139" customFormat="1">
      <c r="A28" s="435" t="str">
        <f>IF(AND($C$3&lt;&gt;"",$A$10&lt;&gt;""),IF(VLOOKUP(CONCATENATE($C$3,(INDEX($A$10:$A$19,COUNTA($A$10:$A$19),1))),ESTATES!$D:$AJ,12,FALSE)&lt;&gt;"",ESTATES!$O$10,""),"")</f>
        <v/>
      </c>
      <c r="B28" s="436"/>
      <c r="C28" s="436"/>
      <c r="D28" s="436"/>
      <c r="E28" s="436"/>
      <c r="F28" s="436"/>
      <c r="G28" s="436"/>
      <c r="H28" s="436"/>
      <c r="I28" s="436"/>
      <c r="J28" s="436"/>
      <c r="K28" s="436"/>
      <c r="L28" s="437"/>
      <c r="M28" s="137" t="str">
        <f>IF(A28&lt;&gt;"",_xlfn.XLOOKUP(CONCATENATE($C$3,(INDEX($A$10:$A$19,COUNTA($A$10:$A$19),1))),Table6[Concatenate],Table6[Provide 1No. 2000 litre Slim Line Poly Water Tank including plumbing and connections for up to 3No. Toilets.],""),"")</f>
        <v/>
      </c>
      <c r="N28" s="109"/>
      <c r="O28" s="429"/>
      <c r="P28" s="430"/>
      <c r="Q28" s="430"/>
      <c r="R28" s="430"/>
      <c r="S28" s="430"/>
      <c r="T28" s="430"/>
      <c r="U28" s="430"/>
      <c r="V28" s="430"/>
      <c r="W28" s="430"/>
      <c r="X28" s="431"/>
      <c r="Y28" s="138" t="str">
        <f>IF(O28&lt;&gt;"",_xlfn.XLOOKUP(O28,Table417[Kingsbridge Complete - Upgrades],Table417[$$]),"")</f>
        <v/>
      </c>
    </row>
    <row r="29" spans="1:33">
      <c r="A29" s="435" t="str">
        <f>IF(AND($C$3&lt;&gt;"",$A$10&lt;&gt;""),IF(VLOOKUP(CONCATENATE($C$3,(INDEX($A$10:$A$19,COUNTA($A$10:$A$19),1))),ESTATES!$D:$AJ,13,FALSE)&lt;&gt;"",ESTATES!$P$10,""),"")</f>
        <v/>
      </c>
      <c r="B29" s="436"/>
      <c r="C29" s="436"/>
      <c r="D29" s="436"/>
      <c r="E29" s="436"/>
      <c r="F29" s="436"/>
      <c r="G29" s="436"/>
      <c r="H29" s="436"/>
      <c r="I29" s="436"/>
      <c r="J29" s="436"/>
      <c r="K29" s="436"/>
      <c r="L29" s="437"/>
      <c r="M29" s="137" t="str">
        <f>IF(A29&lt;&gt;"",_xlfn.XLOOKUP(CONCATENATE($C$3,(INDEX($A$10:$A$19,COUNTA($A$10:$A$19),1))),Table6[Concatenate],Table6[Provide 1No. 5000 litre Slim Line Poly Water Tank including plumbing and connections for up to 3No. Toilets.
Price includes a crane lift into the backyard.],""),"")</f>
        <v/>
      </c>
      <c r="O29" s="429"/>
      <c r="P29" s="430"/>
      <c r="Q29" s="430"/>
      <c r="R29" s="430"/>
      <c r="S29" s="430"/>
      <c r="T29" s="430"/>
      <c r="U29" s="430"/>
      <c r="V29" s="430"/>
      <c r="W29" s="430"/>
      <c r="X29" s="431"/>
      <c r="Y29" s="138" t="str">
        <f>IF(O29&lt;&gt;"",_xlfn.XLOOKUP(O29,Table417[Kingsbridge Complete - Upgrades],Table417[$$]),"")</f>
        <v/>
      </c>
    </row>
    <row r="30" spans="1:33" s="140" customFormat="1">
      <c r="A30" s="435" t="str">
        <f>IF(AND($C$3&lt;&gt;"",$A$10&lt;&gt;""),IF(VLOOKUP(CONCATENATE($C$3,(INDEX($A$10:$A$19,COUNTA($A$10:$A$19),1))),ESTATES!$D:$AJ,14,FALSE)&lt;&gt;"",ESTATES!$Q$10,""),"")</f>
        <v/>
      </c>
      <c r="B30" s="436"/>
      <c r="C30" s="436"/>
      <c r="D30" s="436"/>
      <c r="E30" s="436"/>
      <c r="F30" s="436"/>
      <c r="G30" s="436"/>
      <c r="H30" s="436"/>
      <c r="I30" s="436"/>
      <c r="J30" s="436"/>
      <c r="K30" s="436"/>
      <c r="L30" s="437"/>
      <c r="M30" s="137" t="str">
        <f>IF(A30&lt;&gt;"",_xlfn.XLOOKUP(CONCATENATE($C$3,(INDEX($A$10:$A$19,COUNTA($A$10:$A$19),1))),Table6[Concatenate],Table6[Provide approx. 1800mm high additional timber fencing. Includes wing fence and Gate.],""),"")</f>
        <v/>
      </c>
      <c r="N30" s="109"/>
      <c r="O30" s="429"/>
      <c r="P30" s="430"/>
      <c r="Q30" s="430"/>
      <c r="R30" s="430"/>
      <c r="S30" s="430"/>
      <c r="T30" s="430"/>
      <c r="U30" s="430"/>
      <c r="V30" s="430"/>
      <c r="W30" s="430"/>
      <c r="X30" s="431"/>
      <c r="Y30" s="138" t="str">
        <f>IF(O30&lt;&gt;"",_xlfn.XLOOKUP(O30,Table417[Kingsbridge Complete - Upgrades],Table417[$$]),"")</f>
        <v/>
      </c>
      <c r="Z30" s="139"/>
      <c r="AA30" s="139"/>
      <c r="AB30" s="139"/>
      <c r="AC30" s="139"/>
    </row>
    <row r="31" spans="1:33" s="139" customFormat="1">
      <c r="A31" s="435" t="str">
        <f>IF(AND($C$3&lt;&gt;"",$A$10&lt;&gt;""),IF(VLOOKUP(CONCATENATE($C$3,(INDEX($A$10:$A$19,COUNTA($A$10:$A$19),1))),ESTATES!$D:$AJ,15,FALSE)&lt;&gt;"",ESTATES!$R$10,""),"")</f>
        <v/>
      </c>
      <c r="B31" s="436"/>
      <c r="C31" s="436"/>
      <c r="D31" s="436"/>
      <c r="E31" s="436"/>
      <c r="F31" s="436"/>
      <c r="G31" s="436"/>
      <c r="H31" s="436"/>
      <c r="I31" s="436"/>
      <c r="J31" s="436"/>
      <c r="K31" s="436"/>
      <c r="L31" s="437"/>
      <c r="M31" s="137" t="str">
        <f>IF(A31&lt;&gt;"",_xlfn.XLOOKUP(CONCATENATE($C$3,(INDEX($A$10:$A$19,COUNTA($A$10:$A$19),1))),Table6[Concatenate],Table6[Provide approx. 1800mm high timber fencing with capping. Includes wing fence and Gate.],""),"")</f>
        <v/>
      </c>
      <c r="N31" s="109"/>
      <c r="O31" s="429"/>
      <c r="P31" s="430"/>
      <c r="Q31" s="430"/>
      <c r="R31" s="430"/>
      <c r="S31" s="430"/>
      <c r="T31" s="430"/>
      <c r="U31" s="430"/>
      <c r="V31" s="430"/>
      <c r="W31" s="430"/>
      <c r="X31" s="431"/>
      <c r="Y31" s="138" t="str">
        <f>IF(O31&lt;&gt;"",_xlfn.XLOOKUP(O31,Table417[Kingsbridge Complete - Upgrades],Table417[$$]),"")</f>
        <v/>
      </c>
      <c r="Z31" s="109"/>
      <c r="AA31" s="109"/>
      <c r="AB31" s="109"/>
      <c r="AC31" s="109"/>
    </row>
    <row r="32" spans="1:33">
      <c r="A32" s="435" t="str">
        <f>IF(AND($C$3&lt;&gt;"",$A$10&lt;&gt;""),IF(VLOOKUP(CONCATENATE($C$3,(INDEX($A$10:$A$19,COUNTA($A$10:$A$19),1))),ESTATES!$D:$AJ,16,FALSE)&lt;&gt;"",ESTATES!$S$10,""),"")</f>
        <v/>
      </c>
      <c r="B32" s="436"/>
      <c r="C32" s="436"/>
      <c r="D32" s="436"/>
      <c r="E32" s="436"/>
      <c r="F32" s="436"/>
      <c r="G32" s="436"/>
      <c r="H32" s="436"/>
      <c r="I32" s="436"/>
      <c r="J32" s="436"/>
      <c r="K32" s="436"/>
      <c r="L32" s="437"/>
      <c r="M32" s="137" t="str">
        <f>IF(A32&lt;&gt;"",_xlfn.XLOOKUP(CONCATENATE($C$3,(INDEX($A$10:$A$19,COUNTA($A$10:$A$19),1))),Table6[Concatenate],Table6[Provide approx. 1800mm high Colourbond fencing in lieu of timber palings. Includes wing fence and Gate. Colour to be .],""),"")</f>
        <v/>
      </c>
      <c r="O32" s="429"/>
      <c r="P32" s="430"/>
      <c r="Q32" s="430"/>
      <c r="R32" s="430"/>
      <c r="S32" s="430"/>
      <c r="T32" s="430"/>
      <c r="U32" s="430"/>
      <c r="V32" s="430"/>
      <c r="W32" s="430"/>
      <c r="X32" s="431"/>
      <c r="Y32" s="138" t="str">
        <f>IF(O32&lt;&gt;"",_xlfn.XLOOKUP(O32,Table417[Kingsbridge Complete - Upgrades],Table417[$$]),"")</f>
        <v/>
      </c>
    </row>
    <row r="33" spans="1:29">
      <c r="A33" s="435" t="str">
        <f>IF(AND($C$3&lt;&gt;"",$A$10&lt;&gt;""),IF(VLOOKUP(CONCATENATE($C$3,(INDEX($A$10:$A$19,COUNTA($A$10:$A$19),1))),ESTATES!$D:$AJ,17,FALSE)&lt;&gt;"",ESTATES!$T$10,""),"")</f>
        <v/>
      </c>
      <c r="B33" s="436"/>
      <c r="C33" s="436"/>
      <c r="D33" s="436"/>
      <c r="E33" s="436"/>
      <c r="F33" s="436"/>
      <c r="G33" s="436"/>
      <c r="H33" s="436"/>
      <c r="I33" s="436"/>
      <c r="J33" s="436"/>
      <c r="K33" s="436"/>
      <c r="L33" s="437"/>
      <c r="M33" s="137" t="str">
        <f>IF(A33&lt;&gt;"",_xlfn.XLOOKUP(CONCATENATE($C$3,(INDEX($A$10:$A$19,COUNTA($A$10:$A$19),1))),Table6[Concatenate],Table6[Provide approx. 1800mm high timber fencing with capping and 125x125 exposed posts in lieu of timber palings. Includes wing fence and Gate.],""),"")</f>
        <v/>
      </c>
      <c r="O33" s="429"/>
      <c r="P33" s="430"/>
      <c r="Q33" s="430"/>
      <c r="R33" s="430"/>
      <c r="S33" s="430"/>
      <c r="T33" s="430"/>
      <c r="U33" s="430"/>
      <c r="V33" s="430"/>
      <c r="W33" s="430"/>
      <c r="X33" s="431"/>
      <c r="Y33" s="138" t="str">
        <f>IF(O33&lt;&gt;"",_xlfn.XLOOKUP(O33,Table417[Kingsbridge Complete - Upgrades],Table417[$$]),"")</f>
        <v/>
      </c>
      <c r="Z33" s="140"/>
      <c r="AA33" s="140"/>
      <c r="AB33" s="140"/>
      <c r="AC33" s="140"/>
    </row>
    <row r="34" spans="1:29" s="140" customFormat="1">
      <c r="A34" s="435" t="str">
        <f>IF(AND($C$3&lt;&gt;"",$A$10&lt;&gt;""),IF(VLOOKUP(CONCATENATE($C$3,(INDEX($A$10:$A$19,COUNTA($A$10:$A$19),1))),ESTATES!$D:$AJ,18,FALSE)&lt;&gt;"",ESTATES!$U$10,""),"")</f>
        <v/>
      </c>
      <c r="B34" s="436"/>
      <c r="C34" s="436"/>
      <c r="D34" s="436"/>
      <c r="E34" s="436"/>
      <c r="F34" s="436"/>
      <c r="G34" s="436"/>
      <c r="H34" s="436"/>
      <c r="I34" s="436"/>
      <c r="J34" s="436"/>
      <c r="K34" s="436"/>
      <c r="L34" s="437"/>
      <c r="M34" s="137" t="str">
        <f>IF(A34&lt;&gt;"",_xlfn.XLOOKUP(CONCATENATE($C$3,(INDEX($A$10:$A$19,COUNTA($A$10:$A$19),1))),Table6[Concatenate],Table6[Provide approx. 1800mm high timber fencing with capping and 125x75 exposed posts in lieu of timber palings. Includes wing fence and Gate.],""),"")</f>
        <v/>
      </c>
      <c r="N34" s="109"/>
      <c r="O34" s="429"/>
      <c r="P34" s="430"/>
      <c r="Q34" s="430"/>
      <c r="R34" s="430"/>
      <c r="S34" s="430"/>
      <c r="T34" s="430"/>
      <c r="U34" s="430"/>
      <c r="V34" s="430"/>
      <c r="W34" s="430"/>
      <c r="X34" s="431"/>
      <c r="Y34" s="138" t="str">
        <f>IF(O34&lt;&gt;"",_xlfn.XLOOKUP(O34,Table417[Kingsbridge Complete - Upgrades],Table417[$$]),"")</f>
        <v/>
      </c>
      <c r="Z34" s="139"/>
      <c r="AA34" s="139"/>
      <c r="AB34" s="139"/>
      <c r="AC34" s="139"/>
    </row>
    <row r="35" spans="1:29" s="139" customFormat="1">
      <c r="A35" s="435" t="str">
        <f>IF(AND($C$3&lt;&gt;"",$A$10&lt;&gt;""),IF(VLOOKUP(CONCATENATE($C$3,(INDEX($A$10:$A$19,COUNTA($A$10:$A$19),1))),ESTATES!$D:$AJ,19,FALSE)&lt;&gt;"",ESTATES!$V$10,""),"")</f>
        <v/>
      </c>
      <c r="B35" s="436"/>
      <c r="C35" s="436"/>
      <c r="D35" s="436"/>
      <c r="E35" s="436"/>
      <c r="F35" s="436"/>
      <c r="G35" s="436"/>
      <c r="H35" s="436"/>
      <c r="I35" s="436"/>
      <c r="J35" s="436"/>
      <c r="K35" s="436"/>
      <c r="L35" s="437"/>
      <c r="M35" s="137" t="str">
        <f>IF(A35&lt;&gt;"",_xlfn.XLOOKUP(CONCATENATE($C$3,(INDEX($A$10:$A$19,COUNTA($A$10:$A$19),1))),Table6[Concatenate],Table6[Provide a 25 degree roof pitch in lieu of 22.5 degrees.],""),"")</f>
        <v/>
      </c>
      <c r="N35" s="109"/>
      <c r="O35" s="429"/>
      <c r="P35" s="430"/>
      <c r="Q35" s="430"/>
      <c r="R35" s="430"/>
      <c r="S35" s="430"/>
      <c r="T35" s="430"/>
      <c r="U35" s="430"/>
      <c r="V35" s="430"/>
      <c r="W35" s="430"/>
      <c r="X35" s="431"/>
      <c r="Y35" s="138" t="str">
        <f>IF(O35&lt;&gt;"",_xlfn.XLOOKUP(O35,Table417[Kingsbridge Complete - Upgrades],Table417[$$]),"")</f>
        <v/>
      </c>
      <c r="Z35" s="109"/>
      <c r="AA35" s="109"/>
      <c r="AB35" s="109"/>
      <c r="AC35" s="109"/>
    </row>
    <row r="36" spans="1:29">
      <c r="A36" s="435" t="str">
        <f>IF(AND($C$3&lt;&gt;"",$A$10&lt;&gt;""),IF(VLOOKUP(CONCATENATE($C$3,(INDEX($A$10:$A$19,COUNTA($A$10:$A$19),1))),ESTATES!$D:$AJ,20,FALSE)&lt;&gt;"",ESTATES!$W$10,""),"")</f>
        <v/>
      </c>
      <c r="B36" s="436"/>
      <c r="C36" s="436"/>
      <c r="D36" s="436"/>
      <c r="E36" s="436"/>
      <c r="F36" s="436"/>
      <c r="G36" s="436"/>
      <c r="H36" s="436"/>
      <c r="I36" s="436"/>
      <c r="J36" s="436"/>
      <c r="K36" s="436"/>
      <c r="L36" s="437"/>
      <c r="M36" s="137" t="str">
        <f>IF(A36&lt;&gt;"",_xlfn.XLOOKUP(CONCATENATE($C$3,(INDEX($A$10:$A$19,COUNTA($A$10:$A$19),1))),Table6[Concatenate],Table6[Provide Colorbond Roofing with 1No. Whirlybird and Sarking in lieu of category 1 roof tiles.],""),"")</f>
        <v/>
      </c>
      <c r="O36" s="139"/>
      <c r="P36" s="139"/>
      <c r="Q36" s="139"/>
      <c r="R36" s="139"/>
      <c r="S36" s="139"/>
      <c r="T36" s="139"/>
      <c r="U36" s="139"/>
      <c r="V36" s="139"/>
      <c r="W36" s="139"/>
      <c r="X36" s="139"/>
      <c r="Y36" s="139"/>
      <c r="Z36" s="140"/>
      <c r="AA36" s="140"/>
      <c r="AB36" s="140"/>
      <c r="AC36" s="140"/>
    </row>
    <row r="37" spans="1:29" s="140" customFormat="1" ht="15.75">
      <c r="A37" s="435" t="str">
        <f>IF(AND($C$3&lt;&gt;"",$A$10&lt;&gt;""),IF(VLOOKUP(CONCATENATE($C$3,(INDEX($A$10:$A$19,COUNTA($A$10:$A$19),1))),ESTATES!$D:$AJ,21,FALSE)&lt;&gt;"",ESTATES!$X$10,""),"")</f>
        <v/>
      </c>
      <c r="B37" s="436"/>
      <c r="C37" s="436"/>
      <c r="D37" s="436"/>
      <c r="E37" s="436"/>
      <c r="F37" s="436"/>
      <c r="G37" s="436"/>
      <c r="H37" s="436"/>
      <c r="I37" s="436"/>
      <c r="J37" s="436"/>
      <c r="K37" s="436"/>
      <c r="L37" s="437"/>
      <c r="M37" s="137" t="str">
        <f>IF(A37&lt;&gt;"",_xlfn.XLOOKUP(CONCATENATE($C$3,(INDEX($A$10:$A$19,COUNTA($A$10:$A$19),1))),Table6[Concatenate],Table6[Provide Category 3 Flat profile roof tiles in lieu of category 1 Shaped roof tiles.],""),"")</f>
        <v/>
      </c>
      <c r="N37" s="109"/>
      <c r="O37" s="180" t="s">
        <v>7354</v>
      </c>
      <c r="P37" s="180"/>
      <c r="Q37" s="180"/>
      <c r="R37" s="180"/>
      <c r="S37" s="181" t="s">
        <v>7355</v>
      </c>
      <c r="T37" s="181"/>
      <c r="U37" s="181"/>
      <c r="V37" s="181"/>
      <c r="X37" s="139"/>
      <c r="Y37" s="139"/>
      <c r="AB37" s="139"/>
      <c r="AC37" s="139"/>
    </row>
    <row r="38" spans="1:29" s="139" customFormat="1" ht="15.75">
      <c r="A38" s="435" t="str">
        <f>IF(AND($C$3&lt;&gt;"",$A$10&lt;&gt;""),IF(VLOOKUP(CONCATENATE($C$3,(INDEX($A$10:$A$19,COUNTA($A$10:$A$19),1))),ESTATES!$D:$AJ,22,FALSE)&lt;&gt;"",ESTATES!$Y$10,""),"")</f>
        <v/>
      </c>
      <c r="B38" s="436"/>
      <c r="C38" s="436"/>
      <c r="D38" s="436"/>
      <c r="E38" s="436"/>
      <c r="F38" s="436"/>
      <c r="G38" s="436"/>
      <c r="H38" s="436"/>
      <c r="I38" s="436"/>
      <c r="J38" s="436"/>
      <c r="K38" s="436"/>
      <c r="L38" s="437"/>
      <c r="M38" s="137" t="str">
        <f>IF(A38&lt;&gt;"",_xlfn.XLOOKUP(CONCATENATE($C$3,(INDEX($A$10:$A$19,COUNTA($A$10:$A$19),1))),Table6[Concatenate],Table6[Provide colour through concrete Driveway, Path and Front Porch in lieu of colour on concrete.],""),"")</f>
        <v/>
      </c>
      <c r="N38" s="109"/>
      <c r="O38" s="180"/>
      <c r="P38" s="180"/>
      <c r="Q38" s="180"/>
      <c r="R38" s="180"/>
      <c r="S38" s="181"/>
      <c r="T38" s="181"/>
      <c r="U38" s="181"/>
      <c r="V38" s="181"/>
      <c r="W38" s="140"/>
      <c r="Z38" s="109"/>
      <c r="AA38" s="109"/>
      <c r="AB38" s="109"/>
      <c r="AC38" s="109"/>
    </row>
    <row r="39" spans="1:29">
      <c r="A39" s="435" t="str">
        <f>IF(AND($C$3&lt;&gt;"",$A$10&lt;&gt;""),IF(((VLOOKUP((CONCATENATE($C$3,(INDEX($A$10:$A$19,COUNTA($A$10:$A$19),1)))),ESTATES!$D:$AJ,23,FALSE))&lt;&gt;"")*AND(IF(ISNA(MATCH("Yes",$I$10:$I$19,0)),"No","Yes")="Yes"),ESTATES!$Z$10,""),"")</f>
        <v/>
      </c>
      <c r="B39" s="436"/>
      <c r="C39" s="436"/>
      <c r="D39" s="436"/>
      <c r="E39" s="436"/>
      <c r="F39" s="436"/>
      <c r="G39" s="436"/>
      <c r="H39" s="436"/>
      <c r="I39" s="436"/>
      <c r="J39" s="436"/>
      <c r="K39" s="436"/>
      <c r="L39" s="437"/>
      <c r="M39" s="137" t="str">
        <f>IF(A39&lt;&gt;"",_xlfn.XLOOKUP(CONCATENATE($C$3,(INDEX($A$10:$A$19,COUNTA($A$10:$A$19),1))),Table6[Concatenate],Table6[Provide a corner treatment, as per design guidelines, to the second street frontage.],""),"")</f>
        <v/>
      </c>
      <c r="O39" s="439"/>
      <c r="P39" s="440"/>
      <c r="Q39" s="440"/>
      <c r="R39" s="440"/>
      <c r="S39" s="440"/>
      <c r="T39" s="440"/>
      <c r="U39" s="440"/>
      <c r="V39" s="440"/>
      <c r="W39" s="440"/>
      <c r="X39" s="441"/>
      <c r="Y39" s="141"/>
      <c r="Z39" s="140"/>
      <c r="AA39" s="140"/>
      <c r="AB39" s="140"/>
      <c r="AC39" s="140"/>
    </row>
    <row r="40" spans="1:29" s="139" customFormat="1">
      <c r="A40" s="435" t="str">
        <f>IF(AND($C$3&lt;&gt;"",$A$10&lt;&gt;""),IF(VLOOKUP(CONCATENATE($C$3,(INDEX($A$10:$A$19,COUNTA($A$10:$A$19),1))),ESTATES!$D:$AJ,24,FALSE)&lt;&gt;"",ESTATES!$AA$10,""),"")</f>
        <v/>
      </c>
      <c r="B40" s="436"/>
      <c r="C40" s="436"/>
      <c r="D40" s="436"/>
      <c r="E40" s="436"/>
      <c r="F40" s="436"/>
      <c r="G40" s="436"/>
      <c r="H40" s="436"/>
      <c r="I40" s="436"/>
      <c r="J40" s="436"/>
      <c r="K40" s="436"/>
      <c r="L40" s="437"/>
      <c r="M40" s="137" t="str">
        <f>IF(A40&lt;&gt;"",_xlfn.XLOOKUP(CONCATENATE($C$3,(INDEX($A$10:$A$19,COUNTA($A$10:$A$19),1))),Table6[Concatenate],Table6[Provide category 1 brickwork above the Garage door in lieu of painted infill panel.],""),"")</f>
        <v/>
      </c>
      <c r="N40" s="109"/>
      <c r="O40" s="439"/>
      <c r="P40" s="440"/>
      <c r="Q40" s="440"/>
      <c r="R40" s="440"/>
      <c r="S40" s="440"/>
      <c r="T40" s="440"/>
      <c r="U40" s="440"/>
      <c r="V40" s="440"/>
      <c r="W40" s="440"/>
      <c r="X40" s="441"/>
      <c r="Y40" s="141"/>
      <c r="Z40" s="109"/>
      <c r="AA40" s="109"/>
      <c r="AB40" s="109"/>
      <c r="AC40" s="109"/>
    </row>
    <row r="41" spans="1:29">
      <c r="A41" s="435" t="str">
        <f>IF(AND($C$3&lt;&gt;"",$A$10&lt;&gt;""),IF(VLOOKUP(CONCATENATE($C$3,(INDEX($A$10:$A$19,COUNTA($A$10:$A$19),1))),ESTATES!$D:$AJ,25,FALSE)&lt;&gt;"",ESTATES!$AB$10,""),"")</f>
        <v/>
      </c>
      <c r="B41" s="436"/>
      <c r="C41" s="436"/>
      <c r="D41" s="436"/>
      <c r="E41" s="436"/>
      <c r="F41" s="436"/>
      <c r="G41" s="436"/>
      <c r="H41" s="436"/>
      <c r="I41" s="436"/>
      <c r="J41" s="436"/>
      <c r="K41" s="436"/>
      <c r="L41" s="437"/>
      <c r="M41" s="137" t="str">
        <f>IF(A41&lt;&gt;"",_xlfn.XLOOKUP(CONCATENATE($C$3,(INDEX($A$10:$A$19,COUNTA($A$10:$A$19),1))),Table6[Concatenate],Table6[Provide category 1 brickwork above all Windows &amp; all Doors in lieu of painted infill panel.],""),"")</f>
        <v/>
      </c>
      <c r="O41" s="439"/>
      <c r="P41" s="440"/>
      <c r="Q41" s="440"/>
      <c r="R41" s="440"/>
      <c r="S41" s="440"/>
      <c r="T41" s="440"/>
      <c r="U41" s="440"/>
      <c r="V41" s="440"/>
      <c r="W41" s="440"/>
      <c r="X41" s="441"/>
      <c r="Y41" s="141"/>
      <c r="Z41" s="140"/>
      <c r="AA41" s="140"/>
      <c r="AB41" s="140"/>
      <c r="AC41" s="140"/>
    </row>
    <row r="42" spans="1:29" s="178" customFormat="1">
      <c r="A42" s="447" t="str">
        <f>IF(AND($C$3&lt;&gt;"",$A$10&lt;&gt;""),IF(VLOOKUP(CONCATENATE($C$3,(INDEX($A$10:$A$19,COUNTA($A$10:$A$19),1))),ESTATES!$D:$AJ,26,FALSE)&lt;&gt;"",ESTATES!$AC$10,""),"")</f>
        <v/>
      </c>
      <c r="B42" s="448"/>
      <c r="C42" s="448"/>
      <c r="D42" s="448"/>
      <c r="E42" s="448"/>
      <c r="F42" s="448"/>
      <c r="G42" s="448"/>
      <c r="H42" s="448"/>
      <c r="I42" s="448"/>
      <c r="J42" s="448"/>
      <c r="K42" s="448"/>
      <c r="L42" s="449"/>
      <c r="M42" s="142" t="str">
        <f>IF(A42&lt;&gt;"",_xlfn.XLOOKUP(CONCATENATE($C$3,(INDEX($A$10:$A$19,COUNTA($A$10:$A$19),1))),Table6[Concatenate],Table6[Provide exposed aggregate concrete Driveway, Path, Front Porch and Outdoor Living (if applicable) in lieu of colour on concrete.],""),"")</f>
        <v/>
      </c>
      <c r="N42" s="110"/>
      <c r="O42" s="439"/>
      <c r="P42" s="440"/>
      <c r="Q42" s="440"/>
      <c r="R42" s="440"/>
      <c r="S42" s="440"/>
      <c r="T42" s="440"/>
      <c r="U42" s="440"/>
      <c r="V42" s="440"/>
      <c r="W42" s="440"/>
      <c r="X42" s="441"/>
      <c r="Y42" s="141"/>
      <c r="Z42" s="110"/>
      <c r="AA42" s="110"/>
      <c r="AB42" s="110"/>
      <c r="AC42" s="110"/>
    </row>
    <row r="43" spans="1:29">
      <c r="A43" s="435" t="str">
        <f>IF(AND($C$3&lt;&gt;"",$A$10&lt;&gt;""),IF(VLOOKUP(CONCATENATE($C$3,(INDEX($A$10:$A$19,COUNTA($A$10:$A$19),1))),ESTATES!$D:$AJ,27,FALSE)&lt;&gt;"",ESTATES!$AD$10,""),"")</f>
        <v/>
      </c>
      <c r="B43" s="436"/>
      <c r="C43" s="436"/>
      <c r="D43" s="436"/>
      <c r="E43" s="436"/>
      <c r="F43" s="436"/>
      <c r="G43" s="436"/>
      <c r="H43" s="436"/>
      <c r="I43" s="436"/>
      <c r="J43" s="436"/>
      <c r="K43" s="436"/>
      <c r="L43" s="437"/>
      <c r="M43" s="137" t="str">
        <f>IF(A43&lt;&gt;"",_xlfn.XLOOKUP(CONCATENATE($C$3,(INDEX($A$10:$A$19,COUNTA($A$10:$A$19),1))),Table6[Concatenate],Table6[Provide 2590mm high ceilings to the ground floor.],""),"")</f>
        <v/>
      </c>
      <c r="O43" s="439"/>
      <c r="P43" s="440"/>
      <c r="Q43" s="440"/>
      <c r="R43" s="440"/>
      <c r="S43" s="440"/>
      <c r="T43" s="440"/>
      <c r="U43" s="440"/>
      <c r="V43" s="440"/>
      <c r="W43" s="440"/>
      <c r="X43" s="441"/>
      <c r="Y43" s="141"/>
      <c r="AB43" s="140"/>
      <c r="AC43" s="140"/>
    </row>
    <row r="44" spans="1:29">
      <c r="A44" s="435" t="str">
        <f>IF(AND($C$3&lt;&gt;"",$A$10&lt;&gt;""),IF(VLOOKUP(CONCATENATE($C$3,(INDEX($A$10:$A$19,COUNTA($A$10:$A$19),1))),ESTATES!$D:$AJ,28,FALSE)&lt;&gt;"",ESTATES!$AE$10,""),"")</f>
        <v/>
      </c>
      <c r="B44" s="436"/>
      <c r="C44" s="436"/>
      <c r="D44" s="436"/>
      <c r="E44" s="436"/>
      <c r="F44" s="436"/>
      <c r="G44" s="436"/>
      <c r="H44" s="436"/>
      <c r="I44" s="436"/>
      <c r="J44" s="436"/>
      <c r="K44" s="436"/>
      <c r="L44" s="437"/>
      <c r="M44" s="137" t="str">
        <f>IF(A44&lt;&gt;"",_xlfn.XLOOKUP(CONCATENATE($C$3,(INDEX($A$10:$A$19,COUNTA($A$10:$A$19),1))),Table6[Concatenate],Table6[Provide 2720mm high ceilings to the ground floor.],""),"")</f>
        <v/>
      </c>
      <c r="O44" s="439"/>
      <c r="P44" s="440"/>
      <c r="Q44" s="440"/>
      <c r="R44" s="440"/>
      <c r="S44" s="440"/>
      <c r="T44" s="440"/>
      <c r="U44" s="440"/>
      <c r="V44" s="440"/>
      <c r="W44" s="440"/>
      <c r="X44" s="441"/>
      <c r="Y44" s="141"/>
      <c r="AB44" s="140"/>
      <c r="AC44" s="140"/>
    </row>
    <row r="45" spans="1:29">
      <c r="A45" s="435" t="str">
        <f>IF(AND($C$3&lt;&gt;"",$A$10&lt;&gt;""),IF(VLOOKUP(CONCATENATE($C$3,(INDEX($A$10:$A$19,COUNTA($A$10:$A$19),1))),ESTATES!$D:$AJ,29,FALSE)&lt;&gt;"",ESTATES!$AF$10,""),"")</f>
        <v/>
      </c>
      <c r="B45" s="436"/>
      <c r="C45" s="436"/>
      <c r="D45" s="436"/>
      <c r="E45" s="436"/>
      <c r="F45" s="436"/>
      <c r="G45" s="436"/>
      <c r="H45" s="436"/>
      <c r="I45" s="436"/>
      <c r="J45" s="436"/>
      <c r="K45" s="436"/>
      <c r="L45" s="437"/>
      <c r="M45" s="137" t="str">
        <f>IF(A45&lt;&gt;"",_xlfn.XLOOKUP(CONCATENATE($C$3,(INDEX($A$10:$A$19,COUNTA($A$10:$A$19),1))),Table6[Concatenate],Table6[Provide a Rendered finish to the front projection in lieu of face brickwork.],""),"")</f>
        <v/>
      </c>
      <c r="O45" s="439"/>
      <c r="P45" s="440"/>
      <c r="Q45" s="440"/>
      <c r="R45" s="440"/>
      <c r="S45" s="440"/>
      <c r="T45" s="440"/>
      <c r="U45" s="440"/>
      <c r="V45" s="440"/>
      <c r="W45" s="440"/>
      <c r="X45" s="441"/>
      <c r="Y45" s="141"/>
      <c r="AB45" s="140"/>
      <c r="AC45" s="140"/>
    </row>
    <row r="46" spans="1:29">
      <c r="A46" s="435" t="str">
        <f>IF(AND($C$3&lt;&gt;"",$A$10&lt;&gt;""),IF(VLOOKUP(CONCATENATE($C$3,(INDEX($A$10:$A$19,COUNTA($A$10:$A$19),1))),ESTATES!$D:$AJ,30,FALSE)&lt;&gt;"",ESTATES!$AG$10,""),"")</f>
        <v/>
      </c>
      <c r="B46" s="436"/>
      <c r="C46" s="436"/>
      <c r="D46" s="436"/>
      <c r="E46" s="436"/>
      <c r="F46" s="436"/>
      <c r="G46" s="436"/>
      <c r="H46" s="436"/>
      <c r="I46" s="436"/>
      <c r="J46" s="436"/>
      <c r="K46" s="436"/>
      <c r="L46" s="437"/>
      <c r="M46" s="137" t="str">
        <f>IF(A46&lt;&gt;"",_xlfn.XLOOKUP(CONCATENATE($C$3,(INDEX($A$10:$A$19,COUNTA($A$10:$A$19),1))),Table6[Concatenate],Table6[Provide a Rendered finish to the whole front Façade in lieu of face brickwork.],""),"")</f>
        <v/>
      </c>
      <c r="O46" s="439"/>
      <c r="P46" s="440"/>
      <c r="Q46" s="440"/>
      <c r="R46" s="440"/>
      <c r="S46" s="440"/>
      <c r="T46" s="440"/>
      <c r="U46" s="440"/>
      <c r="V46" s="440"/>
      <c r="W46" s="440"/>
      <c r="X46" s="441"/>
      <c r="Y46" s="141"/>
      <c r="AB46" s="140"/>
      <c r="AC46" s="140"/>
    </row>
    <row r="47" spans="1:29" ht="12.75" customHeight="1">
      <c r="A47" s="435" t="str">
        <f>IF(AND($C$3&lt;&gt;"",$A$10&lt;&gt;""),IF(VLOOKUP(CONCATENATE($C$3,(INDEX($A$10:$A$19,COUNTA($A$10:$A$19),1))),ESTATES!$D:$AJ,31,FALSE)&lt;&gt;"",ESTATES!$AH$10,""),"")</f>
        <v/>
      </c>
      <c r="B47" s="436"/>
      <c r="C47" s="436"/>
      <c r="D47" s="436"/>
      <c r="E47" s="436"/>
      <c r="F47" s="436"/>
      <c r="G47" s="436"/>
      <c r="H47" s="436"/>
      <c r="I47" s="436"/>
      <c r="J47" s="436"/>
      <c r="K47" s="436"/>
      <c r="L47" s="437"/>
      <c r="M47" s="137" t="str">
        <f>IF(A47&lt;&gt;"",_xlfn.XLOOKUP(CONCATENATE($C$3,(INDEX($A$10:$A$19,COUNTA($A$10:$A$19),1))),Table6[Concatenate],Table6[Travel surcharge.],""),"")</f>
        <v/>
      </c>
      <c r="O47" s="439"/>
      <c r="P47" s="440"/>
      <c r="Q47" s="440"/>
      <c r="R47" s="440"/>
      <c r="S47" s="440"/>
      <c r="T47" s="440"/>
      <c r="U47" s="440"/>
      <c r="V47" s="440"/>
      <c r="W47" s="440"/>
      <c r="X47" s="441"/>
      <c r="Y47" s="141"/>
      <c r="AB47" s="140"/>
      <c r="AC47" s="140"/>
    </row>
    <row r="48" spans="1:29">
      <c r="A48" s="435" t="str">
        <f>IF(AND($C$3&lt;&gt;"",$A$10&lt;&gt;""),IF(VLOOKUP(CONCATENATE($C$3,(INDEX($A$10:$A$19,COUNTA($A$10:$A$19),1))),ESTATES!$D:$AJ,32,FALSE)&lt;&gt;"",ESTATES!$AI$10,""),"")</f>
        <v/>
      </c>
      <c r="B48" s="436"/>
      <c r="C48" s="436"/>
      <c r="D48" s="436"/>
      <c r="E48" s="436"/>
      <c r="F48" s="436"/>
      <c r="G48" s="436"/>
      <c r="H48" s="436"/>
      <c r="I48" s="436"/>
      <c r="J48" s="436"/>
      <c r="K48" s="436"/>
      <c r="L48" s="437"/>
      <c r="M48" s="137" t="str">
        <f>IF(A48&lt;&gt;"",_xlfn.XLOOKUP(CONCATENATE($C$3,(INDEX($A$10:$A$19,COUNTA($A$10:$A$19),1))),Table6[Concatenate],Table6[Provide 2No. Advanced trees, additional shrubs and ground cover plants.],""),"")</f>
        <v/>
      </c>
      <c r="O48" s="439"/>
      <c r="P48" s="444"/>
      <c r="Q48" s="444"/>
      <c r="R48" s="444"/>
      <c r="S48" s="444"/>
      <c r="T48" s="444"/>
      <c r="U48" s="444"/>
      <c r="V48" s="444"/>
      <c r="W48" s="444"/>
      <c r="X48" s="444"/>
      <c r="Y48" s="141"/>
      <c r="AA48" s="140"/>
      <c r="AB48" s="140"/>
    </row>
    <row r="49" spans="1:29">
      <c r="A49" s="447" t="str">
        <f>IF(AND($C$3&lt;&gt;"",$A$10&lt;&gt;""),IF(OR(VLOOKUP(CONCATENATE($C$3,(INDEX($A$10:$A$19,COUNTA($A$10:$A$19),1))),ESTATES!$D:$AJ,33,FALSE)&lt;&gt;"",U4="Yes"),ESTATES!$AJ$10,""),"")</f>
        <v/>
      </c>
      <c r="B49" s="448"/>
      <c r="C49" s="448"/>
      <c r="D49" s="448"/>
      <c r="E49" s="448"/>
      <c r="F49" s="448"/>
      <c r="G49" s="448"/>
      <c r="H49" s="448"/>
      <c r="I49" s="448"/>
      <c r="J49" s="448"/>
      <c r="K49" s="448"/>
      <c r="L49" s="449"/>
      <c r="M49" s="142" t="str">
        <f>IF(AND(A49&lt;&gt;"",U4&lt;&gt;"Yes"),_xlfn.XLOOKUP(CONCATENATE($C$3,(INDEX($A$10:$A$19,COUNTA($A$10:$A$19),1))),Table6[Concatenate],Table6[Provide 1No. Single crossover and footpath to the primary street frontage.]),IF(AND(A49&lt;&gt;"",U4="Yes"),4400,""))</f>
        <v/>
      </c>
      <c r="O49" s="439" t="str">
        <f>IF(Y5="Yes",Upgrades!B18,"")</f>
        <v/>
      </c>
      <c r="P49" s="440"/>
      <c r="Q49" s="440"/>
      <c r="R49" s="440"/>
      <c r="S49" s="440"/>
      <c r="T49" s="440"/>
      <c r="U49" s="440"/>
      <c r="V49" s="440"/>
      <c r="W49" s="440"/>
      <c r="X49" s="441"/>
      <c r="Y49" s="141" t="str">
        <f>IF(O49&lt;&gt;"",_xlfn.XLOOKUP(O49,Table4[Hermitage Homes - Upgrades],Table4[$$]),"")</f>
        <v/>
      </c>
      <c r="AA49" s="140"/>
      <c r="AB49" s="140"/>
    </row>
    <row r="50" spans="1:29" ht="5.25" customHeight="1" thickBot="1"/>
    <row r="51" spans="1:29" s="140" customFormat="1" ht="16.5" thickBot="1">
      <c r="C51" s="109"/>
      <c r="D51" s="109"/>
      <c r="E51" s="110"/>
      <c r="F51" s="109"/>
      <c r="G51" s="109"/>
      <c r="H51" s="109"/>
      <c r="I51" s="109"/>
      <c r="J51" s="109"/>
      <c r="N51" s="442" t="s">
        <v>7286</v>
      </c>
      <c r="O51" s="442"/>
      <c r="P51" s="470"/>
      <c r="Q51" s="470"/>
      <c r="R51" s="184"/>
      <c r="S51" s="144"/>
      <c r="T51" s="144"/>
      <c r="U51" s="144"/>
      <c r="V51" s="122" t="s">
        <v>7287</v>
      </c>
      <c r="W51" s="126" t="s">
        <v>7288</v>
      </c>
      <c r="X51" s="126" t="s">
        <v>7289</v>
      </c>
      <c r="Y51" s="123" t="s">
        <v>7290</v>
      </c>
      <c r="Z51" s="152" t="s">
        <v>7347</v>
      </c>
      <c r="AA51" s="139"/>
      <c r="AB51" s="139"/>
      <c r="AC51" s="139"/>
    </row>
    <row r="52" spans="1:29" s="140" customFormat="1" ht="16.5" thickBot="1">
      <c r="A52" s="180" t="s">
        <v>8472</v>
      </c>
      <c r="B52" s="180"/>
      <c r="C52" s="109"/>
      <c r="D52" s="109"/>
      <c r="E52" s="110"/>
      <c r="F52" s="109"/>
      <c r="G52" s="109"/>
      <c r="H52" s="109"/>
      <c r="I52" s="109"/>
      <c r="J52" s="109"/>
      <c r="N52" s="109"/>
      <c r="P52" s="471" t="s">
        <v>7292</v>
      </c>
      <c r="Q52" s="471"/>
      <c r="R52" s="471"/>
      <c r="S52" s="473"/>
      <c r="T52" s="474"/>
      <c r="U52" s="474"/>
      <c r="V52" s="133" t="str">
        <f t="shared" ref="V52" si="5">IFERROR(IF(B10&lt;&gt;"",B10,""),"")</f>
        <v/>
      </c>
      <c r="W52" s="134" t="str">
        <f>IFERROR(IF(AND((DAYS360(Houses!$B$1,$P$4))&gt;=30,$P$4&lt;&gt;"",B10&lt;&gt;""),((SUM(O10:S10)-R10)*X52+1000),""),"")</f>
        <v/>
      </c>
      <c r="X52" s="145" t="str">
        <f>IFERROR(IF(AND((DAYS360(Houses!$E$1,$P$4))&gt;=30,$P$4&lt;&gt;"",B10&lt;&gt;""),SUM((INDEX(Table3[%],MATCH(DAYS360(Houses!$E$1,$P$4),Table3[FBC Day 1],1))-1)),""),"")</f>
        <v/>
      </c>
      <c r="Y52" s="134" t="str">
        <f t="shared" ref="Y52:Y61" si="6">IFERROR(IF(K10&gt;0,
SUM(ROUNDUP(((SUM(O10:U10)-T10)+IF(W52&lt;&gt;"",W52,VALUE(0))),-2)+T10)
-SUM(((SUM(O10:U10)-T10)+IF(W52&lt;&gt;"",W52,VALUE(0)))+T10),
SUM(ROUNDUP(((SUM(O10:U10)-T10)+IF(W52&lt;&gt;"",W52,VALUE(0))),-2)+T10)-
SUM(((SUM(O10:U10)-T10)+IF(W52&lt;&gt;"",W52,VALUE(0)))+T10)),"")</f>
        <v/>
      </c>
      <c r="Z52" s="134" t="str">
        <f t="shared" ref="Z52:Z61" si="7">IFERROR(IF(Y52&lt;&gt;"",SUM(O10:U10)+W52+Y52,""),"")</f>
        <v/>
      </c>
      <c r="AA52" s="139"/>
      <c r="AB52" s="139"/>
    </row>
    <row r="53" spans="1:29" s="140" customFormat="1">
      <c r="A53" s="453"/>
      <c r="B53" s="454"/>
      <c r="C53" s="454"/>
      <c r="D53" s="454"/>
      <c r="E53" s="454"/>
      <c r="F53" s="454"/>
      <c r="G53" s="454"/>
      <c r="H53" s="454"/>
      <c r="I53" s="454"/>
      <c r="J53" s="454"/>
      <c r="K53" s="454"/>
      <c r="L53" s="454"/>
      <c r="M53" s="455"/>
      <c r="N53" s="109"/>
      <c r="P53" s="472"/>
      <c r="Q53" s="472"/>
      <c r="R53" s="472"/>
      <c r="S53" s="475"/>
      <c r="T53" s="475"/>
      <c r="U53" s="475"/>
      <c r="V53" s="133" t="str">
        <f t="shared" ref="V53:V61" si="8">IFERROR(IF(B11&lt;&gt;"",B11,""),"")</f>
        <v/>
      </c>
      <c r="W53" s="134" t="str">
        <f>IFERROR(IF(AND((DAYS360(Houses!$B$1,$P$4))&gt;=30,$P$4&lt;&gt;"",B11&lt;&gt;""),((SUM(O11:S11)-R11)*X53+1000),""),"")</f>
        <v/>
      </c>
      <c r="X53" s="145" t="str">
        <f>IFERROR(IF(AND((DAYS360(Houses!$E$1,$P$4))&gt;=30,$P$4&lt;&gt;"",B11&lt;&gt;""),SUM((INDEX(Table3[%],MATCH(DAYS360(Houses!$E$1,$P$4),Table3[FBC Day 1],1))-1)),""),"")</f>
        <v/>
      </c>
      <c r="Y53" s="134" t="str">
        <f t="shared" si="6"/>
        <v/>
      </c>
      <c r="Z53" s="134" t="str">
        <f t="shared" si="7"/>
        <v/>
      </c>
      <c r="AA53" s="139"/>
      <c r="AB53" s="139"/>
    </row>
    <row r="54" spans="1:29" s="140" customFormat="1">
      <c r="A54" s="456"/>
      <c r="B54" s="457"/>
      <c r="C54" s="457"/>
      <c r="D54" s="457"/>
      <c r="E54" s="457"/>
      <c r="F54" s="457"/>
      <c r="G54" s="457"/>
      <c r="H54" s="457"/>
      <c r="I54" s="457"/>
      <c r="J54" s="457"/>
      <c r="K54" s="457"/>
      <c r="L54" s="457"/>
      <c r="M54" s="458"/>
      <c r="N54" s="109"/>
      <c r="P54" s="146" t="s">
        <v>7293</v>
      </c>
      <c r="Q54" s="109"/>
      <c r="R54" s="146" t="s">
        <v>7294</v>
      </c>
      <c r="T54" s="146" t="s">
        <v>7295</v>
      </c>
      <c r="U54" s="109"/>
      <c r="V54" s="133" t="str">
        <f t="shared" si="8"/>
        <v/>
      </c>
      <c r="W54" s="134" t="str">
        <f>IFERROR(IF(AND((DAYS360(Houses!$B$1,$P$4))&gt;=30,$P$4&lt;&gt;"",B12&lt;&gt;""),((SUM(O12:S12)-R12)*X54+1000),""),"")</f>
        <v/>
      </c>
      <c r="X54" s="145" t="str">
        <f>IFERROR(IF(AND((DAYS360(Houses!$E$1,$P$4))&gt;=30,$P$4&lt;&gt;"",B12&lt;&gt;""),SUM((INDEX(Table3[%],MATCH(DAYS360(Houses!$E$1,$P$4),Table3[FBC Day 1],1))-1)),""),"")</f>
        <v/>
      </c>
      <c r="Y54" s="134" t="str">
        <f t="shared" si="6"/>
        <v/>
      </c>
      <c r="Z54" s="134" t="str">
        <f t="shared" si="7"/>
        <v/>
      </c>
      <c r="AA54" s="139"/>
      <c r="AB54" s="139"/>
    </row>
    <row r="55" spans="1:29" s="140" customFormat="1">
      <c r="A55" s="456"/>
      <c r="B55" s="457"/>
      <c r="C55" s="457"/>
      <c r="D55" s="457"/>
      <c r="E55" s="457"/>
      <c r="F55" s="457"/>
      <c r="G55" s="457"/>
      <c r="H55" s="457"/>
      <c r="I55" s="457"/>
      <c r="J55" s="457"/>
      <c r="K55" s="457"/>
      <c r="L55" s="457"/>
      <c r="M55" s="458"/>
      <c r="O55" s="143" t="s">
        <v>7296</v>
      </c>
      <c r="P55" s="459"/>
      <c r="Q55" s="459"/>
      <c r="R55" s="459"/>
      <c r="S55" s="459"/>
      <c r="T55" s="445"/>
      <c r="U55" s="445"/>
      <c r="V55" s="133" t="str">
        <f t="shared" si="8"/>
        <v/>
      </c>
      <c r="W55" s="134" t="str">
        <f>IFERROR(IF(AND((DAYS360(Houses!$B$1,$P$4))&gt;=30,$P$4&lt;&gt;"",B13&lt;&gt;""),((SUM(O13:S13)-R13)*X55+1000),""),"")</f>
        <v/>
      </c>
      <c r="X55" s="145" t="str">
        <f>IFERROR(IF(AND((DAYS360(Houses!$E$1,$P$4))&gt;=30,$P$4&lt;&gt;"",B13&lt;&gt;""),SUM((INDEX(Table3[%],MATCH(DAYS360(Houses!$E$1,$P$4),Table3[FBC Day 1],1))-1)),""),"")</f>
        <v/>
      </c>
      <c r="Y55" s="134" t="str">
        <f t="shared" si="6"/>
        <v/>
      </c>
      <c r="Z55" s="134" t="str">
        <f t="shared" si="7"/>
        <v/>
      </c>
      <c r="AA55" s="139"/>
      <c r="AB55" s="139"/>
    </row>
    <row r="56" spans="1:29" s="140" customFormat="1" ht="13.5" thickBot="1">
      <c r="A56" s="461"/>
      <c r="B56" s="462"/>
      <c r="C56" s="462"/>
      <c r="D56" s="462"/>
      <c r="E56" s="462"/>
      <c r="F56" s="462"/>
      <c r="G56" s="462"/>
      <c r="H56" s="462"/>
      <c r="I56" s="462"/>
      <c r="J56" s="462"/>
      <c r="K56" s="462"/>
      <c r="L56" s="462"/>
      <c r="M56" s="463"/>
      <c r="O56" s="109"/>
      <c r="P56" s="459"/>
      <c r="Q56" s="459"/>
      <c r="R56" s="459"/>
      <c r="S56" s="459"/>
      <c r="T56" s="445"/>
      <c r="U56" s="445"/>
      <c r="V56" s="133" t="str">
        <f t="shared" si="8"/>
        <v/>
      </c>
      <c r="W56" s="134" t="str">
        <f>IFERROR(IF(AND((DAYS360(Houses!$B$1,$P$4))&gt;=30,$P$4&lt;&gt;"",B14&lt;&gt;""),((SUM(O14:S14)-R14)*X56+1000),""),"")</f>
        <v/>
      </c>
      <c r="X56" s="145" t="str">
        <f>IFERROR(IF(AND((DAYS360(Houses!$E$1,$P$4))&gt;=30,$P$4&lt;&gt;"",B14&lt;&gt;""),SUM((INDEX(Table3[%],MATCH(DAYS360(Houses!$E$1,$P$4),Table3[FBC Day 1],1))-1)),""),"")</f>
        <v/>
      </c>
      <c r="Y56" s="134" t="str">
        <f t="shared" si="6"/>
        <v/>
      </c>
      <c r="Z56" s="134" t="str">
        <f t="shared" si="7"/>
        <v/>
      </c>
      <c r="AA56" s="139"/>
      <c r="AB56" s="139"/>
    </row>
    <row r="57" spans="1:29" s="140" customFormat="1">
      <c r="E57" s="149"/>
      <c r="O57" s="109"/>
      <c r="P57" s="460"/>
      <c r="Q57" s="460"/>
      <c r="R57" s="460"/>
      <c r="S57" s="460"/>
      <c r="T57" s="446"/>
      <c r="U57" s="446"/>
      <c r="V57" s="133" t="str">
        <f t="shared" si="8"/>
        <v/>
      </c>
      <c r="W57" s="134" t="str">
        <f>IFERROR(IF(AND((DAYS360(Houses!$B$1,$P$4))&gt;=30,$P$4&lt;&gt;"",B15&lt;&gt;""),((SUM(O15:S15)-R15)*X57+1000),""),"")</f>
        <v/>
      </c>
      <c r="X57" s="145" t="str">
        <f>IFERROR(IF(AND((DAYS360(Houses!$E$1,$P$4))&gt;=30,$P$4&lt;&gt;"",B15&lt;&gt;""),SUM((INDEX(Table3[%],MATCH(DAYS360(Houses!$E$1,$P$4),Table3[FBC Day 1],1))-1)),""),"")</f>
        <v/>
      </c>
      <c r="Y57" s="134" t="str">
        <f t="shared" si="6"/>
        <v/>
      </c>
      <c r="Z57" s="134" t="str">
        <f t="shared" si="7"/>
        <v/>
      </c>
      <c r="AA57" s="139"/>
      <c r="AB57" s="139"/>
    </row>
    <row r="58" spans="1:29" s="140" customFormat="1" ht="16.5" thickBot="1">
      <c r="A58" s="180" t="s">
        <v>7297</v>
      </c>
      <c r="B58" s="180"/>
      <c r="C58" s="180"/>
      <c r="D58" s="139"/>
      <c r="E58" s="110"/>
      <c r="F58" s="109"/>
      <c r="G58" s="109"/>
      <c r="H58" s="109"/>
      <c r="I58" s="109"/>
      <c r="J58" s="109"/>
      <c r="O58" s="109"/>
      <c r="P58" s="146" t="s">
        <v>7293</v>
      </c>
      <c r="Q58" s="109"/>
      <c r="R58" s="146" t="s">
        <v>7294</v>
      </c>
      <c r="T58" s="146" t="s">
        <v>7295</v>
      </c>
      <c r="V58" s="133" t="str">
        <f t="shared" si="8"/>
        <v/>
      </c>
      <c r="W58" s="134" t="str">
        <f>IFERROR(IF(AND((DAYS360(Houses!$B$1,$P$4))&gt;=30,$P$4&lt;&gt;"",B16&lt;&gt;""),((SUM(O16:S16)-R16)*X58+1000),""),"")</f>
        <v/>
      </c>
      <c r="X58" s="145" t="str">
        <f>IFERROR(IF(AND((DAYS360(Houses!$E$1,$P$4))&gt;=30,$P$4&lt;&gt;"",B16&lt;&gt;""),SUM((INDEX(Table3[%],MATCH(DAYS360(Houses!$E$1,$P$4),Table3[FBC Day 1],1))-1)),""),"")</f>
        <v/>
      </c>
      <c r="Y58" s="134" t="str">
        <f t="shared" si="6"/>
        <v/>
      </c>
      <c r="Z58" s="134" t="str">
        <f t="shared" si="7"/>
        <v/>
      </c>
      <c r="AA58" s="139"/>
      <c r="AB58" s="139"/>
    </row>
    <row r="59" spans="1:29" s="140" customFormat="1">
      <c r="A59" s="464"/>
      <c r="B59" s="465"/>
      <c r="C59" s="465"/>
      <c r="D59" s="465"/>
      <c r="E59" s="465"/>
      <c r="F59" s="465"/>
      <c r="G59" s="465"/>
      <c r="H59" s="465"/>
      <c r="I59" s="465"/>
      <c r="J59" s="465"/>
      <c r="K59" s="465"/>
      <c r="L59" s="465"/>
      <c r="M59" s="466"/>
      <c r="N59" s="443" t="s">
        <v>7298</v>
      </c>
      <c r="O59" s="442"/>
      <c r="P59" s="459"/>
      <c r="Q59" s="459"/>
      <c r="R59" s="459"/>
      <c r="S59" s="459"/>
      <c r="T59" s="445"/>
      <c r="U59" s="445"/>
      <c r="V59" s="133" t="str">
        <f t="shared" si="8"/>
        <v/>
      </c>
      <c r="W59" s="134" t="str">
        <f>IFERROR(IF(AND((DAYS360(Houses!$B$1,$P$4))&gt;=30,$P$4&lt;&gt;"",B17&lt;&gt;""),((SUM(O17:S17)-R17)*X59+1000),""),"")</f>
        <v/>
      </c>
      <c r="X59" s="145" t="str">
        <f>IFERROR(IF(AND((DAYS360(Houses!$E$1,$P$4))&gt;=30,$P$4&lt;&gt;"",B17&lt;&gt;""),SUM((INDEX(Table3[%],MATCH(DAYS360(Houses!$E$1,$P$4),Table3[FBC Day 1],1))-1)),""),"")</f>
        <v/>
      </c>
      <c r="Y59" s="134" t="str">
        <f t="shared" si="6"/>
        <v/>
      </c>
      <c r="Z59" s="134" t="str">
        <f t="shared" si="7"/>
        <v/>
      </c>
      <c r="AA59" s="139"/>
      <c r="AB59" s="139"/>
    </row>
    <row r="60" spans="1:29" s="140" customFormat="1">
      <c r="A60" s="467"/>
      <c r="B60" s="468"/>
      <c r="C60" s="468"/>
      <c r="D60" s="468"/>
      <c r="E60" s="468"/>
      <c r="F60" s="468"/>
      <c r="G60" s="468"/>
      <c r="H60" s="468"/>
      <c r="I60" s="468"/>
      <c r="J60" s="468"/>
      <c r="K60" s="468"/>
      <c r="L60" s="468"/>
      <c r="M60" s="469"/>
      <c r="N60" s="109"/>
      <c r="P60" s="459"/>
      <c r="Q60" s="459"/>
      <c r="R60" s="459"/>
      <c r="S60" s="459"/>
      <c r="T60" s="445"/>
      <c r="U60" s="445"/>
      <c r="V60" s="133" t="str">
        <f t="shared" si="8"/>
        <v/>
      </c>
      <c r="W60" s="134" t="str">
        <f>IFERROR(IF(AND((DAYS360(Houses!$B$1,$P$4))&gt;=30,$P$4&lt;&gt;"",B18&lt;&gt;""),((SUM(O18:S18)-R18)*X60+1000),""),"")</f>
        <v/>
      </c>
      <c r="X60" s="145" t="str">
        <f>IFERROR(IF(AND((DAYS360(Houses!$E$1,$P$4))&gt;=30,$P$4&lt;&gt;"",B18&lt;&gt;""),SUM((INDEX(Table3[%],MATCH(DAYS360(Houses!$E$1,$P$4),Table3[FBC Day 1],1))-1)),""),"")</f>
        <v/>
      </c>
      <c r="Y60" s="134" t="str">
        <f t="shared" si="6"/>
        <v/>
      </c>
      <c r="Z60" s="134" t="str">
        <f t="shared" si="7"/>
        <v/>
      </c>
      <c r="AA60" s="139"/>
      <c r="AB60" s="139"/>
    </row>
    <row r="61" spans="1:29" s="140" customFormat="1">
      <c r="A61" s="467"/>
      <c r="B61" s="468"/>
      <c r="C61" s="468"/>
      <c r="D61" s="468"/>
      <c r="E61" s="468"/>
      <c r="F61" s="468"/>
      <c r="G61" s="468"/>
      <c r="H61" s="468"/>
      <c r="I61" s="468"/>
      <c r="J61" s="468"/>
      <c r="K61" s="468"/>
      <c r="L61" s="468"/>
      <c r="M61" s="469"/>
      <c r="N61" s="109"/>
      <c r="P61" s="460"/>
      <c r="Q61" s="460"/>
      <c r="R61" s="460"/>
      <c r="S61" s="460"/>
      <c r="T61" s="446"/>
      <c r="U61" s="446"/>
      <c r="V61" s="133" t="str">
        <f t="shared" si="8"/>
        <v/>
      </c>
      <c r="W61" s="134" t="str">
        <f>IFERROR(IF(AND((DAYS360(Houses!$B$1,$P$4))&gt;=30,$P$4&lt;&gt;"",B19&lt;&gt;""),((SUM(O19:S19)-R19)*X61+1000),""),"")</f>
        <v/>
      </c>
      <c r="X61" s="145" t="str">
        <f>IFERROR(IF(AND((DAYS360(Houses!$E$1,$P$4))&gt;=30,$P$4&lt;&gt;"",B19&lt;&gt;""),SUM((INDEX(Table3[%],MATCH(DAYS360(Houses!$E$1,$P$4),Table3[FBC Day 1],1))-1)),""),"")</f>
        <v/>
      </c>
      <c r="Y61" s="134" t="str">
        <f t="shared" si="6"/>
        <v/>
      </c>
      <c r="Z61" s="134" t="str">
        <f t="shared" si="7"/>
        <v/>
      </c>
      <c r="AA61" s="139"/>
      <c r="AB61" s="139"/>
    </row>
    <row r="62" spans="1:29" s="140" customFormat="1" ht="13.5" thickBot="1">
      <c r="A62" s="450"/>
      <c r="B62" s="451"/>
      <c r="C62" s="451"/>
      <c r="D62" s="451"/>
      <c r="E62" s="451"/>
      <c r="F62" s="451"/>
      <c r="G62" s="451"/>
      <c r="H62" s="451"/>
      <c r="I62" s="451"/>
      <c r="J62" s="451"/>
      <c r="K62" s="451"/>
      <c r="L62" s="451"/>
      <c r="M62" s="452"/>
      <c r="N62" s="109"/>
      <c r="P62" s="182" t="s">
        <v>7344</v>
      </c>
      <c r="Q62" s="182"/>
      <c r="R62" s="182"/>
      <c r="S62" s="182"/>
      <c r="T62" s="182"/>
      <c r="U62" s="182"/>
      <c r="X62" s="151"/>
      <c r="Y62" s="109"/>
      <c r="Z62" s="139"/>
      <c r="AA62" s="139"/>
      <c r="AB62" s="139"/>
    </row>
    <row r="76" spans="1:24" s="127" customFormat="1">
      <c r="A76" s="109"/>
      <c r="B76" s="109"/>
      <c r="C76" s="109"/>
      <c r="D76" s="109"/>
      <c r="E76" s="110"/>
      <c r="F76" s="109"/>
      <c r="G76" s="109"/>
      <c r="H76" s="109"/>
      <c r="I76" s="109"/>
      <c r="J76" s="109"/>
      <c r="K76" s="109"/>
      <c r="L76" s="109"/>
      <c r="M76" s="109"/>
      <c r="N76" s="109"/>
      <c r="O76" s="109"/>
      <c r="P76" s="109"/>
      <c r="Q76" s="109"/>
      <c r="R76" s="109"/>
      <c r="S76" s="109"/>
      <c r="T76" s="109"/>
      <c r="U76" s="109"/>
      <c r="V76" s="109"/>
      <c r="W76" s="109"/>
      <c r="X76" s="109"/>
    </row>
  </sheetData>
  <sheetProtection algorithmName="SHA-512" hashValue="COlmygV0Molscku4le5DKOi7ZjXa8CxlQhOPcE9eUCJ25pceVUCFMCNoOvvlX8Mk2ca8aovahZEmSn/vtxLR4A==" saltValue="Io5qcogpoaik8Fk2UcGKHA==" spinCount="100000" sheet="1" objects="1" scenarios="1" formatRows="0" insertRows="0" deleteRows="0"/>
  <dataConsolidate/>
  <mergeCells count="130">
    <mergeCell ref="X16:Y16"/>
    <mergeCell ref="X17:Y17"/>
    <mergeCell ref="X18:Y18"/>
    <mergeCell ref="X19:Y19"/>
    <mergeCell ref="X9:Y9"/>
    <mergeCell ref="Z8:AG8"/>
    <mergeCell ref="U17:V17"/>
    <mergeCell ref="C9:E9"/>
    <mergeCell ref="U8:V8"/>
    <mergeCell ref="U10:V10"/>
    <mergeCell ref="U11:V11"/>
    <mergeCell ref="U12:V12"/>
    <mergeCell ref="U13:V13"/>
    <mergeCell ref="C14:E14"/>
    <mergeCell ref="U14:V14"/>
    <mergeCell ref="U15:V15"/>
    <mergeCell ref="U16:V16"/>
    <mergeCell ref="C10:E10"/>
    <mergeCell ref="C11:E11"/>
    <mergeCell ref="C12:E12"/>
    <mergeCell ref="C13:E13"/>
    <mergeCell ref="X10:Y10"/>
    <mergeCell ref="X11:Y11"/>
    <mergeCell ref="X12:Y12"/>
    <mergeCell ref="X13:Y13"/>
    <mergeCell ref="X14:Y14"/>
    <mergeCell ref="X15:Y15"/>
    <mergeCell ref="W3:X3"/>
    <mergeCell ref="W4:X4"/>
    <mergeCell ref="W5:X5"/>
    <mergeCell ref="A3:B3"/>
    <mergeCell ref="A4:B4"/>
    <mergeCell ref="A5:B5"/>
    <mergeCell ref="H3:J3"/>
    <mergeCell ref="H4:J4"/>
    <mergeCell ref="H5:J5"/>
    <mergeCell ref="C3:F3"/>
    <mergeCell ref="C4:F4"/>
    <mergeCell ref="C5:F5"/>
    <mergeCell ref="K3:M3"/>
    <mergeCell ref="K4:M4"/>
    <mergeCell ref="K5:M5"/>
    <mergeCell ref="N3:O3"/>
    <mergeCell ref="N4:O4"/>
    <mergeCell ref="R3:T3"/>
    <mergeCell ref="R4:T4"/>
    <mergeCell ref="R5:T5"/>
    <mergeCell ref="A62:M62"/>
    <mergeCell ref="A46:L46"/>
    <mergeCell ref="A47:L47"/>
    <mergeCell ref="A48:L48"/>
    <mergeCell ref="A49:L49"/>
    <mergeCell ref="A53:M53"/>
    <mergeCell ref="A54:M54"/>
    <mergeCell ref="P59:Q61"/>
    <mergeCell ref="R59:S61"/>
    <mergeCell ref="A55:M55"/>
    <mergeCell ref="A56:M56"/>
    <mergeCell ref="A59:M59"/>
    <mergeCell ref="A60:M60"/>
    <mergeCell ref="A61:M61"/>
    <mergeCell ref="P51:Q51"/>
    <mergeCell ref="P52:R53"/>
    <mergeCell ref="S52:U53"/>
    <mergeCell ref="P55:Q57"/>
    <mergeCell ref="R55:S57"/>
    <mergeCell ref="T55:U57"/>
    <mergeCell ref="A29:L29"/>
    <mergeCell ref="A30:L30"/>
    <mergeCell ref="A31:L31"/>
    <mergeCell ref="A45:L45"/>
    <mergeCell ref="A33:L33"/>
    <mergeCell ref="A34:L34"/>
    <mergeCell ref="A35:L35"/>
    <mergeCell ref="A36:L36"/>
    <mergeCell ref="A37:L37"/>
    <mergeCell ref="A38:L38"/>
    <mergeCell ref="A43:L43"/>
    <mergeCell ref="A39:L39"/>
    <mergeCell ref="A40:L40"/>
    <mergeCell ref="A41:L41"/>
    <mergeCell ref="A42:L42"/>
    <mergeCell ref="A44:L44"/>
    <mergeCell ref="O39:X39"/>
    <mergeCell ref="O27:X27"/>
    <mergeCell ref="O28:X28"/>
    <mergeCell ref="O29:X29"/>
    <mergeCell ref="O30:X30"/>
    <mergeCell ref="O31:X31"/>
    <mergeCell ref="N51:O51"/>
    <mergeCell ref="N59:O59"/>
    <mergeCell ref="O23:X23"/>
    <mergeCell ref="O40:X40"/>
    <mergeCell ref="O41:X41"/>
    <mergeCell ref="O42:X42"/>
    <mergeCell ref="O43:X43"/>
    <mergeCell ref="O44:X44"/>
    <mergeCell ref="O45:X45"/>
    <mergeCell ref="O46:X46"/>
    <mergeCell ref="O47:X47"/>
    <mergeCell ref="O48:X48"/>
    <mergeCell ref="O49:X49"/>
    <mergeCell ref="O24:X24"/>
    <mergeCell ref="O25:X25"/>
    <mergeCell ref="O26:X26"/>
    <mergeCell ref="T59:U61"/>
    <mergeCell ref="A1:Y1"/>
    <mergeCell ref="A7:Y7"/>
    <mergeCell ref="A8:N8"/>
    <mergeCell ref="O8:P8"/>
    <mergeCell ref="R8:T8"/>
    <mergeCell ref="O32:X32"/>
    <mergeCell ref="O33:X33"/>
    <mergeCell ref="O34:X34"/>
    <mergeCell ref="O35:X35"/>
    <mergeCell ref="U18:V18"/>
    <mergeCell ref="U19:V19"/>
    <mergeCell ref="U9:V9"/>
    <mergeCell ref="A32:L32"/>
    <mergeCell ref="C15:E15"/>
    <mergeCell ref="C16:E16"/>
    <mergeCell ref="C17:E17"/>
    <mergeCell ref="C18:E18"/>
    <mergeCell ref="C19:E19"/>
    <mergeCell ref="A23:L23"/>
    <mergeCell ref="A24:L24"/>
    <mergeCell ref="A25:L25"/>
    <mergeCell ref="A26:L26"/>
    <mergeCell ref="A27:L27"/>
    <mergeCell ref="A28:L28"/>
  </mergeCells>
  <phoneticPr fontId="2" type="noConversion"/>
  <conditionalFormatting sqref="I10:I19">
    <cfRule type="containsText" dxfId="255" priority="17" operator="containsText" text="Yes">
      <formula>NOT(ISERROR(SEARCH("Yes",I10)))</formula>
    </cfRule>
  </conditionalFormatting>
  <conditionalFormatting sqref="A39">
    <cfRule type="expression" dxfId="254" priority="16" stopIfTrue="1">
      <formula>$A$39&lt;&gt;""</formula>
    </cfRule>
  </conditionalFormatting>
  <conditionalFormatting sqref="U4">
    <cfRule type="expression" dxfId="253" priority="15">
      <formula>U4=""</formula>
    </cfRule>
  </conditionalFormatting>
  <conditionalFormatting sqref="P3">
    <cfRule type="expression" dxfId="252" priority="14">
      <formula>(P3="")</formula>
    </cfRule>
  </conditionalFormatting>
  <conditionalFormatting sqref="Y4">
    <cfRule type="expression" dxfId="251" priority="13">
      <formula>AND((OR(K4="Bendigo 3550",K4="Ballarat 3350",K4="Curlewis 3222")),Y4="")</formula>
    </cfRule>
  </conditionalFormatting>
  <conditionalFormatting sqref="Y3:Y4">
    <cfRule type="expression" dxfId="250" priority="10">
      <formula>(Y3="")</formula>
    </cfRule>
    <cfRule type="expression" dxfId="249" priority="11">
      <formula>Y3&gt;=3</formula>
    </cfRule>
    <cfRule type="expression" dxfId="248" priority="12">
      <formula>AND(Y3&gt;=2,Y3&lt;3)</formula>
    </cfRule>
  </conditionalFormatting>
  <conditionalFormatting sqref="U3">
    <cfRule type="expression" dxfId="247" priority="9">
      <formula>OR(U3="",U3="Yes")</formula>
    </cfRule>
  </conditionalFormatting>
  <conditionalFormatting sqref="H10:H19">
    <cfRule type="cellIs" dxfId="246" priority="8" operator="between">
      <formula>1</formula>
      <formula>300</formula>
    </cfRule>
  </conditionalFormatting>
  <conditionalFormatting sqref="M10:M19">
    <cfRule type="expression" dxfId="245" priority="7">
      <formula>AND(OR($M10="Whitlam",$M10="Traditional"),$H10&lt;301)</formula>
    </cfRule>
  </conditionalFormatting>
  <conditionalFormatting sqref="AB10:AB19">
    <cfRule type="expression" dxfId="244" priority="6">
      <formula>AND($C$4&lt;&gt;"",COUNTIF(Rock,$C$4)&gt;0)</formula>
    </cfRule>
  </conditionalFormatting>
  <conditionalFormatting sqref="Y5">
    <cfRule type="expression" dxfId="243" priority="5">
      <formula>OR(Y5="",Y5="No")</formula>
    </cfRule>
  </conditionalFormatting>
  <conditionalFormatting sqref="L10:L19">
    <cfRule type="containsText" dxfId="242" priority="4" operator="containsText" text="Yes">
      <formula>NOT(ISERROR(SEARCH("Yes",L10)))</formula>
    </cfRule>
  </conditionalFormatting>
  <conditionalFormatting sqref="S37:V38">
    <cfRule type="expression" dxfId="241" priority="3">
      <formula>MATCH("Yes",$L$10:$L$19,0)</formula>
    </cfRule>
  </conditionalFormatting>
  <conditionalFormatting sqref="P4">
    <cfRule type="expression" dxfId="240" priority="18">
      <formula>OR(AND(P4="",P3&lt;&gt;"Yes"),P4&lt;=TODAY())</formula>
    </cfRule>
  </conditionalFormatting>
  <conditionalFormatting sqref="A1">
    <cfRule type="dataBar" priority="1">
      <dataBar>
        <cfvo type="min"/>
        <cfvo type="max"/>
        <color rgb="FF63C384"/>
      </dataBar>
      <extLst>
        <ext xmlns:x14="http://schemas.microsoft.com/office/spreadsheetml/2009/9/main" uri="{B025F937-C7B1-47D3-B67F-A62EFF666E3E}">
          <x14:id>{0D630598-BD06-48D4-8DDA-8D31D6D855A4}</x14:id>
        </ext>
      </extLst>
    </cfRule>
  </conditionalFormatting>
  <conditionalFormatting sqref="F10:F19">
    <cfRule type="cellIs" dxfId="239" priority="19" operator="between">
      <formula>1</formula>
      <formula>11</formula>
    </cfRule>
  </conditionalFormatting>
  <dataValidations count="7">
    <dataValidation type="date" allowBlank="1" showInputMessage="1" showErrorMessage="1" sqref="P4" xr:uid="{CDAF7245-0861-4ED7-948E-D28B77C917BE}">
      <formula1>1</formula1>
      <formula2>117610</formula2>
    </dataValidation>
    <dataValidation type="list" allowBlank="1" showInputMessage="1" sqref="AE10:AE19" xr:uid="{1B38EF86-0429-4275-967A-17B5C1C3B011}">
      <formula1>"Yes,No"</formula1>
    </dataValidation>
    <dataValidation type="list" allowBlank="1" showInputMessage="1" sqref="O23:X23" xr:uid="{C47D86D0-3F77-4D08-AF0C-298CC6135E0C}">
      <formula1>ddUpgrades_KB</formula1>
    </dataValidation>
    <dataValidation type="list" allowBlank="1" showInputMessage="1" showErrorMessage="1" sqref="U3:U4 Y5 P3 L10:L19 I10:I19" xr:uid="{FCD448AB-8FB6-4E14-A52F-457ABF1CA518}">
      <formula1>"Yes, No"</formula1>
    </dataValidation>
    <dataValidation type="list" allowBlank="1" showInputMessage="1" showErrorMessage="1" sqref="P51" xr:uid="{868DB4BB-3D7E-43AE-BF9A-E4FFEC5B5D32}">
      <formula1>Sales_Estimator</formula1>
    </dataValidation>
    <dataValidation type="list" allowBlank="1" showInputMessage="1" sqref="O24:X35" xr:uid="{1E8E88C6-6470-459C-8C6D-A87AEC8C69C7}">
      <formula1>ddUpgradesKBC</formula1>
    </dataValidation>
    <dataValidation type="list" allowBlank="1" showInputMessage="1" showErrorMessage="1" sqref="J10:J19" xr:uid="{58066E2D-57AB-414A-BB9F-0FBD4455CC40}">
      <formula1>"N, NE, E, SE, S, SW, W, NW"</formula1>
    </dataValidation>
  </dataValidations>
  <pageMargins left="0.23622047244094491" right="0.23622047244094491" top="0.15748031496062992" bottom="0.15748031496062992" header="0.31496062992125984" footer="0.31496062992125984"/>
  <pageSetup paperSize="8"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bUnProtectAll">
                <anchor moveWithCells="1" sizeWithCells="1">
                  <from>
                    <xdr:col>25</xdr:col>
                    <xdr:colOff>66675</xdr:colOff>
                    <xdr:row>0</xdr:row>
                    <xdr:rowOff>66675</xdr:rowOff>
                  </from>
                  <to>
                    <xdr:col>28</xdr:col>
                    <xdr:colOff>28575</xdr:colOff>
                    <xdr:row>2</xdr:row>
                    <xdr:rowOff>180975</xdr:rowOff>
                  </to>
                </anchor>
              </controlPr>
            </control>
          </mc:Choice>
        </mc:AlternateContent>
        <mc:AlternateContent xmlns:mc="http://schemas.openxmlformats.org/markup-compatibility/2006">
          <mc:Choice Requires="x14">
            <control shapeId="8194" r:id="rId5" name="Button 2">
              <controlPr defaultSize="0" print="0" autoFill="0" autoPict="0" macro="[0]!sbProtectAllSheets">
                <anchor moveWithCells="1" sizeWithCells="1">
                  <from>
                    <xdr:col>26</xdr:col>
                    <xdr:colOff>219075</xdr:colOff>
                    <xdr:row>3</xdr:row>
                    <xdr:rowOff>66675</xdr:rowOff>
                  </from>
                  <to>
                    <xdr:col>30</xdr:col>
                    <xdr:colOff>66675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D630598-BD06-48D4-8DDA-8D31D6D855A4}">
            <x14:dataBar minLength="0" maxLength="100" border="1" negativeBarBorderColorSameAsPositive="0">
              <x14:cfvo type="autoMin"/>
              <x14:cfvo type="autoMax"/>
              <x14:borderColor rgb="FF63C384"/>
              <x14:negativeFillColor rgb="FFFF0000"/>
              <x14:negativeBorderColor rgb="FFFF0000"/>
              <x14:axisColor rgb="FF000000"/>
            </x14:dataBar>
          </x14:cfRule>
          <xm:sqref>A1</xm:sqref>
        </x14:conditionalFormatting>
        <x14:conditionalFormatting xmlns:xm="http://schemas.microsoft.com/office/excel/2006/main">
          <x14:cfRule type="expression" priority="2674" id="{531334B6-F478-4E34-98E2-384E71F3D68C}">
            <xm:f>AND($F10&lt;&gt;"",_xlfn.XLOOKUP($K10,Houses!$A$4:$A$329,Houses!$D$4:$D$329)&gt;$F10,$AE10&lt;&gt;"Yes")</xm:f>
            <x14:dxf>
              <fill>
                <patternFill>
                  <bgColor rgb="FFFF0000"/>
                </patternFill>
              </fill>
            </x14:dxf>
          </x14:cfRule>
          <xm:sqref>A10:C19 G10:I19 K10:U19 W10:W19</xm:sqref>
        </x14:conditionalFormatting>
        <x14:conditionalFormatting xmlns:xm="http://schemas.microsoft.com/office/excel/2006/main">
          <x14:cfRule type="expression" priority="2678" id="{FF0F57F0-8EF9-4ADB-813A-79403B4C2ADC}">
            <xm:f>AND($G10&lt;&gt;"",_xlfn.XLOOKUP($K10,Houses!$A$4:$A$329,Houses!$E$4:$E$329)&gt;$G10,$AE10&lt;&gt;"Yes")</xm:f>
            <x14:dxf>
              <fill>
                <patternFill>
                  <bgColor rgb="FFFF0000"/>
                </patternFill>
              </fill>
            </x14:dxf>
          </x14:cfRule>
          <xm:sqref>F10:F19 A10:C19 H10:I19 K10:U19 W10:W19</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errorTitle="Stage" error="Save:_x000a_- Design Guidelines_x000a_- Engineering_x000a_- POS_x000a_- MCPs_x000a_- Compaction Report_x000a__x000a_Email Estimator:_x000a_- Stage" xr:uid="{D86F6EAF-9C70-461E-AD84-4E7CC4AB15D8}">
          <x14:formula1>
            <xm:f>_xlfn.ANCHORARRAY(ESTATES!$AM$11)</xm:f>
          </x14:formula1>
          <xm:sqref>A10:A19</xm:sqref>
        </x14:dataValidation>
        <x14:dataValidation type="list" allowBlank="1" showErrorMessage="1" errorTitle="Estate" error="Save:_x000a_- Design Guidelines_x000a_- Engineering_x000a_- POS_x000a_- MCPs_x000a_- Compaction Report_x000a__x000a_Email Estimator:_x000a_- Estate_x000a_- Stage/s_x000a_- Developer_x000a_- Contact_x000a_- Contact mobile_x000a_- Contact email" xr:uid="{999B26B1-CC63-4689-B854-1E6FF3130CD1}">
          <x14:formula1>
            <xm:f>_xlfn.ANCHORARRAY(ESTATES!$AL$11)</xm:f>
          </x14:formula1>
          <xm:sqref>C3</xm:sqref>
        </x14:dataValidation>
        <x14:dataValidation type="list" allowBlank="1" showInputMessage="1" showErrorMessage="1" xr:uid="{BEE77A1E-10E1-4F54-BB03-C2378C4B26D4}">
          <x14:formula1>
            <xm:f>_xlfn.ANCHORARRAY('KBC - Houses'!$Z$4)</xm:f>
          </x14:formula1>
          <xm:sqref>K10:K19</xm:sqref>
        </x14:dataValidation>
        <x14:dataValidation type="list" allowBlank="1" showInputMessage="1" showErrorMessage="1" xr:uid="{7AF67535-241D-4503-AD59-B1229F61C3BC}">
          <x14:formula1>
            <xm:f>_xlfn.ANCHORARRAY('KBC - Houses'!$AA$4)</xm:f>
          </x14:formula1>
          <xm:sqref>M10</xm:sqref>
        </x14:dataValidation>
        <x14:dataValidation type="list" allowBlank="1" showInputMessage="1" showErrorMessage="1" xr:uid="{F4406ADD-2177-43FB-94EB-35A85AD5C868}">
          <x14:formula1>
            <xm:f>_xlfn.ANCHORARRAY('KBC - Houses'!$AB$4)</xm:f>
          </x14:formula1>
          <xm:sqref>M11</xm:sqref>
        </x14:dataValidation>
        <x14:dataValidation type="list" allowBlank="1" showInputMessage="1" showErrorMessage="1" xr:uid="{3C1146BE-499B-498E-BD8A-C24D154AA728}">
          <x14:formula1>
            <xm:f>_xlfn.ANCHORARRAY('KBC - Houses'!$AC$4)</xm:f>
          </x14:formula1>
          <xm:sqref>M12</xm:sqref>
        </x14:dataValidation>
        <x14:dataValidation type="list" allowBlank="1" showInputMessage="1" showErrorMessage="1" xr:uid="{8450383C-3311-4A64-8767-DB46E44404DC}">
          <x14:formula1>
            <xm:f>_xlfn.ANCHORARRAY('KBC - Houses'!$AD$4)</xm:f>
          </x14:formula1>
          <xm:sqref>M13</xm:sqref>
        </x14:dataValidation>
        <x14:dataValidation type="list" allowBlank="1" showInputMessage="1" showErrorMessage="1" xr:uid="{56496526-9AD4-49DA-A417-257905742550}">
          <x14:formula1>
            <xm:f>_xlfn.ANCHORARRAY('KBC - Houses'!$AE$4)</xm:f>
          </x14:formula1>
          <xm:sqref>M14</xm:sqref>
        </x14:dataValidation>
        <x14:dataValidation type="list" allowBlank="1" showInputMessage="1" showErrorMessage="1" xr:uid="{CEF20D1A-094F-49E2-8C60-DC593E2FCC0C}">
          <x14:formula1>
            <xm:f>_xlfn.ANCHORARRAY('KBC - Houses'!$AF$4)</xm:f>
          </x14:formula1>
          <xm:sqref>M15</xm:sqref>
        </x14:dataValidation>
        <x14:dataValidation type="list" allowBlank="1" showInputMessage="1" showErrorMessage="1" xr:uid="{9590C101-2DBB-4EC4-8B98-BF4F997083E6}">
          <x14:formula1>
            <xm:f>_xlfn.ANCHORARRAY('KBC - Houses'!$AG$4)</xm:f>
          </x14:formula1>
          <xm:sqref>M16</xm:sqref>
        </x14:dataValidation>
        <x14:dataValidation type="list" allowBlank="1" showInputMessage="1" showErrorMessage="1" xr:uid="{1D0CADAD-50F4-4544-8F03-B48343226A45}">
          <x14:formula1>
            <xm:f>_xlfn.ANCHORARRAY('KBC - Houses'!$AH$4)</xm:f>
          </x14:formula1>
          <xm:sqref>M17</xm:sqref>
        </x14:dataValidation>
        <x14:dataValidation type="list" allowBlank="1" showInputMessage="1" showErrorMessage="1" xr:uid="{7E30D716-FF02-4174-A2D5-948D87291A6A}">
          <x14:formula1>
            <xm:f>_xlfn.ANCHORARRAY('KBC - Houses'!$AI$4)</xm:f>
          </x14:formula1>
          <xm:sqref>M18</xm:sqref>
        </x14:dataValidation>
        <x14:dataValidation type="list" allowBlank="1" showInputMessage="1" showErrorMessage="1" xr:uid="{091D7720-A821-4CB0-889A-98A6308AF0CB}">
          <x14:formula1>
            <xm:f>_xlfn.ANCHORARRAY('KBC - Houses'!$AJ$4)</xm:f>
          </x14:formula1>
          <xm:sqref>M19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9944-A892-40A5-82D2-A62C31658370}">
  <sheetPr codeName="Sheet12">
    <tabColor theme="1" tint="0.34998626667073579"/>
  </sheetPr>
  <dimension ref="A1:AN51"/>
  <sheetViews>
    <sheetView zoomScaleNormal="100" workbookViewId="0">
      <pane ySplit="3" topLeftCell="A28" activePane="bottomLeft" state="frozen"/>
      <selection sqref="A1:Y1"/>
      <selection pane="bottomLeft" activeCell="J52" sqref="J52"/>
    </sheetView>
  </sheetViews>
  <sheetFormatPr defaultRowHeight="15"/>
  <cols>
    <col min="1" max="1" width="15.42578125" customWidth="1"/>
    <col min="2" max="2" width="10.5703125" style="46" bestFit="1" customWidth="1"/>
    <col min="3" max="3" width="9" style="46" bestFit="1" customWidth="1"/>
    <col min="4" max="4" width="11.42578125" style="94" customWidth="1"/>
    <col min="5" max="5" width="8.5703125" style="95" customWidth="1"/>
    <col min="6" max="6" width="8.5703125" bestFit="1" customWidth="1"/>
    <col min="7" max="7" width="13.42578125" bestFit="1" customWidth="1"/>
    <col min="8" max="9" width="12.5703125" bestFit="1" customWidth="1"/>
    <col min="10" max="10" width="55.5703125" bestFit="1" customWidth="1"/>
    <col min="11" max="11" width="14.42578125" bestFit="1" customWidth="1"/>
    <col min="12" max="12" width="85.42578125" bestFit="1" customWidth="1"/>
    <col min="13" max="13" width="22.5703125" bestFit="1" customWidth="1"/>
    <col min="14" max="14" width="39.42578125" bestFit="1" customWidth="1"/>
    <col min="15" max="15" width="64" bestFit="1" customWidth="1"/>
    <col min="16" max="17" width="16.5703125" bestFit="1" customWidth="1"/>
    <col min="18" max="19" width="16" bestFit="1" customWidth="1"/>
    <col min="20" max="20" width="24.5703125" bestFit="1" customWidth="1"/>
    <col min="21" max="22" width="17" bestFit="1" customWidth="1"/>
    <col min="23" max="23" width="26" bestFit="1" customWidth="1"/>
    <col min="24" max="25" width="15.42578125" bestFit="1" customWidth="1"/>
    <col min="26" max="35" width="18.5703125" bestFit="1" customWidth="1"/>
    <col min="36" max="38" width="11.5703125" bestFit="1" customWidth="1"/>
    <col min="39" max="39" width="6" bestFit="1" customWidth="1"/>
  </cols>
  <sheetData>
    <row r="1" spans="1:40">
      <c r="A1" s="81" t="s">
        <v>268</v>
      </c>
      <c r="B1" s="93">
        <v>45870</v>
      </c>
    </row>
    <row r="2" spans="1:40" ht="15.75" thickBot="1">
      <c r="Z2" s="96" t="str">
        <f>"I10 - "&amp;'Pricing Sheet'!K11</f>
        <v xml:space="preserve">I10 - </v>
      </c>
      <c r="AA2" s="97" t="str">
        <f>"I11 - "&amp;'Pricing Sheet'!K12</f>
        <v xml:space="preserve">I11 - </v>
      </c>
      <c r="AB2" s="97" t="str">
        <f>"I12 - "&amp;'Pricing Sheet'!K13</f>
        <v xml:space="preserve">I12 - </v>
      </c>
      <c r="AC2" s="97" t="str">
        <f>"I13 - "&amp;'Pricing Sheet'!K14</f>
        <v xml:space="preserve">I13 - </v>
      </c>
      <c r="AD2" s="97" t="str">
        <f>"I14 - "&amp;'Pricing Sheet'!K15</f>
        <v xml:space="preserve">I14 - </v>
      </c>
      <c r="AE2" s="97" t="str">
        <f>"I15 - "&amp;'Pricing Sheet'!K16</f>
        <v xml:space="preserve">I15 - </v>
      </c>
      <c r="AF2" s="97" t="str">
        <f>"I16 - "&amp;'Pricing Sheet'!K17</f>
        <v xml:space="preserve">I16 - </v>
      </c>
      <c r="AG2" s="97" t="str">
        <f>"I17 - "&amp;'Pricing Sheet'!K18</f>
        <v xml:space="preserve">I17 - </v>
      </c>
      <c r="AH2" s="97" t="str">
        <f>"I18 - "&amp;'Pricing Sheet'!K19</f>
        <v xml:space="preserve">I18 - </v>
      </c>
      <c r="AI2" s="97" t="str">
        <f>"I19 - "&amp;'Pricing Sheet'!K20</f>
        <v xml:space="preserve">I19 - </v>
      </c>
    </row>
    <row r="3" spans="1:40" ht="15.75" thickBot="1">
      <c r="A3" s="48" t="s">
        <v>237</v>
      </c>
      <c r="B3" s="51" t="s">
        <v>0</v>
      </c>
      <c r="C3" s="51" t="s">
        <v>249</v>
      </c>
      <c r="D3" s="51" t="s">
        <v>7315</v>
      </c>
      <c r="E3" s="51" t="s">
        <v>7365</v>
      </c>
      <c r="F3" s="51" t="s">
        <v>7737</v>
      </c>
      <c r="G3" s="164" t="s">
        <v>7736</v>
      </c>
      <c r="H3" s="164" t="s">
        <v>10756</v>
      </c>
      <c r="I3" s="165" t="s">
        <v>267</v>
      </c>
      <c r="J3" s="48" t="s">
        <v>252</v>
      </c>
      <c r="K3" s="48" t="s">
        <v>275</v>
      </c>
      <c r="L3" s="48" t="s">
        <v>276</v>
      </c>
      <c r="M3" s="48" t="s">
        <v>277</v>
      </c>
      <c r="N3" s="166" t="s">
        <v>7313</v>
      </c>
      <c r="O3" s="166" t="s">
        <v>7314</v>
      </c>
      <c r="P3" s="48" t="s">
        <v>7312</v>
      </c>
      <c r="R3" t="s">
        <v>269</v>
      </c>
      <c r="T3" s="98" t="s">
        <v>273</v>
      </c>
      <c r="U3" s="99" t="s">
        <v>278</v>
      </c>
      <c r="W3" s="98" t="s">
        <v>274</v>
      </c>
      <c r="X3" s="99" t="s">
        <v>7319</v>
      </c>
      <c r="Z3" s="100" t="s">
        <v>7309</v>
      </c>
      <c r="AA3" t="s">
        <v>7310</v>
      </c>
      <c r="AB3" t="s">
        <v>7310</v>
      </c>
      <c r="AC3" t="s">
        <v>7310</v>
      </c>
      <c r="AD3" t="s">
        <v>7310</v>
      </c>
      <c r="AE3" t="s">
        <v>7310</v>
      </c>
      <c r="AF3" t="s">
        <v>7310</v>
      </c>
      <c r="AG3" t="s">
        <v>7310</v>
      </c>
      <c r="AH3" t="s">
        <v>7310</v>
      </c>
      <c r="AI3" t="s">
        <v>7310</v>
      </c>
      <c r="AJ3" t="s">
        <v>7310</v>
      </c>
      <c r="AL3" s="101" t="s">
        <v>7343</v>
      </c>
      <c r="AM3" s="101" t="s">
        <v>7342</v>
      </c>
      <c r="AN3" s="101" t="s">
        <v>7341</v>
      </c>
    </row>
    <row r="4" spans="1:40">
      <c r="A4" t="s">
        <v>8608</v>
      </c>
      <c r="B4" s="47">
        <v>272300</v>
      </c>
      <c r="C4" s="47" t="s">
        <v>250</v>
      </c>
      <c r="D4" s="102">
        <v>10.5</v>
      </c>
      <c r="E4" s="102">
        <v>28</v>
      </c>
      <c r="F4" s="94">
        <v>168.45</v>
      </c>
      <c r="G4" s="94">
        <v>168.45</v>
      </c>
      <c r="H4" s="94">
        <f t="shared" ref="H4:H47" si="0">(D4*E4)</f>
        <v>294</v>
      </c>
      <c r="I4" s="95">
        <v>18</v>
      </c>
      <c r="J4" t="s">
        <v>265</v>
      </c>
      <c r="K4" t="s">
        <v>8615</v>
      </c>
      <c r="L4" s="46">
        <v>1500</v>
      </c>
      <c r="N4" t="s">
        <v>7316</v>
      </c>
      <c r="O4" t="s">
        <v>7316</v>
      </c>
      <c r="P4" t="s">
        <v>7318</v>
      </c>
      <c r="R4" t="s">
        <v>8476</v>
      </c>
      <c r="T4" t="str" cm="1">
        <f t="array" ref="T4:T14">_xlfn._xlws.SORT(_xlfn.UNIQUE(_xlfn._xlws.FILTER(Table118[House],Table118[Storey]="Single")))</f>
        <v>Ashwood 18</v>
      </c>
      <c r="U4" t="e" cm="1" vm="1">
        <f t="array" ref="U4">_xlfn._xlws.SORT(_xlfn.UNIQUE(_xlfn._xlws.FILTER(Table118[Facade],Table118[House]='KBC - Single Tender'!B18)))</f>
        <v>#VALUE!</v>
      </c>
      <c r="W4" t="e" cm="1" vm="1">
        <f t="array" ref="W4">_xlfn._xlws.SORT(_xlfn.UNIQUE(_xlfn._xlws.FILTER(Table118[House],Table118[Storey]="Double")))</f>
        <v>#VALUE!</v>
      </c>
      <c r="X4" t="e" cm="1" vm="1">
        <f t="array" ref="X4">_xlfn._xlws.SORT(_xlfn.UNIQUE(_xlfn._xlws.FILTER(Table118[Facade],Table118[House]='Double Tender'!B22)))</f>
        <v>#VALUE!</v>
      </c>
      <c r="Z4" t="str" cm="1">
        <f t="array" ref="Z4:Z14">_xlfn._xlws.SORT(_xlfn.UNIQUE(Table118[House]))</f>
        <v>Ashwood 18</v>
      </c>
      <c r="AA4" t="e" cm="1" vm="1">
        <f t="array" ref="AA4">_xlfn._xlws.SORT(_xlfn.UNIQUE(_xlfn._xlws.FILTER(Table118[Facade],Table118[House]='KBC - Pricing Sheet'!K10)))</f>
        <v>#VALUE!</v>
      </c>
      <c r="AB4" t="e" cm="1" vm="1">
        <f t="array" ref="AB4">_xlfn._xlws.SORT(_xlfn.UNIQUE(_xlfn._xlws.FILTER(Table118[Facade],Table118[House]='KBC - Pricing Sheet'!K11)))</f>
        <v>#VALUE!</v>
      </c>
      <c r="AC4" t="e" cm="1" vm="1">
        <f t="array" ref="AC4">_xlfn._xlws.SORT(_xlfn.UNIQUE(_xlfn._xlws.FILTER(Table118[Facade],Table118[House]='KBC - Pricing Sheet'!K12)))</f>
        <v>#VALUE!</v>
      </c>
      <c r="AD4" t="e" cm="1" vm="1">
        <f t="array" ref="AD4">_xlfn._xlws.SORT(_xlfn.UNIQUE(_xlfn._xlws.FILTER(Table118[Facade],Table118[House]='KBC - Pricing Sheet'!K13)))</f>
        <v>#VALUE!</v>
      </c>
      <c r="AE4" t="e" cm="1" vm="1">
        <f t="array" ref="AE4">_xlfn._xlws.SORT(_xlfn.UNIQUE(_xlfn._xlws.FILTER(Table118[Facade],Table118[House]='KBC - Pricing Sheet'!K14)))</f>
        <v>#VALUE!</v>
      </c>
      <c r="AF4" t="e" cm="1" vm="1">
        <f t="array" ref="AF4">_xlfn._xlws.SORT(_xlfn.UNIQUE(_xlfn._xlws.FILTER(Table118[Facade],Table118[House]='KBC - Pricing Sheet'!K15)))</f>
        <v>#VALUE!</v>
      </c>
      <c r="AG4" t="e" cm="1" vm="1">
        <f t="array" ref="AG4">_xlfn._xlws.SORT(_xlfn.UNIQUE(_xlfn._xlws.FILTER(Table118[Facade],Table118[House]='KBC - Pricing Sheet'!K16)))</f>
        <v>#VALUE!</v>
      </c>
      <c r="AH4" t="e" cm="1" vm="1">
        <f t="array" ref="AH4">_xlfn._xlws.SORT(_xlfn.UNIQUE(_xlfn._xlws.FILTER(Table118[Facade],Table118[House]='KBC - Pricing Sheet'!K17)))</f>
        <v>#VALUE!</v>
      </c>
      <c r="AI4" t="e" cm="1" vm="1">
        <f t="array" ref="AI4">_xlfn._xlws.SORT(_xlfn.UNIQUE(_xlfn._xlws.FILTER(Table118[Facade],Table118[House]='KBC - Pricing Sheet'!K18)))</f>
        <v>#VALUE!</v>
      </c>
      <c r="AJ4" t="e" cm="1" vm="1">
        <f t="array" ref="AJ4">_xlfn._xlws.SORT(_xlfn.UNIQUE(_xlfn._xlws.FILTER(Table118[Facade],Table118[House]='KBC - Pricing Sheet'!K19)))</f>
        <v>#VALUE!</v>
      </c>
      <c r="AL4">
        <v>30</v>
      </c>
      <c r="AM4">
        <v>59</v>
      </c>
      <c r="AN4">
        <v>1.0029999999999999</v>
      </c>
    </row>
    <row r="5" spans="1:40">
      <c r="A5" t="s">
        <v>8608</v>
      </c>
      <c r="B5" s="47">
        <v>272300</v>
      </c>
      <c r="C5" s="47" t="s">
        <v>250</v>
      </c>
      <c r="D5" s="102">
        <v>10.5</v>
      </c>
      <c r="E5" s="102">
        <v>28</v>
      </c>
      <c r="F5" s="94">
        <v>168.45</v>
      </c>
      <c r="G5" s="94">
        <v>168.45</v>
      </c>
      <c r="H5" s="94">
        <f t="shared" si="0"/>
        <v>294</v>
      </c>
      <c r="I5" s="95">
        <v>18</v>
      </c>
      <c r="J5" t="s">
        <v>265</v>
      </c>
      <c r="K5" t="s">
        <v>8614</v>
      </c>
      <c r="L5" s="46">
        <v>3000</v>
      </c>
      <c r="N5" t="s">
        <v>7316</v>
      </c>
      <c r="O5" t="s">
        <v>7316</v>
      </c>
      <c r="R5" t="s">
        <v>271</v>
      </c>
      <c r="T5" t="str">
        <v>Bristol 14</v>
      </c>
      <c r="Z5" t="str">
        <v>Bristol 14</v>
      </c>
      <c r="AL5">
        <v>60</v>
      </c>
      <c r="AM5">
        <v>89</v>
      </c>
      <c r="AN5">
        <v>1.006</v>
      </c>
    </row>
    <row r="6" spans="1:40">
      <c r="A6" t="s">
        <v>8608</v>
      </c>
      <c r="B6" s="47">
        <v>272300</v>
      </c>
      <c r="C6" s="47" t="s">
        <v>250</v>
      </c>
      <c r="D6" s="102">
        <v>10.5</v>
      </c>
      <c r="E6" s="102">
        <v>28</v>
      </c>
      <c r="F6" s="94">
        <v>168.45</v>
      </c>
      <c r="G6" s="94">
        <v>168.45</v>
      </c>
      <c r="H6" s="94">
        <f t="shared" si="0"/>
        <v>294</v>
      </c>
      <c r="I6" s="95">
        <v>18</v>
      </c>
      <c r="J6" t="s">
        <v>265</v>
      </c>
      <c r="K6" t="s">
        <v>238</v>
      </c>
      <c r="L6" s="46">
        <v>4000</v>
      </c>
      <c r="M6" t="s">
        <v>248</v>
      </c>
      <c r="N6" t="s">
        <v>7316</v>
      </c>
      <c r="O6" t="s">
        <v>7316</v>
      </c>
      <c r="R6" t="s">
        <v>8475</v>
      </c>
      <c r="T6" t="str">
        <v>Camberwell 20</v>
      </c>
      <c r="Z6" t="str">
        <v>Camberwell 20</v>
      </c>
      <c r="AL6">
        <v>90</v>
      </c>
      <c r="AM6">
        <v>119</v>
      </c>
      <c r="AN6">
        <v>1.0089999999999999</v>
      </c>
    </row>
    <row r="7" spans="1:40">
      <c r="A7" t="s">
        <v>8608</v>
      </c>
      <c r="B7" s="47">
        <v>272300</v>
      </c>
      <c r="C7" s="47" t="s">
        <v>250</v>
      </c>
      <c r="D7" s="102">
        <v>10.5</v>
      </c>
      <c r="E7" s="102">
        <v>28</v>
      </c>
      <c r="F7" s="94">
        <v>168.45</v>
      </c>
      <c r="G7" s="94">
        <v>168.45</v>
      </c>
      <c r="H7" s="94">
        <f t="shared" si="0"/>
        <v>294</v>
      </c>
      <c r="I7" s="95">
        <v>18</v>
      </c>
      <c r="J7" t="s">
        <v>265</v>
      </c>
      <c r="K7" t="s">
        <v>8616</v>
      </c>
      <c r="L7" s="46" t="s">
        <v>1</v>
      </c>
      <c r="N7" t="s">
        <v>7316</v>
      </c>
      <c r="O7" t="s">
        <v>7316</v>
      </c>
      <c r="R7" t="s">
        <v>272</v>
      </c>
      <c r="T7" t="str">
        <v xml:space="preserve">Camden 17 </v>
      </c>
      <c r="Z7" t="str">
        <v xml:space="preserve">Camden 17 </v>
      </c>
      <c r="AL7">
        <v>120</v>
      </c>
      <c r="AM7">
        <v>149</v>
      </c>
      <c r="AN7">
        <v>1.012</v>
      </c>
    </row>
    <row r="8" spans="1:40">
      <c r="A8" t="s">
        <v>8604</v>
      </c>
      <c r="B8" s="47">
        <v>246500</v>
      </c>
      <c r="C8" s="47" t="s">
        <v>250</v>
      </c>
      <c r="D8" s="102">
        <v>8.5</v>
      </c>
      <c r="E8" s="102">
        <v>22</v>
      </c>
      <c r="F8" s="94">
        <v>118.71</v>
      </c>
      <c r="G8" s="94">
        <v>118.71</v>
      </c>
      <c r="H8" s="94">
        <f t="shared" si="0"/>
        <v>187</v>
      </c>
      <c r="I8" s="95">
        <v>13</v>
      </c>
      <c r="J8" t="s">
        <v>258</v>
      </c>
      <c r="K8" t="s">
        <v>8615</v>
      </c>
      <c r="L8" s="46">
        <v>1500</v>
      </c>
      <c r="N8" t="s">
        <v>7316</v>
      </c>
      <c r="O8" t="s">
        <v>7316</v>
      </c>
      <c r="R8" t="s">
        <v>8474</v>
      </c>
      <c r="T8" t="str">
        <v>Dover 13</v>
      </c>
      <c r="Z8" t="str">
        <v>Dover 13</v>
      </c>
      <c r="AL8">
        <v>150</v>
      </c>
      <c r="AM8">
        <v>179</v>
      </c>
      <c r="AN8">
        <v>1.0149999999999999</v>
      </c>
    </row>
    <row r="9" spans="1:40">
      <c r="A9" t="s">
        <v>8604</v>
      </c>
      <c r="B9" s="47">
        <v>246500</v>
      </c>
      <c r="C9" s="47" t="s">
        <v>250</v>
      </c>
      <c r="D9" s="102">
        <v>8.5</v>
      </c>
      <c r="E9" s="102">
        <v>22</v>
      </c>
      <c r="F9" s="94">
        <v>118.71</v>
      </c>
      <c r="G9" s="94">
        <v>118.71</v>
      </c>
      <c r="H9" s="94">
        <f t="shared" si="0"/>
        <v>187</v>
      </c>
      <c r="I9" s="95">
        <v>13</v>
      </c>
      <c r="J9" t="s">
        <v>258</v>
      </c>
      <c r="K9" t="s">
        <v>8614</v>
      </c>
      <c r="L9" s="46">
        <v>3000</v>
      </c>
      <c r="N9" t="s">
        <v>7316</v>
      </c>
      <c r="O9" t="s">
        <v>7316</v>
      </c>
      <c r="R9" t="s">
        <v>270</v>
      </c>
      <c r="T9" t="str">
        <v>Haven 19</v>
      </c>
      <c r="Z9" t="str">
        <v>Haven 19</v>
      </c>
      <c r="AL9">
        <v>180</v>
      </c>
      <c r="AM9">
        <v>209</v>
      </c>
      <c r="AN9">
        <v>1.018</v>
      </c>
    </row>
    <row r="10" spans="1:40">
      <c r="A10" t="s">
        <v>8604</v>
      </c>
      <c r="B10" s="47">
        <v>246500</v>
      </c>
      <c r="C10" s="47" t="s">
        <v>250</v>
      </c>
      <c r="D10" s="102">
        <v>8.5</v>
      </c>
      <c r="E10" s="102">
        <v>22</v>
      </c>
      <c r="F10" s="94">
        <v>118.71</v>
      </c>
      <c r="G10" s="94">
        <v>118.71</v>
      </c>
      <c r="H10" s="94">
        <f t="shared" si="0"/>
        <v>187</v>
      </c>
      <c r="I10" s="95">
        <v>13</v>
      </c>
      <c r="J10" t="s">
        <v>258</v>
      </c>
      <c r="K10" t="s">
        <v>238</v>
      </c>
      <c r="L10" s="46">
        <v>4000</v>
      </c>
      <c r="M10" t="s">
        <v>248</v>
      </c>
      <c r="N10" t="s">
        <v>7316</v>
      </c>
      <c r="O10" t="s">
        <v>7316</v>
      </c>
      <c r="P10" t="s">
        <v>7318</v>
      </c>
      <c r="R10" t="s">
        <v>7933</v>
      </c>
      <c r="T10" t="str">
        <v>Kenton 17</v>
      </c>
      <c r="Z10" t="str">
        <v>Kenton 17</v>
      </c>
      <c r="AL10">
        <v>210</v>
      </c>
      <c r="AM10">
        <v>239</v>
      </c>
      <c r="AN10">
        <v>1.0209999999999999</v>
      </c>
    </row>
    <row r="11" spans="1:40">
      <c r="A11" t="s">
        <v>8604</v>
      </c>
      <c r="B11" s="47">
        <v>246500</v>
      </c>
      <c r="C11" s="47" t="s">
        <v>250</v>
      </c>
      <c r="D11" s="102">
        <v>8.5</v>
      </c>
      <c r="E11" s="102">
        <v>22</v>
      </c>
      <c r="F11" s="94">
        <v>118.71</v>
      </c>
      <c r="G11" s="94">
        <v>118.71</v>
      </c>
      <c r="H11" s="94">
        <f t="shared" si="0"/>
        <v>187</v>
      </c>
      <c r="I11" s="95">
        <v>13</v>
      </c>
      <c r="J11" t="s">
        <v>258</v>
      </c>
      <c r="K11" t="s">
        <v>8616</v>
      </c>
      <c r="L11" s="46" t="s">
        <v>1</v>
      </c>
      <c r="N11" t="s">
        <v>7316</v>
      </c>
      <c r="O11" t="s">
        <v>7316</v>
      </c>
      <c r="R11" t="s">
        <v>8473</v>
      </c>
      <c r="T11" t="str">
        <v>Lancaster 16</v>
      </c>
      <c r="Z11" t="str">
        <v>Lancaster 16</v>
      </c>
      <c r="AL11">
        <v>240</v>
      </c>
      <c r="AM11">
        <v>269</v>
      </c>
      <c r="AN11">
        <v>1.024</v>
      </c>
    </row>
    <row r="12" spans="1:40">
      <c r="A12" t="s">
        <v>8609</v>
      </c>
      <c r="B12" s="47">
        <v>283000</v>
      </c>
      <c r="C12" s="47" t="s">
        <v>250</v>
      </c>
      <c r="D12" s="102">
        <v>12.5</v>
      </c>
      <c r="E12" s="102">
        <v>25</v>
      </c>
      <c r="F12" s="94">
        <v>183.75</v>
      </c>
      <c r="G12" s="94">
        <v>183.75</v>
      </c>
      <c r="H12" s="94">
        <f t="shared" si="0"/>
        <v>312.5</v>
      </c>
      <c r="I12" s="95">
        <v>20</v>
      </c>
      <c r="J12" t="s">
        <v>255</v>
      </c>
      <c r="K12" t="s">
        <v>8615</v>
      </c>
      <c r="L12" s="46">
        <v>1500</v>
      </c>
      <c r="N12" t="s">
        <v>7316</v>
      </c>
      <c r="O12" t="s">
        <v>7316</v>
      </c>
      <c r="P12" t="s">
        <v>7318</v>
      </c>
      <c r="T12" t="str">
        <v>Newcastle 15</v>
      </c>
      <c r="Z12" t="str">
        <v>Newcastle 15</v>
      </c>
      <c r="AL12">
        <v>270</v>
      </c>
      <c r="AM12">
        <v>299</v>
      </c>
      <c r="AN12">
        <v>1.0269999999999999</v>
      </c>
    </row>
    <row r="13" spans="1:40">
      <c r="A13" t="s">
        <v>8609</v>
      </c>
      <c r="B13" s="47">
        <v>283000</v>
      </c>
      <c r="C13" s="47" t="s">
        <v>250</v>
      </c>
      <c r="D13" s="102">
        <v>12.5</v>
      </c>
      <c r="E13" s="102">
        <v>25</v>
      </c>
      <c r="F13" s="94">
        <v>183.75</v>
      </c>
      <c r="G13" s="94">
        <v>183.75</v>
      </c>
      <c r="H13" s="94">
        <f t="shared" si="0"/>
        <v>312.5</v>
      </c>
      <c r="I13" s="95">
        <v>20</v>
      </c>
      <c r="J13" t="s">
        <v>255</v>
      </c>
      <c r="K13" t="s">
        <v>8614</v>
      </c>
      <c r="L13" s="46">
        <v>3000</v>
      </c>
      <c r="N13" t="s">
        <v>7316</v>
      </c>
      <c r="O13" t="s">
        <v>7316</v>
      </c>
      <c r="T13" t="str">
        <v>Newcastle 16</v>
      </c>
      <c r="Z13" t="str">
        <v>Newcastle 16</v>
      </c>
      <c r="AL13">
        <v>300</v>
      </c>
      <c r="AM13">
        <v>329</v>
      </c>
      <c r="AN13">
        <v>1.03</v>
      </c>
    </row>
    <row r="14" spans="1:40">
      <c r="A14" t="s">
        <v>8609</v>
      </c>
      <c r="B14" s="47">
        <v>283000</v>
      </c>
      <c r="C14" s="47" t="s">
        <v>250</v>
      </c>
      <c r="D14" s="102">
        <v>12.5</v>
      </c>
      <c r="E14" s="102">
        <v>25</v>
      </c>
      <c r="F14" s="94">
        <v>183.75</v>
      </c>
      <c r="G14" s="94">
        <v>183.75</v>
      </c>
      <c r="H14" s="94">
        <f t="shared" si="0"/>
        <v>312.5</v>
      </c>
      <c r="I14" s="95">
        <v>20</v>
      </c>
      <c r="J14" t="s">
        <v>255</v>
      </c>
      <c r="K14" t="s">
        <v>238</v>
      </c>
      <c r="L14" s="46">
        <v>4000</v>
      </c>
      <c r="M14" t="s">
        <v>248</v>
      </c>
      <c r="N14" t="s">
        <v>7316</v>
      </c>
      <c r="O14" t="s">
        <v>7316</v>
      </c>
      <c r="T14" t="str">
        <v>Salisbury 18</v>
      </c>
      <c r="Z14" t="str">
        <v>Salisbury 18</v>
      </c>
      <c r="AL14">
        <v>330</v>
      </c>
      <c r="AM14">
        <v>359</v>
      </c>
      <c r="AN14">
        <v>1.0329999999999999</v>
      </c>
    </row>
    <row r="15" spans="1:40">
      <c r="A15" t="s">
        <v>8609</v>
      </c>
      <c r="B15" s="47">
        <v>283000</v>
      </c>
      <c r="C15" s="47" t="s">
        <v>250</v>
      </c>
      <c r="D15" s="102">
        <v>12.5</v>
      </c>
      <c r="E15" s="102">
        <v>25</v>
      </c>
      <c r="F15" s="94">
        <v>183.75</v>
      </c>
      <c r="G15" s="94">
        <v>183.75</v>
      </c>
      <c r="H15" s="94">
        <f t="shared" si="0"/>
        <v>312.5</v>
      </c>
      <c r="I15" s="95">
        <v>20</v>
      </c>
      <c r="J15" t="s">
        <v>255</v>
      </c>
      <c r="K15" t="s">
        <v>8616</v>
      </c>
      <c r="L15" s="46" t="s">
        <v>1</v>
      </c>
      <c r="N15" t="s">
        <v>7316</v>
      </c>
      <c r="O15" t="s">
        <v>7316</v>
      </c>
      <c r="AL15">
        <v>360</v>
      </c>
      <c r="AM15">
        <v>389</v>
      </c>
      <c r="AN15">
        <v>1.036</v>
      </c>
    </row>
    <row r="16" spans="1:40">
      <c r="A16" t="s">
        <v>8612</v>
      </c>
      <c r="B16" s="47">
        <v>266800</v>
      </c>
      <c r="C16" s="47" t="s">
        <v>250</v>
      </c>
      <c r="D16" s="102">
        <v>12.5</v>
      </c>
      <c r="E16" s="102">
        <v>21</v>
      </c>
      <c r="F16" s="94">
        <v>151.63</v>
      </c>
      <c r="G16" s="94">
        <v>151.63</v>
      </c>
      <c r="H16" s="94">
        <f t="shared" si="0"/>
        <v>262.5</v>
      </c>
      <c r="I16" s="95">
        <v>17</v>
      </c>
      <c r="J16" t="s">
        <v>257</v>
      </c>
      <c r="K16" t="s">
        <v>8615</v>
      </c>
      <c r="L16" s="46">
        <v>1500</v>
      </c>
      <c r="N16" t="s">
        <v>7316</v>
      </c>
      <c r="O16" t="s">
        <v>7316</v>
      </c>
      <c r="P16" t="s">
        <v>7318</v>
      </c>
      <c r="AL16">
        <v>390</v>
      </c>
      <c r="AM16">
        <v>419</v>
      </c>
      <c r="AN16">
        <v>1.0389999999999999</v>
      </c>
    </row>
    <row r="17" spans="1:40">
      <c r="A17" t="s">
        <v>8612</v>
      </c>
      <c r="B17" s="47">
        <v>266800</v>
      </c>
      <c r="C17" s="47" t="s">
        <v>250</v>
      </c>
      <c r="D17" s="102">
        <v>12.5</v>
      </c>
      <c r="E17" s="102">
        <v>21</v>
      </c>
      <c r="F17" s="94">
        <v>151.63</v>
      </c>
      <c r="G17" s="94">
        <v>151.63</v>
      </c>
      <c r="H17" s="94">
        <f t="shared" si="0"/>
        <v>262.5</v>
      </c>
      <c r="I17" s="95">
        <v>17</v>
      </c>
      <c r="J17" t="s">
        <v>257</v>
      </c>
      <c r="K17" t="s">
        <v>8614</v>
      </c>
      <c r="L17" s="46">
        <v>3000</v>
      </c>
      <c r="N17" t="s">
        <v>7316</v>
      </c>
      <c r="O17" t="s">
        <v>7316</v>
      </c>
      <c r="AL17">
        <v>420</v>
      </c>
      <c r="AM17">
        <v>449</v>
      </c>
      <c r="AN17">
        <v>1.042</v>
      </c>
    </row>
    <row r="18" spans="1:40">
      <c r="A18" t="s">
        <v>8612</v>
      </c>
      <c r="B18" s="47">
        <v>266800</v>
      </c>
      <c r="C18" s="47" t="s">
        <v>250</v>
      </c>
      <c r="D18" s="102">
        <v>12.5</v>
      </c>
      <c r="E18" s="102">
        <v>21</v>
      </c>
      <c r="F18" s="94">
        <v>151.63</v>
      </c>
      <c r="G18" s="94">
        <v>151.63</v>
      </c>
      <c r="H18" s="94">
        <f t="shared" si="0"/>
        <v>262.5</v>
      </c>
      <c r="I18" s="95">
        <v>17</v>
      </c>
      <c r="J18" t="s">
        <v>257</v>
      </c>
      <c r="K18" t="s">
        <v>238</v>
      </c>
      <c r="L18" s="46">
        <v>4000</v>
      </c>
      <c r="M18" t="s">
        <v>248</v>
      </c>
      <c r="N18" t="s">
        <v>7316</v>
      </c>
      <c r="O18" t="s">
        <v>7316</v>
      </c>
      <c r="AL18">
        <v>450</v>
      </c>
      <c r="AM18">
        <v>479</v>
      </c>
      <c r="AN18">
        <v>1.0449999999999999</v>
      </c>
    </row>
    <row r="19" spans="1:40">
      <c r="A19" t="s">
        <v>8612</v>
      </c>
      <c r="B19" s="47">
        <v>266800</v>
      </c>
      <c r="C19" s="47" t="s">
        <v>250</v>
      </c>
      <c r="D19" s="102">
        <v>12.5</v>
      </c>
      <c r="E19" s="102">
        <v>21</v>
      </c>
      <c r="F19" s="94">
        <v>151.63</v>
      </c>
      <c r="G19" s="94">
        <v>151.63</v>
      </c>
      <c r="H19" s="94">
        <f t="shared" si="0"/>
        <v>262.5</v>
      </c>
      <c r="I19" s="95">
        <v>17</v>
      </c>
      <c r="J19" t="s">
        <v>257</v>
      </c>
      <c r="K19" t="s">
        <v>8616</v>
      </c>
      <c r="L19" s="46" t="s">
        <v>1</v>
      </c>
      <c r="N19" t="s">
        <v>7316</v>
      </c>
      <c r="O19" t="s">
        <v>7316</v>
      </c>
      <c r="AL19">
        <v>480</v>
      </c>
      <c r="AM19">
        <v>509</v>
      </c>
      <c r="AN19">
        <v>1.048</v>
      </c>
    </row>
    <row r="20" spans="1:40">
      <c r="A20" t="s">
        <v>8603</v>
      </c>
      <c r="B20" s="47">
        <v>240400</v>
      </c>
      <c r="C20" s="47" t="s">
        <v>250</v>
      </c>
      <c r="D20" s="102">
        <v>8.5</v>
      </c>
      <c r="E20" s="102">
        <v>22</v>
      </c>
      <c r="F20" s="94">
        <v>118.71</v>
      </c>
      <c r="G20" s="94">
        <v>118.71</v>
      </c>
      <c r="H20" s="94">
        <f t="shared" si="0"/>
        <v>187</v>
      </c>
      <c r="I20" s="95">
        <v>13</v>
      </c>
      <c r="J20" t="s">
        <v>256</v>
      </c>
      <c r="K20" t="s">
        <v>8615</v>
      </c>
      <c r="L20" s="46">
        <v>1500</v>
      </c>
      <c r="N20" t="s">
        <v>7316</v>
      </c>
      <c r="O20" t="s">
        <v>7316</v>
      </c>
      <c r="AL20">
        <v>510</v>
      </c>
      <c r="AM20">
        <v>539</v>
      </c>
      <c r="AN20">
        <v>1.0509999999999999</v>
      </c>
    </row>
    <row r="21" spans="1:40">
      <c r="A21" t="s">
        <v>8603</v>
      </c>
      <c r="B21" s="47">
        <v>240400</v>
      </c>
      <c r="C21" s="47" t="s">
        <v>250</v>
      </c>
      <c r="D21" s="102">
        <v>8.5</v>
      </c>
      <c r="E21" s="102">
        <v>22</v>
      </c>
      <c r="F21" s="94">
        <v>118.71</v>
      </c>
      <c r="G21" s="94">
        <v>118.71</v>
      </c>
      <c r="H21" s="94">
        <f t="shared" si="0"/>
        <v>187</v>
      </c>
      <c r="I21" s="95">
        <v>13</v>
      </c>
      <c r="J21" t="s">
        <v>256</v>
      </c>
      <c r="K21" t="s">
        <v>8614</v>
      </c>
      <c r="L21" s="46">
        <v>3000</v>
      </c>
      <c r="N21" t="s">
        <v>7316</v>
      </c>
      <c r="O21" t="s">
        <v>7316</v>
      </c>
      <c r="AL21">
        <v>540</v>
      </c>
      <c r="AM21">
        <v>569</v>
      </c>
      <c r="AN21">
        <v>1.054</v>
      </c>
    </row>
    <row r="22" spans="1:40">
      <c r="A22" t="s">
        <v>8603</v>
      </c>
      <c r="B22" s="47">
        <v>240400</v>
      </c>
      <c r="C22" s="47" t="s">
        <v>250</v>
      </c>
      <c r="D22" s="102">
        <v>8.5</v>
      </c>
      <c r="E22" s="102">
        <v>22</v>
      </c>
      <c r="F22" s="94">
        <v>118.71</v>
      </c>
      <c r="G22" s="94">
        <v>118.71</v>
      </c>
      <c r="H22" s="94">
        <f t="shared" si="0"/>
        <v>187</v>
      </c>
      <c r="I22" s="95">
        <v>13</v>
      </c>
      <c r="J22" t="s">
        <v>256</v>
      </c>
      <c r="K22" t="s">
        <v>238</v>
      </c>
      <c r="L22" s="46">
        <v>4000</v>
      </c>
      <c r="M22" t="s">
        <v>248</v>
      </c>
      <c r="N22" t="s">
        <v>7316</v>
      </c>
      <c r="O22" t="s">
        <v>7316</v>
      </c>
      <c r="P22" t="s">
        <v>7318</v>
      </c>
      <c r="AL22">
        <v>570</v>
      </c>
      <c r="AM22">
        <v>599</v>
      </c>
      <c r="AN22">
        <v>1.0569999999999999</v>
      </c>
    </row>
    <row r="23" spans="1:40">
      <c r="A23" t="s">
        <v>8603</v>
      </c>
      <c r="B23" s="47">
        <v>240400</v>
      </c>
      <c r="C23" s="47" t="s">
        <v>250</v>
      </c>
      <c r="D23" s="102">
        <v>8.5</v>
      </c>
      <c r="E23" s="102">
        <v>22</v>
      </c>
      <c r="F23" s="94">
        <v>118.71</v>
      </c>
      <c r="G23" s="94">
        <v>118.71</v>
      </c>
      <c r="H23" s="94">
        <f t="shared" si="0"/>
        <v>187</v>
      </c>
      <c r="I23" s="95">
        <v>13</v>
      </c>
      <c r="J23" t="s">
        <v>256</v>
      </c>
      <c r="K23" t="s">
        <v>8616</v>
      </c>
      <c r="L23" s="46" t="s">
        <v>1</v>
      </c>
      <c r="N23" t="s">
        <v>7316</v>
      </c>
      <c r="O23" t="s">
        <v>7316</v>
      </c>
      <c r="AL23">
        <v>600</v>
      </c>
      <c r="AM23">
        <v>629</v>
      </c>
      <c r="AN23">
        <v>1.06</v>
      </c>
    </row>
    <row r="24" spans="1:40">
      <c r="A24" t="s">
        <v>8606</v>
      </c>
      <c r="B24" s="47">
        <v>275800</v>
      </c>
      <c r="C24" s="47" t="s">
        <v>250</v>
      </c>
      <c r="D24" s="102">
        <v>10.5</v>
      </c>
      <c r="E24" s="102">
        <v>28</v>
      </c>
      <c r="F24" s="94">
        <v>174.86</v>
      </c>
      <c r="G24" s="94">
        <v>174.86</v>
      </c>
      <c r="H24" s="94">
        <f t="shared" si="0"/>
        <v>294</v>
      </c>
      <c r="I24" s="95">
        <v>19</v>
      </c>
      <c r="J24" t="s">
        <v>254</v>
      </c>
      <c r="K24" t="s">
        <v>8615</v>
      </c>
      <c r="L24" s="46">
        <v>1500</v>
      </c>
      <c r="N24" t="s">
        <v>7316</v>
      </c>
      <c r="O24" t="s">
        <v>7316</v>
      </c>
      <c r="P24" t="s">
        <v>7318</v>
      </c>
      <c r="AL24">
        <v>630</v>
      </c>
      <c r="AM24">
        <v>659</v>
      </c>
      <c r="AN24">
        <v>1.0629999999999999</v>
      </c>
    </row>
    <row r="25" spans="1:40">
      <c r="A25" t="s">
        <v>8606</v>
      </c>
      <c r="B25" s="47">
        <v>275800</v>
      </c>
      <c r="C25" s="47" t="s">
        <v>250</v>
      </c>
      <c r="D25" s="102">
        <v>10.5</v>
      </c>
      <c r="E25" s="102">
        <v>28</v>
      </c>
      <c r="F25" s="94">
        <v>174.86</v>
      </c>
      <c r="G25" s="94">
        <v>174.86</v>
      </c>
      <c r="H25" s="94">
        <f t="shared" si="0"/>
        <v>294</v>
      </c>
      <c r="I25" s="95">
        <v>19</v>
      </c>
      <c r="J25" t="s">
        <v>254</v>
      </c>
      <c r="K25" t="s">
        <v>8614</v>
      </c>
      <c r="L25" s="46">
        <v>3000</v>
      </c>
      <c r="N25" t="s">
        <v>7316</v>
      </c>
      <c r="O25" t="s">
        <v>7316</v>
      </c>
      <c r="AL25">
        <v>660</v>
      </c>
      <c r="AM25">
        <v>689</v>
      </c>
      <c r="AN25">
        <v>1.0660000000000001</v>
      </c>
    </row>
    <row r="26" spans="1:40">
      <c r="A26" t="s">
        <v>8606</v>
      </c>
      <c r="B26" s="47">
        <v>275800</v>
      </c>
      <c r="C26" s="47" t="s">
        <v>250</v>
      </c>
      <c r="D26" s="102">
        <v>10.5</v>
      </c>
      <c r="E26" s="102">
        <v>28</v>
      </c>
      <c r="F26" s="94">
        <v>174.86</v>
      </c>
      <c r="G26" s="94">
        <v>174.86</v>
      </c>
      <c r="H26" s="94">
        <f t="shared" si="0"/>
        <v>294</v>
      </c>
      <c r="I26" s="95">
        <v>19</v>
      </c>
      <c r="J26" t="s">
        <v>254</v>
      </c>
      <c r="K26" t="s">
        <v>238</v>
      </c>
      <c r="L26" s="46">
        <v>4000</v>
      </c>
      <c r="M26" t="s">
        <v>248</v>
      </c>
      <c r="N26" t="s">
        <v>7316</v>
      </c>
      <c r="O26" t="s">
        <v>7316</v>
      </c>
      <c r="AL26">
        <v>690</v>
      </c>
      <c r="AM26">
        <v>719</v>
      </c>
      <c r="AN26">
        <v>1.069</v>
      </c>
    </row>
    <row r="27" spans="1:40">
      <c r="A27" t="s">
        <v>8606</v>
      </c>
      <c r="B27" s="47">
        <v>275800</v>
      </c>
      <c r="C27" s="47" t="s">
        <v>250</v>
      </c>
      <c r="D27" s="102">
        <v>10.5</v>
      </c>
      <c r="E27" s="102">
        <v>28</v>
      </c>
      <c r="F27" s="94">
        <v>174.86</v>
      </c>
      <c r="G27" s="94">
        <v>174.86</v>
      </c>
      <c r="H27" s="94">
        <f t="shared" si="0"/>
        <v>294</v>
      </c>
      <c r="I27" s="95">
        <v>19</v>
      </c>
      <c r="J27" t="s">
        <v>254</v>
      </c>
      <c r="K27" t="s">
        <v>8616</v>
      </c>
      <c r="L27" s="46" t="s">
        <v>1</v>
      </c>
      <c r="N27" t="s">
        <v>7316</v>
      </c>
      <c r="O27" t="s">
        <v>7316</v>
      </c>
      <c r="AL27">
        <v>720</v>
      </c>
      <c r="AM27">
        <v>749</v>
      </c>
      <c r="AN27">
        <v>1.0720000000000001</v>
      </c>
    </row>
    <row r="28" spans="1:40">
      <c r="A28" t="s">
        <v>8607</v>
      </c>
      <c r="B28" s="47">
        <v>270400</v>
      </c>
      <c r="C28" s="47" t="s">
        <v>250</v>
      </c>
      <c r="D28" s="102">
        <v>12.5</v>
      </c>
      <c r="E28" s="102">
        <v>21</v>
      </c>
      <c r="F28" s="94">
        <v>159.13999999999999</v>
      </c>
      <c r="G28" s="94">
        <v>159.13999999999999</v>
      </c>
      <c r="H28" s="94">
        <f t="shared" si="0"/>
        <v>262.5</v>
      </c>
      <c r="I28" s="95">
        <v>17</v>
      </c>
      <c r="J28" t="s">
        <v>255</v>
      </c>
      <c r="K28" t="s">
        <v>8615</v>
      </c>
      <c r="L28" s="46">
        <v>1500</v>
      </c>
      <c r="N28" t="s">
        <v>7316</v>
      </c>
      <c r="O28" t="s">
        <v>7316</v>
      </c>
      <c r="P28" t="s">
        <v>7318</v>
      </c>
      <c r="AL28">
        <v>750</v>
      </c>
      <c r="AM28">
        <v>779</v>
      </c>
      <c r="AN28">
        <v>1.075</v>
      </c>
    </row>
    <row r="29" spans="1:40">
      <c r="A29" t="s">
        <v>8607</v>
      </c>
      <c r="B29" s="47">
        <v>270400</v>
      </c>
      <c r="C29" s="47" t="s">
        <v>250</v>
      </c>
      <c r="D29" s="102">
        <v>12.5</v>
      </c>
      <c r="E29" s="102">
        <v>21</v>
      </c>
      <c r="F29" s="94">
        <v>159.13999999999999</v>
      </c>
      <c r="G29" s="94">
        <v>159.13999999999999</v>
      </c>
      <c r="H29" s="94">
        <f t="shared" si="0"/>
        <v>262.5</v>
      </c>
      <c r="I29" s="95">
        <v>17</v>
      </c>
      <c r="J29" t="s">
        <v>255</v>
      </c>
      <c r="K29" t="s">
        <v>8614</v>
      </c>
      <c r="L29" s="46">
        <v>3000</v>
      </c>
      <c r="N29" t="s">
        <v>7316</v>
      </c>
      <c r="O29" t="s">
        <v>7316</v>
      </c>
      <c r="AL29">
        <v>780</v>
      </c>
      <c r="AM29">
        <v>809</v>
      </c>
      <c r="AN29">
        <v>1.0780000000000001</v>
      </c>
    </row>
    <row r="30" spans="1:40">
      <c r="A30" t="s">
        <v>8607</v>
      </c>
      <c r="B30" s="47">
        <v>270400</v>
      </c>
      <c r="C30" s="47" t="s">
        <v>250</v>
      </c>
      <c r="D30" s="102">
        <v>12.5</v>
      </c>
      <c r="E30" s="102">
        <v>21</v>
      </c>
      <c r="F30" s="94">
        <v>159.13999999999999</v>
      </c>
      <c r="G30" s="94">
        <v>159.13999999999999</v>
      </c>
      <c r="H30" s="94">
        <f t="shared" si="0"/>
        <v>262.5</v>
      </c>
      <c r="I30" s="95">
        <v>17</v>
      </c>
      <c r="J30" t="s">
        <v>255</v>
      </c>
      <c r="K30" t="s">
        <v>238</v>
      </c>
      <c r="L30" s="46">
        <v>4000</v>
      </c>
      <c r="M30" t="s">
        <v>248</v>
      </c>
      <c r="N30" t="s">
        <v>7316</v>
      </c>
      <c r="O30" t="s">
        <v>7316</v>
      </c>
      <c r="AL30">
        <v>810</v>
      </c>
      <c r="AM30">
        <v>839</v>
      </c>
      <c r="AN30">
        <v>1.081</v>
      </c>
    </row>
    <row r="31" spans="1:40">
      <c r="A31" t="s">
        <v>8607</v>
      </c>
      <c r="B31" s="47">
        <v>270400</v>
      </c>
      <c r="C31" s="47" t="s">
        <v>250</v>
      </c>
      <c r="D31" s="102">
        <v>12.5</v>
      </c>
      <c r="E31" s="102">
        <v>21</v>
      </c>
      <c r="F31" s="94">
        <v>159.13999999999999</v>
      </c>
      <c r="G31" s="94">
        <v>159.13999999999999</v>
      </c>
      <c r="H31" s="94">
        <f t="shared" si="0"/>
        <v>262.5</v>
      </c>
      <c r="I31" s="95">
        <v>17</v>
      </c>
      <c r="J31" t="s">
        <v>255</v>
      </c>
      <c r="K31" t="s">
        <v>8616</v>
      </c>
      <c r="L31" s="46" t="s">
        <v>1</v>
      </c>
      <c r="N31" t="s">
        <v>7316</v>
      </c>
      <c r="O31" t="s">
        <v>7316</v>
      </c>
      <c r="AL31">
        <v>840</v>
      </c>
      <c r="AM31">
        <v>869</v>
      </c>
      <c r="AN31">
        <v>1.0840000000000001</v>
      </c>
    </row>
    <row r="32" spans="1:40" ht="15.75">
      <c r="A32" t="s">
        <v>8613</v>
      </c>
      <c r="B32" s="47">
        <v>264590</v>
      </c>
      <c r="C32" s="47" t="s">
        <v>250</v>
      </c>
      <c r="D32" s="102">
        <v>8.5</v>
      </c>
      <c r="E32" s="102">
        <v>28</v>
      </c>
      <c r="F32" s="94">
        <v>151</v>
      </c>
      <c r="G32" s="94">
        <v>151</v>
      </c>
      <c r="H32" s="94">
        <f t="shared" si="0"/>
        <v>238</v>
      </c>
      <c r="I32" s="95">
        <v>16</v>
      </c>
      <c r="J32" t="s">
        <v>8617</v>
      </c>
      <c r="K32" s="201" t="s">
        <v>8615</v>
      </c>
      <c r="L32" s="46">
        <v>1500</v>
      </c>
      <c r="N32" t="s">
        <v>7316</v>
      </c>
      <c r="O32" t="s">
        <v>7316</v>
      </c>
      <c r="P32" t="s">
        <v>7318</v>
      </c>
      <c r="AL32">
        <v>870</v>
      </c>
      <c r="AM32">
        <v>899</v>
      </c>
      <c r="AN32">
        <v>1.087</v>
      </c>
    </row>
    <row r="33" spans="1:40" ht="15.75">
      <c r="A33" t="s">
        <v>8613</v>
      </c>
      <c r="B33" s="47">
        <v>264590</v>
      </c>
      <c r="C33" s="47" t="s">
        <v>250</v>
      </c>
      <c r="D33" s="102">
        <v>8.5</v>
      </c>
      <c r="E33" s="102">
        <v>28</v>
      </c>
      <c r="F33" s="94">
        <v>151</v>
      </c>
      <c r="G33" s="94">
        <v>151</v>
      </c>
      <c r="H33" s="94">
        <f t="shared" si="0"/>
        <v>238</v>
      </c>
      <c r="I33" s="95">
        <v>16</v>
      </c>
      <c r="J33" t="s">
        <v>8617</v>
      </c>
      <c r="K33" s="201" t="s">
        <v>8614</v>
      </c>
      <c r="L33" s="46">
        <v>3000</v>
      </c>
      <c r="N33" t="s">
        <v>7316</v>
      </c>
      <c r="O33" t="s">
        <v>7316</v>
      </c>
      <c r="AL33">
        <v>900</v>
      </c>
      <c r="AM33">
        <v>929</v>
      </c>
      <c r="AN33">
        <v>1.0900000000000001</v>
      </c>
    </row>
    <row r="34" spans="1:40" ht="15.75">
      <c r="A34" t="s">
        <v>8613</v>
      </c>
      <c r="B34" s="47">
        <v>264590</v>
      </c>
      <c r="C34" s="47" t="s">
        <v>250</v>
      </c>
      <c r="D34" s="102">
        <v>8.5</v>
      </c>
      <c r="E34" s="102">
        <v>28</v>
      </c>
      <c r="F34" s="94">
        <v>151</v>
      </c>
      <c r="G34" s="94">
        <v>151</v>
      </c>
      <c r="H34" s="94">
        <f t="shared" si="0"/>
        <v>238</v>
      </c>
      <c r="I34" s="95">
        <v>16</v>
      </c>
      <c r="J34" t="s">
        <v>8617</v>
      </c>
      <c r="K34" s="201" t="s">
        <v>238</v>
      </c>
      <c r="L34" s="46">
        <v>4000</v>
      </c>
      <c r="M34" t="s">
        <v>248</v>
      </c>
      <c r="N34" t="s">
        <v>7316</v>
      </c>
      <c r="O34" t="s">
        <v>7316</v>
      </c>
      <c r="AL34">
        <v>930</v>
      </c>
      <c r="AM34">
        <v>959</v>
      </c>
      <c r="AN34">
        <v>1.093</v>
      </c>
    </row>
    <row r="35" spans="1:40" ht="15.75">
      <c r="A35" t="s">
        <v>8613</v>
      </c>
      <c r="B35" s="47">
        <v>264590</v>
      </c>
      <c r="C35" s="47" t="s">
        <v>250</v>
      </c>
      <c r="D35" s="102">
        <v>8.5</v>
      </c>
      <c r="E35" s="102">
        <v>28</v>
      </c>
      <c r="F35" s="94">
        <v>151</v>
      </c>
      <c r="G35" s="94">
        <v>151</v>
      </c>
      <c r="H35" s="94">
        <f t="shared" si="0"/>
        <v>238</v>
      </c>
      <c r="I35" s="95">
        <v>16</v>
      </c>
      <c r="J35" t="s">
        <v>8617</v>
      </c>
      <c r="K35" s="201" t="s">
        <v>8616</v>
      </c>
      <c r="L35" s="46" t="s">
        <v>1</v>
      </c>
      <c r="N35" t="s">
        <v>7316</v>
      </c>
      <c r="O35" t="s">
        <v>7316</v>
      </c>
      <c r="AL35">
        <v>960</v>
      </c>
      <c r="AM35">
        <v>989</v>
      </c>
      <c r="AN35">
        <v>1.0960000000000001</v>
      </c>
    </row>
    <row r="36" spans="1:40">
      <c r="A36" t="s">
        <v>8610</v>
      </c>
      <c r="B36" s="47">
        <v>247600</v>
      </c>
      <c r="C36" s="47" t="s">
        <v>250</v>
      </c>
      <c r="D36" s="102">
        <v>10.5</v>
      </c>
      <c r="E36" s="102">
        <v>22</v>
      </c>
      <c r="F36" s="94">
        <v>140.15</v>
      </c>
      <c r="G36" s="94">
        <v>140.15</v>
      </c>
      <c r="H36" s="94">
        <f t="shared" si="0"/>
        <v>231</v>
      </c>
      <c r="I36" s="95">
        <v>15</v>
      </c>
      <c r="J36" t="s">
        <v>258</v>
      </c>
      <c r="K36" t="s">
        <v>8615</v>
      </c>
      <c r="L36" s="46">
        <v>1500</v>
      </c>
      <c r="N36" t="s">
        <v>7316</v>
      </c>
      <c r="O36" t="s">
        <v>7316</v>
      </c>
      <c r="AL36">
        <v>990</v>
      </c>
      <c r="AM36">
        <v>1019</v>
      </c>
      <c r="AN36">
        <v>1.099</v>
      </c>
    </row>
    <row r="37" spans="1:40">
      <c r="A37" t="s">
        <v>8610</v>
      </c>
      <c r="B37" s="47">
        <v>247600</v>
      </c>
      <c r="C37" s="47" t="s">
        <v>250</v>
      </c>
      <c r="D37" s="102">
        <v>10.5</v>
      </c>
      <c r="E37" s="102">
        <v>22</v>
      </c>
      <c r="F37" s="94">
        <v>140.15</v>
      </c>
      <c r="G37" s="94">
        <v>140.15</v>
      </c>
      <c r="H37" s="94">
        <f t="shared" si="0"/>
        <v>231</v>
      </c>
      <c r="I37" s="95">
        <v>15</v>
      </c>
      <c r="J37" t="s">
        <v>258</v>
      </c>
      <c r="K37" t="s">
        <v>8614</v>
      </c>
      <c r="L37" s="46">
        <v>3000</v>
      </c>
      <c r="N37" t="s">
        <v>7316</v>
      </c>
      <c r="O37" t="s">
        <v>7316</v>
      </c>
      <c r="AL37">
        <v>1020</v>
      </c>
      <c r="AM37">
        <v>1049</v>
      </c>
      <c r="AN37">
        <v>1.1020000000000001</v>
      </c>
    </row>
    <row r="38" spans="1:40">
      <c r="A38" t="s">
        <v>8610</v>
      </c>
      <c r="B38" s="47">
        <v>247600</v>
      </c>
      <c r="C38" s="47" t="s">
        <v>250</v>
      </c>
      <c r="D38" s="102">
        <v>10.5</v>
      </c>
      <c r="E38" s="102">
        <v>22</v>
      </c>
      <c r="F38" s="94">
        <v>140.15</v>
      </c>
      <c r="G38" s="94">
        <v>140.15</v>
      </c>
      <c r="H38" s="94">
        <f t="shared" si="0"/>
        <v>231</v>
      </c>
      <c r="I38" s="95">
        <v>15</v>
      </c>
      <c r="J38" t="s">
        <v>258</v>
      </c>
      <c r="K38" t="s">
        <v>238</v>
      </c>
      <c r="L38" s="46">
        <v>4000</v>
      </c>
      <c r="M38" t="s">
        <v>248</v>
      </c>
      <c r="N38" t="s">
        <v>7316</v>
      </c>
      <c r="O38" t="s">
        <v>7316</v>
      </c>
      <c r="P38" t="s">
        <v>7318</v>
      </c>
      <c r="AL38">
        <v>1050</v>
      </c>
      <c r="AM38">
        <v>1079</v>
      </c>
      <c r="AN38">
        <v>1.105</v>
      </c>
    </row>
    <row r="39" spans="1:40">
      <c r="A39" t="s">
        <v>8610</v>
      </c>
      <c r="B39" s="47">
        <v>247600</v>
      </c>
      <c r="C39" s="47" t="s">
        <v>250</v>
      </c>
      <c r="D39" s="102">
        <v>10.5</v>
      </c>
      <c r="E39" s="102">
        <v>22</v>
      </c>
      <c r="F39" s="94">
        <v>140.15</v>
      </c>
      <c r="G39" s="94">
        <v>140.15</v>
      </c>
      <c r="H39" s="94">
        <f t="shared" si="0"/>
        <v>231</v>
      </c>
      <c r="I39" s="95">
        <v>15</v>
      </c>
      <c r="J39" t="s">
        <v>258</v>
      </c>
      <c r="K39" t="s">
        <v>8616</v>
      </c>
      <c r="L39" s="46" t="s">
        <v>1</v>
      </c>
      <c r="N39" t="s">
        <v>7316</v>
      </c>
      <c r="O39" t="s">
        <v>7316</v>
      </c>
      <c r="AL39">
        <v>1080</v>
      </c>
      <c r="AM39">
        <v>1109</v>
      </c>
      <c r="AN39">
        <v>1.1080000000000001</v>
      </c>
    </row>
    <row r="40" spans="1:40">
      <c r="A40" t="s">
        <v>8611</v>
      </c>
      <c r="B40" s="47">
        <v>256600</v>
      </c>
      <c r="C40" s="47" t="s">
        <v>250</v>
      </c>
      <c r="D40" s="102">
        <v>8.5</v>
      </c>
      <c r="E40" s="102">
        <v>26</v>
      </c>
      <c r="F40" s="94">
        <v>145.94999999999999</v>
      </c>
      <c r="G40" s="94">
        <v>145.94999999999999</v>
      </c>
      <c r="H40" s="94">
        <f t="shared" si="0"/>
        <v>221</v>
      </c>
      <c r="I40" s="95">
        <v>16</v>
      </c>
      <c r="J40" t="s">
        <v>265</v>
      </c>
      <c r="K40" t="s">
        <v>8615</v>
      </c>
      <c r="L40" s="46">
        <v>1500</v>
      </c>
      <c r="N40" t="s">
        <v>7316</v>
      </c>
      <c r="O40" t="s">
        <v>7316</v>
      </c>
    </row>
    <row r="41" spans="1:40">
      <c r="A41" t="s">
        <v>8611</v>
      </c>
      <c r="B41" s="47">
        <v>256600</v>
      </c>
      <c r="C41" s="47" t="s">
        <v>250</v>
      </c>
      <c r="D41" s="102">
        <v>8.5</v>
      </c>
      <c r="E41" s="102">
        <v>26</v>
      </c>
      <c r="F41" s="94">
        <v>145.94999999999999</v>
      </c>
      <c r="G41" s="94">
        <v>145.94999999999999</v>
      </c>
      <c r="H41" s="94">
        <f t="shared" si="0"/>
        <v>221</v>
      </c>
      <c r="I41" s="95">
        <v>16</v>
      </c>
      <c r="J41" t="s">
        <v>265</v>
      </c>
      <c r="K41" t="s">
        <v>8614</v>
      </c>
      <c r="L41" s="46">
        <v>3000</v>
      </c>
      <c r="N41" t="s">
        <v>7316</v>
      </c>
      <c r="O41" t="s">
        <v>7316</v>
      </c>
    </row>
    <row r="42" spans="1:40">
      <c r="A42" t="s">
        <v>8611</v>
      </c>
      <c r="B42" s="47">
        <v>256600</v>
      </c>
      <c r="C42" s="47" t="s">
        <v>250</v>
      </c>
      <c r="D42" s="102">
        <v>8.5</v>
      </c>
      <c r="E42" s="102">
        <v>26</v>
      </c>
      <c r="F42" s="94">
        <v>145.94999999999999</v>
      </c>
      <c r="G42" s="94">
        <v>145.94999999999999</v>
      </c>
      <c r="H42" s="94">
        <f t="shared" si="0"/>
        <v>221</v>
      </c>
      <c r="I42" s="95">
        <v>16</v>
      </c>
      <c r="J42" t="s">
        <v>265</v>
      </c>
      <c r="K42" t="s">
        <v>238</v>
      </c>
      <c r="L42" s="46">
        <v>4000</v>
      </c>
      <c r="M42" t="s">
        <v>248</v>
      </c>
      <c r="N42" t="s">
        <v>7316</v>
      </c>
      <c r="O42" t="s">
        <v>7316</v>
      </c>
      <c r="P42" t="s">
        <v>7318</v>
      </c>
    </row>
    <row r="43" spans="1:40">
      <c r="A43" t="s">
        <v>8611</v>
      </c>
      <c r="B43" s="47">
        <v>256600</v>
      </c>
      <c r="C43" s="47" t="s">
        <v>250</v>
      </c>
      <c r="D43" s="102">
        <v>8.5</v>
      </c>
      <c r="E43" s="102">
        <v>26</v>
      </c>
      <c r="F43" s="94">
        <v>145.94999999999999</v>
      </c>
      <c r="G43" s="94">
        <v>145.94999999999999</v>
      </c>
      <c r="H43" s="94">
        <f t="shared" si="0"/>
        <v>221</v>
      </c>
      <c r="I43" s="95">
        <v>16</v>
      </c>
      <c r="J43" t="s">
        <v>265</v>
      </c>
      <c r="K43" t="s">
        <v>8616</v>
      </c>
      <c r="L43" s="46" t="s">
        <v>1</v>
      </c>
      <c r="N43" t="s">
        <v>7316</v>
      </c>
      <c r="O43" t="s">
        <v>7316</v>
      </c>
    </row>
    <row r="44" spans="1:40">
      <c r="A44" t="s">
        <v>8605</v>
      </c>
      <c r="B44" s="47">
        <v>269700</v>
      </c>
      <c r="C44" s="47" t="s">
        <v>250</v>
      </c>
      <c r="D44" s="102">
        <v>14.5</v>
      </c>
      <c r="E44" s="102">
        <v>21</v>
      </c>
      <c r="F44" s="94">
        <v>161.85</v>
      </c>
      <c r="G44" s="94">
        <v>161.85</v>
      </c>
      <c r="H44" s="94">
        <f t="shared" si="0"/>
        <v>304.5</v>
      </c>
      <c r="I44" s="95">
        <v>18</v>
      </c>
      <c r="J44" t="s">
        <v>259</v>
      </c>
      <c r="K44" s="202" t="s">
        <v>8615</v>
      </c>
      <c r="L44" s="46">
        <v>1500</v>
      </c>
      <c r="N44" t="s">
        <v>7316</v>
      </c>
      <c r="O44" t="s">
        <v>7316</v>
      </c>
      <c r="P44" t="s">
        <v>7318</v>
      </c>
    </row>
    <row r="45" spans="1:40">
      <c r="A45" t="s">
        <v>8605</v>
      </c>
      <c r="B45" s="47">
        <v>269700</v>
      </c>
      <c r="C45" s="47" t="s">
        <v>250</v>
      </c>
      <c r="D45" s="102">
        <v>14.5</v>
      </c>
      <c r="E45" s="102">
        <v>21</v>
      </c>
      <c r="F45" s="94">
        <v>161.85</v>
      </c>
      <c r="G45" s="94">
        <v>161.85</v>
      </c>
      <c r="H45" s="94">
        <f t="shared" si="0"/>
        <v>304.5</v>
      </c>
      <c r="I45" s="95">
        <v>18</v>
      </c>
      <c r="J45" t="s">
        <v>259</v>
      </c>
      <c r="K45" s="202" t="s">
        <v>8614</v>
      </c>
      <c r="L45" s="46">
        <v>3000</v>
      </c>
      <c r="N45" t="s">
        <v>7316</v>
      </c>
      <c r="O45" t="s">
        <v>7316</v>
      </c>
    </row>
    <row r="46" spans="1:40">
      <c r="A46" t="s">
        <v>8605</v>
      </c>
      <c r="B46" s="47">
        <v>269700</v>
      </c>
      <c r="C46" s="47" t="s">
        <v>250</v>
      </c>
      <c r="D46" s="102">
        <v>14.5</v>
      </c>
      <c r="E46" s="102">
        <v>21</v>
      </c>
      <c r="F46" s="94">
        <v>161.85</v>
      </c>
      <c r="G46" s="94">
        <v>161.85</v>
      </c>
      <c r="H46" s="94">
        <f t="shared" si="0"/>
        <v>304.5</v>
      </c>
      <c r="I46" s="95">
        <v>18</v>
      </c>
      <c r="J46" t="s">
        <v>259</v>
      </c>
      <c r="K46" s="202" t="s">
        <v>238</v>
      </c>
      <c r="L46" s="46">
        <v>4000</v>
      </c>
      <c r="M46" t="s">
        <v>248</v>
      </c>
      <c r="N46" t="s">
        <v>7316</v>
      </c>
      <c r="O46" t="s">
        <v>7316</v>
      </c>
    </row>
    <row r="47" spans="1:40">
      <c r="A47" t="s">
        <v>8605</v>
      </c>
      <c r="B47" s="47">
        <v>269700</v>
      </c>
      <c r="C47" s="47" t="s">
        <v>250</v>
      </c>
      <c r="D47" s="102">
        <v>14.5</v>
      </c>
      <c r="E47" s="102">
        <v>21</v>
      </c>
      <c r="F47" s="94">
        <v>161.85</v>
      </c>
      <c r="G47" s="94">
        <v>161.85</v>
      </c>
      <c r="H47" s="94">
        <f t="shared" si="0"/>
        <v>304.5</v>
      </c>
      <c r="I47" s="95">
        <v>18</v>
      </c>
      <c r="J47" t="s">
        <v>259</v>
      </c>
      <c r="K47" s="202" t="s">
        <v>8616</v>
      </c>
      <c r="L47" s="46" t="s">
        <v>1</v>
      </c>
      <c r="N47" t="s">
        <v>7316</v>
      </c>
      <c r="O47" t="s">
        <v>7316</v>
      </c>
    </row>
    <row r="48" spans="1:40">
      <c r="B48" s="47"/>
      <c r="C48" s="47"/>
      <c r="D48" s="102"/>
      <c r="E48" s="102"/>
      <c r="F48" s="94"/>
      <c r="G48" s="94"/>
      <c r="H48" s="95"/>
      <c r="N48" s="46"/>
    </row>
    <row r="49" spans="2:14">
      <c r="B49" s="47"/>
      <c r="C49" s="47"/>
      <c r="D49" s="102"/>
      <c r="E49" s="102"/>
      <c r="F49" s="94"/>
      <c r="G49" s="94"/>
      <c r="H49" s="95"/>
      <c r="N49" s="46"/>
    </row>
    <row r="50" spans="2:14">
      <c r="B50" s="47"/>
      <c r="C50" s="47"/>
      <c r="D50" s="102"/>
      <c r="E50" s="102"/>
      <c r="F50" s="94"/>
      <c r="G50" s="94"/>
      <c r="H50" s="95"/>
      <c r="N50" s="46"/>
    </row>
    <row r="51" spans="2:14">
      <c r="B51" s="47"/>
      <c r="C51" s="47"/>
      <c r="D51" s="102"/>
      <c r="E51" s="102"/>
      <c r="F51" s="94"/>
      <c r="G51" s="94"/>
      <c r="H51" s="95"/>
      <c r="N51" s="46"/>
    </row>
  </sheetData>
  <sheetProtection algorithmName="SHA-512" hashValue="gULNHVJ97wkX9HdkawgMd4KLr6x3gwaV4Rle4sQY0DjcfiyIlwj04wnXBnGWmLpGrbwJBXP5db003ErxECDcdA==" saltValue="tR8kUeA0qgyB8uH/b5y9jA==" spinCount="100000" sheet="1" objects="1" scenarios="1" formatRows="0" insertRows="0" deleteRows="0"/>
  <phoneticPr fontId="2" type="noConversion"/>
  <pageMargins left="0.7" right="0.7" top="0.75" bottom="0.75" header="0.3" footer="0.3"/>
  <pageSetup paperSize="9" orientation="portrait" r:id="rId1"/>
  <tableParts count="3">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37563-AE86-49D0-A705-832C62E9F872}">
  <sheetPr codeName="Sheet13">
    <tabColor theme="3" tint="0.79998168889431442"/>
  </sheetPr>
  <dimension ref="A1:T260"/>
  <sheetViews>
    <sheetView showGridLines="0" view="pageBreakPreview" topLeftCell="A77" zoomScaleNormal="100" zoomScaleSheetLayoutView="100" workbookViewId="0">
      <selection activeCell="H91" sqref="H91"/>
    </sheetView>
  </sheetViews>
  <sheetFormatPr defaultColWidth="8.5703125" defaultRowHeight="15"/>
  <cols>
    <col min="1" max="1" width="10.42578125" customWidth="1"/>
    <col min="2" max="2" width="70.5703125" bestFit="1" customWidth="1"/>
    <col min="3" max="3" width="10.42578125" bestFit="1" customWidth="1"/>
    <col min="20" max="20" width="96.42578125" customWidth="1"/>
  </cols>
  <sheetData>
    <row r="1" spans="1:3" ht="140.25">
      <c r="B1" s="200" t="s">
        <v>8552</v>
      </c>
      <c r="C1" s="1"/>
    </row>
    <row r="2" spans="1:3">
      <c r="A2" s="8"/>
      <c r="B2" s="41" t="s">
        <v>127</v>
      </c>
      <c r="C2" s="332"/>
    </row>
    <row r="3" spans="1:3">
      <c r="A3" s="608" t="s">
        <v>194</v>
      </c>
      <c r="B3" s="608"/>
      <c r="C3" s="189"/>
    </row>
    <row r="4" spans="1:3">
      <c r="A4" s="190"/>
      <c r="B4" s="191"/>
      <c r="C4" s="189"/>
    </row>
    <row r="5" spans="1:3">
      <c r="A5" s="192" t="s">
        <v>102</v>
      </c>
      <c r="B5" s="331"/>
      <c r="C5" s="189"/>
    </row>
    <row r="6" spans="1:3">
      <c r="A6" s="192" t="s">
        <v>103</v>
      </c>
      <c r="B6" s="331"/>
      <c r="C6" s="193"/>
    </row>
    <row r="7" spans="1:3">
      <c r="A7" s="192" t="s">
        <v>9189</v>
      </c>
      <c r="B7" s="331"/>
      <c r="C7" s="193"/>
    </row>
    <row r="8" spans="1:3">
      <c r="A8" s="194" t="s">
        <v>9190</v>
      </c>
      <c r="B8" s="331"/>
      <c r="C8" s="193"/>
    </row>
    <row r="9" spans="1:3">
      <c r="A9" s="2"/>
      <c r="B9" s="3"/>
      <c r="C9" s="1"/>
    </row>
    <row r="10" spans="1:3">
      <c r="A10" s="609" t="s">
        <v>195</v>
      </c>
      <c r="B10" s="609"/>
      <c r="C10" s="195"/>
    </row>
    <row r="11" spans="1:3">
      <c r="A11" s="190"/>
      <c r="B11" s="196"/>
      <c r="C11" s="195"/>
    </row>
    <row r="12" spans="1:3">
      <c r="A12" s="192" t="s">
        <v>103</v>
      </c>
      <c r="B12" s="331"/>
      <c r="C12" s="197"/>
    </row>
    <row r="13" spans="1:3">
      <c r="A13" s="192" t="s">
        <v>105</v>
      </c>
      <c r="B13" s="331"/>
      <c r="C13" s="195"/>
    </row>
    <row r="14" spans="1:3">
      <c r="A14" s="2"/>
      <c r="B14" s="3"/>
      <c r="C14" s="1"/>
    </row>
    <row r="15" spans="1:3">
      <c r="A15" s="604" t="s">
        <v>196</v>
      </c>
      <c r="B15" s="604"/>
      <c r="C15" s="1"/>
    </row>
    <row r="16" spans="1:3">
      <c r="A16" s="2"/>
      <c r="B16" s="3"/>
      <c r="C16" s="4"/>
    </row>
    <row r="17" spans="1:3">
      <c r="A17" s="610" t="s">
        <v>51</v>
      </c>
      <c r="B17" s="610"/>
      <c r="C17" s="198"/>
    </row>
    <row r="18" spans="1:3">
      <c r="A18" s="19" t="s">
        <v>53</v>
      </c>
      <c r="B18" s="334"/>
      <c r="C18" s="16" t="s">
        <v>7351</v>
      </c>
    </row>
    <row r="19" spans="1:3">
      <c r="A19" s="14"/>
      <c r="B19" s="15" t="str">
        <f>IF(B18&lt;&gt;"",_xlfn.XLOOKUP(B18,Table118[House],Table118[House Details]),"")</f>
        <v/>
      </c>
      <c r="C19" s="16"/>
    </row>
    <row r="20" spans="1:3">
      <c r="A20" s="14"/>
      <c r="B20" s="17"/>
      <c r="C20" s="18"/>
    </row>
    <row r="21" spans="1:3">
      <c r="A21" s="610" t="s">
        <v>52</v>
      </c>
      <c r="B21" s="610"/>
      <c r="C21" s="198"/>
    </row>
    <row r="22" spans="1:3">
      <c r="A22" s="19" t="s">
        <v>54</v>
      </c>
      <c r="B22" s="334"/>
      <c r="C22" s="16" t="str">
        <f>IFERROR(IF(_xlfn.XLOOKUP(B22,Table118[Facade],Table118[Facade Price])="Included","Standard","Upgrade"),"")</f>
        <v/>
      </c>
    </row>
    <row r="23" spans="1:3">
      <c r="A23" s="14"/>
      <c r="B23" s="15" t="str">
        <f>IFERROR(IF(_xlfn.XLOOKUP(B22,Table118[Facade],Table118[Facade Details])&gt;0,_xlfn.XLOOKUP(B22,Table118[Facade],Table118[Facade Details])),"")</f>
        <v/>
      </c>
      <c r="C23" s="18"/>
    </row>
    <row r="24" spans="1:3">
      <c r="A24" s="14"/>
      <c r="B24" s="15"/>
      <c r="C24" s="18"/>
    </row>
    <row r="25" spans="1:3">
      <c r="A25" s="610" t="s">
        <v>200</v>
      </c>
      <c r="B25" s="610"/>
      <c r="C25" s="198"/>
    </row>
    <row r="26" spans="1:3">
      <c r="A26" s="19" t="s">
        <v>55</v>
      </c>
      <c r="B26" s="20" t="s">
        <v>10</v>
      </c>
      <c r="C26" s="18" t="s">
        <v>7351</v>
      </c>
    </row>
    <row r="27" spans="1:3">
      <c r="A27" s="19"/>
      <c r="B27" s="20"/>
      <c r="C27" s="18"/>
    </row>
    <row r="28" spans="1:3">
      <c r="A28" s="610" t="s">
        <v>148</v>
      </c>
      <c r="B28" s="610"/>
      <c r="C28" s="198"/>
    </row>
    <row r="29" spans="1:3">
      <c r="A29" s="19" t="s">
        <v>56</v>
      </c>
      <c r="B29" s="21" t="s">
        <v>107</v>
      </c>
      <c r="C29" s="18" t="s">
        <v>7351</v>
      </c>
    </row>
    <row r="30" spans="1:3">
      <c r="A30" s="22"/>
      <c r="B30" s="15" t="s">
        <v>2</v>
      </c>
      <c r="C30" s="18" t="s">
        <v>7352</v>
      </c>
    </row>
    <row r="31" spans="1:3">
      <c r="A31" s="22"/>
      <c r="B31" s="15" t="s">
        <v>3</v>
      </c>
      <c r="C31" s="13"/>
    </row>
    <row r="32" spans="1:3">
      <c r="A32" s="22"/>
      <c r="B32" s="15" t="s">
        <v>4</v>
      </c>
      <c r="C32" s="13"/>
    </row>
    <row r="33" spans="1:3">
      <c r="A33" s="22"/>
      <c r="B33" s="15" t="s">
        <v>5</v>
      </c>
      <c r="C33" s="13"/>
    </row>
    <row r="34" spans="1:3">
      <c r="A34" s="22"/>
      <c r="B34" s="15" t="s">
        <v>6</v>
      </c>
      <c r="C34" s="13"/>
    </row>
    <row r="35" spans="1:3">
      <c r="A35" s="22"/>
      <c r="B35" s="15" t="s">
        <v>7</v>
      </c>
      <c r="C35" s="13"/>
    </row>
    <row r="36" spans="1:3">
      <c r="A36" s="22"/>
      <c r="B36" s="15" t="s">
        <v>8</v>
      </c>
      <c r="C36" s="13"/>
    </row>
    <row r="37" spans="1:3">
      <c r="A37" s="22"/>
      <c r="B37" s="15" t="s">
        <v>9</v>
      </c>
      <c r="C37" s="13"/>
    </row>
    <row r="38" spans="1:3">
      <c r="A38" s="19"/>
      <c r="B38" s="20"/>
      <c r="C38" s="18"/>
    </row>
    <row r="39" spans="1:3">
      <c r="A39" s="610" t="s">
        <v>7794</v>
      </c>
      <c r="B39" s="610"/>
      <c r="C39" s="198"/>
    </row>
    <row r="40" spans="1:3">
      <c r="A40" s="19" t="s">
        <v>7782</v>
      </c>
      <c r="B40" s="15" t="s">
        <v>8660</v>
      </c>
      <c r="C40" s="18" t="s">
        <v>7351</v>
      </c>
    </row>
    <row r="41" spans="1:3">
      <c r="A41" s="19" t="s">
        <v>7783</v>
      </c>
      <c r="B41" s="15" t="s">
        <v>12</v>
      </c>
      <c r="C41" s="18" t="s">
        <v>7351</v>
      </c>
    </row>
    <row r="42" spans="1:3">
      <c r="A42" s="19" t="s">
        <v>7784</v>
      </c>
      <c r="B42" s="15" t="s">
        <v>10162</v>
      </c>
      <c r="C42" s="18" t="s">
        <v>7351</v>
      </c>
    </row>
    <row r="43" spans="1:3">
      <c r="A43" s="19" t="s">
        <v>7785</v>
      </c>
      <c r="B43" s="15" t="s">
        <v>118</v>
      </c>
      <c r="C43" s="18" t="s">
        <v>7351</v>
      </c>
    </row>
    <row r="44" spans="1:3">
      <c r="A44" s="19" t="s">
        <v>7786</v>
      </c>
      <c r="B44" s="15" t="s">
        <v>9259</v>
      </c>
      <c r="C44" s="18" t="s">
        <v>7351</v>
      </c>
    </row>
    <row r="45" spans="1:3">
      <c r="A45" s="19" t="s">
        <v>7787</v>
      </c>
      <c r="B45" s="15" t="s">
        <v>8658</v>
      </c>
      <c r="C45" s="18" t="s">
        <v>7351</v>
      </c>
    </row>
    <row r="46" spans="1:3">
      <c r="A46" s="19" t="s">
        <v>7788</v>
      </c>
      <c r="B46" s="15" t="s">
        <v>15</v>
      </c>
      <c r="C46" s="18" t="s">
        <v>7351</v>
      </c>
    </row>
    <row r="47" spans="1:3">
      <c r="A47" s="19" t="s">
        <v>7789</v>
      </c>
      <c r="B47" s="15" t="s">
        <v>119</v>
      </c>
      <c r="C47" s="18" t="s">
        <v>7351</v>
      </c>
    </row>
    <row r="48" spans="1:3">
      <c r="A48" s="19" t="s">
        <v>7790</v>
      </c>
      <c r="B48" s="15" t="s">
        <v>9040</v>
      </c>
      <c r="C48" s="18" t="s">
        <v>7351</v>
      </c>
    </row>
    <row r="49" spans="1:3">
      <c r="A49" s="19" t="s">
        <v>7791</v>
      </c>
      <c r="B49" s="15" t="s">
        <v>143</v>
      </c>
      <c r="C49" s="18" t="s">
        <v>7351</v>
      </c>
    </row>
    <row r="50" spans="1:3">
      <c r="A50" s="19" t="s">
        <v>7792</v>
      </c>
      <c r="B50" s="15" t="s">
        <v>8659</v>
      </c>
      <c r="C50" s="18" t="s">
        <v>7351</v>
      </c>
    </row>
    <row r="51" spans="1:3" ht="25.5">
      <c r="A51" s="19" t="s">
        <v>7793</v>
      </c>
      <c r="B51" s="15" t="s">
        <v>9877</v>
      </c>
      <c r="C51" s="18" t="s">
        <v>7351</v>
      </c>
    </row>
    <row r="52" spans="1:3">
      <c r="A52" s="6"/>
      <c r="B52" s="5"/>
      <c r="C52" s="7"/>
    </row>
    <row r="53" spans="1:3">
      <c r="A53" s="610" t="s">
        <v>7795</v>
      </c>
      <c r="B53" s="610"/>
      <c r="C53" s="198"/>
    </row>
    <row r="54" spans="1:3">
      <c r="A54" s="19" t="s">
        <v>57</v>
      </c>
      <c r="B54" s="15" t="s">
        <v>120</v>
      </c>
      <c r="C54" s="18" t="s">
        <v>7351</v>
      </c>
    </row>
    <row r="55" spans="1:3">
      <c r="A55" s="19" t="s">
        <v>58</v>
      </c>
      <c r="B55" s="15" t="s">
        <v>17</v>
      </c>
      <c r="C55" s="18" t="s">
        <v>7351</v>
      </c>
    </row>
    <row r="56" spans="1:3">
      <c r="A56" s="19" t="s">
        <v>59</v>
      </c>
      <c r="B56" s="15" t="s">
        <v>8642</v>
      </c>
      <c r="C56" s="18" t="s">
        <v>7351</v>
      </c>
    </row>
    <row r="57" spans="1:3">
      <c r="A57" s="19" t="s">
        <v>60</v>
      </c>
      <c r="B57" s="15" t="s">
        <v>18</v>
      </c>
      <c r="C57" s="18" t="s">
        <v>7351</v>
      </c>
    </row>
    <row r="58" spans="1:3">
      <c r="A58" s="19" t="s">
        <v>61</v>
      </c>
      <c r="B58" s="15" t="s">
        <v>19</v>
      </c>
      <c r="C58" s="18" t="s">
        <v>7351</v>
      </c>
    </row>
    <row r="59" spans="1:3">
      <c r="A59" s="19" t="s">
        <v>62</v>
      </c>
      <c r="B59" s="15" t="s">
        <v>144</v>
      </c>
      <c r="C59" s="18" t="s">
        <v>7351</v>
      </c>
    </row>
    <row r="60" spans="1:3">
      <c r="A60" s="19" t="s">
        <v>63</v>
      </c>
      <c r="B60" s="15" t="s">
        <v>37</v>
      </c>
      <c r="C60" s="18" t="s">
        <v>7351</v>
      </c>
    </row>
    <row r="61" spans="1:3">
      <c r="A61" s="19" t="s">
        <v>131</v>
      </c>
      <c r="B61" s="15" t="s">
        <v>9642</v>
      </c>
      <c r="C61" s="18" t="s">
        <v>7351</v>
      </c>
    </row>
    <row r="62" spans="1:3">
      <c r="A62" s="19" t="s">
        <v>149</v>
      </c>
      <c r="B62" s="15" t="s">
        <v>20</v>
      </c>
      <c r="C62" s="18" t="s">
        <v>7351</v>
      </c>
    </row>
    <row r="63" spans="1:3">
      <c r="A63" s="19" t="s">
        <v>150</v>
      </c>
      <c r="B63" s="15" t="s">
        <v>10699</v>
      </c>
      <c r="C63" s="18" t="s">
        <v>7351</v>
      </c>
    </row>
    <row r="64" spans="1:3" ht="25.5">
      <c r="A64" s="19" t="s">
        <v>151</v>
      </c>
      <c r="B64" s="15" t="s">
        <v>8811</v>
      </c>
      <c r="C64" s="18" t="s">
        <v>7351</v>
      </c>
    </row>
    <row r="65" spans="1:3">
      <c r="A65" s="19" t="s">
        <v>152</v>
      </c>
      <c r="B65" s="15" t="s">
        <v>8661</v>
      </c>
      <c r="C65" s="18" t="s">
        <v>7351</v>
      </c>
    </row>
    <row r="66" spans="1:3" ht="25.5">
      <c r="A66" s="19" t="s">
        <v>7796</v>
      </c>
      <c r="B66" s="17" t="s">
        <v>8662</v>
      </c>
      <c r="C66" s="153" t="s">
        <v>7351</v>
      </c>
    </row>
    <row r="67" spans="1:3">
      <c r="A67" s="2"/>
      <c r="B67" s="3"/>
      <c r="C67" s="4"/>
    </row>
    <row r="68" spans="1:3">
      <c r="A68" s="610" t="s">
        <v>7798</v>
      </c>
      <c r="B68" s="610"/>
      <c r="C68" s="198"/>
    </row>
    <row r="69" spans="1:3">
      <c r="A69" s="19" t="s">
        <v>64</v>
      </c>
      <c r="B69" s="15" t="s">
        <v>108</v>
      </c>
      <c r="C69" s="18" t="s">
        <v>7351</v>
      </c>
    </row>
    <row r="70" spans="1:3">
      <c r="A70" s="19" t="s">
        <v>65</v>
      </c>
      <c r="B70" s="15" t="s">
        <v>21</v>
      </c>
      <c r="C70" s="18" t="s">
        <v>7351</v>
      </c>
    </row>
    <row r="71" spans="1:3">
      <c r="A71" s="19" t="s">
        <v>66</v>
      </c>
      <c r="B71" s="15" t="s">
        <v>121</v>
      </c>
      <c r="C71" s="18" t="s">
        <v>7351</v>
      </c>
    </row>
    <row r="72" spans="1:3">
      <c r="A72" s="19" t="s">
        <v>67</v>
      </c>
      <c r="B72" s="15" t="s">
        <v>22</v>
      </c>
      <c r="C72" s="18" t="s">
        <v>7351</v>
      </c>
    </row>
    <row r="73" spans="1:3">
      <c r="A73" s="2"/>
      <c r="B73" s="3"/>
      <c r="C73" s="4"/>
    </row>
    <row r="74" spans="1:3">
      <c r="A74" s="610" t="s">
        <v>7799</v>
      </c>
      <c r="B74" s="610"/>
      <c r="C74" s="198"/>
    </row>
    <row r="75" spans="1:3">
      <c r="A75" s="19" t="s">
        <v>68</v>
      </c>
      <c r="B75" s="15" t="s">
        <v>9251</v>
      </c>
      <c r="C75" s="18" t="s">
        <v>7351</v>
      </c>
    </row>
    <row r="76" spans="1:3">
      <c r="A76" s="19" t="s">
        <v>69</v>
      </c>
      <c r="B76" s="15" t="s">
        <v>9253</v>
      </c>
      <c r="C76" s="18" t="s">
        <v>7351</v>
      </c>
    </row>
    <row r="77" spans="1:3">
      <c r="A77" s="19" t="s">
        <v>70</v>
      </c>
      <c r="B77" s="15" t="s">
        <v>24</v>
      </c>
      <c r="C77" s="18" t="s">
        <v>7351</v>
      </c>
    </row>
    <row r="78" spans="1:3" ht="25.5">
      <c r="A78" s="19" t="s">
        <v>71</v>
      </c>
      <c r="B78" s="15" t="s">
        <v>10441</v>
      </c>
      <c r="C78" s="18" t="s">
        <v>7351</v>
      </c>
    </row>
    <row r="79" spans="1:3">
      <c r="A79" s="19" t="s">
        <v>7800</v>
      </c>
      <c r="B79" s="15" t="s">
        <v>25</v>
      </c>
      <c r="C79" s="18" t="s">
        <v>7351</v>
      </c>
    </row>
    <row r="80" spans="1:3">
      <c r="A80" s="19" t="s">
        <v>7801</v>
      </c>
      <c r="B80" s="15" t="s">
        <v>169</v>
      </c>
      <c r="C80" s="18" t="s">
        <v>7351</v>
      </c>
    </row>
    <row r="81" spans="1:3">
      <c r="A81" s="19" t="s">
        <v>8663</v>
      </c>
      <c r="B81" s="205" t="s">
        <v>8665</v>
      </c>
      <c r="C81" s="18" t="s">
        <v>7351</v>
      </c>
    </row>
    <row r="82" spans="1:3">
      <c r="A82" s="2"/>
      <c r="B82" s="3"/>
      <c r="C82" s="4"/>
    </row>
    <row r="83" spans="1:3">
      <c r="A83" s="610" t="s">
        <v>7844</v>
      </c>
      <c r="B83" s="610"/>
      <c r="C83" s="198"/>
    </row>
    <row r="84" spans="1:3">
      <c r="A84" s="19" t="s">
        <v>72</v>
      </c>
      <c r="B84" s="15" t="s">
        <v>9342</v>
      </c>
      <c r="C84" s="18" t="s">
        <v>7351</v>
      </c>
    </row>
    <row r="85" spans="1:3">
      <c r="A85" s="19" t="s">
        <v>73</v>
      </c>
      <c r="B85" s="15" t="s">
        <v>8666</v>
      </c>
      <c r="C85" s="18" t="s">
        <v>7351</v>
      </c>
    </row>
    <row r="86" spans="1:3" ht="20.25" customHeight="1">
      <c r="A86" s="19" t="s">
        <v>74</v>
      </c>
      <c r="B86" s="15" t="s">
        <v>9255</v>
      </c>
      <c r="C86" s="18" t="s">
        <v>7351</v>
      </c>
    </row>
    <row r="87" spans="1:3" ht="25.5">
      <c r="A87" s="19" t="s">
        <v>153</v>
      </c>
      <c r="B87" s="15" t="s">
        <v>9257</v>
      </c>
      <c r="C87" s="18" t="s">
        <v>7351</v>
      </c>
    </row>
    <row r="88" spans="1:3">
      <c r="A88" s="19" t="s">
        <v>154</v>
      </c>
      <c r="B88" s="15" t="s">
        <v>38</v>
      </c>
      <c r="C88" s="18" t="s">
        <v>7351</v>
      </c>
    </row>
    <row r="89" spans="1:3">
      <c r="A89" s="19" t="s">
        <v>9256</v>
      </c>
      <c r="B89" s="15" t="s">
        <v>146</v>
      </c>
      <c r="C89" s="18" t="s">
        <v>7351</v>
      </c>
    </row>
    <row r="90" spans="1:3" ht="25.5">
      <c r="A90" s="19" t="s">
        <v>73</v>
      </c>
      <c r="B90" s="15" t="s">
        <v>10973</v>
      </c>
      <c r="C90" s="18" t="s">
        <v>7351</v>
      </c>
    </row>
    <row r="91" spans="1:3">
      <c r="A91" s="2"/>
      <c r="B91" s="3"/>
      <c r="C91" s="4"/>
    </row>
    <row r="92" spans="1:3">
      <c r="A92" s="610" t="s">
        <v>7845</v>
      </c>
      <c r="B92" s="610"/>
      <c r="C92" s="198"/>
    </row>
    <row r="93" spans="1:3" ht="25.5">
      <c r="A93" s="19" t="s">
        <v>75</v>
      </c>
      <c r="B93" s="20" t="s">
        <v>122</v>
      </c>
      <c r="C93" s="18" t="s">
        <v>7351</v>
      </c>
    </row>
    <row r="94" spans="1:3">
      <c r="A94" s="19" t="s">
        <v>76</v>
      </c>
      <c r="B94" s="15" t="s">
        <v>145</v>
      </c>
      <c r="C94" s="18" t="s">
        <v>7351</v>
      </c>
    </row>
    <row r="95" spans="1:3">
      <c r="A95" s="19" t="s">
        <v>77</v>
      </c>
      <c r="B95" s="15" t="s">
        <v>9252</v>
      </c>
      <c r="C95" s="18" t="s">
        <v>7351</v>
      </c>
    </row>
    <row r="96" spans="1:3">
      <c r="A96" s="19" t="s">
        <v>138</v>
      </c>
      <c r="B96" s="15" t="s">
        <v>27</v>
      </c>
      <c r="C96" s="18" t="s">
        <v>7351</v>
      </c>
    </row>
    <row r="97" spans="1:3">
      <c r="A97" s="19" t="s">
        <v>163</v>
      </c>
      <c r="B97" s="15" t="s">
        <v>28</v>
      </c>
      <c r="C97" s="18" t="s">
        <v>7351</v>
      </c>
    </row>
    <row r="98" spans="1:3">
      <c r="A98" s="19" t="s">
        <v>7846</v>
      </c>
      <c r="B98" s="15" t="s">
        <v>29</v>
      </c>
      <c r="C98" s="18" t="s">
        <v>7351</v>
      </c>
    </row>
    <row r="99" spans="1:3">
      <c r="A99" s="19" t="s">
        <v>7847</v>
      </c>
      <c r="B99" s="15" t="s">
        <v>30</v>
      </c>
      <c r="C99" s="18" t="s">
        <v>7351</v>
      </c>
    </row>
    <row r="100" spans="1:3">
      <c r="A100" s="19" t="s">
        <v>7848</v>
      </c>
      <c r="B100" s="15" t="s">
        <v>117</v>
      </c>
      <c r="C100" s="18" t="s">
        <v>7351</v>
      </c>
    </row>
    <row r="101" spans="1:3">
      <c r="A101" s="19" t="s">
        <v>7849</v>
      </c>
      <c r="B101" s="15" t="s">
        <v>31</v>
      </c>
      <c r="C101" s="18" t="s">
        <v>7351</v>
      </c>
    </row>
    <row r="102" spans="1:3">
      <c r="A102" s="2"/>
      <c r="B102" s="5"/>
      <c r="C102" s="4"/>
    </row>
    <row r="103" spans="1:3">
      <c r="A103" s="610" t="s">
        <v>7850</v>
      </c>
      <c r="B103" s="610"/>
      <c r="C103" s="198"/>
    </row>
    <row r="104" spans="1:3">
      <c r="A104" s="14" t="s">
        <v>78</v>
      </c>
      <c r="B104" s="15" t="s">
        <v>32</v>
      </c>
      <c r="C104" s="18" t="s">
        <v>7351</v>
      </c>
    </row>
    <row r="105" spans="1:3">
      <c r="A105" s="14" t="s">
        <v>79</v>
      </c>
      <c r="B105" s="15" t="s">
        <v>8017</v>
      </c>
      <c r="C105" s="18" t="s">
        <v>7351</v>
      </c>
    </row>
    <row r="106" spans="1:3">
      <c r="A106" s="14"/>
      <c r="B106" s="15"/>
      <c r="C106" s="18"/>
    </row>
    <row r="107" spans="1:3">
      <c r="A107" s="610" t="s">
        <v>7851</v>
      </c>
      <c r="B107" s="610"/>
      <c r="C107" s="198"/>
    </row>
    <row r="108" spans="1:3">
      <c r="A108" s="14" t="s">
        <v>80</v>
      </c>
      <c r="B108" s="15" t="s">
        <v>8669</v>
      </c>
      <c r="C108" s="18" t="s">
        <v>7351</v>
      </c>
    </row>
    <row r="109" spans="1:3">
      <c r="A109" s="14" t="s">
        <v>81</v>
      </c>
      <c r="B109" s="15" t="s">
        <v>8667</v>
      </c>
      <c r="C109" s="18" t="s">
        <v>7351</v>
      </c>
    </row>
    <row r="110" spans="1:3">
      <c r="A110" s="14" t="s">
        <v>7802</v>
      </c>
      <c r="B110" s="15" t="s">
        <v>8670</v>
      </c>
      <c r="C110" s="18" t="s">
        <v>7351</v>
      </c>
    </row>
    <row r="111" spans="1:3">
      <c r="A111" s="14" t="s">
        <v>7803</v>
      </c>
      <c r="B111" s="15" t="s">
        <v>130</v>
      </c>
      <c r="C111" s="18" t="s">
        <v>7351</v>
      </c>
    </row>
    <row r="112" spans="1:3">
      <c r="A112" s="14" t="s">
        <v>7804</v>
      </c>
      <c r="B112" s="15" t="s">
        <v>33</v>
      </c>
      <c r="C112" s="18" t="s">
        <v>7351</v>
      </c>
    </row>
    <row r="113" spans="1:3" ht="15.75">
      <c r="A113" s="14" t="s">
        <v>7805</v>
      </c>
      <c r="B113" s="15" t="s">
        <v>9041</v>
      </c>
      <c r="C113" s="18" t="s">
        <v>7351</v>
      </c>
    </row>
    <row r="114" spans="1:3">
      <c r="A114" s="14" t="s">
        <v>7806</v>
      </c>
      <c r="B114" s="15" t="s">
        <v>8668</v>
      </c>
      <c r="C114" s="18" t="s">
        <v>7351</v>
      </c>
    </row>
    <row r="115" spans="1:3">
      <c r="A115" s="14" t="s">
        <v>7807</v>
      </c>
      <c r="B115" s="15" t="s">
        <v>123</v>
      </c>
      <c r="C115" s="18" t="s">
        <v>7351</v>
      </c>
    </row>
    <row r="116" spans="1:3">
      <c r="A116" s="14" t="s">
        <v>7808</v>
      </c>
      <c r="B116" s="15" t="s">
        <v>34</v>
      </c>
      <c r="C116" s="18" t="s">
        <v>7351</v>
      </c>
    </row>
    <row r="117" spans="1:3" ht="51">
      <c r="A117" s="14" t="s">
        <v>7852</v>
      </c>
      <c r="B117" s="15" t="s">
        <v>9054</v>
      </c>
      <c r="C117" s="18" t="s">
        <v>7351</v>
      </c>
    </row>
    <row r="118" spans="1:3">
      <c r="A118" s="2"/>
      <c r="B118" s="3"/>
      <c r="C118" s="4"/>
    </row>
    <row r="119" spans="1:3">
      <c r="A119" s="610" t="s">
        <v>7853</v>
      </c>
      <c r="B119" s="610"/>
      <c r="C119" s="198"/>
    </row>
    <row r="120" spans="1:3">
      <c r="A120" s="14" t="s">
        <v>82</v>
      </c>
      <c r="B120" s="15" t="s">
        <v>164</v>
      </c>
      <c r="C120" s="18" t="s">
        <v>7351</v>
      </c>
    </row>
    <row r="121" spans="1:3">
      <c r="A121" s="14" t="s">
        <v>83</v>
      </c>
      <c r="B121" s="15" t="s">
        <v>129</v>
      </c>
      <c r="C121" s="18" t="s">
        <v>7351</v>
      </c>
    </row>
    <row r="122" spans="1:3">
      <c r="A122" s="14" t="s">
        <v>155</v>
      </c>
      <c r="B122" s="15" t="s">
        <v>33</v>
      </c>
      <c r="C122" s="18" t="s">
        <v>7351</v>
      </c>
    </row>
    <row r="123" spans="1:3" ht="25.5">
      <c r="A123" s="14" t="s">
        <v>156</v>
      </c>
      <c r="B123" s="15" t="s">
        <v>9274</v>
      </c>
      <c r="C123" s="18" t="s">
        <v>7351</v>
      </c>
    </row>
    <row r="124" spans="1:3">
      <c r="A124" s="14" t="s">
        <v>157</v>
      </c>
      <c r="B124" s="15" t="s">
        <v>106</v>
      </c>
      <c r="C124" s="18" t="s">
        <v>7351</v>
      </c>
    </row>
    <row r="125" spans="1:3">
      <c r="A125" s="14" t="s">
        <v>158</v>
      </c>
      <c r="B125" s="15" t="s">
        <v>36</v>
      </c>
      <c r="C125" s="18" t="s">
        <v>7351</v>
      </c>
    </row>
    <row r="126" spans="1:3">
      <c r="A126" s="14" t="s">
        <v>159</v>
      </c>
      <c r="B126" s="15" t="s">
        <v>8674</v>
      </c>
      <c r="C126" s="18" t="s">
        <v>7351</v>
      </c>
    </row>
    <row r="127" spans="1:3">
      <c r="A127" s="14" t="s">
        <v>160</v>
      </c>
      <c r="B127" s="15" t="s">
        <v>8675</v>
      </c>
      <c r="C127" s="18" t="s">
        <v>7351</v>
      </c>
    </row>
    <row r="128" spans="1:3">
      <c r="A128" s="14" t="s">
        <v>161</v>
      </c>
      <c r="B128" s="15" t="s">
        <v>166</v>
      </c>
      <c r="C128" s="18" t="s">
        <v>7351</v>
      </c>
    </row>
    <row r="129" spans="1:3">
      <c r="A129" s="14" t="s">
        <v>162</v>
      </c>
      <c r="B129" s="15" t="s">
        <v>9055</v>
      </c>
      <c r="C129" s="18" t="s">
        <v>7351</v>
      </c>
    </row>
    <row r="130" spans="1:3">
      <c r="A130" s="14" t="s">
        <v>8671</v>
      </c>
      <c r="B130" s="15" t="s">
        <v>8676</v>
      </c>
      <c r="C130" s="18" t="s">
        <v>7351</v>
      </c>
    </row>
    <row r="131" spans="1:3">
      <c r="A131" s="14" t="s">
        <v>8672</v>
      </c>
      <c r="B131" s="15" t="s">
        <v>9254</v>
      </c>
      <c r="C131" s="18" t="s">
        <v>7351</v>
      </c>
    </row>
    <row r="132" spans="1:3">
      <c r="A132" s="14" t="s">
        <v>8673</v>
      </c>
      <c r="B132" s="15" t="s">
        <v>8677</v>
      </c>
      <c r="C132" s="18" t="s">
        <v>7351</v>
      </c>
    </row>
    <row r="133" spans="1:3">
      <c r="A133" s="2"/>
      <c r="B133" s="3"/>
      <c r="C133" s="4"/>
    </row>
    <row r="134" spans="1:3">
      <c r="A134" s="610" t="s">
        <v>7854</v>
      </c>
      <c r="B134" s="610"/>
      <c r="C134" s="198"/>
    </row>
    <row r="135" spans="1:3">
      <c r="A135" s="14" t="s">
        <v>84</v>
      </c>
      <c r="B135" s="15" t="s">
        <v>164</v>
      </c>
      <c r="C135" s="18" t="s">
        <v>7351</v>
      </c>
    </row>
    <row r="136" spans="1:3">
      <c r="A136" s="14" t="s">
        <v>85</v>
      </c>
      <c r="B136" s="15" t="s">
        <v>10100</v>
      </c>
      <c r="C136" s="18" t="s">
        <v>7351</v>
      </c>
    </row>
    <row r="137" spans="1:3">
      <c r="A137" s="14" t="s">
        <v>86</v>
      </c>
      <c r="B137" s="15" t="s">
        <v>128</v>
      </c>
      <c r="C137" s="18" t="s">
        <v>7351</v>
      </c>
    </row>
    <row r="138" spans="1:3">
      <c r="A138" s="14" t="s">
        <v>174</v>
      </c>
      <c r="B138" s="15" t="s">
        <v>33</v>
      </c>
      <c r="C138" s="18" t="s">
        <v>7351</v>
      </c>
    </row>
    <row r="139" spans="1:3" ht="25.5">
      <c r="A139" s="14" t="s">
        <v>175</v>
      </c>
      <c r="B139" s="15" t="s">
        <v>9274</v>
      </c>
      <c r="C139" s="18" t="s">
        <v>7351</v>
      </c>
    </row>
    <row r="140" spans="1:3">
      <c r="A140" s="14" t="s">
        <v>176</v>
      </c>
      <c r="B140" s="15" t="s">
        <v>106</v>
      </c>
      <c r="C140" s="18" t="s">
        <v>7351</v>
      </c>
    </row>
    <row r="141" spans="1:3">
      <c r="A141" s="14" t="s">
        <v>177</v>
      </c>
      <c r="B141" s="15" t="s">
        <v>36</v>
      </c>
      <c r="C141" s="18" t="s">
        <v>7351</v>
      </c>
    </row>
    <row r="142" spans="1:3">
      <c r="A142" s="14" t="s">
        <v>178</v>
      </c>
      <c r="B142" s="15" t="s">
        <v>8682</v>
      </c>
      <c r="C142" s="18" t="s">
        <v>7351</v>
      </c>
    </row>
    <row r="143" spans="1:3">
      <c r="A143" s="14" t="s">
        <v>179</v>
      </c>
      <c r="B143" s="15" t="s">
        <v>8675</v>
      </c>
      <c r="C143" s="18" t="s">
        <v>7351</v>
      </c>
    </row>
    <row r="144" spans="1:3">
      <c r="A144" s="14" t="s">
        <v>180</v>
      </c>
      <c r="B144" s="15" t="s">
        <v>9056</v>
      </c>
      <c r="C144" s="18" t="s">
        <v>7351</v>
      </c>
    </row>
    <row r="145" spans="1:3">
      <c r="A145" s="14" t="s">
        <v>8678</v>
      </c>
      <c r="B145" s="15" t="s">
        <v>8683</v>
      </c>
      <c r="C145" s="18" t="s">
        <v>7351</v>
      </c>
    </row>
    <row r="146" spans="1:3">
      <c r="A146" s="14" t="s">
        <v>8679</v>
      </c>
      <c r="B146" s="206" t="s">
        <v>9254</v>
      </c>
      <c r="C146" s="18" t="s">
        <v>7351</v>
      </c>
    </row>
    <row r="147" spans="1:3">
      <c r="A147" s="14" t="s">
        <v>8680</v>
      </c>
      <c r="B147" s="206" t="s">
        <v>8677</v>
      </c>
      <c r="C147" s="18" t="s">
        <v>7351</v>
      </c>
    </row>
    <row r="148" spans="1:3">
      <c r="A148" s="15"/>
      <c r="B148" s="15"/>
      <c r="C148" s="15"/>
    </row>
    <row r="149" spans="1:3">
      <c r="A149" s="610" t="s">
        <v>7855</v>
      </c>
      <c r="B149" s="610"/>
      <c r="C149" s="198"/>
    </row>
    <row r="150" spans="1:3">
      <c r="A150" s="14" t="s">
        <v>87</v>
      </c>
      <c r="B150" s="15" t="s">
        <v>166</v>
      </c>
      <c r="C150" s="18" t="s">
        <v>7351</v>
      </c>
    </row>
    <row r="151" spans="1:3">
      <c r="A151" s="14" t="s">
        <v>88</v>
      </c>
      <c r="B151" s="15" t="s">
        <v>8684</v>
      </c>
      <c r="C151" s="18" t="s">
        <v>7351</v>
      </c>
    </row>
    <row r="152" spans="1:3">
      <c r="A152" s="14"/>
      <c r="B152" s="15"/>
      <c r="C152" s="18"/>
    </row>
    <row r="153" spans="1:3">
      <c r="A153" s="610" t="s">
        <v>7856</v>
      </c>
      <c r="B153" s="610"/>
      <c r="C153" s="198"/>
    </row>
    <row r="154" spans="1:3">
      <c r="A154" s="14" t="s">
        <v>89</v>
      </c>
      <c r="B154" s="15" t="s">
        <v>35</v>
      </c>
      <c r="C154" s="18" t="s">
        <v>7351</v>
      </c>
    </row>
    <row r="155" spans="1:3">
      <c r="A155" s="14" t="s">
        <v>90</v>
      </c>
      <c r="B155" s="15" t="s">
        <v>8685</v>
      </c>
      <c r="C155" s="18" t="s">
        <v>7351</v>
      </c>
    </row>
    <row r="156" spans="1:3">
      <c r="A156" s="14" t="s">
        <v>7809</v>
      </c>
      <c r="B156" s="15" t="s">
        <v>123</v>
      </c>
      <c r="C156" s="18" t="s">
        <v>7351</v>
      </c>
    </row>
    <row r="157" spans="1:3">
      <c r="A157" s="14"/>
      <c r="B157" s="15"/>
      <c r="C157" s="18"/>
    </row>
    <row r="158" spans="1:3">
      <c r="A158" s="610" t="s">
        <v>7857</v>
      </c>
      <c r="B158" s="610"/>
      <c r="C158" s="198"/>
    </row>
    <row r="159" spans="1:3">
      <c r="A159" s="14" t="s">
        <v>91</v>
      </c>
      <c r="B159" s="15" t="s">
        <v>8686</v>
      </c>
      <c r="C159" s="18" t="s">
        <v>7351</v>
      </c>
    </row>
    <row r="160" spans="1:3">
      <c r="A160" s="14" t="s">
        <v>92</v>
      </c>
      <c r="B160" s="15" t="s">
        <v>8687</v>
      </c>
      <c r="C160" s="18" t="s">
        <v>7351</v>
      </c>
    </row>
    <row r="161" spans="1:3" ht="38.25">
      <c r="A161" s="14" t="s">
        <v>93</v>
      </c>
      <c r="B161" s="15" t="s">
        <v>9260</v>
      </c>
      <c r="C161" s="18" t="s">
        <v>7351</v>
      </c>
    </row>
    <row r="162" spans="1:3">
      <c r="A162" s="14" t="s">
        <v>7858</v>
      </c>
      <c r="B162" s="15" t="s">
        <v>9258</v>
      </c>
      <c r="C162" s="18" t="s">
        <v>7351</v>
      </c>
    </row>
    <row r="163" spans="1:3">
      <c r="A163" s="2"/>
      <c r="B163" s="3"/>
      <c r="C163" s="4"/>
    </row>
    <row r="164" spans="1:3">
      <c r="A164" s="610" t="s">
        <v>7859</v>
      </c>
      <c r="B164" s="610"/>
      <c r="C164" s="198"/>
    </row>
    <row r="165" spans="1:3">
      <c r="A165" s="14" t="s">
        <v>94</v>
      </c>
      <c r="B165" s="15" t="s">
        <v>7510</v>
      </c>
      <c r="C165" s="18" t="s">
        <v>7351</v>
      </c>
    </row>
    <row r="166" spans="1:3">
      <c r="A166" s="14" t="s">
        <v>95</v>
      </c>
      <c r="B166" s="15" t="s">
        <v>141</v>
      </c>
      <c r="C166" s="18" t="s">
        <v>7351</v>
      </c>
    </row>
    <row r="167" spans="1:3">
      <c r="A167" s="14" t="s">
        <v>96</v>
      </c>
      <c r="B167" s="15" t="s">
        <v>147</v>
      </c>
      <c r="C167" s="18" t="s">
        <v>7351</v>
      </c>
    </row>
    <row r="168" spans="1:3">
      <c r="A168" s="14" t="s">
        <v>97</v>
      </c>
      <c r="B168" s="15" t="s">
        <v>135</v>
      </c>
      <c r="C168" s="18" t="s">
        <v>7351</v>
      </c>
    </row>
    <row r="169" spans="1:3">
      <c r="A169" s="14" t="s">
        <v>7860</v>
      </c>
      <c r="B169" s="15" t="s">
        <v>10474</v>
      </c>
      <c r="C169" s="18" t="s">
        <v>7351</v>
      </c>
    </row>
    <row r="170" spans="1:3">
      <c r="A170" s="14" t="s">
        <v>7861</v>
      </c>
      <c r="B170" s="15" t="s">
        <v>39</v>
      </c>
      <c r="C170" s="18" t="s">
        <v>7351</v>
      </c>
    </row>
    <row r="171" spans="1:3">
      <c r="A171" s="14" t="s">
        <v>7862</v>
      </c>
      <c r="B171" s="15" t="s">
        <v>40</v>
      </c>
      <c r="C171" s="18" t="s">
        <v>7351</v>
      </c>
    </row>
    <row r="172" spans="1:3">
      <c r="A172" s="14" t="s">
        <v>7863</v>
      </c>
      <c r="B172" s="15" t="s">
        <v>16</v>
      </c>
      <c r="C172" s="18" t="s">
        <v>7351</v>
      </c>
    </row>
    <row r="173" spans="1:3">
      <c r="A173" s="14"/>
      <c r="B173" s="15"/>
      <c r="C173" s="18"/>
    </row>
    <row r="174" spans="1:3">
      <c r="A174" s="610" t="s">
        <v>7864</v>
      </c>
      <c r="B174" s="610"/>
      <c r="C174" s="198"/>
    </row>
    <row r="175" spans="1:3">
      <c r="A175" s="14" t="s">
        <v>98</v>
      </c>
      <c r="B175" s="9" t="str">
        <f>_xlfn.CONCAT('KBC - Pricing Sheet'!A23:L23)</f>
        <v/>
      </c>
      <c r="C175" s="24" t="s">
        <v>7350</v>
      </c>
    </row>
    <row r="176" spans="1:3">
      <c r="A176" s="14" t="s">
        <v>99</v>
      </c>
      <c r="B176" s="9" t="str">
        <f>_xlfn.CONCAT('KBC - Pricing Sheet'!A24:L24)</f>
        <v/>
      </c>
      <c r="C176" s="24" t="s">
        <v>7350</v>
      </c>
    </row>
    <row r="177" spans="1:3">
      <c r="A177" s="14" t="s">
        <v>181</v>
      </c>
      <c r="B177" s="9" t="str">
        <f>_xlfn.CONCAT('KBC - Pricing Sheet'!A25:L25)</f>
        <v/>
      </c>
      <c r="C177" s="24" t="s">
        <v>7350</v>
      </c>
    </row>
    <row r="178" spans="1:3">
      <c r="A178" s="14" t="s">
        <v>182</v>
      </c>
      <c r="B178" s="9" t="str">
        <f>_xlfn.CONCAT('KBC - Pricing Sheet'!A26:L26)</f>
        <v/>
      </c>
      <c r="C178" s="24" t="s">
        <v>7350</v>
      </c>
    </row>
    <row r="179" spans="1:3">
      <c r="A179" s="14" t="s">
        <v>183</v>
      </c>
      <c r="B179" s="9" t="str">
        <f>_xlfn.CONCAT('KBC - Pricing Sheet'!A27:L27)</f>
        <v/>
      </c>
      <c r="C179" s="24" t="s">
        <v>7350</v>
      </c>
    </row>
    <row r="180" spans="1:3">
      <c r="A180" s="14" t="s">
        <v>184</v>
      </c>
      <c r="B180" s="9" t="str">
        <f>_xlfn.CONCAT('KBC - Pricing Sheet'!A28:L28)</f>
        <v/>
      </c>
      <c r="C180" s="24" t="s">
        <v>7350</v>
      </c>
    </row>
    <row r="181" spans="1:3">
      <c r="A181" s="14" t="s">
        <v>185</v>
      </c>
      <c r="B181" s="9" t="str">
        <f>_xlfn.CONCAT('KBC - Pricing Sheet'!A29:L29)</f>
        <v/>
      </c>
      <c r="C181" s="24" t="s">
        <v>7350</v>
      </c>
    </row>
    <row r="182" spans="1:3">
      <c r="A182" s="14" t="s">
        <v>186</v>
      </c>
      <c r="B182" s="9" t="str">
        <f>_xlfn.CONCAT('KBC - Pricing Sheet'!A30:L30)</f>
        <v/>
      </c>
      <c r="C182" s="24" t="s">
        <v>7350</v>
      </c>
    </row>
    <row r="183" spans="1:3">
      <c r="A183" s="14" t="s">
        <v>7865</v>
      </c>
      <c r="B183" s="9" t="str">
        <f>_xlfn.CONCAT('KBC - Pricing Sheet'!A31:L31)</f>
        <v/>
      </c>
      <c r="C183" s="24" t="s">
        <v>7350</v>
      </c>
    </row>
    <row r="184" spans="1:3">
      <c r="A184" s="14" t="s">
        <v>7866</v>
      </c>
      <c r="B184" s="9" t="str">
        <f>_xlfn.CONCAT('KBC - Pricing Sheet'!A32:L32)</f>
        <v/>
      </c>
      <c r="C184" s="24" t="s">
        <v>7350</v>
      </c>
    </row>
    <row r="185" spans="1:3">
      <c r="A185" s="14" t="s">
        <v>7867</v>
      </c>
      <c r="B185" s="9" t="str">
        <f>_xlfn.CONCAT('KBC - Pricing Sheet'!A33:L33)</f>
        <v/>
      </c>
      <c r="C185" s="24" t="s">
        <v>7350</v>
      </c>
    </row>
    <row r="186" spans="1:3">
      <c r="A186" s="14" t="s">
        <v>7868</v>
      </c>
      <c r="B186" s="9" t="str">
        <f>_xlfn.CONCAT('KBC - Pricing Sheet'!A34:L34)</f>
        <v/>
      </c>
      <c r="C186" s="24" t="s">
        <v>7350</v>
      </c>
    </row>
    <row r="187" spans="1:3">
      <c r="A187" s="14" t="s">
        <v>7869</v>
      </c>
      <c r="B187" s="9" t="str">
        <f>_xlfn.CONCAT('KBC - Pricing Sheet'!A35:L35)</f>
        <v/>
      </c>
      <c r="C187" s="24" t="s">
        <v>7350</v>
      </c>
    </row>
    <row r="188" spans="1:3">
      <c r="A188" s="14" t="s">
        <v>7870</v>
      </c>
      <c r="B188" s="9" t="str">
        <f>_xlfn.CONCAT('KBC - Pricing Sheet'!A36:L36)</f>
        <v/>
      </c>
      <c r="C188" s="24" t="s">
        <v>7350</v>
      </c>
    </row>
    <row r="189" spans="1:3">
      <c r="A189" s="14" t="s">
        <v>7871</v>
      </c>
      <c r="B189" s="9" t="str">
        <f>_xlfn.CONCAT('KBC - Pricing Sheet'!A37:L37)</f>
        <v/>
      </c>
      <c r="C189" s="24" t="s">
        <v>7350</v>
      </c>
    </row>
    <row r="190" spans="1:3">
      <c r="A190" s="14" t="s">
        <v>7872</v>
      </c>
      <c r="B190" s="9" t="str">
        <f>_xlfn.CONCAT('KBC - Pricing Sheet'!A38:L38)</f>
        <v/>
      </c>
      <c r="C190" s="24" t="s">
        <v>7350</v>
      </c>
    </row>
    <row r="191" spans="1:3">
      <c r="A191" s="14" t="s">
        <v>7873</v>
      </c>
      <c r="B191" s="9" t="str">
        <f>_xlfn.CONCAT('KBC - Pricing Sheet'!A39:L39)</f>
        <v/>
      </c>
      <c r="C191" s="24" t="s">
        <v>7350</v>
      </c>
    </row>
    <row r="192" spans="1:3">
      <c r="A192" s="14" t="s">
        <v>7874</v>
      </c>
      <c r="B192" s="9" t="str">
        <f>_xlfn.CONCAT('KBC - Pricing Sheet'!A40:L40)</f>
        <v/>
      </c>
      <c r="C192" s="24" t="s">
        <v>7350</v>
      </c>
    </row>
    <row r="193" spans="1:3">
      <c r="A193" s="14" t="s">
        <v>7875</v>
      </c>
      <c r="B193" s="9" t="str">
        <f>_xlfn.CONCAT('KBC - Pricing Sheet'!A41:L41)</f>
        <v/>
      </c>
      <c r="C193" s="24" t="s">
        <v>7350</v>
      </c>
    </row>
    <row r="194" spans="1:3">
      <c r="A194" s="14" t="s">
        <v>7876</v>
      </c>
      <c r="B194" s="9" t="str">
        <f>_xlfn.CONCAT('KBC - Pricing Sheet'!A42:L42)</f>
        <v/>
      </c>
      <c r="C194" s="24" t="s">
        <v>7350</v>
      </c>
    </row>
    <row r="195" spans="1:3">
      <c r="A195" s="14" t="s">
        <v>7877</v>
      </c>
      <c r="B195" s="9" t="str">
        <f>_xlfn.CONCAT('KBC - Pricing Sheet'!A43:L43)</f>
        <v/>
      </c>
      <c r="C195" s="24" t="s">
        <v>7350</v>
      </c>
    </row>
    <row r="196" spans="1:3">
      <c r="A196" s="14" t="s">
        <v>7878</v>
      </c>
      <c r="B196" s="9" t="str">
        <f>_xlfn.CONCAT('KBC - Pricing Sheet'!A44:L44)</f>
        <v/>
      </c>
      <c r="C196" s="24" t="s">
        <v>7350</v>
      </c>
    </row>
    <row r="197" spans="1:3">
      <c r="A197" s="14" t="s">
        <v>7879</v>
      </c>
      <c r="B197" s="9" t="str">
        <f>_xlfn.CONCAT('KBC - Pricing Sheet'!A45:L45)</f>
        <v/>
      </c>
      <c r="C197" s="24" t="s">
        <v>7350</v>
      </c>
    </row>
    <row r="198" spans="1:3">
      <c r="A198" s="14" t="s">
        <v>7880</v>
      </c>
      <c r="B198" s="9" t="str">
        <f>_xlfn.CONCAT('KBC - Pricing Sheet'!A46:L46)</f>
        <v/>
      </c>
      <c r="C198" s="24" t="s">
        <v>7350</v>
      </c>
    </row>
    <row r="199" spans="1:3">
      <c r="A199" s="14" t="s">
        <v>7881</v>
      </c>
      <c r="B199" s="9" t="str">
        <f>_xlfn.CONCAT('KBC - Pricing Sheet'!A47:L47)</f>
        <v/>
      </c>
      <c r="C199" s="24" t="s">
        <v>7350</v>
      </c>
    </row>
    <row r="200" spans="1:3">
      <c r="A200" s="14" t="s">
        <v>7882</v>
      </c>
      <c r="B200" s="9" t="str">
        <f>_xlfn.CONCAT('KBC - Pricing Sheet'!A48:L48)</f>
        <v/>
      </c>
      <c r="C200" s="24" t="s">
        <v>7350</v>
      </c>
    </row>
    <row r="201" spans="1:3">
      <c r="A201" s="14" t="s">
        <v>7883</v>
      </c>
      <c r="B201" s="9" t="str">
        <f>_xlfn.CONCAT('KBC - Pricing Sheet'!A49:L49)</f>
        <v/>
      </c>
      <c r="C201" s="24" t="s">
        <v>7350</v>
      </c>
    </row>
    <row r="202" spans="1:3">
      <c r="A202" s="14"/>
      <c r="B202" s="15"/>
      <c r="C202" s="18"/>
    </row>
    <row r="203" spans="1:3">
      <c r="A203" s="611" t="str">
        <f>"20 - "&amp;UPPER('KBC - Pricing Sheet'!O37)&amp;IF('KBC - Pricing Sheet'!S37=" (refer to sketch dated: ##/##/#### )","",'KBC - Pricing Sheet'!S37)</f>
        <v>20 - STRUCTURAL HOUSE MODIFICATIONS</v>
      </c>
      <c r="B203" s="611"/>
      <c r="C203" s="198"/>
    </row>
    <row r="204" spans="1:3">
      <c r="A204" s="14" t="s">
        <v>100</v>
      </c>
      <c r="B204" s="9" t="str">
        <f>_xlfn.CONCAT('KBC - Pricing Sheet'!O39:X39)</f>
        <v/>
      </c>
      <c r="C204" s="24" t="str">
        <f t="shared" ref="C204:C214" si="0">IF(B204&lt;&gt;"", "Included", "")</f>
        <v/>
      </c>
    </row>
    <row r="205" spans="1:3">
      <c r="A205" s="14" t="s">
        <v>101</v>
      </c>
      <c r="B205" s="9" t="str">
        <f>_xlfn.CONCAT('KBC - Pricing Sheet'!O40:X40)</f>
        <v/>
      </c>
      <c r="C205" s="24" t="str">
        <f t="shared" si="0"/>
        <v/>
      </c>
    </row>
    <row r="206" spans="1:3">
      <c r="A206" s="14" t="s">
        <v>187</v>
      </c>
      <c r="B206" s="9" t="str">
        <f>_xlfn.CONCAT('KBC - Pricing Sheet'!O41:X41)</f>
        <v/>
      </c>
      <c r="C206" s="24" t="str">
        <f t="shared" si="0"/>
        <v/>
      </c>
    </row>
    <row r="207" spans="1:3">
      <c r="A207" s="14" t="s">
        <v>188</v>
      </c>
      <c r="B207" s="9" t="str">
        <f>_xlfn.CONCAT('KBC - Pricing Sheet'!O42:X42)</f>
        <v/>
      </c>
      <c r="C207" s="24" t="str">
        <f t="shared" si="0"/>
        <v/>
      </c>
    </row>
    <row r="208" spans="1:3">
      <c r="A208" s="14" t="s">
        <v>189</v>
      </c>
      <c r="B208" s="9" t="str">
        <f>_xlfn.CONCAT('KBC - Pricing Sheet'!O43:X43)</f>
        <v/>
      </c>
      <c r="C208" s="24" t="str">
        <f t="shared" si="0"/>
        <v/>
      </c>
    </row>
    <row r="209" spans="1:3">
      <c r="A209" s="14" t="s">
        <v>190</v>
      </c>
      <c r="B209" s="9" t="str">
        <f>_xlfn.CONCAT('KBC - Pricing Sheet'!O44:X44)</f>
        <v/>
      </c>
      <c r="C209" s="24" t="str">
        <f t="shared" si="0"/>
        <v/>
      </c>
    </row>
    <row r="210" spans="1:3">
      <c r="A210" s="14" t="s">
        <v>191</v>
      </c>
      <c r="B210" s="9" t="str">
        <f>_xlfn.CONCAT('KBC - Pricing Sheet'!O45:X45)</f>
        <v/>
      </c>
      <c r="C210" s="24" t="str">
        <f t="shared" si="0"/>
        <v/>
      </c>
    </row>
    <row r="211" spans="1:3">
      <c r="A211" s="14" t="s">
        <v>192</v>
      </c>
      <c r="B211" s="9" t="str">
        <f>_xlfn.CONCAT('KBC - Pricing Sheet'!O46:X46)</f>
        <v/>
      </c>
      <c r="C211" s="24" t="str">
        <f t="shared" si="0"/>
        <v/>
      </c>
    </row>
    <row r="212" spans="1:3">
      <c r="A212" s="14" t="s">
        <v>193</v>
      </c>
      <c r="B212" s="9" t="str">
        <f>_xlfn.CONCAT('KBC - Pricing Sheet'!O47:X47)</f>
        <v/>
      </c>
      <c r="C212" s="24" t="str">
        <f t="shared" si="0"/>
        <v/>
      </c>
    </row>
    <row r="213" spans="1:3">
      <c r="A213" s="14" t="s">
        <v>7330</v>
      </c>
      <c r="B213" s="9" t="str">
        <f>_xlfn.CONCAT('KBC - Pricing Sheet'!O48:X48)</f>
        <v/>
      </c>
      <c r="C213" s="24" t="str">
        <f t="shared" si="0"/>
        <v/>
      </c>
    </row>
    <row r="214" spans="1:3">
      <c r="A214" s="14" t="s">
        <v>8551</v>
      </c>
      <c r="B214" s="9" t="str">
        <f>_xlfn.CONCAT('KBC - Pricing Sheet'!O49:X49)</f>
        <v/>
      </c>
      <c r="C214" s="24" t="str">
        <f t="shared" si="0"/>
        <v/>
      </c>
    </row>
    <row r="215" spans="1:3">
      <c r="A215" s="14"/>
      <c r="B215" s="9"/>
      <c r="C215" s="18"/>
    </row>
    <row r="216" spans="1:3">
      <c r="A216" s="610" t="s">
        <v>7884</v>
      </c>
      <c r="B216" s="610"/>
      <c r="C216" s="199"/>
    </row>
    <row r="217" spans="1:3">
      <c r="A217" s="14" t="s">
        <v>7321</v>
      </c>
      <c r="B217" s="9" t="str">
        <f>_xlfn.CONCAT('KBC - Pricing Sheet'!O23:X23)</f>
        <v/>
      </c>
      <c r="C217" s="24" t="str">
        <f t="shared" ref="C217:C229" si="1">IF(B217&lt;&gt;"", "Included", "")</f>
        <v/>
      </c>
    </row>
    <row r="218" spans="1:3">
      <c r="A218" s="14" t="s">
        <v>7322</v>
      </c>
      <c r="B218" s="9" t="str">
        <f>_xlfn.CONCAT('KBC - Pricing Sheet'!O24:X24)</f>
        <v/>
      </c>
      <c r="C218" s="24" t="str">
        <f t="shared" si="1"/>
        <v/>
      </c>
    </row>
    <row r="219" spans="1:3">
      <c r="A219" s="14" t="s">
        <v>7323</v>
      </c>
      <c r="B219" s="9" t="str">
        <f>_xlfn.CONCAT('KBC - Pricing Sheet'!O25:X25)</f>
        <v/>
      </c>
      <c r="C219" s="24" t="str">
        <f t="shared" si="1"/>
        <v/>
      </c>
    </row>
    <row r="220" spans="1:3">
      <c r="A220" s="14" t="s">
        <v>7324</v>
      </c>
      <c r="B220" s="9" t="str">
        <f>_xlfn.CONCAT('KBC - Pricing Sheet'!O26:X26)</f>
        <v/>
      </c>
      <c r="C220" s="24" t="str">
        <f t="shared" si="1"/>
        <v/>
      </c>
    </row>
    <row r="221" spans="1:3">
      <c r="A221" s="14" t="s">
        <v>7325</v>
      </c>
      <c r="B221" s="9" t="str">
        <f>_xlfn.CONCAT('KBC - Pricing Sheet'!O27:X27)</f>
        <v/>
      </c>
      <c r="C221" s="24" t="str">
        <f t="shared" si="1"/>
        <v/>
      </c>
    </row>
    <row r="222" spans="1:3">
      <c r="A222" s="14" t="s">
        <v>7326</v>
      </c>
      <c r="B222" s="9" t="str">
        <f>_xlfn.CONCAT('KBC - Pricing Sheet'!O28:X28)</f>
        <v/>
      </c>
      <c r="C222" s="24" t="str">
        <f t="shared" si="1"/>
        <v/>
      </c>
    </row>
    <row r="223" spans="1:3">
      <c r="A223" s="14" t="s">
        <v>7327</v>
      </c>
      <c r="B223" s="9" t="str">
        <f>_xlfn.CONCAT('KBC - Pricing Sheet'!O29:X29)</f>
        <v/>
      </c>
      <c r="C223" s="24" t="str">
        <f t="shared" si="1"/>
        <v/>
      </c>
    </row>
    <row r="224" spans="1:3">
      <c r="A224" s="14" t="s">
        <v>7328</v>
      </c>
      <c r="B224" s="9" t="str">
        <f>_xlfn.CONCAT('KBC - Pricing Sheet'!O30:X30)</f>
        <v/>
      </c>
      <c r="C224" s="24" t="str">
        <f t="shared" si="1"/>
        <v/>
      </c>
    </row>
    <row r="225" spans="1:3">
      <c r="A225" s="14" t="s">
        <v>7329</v>
      </c>
      <c r="B225" s="9" t="str">
        <f>_xlfn.CONCAT('KBC - Pricing Sheet'!O31:X31)</f>
        <v/>
      </c>
      <c r="C225" s="24" t="str">
        <f t="shared" si="1"/>
        <v/>
      </c>
    </row>
    <row r="226" spans="1:3">
      <c r="A226" s="14" t="s">
        <v>7331</v>
      </c>
      <c r="B226" s="9" t="str">
        <f>_xlfn.CONCAT('KBC - Pricing Sheet'!O32:X32)</f>
        <v/>
      </c>
      <c r="C226" s="24" t="str">
        <f t="shared" si="1"/>
        <v/>
      </c>
    </row>
    <row r="227" spans="1:3">
      <c r="A227" s="14" t="s">
        <v>7812</v>
      </c>
      <c r="B227" s="9" t="str">
        <f>_xlfn.CONCAT('KBC - Pricing Sheet'!O33:X33)</f>
        <v/>
      </c>
      <c r="C227" s="24" t="str">
        <f t="shared" si="1"/>
        <v/>
      </c>
    </row>
    <row r="228" spans="1:3">
      <c r="A228" s="14" t="s">
        <v>7813</v>
      </c>
      <c r="B228" s="9" t="str">
        <f>_xlfn.CONCAT('KBC - Pricing Sheet'!O34:X34)</f>
        <v/>
      </c>
      <c r="C228" s="24" t="str">
        <f t="shared" si="1"/>
        <v/>
      </c>
    </row>
    <row r="229" spans="1:3">
      <c r="A229" s="14" t="s">
        <v>7814</v>
      </c>
      <c r="B229" s="9" t="str">
        <f>_xlfn.CONCAT('KBC - Pricing Sheet'!O35:X35)</f>
        <v/>
      </c>
      <c r="C229" s="24" t="str">
        <f t="shared" si="1"/>
        <v/>
      </c>
    </row>
    <row r="230" spans="1:3">
      <c r="A230" s="14"/>
      <c r="B230" s="15"/>
      <c r="C230" s="18"/>
    </row>
    <row r="231" spans="1:3">
      <c r="A231" s="610" t="s">
        <v>7885</v>
      </c>
      <c r="B231" s="610"/>
      <c r="C231" s="198"/>
    </row>
    <row r="232" spans="1:3">
      <c r="A232" s="14" t="s">
        <v>7332</v>
      </c>
      <c r="B232" s="15" t="s">
        <v>41</v>
      </c>
      <c r="C232" s="18" t="s">
        <v>7351</v>
      </c>
    </row>
    <row r="233" spans="1:3">
      <c r="A233" s="14" t="s">
        <v>7333</v>
      </c>
      <c r="B233" s="15" t="s">
        <v>42</v>
      </c>
      <c r="C233" s="18" t="s">
        <v>7351</v>
      </c>
    </row>
    <row r="234" spans="1:3">
      <c r="A234" s="14" t="s">
        <v>7334</v>
      </c>
      <c r="B234" s="15" t="s">
        <v>43</v>
      </c>
      <c r="C234" s="18" t="s">
        <v>7351</v>
      </c>
    </row>
    <row r="235" spans="1:3">
      <c r="A235" s="14" t="s">
        <v>7335</v>
      </c>
      <c r="B235" s="15" t="s">
        <v>124</v>
      </c>
      <c r="C235" s="18" t="s">
        <v>7351</v>
      </c>
    </row>
    <row r="236" spans="1:3">
      <c r="A236" s="14" t="s">
        <v>7336</v>
      </c>
      <c r="B236" s="15" t="s">
        <v>44</v>
      </c>
      <c r="C236" s="18" t="s">
        <v>7351</v>
      </c>
    </row>
    <row r="237" spans="1:3">
      <c r="A237" s="14" t="s">
        <v>7337</v>
      </c>
      <c r="B237" s="15" t="s">
        <v>45</v>
      </c>
      <c r="C237" s="18" t="s">
        <v>7351</v>
      </c>
    </row>
    <row r="238" spans="1:3">
      <c r="A238" s="14" t="s">
        <v>7338</v>
      </c>
      <c r="B238" s="15" t="s">
        <v>46</v>
      </c>
      <c r="C238" s="18" t="s">
        <v>7351</v>
      </c>
    </row>
    <row r="239" spans="1:3">
      <c r="A239" s="14" t="s">
        <v>7339</v>
      </c>
      <c r="B239" s="205" t="s">
        <v>8688</v>
      </c>
      <c r="C239" s="18" t="s">
        <v>7351</v>
      </c>
    </row>
    <row r="240" spans="1:3" ht="88.5" customHeight="1">
      <c r="A240" s="14" t="s">
        <v>7340</v>
      </c>
      <c r="B240" s="205" t="s">
        <v>10795</v>
      </c>
      <c r="C240" s="18" t="s">
        <v>7351</v>
      </c>
    </row>
    <row r="241" spans="1:20">
      <c r="A241" s="2"/>
      <c r="B241" s="3"/>
      <c r="C241" s="4"/>
    </row>
    <row r="242" spans="1:20">
      <c r="A242" s="45" t="s">
        <v>48</v>
      </c>
      <c r="B242" s="12"/>
      <c r="C242" s="13"/>
    </row>
    <row r="243" spans="1:20" ht="14.85" customHeight="1">
      <c r="A243" s="603" t="s">
        <v>125</v>
      </c>
      <c r="B243" s="603"/>
      <c r="C243" s="603"/>
      <c r="T243" s="167" t="str">
        <f>A243</f>
        <v>The builder has the right to substitute or change any of the above items without notice or notification.</v>
      </c>
    </row>
    <row r="244" spans="1:20" ht="43.5" customHeight="1">
      <c r="A244" s="602" t="s">
        <v>7913</v>
      </c>
      <c r="B244" s="602"/>
      <c r="C244" s="602"/>
      <c r="T244" s="167" t="str">
        <f>A244</f>
        <v>I / We understand that it is the policy of Hermitage Building Group Pty Ltd (ABN: 79 150 694 572) not to enter into verbal agreements, therefore I / we agree that our special requirements are to be written down and form part of our final building documentation.</v>
      </c>
    </row>
    <row r="245" spans="1:20">
      <c r="A245" s="10"/>
      <c r="B245" s="11"/>
      <c r="C245" s="23"/>
    </row>
    <row r="246" spans="1:20">
      <c r="A246" s="2"/>
      <c r="B246" s="3"/>
      <c r="C246" s="4"/>
    </row>
    <row r="247" spans="1:20">
      <c r="A247" s="2"/>
      <c r="B247" s="24" t="s">
        <v>104</v>
      </c>
      <c r="C247" s="80" t="str" cm="1">
        <f t="array" ref="C247">IFERROR(_xlfn.IFS(_xlfn.CONCAT(B18,B22)=_xlfn.CONCAT('KBC - Pricing Sheet'!K10,'KBC - Pricing Sheet'!M10),'KBC - Pricing Sheet'!W10,
_xlfn.CONCAT(B18,B22)=_xlfn.CONCAT('KBC - Pricing Sheet'!K11,'KBC - Pricing Sheet'!M11),'KBC - Pricing Sheet'!W11,
_xlfn.CONCAT(B18,B22)=_xlfn.CONCAT('KBC - Pricing Sheet'!K12,'KBC - Pricing Sheet'!M12),'KBC - Pricing Sheet'!W12,
_xlfn.CONCAT(B18,B22)=_xlfn.CONCAT('KBC - Pricing Sheet'!K13,'KBC - Pricing Sheet'!M13),'KBC - Pricing Sheet'!W13,
_xlfn.CONCAT(B18,B22)=_xlfn.CONCAT('KBC - Pricing Sheet'!K14,'KBC - Pricing Sheet'!M14),'KBC - Pricing Sheet'!W14,
_xlfn.CONCAT(B18,B22)=_xlfn.CONCAT('KBC - Pricing Sheet'!K15,'KBC - Pricing Sheet'!M15),'KBC - Pricing Sheet'!W15,
_xlfn.CONCAT(B18,B22)=_xlfn.CONCAT('KBC - Pricing Sheet'!K16,'KBC - Pricing Sheet'!M16),'KBC - Pricing Sheet'!W16,
_xlfn.CONCAT(B18,B22)=_xlfn.CONCAT('KBC - Pricing Sheet'!K17,'KBC - Pricing Sheet'!M17),'KBC - Pricing Sheet'!W17,
_xlfn.CONCAT(B18,B22)=_xlfn.CONCAT('KBC - Pricing Sheet'!K18,'KBC - Pricing Sheet'!M18),'KBC - Pricing Sheet'!W18,
_xlfn.CONCAT(B18,B22)=_xlfn.CONCAT('KBC - Pricing Sheet'!K19,'KBC - Pricing Sheet'!M19),'KBC - Pricing Sheet'!W19),"")</f>
        <v/>
      </c>
    </row>
    <row r="248" spans="1:20">
      <c r="A248" s="25" t="s">
        <v>49</v>
      </c>
      <c r="B248" s="11"/>
      <c r="C248" s="1"/>
    </row>
    <row r="249" spans="1:20">
      <c r="A249" s="2"/>
      <c r="B249" s="3"/>
      <c r="C249" s="1"/>
    </row>
    <row r="250" spans="1:20">
      <c r="A250" s="2"/>
      <c r="B250" s="15" t="s">
        <v>50</v>
      </c>
      <c r="C250" s="26"/>
    </row>
    <row r="251" spans="1:20">
      <c r="A251" s="2"/>
      <c r="B251" s="3"/>
      <c r="C251" s="1"/>
    </row>
    <row r="252" spans="1:20">
      <c r="A252" s="2"/>
      <c r="B252" s="3"/>
      <c r="C252" s="1"/>
    </row>
    <row r="253" spans="1:20">
      <c r="A253" s="27" t="s">
        <v>167</v>
      </c>
      <c r="B253" s="3"/>
      <c r="C253" s="1"/>
    </row>
    <row r="254" spans="1:20">
      <c r="A254" s="2"/>
      <c r="B254" s="3"/>
      <c r="C254" s="1"/>
    </row>
    <row r="255" spans="1:20">
      <c r="A255" s="2"/>
      <c r="B255" s="3"/>
      <c r="C255" s="1"/>
    </row>
    <row r="256" spans="1:20">
      <c r="A256" s="27" t="s">
        <v>168</v>
      </c>
      <c r="B256" s="3"/>
      <c r="C256" s="1"/>
    </row>
    <row r="257" spans="1:3">
      <c r="A257" s="2"/>
      <c r="B257" s="3"/>
      <c r="C257" s="1"/>
    </row>
    <row r="258" spans="1:3">
      <c r="A258" s="2"/>
      <c r="B258" s="3"/>
      <c r="C258" s="1"/>
    </row>
    <row r="259" spans="1:3">
      <c r="A259" s="27" t="s">
        <v>168</v>
      </c>
      <c r="B259" s="3"/>
      <c r="C259" s="1"/>
    </row>
    <row r="260" spans="1:3">
      <c r="A260" s="2"/>
      <c r="B260" s="3"/>
      <c r="C260" s="1"/>
    </row>
  </sheetData>
  <sheetProtection algorithmName="SHA-512" hashValue="whtyTF2fgJpXwh6SriB7reYZkhAudp35yGUYDd0A7ZUoPHxJs3vYVQSi90GAg4FrX9NIgCKQi1G6DSzpH85UNw==" saltValue="dokzed1sXhWmehK6w8o9WQ==" spinCount="100000" sheet="1" objects="1" scenarios="1" formatRows="0" insertRows="0" deleteRows="0"/>
  <mergeCells count="27">
    <mergeCell ref="A243:C243"/>
    <mergeCell ref="A244:C244"/>
    <mergeCell ref="A158:B158"/>
    <mergeCell ref="A164:B164"/>
    <mergeCell ref="A174:B174"/>
    <mergeCell ref="A203:B203"/>
    <mergeCell ref="A216:B216"/>
    <mergeCell ref="A231:B231"/>
    <mergeCell ref="A25:B25"/>
    <mergeCell ref="A28:B28"/>
    <mergeCell ref="A153:B153"/>
    <mergeCell ref="A39:B39"/>
    <mergeCell ref="A53:B53"/>
    <mergeCell ref="A68:B68"/>
    <mergeCell ref="A74:B74"/>
    <mergeCell ref="A83:B83"/>
    <mergeCell ref="A92:B92"/>
    <mergeCell ref="A103:B103"/>
    <mergeCell ref="A107:B107"/>
    <mergeCell ref="A119:B119"/>
    <mergeCell ref="A134:B134"/>
    <mergeCell ref="A149:B149"/>
    <mergeCell ref="A3:B3"/>
    <mergeCell ref="A10:B10"/>
    <mergeCell ref="A15:B15"/>
    <mergeCell ref="A17:B17"/>
    <mergeCell ref="A21:B21"/>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4" manualBreakCount="4">
    <brk id="73" max="2" man="1"/>
    <brk id="118" max="2" man="1"/>
    <brk id="173" max="2" man="1"/>
    <brk id="230" max="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52D28C0-886E-4AB8-8277-23C3F48136A7}">
          <x14:formula1>
            <xm:f>_xlfn.ANCHORARRAY('KBC - Houses'!$U$4)</xm:f>
          </x14:formula1>
          <xm:sqref>B22</xm:sqref>
        </x14:dataValidation>
        <x14:dataValidation type="list" allowBlank="1" showInputMessage="1" showErrorMessage="1" xr:uid="{7D9FBF6F-D62F-4302-B4BA-B6D7912EB4C9}">
          <x14:formula1>
            <xm:f>_xlfn.ANCHORARRAY('KBC - Houses'!$T$4)</xm:f>
          </x14:formula1>
          <xm:sqref>B18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FB3A1-A309-4237-B76C-13973B56C588}">
  <sheetPr codeName="Sheet14">
    <tabColor theme="3" tint="0.79998168889431442"/>
  </sheetPr>
  <dimension ref="A1:T261"/>
  <sheetViews>
    <sheetView showGridLines="0" view="pageBreakPreview" topLeftCell="A79" zoomScaleNormal="100" zoomScaleSheetLayoutView="100" workbookViewId="0">
      <selection activeCell="L94" sqref="L94"/>
    </sheetView>
  </sheetViews>
  <sheetFormatPr defaultColWidth="8.5703125" defaultRowHeight="15"/>
  <cols>
    <col min="1" max="1" width="10.42578125" customWidth="1"/>
    <col min="2" max="2" width="70.5703125" bestFit="1" customWidth="1"/>
    <col min="3" max="3" width="10.42578125" bestFit="1" customWidth="1"/>
    <col min="20" max="20" width="96.42578125" customWidth="1"/>
  </cols>
  <sheetData>
    <row r="1" spans="1:3" ht="140.25">
      <c r="B1" s="200" t="s">
        <v>8552</v>
      </c>
      <c r="C1" s="1"/>
    </row>
    <row r="2" spans="1:3">
      <c r="A2" s="8"/>
      <c r="B2" s="41" t="s">
        <v>127</v>
      </c>
      <c r="C2" s="332"/>
    </row>
    <row r="3" spans="1:3">
      <c r="A3" s="608" t="s">
        <v>194</v>
      </c>
      <c r="B3" s="608"/>
      <c r="C3" s="189"/>
    </row>
    <row r="4" spans="1:3">
      <c r="A4" s="190"/>
      <c r="B4" s="191"/>
      <c r="C4" s="189"/>
    </row>
    <row r="5" spans="1:3">
      <c r="A5" s="192" t="s">
        <v>102</v>
      </c>
      <c r="B5" s="331"/>
      <c r="C5" s="189"/>
    </row>
    <row r="6" spans="1:3">
      <c r="A6" s="192" t="s">
        <v>103</v>
      </c>
      <c r="B6" s="331"/>
      <c r="C6" s="193"/>
    </row>
    <row r="7" spans="1:3">
      <c r="A7" s="192" t="s">
        <v>9189</v>
      </c>
      <c r="B7" s="331"/>
      <c r="C7" s="193"/>
    </row>
    <row r="8" spans="1:3">
      <c r="A8" s="194" t="s">
        <v>9190</v>
      </c>
      <c r="B8" s="331"/>
      <c r="C8" s="193"/>
    </row>
    <row r="9" spans="1:3">
      <c r="A9" s="2"/>
      <c r="B9" s="3"/>
      <c r="C9" s="1"/>
    </row>
    <row r="10" spans="1:3">
      <c r="A10" s="609" t="s">
        <v>195</v>
      </c>
      <c r="B10" s="609"/>
      <c r="C10" s="195"/>
    </row>
    <row r="11" spans="1:3">
      <c r="A11" s="190"/>
      <c r="B11" s="196"/>
      <c r="C11" s="195"/>
    </row>
    <row r="12" spans="1:3">
      <c r="A12" s="192" t="s">
        <v>103</v>
      </c>
      <c r="B12" s="331"/>
      <c r="C12" s="197"/>
    </row>
    <row r="13" spans="1:3">
      <c r="A13" s="192" t="s">
        <v>105</v>
      </c>
      <c r="B13" s="331"/>
      <c r="C13" s="195"/>
    </row>
    <row r="14" spans="1:3">
      <c r="A14" s="2"/>
      <c r="B14" s="3"/>
      <c r="C14" s="1"/>
    </row>
    <row r="15" spans="1:3">
      <c r="A15" s="604" t="s">
        <v>196</v>
      </c>
      <c r="B15" s="604"/>
      <c r="C15" s="1"/>
    </row>
    <row r="16" spans="1:3">
      <c r="A16" s="2"/>
      <c r="B16" s="3"/>
      <c r="C16" s="4"/>
    </row>
    <row r="17" spans="1:3">
      <c r="A17" s="610" t="s">
        <v>51</v>
      </c>
      <c r="B17" s="610"/>
      <c r="C17" s="198"/>
    </row>
    <row r="18" spans="1:3">
      <c r="A18" s="19" t="s">
        <v>53</v>
      </c>
      <c r="B18" s="15"/>
      <c r="C18" s="16" t="s">
        <v>7351</v>
      </c>
    </row>
    <row r="19" spans="1:3">
      <c r="A19" s="14"/>
      <c r="B19" s="15" t="str">
        <f>IF(B18&lt;&gt;"",_xlfn.XLOOKUP(B18,Table118[House],Table118[House Details]),"")</f>
        <v/>
      </c>
      <c r="C19" s="16"/>
    </row>
    <row r="20" spans="1:3">
      <c r="A20" s="14"/>
      <c r="B20" s="17"/>
      <c r="C20" s="18"/>
    </row>
    <row r="21" spans="1:3">
      <c r="A21" s="610" t="s">
        <v>52</v>
      </c>
      <c r="B21" s="610"/>
      <c r="C21" s="198"/>
    </row>
    <row r="22" spans="1:3">
      <c r="A22" s="19" t="s">
        <v>54</v>
      </c>
      <c r="B22" s="15"/>
      <c r="C22" s="16" t="str">
        <f>IFERROR(IF(_xlfn.XLOOKUP(B22,Table118[Facade],Table118[Facade Price])="Included","Standard","Upgrade"),"")</f>
        <v/>
      </c>
    </row>
    <row r="23" spans="1:3">
      <c r="A23" s="14"/>
      <c r="B23" s="15" t="str">
        <f>IFERROR(IF(_xlfn.XLOOKUP(B22,Table118[Facade],Table118[Facade Details])&gt;0,_xlfn.XLOOKUP(B22,Table118[Facade],Table118[Facade Details])),"")</f>
        <v/>
      </c>
      <c r="C23" s="18"/>
    </row>
    <row r="24" spans="1:3">
      <c r="A24" s="14"/>
      <c r="B24" s="15"/>
      <c r="C24" s="18"/>
    </row>
    <row r="25" spans="1:3">
      <c r="A25" s="610" t="s">
        <v>200</v>
      </c>
      <c r="B25" s="610"/>
      <c r="C25" s="198"/>
    </row>
    <row r="26" spans="1:3">
      <c r="A26" s="19" t="s">
        <v>55</v>
      </c>
      <c r="B26" s="20" t="s">
        <v>10</v>
      </c>
      <c r="C26" s="18" t="s">
        <v>7351</v>
      </c>
    </row>
    <row r="27" spans="1:3">
      <c r="A27" s="19"/>
      <c r="B27" s="20"/>
      <c r="C27" s="18"/>
    </row>
    <row r="28" spans="1:3">
      <c r="A28" s="610" t="s">
        <v>148</v>
      </c>
      <c r="B28" s="610"/>
      <c r="C28" s="198"/>
    </row>
    <row r="29" spans="1:3">
      <c r="A29" s="19" t="s">
        <v>56</v>
      </c>
      <c r="B29" s="21" t="s">
        <v>107</v>
      </c>
      <c r="C29" s="18" t="s">
        <v>7351</v>
      </c>
    </row>
    <row r="30" spans="1:3">
      <c r="A30" s="22"/>
      <c r="B30" s="15" t="s">
        <v>2</v>
      </c>
      <c r="C30" s="18" t="s">
        <v>7352</v>
      </c>
    </row>
    <row r="31" spans="1:3">
      <c r="A31" s="22"/>
      <c r="B31" s="15" t="s">
        <v>3</v>
      </c>
      <c r="C31" s="13"/>
    </row>
    <row r="32" spans="1:3">
      <c r="A32" s="22"/>
      <c r="B32" s="15" t="s">
        <v>4</v>
      </c>
      <c r="C32" s="13"/>
    </row>
    <row r="33" spans="1:3">
      <c r="A33" s="22"/>
      <c r="B33" s="15" t="s">
        <v>5</v>
      </c>
      <c r="C33" s="13"/>
    </row>
    <row r="34" spans="1:3">
      <c r="A34" s="22"/>
      <c r="B34" s="15" t="s">
        <v>6</v>
      </c>
      <c r="C34" s="13"/>
    </row>
    <row r="35" spans="1:3">
      <c r="A35" s="22"/>
      <c r="B35" s="15" t="s">
        <v>7</v>
      </c>
      <c r="C35" s="13"/>
    </row>
    <row r="36" spans="1:3">
      <c r="A36" s="22"/>
      <c r="B36" s="15" t="s">
        <v>8</v>
      </c>
      <c r="C36" s="13"/>
    </row>
    <row r="37" spans="1:3">
      <c r="A37" s="22"/>
      <c r="B37" s="15" t="s">
        <v>9</v>
      </c>
      <c r="C37" s="13"/>
    </row>
    <row r="38" spans="1:3">
      <c r="A38" s="19"/>
      <c r="B38" s="20"/>
      <c r="C38" s="18"/>
    </row>
    <row r="39" spans="1:3">
      <c r="A39" s="610" t="s">
        <v>7794</v>
      </c>
      <c r="B39" s="610"/>
      <c r="C39" s="198"/>
    </row>
    <row r="40" spans="1:3">
      <c r="A40" s="19" t="s">
        <v>7782</v>
      </c>
      <c r="B40" s="15" t="s">
        <v>8660</v>
      </c>
      <c r="C40" s="18" t="s">
        <v>7351</v>
      </c>
    </row>
    <row r="41" spans="1:3">
      <c r="A41" s="19" t="s">
        <v>7783</v>
      </c>
      <c r="B41" s="15" t="s">
        <v>12</v>
      </c>
      <c r="C41" s="18" t="s">
        <v>7351</v>
      </c>
    </row>
    <row r="42" spans="1:3">
      <c r="A42" s="19" t="s">
        <v>7784</v>
      </c>
      <c r="B42" s="15" t="s">
        <v>10144</v>
      </c>
      <c r="C42" s="18" t="s">
        <v>7351</v>
      </c>
    </row>
    <row r="43" spans="1:3">
      <c r="A43" s="19" t="s">
        <v>7785</v>
      </c>
      <c r="B43" s="15" t="s">
        <v>118</v>
      </c>
      <c r="C43" s="18" t="s">
        <v>7351</v>
      </c>
    </row>
    <row r="44" spans="1:3">
      <c r="A44" s="19" t="s">
        <v>7786</v>
      </c>
      <c r="B44" s="15" t="s">
        <v>9259</v>
      </c>
      <c r="C44" s="18" t="s">
        <v>7351</v>
      </c>
    </row>
    <row r="45" spans="1:3">
      <c r="A45" s="19" t="s">
        <v>7787</v>
      </c>
      <c r="B45" s="15" t="s">
        <v>8658</v>
      </c>
      <c r="C45" s="18" t="s">
        <v>7351</v>
      </c>
    </row>
    <row r="46" spans="1:3">
      <c r="A46" s="19" t="s">
        <v>7788</v>
      </c>
      <c r="B46" s="15" t="s">
        <v>15</v>
      </c>
      <c r="C46" s="18" t="s">
        <v>7351</v>
      </c>
    </row>
    <row r="47" spans="1:3">
      <c r="A47" s="19" t="s">
        <v>7789</v>
      </c>
      <c r="B47" s="15" t="s">
        <v>119</v>
      </c>
      <c r="C47" s="18" t="s">
        <v>7351</v>
      </c>
    </row>
    <row r="48" spans="1:3">
      <c r="A48" s="19" t="s">
        <v>7790</v>
      </c>
      <c r="B48" s="15" t="s">
        <v>9040</v>
      </c>
      <c r="C48" s="18" t="s">
        <v>7351</v>
      </c>
    </row>
    <row r="49" spans="1:3">
      <c r="A49" s="19" t="s">
        <v>7791</v>
      </c>
      <c r="B49" s="15" t="s">
        <v>143</v>
      </c>
      <c r="C49" s="18" t="s">
        <v>7351</v>
      </c>
    </row>
    <row r="50" spans="1:3">
      <c r="A50" s="19" t="s">
        <v>7792</v>
      </c>
      <c r="B50" s="15" t="s">
        <v>8659</v>
      </c>
      <c r="C50" s="18" t="s">
        <v>7351</v>
      </c>
    </row>
    <row r="51" spans="1:3" ht="25.5">
      <c r="A51" s="19" t="s">
        <v>7793</v>
      </c>
      <c r="B51" s="15" t="s">
        <v>9877</v>
      </c>
      <c r="C51" s="18" t="s">
        <v>7351</v>
      </c>
    </row>
    <row r="52" spans="1:3">
      <c r="A52" s="6"/>
      <c r="B52" s="5"/>
      <c r="C52" s="7"/>
    </row>
    <row r="53" spans="1:3">
      <c r="A53" s="610" t="s">
        <v>7795</v>
      </c>
      <c r="B53" s="610"/>
      <c r="C53" s="198"/>
    </row>
    <row r="54" spans="1:3">
      <c r="A54" s="19" t="s">
        <v>57</v>
      </c>
      <c r="B54" s="15" t="s">
        <v>120</v>
      </c>
      <c r="C54" s="18" t="s">
        <v>7351</v>
      </c>
    </row>
    <row r="55" spans="1:3">
      <c r="A55" s="19" t="s">
        <v>58</v>
      </c>
      <c r="B55" s="15" t="s">
        <v>17</v>
      </c>
      <c r="C55" s="18" t="s">
        <v>7351</v>
      </c>
    </row>
    <row r="56" spans="1:3">
      <c r="A56" s="19" t="s">
        <v>59</v>
      </c>
      <c r="B56" s="15" t="s">
        <v>133</v>
      </c>
      <c r="C56" s="18" t="s">
        <v>7351</v>
      </c>
    </row>
    <row r="57" spans="1:3">
      <c r="A57" s="19" t="s">
        <v>60</v>
      </c>
      <c r="B57" s="15" t="s">
        <v>18</v>
      </c>
      <c r="C57" s="18" t="s">
        <v>7351</v>
      </c>
    </row>
    <row r="58" spans="1:3">
      <c r="A58" s="19" t="s">
        <v>61</v>
      </c>
      <c r="B58" s="15" t="s">
        <v>19</v>
      </c>
      <c r="C58" s="18" t="s">
        <v>7351</v>
      </c>
    </row>
    <row r="59" spans="1:3">
      <c r="A59" s="19" t="s">
        <v>62</v>
      </c>
      <c r="B59" s="15" t="s">
        <v>144</v>
      </c>
      <c r="C59" s="18" t="s">
        <v>7351</v>
      </c>
    </row>
    <row r="60" spans="1:3">
      <c r="A60" s="19" t="s">
        <v>63</v>
      </c>
      <c r="B60" s="15" t="s">
        <v>37</v>
      </c>
      <c r="C60" s="18" t="s">
        <v>7351</v>
      </c>
    </row>
    <row r="61" spans="1:3">
      <c r="A61" s="19" t="s">
        <v>131</v>
      </c>
      <c r="B61" s="15" t="s">
        <v>9642</v>
      </c>
      <c r="C61" s="18" t="s">
        <v>7351</v>
      </c>
    </row>
    <row r="62" spans="1:3">
      <c r="A62" s="19" t="s">
        <v>149</v>
      </c>
      <c r="B62" s="15" t="s">
        <v>20</v>
      </c>
      <c r="C62" s="18" t="s">
        <v>7351</v>
      </c>
    </row>
    <row r="63" spans="1:3">
      <c r="A63" s="19" t="s">
        <v>150</v>
      </c>
      <c r="B63" s="15" t="s">
        <v>10699</v>
      </c>
      <c r="C63" s="18" t="s">
        <v>7351</v>
      </c>
    </row>
    <row r="64" spans="1:3" ht="25.5">
      <c r="A64" s="19" t="s">
        <v>151</v>
      </c>
      <c r="B64" s="15" t="s">
        <v>8811</v>
      </c>
      <c r="C64" s="18" t="s">
        <v>7351</v>
      </c>
    </row>
    <row r="65" spans="1:3">
      <c r="A65" s="19" t="s">
        <v>152</v>
      </c>
      <c r="B65" s="15" t="s">
        <v>8661</v>
      </c>
      <c r="C65" s="18" t="s">
        <v>7351</v>
      </c>
    </row>
    <row r="66" spans="1:3" ht="25.5">
      <c r="A66" s="19" t="s">
        <v>7796</v>
      </c>
      <c r="B66" s="17" t="s">
        <v>8662</v>
      </c>
      <c r="C66" s="153" t="s">
        <v>7351</v>
      </c>
    </row>
    <row r="67" spans="1:3" ht="25.5">
      <c r="A67" s="19" t="s">
        <v>7797</v>
      </c>
      <c r="B67" s="17" t="s">
        <v>132</v>
      </c>
      <c r="C67" s="153" t="s">
        <v>7351</v>
      </c>
    </row>
    <row r="68" spans="1:3">
      <c r="A68" s="2"/>
      <c r="B68" s="3"/>
      <c r="C68" s="4"/>
    </row>
    <row r="69" spans="1:3">
      <c r="A69" s="610" t="s">
        <v>7798</v>
      </c>
      <c r="B69" s="610"/>
      <c r="C69" s="198"/>
    </row>
    <row r="70" spans="1:3">
      <c r="A70" s="19" t="s">
        <v>64</v>
      </c>
      <c r="B70" s="15" t="s">
        <v>108</v>
      </c>
      <c r="C70" s="18" t="s">
        <v>7351</v>
      </c>
    </row>
    <row r="71" spans="1:3">
      <c r="A71" s="19" t="s">
        <v>65</v>
      </c>
      <c r="B71" s="15" t="s">
        <v>21</v>
      </c>
      <c r="C71" s="18" t="s">
        <v>7351</v>
      </c>
    </row>
    <row r="72" spans="1:3">
      <c r="A72" s="19" t="s">
        <v>66</v>
      </c>
      <c r="B72" s="15" t="s">
        <v>121</v>
      </c>
      <c r="C72" s="18" t="s">
        <v>7351</v>
      </c>
    </row>
    <row r="73" spans="1:3">
      <c r="A73" s="19" t="s">
        <v>67</v>
      </c>
      <c r="B73" s="15" t="s">
        <v>22</v>
      </c>
      <c r="C73" s="18" t="s">
        <v>7351</v>
      </c>
    </row>
    <row r="74" spans="1:3">
      <c r="A74" s="2"/>
      <c r="B74" s="3"/>
      <c r="C74" s="4"/>
    </row>
    <row r="75" spans="1:3">
      <c r="A75" s="610" t="s">
        <v>7799</v>
      </c>
      <c r="B75" s="610"/>
      <c r="C75" s="198"/>
    </row>
    <row r="76" spans="1:3">
      <c r="A76" s="19" t="s">
        <v>68</v>
      </c>
      <c r="B76" s="15" t="s">
        <v>9251</v>
      </c>
      <c r="C76" s="18" t="s">
        <v>7351</v>
      </c>
    </row>
    <row r="77" spans="1:3">
      <c r="A77" s="19" t="s">
        <v>69</v>
      </c>
      <c r="B77" s="15" t="s">
        <v>9253</v>
      </c>
      <c r="C77" s="18" t="s">
        <v>7351</v>
      </c>
    </row>
    <row r="78" spans="1:3">
      <c r="A78" s="19" t="s">
        <v>70</v>
      </c>
      <c r="B78" s="15" t="s">
        <v>24</v>
      </c>
      <c r="C78" s="18" t="s">
        <v>7351</v>
      </c>
    </row>
    <row r="79" spans="1:3" ht="25.5">
      <c r="A79" s="19" t="s">
        <v>71</v>
      </c>
      <c r="B79" s="15" t="s">
        <v>8664</v>
      </c>
      <c r="C79" s="18" t="s">
        <v>7351</v>
      </c>
    </row>
    <row r="80" spans="1:3">
      <c r="A80" s="19" t="s">
        <v>7800</v>
      </c>
      <c r="B80" s="15" t="s">
        <v>25</v>
      </c>
      <c r="C80" s="18" t="s">
        <v>7351</v>
      </c>
    </row>
    <row r="81" spans="1:3">
      <c r="A81" s="19" t="s">
        <v>7801</v>
      </c>
      <c r="B81" s="15" t="s">
        <v>169</v>
      </c>
      <c r="C81" s="18" t="s">
        <v>7351</v>
      </c>
    </row>
    <row r="82" spans="1:3">
      <c r="A82" s="19" t="s">
        <v>8663</v>
      </c>
      <c r="B82" s="205" t="s">
        <v>8665</v>
      </c>
      <c r="C82" s="18" t="s">
        <v>7351</v>
      </c>
    </row>
    <row r="83" spans="1:3">
      <c r="A83" s="2"/>
      <c r="B83" s="3"/>
      <c r="C83" s="4"/>
    </row>
    <row r="84" spans="1:3">
      <c r="A84" s="610" t="s">
        <v>7844</v>
      </c>
      <c r="B84" s="610"/>
      <c r="C84" s="198"/>
    </row>
    <row r="85" spans="1:3">
      <c r="A85" s="19" t="s">
        <v>72</v>
      </c>
      <c r="B85" s="15" t="s">
        <v>9342</v>
      </c>
      <c r="C85" s="18" t="s">
        <v>7351</v>
      </c>
    </row>
    <row r="86" spans="1:3">
      <c r="A86" s="19" t="s">
        <v>73</v>
      </c>
      <c r="B86" s="15" t="s">
        <v>8666</v>
      </c>
      <c r="C86" s="18" t="s">
        <v>7351</v>
      </c>
    </row>
    <row r="87" spans="1:3" ht="25.5">
      <c r="A87" s="19" t="s">
        <v>74</v>
      </c>
      <c r="B87" s="15" t="s">
        <v>9255</v>
      </c>
      <c r="C87" s="18" t="s">
        <v>7351</v>
      </c>
    </row>
    <row r="88" spans="1:3" ht="25.5">
      <c r="A88" s="19" t="s">
        <v>153</v>
      </c>
      <c r="B88" s="15" t="s">
        <v>9257</v>
      </c>
      <c r="C88" s="18" t="s">
        <v>7351</v>
      </c>
    </row>
    <row r="89" spans="1:3">
      <c r="A89" s="19" t="s">
        <v>154</v>
      </c>
      <c r="B89" s="15" t="s">
        <v>38</v>
      </c>
      <c r="C89" s="18" t="s">
        <v>7351</v>
      </c>
    </row>
    <row r="90" spans="1:3">
      <c r="A90" s="19" t="s">
        <v>9256</v>
      </c>
      <c r="B90" s="15" t="s">
        <v>146</v>
      </c>
      <c r="C90" s="18" t="s">
        <v>7351</v>
      </c>
    </row>
    <row r="91" spans="1:3" ht="25.5">
      <c r="A91" s="19" t="s">
        <v>73</v>
      </c>
      <c r="B91" s="15" t="s">
        <v>10973</v>
      </c>
      <c r="C91" s="18" t="s">
        <v>7351</v>
      </c>
    </row>
    <row r="92" spans="1:3">
      <c r="A92" s="2"/>
      <c r="B92" s="3"/>
      <c r="C92" s="4"/>
    </row>
    <row r="93" spans="1:3">
      <c r="A93" s="610" t="s">
        <v>7845</v>
      </c>
      <c r="B93" s="610"/>
      <c r="C93" s="198"/>
    </row>
    <row r="94" spans="1:3" ht="25.5">
      <c r="A94" s="19" t="s">
        <v>75</v>
      </c>
      <c r="B94" s="20" t="s">
        <v>122</v>
      </c>
      <c r="C94" s="18" t="s">
        <v>7351</v>
      </c>
    </row>
    <row r="95" spans="1:3">
      <c r="A95" s="19" t="s">
        <v>76</v>
      </c>
      <c r="B95" s="15" t="s">
        <v>145</v>
      </c>
      <c r="C95" s="18" t="s">
        <v>7351</v>
      </c>
    </row>
    <row r="96" spans="1:3">
      <c r="A96" s="19" t="s">
        <v>77</v>
      </c>
      <c r="B96" s="15" t="s">
        <v>9252</v>
      </c>
      <c r="C96" s="18" t="s">
        <v>7351</v>
      </c>
    </row>
    <row r="97" spans="1:3">
      <c r="A97" s="19" t="s">
        <v>138</v>
      </c>
      <c r="B97" s="15" t="s">
        <v>27</v>
      </c>
      <c r="C97" s="18" t="s">
        <v>7351</v>
      </c>
    </row>
    <row r="98" spans="1:3">
      <c r="A98" s="19" t="s">
        <v>163</v>
      </c>
      <c r="B98" s="15" t="s">
        <v>28</v>
      </c>
      <c r="C98" s="18" t="s">
        <v>7351</v>
      </c>
    </row>
    <row r="99" spans="1:3">
      <c r="A99" s="19" t="s">
        <v>7846</v>
      </c>
      <c r="B99" s="15" t="s">
        <v>29</v>
      </c>
      <c r="C99" s="18" t="s">
        <v>7351</v>
      </c>
    </row>
    <row r="100" spans="1:3">
      <c r="A100" s="19" t="s">
        <v>7847</v>
      </c>
      <c r="B100" s="15" t="s">
        <v>30</v>
      </c>
      <c r="C100" s="18" t="s">
        <v>7351</v>
      </c>
    </row>
    <row r="101" spans="1:3">
      <c r="A101" s="19" t="s">
        <v>7848</v>
      </c>
      <c r="B101" s="15" t="s">
        <v>117</v>
      </c>
      <c r="C101" s="18" t="s">
        <v>7351</v>
      </c>
    </row>
    <row r="102" spans="1:3">
      <c r="A102" s="19" t="s">
        <v>7849</v>
      </c>
      <c r="B102" s="15" t="s">
        <v>31</v>
      </c>
      <c r="C102" s="18" t="s">
        <v>7351</v>
      </c>
    </row>
    <row r="103" spans="1:3">
      <c r="A103" s="2"/>
      <c r="B103" s="5"/>
      <c r="C103" s="4"/>
    </row>
    <row r="104" spans="1:3">
      <c r="A104" s="610" t="s">
        <v>7850</v>
      </c>
      <c r="B104" s="610"/>
      <c r="C104" s="198"/>
    </row>
    <row r="105" spans="1:3">
      <c r="A105" s="14" t="s">
        <v>78</v>
      </c>
      <c r="B105" s="15" t="s">
        <v>32</v>
      </c>
      <c r="C105" s="18" t="s">
        <v>7351</v>
      </c>
    </row>
    <row r="106" spans="1:3" ht="25.5">
      <c r="A106" s="14" t="s">
        <v>79</v>
      </c>
      <c r="B106" s="15" t="s">
        <v>140</v>
      </c>
      <c r="C106" s="18" t="s">
        <v>7351</v>
      </c>
    </row>
    <row r="107" spans="1:3">
      <c r="A107" s="14"/>
      <c r="B107" s="15"/>
      <c r="C107" s="18"/>
    </row>
    <row r="108" spans="1:3">
      <c r="A108" s="610" t="s">
        <v>7851</v>
      </c>
      <c r="B108" s="610"/>
      <c r="C108" s="198"/>
    </row>
    <row r="109" spans="1:3">
      <c r="A109" s="14" t="s">
        <v>80</v>
      </c>
      <c r="B109" s="15" t="s">
        <v>8669</v>
      </c>
      <c r="C109" s="18" t="s">
        <v>7351</v>
      </c>
    </row>
    <row r="110" spans="1:3">
      <c r="A110" s="14" t="s">
        <v>81</v>
      </c>
      <c r="B110" s="15" t="s">
        <v>8667</v>
      </c>
      <c r="C110" s="18" t="s">
        <v>7351</v>
      </c>
    </row>
    <row r="111" spans="1:3">
      <c r="A111" s="14" t="s">
        <v>7802</v>
      </c>
      <c r="B111" s="15" t="s">
        <v>8670</v>
      </c>
      <c r="C111" s="18" t="s">
        <v>7351</v>
      </c>
    </row>
    <row r="112" spans="1:3">
      <c r="A112" s="14" t="s">
        <v>7803</v>
      </c>
      <c r="B112" s="15" t="s">
        <v>130</v>
      </c>
      <c r="C112" s="18" t="s">
        <v>7351</v>
      </c>
    </row>
    <row r="113" spans="1:3">
      <c r="A113" s="14" t="s">
        <v>7804</v>
      </c>
      <c r="B113" s="15" t="s">
        <v>33</v>
      </c>
      <c r="C113" s="18" t="s">
        <v>7351</v>
      </c>
    </row>
    <row r="114" spans="1:3" ht="15.75">
      <c r="A114" s="14" t="s">
        <v>7805</v>
      </c>
      <c r="B114" s="15" t="s">
        <v>9041</v>
      </c>
      <c r="C114" s="18" t="s">
        <v>7351</v>
      </c>
    </row>
    <row r="115" spans="1:3">
      <c r="A115" s="14" t="s">
        <v>7806</v>
      </c>
      <c r="B115" s="15" t="s">
        <v>8668</v>
      </c>
      <c r="C115" s="18" t="s">
        <v>7351</v>
      </c>
    </row>
    <row r="116" spans="1:3">
      <c r="A116" s="14" t="s">
        <v>7807</v>
      </c>
      <c r="B116" s="15" t="s">
        <v>123</v>
      </c>
      <c r="C116" s="18" t="s">
        <v>7351</v>
      </c>
    </row>
    <row r="117" spans="1:3">
      <c r="A117" s="14" t="s">
        <v>7808</v>
      </c>
      <c r="B117" s="15" t="s">
        <v>34</v>
      </c>
      <c r="C117" s="18" t="s">
        <v>7351</v>
      </c>
    </row>
    <row r="118" spans="1:3" ht="51">
      <c r="A118" s="14" t="s">
        <v>7852</v>
      </c>
      <c r="B118" s="15" t="s">
        <v>9054</v>
      </c>
      <c r="C118" s="18" t="s">
        <v>7351</v>
      </c>
    </row>
    <row r="119" spans="1:3">
      <c r="A119" s="2"/>
      <c r="B119" s="3"/>
      <c r="C119" s="4"/>
    </row>
    <row r="120" spans="1:3">
      <c r="A120" s="610" t="s">
        <v>7853</v>
      </c>
      <c r="B120" s="610"/>
      <c r="C120" s="198"/>
    </row>
    <row r="121" spans="1:3">
      <c r="A121" s="14" t="s">
        <v>82</v>
      </c>
      <c r="B121" s="15" t="s">
        <v>164</v>
      </c>
      <c r="C121" s="18" t="s">
        <v>7351</v>
      </c>
    </row>
    <row r="122" spans="1:3">
      <c r="A122" s="14" t="s">
        <v>83</v>
      </c>
      <c r="B122" s="15" t="s">
        <v>129</v>
      </c>
      <c r="C122" s="18" t="s">
        <v>7351</v>
      </c>
    </row>
    <row r="123" spans="1:3">
      <c r="A123" s="14" t="s">
        <v>155</v>
      </c>
      <c r="B123" s="15" t="s">
        <v>33</v>
      </c>
      <c r="C123" s="18" t="s">
        <v>7351</v>
      </c>
    </row>
    <row r="124" spans="1:3" ht="25.5">
      <c r="A124" s="14" t="s">
        <v>156</v>
      </c>
      <c r="B124" s="15" t="s">
        <v>9274</v>
      </c>
      <c r="C124" s="18" t="s">
        <v>7351</v>
      </c>
    </row>
    <row r="125" spans="1:3">
      <c r="A125" s="14" t="s">
        <v>157</v>
      </c>
      <c r="B125" s="15" t="s">
        <v>106</v>
      </c>
      <c r="C125" s="18" t="s">
        <v>7351</v>
      </c>
    </row>
    <row r="126" spans="1:3">
      <c r="A126" s="14" t="s">
        <v>158</v>
      </c>
      <c r="B126" s="15" t="s">
        <v>36</v>
      </c>
      <c r="C126" s="18" t="s">
        <v>7351</v>
      </c>
    </row>
    <row r="127" spans="1:3">
      <c r="A127" s="14" t="s">
        <v>159</v>
      </c>
      <c r="B127" s="15" t="s">
        <v>8674</v>
      </c>
      <c r="C127" s="18" t="s">
        <v>7351</v>
      </c>
    </row>
    <row r="128" spans="1:3">
      <c r="A128" s="14" t="s">
        <v>160</v>
      </c>
      <c r="B128" s="15" t="s">
        <v>8675</v>
      </c>
      <c r="C128" s="18" t="s">
        <v>7351</v>
      </c>
    </row>
    <row r="129" spans="1:3">
      <c r="A129" s="14" t="s">
        <v>161</v>
      </c>
      <c r="B129" s="15" t="s">
        <v>166</v>
      </c>
      <c r="C129" s="18" t="s">
        <v>7351</v>
      </c>
    </row>
    <row r="130" spans="1:3">
      <c r="A130" s="14" t="s">
        <v>162</v>
      </c>
      <c r="B130" s="15" t="s">
        <v>9055</v>
      </c>
      <c r="C130" s="18" t="s">
        <v>7351</v>
      </c>
    </row>
    <row r="131" spans="1:3">
      <c r="A131" s="14" t="s">
        <v>8671</v>
      </c>
      <c r="B131" s="15" t="s">
        <v>8676</v>
      </c>
      <c r="C131" s="18" t="s">
        <v>7351</v>
      </c>
    </row>
    <row r="132" spans="1:3">
      <c r="A132" s="14" t="s">
        <v>8672</v>
      </c>
      <c r="B132" s="15" t="s">
        <v>9254</v>
      </c>
      <c r="C132" s="18" t="s">
        <v>7351</v>
      </c>
    </row>
    <row r="133" spans="1:3">
      <c r="A133" s="14" t="s">
        <v>8673</v>
      </c>
      <c r="B133" s="15" t="s">
        <v>8677</v>
      </c>
      <c r="C133" s="18" t="s">
        <v>7351</v>
      </c>
    </row>
    <row r="134" spans="1:3">
      <c r="A134" s="2"/>
      <c r="B134" s="3"/>
      <c r="C134" s="4"/>
    </row>
    <row r="135" spans="1:3">
      <c r="A135" s="610" t="s">
        <v>7854</v>
      </c>
      <c r="B135" s="610"/>
      <c r="C135" s="198"/>
    </row>
    <row r="136" spans="1:3">
      <c r="A136" s="14" t="s">
        <v>84</v>
      </c>
      <c r="B136" s="15" t="s">
        <v>164</v>
      </c>
      <c r="C136" s="18" t="s">
        <v>7351</v>
      </c>
    </row>
    <row r="137" spans="1:3">
      <c r="A137" s="14" t="s">
        <v>85</v>
      </c>
      <c r="B137" s="15" t="s">
        <v>8681</v>
      </c>
      <c r="C137" s="18" t="s">
        <v>7351</v>
      </c>
    </row>
    <row r="138" spans="1:3">
      <c r="A138" s="14" t="s">
        <v>86</v>
      </c>
      <c r="B138" s="15" t="s">
        <v>128</v>
      </c>
      <c r="C138" s="18" t="s">
        <v>7351</v>
      </c>
    </row>
    <row r="139" spans="1:3">
      <c r="A139" s="14" t="s">
        <v>174</v>
      </c>
      <c r="B139" s="15" t="s">
        <v>33</v>
      </c>
      <c r="C139" s="18" t="s">
        <v>7351</v>
      </c>
    </row>
    <row r="140" spans="1:3" ht="25.5">
      <c r="A140" s="14" t="s">
        <v>175</v>
      </c>
      <c r="B140" s="15" t="s">
        <v>9274</v>
      </c>
      <c r="C140" s="18" t="s">
        <v>7351</v>
      </c>
    </row>
    <row r="141" spans="1:3">
      <c r="A141" s="14" t="s">
        <v>176</v>
      </c>
      <c r="B141" s="15" t="s">
        <v>106</v>
      </c>
      <c r="C141" s="18" t="s">
        <v>7351</v>
      </c>
    </row>
    <row r="142" spans="1:3">
      <c r="A142" s="14" t="s">
        <v>177</v>
      </c>
      <c r="B142" s="15" t="s">
        <v>36</v>
      </c>
      <c r="C142" s="18" t="s">
        <v>7351</v>
      </c>
    </row>
    <row r="143" spans="1:3">
      <c r="A143" s="14" t="s">
        <v>178</v>
      </c>
      <c r="B143" s="15" t="s">
        <v>8682</v>
      </c>
      <c r="C143" s="18" t="s">
        <v>7351</v>
      </c>
    </row>
    <row r="144" spans="1:3">
      <c r="A144" s="14" t="s">
        <v>179</v>
      </c>
      <c r="B144" s="15" t="s">
        <v>8675</v>
      </c>
      <c r="C144" s="18" t="s">
        <v>7351</v>
      </c>
    </row>
    <row r="145" spans="1:3">
      <c r="A145" s="14" t="s">
        <v>180</v>
      </c>
      <c r="B145" s="15" t="s">
        <v>9056</v>
      </c>
      <c r="C145" s="18" t="s">
        <v>7351</v>
      </c>
    </row>
    <row r="146" spans="1:3">
      <c r="A146" s="14" t="s">
        <v>8678</v>
      </c>
      <c r="B146" s="15" t="s">
        <v>8683</v>
      </c>
      <c r="C146" s="18" t="s">
        <v>7351</v>
      </c>
    </row>
    <row r="147" spans="1:3">
      <c r="A147" s="14" t="s">
        <v>8679</v>
      </c>
      <c r="B147" s="206" t="s">
        <v>9254</v>
      </c>
      <c r="C147" s="18" t="s">
        <v>7351</v>
      </c>
    </row>
    <row r="148" spans="1:3">
      <c r="A148" s="14" t="s">
        <v>8680</v>
      </c>
      <c r="B148" s="206" t="s">
        <v>8677</v>
      </c>
      <c r="C148" s="18" t="s">
        <v>7351</v>
      </c>
    </row>
    <row r="149" spans="1:3">
      <c r="A149" s="15"/>
      <c r="B149" s="15"/>
      <c r="C149" s="15"/>
    </row>
    <row r="150" spans="1:3">
      <c r="A150" s="610" t="s">
        <v>7855</v>
      </c>
      <c r="B150" s="610"/>
      <c r="C150" s="198"/>
    </row>
    <row r="151" spans="1:3">
      <c r="A151" s="14" t="s">
        <v>87</v>
      </c>
      <c r="B151" s="15" t="s">
        <v>166</v>
      </c>
      <c r="C151" s="18" t="s">
        <v>7351</v>
      </c>
    </row>
    <row r="152" spans="1:3">
      <c r="A152" s="14" t="s">
        <v>88</v>
      </c>
      <c r="B152" s="15" t="s">
        <v>8684</v>
      </c>
      <c r="C152" s="18" t="s">
        <v>7351</v>
      </c>
    </row>
    <row r="153" spans="1:3">
      <c r="A153" s="14"/>
      <c r="B153" s="15"/>
      <c r="C153" s="18"/>
    </row>
    <row r="154" spans="1:3">
      <c r="A154" s="610" t="s">
        <v>7856</v>
      </c>
      <c r="B154" s="610"/>
      <c r="C154" s="198"/>
    </row>
    <row r="155" spans="1:3">
      <c r="A155" s="14" t="s">
        <v>89</v>
      </c>
      <c r="B155" s="15" t="s">
        <v>35</v>
      </c>
      <c r="C155" s="18" t="s">
        <v>7351</v>
      </c>
    </row>
    <row r="156" spans="1:3">
      <c r="A156" s="14" t="s">
        <v>90</v>
      </c>
      <c r="B156" s="15" t="s">
        <v>8685</v>
      </c>
      <c r="C156" s="18" t="s">
        <v>7351</v>
      </c>
    </row>
    <row r="157" spans="1:3">
      <c r="A157" s="14" t="s">
        <v>7809</v>
      </c>
      <c r="B157" s="15" t="s">
        <v>123</v>
      </c>
      <c r="C157" s="18" t="s">
        <v>7351</v>
      </c>
    </row>
    <row r="158" spans="1:3">
      <c r="A158" s="14"/>
      <c r="B158" s="15"/>
      <c r="C158" s="18"/>
    </row>
    <row r="159" spans="1:3">
      <c r="A159" s="610" t="s">
        <v>7857</v>
      </c>
      <c r="B159" s="610"/>
      <c r="C159" s="198"/>
    </row>
    <row r="160" spans="1:3">
      <c r="A160" s="14" t="s">
        <v>91</v>
      </c>
      <c r="B160" s="15" t="s">
        <v>8686</v>
      </c>
      <c r="C160" s="18" t="s">
        <v>7351</v>
      </c>
    </row>
    <row r="161" spans="1:3">
      <c r="A161" s="14" t="s">
        <v>92</v>
      </c>
      <c r="B161" s="15" t="s">
        <v>8687</v>
      </c>
      <c r="C161" s="18" t="s">
        <v>7351</v>
      </c>
    </row>
    <row r="162" spans="1:3" ht="38.25">
      <c r="A162" s="14" t="s">
        <v>93</v>
      </c>
      <c r="B162" s="15" t="s">
        <v>9260</v>
      </c>
      <c r="C162" s="18" t="s">
        <v>7351</v>
      </c>
    </row>
    <row r="163" spans="1:3">
      <c r="A163" s="14" t="s">
        <v>7858</v>
      </c>
      <c r="B163" s="15" t="s">
        <v>9258</v>
      </c>
      <c r="C163" s="18" t="s">
        <v>7351</v>
      </c>
    </row>
    <row r="164" spans="1:3">
      <c r="A164" s="2"/>
      <c r="B164" s="3"/>
      <c r="C164" s="4"/>
    </row>
    <row r="165" spans="1:3">
      <c r="A165" s="610" t="s">
        <v>7859</v>
      </c>
      <c r="B165" s="610"/>
      <c r="C165" s="198"/>
    </row>
    <row r="166" spans="1:3">
      <c r="A166" s="14" t="s">
        <v>94</v>
      </c>
      <c r="B166" s="15" t="s">
        <v>7510</v>
      </c>
      <c r="C166" s="18" t="s">
        <v>7351</v>
      </c>
    </row>
    <row r="167" spans="1:3">
      <c r="A167" s="14" t="s">
        <v>95</v>
      </c>
      <c r="B167" s="15" t="s">
        <v>141</v>
      </c>
      <c r="C167" s="18" t="s">
        <v>7351</v>
      </c>
    </row>
    <row r="168" spans="1:3">
      <c r="A168" s="14" t="s">
        <v>96</v>
      </c>
      <c r="B168" s="15" t="s">
        <v>147</v>
      </c>
      <c r="C168" s="18" t="s">
        <v>7351</v>
      </c>
    </row>
    <row r="169" spans="1:3">
      <c r="A169" s="14" t="s">
        <v>97</v>
      </c>
      <c r="B169" s="15" t="s">
        <v>135</v>
      </c>
      <c r="C169" s="18" t="s">
        <v>7351</v>
      </c>
    </row>
    <row r="170" spans="1:3">
      <c r="A170" s="14" t="s">
        <v>7860</v>
      </c>
      <c r="B170" s="15" t="s">
        <v>10474</v>
      </c>
      <c r="C170" s="18" t="s">
        <v>7351</v>
      </c>
    </row>
    <row r="171" spans="1:3">
      <c r="A171" s="14" t="s">
        <v>7861</v>
      </c>
      <c r="B171" s="15" t="s">
        <v>39</v>
      </c>
      <c r="C171" s="18" t="s">
        <v>7351</v>
      </c>
    </row>
    <row r="172" spans="1:3">
      <c r="A172" s="14" t="s">
        <v>7862</v>
      </c>
      <c r="B172" s="15" t="s">
        <v>40</v>
      </c>
      <c r="C172" s="18" t="s">
        <v>7351</v>
      </c>
    </row>
    <row r="173" spans="1:3">
      <c r="A173" s="14" t="s">
        <v>7863</v>
      </c>
      <c r="B173" s="15" t="s">
        <v>16</v>
      </c>
      <c r="C173" s="18" t="s">
        <v>7351</v>
      </c>
    </row>
    <row r="174" spans="1:3">
      <c r="A174" s="14"/>
      <c r="B174" s="15"/>
      <c r="C174" s="18"/>
    </row>
    <row r="175" spans="1:3">
      <c r="A175" s="610" t="s">
        <v>7864</v>
      </c>
      <c r="B175" s="610"/>
      <c r="C175" s="198"/>
    </row>
    <row r="176" spans="1:3">
      <c r="A176" s="14" t="s">
        <v>98</v>
      </c>
      <c r="B176" s="9" t="str">
        <f>_xlfn.CONCAT('KBC - Pricing Sheet'!A23:L23)</f>
        <v/>
      </c>
      <c r="C176" s="24" t="s">
        <v>7350</v>
      </c>
    </row>
    <row r="177" spans="1:3">
      <c r="A177" s="14" t="s">
        <v>99</v>
      </c>
      <c r="B177" s="9" t="str">
        <f>_xlfn.CONCAT('KBC - Pricing Sheet'!A24:L24)</f>
        <v/>
      </c>
      <c r="C177" s="24" t="s">
        <v>7350</v>
      </c>
    </row>
    <row r="178" spans="1:3">
      <c r="A178" s="14" t="s">
        <v>181</v>
      </c>
      <c r="B178" s="9" t="str">
        <f>_xlfn.CONCAT('KBC - Pricing Sheet'!A25:L25)</f>
        <v/>
      </c>
      <c r="C178" s="24" t="s">
        <v>7350</v>
      </c>
    </row>
    <row r="179" spans="1:3">
      <c r="A179" s="14" t="s">
        <v>182</v>
      </c>
      <c r="B179" s="9" t="str">
        <f>_xlfn.CONCAT('KBC - Pricing Sheet'!A26:L26)</f>
        <v/>
      </c>
      <c r="C179" s="24" t="s">
        <v>7350</v>
      </c>
    </row>
    <row r="180" spans="1:3">
      <c r="A180" s="14" t="s">
        <v>183</v>
      </c>
      <c r="B180" s="9" t="str">
        <f>_xlfn.CONCAT('KBC - Pricing Sheet'!A27:L27)</f>
        <v/>
      </c>
      <c r="C180" s="24" t="s">
        <v>7350</v>
      </c>
    </row>
    <row r="181" spans="1:3">
      <c r="A181" s="14" t="s">
        <v>184</v>
      </c>
      <c r="B181" s="9" t="str">
        <f>_xlfn.CONCAT('KBC - Pricing Sheet'!A28:L28)</f>
        <v/>
      </c>
      <c r="C181" s="24" t="s">
        <v>7350</v>
      </c>
    </row>
    <row r="182" spans="1:3">
      <c r="A182" s="14" t="s">
        <v>185</v>
      </c>
      <c r="B182" s="9" t="str">
        <f>_xlfn.CONCAT('KBC - Pricing Sheet'!A29:L29)</f>
        <v/>
      </c>
      <c r="C182" s="24" t="s">
        <v>7350</v>
      </c>
    </row>
    <row r="183" spans="1:3">
      <c r="A183" s="14" t="s">
        <v>186</v>
      </c>
      <c r="B183" s="9" t="str">
        <f>_xlfn.CONCAT('KBC - Pricing Sheet'!A30:L30)</f>
        <v/>
      </c>
      <c r="C183" s="24" t="s">
        <v>7350</v>
      </c>
    </row>
    <row r="184" spans="1:3">
      <c r="A184" s="14" t="s">
        <v>7865</v>
      </c>
      <c r="B184" s="9" t="str">
        <f>_xlfn.CONCAT('KBC - Pricing Sheet'!A31:L31)</f>
        <v/>
      </c>
      <c r="C184" s="24" t="s">
        <v>7350</v>
      </c>
    </row>
    <row r="185" spans="1:3">
      <c r="A185" s="14" t="s">
        <v>7866</v>
      </c>
      <c r="B185" s="9" t="str">
        <f>_xlfn.CONCAT('KBC - Pricing Sheet'!A32:L32)</f>
        <v/>
      </c>
      <c r="C185" s="24" t="s">
        <v>7350</v>
      </c>
    </row>
    <row r="186" spans="1:3">
      <c r="A186" s="14" t="s">
        <v>7867</v>
      </c>
      <c r="B186" s="9" t="str">
        <f>_xlfn.CONCAT('KBC - Pricing Sheet'!A33:L33)</f>
        <v/>
      </c>
      <c r="C186" s="24" t="s">
        <v>7350</v>
      </c>
    </row>
    <row r="187" spans="1:3">
      <c r="A187" s="14" t="s">
        <v>7868</v>
      </c>
      <c r="B187" s="9" t="str">
        <f>_xlfn.CONCAT('KBC - Pricing Sheet'!A34:L34)</f>
        <v/>
      </c>
      <c r="C187" s="24" t="s">
        <v>7350</v>
      </c>
    </row>
    <row r="188" spans="1:3">
      <c r="A188" s="14" t="s">
        <v>7869</v>
      </c>
      <c r="B188" s="9" t="str">
        <f>_xlfn.CONCAT('KBC - Pricing Sheet'!A35:L35)</f>
        <v/>
      </c>
      <c r="C188" s="24" t="s">
        <v>7350</v>
      </c>
    </row>
    <row r="189" spans="1:3">
      <c r="A189" s="14" t="s">
        <v>7870</v>
      </c>
      <c r="B189" s="9" t="str">
        <f>_xlfn.CONCAT('KBC - Pricing Sheet'!A36:L36)</f>
        <v/>
      </c>
      <c r="C189" s="24" t="s">
        <v>7350</v>
      </c>
    </row>
    <row r="190" spans="1:3">
      <c r="A190" s="14" t="s">
        <v>7871</v>
      </c>
      <c r="B190" s="9" t="str">
        <f>_xlfn.CONCAT('KBC - Pricing Sheet'!A37:L37)</f>
        <v/>
      </c>
      <c r="C190" s="24" t="s">
        <v>7350</v>
      </c>
    </row>
    <row r="191" spans="1:3">
      <c r="A191" s="14" t="s">
        <v>7872</v>
      </c>
      <c r="B191" s="9" t="str">
        <f>_xlfn.CONCAT('KBC - Pricing Sheet'!A38:L38)</f>
        <v/>
      </c>
      <c r="C191" s="24" t="s">
        <v>7350</v>
      </c>
    </row>
    <row r="192" spans="1:3">
      <c r="A192" s="14" t="s">
        <v>7873</v>
      </c>
      <c r="B192" s="9" t="str">
        <f>_xlfn.CONCAT('KBC - Pricing Sheet'!A39:L39)</f>
        <v/>
      </c>
      <c r="C192" s="24" t="s">
        <v>7350</v>
      </c>
    </row>
    <row r="193" spans="1:3">
      <c r="A193" s="14" t="s">
        <v>7874</v>
      </c>
      <c r="B193" s="9" t="str">
        <f>_xlfn.CONCAT('KBC - Pricing Sheet'!A40:L40)</f>
        <v/>
      </c>
      <c r="C193" s="24" t="s">
        <v>7350</v>
      </c>
    </row>
    <row r="194" spans="1:3">
      <c r="A194" s="14" t="s">
        <v>7875</v>
      </c>
      <c r="B194" s="9" t="str">
        <f>_xlfn.CONCAT('KBC - Pricing Sheet'!A41:L41)</f>
        <v/>
      </c>
      <c r="C194" s="24" t="s">
        <v>7350</v>
      </c>
    </row>
    <row r="195" spans="1:3">
      <c r="A195" s="14" t="s">
        <v>7876</v>
      </c>
      <c r="B195" s="9" t="str">
        <f>_xlfn.CONCAT('KBC - Pricing Sheet'!A42:L42)</f>
        <v/>
      </c>
      <c r="C195" s="24" t="s">
        <v>7350</v>
      </c>
    </row>
    <row r="196" spans="1:3">
      <c r="A196" s="14" t="s">
        <v>7877</v>
      </c>
      <c r="B196" s="9" t="str">
        <f>_xlfn.CONCAT('KBC - Pricing Sheet'!A43:L43)</f>
        <v/>
      </c>
      <c r="C196" s="24" t="s">
        <v>7350</v>
      </c>
    </row>
    <row r="197" spans="1:3">
      <c r="A197" s="14" t="s">
        <v>7878</v>
      </c>
      <c r="B197" s="9" t="str">
        <f>_xlfn.CONCAT('KBC - Pricing Sheet'!A44:L44)</f>
        <v/>
      </c>
      <c r="C197" s="24" t="s">
        <v>7350</v>
      </c>
    </row>
    <row r="198" spans="1:3">
      <c r="A198" s="14" t="s">
        <v>7879</v>
      </c>
      <c r="B198" s="9" t="str">
        <f>_xlfn.CONCAT('KBC - Pricing Sheet'!A45:L45)</f>
        <v/>
      </c>
      <c r="C198" s="24" t="s">
        <v>7350</v>
      </c>
    </row>
    <row r="199" spans="1:3">
      <c r="A199" s="14" t="s">
        <v>7880</v>
      </c>
      <c r="B199" s="9" t="str">
        <f>_xlfn.CONCAT('KBC - Pricing Sheet'!A46:L46)</f>
        <v/>
      </c>
      <c r="C199" s="24" t="s">
        <v>7350</v>
      </c>
    </row>
    <row r="200" spans="1:3">
      <c r="A200" s="14" t="s">
        <v>7881</v>
      </c>
      <c r="B200" s="9" t="str">
        <f>_xlfn.CONCAT('KBC - Pricing Sheet'!A47:L47)</f>
        <v/>
      </c>
      <c r="C200" s="24" t="s">
        <v>7350</v>
      </c>
    </row>
    <row r="201" spans="1:3">
      <c r="A201" s="14" t="s">
        <v>7882</v>
      </c>
      <c r="B201" s="9" t="str">
        <f>_xlfn.CONCAT('KBC - Pricing Sheet'!A48:L48)</f>
        <v/>
      </c>
      <c r="C201" s="24" t="s">
        <v>7350</v>
      </c>
    </row>
    <row r="202" spans="1:3">
      <c r="A202" s="14" t="s">
        <v>7883</v>
      </c>
      <c r="B202" s="9" t="str">
        <f>_xlfn.CONCAT('KBC - Pricing Sheet'!A49:L49)</f>
        <v/>
      </c>
      <c r="C202" s="24" t="s">
        <v>7350</v>
      </c>
    </row>
    <row r="203" spans="1:3">
      <c r="A203" s="14"/>
      <c r="B203" s="15"/>
      <c r="C203" s="18"/>
    </row>
    <row r="204" spans="1:3">
      <c r="A204" s="611" t="str">
        <f>"20 - "&amp;UPPER('KBC - Pricing Sheet'!O37)&amp;IF('KBC - Pricing Sheet'!S37=" (refer to sketch dated: ##/##/#### )","",'KBC - Pricing Sheet'!S37)</f>
        <v>20 - STRUCTURAL HOUSE MODIFICATIONS</v>
      </c>
      <c r="B204" s="611"/>
      <c r="C204" s="198"/>
    </row>
    <row r="205" spans="1:3">
      <c r="A205" s="14" t="s">
        <v>100</v>
      </c>
      <c r="B205" s="9" t="str">
        <f>_xlfn.CONCAT('KBC - Pricing Sheet'!O39:X39)</f>
        <v/>
      </c>
      <c r="C205" s="24" t="s">
        <v>7350</v>
      </c>
    </row>
    <row r="206" spans="1:3">
      <c r="A206" s="14" t="s">
        <v>101</v>
      </c>
      <c r="B206" s="9" t="str">
        <f>_xlfn.CONCAT('KBC - Pricing Sheet'!O40:X40)</f>
        <v/>
      </c>
      <c r="C206" s="24" t="s">
        <v>7350</v>
      </c>
    </row>
    <row r="207" spans="1:3">
      <c r="A207" s="14" t="s">
        <v>187</v>
      </c>
      <c r="B207" s="9" t="str">
        <f>_xlfn.CONCAT('KBC - Pricing Sheet'!O41:X41)</f>
        <v/>
      </c>
      <c r="C207" s="24" t="s">
        <v>7350</v>
      </c>
    </row>
    <row r="208" spans="1:3">
      <c r="A208" s="14" t="s">
        <v>188</v>
      </c>
      <c r="B208" s="9" t="str">
        <f>_xlfn.CONCAT('KBC - Pricing Sheet'!O42:X42)</f>
        <v/>
      </c>
      <c r="C208" s="24" t="s">
        <v>7350</v>
      </c>
    </row>
    <row r="209" spans="1:3">
      <c r="A209" s="14" t="s">
        <v>189</v>
      </c>
      <c r="B209" s="9" t="str">
        <f>_xlfn.CONCAT('KBC - Pricing Sheet'!O43:X43)</f>
        <v/>
      </c>
      <c r="C209" s="24" t="s">
        <v>7350</v>
      </c>
    </row>
    <row r="210" spans="1:3">
      <c r="A210" s="14" t="s">
        <v>190</v>
      </c>
      <c r="B210" s="9" t="str">
        <f>_xlfn.CONCAT('KBC - Pricing Sheet'!O44:X44)</f>
        <v/>
      </c>
      <c r="C210" s="24" t="s">
        <v>7350</v>
      </c>
    </row>
    <row r="211" spans="1:3">
      <c r="A211" s="14" t="s">
        <v>191</v>
      </c>
      <c r="B211" s="9" t="str">
        <f>_xlfn.CONCAT('KBC - Pricing Sheet'!O45:X45)</f>
        <v/>
      </c>
      <c r="C211" s="24" t="s">
        <v>7350</v>
      </c>
    </row>
    <row r="212" spans="1:3">
      <c r="A212" s="14" t="s">
        <v>192</v>
      </c>
      <c r="B212" s="9" t="str">
        <f>_xlfn.CONCAT('KBC - Pricing Sheet'!O46:X46)</f>
        <v/>
      </c>
      <c r="C212" s="24" t="s">
        <v>7350</v>
      </c>
    </row>
    <row r="213" spans="1:3">
      <c r="A213" s="14" t="s">
        <v>193</v>
      </c>
      <c r="B213" s="9" t="str">
        <f>_xlfn.CONCAT('KBC - Pricing Sheet'!O47:X47)</f>
        <v/>
      </c>
      <c r="C213" s="24" t="s">
        <v>7350</v>
      </c>
    </row>
    <row r="214" spans="1:3">
      <c r="A214" s="14" t="s">
        <v>7330</v>
      </c>
      <c r="B214" s="9" t="str">
        <f>_xlfn.CONCAT('KBC - Pricing Sheet'!O48:X48)</f>
        <v/>
      </c>
      <c r="C214" s="24" t="s">
        <v>7350</v>
      </c>
    </row>
    <row r="215" spans="1:3">
      <c r="A215" s="14" t="s">
        <v>8551</v>
      </c>
      <c r="B215" s="9" t="str">
        <f>_xlfn.CONCAT('KBC - Pricing Sheet'!O49:X49)</f>
        <v/>
      </c>
      <c r="C215" s="24" t="s">
        <v>7350</v>
      </c>
    </row>
    <row r="216" spans="1:3">
      <c r="A216" s="14"/>
      <c r="B216" s="9"/>
      <c r="C216" s="18"/>
    </row>
    <row r="217" spans="1:3">
      <c r="A217" s="610" t="s">
        <v>7884</v>
      </c>
      <c r="B217" s="610"/>
      <c r="C217" s="199"/>
    </row>
    <row r="218" spans="1:3">
      <c r="A218" s="14" t="s">
        <v>7321</v>
      </c>
      <c r="B218" s="9" t="str">
        <f>_xlfn.CONCAT('KBC - Pricing Sheet'!O23:X23)</f>
        <v/>
      </c>
      <c r="C218" s="24" t="s">
        <v>7350</v>
      </c>
    </row>
    <row r="219" spans="1:3">
      <c r="A219" s="14" t="s">
        <v>7322</v>
      </c>
      <c r="B219" s="9" t="str">
        <f>_xlfn.CONCAT('KBC - Pricing Sheet'!O24:X24)</f>
        <v/>
      </c>
      <c r="C219" s="24" t="s">
        <v>7350</v>
      </c>
    </row>
    <row r="220" spans="1:3">
      <c r="A220" s="14" t="s">
        <v>7323</v>
      </c>
      <c r="B220" s="9" t="str">
        <f>_xlfn.CONCAT('KBC - Pricing Sheet'!O25:X25)</f>
        <v/>
      </c>
      <c r="C220" s="24" t="s">
        <v>7350</v>
      </c>
    </row>
    <row r="221" spans="1:3">
      <c r="A221" s="14" t="s">
        <v>7324</v>
      </c>
      <c r="B221" s="9" t="str">
        <f>_xlfn.CONCAT('KBC - Pricing Sheet'!O26:X26)</f>
        <v/>
      </c>
      <c r="C221" s="24" t="s">
        <v>7350</v>
      </c>
    </row>
    <row r="222" spans="1:3">
      <c r="A222" s="14" t="s">
        <v>7325</v>
      </c>
      <c r="B222" s="9" t="str">
        <f>_xlfn.CONCAT('KBC - Pricing Sheet'!O27:X27)</f>
        <v/>
      </c>
      <c r="C222" s="24" t="s">
        <v>7350</v>
      </c>
    </row>
    <row r="223" spans="1:3">
      <c r="A223" s="14" t="s">
        <v>7326</v>
      </c>
      <c r="B223" s="9" t="str">
        <f>_xlfn.CONCAT('KBC - Pricing Sheet'!O28:X28)</f>
        <v/>
      </c>
      <c r="C223" s="24" t="s">
        <v>7350</v>
      </c>
    </row>
    <row r="224" spans="1:3">
      <c r="A224" s="14" t="s">
        <v>7327</v>
      </c>
      <c r="B224" s="9" t="str">
        <f>_xlfn.CONCAT('KBC - Pricing Sheet'!O29:X29)</f>
        <v/>
      </c>
      <c r="C224" s="24" t="s">
        <v>7350</v>
      </c>
    </row>
    <row r="225" spans="1:3">
      <c r="A225" s="14" t="s">
        <v>7328</v>
      </c>
      <c r="B225" s="9" t="str">
        <f>_xlfn.CONCAT('KBC - Pricing Sheet'!O30:X30)</f>
        <v/>
      </c>
      <c r="C225" s="24" t="s">
        <v>7350</v>
      </c>
    </row>
    <row r="226" spans="1:3">
      <c r="A226" s="14" t="s">
        <v>7329</v>
      </c>
      <c r="B226" s="9" t="str">
        <f>_xlfn.CONCAT('KBC - Pricing Sheet'!O31:X31)</f>
        <v/>
      </c>
      <c r="C226" s="24" t="s">
        <v>7350</v>
      </c>
    </row>
    <row r="227" spans="1:3">
      <c r="A227" s="14" t="s">
        <v>7331</v>
      </c>
      <c r="B227" s="9" t="str">
        <f>_xlfn.CONCAT('KBC - Pricing Sheet'!O32:X32)</f>
        <v/>
      </c>
      <c r="C227" s="24" t="s">
        <v>7350</v>
      </c>
    </row>
    <row r="228" spans="1:3">
      <c r="A228" s="14" t="s">
        <v>7812</v>
      </c>
      <c r="B228" s="9" t="str">
        <f>_xlfn.CONCAT('KBC - Pricing Sheet'!O33:X33)</f>
        <v/>
      </c>
      <c r="C228" s="24" t="s">
        <v>7350</v>
      </c>
    </row>
    <row r="229" spans="1:3">
      <c r="A229" s="14" t="s">
        <v>7813</v>
      </c>
      <c r="B229" s="9" t="str">
        <f>_xlfn.CONCAT('KBC - Pricing Sheet'!O34:X34)</f>
        <v/>
      </c>
      <c r="C229" s="24" t="s">
        <v>7350</v>
      </c>
    </row>
    <row r="230" spans="1:3">
      <c r="A230" s="14" t="s">
        <v>7814</v>
      </c>
      <c r="B230" s="9" t="str">
        <f>_xlfn.CONCAT('KBC - Pricing Sheet'!O35:X35)</f>
        <v/>
      </c>
      <c r="C230" s="24" t="s">
        <v>7350</v>
      </c>
    </row>
    <row r="231" spans="1:3">
      <c r="A231" s="14"/>
      <c r="B231" s="15"/>
      <c r="C231" s="18"/>
    </row>
    <row r="232" spans="1:3">
      <c r="A232" s="610" t="s">
        <v>7885</v>
      </c>
      <c r="B232" s="610"/>
      <c r="C232" s="198"/>
    </row>
    <row r="233" spans="1:3">
      <c r="A233" s="14" t="s">
        <v>7332</v>
      </c>
      <c r="B233" s="15" t="s">
        <v>41</v>
      </c>
      <c r="C233" s="18" t="s">
        <v>7351</v>
      </c>
    </row>
    <row r="234" spans="1:3">
      <c r="A234" s="14" t="s">
        <v>7333</v>
      </c>
      <c r="B234" s="15" t="s">
        <v>42</v>
      </c>
      <c r="C234" s="18" t="s">
        <v>7351</v>
      </c>
    </row>
    <row r="235" spans="1:3">
      <c r="A235" s="14" t="s">
        <v>7334</v>
      </c>
      <c r="B235" s="15" t="s">
        <v>43</v>
      </c>
      <c r="C235" s="18" t="s">
        <v>7351</v>
      </c>
    </row>
    <row r="236" spans="1:3">
      <c r="A236" s="14" t="s">
        <v>7335</v>
      </c>
      <c r="B236" s="15" t="s">
        <v>124</v>
      </c>
      <c r="C236" s="18" t="s">
        <v>7351</v>
      </c>
    </row>
    <row r="237" spans="1:3">
      <c r="A237" s="14" t="s">
        <v>7336</v>
      </c>
      <c r="B237" s="15" t="s">
        <v>44</v>
      </c>
      <c r="C237" s="18" t="s">
        <v>7351</v>
      </c>
    </row>
    <row r="238" spans="1:3">
      <c r="A238" s="14" t="s">
        <v>7337</v>
      </c>
      <c r="B238" s="15" t="s">
        <v>45</v>
      </c>
      <c r="C238" s="18" t="s">
        <v>7351</v>
      </c>
    </row>
    <row r="239" spans="1:3">
      <c r="A239" s="14" t="s">
        <v>7338</v>
      </c>
      <c r="B239" s="15" t="s">
        <v>46</v>
      </c>
      <c r="C239" s="18" t="s">
        <v>7351</v>
      </c>
    </row>
    <row r="240" spans="1:3">
      <c r="A240" s="14" t="s">
        <v>7339</v>
      </c>
      <c r="B240" s="205" t="s">
        <v>8688</v>
      </c>
      <c r="C240" s="18" t="s">
        <v>7351</v>
      </c>
    </row>
    <row r="241" spans="1:20" ht="90.75" customHeight="1">
      <c r="A241" s="14" t="s">
        <v>7340</v>
      </c>
      <c r="B241" s="205" t="s">
        <v>10795</v>
      </c>
      <c r="C241" s="18" t="s">
        <v>7351</v>
      </c>
    </row>
    <row r="242" spans="1:20">
      <c r="A242" s="2"/>
      <c r="B242" s="3"/>
      <c r="C242" s="4"/>
    </row>
    <row r="243" spans="1:20">
      <c r="A243" s="45" t="s">
        <v>48</v>
      </c>
      <c r="B243" s="12"/>
      <c r="C243" s="13"/>
    </row>
    <row r="244" spans="1:20" ht="14.85" customHeight="1">
      <c r="A244" s="603" t="s">
        <v>125</v>
      </c>
      <c r="B244" s="603"/>
      <c r="C244" s="603"/>
      <c r="T244" s="167" t="str">
        <f>A244</f>
        <v>The builder has the right to substitute or change any of the above items without notice or notification.</v>
      </c>
    </row>
    <row r="245" spans="1:20" ht="43.5" customHeight="1">
      <c r="A245" s="602" t="s">
        <v>7913</v>
      </c>
      <c r="B245" s="602"/>
      <c r="C245" s="602"/>
      <c r="T245" s="167" t="str">
        <f>A245</f>
        <v>I / We understand that it is the policy of Hermitage Building Group Pty Ltd (ABN: 79 150 694 572) not to enter into verbal agreements, therefore I / we agree that our special requirements are to be written down and form part of our final building documentation.</v>
      </c>
    </row>
    <row r="246" spans="1:20">
      <c r="A246" s="10"/>
      <c r="B246" s="11"/>
      <c r="C246" s="23"/>
    </row>
    <row r="247" spans="1:20">
      <c r="A247" s="2"/>
      <c r="B247" s="3"/>
      <c r="C247" s="4"/>
    </row>
    <row r="248" spans="1:20">
      <c r="A248" s="2"/>
      <c r="B248" s="24" t="s">
        <v>104</v>
      </c>
      <c r="C248" s="80" t="str" cm="1">
        <f t="array" ref="C248">IFERROR(_xlfn.IFS(_xlfn.CONCAT(B18,B22)=_xlfn.CONCAT('KBC - Pricing Sheet'!K10,'KBC - Pricing Sheet'!M10),'KBC - Pricing Sheet'!W10,
_xlfn.CONCAT(B18,B22)=_xlfn.CONCAT('KBC - Pricing Sheet'!K11,'KBC - Pricing Sheet'!M11),'KBC - Pricing Sheet'!W11,
_xlfn.CONCAT(B18,B22)=_xlfn.CONCAT('KBC - Pricing Sheet'!K12,'KBC - Pricing Sheet'!M12),'KBC - Pricing Sheet'!W12,
_xlfn.CONCAT(B18,B22)=_xlfn.CONCAT('KBC - Pricing Sheet'!K13,'KBC - Pricing Sheet'!M13),'KBC - Pricing Sheet'!W13,
_xlfn.CONCAT(B18,B22)=_xlfn.CONCAT('KBC - Pricing Sheet'!K14,'KBC - Pricing Sheet'!M14),'KBC - Pricing Sheet'!W14,
_xlfn.CONCAT(B18,B22)=_xlfn.CONCAT('KBC - Pricing Sheet'!K15,'KBC - Pricing Sheet'!M15),'KBC - Pricing Sheet'!W15,
_xlfn.CONCAT(B18,B22)=_xlfn.CONCAT('KBC - Pricing Sheet'!K16,'KBC - Pricing Sheet'!M16),'KBC - Pricing Sheet'!W16,
_xlfn.CONCAT(B18,B22)=_xlfn.CONCAT('KBC - Pricing Sheet'!K17,'KBC - Pricing Sheet'!M17),'KBC - Pricing Sheet'!W17,
_xlfn.CONCAT(B18,B22)=_xlfn.CONCAT('KBC - Pricing Sheet'!K18,'KBC - Pricing Sheet'!M18),'KBC - Pricing Sheet'!W18,
_xlfn.CONCAT(B18,B22)=_xlfn.CONCAT('KBC - Pricing Sheet'!K19,'KBC - Pricing Sheet'!M19),'KBC - Pricing Sheet'!W19),"")</f>
        <v/>
      </c>
    </row>
    <row r="249" spans="1:20">
      <c r="A249" s="25" t="s">
        <v>49</v>
      </c>
      <c r="B249" s="11"/>
      <c r="C249" s="1"/>
    </row>
    <row r="250" spans="1:20">
      <c r="A250" s="2"/>
      <c r="B250" s="3"/>
      <c r="C250" s="1"/>
    </row>
    <row r="251" spans="1:20">
      <c r="A251" s="2"/>
      <c r="B251" s="15" t="s">
        <v>50</v>
      </c>
      <c r="C251" s="26"/>
    </row>
    <row r="252" spans="1:20">
      <c r="A252" s="2"/>
      <c r="B252" s="3"/>
      <c r="C252" s="1"/>
    </row>
    <row r="253" spans="1:20">
      <c r="A253" s="2"/>
      <c r="B253" s="3"/>
      <c r="C253" s="1"/>
    </row>
    <row r="254" spans="1:20">
      <c r="A254" s="27" t="s">
        <v>167</v>
      </c>
      <c r="B254" s="3"/>
      <c r="C254" s="1"/>
    </row>
    <row r="255" spans="1:20">
      <c r="A255" s="2"/>
      <c r="B255" s="3"/>
      <c r="C255" s="1"/>
    </row>
    <row r="256" spans="1:20">
      <c r="A256" s="2"/>
      <c r="B256" s="3"/>
      <c r="C256" s="1"/>
    </row>
    <row r="257" spans="1:3">
      <c r="A257" s="27" t="s">
        <v>168</v>
      </c>
      <c r="B257" s="3"/>
      <c r="C257" s="1"/>
    </row>
    <row r="258" spans="1:3">
      <c r="A258" s="2"/>
      <c r="B258" s="3"/>
      <c r="C258" s="1"/>
    </row>
    <row r="259" spans="1:3">
      <c r="A259" s="2"/>
      <c r="B259" s="3"/>
      <c r="C259" s="1"/>
    </row>
    <row r="260" spans="1:3">
      <c r="A260" s="27" t="s">
        <v>168</v>
      </c>
      <c r="B260" s="3"/>
      <c r="C260" s="1"/>
    </row>
    <row r="261" spans="1:3">
      <c r="A261" s="2"/>
      <c r="B261" s="3"/>
      <c r="C261" s="1"/>
    </row>
  </sheetData>
  <sheetProtection algorithmName="SHA-512" hashValue="0U5DG7of6e6A7AuNhSrgNSkjeRs5/7I3tlW1A2Wv3/Aoa/ZZXDcmA19wdKoJ8wETeCegNrbN2h5AEcbbg95vXg==" saltValue="CYFNjyK1AWEQ5fYZLnfbRw==" spinCount="100000" sheet="1" objects="1" scenarios="1" formatRows="0" insertRows="0" deleteRows="0"/>
  <mergeCells count="27">
    <mergeCell ref="A232:B232"/>
    <mergeCell ref="A244:C244"/>
    <mergeCell ref="A245:C245"/>
    <mergeCell ref="A154:B154"/>
    <mergeCell ref="A159:B159"/>
    <mergeCell ref="A165:B165"/>
    <mergeCell ref="A175:B175"/>
    <mergeCell ref="A204:B204"/>
    <mergeCell ref="A217:B217"/>
    <mergeCell ref="A150:B150"/>
    <mergeCell ref="A28:B28"/>
    <mergeCell ref="A39:B39"/>
    <mergeCell ref="A53:B53"/>
    <mergeCell ref="A69:B69"/>
    <mergeCell ref="A75:B75"/>
    <mergeCell ref="A84:B84"/>
    <mergeCell ref="A93:B93"/>
    <mergeCell ref="A104:B104"/>
    <mergeCell ref="A108:B108"/>
    <mergeCell ref="A120:B120"/>
    <mergeCell ref="A135:B135"/>
    <mergeCell ref="A25:B25"/>
    <mergeCell ref="A3:B3"/>
    <mergeCell ref="A10:B10"/>
    <mergeCell ref="A15:B15"/>
    <mergeCell ref="A17:B17"/>
    <mergeCell ref="A21:B21"/>
  </mergeCells>
  <phoneticPr fontId="2" type="noConversion"/>
  <printOptions horizontalCentered="1"/>
  <pageMargins left="0.51181102362204722" right="0.51181102362204722" top="0.74803149606299213" bottom="0.70833333333333337"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4" manualBreakCount="4">
    <brk id="74" max="2" man="1"/>
    <brk id="119" max="2" man="1"/>
    <brk id="174" max="2" man="1"/>
    <brk id="231" max="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02D503E-1D87-4FE3-822D-6C53403361BC}">
          <x14:formula1>
            <xm:f>'KBC - Houses'!$Z$26:$Z$27</xm:f>
          </x14:formula1>
          <xm:sqref>B18</xm:sqref>
        </x14:dataValidation>
        <x14:dataValidation type="list" allowBlank="1" showInputMessage="1" showErrorMessage="1" xr:uid="{0EEE9740-5B36-49DB-B989-2A2DF9365CDB}">
          <x14:formula1>
            <xm:f>_xlfn.ANCHORARRAY('KBC - Houses'!$U$4)</xm:f>
          </x14:formula1>
          <xm:sqref>B22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79964-F28D-4885-B3D1-AD6B1363F464}">
  <sheetPr codeName="Sheet15">
    <tabColor theme="6" tint="0.79998168889431442"/>
  </sheetPr>
  <dimension ref="A1:U212"/>
  <sheetViews>
    <sheetView showGridLines="0" view="pageBreakPreview" topLeftCell="A53" zoomScaleNormal="100" zoomScaleSheetLayoutView="100" workbookViewId="0">
      <selection activeCell="I60" sqref="I60"/>
    </sheetView>
  </sheetViews>
  <sheetFormatPr defaultColWidth="8.5703125" defaultRowHeight="15"/>
  <cols>
    <col min="1" max="1" width="4" customWidth="1"/>
    <col min="2" max="2" width="4.140625" customWidth="1"/>
    <col min="3" max="3" width="54.5703125" customWidth="1"/>
    <col min="4" max="4" width="14.85546875" bestFit="1" customWidth="1"/>
    <col min="5" max="5" width="3.85546875" customWidth="1"/>
    <col min="6" max="6" width="10.42578125" bestFit="1" customWidth="1"/>
    <col min="9" max="9" width="53.140625" customWidth="1"/>
    <col min="10" max="10" width="50.85546875" bestFit="1" customWidth="1"/>
    <col min="12" max="12" width="9" bestFit="1" customWidth="1"/>
    <col min="13" max="13" width="9.42578125" bestFit="1" customWidth="1"/>
    <col min="19" max="19" width="75.42578125" style="213" customWidth="1"/>
    <col min="20" max="20" width="60.5703125" style="213" customWidth="1"/>
    <col min="21" max="21" width="88.42578125" customWidth="1"/>
  </cols>
  <sheetData>
    <row r="1" spans="1:21" ht="122.25" customHeight="1" thickBot="1">
      <c r="A1">
        <v>888</v>
      </c>
      <c r="C1" s="348" t="s">
        <v>10503</v>
      </c>
      <c r="D1" s="348"/>
      <c r="E1" s="348"/>
      <c r="F1" s="1"/>
      <c r="J1" s="372" t="s">
        <v>10624</v>
      </c>
      <c r="K1">
        <v>3.29</v>
      </c>
      <c r="L1">
        <v>3.43</v>
      </c>
      <c r="M1">
        <v>54</v>
      </c>
      <c r="N1">
        <v>14.14</v>
      </c>
      <c r="O1">
        <v>3.14</v>
      </c>
      <c r="P1">
        <v>9.7100000000000009</v>
      </c>
      <c r="S1" s="349" t="s">
        <v>10622</v>
      </c>
      <c r="T1" s="349" t="s">
        <v>10621</v>
      </c>
      <c r="U1" s="349" t="s">
        <v>10623</v>
      </c>
    </row>
    <row r="2" spans="1:21" ht="15" customHeight="1">
      <c r="A2" s="350"/>
      <c r="B2" s="8"/>
      <c r="C2" s="41"/>
      <c r="D2" s="625"/>
      <c r="E2" s="625"/>
      <c r="F2" s="332"/>
      <c r="I2" s="351" t="s">
        <v>10605</v>
      </c>
      <c r="J2" s="351" t="s">
        <v>237</v>
      </c>
      <c r="K2" s="352" t="s">
        <v>0</v>
      </c>
      <c r="L2" s="352" t="s">
        <v>249</v>
      </c>
      <c r="M2" s="351" t="s">
        <v>275</v>
      </c>
      <c r="S2" s="342">
        <f t="shared" ref="S2:S65" si="0">B2</f>
        <v>0</v>
      </c>
      <c r="T2" s="342"/>
    </row>
    <row r="3" spans="1:21">
      <c r="A3" s="626" t="s">
        <v>194</v>
      </c>
      <c r="B3" s="626"/>
      <c r="C3" s="626"/>
      <c r="D3" s="365"/>
      <c r="E3" s="365"/>
      <c r="F3" s="366"/>
      <c r="I3" s="353" t="s">
        <v>10610</v>
      </c>
      <c r="J3" s="354" t="s">
        <v>10606</v>
      </c>
      <c r="K3" s="373">
        <v>355498</v>
      </c>
      <c r="L3" s="355" t="s">
        <v>251</v>
      </c>
      <c r="M3" s="356" t="s">
        <v>10607</v>
      </c>
      <c r="S3" s="342">
        <f t="shared" si="0"/>
        <v>0</v>
      </c>
      <c r="T3" s="342"/>
    </row>
    <row r="4" spans="1:21">
      <c r="A4" s="366"/>
      <c r="B4" s="367"/>
      <c r="C4" s="368"/>
      <c r="D4" s="368"/>
      <c r="E4" s="368"/>
      <c r="F4" s="366"/>
      <c r="I4" s="353" t="s">
        <v>10611</v>
      </c>
      <c r="J4" s="356" t="s">
        <v>10608</v>
      </c>
      <c r="K4" s="373">
        <v>355498</v>
      </c>
      <c r="L4" s="355" t="s">
        <v>251</v>
      </c>
      <c r="M4" s="356" t="s">
        <v>10607</v>
      </c>
      <c r="S4" s="342">
        <f t="shared" si="0"/>
        <v>0</v>
      </c>
      <c r="T4" s="342"/>
    </row>
    <row r="5" spans="1:21">
      <c r="A5" s="618" t="s">
        <v>102</v>
      </c>
      <c r="B5" s="618"/>
      <c r="C5" s="616"/>
      <c r="D5" s="616"/>
      <c r="E5" s="616"/>
      <c r="F5" s="616"/>
      <c r="I5" s="353" t="s">
        <v>10612</v>
      </c>
      <c r="J5" s="356" t="s">
        <v>10609</v>
      </c>
      <c r="K5" s="373">
        <v>364166</v>
      </c>
      <c r="L5" s="355" t="s">
        <v>251</v>
      </c>
      <c r="M5" s="356" t="s">
        <v>10607</v>
      </c>
      <c r="S5" s="342">
        <f t="shared" si="0"/>
        <v>0</v>
      </c>
      <c r="T5" s="342"/>
    </row>
    <row r="6" spans="1:21">
      <c r="A6" s="618" t="s">
        <v>103</v>
      </c>
      <c r="B6" s="618"/>
      <c r="C6" s="616"/>
      <c r="D6" s="616"/>
      <c r="E6" s="616"/>
      <c r="F6" s="616"/>
      <c r="I6" s="353" t="s">
        <v>10613</v>
      </c>
      <c r="J6" s="356" t="s">
        <v>10609</v>
      </c>
      <c r="K6" s="373">
        <v>364166</v>
      </c>
      <c r="L6" s="355" t="s">
        <v>251</v>
      </c>
      <c r="M6" s="356" t="s">
        <v>10607</v>
      </c>
      <c r="S6" s="342">
        <f t="shared" si="0"/>
        <v>0</v>
      </c>
      <c r="T6" s="342"/>
    </row>
    <row r="7" spans="1:21">
      <c r="A7" s="618" t="s">
        <v>9189</v>
      </c>
      <c r="B7" s="618"/>
      <c r="C7" s="616"/>
      <c r="D7" s="616"/>
      <c r="E7" s="616"/>
      <c r="F7" s="616"/>
      <c r="I7" s="353" t="s">
        <v>10614</v>
      </c>
      <c r="J7" s="356" t="s">
        <v>10609</v>
      </c>
      <c r="K7" s="373">
        <v>364166</v>
      </c>
      <c r="L7" s="355" t="s">
        <v>251</v>
      </c>
      <c r="M7" s="356" t="s">
        <v>10607</v>
      </c>
      <c r="S7" s="342">
        <f t="shared" si="0"/>
        <v>0</v>
      </c>
      <c r="T7" s="342"/>
    </row>
    <row r="8" spans="1:21">
      <c r="A8" s="618" t="s">
        <v>9190</v>
      </c>
      <c r="B8" s="618"/>
      <c r="C8" s="616"/>
      <c r="D8" s="616"/>
      <c r="E8" s="616"/>
      <c r="F8" s="616"/>
      <c r="I8" s="353" t="s">
        <v>10615</v>
      </c>
      <c r="J8" s="356" t="s">
        <v>10609</v>
      </c>
      <c r="K8" s="373">
        <v>364166</v>
      </c>
      <c r="L8" s="355" t="s">
        <v>251</v>
      </c>
      <c r="M8" s="356" t="s">
        <v>10607</v>
      </c>
      <c r="S8" s="342">
        <f t="shared" si="0"/>
        <v>0</v>
      </c>
      <c r="T8" s="342"/>
    </row>
    <row r="9" spans="1:21">
      <c r="A9" s="1"/>
      <c r="B9" s="2"/>
      <c r="C9" s="3"/>
      <c r="D9" s="3"/>
      <c r="E9" s="3"/>
      <c r="F9" s="1"/>
      <c r="I9" s="353" t="s">
        <v>10616</v>
      </c>
      <c r="J9" s="357" t="s">
        <v>10608</v>
      </c>
      <c r="K9" s="373">
        <v>355498</v>
      </c>
      <c r="L9" s="355" t="s">
        <v>251</v>
      </c>
      <c r="M9" s="356" t="s">
        <v>10607</v>
      </c>
      <c r="S9" s="342">
        <f t="shared" si="0"/>
        <v>0</v>
      </c>
      <c r="T9" s="342"/>
    </row>
    <row r="10" spans="1:21">
      <c r="A10" s="626" t="s">
        <v>195</v>
      </c>
      <c r="B10" s="626"/>
      <c r="C10" s="626"/>
      <c r="D10" s="369"/>
      <c r="E10" s="369"/>
      <c r="F10" s="370"/>
      <c r="I10" s="353" t="s">
        <v>10617</v>
      </c>
      <c r="J10" s="358" t="s">
        <v>10606</v>
      </c>
      <c r="K10" s="373">
        <v>355498</v>
      </c>
      <c r="L10" s="355" t="s">
        <v>251</v>
      </c>
      <c r="M10" s="356" t="s">
        <v>10607</v>
      </c>
      <c r="S10" s="342">
        <f t="shared" si="0"/>
        <v>0</v>
      </c>
      <c r="T10" s="342"/>
    </row>
    <row r="11" spans="1:21" ht="15" customHeight="1">
      <c r="A11" s="366"/>
      <c r="B11" s="367"/>
      <c r="C11" s="368"/>
      <c r="D11" s="368"/>
      <c r="E11" s="368"/>
      <c r="F11" s="366"/>
      <c r="S11" s="342">
        <f t="shared" si="0"/>
        <v>0</v>
      </c>
      <c r="T11" s="342"/>
    </row>
    <row r="12" spans="1:21">
      <c r="A12" s="618" t="s">
        <v>103</v>
      </c>
      <c r="B12" s="618"/>
      <c r="C12" s="616"/>
      <c r="D12" s="616"/>
      <c r="E12" s="616"/>
      <c r="F12" s="616"/>
      <c r="S12" s="342">
        <f t="shared" si="0"/>
        <v>0</v>
      </c>
      <c r="T12" s="342"/>
    </row>
    <row r="13" spans="1:21" ht="15" customHeight="1">
      <c r="A13" s="618" t="s">
        <v>105</v>
      </c>
      <c r="B13" s="618"/>
      <c r="C13" s="617" t="s">
        <v>10618</v>
      </c>
      <c r="D13" s="617"/>
      <c r="E13" s="617"/>
      <c r="F13" s="617"/>
      <c r="S13" s="342">
        <f t="shared" si="0"/>
        <v>0</v>
      </c>
      <c r="T13" s="342"/>
    </row>
    <row r="14" spans="1:21" ht="15" customHeight="1">
      <c r="A14" s="1"/>
      <c r="B14" s="2"/>
      <c r="C14" s="3"/>
      <c r="D14" s="3"/>
      <c r="E14" s="3"/>
      <c r="F14" s="4"/>
      <c r="S14" s="342">
        <f t="shared" si="0"/>
        <v>0</v>
      </c>
      <c r="T14" s="342"/>
    </row>
    <row r="15" spans="1:21" ht="15" customHeight="1">
      <c r="A15" s="610" t="s">
        <v>10506</v>
      </c>
      <c r="B15" s="610"/>
      <c r="C15" s="610"/>
      <c r="D15" s="343"/>
      <c r="E15" s="343"/>
      <c r="F15" s="198"/>
      <c r="S15" s="342">
        <f t="shared" si="0"/>
        <v>0</v>
      </c>
      <c r="T15" s="342"/>
    </row>
    <row r="16" spans="1:21" ht="15" customHeight="1">
      <c r="A16" s="359">
        <v>1</v>
      </c>
      <c r="B16" s="347"/>
      <c r="C16" s="627" t="str">
        <f>IFERROR(_xlfn.XLOOKUP(C12,Table124[Address],Table124[House]),"")</f>
        <v/>
      </c>
      <c r="D16" s="627"/>
      <c r="E16" s="627"/>
      <c r="F16" s="18" t="s">
        <v>1</v>
      </c>
      <c r="S16" s="342">
        <f t="shared" si="0"/>
        <v>0</v>
      </c>
      <c r="T16" s="342"/>
    </row>
    <row r="17" spans="1:20" ht="15" customHeight="1">
      <c r="A17" s="359"/>
      <c r="B17" s="14"/>
      <c r="C17" s="17"/>
      <c r="D17" s="17"/>
      <c r="E17" s="17"/>
      <c r="F17" s="18"/>
      <c r="S17" s="342">
        <f t="shared" si="0"/>
        <v>0</v>
      </c>
      <c r="T17" s="342"/>
    </row>
    <row r="18" spans="1:20" ht="15" customHeight="1">
      <c r="A18" s="610" t="s">
        <v>10507</v>
      </c>
      <c r="B18" s="610"/>
      <c r="C18" s="610"/>
      <c r="D18" s="343"/>
      <c r="E18" s="343"/>
      <c r="F18" s="198"/>
      <c r="S18" s="342">
        <f t="shared" si="0"/>
        <v>0</v>
      </c>
      <c r="T18" s="342"/>
    </row>
    <row r="19" spans="1:20" ht="15" customHeight="1">
      <c r="A19" s="359">
        <v>1</v>
      </c>
      <c r="B19" s="347"/>
      <c r="C19" s="627" t="str">
        <f>IFERROR(_xlfn.XLOOKUP(C12,Table124[Address],Table124[Facade]),"")</f>
        <v/>
      </c>
      <c r="D19" s="627"/>
      <c r="E19" s="627"/>
      <c r="F19" s="18" t="s">
        <v>1</v>
      </c>
      <c r="S19" s="342">
        <f t="shared" si="0"/>
        <v>0</v>
      </c>
      <c r="T19" s="342"/>
    </row>
    <row r="20" spans="1:20" ht="15" customHeight="1">
      <c r="A20" s="359"/>
      <c r="C20" s="15"/>
      <c r="D20" s="15"/>
      <c r="E20" s="15"/>
      <c r="F20" s="18"/>
      <c r="S20" s="342">
        <f t="shared" si="0"/>
        <v>0</v>
      </c>
      <c r="T20" s="342"/>
    </row>
    <row r="21" spans="1:20" ht="15" customHeight="1">
      <c r="A21" s="610" t="s">
        <v>10508</v>
      </c>
      <c r="B21" s="610"/>
      <c r="C21" s="610"/>
      <c r="D21" s="343"/>
      <c r="E21" s="343"/>
      <c r="F21" s="198"/>
      <c r="S21" s="342">
        <f t="shared" si="0"/>
        <v>0</v>
      </c>
      <c r="T21" s="342"/>
    </row>
    <row r="22" spans="1:20" ht="15" customHeight="1">
      <c r="A22" s="359">
        <v>1</v>
      </c>
      <c r="B22" s="615" t="s">
        <v>10</v>
      </c>
      <c r="C22" s="615"/>
      <c r="D22" s="615"/>
      <c r="E22" s="615"/>
      <c r="F22" s="18" t="s">
        <v>7351</v>
      </c>
      <c r="S22" s="342" t="str">
        <f t="shared" si="0"/>
        <v>Fixed Price Site Costs including rock excavation &amp; removal if required</v>
      </c>
      <c r="T22" s="342"/>
    </row>
    <row r="23" spans="1:20" ht="15" customHeight="1">
      <c r="A23" s="26"/>
      <c r="B23" s="19"/>
      <c r="C23" s="20"/>
      <c r="D23" s="20"/>
      <c r="E23" s="20"/>
      <c r="F23" s="18"/>
      <c r="S23" s="342">
        <f t="shared" si="0"/>
        <v>0</v>
      </c>
      <c r="T23" s="342"/>
    </row>
    <row r="24" spans="1:20" ht="15" customHeight="1">
      <c r="A24" s="610" t="s">
        <v>10509</v>
      </c>
      <c r="B24" s="610"/>
      <c r="C24" s="610"/>
      <c r="D24" s="343"/>
      <c r="E24" s="343"/>
      <c r="F24" s="198"/>
      <c r="S24" s="342">
        <f t="shared" si="0"/>
        <v>0</v>
      </c>
      <c r="T24" s="342"/>
    </row>
    <row r="25" spans="1:20" ht="115.5" customHeight="1">
      <c r="A25" s="359">
        <v>1</v>
      </c>
      <c r="B25" s="613" t="s">
        <v>10583</v>
      </c>
      <c r="C25" s="613"/>
      <c r="D25" s="613"/>
      <c r="E25" s="613"/>
      <c r="F25" s="360" t="s">
        <v>10527</v>
      </c>
      <c r="S25" s="342" t="str">
        <f t="shared" si="0"/>
        <v>BAL12.5 rating including if required:
 •  Fully sarked roof
 •  Whirlybird to roof with ember guard
 •  Aluminium flyscreens with Aluminium mesh to all openable windows
 •  Metal mesh to weepholes - Design dependant
 •  4mm thick a grade safety glass to windows within 400mm of ground
 •  Solid timber external doors
 •  Weather strips to the base of all external side hinged doors
 •  Metal gas &amp; water pipes if exposed</v>
      </c>
      <c r="T25" s="342"/>
    </row>
    <row r="26" spans="1:20" ht="15" customHeight="1">
      <c r="A26" s="26"/>
      <c r="B26" s="19"/>
      <c r="C26" s="20"/>
      <c r="D26" s="20"/>
      <c r="E26" s="20"/>
      <c r="F26" s="18"/>
      <c r="S26" s="342">
        <f t="shared" si="0"/>
        <v>0</v>
      </c>
      <c r="T26" s="342"/>
    </row>
    <row r="27" spans="1:20" ht="15" customHeight="1">
      <c r="A27" s="610" t="s">
        <v>10510</v>
      </c>
      <c r="B27" s="610"/>
      <c r="C27" s="610"/>
      <c r="D27" s="343"/>
      <c r="E27" s="343"/>
      <c r="F27" s="198"/>
      <c r="S27" s="342">
        <f t="shared" si="0"/>
        <v>0</v>
      </c>
      <c r="T27" s="342"/>
    </row>
    <row r="28" spans="1:20" ht="15" customHeight="1">
      <c r="A28" s="359">
        <v>1</v>
      </c>
      <c r="B28" s="612" t="s">
        <v>10528</v>
      </c>
      <c r="C28" s="612"/>
      <c r="D28" s="612"/>
      <c r="E28" s="612"/>
      <c r="F28" s="18" t="s">
        <v>7351</v>
      </c>
      <c r="S28" s="342" t="str">
        <f t="shared" si="0"/>
        <v>Concrete Roof Tiles or metal roof - Design Dependent</v>
      </c>
      <c r="T28" s="342"/>
    </row>
    <row r="29" spans="1:20" ht="15" customHeight="1">
      <c r="A29" s="359">
        <v>2</v>
      </c>
      <c r="B29" s="612" t="s">
        <v>10529</v>
      </c>
      <c r="C29" s="612" t="s">
        <v>12</v>
      </c>
      <c r="D29" s="612"/>
      <c r="E29" s="612"/>
      <c r="F29" s="18" t="s">
        <v>7351</v>
      </c>
      <c r="S29" s="342" t="str">
        <f t="shared" si="0"/>
        <v>Colorbond Fascia, Gutter &amp; Downpipes</v>
      </c>
      <c r="T29" s="342"/>
    </row>
    <row r="30" spans="1:20" ht="15" customHeight="1">
      <c r="A30" s="359">
        <v>3</v>
      </c>
      <c r="B30" s="612" t="s">
        <v>10530</v>
      </c>
      <c r="C30" s="612" t="s">
        <v>10162</v>
      </c>
      <c r="D30" s="612"/>
      <c r="E30" s="612"/>
      <c r="F30" s="18" t="s">
        <v>7351</v>
      </c>
      <c r="S30" s="342" t="str">
        <f t="shared" si="0"/>
        <v>Rendered AAC or rendered EPS cladding - Design Dependent</v>
      </c>
      <c r="T30" s="342"/>
    </row>
    <row r="31" spans="1:20" ht="15" customHeight="1">
      <c r="A31" s="359">
        <v>4</v>
      </c>
      <c r="B31" s="612" t="s">
        <v>10531</v>
      </c>
      <c r="C31" s="612" t="s">
        <v>118</v>
      </c>
      <c r="D31" s="612"/>
      <c r="E31" s="612"/>
      <c r="F31" s="18" t="s">
        <v>7351</v>
      </c>
      <c r="S31" s="342" t="str">
        <f t="shared" si="0"/>
        <v>Bricks From Builder's Range Category 1 - Design Dependent</v>
      </c>
      <c r="T31" s="342"/>
    </row>
    <row r="32" spans="1:20" ht="15" customHeight="1">
      <c r="A32" s="359">
        <v>5</v>
      </c>
      <c r="B32" s="612" t="s">
        <v>10532</v>
      </c>
      <c r="C32" s="612" t="s">
        <v>9259</v>
      </c>
      <c r="D32" s="612"/>
      <c r="E32" s="612"/>
      <c r="F32" s="18" t="s">
        <v>7351</v>
      </c>
      <c r="S32" s="342" t="str">
        <f t="shared" si="0"/>
        <v>Natural Colour Mortar with Rolled Joints - Design Dependent</v>
      </c>
      <c r="T32" s="342"/>
    </row>
    <row r="33" spans="1:20" ht="15" customHeight="1">
      <c r="A33" s="359">
        <v>6</v>
      </c>
      <c r="B33" s="612" t="s">
        <v>15</v>
      </c>
      <c r="C33" s="612" t="s">
        <v>8658</v>
      </c>
      <c r="D33" s="612"/>
      <c r="E33" s="612"/>
      <c r="F33" s="18" t="s">
        <v>7351</v>
      </c>
      <c r="S33" s="342" t="str">
        <f t="shared" si="0"/>
        <v>Plaster lined ceiling to porch and outdoor living (if applicable)</v>
      </c>
      <c r="T33" s="342"/>
    </row>
    <row r="34" spans="1:20" ht="15" customHeight="1">
      <c r="A34" s="359">
        <v>7</v>
      </c>
      <c r="B34" s="612" t="s">
        <v>10533</v>
      </c>
      <c r="C34" s="612" t="s">
        <v>15</v>
      </c>
      <c r="D34" s="612"/>
      <c r="E34" s="612"/>
      <c r="F34" s="18" t="s">
        <v>7351</v>
      </c>
      <c r="S34" s="342" t="str">
        <f t="shared" si="0"/>
        <v>Two part Termite Treatment in accordance with AS 3660</v>
      </c>
      <c r="T34" s="342"/>
    </row>
    <row r="35" spans="1:20" ht="15" customHeight="1">
      <c r="A35" s="359">
        <v>8</v>
      </c>
      <c r="B35" s="612" t="s">
        <v>8641</v>
      </c>
      <c r="C35" s="612" t="s">
        <v>119</v>
      </c>
      <c r="D35" s="612"/>
      <c r="E35" s="612"/>
      <c r="F35" s="18" t="s">
        <v>7351</v>
      </c>
      <c r="S35" s="342" t="str">
        <f t="shared" si="0"/>
        <v>Entry door 2040mm x 870mm with clear glazing.</v>
      </c>
      <c r="T35" s="342"/>
    </row>
    <row r="36" spans="1:20" ht="15" customHeight="1">
      <c r="A36" s="359">
        <v>9</v>
      </c>
      <c r="B36" s="612" t="s">
        <v>10534</v>
      </c>
      <c r="C36" s="612" t="s">
        <v>9040</v>
      </c>
      <c r="D36" s="612"/>
      <c r="E36" s="612"/>
      <c r="F36" s="18" t="s">
        <v>7351</v>
      </c>
      <c r="S36" s="342" t="str">
        <f t="shared" si="0"/>
        <v>Entrance Set with double cylinder deadbolt to front entry and garage rear</v>
      </c>
      <c r="T36" s="342"/>
    </row>
    <row r="37" spans="1:20" ht="15" customHeight="1">
      <c r="A37" s="359">
        <v>10</v>
      </c>
      <c r="B37" s="612" t="s">
        <v>10535</v>
      </c>
      <c r="C37" s="612" t="s">
        <v>143</v>
      </c>
      <c r="D37" s="612"/>
      <c r="E37" s="612"/>
      <c r="F37" s="18" t="s">
        <v>7351</v>
      </c>
      <c r="S37" s="342" t="str">
        <f t="shared" si="0"/>
        <v>Skylights (if applicable)</v>
      </c>
      <c r="T37" s="342"/>
    </row>
    <row r="38" spans="1:20" ht="15" customHeight="1">
      <c r="A38" s="361"/>
      <c r="B38" s="6"/>
      <c r="C38" s="5"/>
      <c r="D38" s="5"/>
      <c r="E38" s="5"/>
      <c r="F38" s="7"/>
      <c r="S38" s="342">
        <f t="shared" si="0"/>
        <v>0</v>
      </c>
      <c r="T38" s="342"/>
    </row>
    <row r="39" spans="1:20" ht="15" customHeight="1">
      <c r="A39" s="610" t="s">
        <v>10511</v>
      </c>
      <c r="B39" s="610"/>
      <c r="C39" s="610"/>
      <c r="D39" s="343"/>
      <c r="E39" s="343"/>
      <c r="F39" s="198"/>
      <c r="S39" s="342">
        <f t="shared" si="0"/>
        <v>0</v>
      </c>
      <c r="T39" s="342"/>
    </row>
    <row r="40" spans="1:20" ht="15" customHeight="1">
      <c r="A40" s="359">
        <v>1</v>
      </c>
      <c r="B40" s="612" t="s">
        <v>120</v>
      </c>
      <c r="C40" s="612"/>
      <c r="D40" s="612"/>
      <c r="E40" s="612"/>
      <c r="F40" s="18" t="s">
        <v>7351</v>
      </c>
      <c r="S40" s="342" t="str">
        <f t="shared" si="0"/>
        <v>Engineered waffle slab concrete floor</v>
      </c>
      <c r="T40" s="342"/>
    </row>
    <row r="41" spans="1:20" ht="15" customHeight="1">
      <c r="A41" s="359">
        <v>2</v>
      </c>
      <c r="B41" s="612" t="s">
        <v>17</v>
      </c>
      <c r="C41" s="612" t="s">
        <v>17</v>
      </c>
      <c r="D41" s="612"/>
      <c r="E41" s="612"/>
      <c r="F41" s="18" t="s">
        <v>7351</v>
      </c>
      <c r="S41" s="342" t="str">
        <f t="shared" si="0"/>
        <v>Pine wall frame &amp; roof trusses</v>
      </c>
      <c r="T41" s="342"/>
    </row>
    <row r="42" spans="1:20" ht="15" customHeight="1">
      <c r="A42" s="359">
        <v>3</v>
      </c>
      <c r="B42" s="612" t="s">
        <v>10536</v>
      </c>
      <c r="C42" s="612" t="s">
        <v>8642</v>
      </c>
      <c r="D42" s="612"/>
      <c r="E42" s="612"/>
      <c r="F42" s="18" t="s">
        <v>7351</v>
      </c>
      <c r="S42" s="342" t="str">
        <f t="shared" si="0"/>
        <v>2440mm ceiling height to ground floor</v>
      </c>
      <c r="T42" s="342"/>
    </row>
    <row r="43" spans="1:20" ht="15" customHeight="1">
      <c r="A43" s="359">
        <v>4</v>
      </c>
      <c r="B43" s="612" t="s">
        <v>18</v>
      </c>
      <c r="C43" s="612" t="s">
        <v>18</v>
      </c>
      <c r="D43" s="612"/>
      <c r="E43" s="612"/>
      <c r="F43" s="18" t="s">
        <v>7351</v>
      </c>
      <c r="S43" s="342" t="str">
        <f t="shared" si="0"/>
        <v>Plasterboard walls, ceilings and cornices</v>
      </c>
      <c r="T43" s="342"/>
    </row>
    <row r="44" spans="1:20" ht="15" customHeight="1">
      <c r="A44" s="359">
        <v>5</v>
      </c>
      <c r="B44" s="612" t="s">
        <v>19</v>
      </c>
      <c r="C44" s="612" t="s">
        <v>19</v>
      </c>
      <c r="D44" s="612"/>
      <c r="E44" s="612"/>
      <c r="F44" s="18" t="s">
        <v>7351</v>
      </c>
      <c r="S44" s="342" t="str">
        <f t="shared" si="0"/>
        <v>67mm single bevel architrave and skirting boards</v>
      </c>
      <c r="T44" s="342"/>
    </row>
    <row r="45" spans="1:20" ht="15" customHeight="1">
      <c r="A45" s="359">
        <v>6</v>
      </c>
      <c r="B45" s="612" t="s">
        <v>144</v>
      </c>
      <c r="C45" s="612" t="s">
        <v>144</v>
      </c>
      <c r="D45" s="612"/>
      <c r="E45" s="612"/>
      <c r="F45" s="18" t="s">
        <v>7351</v>
      </c>
      <c r="S45" s="342" t="str">
        <f t="shared" si="0"/>
        <v>75mm scotia cornice</v>
      </c>
      <c r="T45" s="342"/>
    </row>
    <row r="46" spans="1:20" ht="15" customHeight="1">
      <c r="A46" s="359">
        <v>7</v>
      </c>
      <c r="B46" s="612" t="s">
        <v>10537</v>
      </c>
      <c r="C46" s="612" t="s">
        <v>37</v>
      </c>
      <c r="D46" s="612"/>
      <c r="E46" s="612"/>
      <c r="F46" s="18" t="s">
        <v>7351</v>
      </c>
      <c r="S46" s="342" t="str">
        <f t="shared" si="0"/>
        <v>Two coat paint system throughout</v>
      </c>
      <c r="T46" s="342"/>
    </row>
    <row r="47" spans="1:20" ht="15" customHeight="1">
      <c r="A47" s="359">
        <v>8</v>
      </c>
      <c r="B47" s="612" t="s">
        <v>10538</v>
      </c>
      <c r="C47" s="612" t="s">
        <v>9642</v>
      </c>
      <c r="D47" s="612"/>
      <c r="E47" s="612"/>
      <c r="F47" s="18" t="s">
        <v>7351</v>
      </c>
      <c r="S47" s="342" t="str">
        <f t="shared" si="0"/>
        <v>Gloss paint to skirting boards and architraves</v>
      </c>
      <c r="T47" s="342"/>
    </row>
    <row r="48" spans="1:20" ht="15" customHeight="1">
      <c r="A48" s="359">
        <v>9</v>
      </c>
      <c r="B48" s="612" t="s">
        <v>20</v>
      </c>
      <c r="C48" s="612" t="s">
        <v>20</v>
      </c>
      <c r="D48" s="612"/>
      <c r="E48" s="612"/>
      <c r="F48" s="18" t="s">
        <v>7351</v>
      </c>
      <c r="S48" s="342" t="str">
        <f t="shared" si="0"/>
        <v>Melamine shelf with 1no hanging rail to bedroom robes</v>
      </c>
      <c r="T48" s="342"/>
    </row>
    <row r="49" spans="1:20" ht="15" customHeight="1">
      <c r="A49" s="359">
        <v>10</v>
      </c>
      <c r="B49" s="612" t="s">
        <v>10539</v>
      </c>
      <c r="C49" s="612" t="s">
        <v>8016</v>
      </c>
      <c r="D49" s="612"/>
      <c r="E49" s="612"/>
      <c r="F49" s="18" t="s">
        <v>7351</v>
      </c>
      <c r="S49" s="342" t="str">
        <f t="shared" si="0"/>
        <v>Flush Panel Doors 2040mm high throughout</v>
      </c>
      <c r="T49" s="342"/>
    </row>
    <row r="50" spans="1:20" ht="15" customHeight="1">
      <c r="A50" s="359">
        <v>11</v>
      </c>
      <c r="B50" s="612" t="s">
        <v>10540</v>
      </c>
      <c r="C50" s="612" t="s">
        <v>8661</v>
      </c>
      <c r="D50" s="612"/>
      <c r="E50" s="612"/>
      <c r="F50" s="18" t="s">
        <v>7351</v>
      </c>
      <c r="S50" s="342" t="str">
        <f t="shared" si="0"/>
        <v>Vinyl sliding robe doors</v>
      </c>
      <c r="T50" s="342"/>
    </row>
    <row r="51" spans="1:20" ht="15" customHeight="1">
      <c r="A51" s="359">
        <v>12</v>
      </c>
      <c r="B51" s="612" t="s">
        <v>10541</v>
      </c>
      <c r="C51" s="612" t="s">
        <v>111</v>
      </c>
      <c r="D51" s="612"/>
      <c r="E51" s="612"/>
      <c r="F51" s="18" t="s">
        <v>7351</v>
      </c>
      <c r="S51" s="342" t="str">
        <f t="shared" si="0"/>
        <v>Lever door handles to passage doors </v>
      </c>
      <c r="T51" s="342"/>
    </row>
    <row r="52" spans="1:20" ht="15" customHeight="1">
      <c r="A52" s="359">
        <v>13</v>
      </c>
      <c r="B52" s="612" t="s">
        <v>10542</v>
      </c>
      <c r="C52" s="612" t="s">
        <v>8662</v>
      </c>
      <c r="D52" s="612"/>
      <c r="E52" s="612"/>
      <c r="F52" s="153" t="s">
        <v>7351</v>
      </c>
      <c r="S52" s="342" t="str">
        <f t="shared" si="0"/>
        <v>Lever half set door handles to vinyl robe doors</v>
      </c>
      <c r="T52" s="342"/>
    </row>
    <row r="53" spans="1:20" ht="15" customHeight="1">
      <c r="A53" s="359">
        <v>14</v>
      </c>
      <c r="B53" s="612" t="s">
        <v>10543</v>
      </c>
      <c r="C53" s="612" t="s">
        <v>8662</v>
      </c>
      <c r="D53" s="612"/>
      <c r="E53" s="612"/>
      <c r="F53" s="153" t="s">
        <v>7351</v>
      </c>
      <c r="S53" s="342" t="str">
        <f t="shared" si="0"/>
        <v>Privacy locks to all Bathrooms, Ensuites WC's &amp; Powder Rooms (if applicable)</v>
      </c>
      <c r="T53" s="342"/>
    </row>
    <row r="54" spans="1:20" ht="26.25" customHeight="1">
      <c r="A54" s="359">
        <v>15</v>
      </c>
      <c r="B54" s="613" t="s">
        <v>10544</v>
      </c>
      <c r="C54" s="613" t="s">
        <v>8662</v>
      </c>
      <c r="D54" s="613"/>
      <c r="E54" s="613"/>
      <c r="F54" s="153" t="s">
        <v>7351</v>
      </c>
      <c r="S54" s="342" t="str">
        <f t="shared" si="0"/>
        <v>Enclosed staircase with painted MDF treads, risers and landing with carpet, painted MDF handrail and dwarf wall to first floor</v>
      </c>
      <c r="T54" s="342"/>
    </row>
    <row r="55" spans="1:20" ht="15" customHeight="1">
      <c r="A55" s="359">
        <v>16</v>
      </c>
      <c r="B55" s="612" t="s">
        <v>10545</v>
      </c>
      <c r="C55" s="612" t="s">
        <v>8662</v>
      </c>
      <c r="D55" s="612"/>
      <c r="E55" s="612"/>
      <c r="F55" s="153" t="s">
        <v>7351</v>
      </c>
      <c r="S55" s="342" t="str">
        <f t="shared" si="0"/>
        <v>Linen cupboard with door and four rows of melamine shelves</v>
      </c>
      <c r="T55" s="342"/>
    </row>
    <row r="56" spans="1:20" ht="15" customHeight="1">
      <c r="A56" s="1"/>
      <c r="B56" s="2"/>
      <c r="C56" s="3"/>
      <c r="D56" s="3"/>
      <c r="E56" s="3"/>
      <c r="F56" s="4"/>
      <c r="S56" s="342">
        <f t="shared" si="0"/>
        <v>0</v>
      </c>
      <c r="T56" s="342"/>
    </row>
    <row r="57" spans="1:20" ht="15" customHeight="1">
      <c r="A57" s="610" t="s">
        <v>10512</v>
      </c>
      <c r="B57" s="610"/>
      <c r="C57" s="610"/>
      <c r="D57" s="343"/>
      <c r="E57" s="343"/>
      <c r="F57" s="198"/>
      <c r="S57" s="342">
        <f t="shared" si="0"/>
        <v>0</v>
      </c>
      <c r="T57" s="342"/>
    </row>
    <row r="58" spans="1:20" ht="15" customHeight="1">
      <c r="A58" s="359">
        <v>1</v>
      </c>
      <c r="B58" s="612" t="s">
        <v>10546</v>
      </c>
      <c r="C58" s="612"/>
      <c r="D58" s="612"/>
      <c r="E58" s="612"/>
      <c r="F58" s="18" t="s">
        <v>7351</v>
      </c>
      <c r="S58" s="342" t="str">
        <f t="shared" si="0"/>
        <v>Colorbond sectional garage door with 2 remotes</v>
      </c>
      <c r="T58" s="342"/>
    </row>
    <row r="59" spans="1:20" ht="15" customHeight="1">
      <c r="A59" s="359">
        <v>2</v>
      </c>
      <c r="B59" s="612" t="s">
        <v>21</v>
      </c>
      <c r="C59" s="612" t="s">
        <v>21</v>
      </c>
      <c r="D59" s="612"/>
      <c r="E59" s="612"/>
      <c r="F59" s="18" t="s">
        <v>7351</v>
      </c>
      <c r="S59" s="342" t="str">
        <f t="shared" si="0"/>
        <v>Pedestrian weatherproof door (product specific)</v>
      </c>
      <c r="T59" s="342"/>
    </row>
    <row r="60" spans="1:20" ht="15" customHeight="1">
      <c r="A60" s="359">
        <v>3</v>
      </c>
      <c r="B60" s="612" t="s">
        <v>121</v>
      </c>
      <c r="C60" s="612" t="s">
        <v>121</v>
      </c>
      <c r="D60" s="612"/>
      <c r="E60" s="612"/>
      <c r="F60" s="18" t="s">
        <v>7351</v>
      </c>
      <c r="S60" s="342" t="str">
        <f t="shared" si="0"/>
        <v>Flush panel internal access door (plan specific)</v>
      </c>
      <c r="T60" s="342"/>
    </row>
    <row r="61" spans="1:20" ht="15" customHeight="1">
      <c r="A61" s="359">
        <v>4</v>
      </c>
      <c r="B61" s="612" t="s">
        <v>22</v>
      </c>
      <c r="C61" s="612" t="s">
        <v>22</v>
      </c>
      <c r="D61" s="612"/>
      <c r="E61" s="612"/>
      <c r="F61" s="18" t="s">
        <v>7351</v>
      </c>
      <c r="S61" s="342" t="str">
        <f t="shared" si="0"/>
        <v>Concrete floor (poured as part of slab)</v>
      </c>
      <c r="T61" s="342"/>
    </row>
    <row r="62" spans="1:20" ht="15" customHeight="1">
      <c r="A62" s="1"/>
      <c r="B62" s="2"/>
      <c r="C62" s="3"/>
      <c r="D62" s="3"/>
      <c r="E62" s="3"/>
      <c r="F62" s="4"/>
      <c r="S62" s="342">
        <f t="shared" si="0"/>
        <v>0</v>
      </c>
      <c r="T62" s="342"/>
    </row>
    <row r="63" spans="1:20" ht="15" customHeight="1">
      <c r="A63" s="610" t="s">
        <v>10513</v>
      </c>
      <c r="B63" s="610"/>
      <c r="C63" s="610"/>
      <c r="D63" s="343"/>
      <c r="E63" s="343"/>
      <c r="F63" s="198"/>
      <c r="S63" s="342">
        <f t="shared" si="0"/>
        <v>0</v>
      </c>
      <c r="T63" s="342"/>
    </row>
    <row r="64" spans="1:20" ht="15" customHeight="1">
      <c r="A64" s="359">
        <v>1</v>
      </c>
      <c r="B64" s="612" t="s">
        <v>136</v>
      </c>
      <c r="C64" s="612"/>
      <c r="D64" s="612"/>
      <c r="E64" s="612"/>
      <c r="F64" s="18" t="s">
        <v>7351</v>
      </c>
      <c r="S64" s="342" t="str">
        <f t="shared" si="0"/>
        <v>Obscure glazing to Ensuite, Bathroom and WC</v>
      </c>
      <c r="T64" s="342"/>
    </row>
    <row r="65" spans="1:20" ht="15" customHeight="1">
      <c r="A65" s="359">
        <v>2</v>
      </c>
      <c r="B65" s="612" t="s">
        <v>10547</v>
      </c>
      <c r="C65" s="612" t="s">
        <v>9253</v>
      </c>
      <c r="D65" s="612"/>
      <c r="E65" s="612"/>
      <c r="F65" s="18" t="s">
        <v>7351</v>
      </c>
      <c r="S65" s="342" t="str">
        <f t="shared" si="0"/>
        <v>Aluminium sliding windows (unless alternative required due to energy rating)</v>
      </c>
      <c r="T65" s="342"/>
    </row>
    <row r="66" spans="1:20" ht="15" customHeight="1">
      <c r="A66" s="359">
        <v>3</v>
      </c>
      <c r="B66" s="612" t="s">
        <v>24</v>
      </c>
      <c r="C66" s="612" t="s">
        <v>24</v>
      </c>
      <c r="D66" s="612"/>
      <c r="E66" s="612"/>
      <c r="F66" s="18" t="s">
        <v>7351</v>
      </c>
      <c r="S66" s="342" t="str">
        <f t="shared" ref="S66:S129" si="1">B66</f>
        <v>Keyed alike window locks to openable windows</v>
      </c>
      <c r="T66" s="342"/>
    </row>
    <row r="67" spans="1:20" ht="15" customHeight="1">
      <c r="A67" s="359">
        <v>4</v>
      </c>
      <c r="B67" s="612" t="s">
        <v>10548</v>
      </c>
      <c r="C67" s="612" t="s">
        <v>10441</v>
      </c>
      <c r="D67" s="612"/>
      <c r="E67" s="612"/>
      <c r="F67" s="18" t="s">
        <v>7351</v>
      </c>
      <c r="S67" s="342" t="str">
        <f t="shared" si="1"/>
        <v>Single roller blinds to windows &amp; sliding doors</v>
      </c>
      <c r="T67" s="342"/>
    </row>
    <row r="68" spans="1:20" ht="15" customHeight="1">
      <c r="A68" s="1"/>
      <c r="B68" s="2"/>
      <c r="C68" s="3"/>
      <c r="D68" s="3"/>
      <c r="E68" s="3"/>
      <c r="F68" s="4"/>
      <c r="S68" s="342">
        <f t="shared" si="1"/>
        <v>0</v>
      </c>
      <c r="T68" s="342"/>
    </row>
    <row r="69" spans="1:20" ht="15" customHeight="1">
      <c r="A69" s="610" t="s">
        <v>10514</v>
      </c>
      <c r="B69" s="610"/>
      <c r="C69" s="610"/>
      <c r="D69" s="343"/>
      <c r="E69" s="343"/>
      <c r="F69" s="198"/>
      <c r="S69" s="342">
        <f t="shared" si="1"/>
        <v>0</v>
      </c>
      <c r="T69" s="342"/>
    </row>
    <row r="70" spans="1:20" ht="15" customHeight="1">
      <c r="A70" s="359">
        <v>1</v>
      </c>
      <c r="B70" s="612" t="s">
        <v>10549</v>
      </c>
      <c r="C70" s="612"/>
      <c r="D70" s="612"/>
      <c r="E70" s="612"/>
      <c r="F70" s="18" t="s">
        <v>7351</v>
      </c>
      <c r="S70" s="342" t="str">
        <f t="shared" si="1"/>
        <v>7 Star energy rating report including whole of home assessment and compliance</v>
      </c>
      <c r="T70" s="342"/>
    </row>
    <row r="71" spans="1:20" ht="15" customHeight="1">
      <c r="A71" s="359">
        <v>2</v>
      </c>
      <c r="B71" s="612" t="s">
        <v>8959</v>
      </c>
      <c r="C71" s="612" t="s">
        <v>8666</v>
      </c>
      <c r="D71" s="612"/>
      <c r="E71" s="612"/>
      <c r="F71" s="18" t="s">
        <v>7351</v>
      </c>
      <c r="S71" s="342" t="str">
        <f t="shared" si="1"/>
        <v>Electric Heat Pump Hot Water</v>
      </c>
      <c r="T71" s="342"/>
    </row>
    <row r="72" spans="1:20" ht="26.25" customHeight="1">
      <c r="A72" s="359">
        <v>3</v>
      </c>
      <c r="B72" s="613" t="s">
        <v>10550</v>
      </c>
      <c r="C72" s="613" t="s">
        <v>9255</v>
      </c>
      <c r="D72" s="613"/>
      <c r="E72" s="613"/>
      <c r="F72" s="18" t="s">
        <v>7351</v>
      </c>
      <c r="S72" s="342" t="str">
        <f t="shared" si="1"/>
        <v>R4.0  insulation batts to ceiling and between ground and first floors (excludes Garage, Porch &amp; Outdoor Living)</v>
      </c>
      <c r="T72" s="342"/>
    </row>
    <row r="73" spans="1:20" ht="26.25" customHeight="1">
      <c r="A73" s="359">
        <v>4</v>
      </c>
      <c r="B73" s="613" t="s">
        <v>10551</v>
      </c>
      <c r="C73" s="613" t="s">
        <v>9257</v>
      </c>
      <c r="D73" s="613"/>
      <c r="E73" s="613"/>
      <c r="F73" s="18" t="s">
        <v>7351</v>
      </c>
      <c r="S73" s="342" t="str">
        <f t="shared" si="1"/>
        <v>R2.5 insulation batts &amp; sisalation to external walls and Garage/house internal walls (excludes Garage external walls)</v>
      </c>
      <c r="T73" s="342"/>
    </row>
    <row r="74" spans="1:20" ht="15" customHeight="1">
      <c r="A74" s="359">
        <v>5</v>
      </c>
      <c r="B74" s="612" t="s">
        <v>10552</v>
      </c>
      <c r="C74" s="612" t="s">
        <v>38</v>
      </c>
      <c r="D74" s="612"/>
      <c r="E74" s="612"/>
      <c r="F74" s="18" t="s">
        <v>7351</v>
      </c>
      <c r="S74" s="342" t="str">
        <f t="shared" si="1"/>
        <v>Self sealing exhaust fan positioned above all showers</v>
      </c>
      <c r="T74" s="342"/>
    </row>
    <row r="75" spans="1:20" ht="15" customHeight="1">
      <c r="A75" s="359">
        <v>6</v>
      </c>
      <c r="B75" s="612" t="s">
        <v>146</v>
      </c>
      <c r="C75" s="612" t="s">
        <v>146</v>
      </c>
      <c r="D75" s="612"/>
      <c r="E75" s="612"/>
      <c r="F75" s="18" t="s">
        <v>7351</v>
      </c>
      <c r="S75" s="342" t="str">
        <f t="shared" si="1"/>
        <v>External venting to all exhaust fans and rangehoods</v>
      </c>
      <c r="T75" s="342"/>
    </row>
    <row r="76" spans="1:20" ht="26.25">
      <c r="A76" s="359">
        <v>7</v>
      </c>
      <c r="B76" s="613" t="s">
        <v>10974</v>
      </c>
      <c r="C76" s="613" t="s">
        <v>9341</v>
      </c>
      <c r="D76" s="613"/>
      <c r="E76" s="613"/>
      <c r="F76" s="18" t="s">
        <v>7351</v>
      </c>
      <c r="S76" s="342" t="str">
        <f t="shared" si="1"/>
        <v>Solar Photovoltaic system 3kWh Single Phase Inverter 5 x 475w Tier 1 panels - 2.37kW System as to NCC22 May 24 edition WOH requirements (or similar)</v>
      </c>
      <c r="T76" s="342"/>
    </row>
    <row r="77" spans="1:20" ht="15" customHeight="1">
      <c r="A77" s="1"/>
      <c r="B77" s="2"/>
      <c r="C77" s="3"/>
      <c r="D77" s="3"/>
      <c r="E77" s="3"/>
      <c r="F77" s="4"/>
      <c r="S77" s="342">
        <f t="shared" si="1"/>
        <v>0</v>
      </c>
      <c r="T77" s="342"/>
    </row>
    <row r="78" spans="1:20" ht="15" customHeight="1">
      <c r="A78" s="610" t="s">
        <v>10515</v>
      </c>
      <c r="B78" s="610"/>
      <c r="C78" s="610"/>
      <c r="D78" s="343"/>
      <c r="E78" s="343"/>
      <c r="F78" s="198"/>
      <c r="S78" s="342">
        <f t="shared" si="1"/>
        <v>0</v>
      </c>
      <c r="T78" s="342"/>
    </row>
    <row r="79" spans="1:20" ht="15" customHeight="1">
      <c r="A79" s="359">
        <v>1</v>
      </c>
      <c r="B79" s="612" t="s">
        <v>10553</v>
      </c>
      <c r="C79" s="612"/>
      <c r="D79" s="612"/>
      <c r="E79" s="612"/>
      <c r="F79" s="18" t="s">
        <v>7351</v>
      </c>
      <c r="S79" s="342" t="str">
        <f t="shared" si="1"/>
        <v>Double GPO throughout (includes 1 x external GPO to outdoor living</v>
      </c>
      <c r="T79" s="342"/>
    </row>
    <row r="80" spans="1:20" ht="15" customHeight="1">
      <c r="A80" s="359">
        <v>2</v>
      </c>
      <c r="B80" s="612" t="s">
        <v>10554</v>
      </c>
      <c r="C80" s="612" t="s">
        <v>145</v>
      </c>
      <c r="D80" s="612"/>
      <c r="E80" s="612"/>
      <c r="F80" s="18" t="s">
        <v>7351</v>
      </c>
      <c r="S80" s="342" t="str">
        <f t="shared" si="1"/>
        <v>(if applicable) &amp; single GPO to fridge, dishwasher &amp; range hood</v>
      </c>
      <c r="T80" s="342"/>
    </row>
    <row r="81" spans="1:20" ht="15" customHeight="1">
      <c r="A81" s="359">
        <v>3</v>
      </c>
      <c r="B81" s="612" t="s">
        <v>27</v>
      </c>
      <c r="C81" s="612" t="s">
        <v>9252</v>
      </c>
      <c r="D81" s="612"/>
      <c r="E81" s="612"/>
      <c r="F81" s="18" t="s">
        <v>7351</v>
      </c>
      <c r="S81" s="342" t="str">
        <f t="shared" si="1"/>
        <v>White wall mounted switches</v>
      </c>
      <c r="T81" s="342"/>
    </row>
    <row r="82" spans="1:20" ht="15" customHeight="1">
      <c r="A82" s="359">
        <v>4</v>
      </c>
      <c r="B82" s="612" t="s">
        <v>28</v>
      </c>
      <c r="C82" s="612" t="s">
        <v>27</v>
      </c>
      <c r="D82" s="612"/>
      <c r="E82" s="612"/>
      <c r="F82" s="18" t="s">
        <v>7351</v>
      </c>
      <c r="S82" s="342" t="str">
        <f t="shared" si="1"/>
        <v>Interconnected smoke detectors with battery backup</v>
      </c>
      <c r="T82" s="342"/>
    </row>
    <row r="83" spans="1:20" ht="15" customHeight="1">
      <c r="A83" s="359">
        <v>5</v>
      </c>
      <c r="B83" s="612" t="s">
        <v>29</v>
      </c>
      <c r="C83" s="612" t="s">
        <v>28</v>
      </c>
      <c r="D83" s="612"/>
      <c r="E83" s="612"/>
      <c r="F83" s="18" t="s">
        <v>7351</v>
      </c>
      <c r="S83" s="342" t="str">
        <f t="shared" si="1"/>
        <v>Safety switch to meter box</v>
      </c>
      <c r="T83" s="342"/>
    </row>
    <row r="84" spans="1:20" ht="15" customHeight="1">
      <c r="A84" s="359">
        <v>6</v>
      </c>
      <c r="B84" s="612" t="s">
        <v>30</v>
      </c>
      <c r="C84" s="612" t="s">
        <v>29</v>
      </c>
      <c r="D84" s="612"/>
      <c r="E84" s="612"/>
      <c r="F84" s="18" t="s">
        <v>7351</v>
      </c>
      <c r="S84" s="342" t="str">
        <f t="shared" si="1"/>
        <v>Two (2) x TV points</v>
      </c>
      <c r="T84" s="342"/>
    </row>
    <row r="85" spans="1:20" ht="15" customHeight="1">
      <c r="A85" s="359">
        <v>7</v>
      </c>
      <c r="B85" s="612" t="s">
        <v>10555</v>
      </c>
      <c r="C85" s="612" t="s">
        <v>30</v>
      </c>
      <c r="D85" s="612"/>
      <c r="E85" s="612"/>
      <c r="F85" s="18" t="s">
        <v>7351</v>
      </c>
      <c r="S85" s="342" t="str">
        <f t="shared" si="1"/>
        <v>One (1) x TV antenna (may be deleted if not allowed in estate)</v>
      </c>
      <c r="T85" s="342"/>
    </row>
    <row r="86" spans="1:20" ht="15" customHeight="1">
      <c r="A86" s="359">
        <v>8</v>
      </c>
      <c r="B86" s="612" t="s">
        <v>10556</v>
      </c>
      <c r="C86" s="612" t="s">
        <v>117</v>
      </c>
      <c r="D86" s="612"/>
      <c r="E86" s="612"/>
      <c r="F86" s="18" t="s">
        <v>7351</v>
      </c>
      <c r="S86" s="342" t="str">
        <f t="shared" si="1"/>
        <v>Two (2) pre-wired phone points</v>
      </c>
      <c r="T86" s="342"/>
    </row>
    <row r="87" spans="1:20" ht="15" customHeight="1">
      <c r="A87" s="359">
        <v>9</v>
      </c>
      <c r="B87" s="612" t="s">
        <v>10557</v>
      </c>
      <c r="C87" s="612" t="s">
        <v>31</v>
      </c>
      <c r="D87" s="612"/>
      <c r="E87" s="612"/>
      <c r="F87" s="18" t="s">
        <v>7351</v>
      </c>
      <c r="S87" s="342" t="str">
        <f t="shared" si="1"/>
        <v>Batten lights throughout</v>
      </c>
      <c r="T87" s="342"/>
    </row>
    <row r="88" spans="1:20" ht="15" customHeight="1">
      <c r="A88" s="1"/>
      <c r="B88" s="2"/>
      <c r="C88" s="5"/>
      <c r="D88" s="5"/>
      <c r="E88" s="5"/>
      <c r="F88" s="4"/>
      <c r="S88" s="342">
        <f t="shared" si="1"/>
        <v>0</v>
      </c>
      <c r="T88" s="342"/>
    </row>
    <row r="89" spans="1:20" ht="15" customHeight="1">
      <c r="A89" s="610" t="s">
        <v>10516</v>
      </c>
      <c r="B89" s="610"/>
      <c r="C89" s="610"/>
      <c r="D89" s="343"/>
      <c r="E89" s="343"/>
      <c r="F89" s="198"/>
      <c r="S89" s="342">
        <f t="shared" si="1"/>
        <v>0</v>
      </c>
      <c r="T89" s="342"/>
    </row>
    <row r="90" spans="1:20" ht="15" customHeight="1">
      <c r="A90" s="359">
        <v>1</v>
      </c>
      <c r="B90" s="612" t="s">
        <v>10558</v>
      </c>
      <c r="C90" s="612"/>
      <c r="D90" s="612"/>
      <c r="E90" s="612"/>
      <c r="F90" s="18" t="s">
        <v>7351</v>
      </c>
      <c r="S90" s="342" t="str">
        <f t="shared" si="1"/>
        <v>Electric heating wall panels to all bedrooms and main living areas</v>
      </c>
      <c r="T90" s="342"/>
    </row>
    <row r="91" spans="1:20" ht="15" customHeight="1">
      <c r="A91" s="359"/>
      <c r="B91" s="14"/>
      <c r="C91" s="15"/>
      <c r="D91" s="15"/>
      <c r="E91" s="15"/>
      <c r="F91" s="18"/>
      <c r="S91" s="342">
        <f t="shared" si="1"/>
        <v>0</v>
      </c>
      <c r="T91" s="342"/>
    </row>
    <row r="92" spans="1:20" ht="15" customHeight="1">
      <c r="A92" s="610" t="s">
        <v>10517</v>
      </c>
      <c r="B92" s="610"/>
      <c r="C92" s="610"/>
      <c r="D92" s="343"/>
      <c r="E92" s="343"/>
      <c r="F92" s="198"/>
      <c r="S92" s="342">
        <f t="shared" si="1"/>
        <v>0</v>
      </c>
      <c r="T92" s="342"/>
    </row>
    <row r="93" spans="1:20" ht="15" customHeight="1">
      <c r="A93" s="359">
        <v>1</v>
      </c>
      <c r="B93" s="612" t="s">
        <v>10559</v>
      </c>
      <c r="C93" s="612"/>
      <c r="D93" s="612"/>
      <c r="E93" s="612"/>
      <c r="F93" s="18" t="s">
        <v>7351</v>
      </c>
      <c r="S93" s="342" t="str">
        <f t="shared" si="1"/>
        <v>600mm electric cooktop &amp; 600mm under bench oven</v>
      </c>
      <c r="T93" s="342"/>
    </row>
    <row r="94" spans="1:20" ht="15" customHeight="1">
      <c r="A94" s="359">
        <v>2</v>
      </c>
      <c r="B94" s="612" t="s">
        <v>10560</v>
      </c>
      <c r="C94" s="612" t="s">
        <v>8667</v>
      </c>
      <c r="D94" s="612"/>
      <c r="E94" s="612"/>
      <c r="F94" s="18" t="s">
        <v>7351</v>
      </c>
      <c r="S94" s="342" t="str">
        <f t="shared" si="1"/>
        <v>600mm Stainless Steel Canopy Rangehood </v>
      </c>
      <c r="T94" s="342"/>
    </row>
    <row r="95" spans="1:20" ht="15" customHeight="1">
      <c r="A95" s="359">
        <v>3</v>
      </c>
      <c r="B95" s="612" t="s">
        <v>10561</v>
      </c>
      <c r="C95" s="612" t="s">
        <v>8670</v>
      </c>
      <c r="D95" s="612"/>
      <c r="E95" s="612"/>
      <c r="F95" s="18" t="s">
        <v>7351</v>
      </c>
      <c r="S95" s="342" t="str">
        <f t="shared" si="1"/>
        <v>Dishwasher provision</v>
      </c>
      <c r="T95" s="342"/>
    </row>
    <row r="96" spans="1:20" ht="15" customHeight="1">
      <c r="A96" s="359">
        <v>4</v>
      </c>
      <c r="B96" s="612" t="s">
        <v>10562</v>
      </c>
      <c r="C96" s="612" t="s">
        <v>130</v>
      </c>
      <c r="D96" s="612"/>
      <c r="E96" s="612"/>
      <c r="F96" s="18" t="s">
        <v>7351</v>
      </c>
      <c r="S96" s="342" t="str">
        <f t="shared" si="1"/>
        <v>Laminate cabinets, including overhead cupboards and soft close cabinetry and doors</v>
      </c>
      <c r="T96" s="342"/>
    </row>
    <row r="97" spans="1:20" ht="15" customHeight="1">
      <c r="A97" s="359">
        <v>5</v>
      </c>
      <c r="B97" s="612" t="s">
        <v>33</v>
      </c>
      <c r="C97" s="612" t="s">
        <v>33</v>
      </c>
      <c r="D97" s="612"/>
      <c r="E97" s="612"/>
      <c r="F97" s="18" t="s">
        <v>7351</v>
      </c>
      <c r="S97" s="342" t="str">
        <f t="shared" si="1"/>
        <v>Handles from builder's range category 1</v>
      </c>
      <c r="T97" s="342"/>
    </row>
    <row r="98" spans="1:20" ht="15.75" customHeight="1">
      <c r="A98" s="359">
        <v>6</v>
      </c>
      <c r="B98" s="612" t="s">
        <v>9045</v>
      </c>
      <c r="C98" s="612" t="s">
        <v>9041</v>
      </c>
      <c r="D98" s="612"/>
      <c r="E98" s="612"/>
      <c r="F98" s="18" t="s">
        <v>7351</v>
      </c>
      <c r="S98" s="342" t="str">
        <f t="shared" si="1"/>
        <v>1 ¾ sink bowl sink - stainless steel</v>
      </c>
      <c r="T98" s="342"/>
    </row>
    <row r="99" spans="1:20" ht="15" customHeight="1">
      <c r="A99" s="359">
        <v>7</v>
      </c>
      <c r="B99" s="612" t="s">
        <v>112</v>
      </c>
      <c r="C99" s="612" t="s">
        <v>8668</v>
      </c>
      <c r="D99" s="612"/>
      <c r="E99" s="612"/>
      <c r="F99" s="18" t="s">
        <v>7351</v>
      </c>
      <c r="S99" s="342" t="str">
        <f t="shared" si="1"/>
        <v>Sink mixer tap</v>
      </c>
      <c r="T99" s="342"/>
    </row>
    <row r="100" spans="1:20" ht="15" customHeight="1">
      <c r="A100" s="359">
        <v>8</v>
      </c>
      <c r="B100" s="612" t="s">
        <v>123</v>
      </c>
      <c r="C100" s="612" t="s">
        <v>123</v>
      </c>
      <c r="D100" s="612"/>
      <c r="E100" s="612"/>
      <c r="F100" s="18" t="s">
        <v>7351</v>
      </c>
      <c r="S100" s="342" t="str">
        <f t="shared" si="1"/>
        <v>Tiles to splashback (as per colour selection)</v>
      </c>
      <c r="T100" s="342"/>
    </row>
    <row r="101" spans="1:20" ht="15" customHeight="1">
      <c r="A101" s="359">
        <v>9</v>
      </c>
      <c r="B101" s="612" t="s">
        <v>10563</v>
      </c>
      <c r="C101" s="612" t="s">
        <v>34</v>
      </c>
      <c r="D101" s="612"/>
      <c r="E101" s="612"/>
      <c r="F101" s="18" t="s">
        <v>7351</v>
      </c>
      <c r="S101" s="342" t="str">
        <f t="shared" si="1"/>
        <v>Melamine shelving to pantry x 4 shelves with equal spacing (plan specific)</v>
      </c>
      <c r="T101" s="342"/>
    </row>
    <row r="102" spans="1:20" ht="51.75" customHeight="1">
      <c r="A102" s="359">
        <v>10</v>
      </c>
      <c r="B102" s="613" t="s">
        <v>10582</v>
      </c>
      <c r="C102" s="613" t="s">
        <v>9054</v>
      </c>
      <c r="D102" s="613"/>
      <c r="E102" s="613"/>
      <c r="F102" s="18" t="s">
        <v>7351</v>
      </c>
      <c r="S102" s="342" t="str">
        <f t="shared" si="1"/>
        <v>Provide 20mm M0 Mineral Surface Benchtops including:
 •  20mm square edge to the Kitchen wall and island cabinets.
 •  Benchtops over 3000mm in length will require a join in the benchtop.
 •  This join will be placed in the most inconspicuous position.</v>
      </c>
      <c r="T102" s="342"/>
    </row>
    <row r="103" spans="1:20" ht="15" customHeight="1">
      <c r="A103" s="1"/>
      <c r="B103" s="2"/>
      <c r="C103" s="3"/>
      <c r="D103" s="3"/>
      <c r="E103" s="3"/>
      <c r="F103" s="4"/>
      <c r="S103" s="342">
        <f t="shared" si="1"/>
        <v>0</v>
      </c>
      <c r="T103" s="342"/>
    </row>
    <row r="104" spans="1:20" ht="15" customHeight="1">
      <c r="A104" s="610" t="s">
        <v>10518</v>
      </c>
      <c r="B104" s="610"/>
      <c r="C104" s="610"/>
      <c r="D104" s="343"/>
      <c r="E104" s="343"/>
      <c r="F104" s="198"/>
      <c r="S104" s="342">
        <f t="shared" si="1"/>
        <v>0</v>
      </c>
      <c r="T104" s="342"/>
    </row>
    <row r="105" spans="1:20" ht="15" customHeight="1">
      <c r="A105" s="359">
        <v>1</v>
      </c>
      <c r="B105" s="612" t="s">
        <v>10564</v>
      </c>
      <c r="C105" s="612"/>
      <c r="D105" s="612"/>
      <c r="E105" s="612"/>
      <c r="F105" s="18" t="s">
        <v>7351</v>
      </c>
      <c r="S105" s="342" t="str">
        <f t="shared" si="1"/>
        <v>Inset Vanity basin with basin mixer</v>
      </c>
      <c r="T105" s="342"/>
    </row>
    <row r="106" spans="1:20" ht="15" customHeight="1">
      <c r="A106" s="359">
        <v>2</v>
      </c>
      <c r="B106" s="612" t="s">
        <v>129</v>
      </c>
      <c r="C106" s="612" t="s">
        <v>129</v>
      </c>
      <c r="D106" s="612"/>
      <c r="E106" s="612"/>
      <c r="F106" s="18" t="s">
        <v>7351</v>
      </c>
      <c r="S106" s="342" t="str">
        <f t="shared" si="1"/>
        <v>Laminate cabinet</v>
      </c>
      <c r="T106" s="342"/>
    </row>
    <row r="107" spans="1:20" ht="15" customHeight="1">
      <c r="A107" s="359">
        <v>3</v>
      </c>
      <c r="B107" s="612" t="s">
        <v>33</v>
      </c>
      <c r="C107" s="612" t="s">
        <v>33</v>
      </c>
      <c r="D107" s="612"/>
      <c r="E107" s="612"/>
      <c r="F107" s="18" t="s">
        <v>7351</v>
      </c>
      <c r="S107" s="342" t="str">
        <f t="shared" si="1"/>
        <v>Handles from builder's range category 1</v>
      </c>
      <c r="T107" s="342"/>
    </row>
    <row r="108" spans="1:20" ht="39" customHeight="1">
      <c r="A108" s="359">
        <v>4</v>
      </c>
      <c r="B108" s="613" t="s">
        <v>10569</v>
      </c>
      <c r="C108" s="613" t="s">
        <v>9274</v>
      </c>
      <c r="D108" s="613"/>
      <c r="E108" s="613"/>
      <c r="F108" s="18" t="s">
        <v>7351</v>
      </c>
      <c r="S108" s="342" t="str">
        <f t="shared" si="1"/>
        <v>1No. Hobless shower with semi-framed shower screen to either the Ensuite or Bathroom. Semi-framed shower screens - clear glass, to the remaining showers.
Note: location design specific. Refer to plans</v>
      </c>
      <c r="T108" s="342"/>
    </row>
    <row r="109" spans="1:20" ht="15" customHeight="1">
      <c r="A109" s="359">
        <v>5</v>
      </c>
      <c r="B109" s="612" t="s">
        <v>106</v>
      </c>
      <c r="C109" s="612" t="s">
        <v>36</v>
      </c>
      <c r="D109" s="612"/>
      <c r="E109" s="612"/>
      <c r="F109" s="18" t="s">
        <v>7351</v>
      </c>
      <c r="S109" s="342" t="str">
        <f t="shared" si="1"/>
        <v>Tiled shower base</v>
      </c>
      <c r="T109" s="342"/>
    </row>
    <row r="110" spans="1:20" ht="15" customHeight="1">
      <c r="A110" s="359">
        <v>6</v>
      </c>
      <c r="B110" s="612" t="s">
        <v>10565</v>
      </c>
      <c r="C110" s="612" t="s">
        <v>8674</v>
      </c>
      <c r="D110" s="612"/>
      <c r="E110" s="612"/>
      <c r="F110" s="18" t="s">
        <v>7351</v>
      </c>
      <c r="S110" s="342" t="str">
        <f t="shared" si="1"/>
        <v>Polished edge mirror to vanity</v>
      </c>
      <c r="T110" s="342"/>
    </row>
    <row r="111" spans="1:20" ht="15" customHeight="1">
      <c r="A111" s="359">
        <v>7</v>
      </c>
      <c r="B111" s="612" t="s">
        <v>10566</v>
      </c>
      <c r="C111" s="612" t="s">
        <v>8675</v>
      </c>
      <c r="D111" s="612"/>
      <c r="E111" s="612"/>
      <c r="F111" s="18" t="s">
        <v>7351</v>
      </c>
      <c r="S111" s="342" t="str">
        <f t="shared" si="1"/>
        <v>Mixer tap  &amp; shower outlet</v>
      </c>
      <c r="T111" s="342"/>
    </row>
    <row r="112" spans="1:20" ht="15" customHeight="1">
      <c r="A112" s="359">
        <v>8</v>
      </c>
      <c r="B112" s="612" t="s">
        <v>113</v>
      </c>
      <c r="C112" s="612" t="s">
        <v>166</v>
      </c>
      <c r="D112" s="612"/>
      <c r="E112" s="612"/>
      <c r="F112" s="18" t="s">
        <v>7351</v>
      </c>
      <c r="S112" s="342" t="str">
        <f t="shared" si="1"/>
        <v>Single towel rail and toilet roll holder</v>
      </c>
      <c r="T112" s="342"/>
    </row>
    <row r="113" spans="1:20" ht="15" customHeight="1">
      <c r="A113" s="359">
        <v>9</v>
      </c>
      <c r="B113" s="612" t="s">
        <v>166</v>
      </c>
      <c r="C113" s="612" t="s">
        <v>9055</v>
      </c>
      <c r="D113" s="612"/>
      <c r="E113" s="612"/>
      <c r="F113" s="18" t="s">
        <v>7351</v>
      </c>
      <c r="S113" s="342" t="str">
        <f t="shared" si="1"/>
        <v>4 star closed coupled toilet suite</v>
      </c>
      <c r="T113" s="342"/>
    </row>
    <row r="114" spans="1:20" ht="15" customHeight="1">
      <c r="A114" s="359">
        <v>10</v>
      </c>
      <c r="B114" s="612" t="s">
        <v>10567</v>
      </c>
      <c r="C114" s="612" t="s">
        <v>8676</v>
      </c>
      <c r="D114" s="612"/>
      <c r="E114" s="612"/>
      <c r="F114" s="18" t="s">
        <v>7351</v>
      </c>
      <c r="S114" s="342" t="str">
        <f t="shared" si="1"/>
        <v>Laminate Benchtop &amp; wall tiles as per colour selection</v>
      </c>
      <c r="T114" s="342"/>
    </row>
    <row r="115" spans="1:20" ht="15" customHeight="1">
      <c r="A115" s="359">
        <v>11</v>
      </c>
      <c r="B115" s="612" t="s">
        <v>10568</v>
      </c>
      <c r="C115" s="612" t="s">
        <v>9254</v>
      </c>
      <c r="D115" s="612"/>
      <c r="E115" s="612"/>
      <c r="F115" s="18" t="s">
        <v>7351</v>
      </c>
      <c r="S115" s="342" t="str">
        <f t="shared" si="1"/>
        <v>100mm tiled skirting to ensuite, bathroom, powder &amp; laundry (plan specific)</v>
      </c>
      <c r="T115" s="342"/>
    </row>
    <row r="116" spans="1:20" ht="15" customHeight="1">
      <c r="A116" s="1"/>
      <c r="B116" s="2"/>
      <c r="C116" s="3"/>
      <c r="D116" s="3"/>
      <c r="E116" s="3"/>
      <c r="F116" s="4"/>
      <c r="S116" s="342">
        <f t="shared" si="1"/>
        <v>0</v>
      </c>
      <c r="T116" s="342"/>
    </row>
    <row r="117" spans="1:20" ht="15" customHeight="1">
      <c r="A117" s="610" t="s">
        <v>10519</v>
      </c>
      <c r="B117" s="610"/>
      <c r="C117" s="610"/>
      <c r="D117" s="343"/>
      <c r="E117" s="343"/>
      <c r="F117" s="198"/>
      <c r="S117" s="342">
        <f t="shared" si="1"/>
        <v>0</v>
      </c>
      <c r="T117" s="342"/>
    </row>
    <row r="118" spans="1:20" ht="15" customHeight="1">
      <c r="A118" s="359">
        <v>1</v>
      </c>
      <c r="B118" s="612" t="s">
        <v>10564</v>
      </c>
      <c r="C118" s="612"/>
      <c r="D118" s="612"/>
      <c r="E118" s="612"/>
      <c r="F118" s="18" t="s">
        <v>7351</v>
      </c>
      <c r="S118" s="342" t="str">
        <f t="shared" si="1"/>
        <v>Inset Vanity basin with basin mixer</v>
      </c>
      <c r="T118" s="342"/>
    </row>
    <row r="119" spans="1:20" ht="15" customHeight="1">
      <c r="A119" s="359">
        <v>2</v>
      </c>
      <c r="B119" s="612" t="s">
        <v>10570</v>
      </c>
      <c r="C119" s="612" t="s">
        <v>10100</v>
      </c>
      <c r="D119" s="612"/>
      <c r="E119" s="612"/>
      <c r="F119" s="18" t="s">
        <v>7351</v>
      </c>
      <c r="S119" s="342" t="str">
        <f t="shared" si="1"/>
        <v>Laminate cabinet </v>
      </c>
      <c r="T119" s="342"/>
    </row>
    <row r="120" spans="1:20" ht="15" customHeight="1">
      <c r="A120" s="359">
        <v>3</v>
      </c>
      <c r="B120" s="612" t="s">
        <v>33</v>
      </c>
      <c r="C120" s="612" t="s">
        <v>128</v>
      </c>
      <c r="D120" s="612"/>
      <c r="E120" s="612"/>
      <c r="F120" s="18" t="s">
        <v>7351</v>
      </c>
      <c r="S120" s="342" t="str">
        <f t="shared" si="1"/>
        <v>Handles from builder's range category 1</v>
      </c>
      <c r="T120" s="342"/>
    </row>
    <row r="121" spans="1:20" ht="39" customHeight="1">
      <c r="A121" s="359">
        <v>4</v>
      </c>
      <c r="B121" s="613" t="s">
        <v>10569</v>
      </c>
      <c r="C121" s="613" t="s">
        <v>33</v>
      </c>
      <c r="D121" s="613"/>
      <c r="E121" s="613"/>
      <c r="F121" s="18" t="s">
        <v>7351</v>
      </c>
      <c r="S121" s="342" t="str">
        <f t="shared" si="1"/>
        <v>1No. Hobless shower with semi-framed shower screen to either the Ensuite or Bathroom. Semi-framed shower screens - clear glass, to the remaining showers.
Note: location design specific. Refer to plans</v>
      </c>
      <c r="T121" s="342"/>
    </row>
    <row r="122" spans="1:20" ht="15" customHeight="1">
      <c r="A122" s="359">
        <v>5</v>
      </c>
      <c r="B122" s="612" t="s">
        <v>106</v>
      </c>
      <c r="C122" s="612" t="s">
        <v>9274</v>
      </c>
      <c r="D122" s="612"/>
      <c r="E122" s="612"/>
      <c r="F122" s="18" t="s">
        <v>7351</v>
      </c>
      <c r="S122" s="342" t="str">
        <f t="shared" si="1"/>
        <v>Tiled shower base</v>
      </c>
      <c r="T122" s="342"/>
    </row>
    <row r="123" spans="1:20" ht="15" customHeight="1">
      <c r="A123" s="359">
        <v>6</v>
      </c>
      <c r="B123" s="612" t="s">
        <v>10565</v>
      </c>
      <c r="C123" s="612" t="s">
        <v>106</v>
      </c>
      <c r="D123" s="612"/>
      <c r="E123" s="612"/>
      <c r="F123" s="18" t="s">
        <v>7351</v>
      </c>
      <c r="S123" s="342" t="str">
        <f t="shared" si="1"/>
        <v>Polished edge mirror to vanity</v>
      </c>
      <c r="T123" s="342"/>
    </row>
    <row r="124" spans="1:20" ht="15" customHeight="1">
      <c r="A124" s="359">
        <v>7</v>
      </c>
      <c r="B124" s="612" t="s">
        <v>126</v>
      </c>
      <c r="C124" s="612" t="s">
        <v>36</v>
      </c>
      <c r="D124" s="612"/>
      <c r="E124" s="612"/>
      <c r="F124" s="18" t="s">
        <v>7351</v>
      </c>
      <c r="S124" s="342" t="str">
        <f t="shared" si="1"/>
        <v>Mixer tap &amp; shower outlet</v>
      </c>
      <c r="T124" s="342"/>
    </row>
    <row r="125" spans="1:20" ht="15" customHeight="1">
      <c r="A125" s="359">
        <v>8</v>
      </c>
      <c r="B125" s="612" t="s">
        <v>113</v>
      </c>
      <c r="C125" s="612" t="s">
        <v>8682</v>
      </c>
      <c r="D125" s="612"/>
      <c r="E125" s="612"/>
      <c r="F125" s="18" t="s">
        <v>7351</v>
      </c>
      <c r="S125" s="342" t="str">
        <f t="shared" si="1"/>
        <v>Single towel rail and toilet roll holder</v>
      </c>
      <c r="T125" s="342"/>
    </row>
    <row r="126" spans="1:20" ht="15" customHeight="1">
      <c r="A126" s="359">
        <v>9</v>
      </c>
      <c r="B126" s="612" t="s">
        <v>10567</v>
      </c>
      <c r="C126" s="612" t="s">
        <v>8675</v>
      </c>
      <c r="D126" s="612"/>
      <c r="E126" s="612"/>
      <c r="F126" s="18" t="s">
        <v>7351</v>
      </c>
      <c r="S126" s="342" t="str">
        <f t="shared" si="1"/>
        <v>Laminate Benchtop &amp; wall tiles as per colour selection</v>
      </c>
      <c r="T126" s="342"/>
    </row>
    <row r="127" spans="1:20" ht="15" customHeight="1">
      <c r="A127" s="359">
        <v>10</v>
      </c>
      <c r="B127" s="612" t="s">
        <v>10568</v>
      </c>
      <c r="C127" s="612" t="s">
        <v>9056</v>
      </c>
      <c r="D127" s="612"/>
      <c r="E127" s="612"/>
      <c r="F127" s="18" t="s">
        <v>7351</v>
      </c>
      <c r="S127" s="342" t="str">
        <f t="shared" si="1"/>
        <v>100mm tiled skirting to ensuite, bathroom, powder &amp; laundry (plan specific)</v>
      </c>
      <c r="T127" s="342"/>
    </row>
    <row r="128" spans="1:20" ht="15" customHeight="1">
      <c r="A128" s="359">
        <v>11</v>
      </c>
      <c r="B128" s="612" t="s">
        <v>10571</v>
      </c>
      <c r="C128" s="612" t="s">
        <v>8683</v>
      </c>
      <c r="D128" s="612"/>
      <c r="E128" s="612"/>
      <c r="F128" s="18" t="s">
        <v>7351</v>
      </c>
      <c r="S128" s="342" t="str">
        <f t="shared" si="1"/>
        <v>Acrylic Bath (design specific)</v>
      </c>
      <c r="T128" s="342"/>
    </row>
    <row r="129" spans="1:20" ht="15" customHeight="1">
      <c r="A129" s="15"/>
      <c r="B129" s="15"/>
      <c r="C129" s="15"/>
      <c r="D129" s="15"/>
      <c r="E129" s="15"/>
      <c r="F129" s="15"/>
      <c r="S129" s="342">
        <f t="shared" si="1"/>
        <v>0</v>
      </c>
      <c r="T129" s="342"/>
    </row>
    <row r="130" spans="1:20" ht="15" customHeight="1">
      <c r="A130" s="610" t="s">
        <v>10520</v>
      </c>
      <c r="B130" s="610"/>
      <c r="C130" s="610"/>
      <c r="D130" s="343"/>
      <c r="E130" s="343"/>
      <c r="F130" s="198"/>
      <c r="S130" s="342">
        <f t="shared" ref="S130:S195" si="2">B130</f>
        <v>0</v>
      </c>
      <c r="T130" s="342"/>
    </row>
    <row r="131" spans="1:20" ht="15" customHeight="1">
      <c r="A131" s="359">
        <v>1</v>
      </c>
      <c r="B131" s="612" t="s">
        <v>166</v>
      </c>
      <c r="C131" s="612"/>
      <c r="D131" s="612"/>
      <c r="E131" s="612"/>
      <c r="F131" s="18" t="s">
        <v>7351</v>
      </c>
      <c r="S131" s="342" t="str">
        <f t="shared" si="2"/>
        <v>4 star closed coupled toilet suite</v>
      </c>
      <c r="T131" s="342"/>
    </row>
    <row r="132" spans="1:20" ht="15" customHeight="1">
      <c r="A132" s="359">
        <v>2</v>
      </c>
      <c r="B132" s="612" t="s">
        <v>8888</v>
      </c>
      <c r="C132" s="612"/>
      <c r="D132" s="612"/>
      <c r="E132" s="612"/>
      <c r="F132" s="18" t="s">
        <v>7351</v>
      </c>
      <c r="S132" s="342" t="str">
        <f t="shared" si="2"/>
        <v>Toilet roll holder</v>
      </c>
      <c r="T132" s="342"/>
    </row>
    <row r="133" spans="1:20" ht="15" customHeight="1">
      <c r="A133" s="359"/>
      <c r="B133" s="14"/>
      <c r="C133" s="15"/>
      <c r="D133" s="15"/>
      <c r="E133" s="15"/>
      <c r="F133" s="18"/>
      <c r="S133" s="342">
        <f t="shared" si="2"/>
        <v>0</v>
      </c>
      <c r="T133" s="342"/>
    </row>
    <row r="134" spans="1:20" ht="15" customHeight="1">
      <c r="A134" s="610" t="s">
        <v>10521</v>
      </c>
      <c r="B134" s="610"/>
      <c r="C134" s="610"/>
      <c r="D134" s="343"/>
      <c r="E134" s="343"/>
      <c r="F134" s="198"/>
      <c r="S134" s="342">
        <f t="shared" si="2"/>
        <v>0</v>
      </c>
      <c r="T134" s="342"/>
    </row>
    <row r="135" spans="1:20" ht="15" customHeight="1">
      <c r="A135" s="359">
        <v>1</v>
      </c>
      <c r="B135" s="612" t="s">
        <v>10572</v>
      </c>
      <c r="C135" s="612"/>
      <c r="D135" s="612"/>
      <c r="E135" s="612"/>
      <c r="F135" s="18" t="s">
        <v>7351</v>
      </c>
      <c r="S135" s="342" t="str">
        <f t="shared" si="2"/>
        <v>32L Stainless Steel Laundry  Trough and Cabinet</v>
      </c>
      <c r="T135" s="342"/>
    </row>
    <row r="136" spans="1:20" ht="15" customHeight="1">
      <c r="A136" s="359">
        <v>2</v>
      </c>
      <c r="B136" s="612" t="s">
        <v>112</v>
      </c>
      <c r="C136" s="612"/>
      <c r="D136" s="612"/>
      <c r="E136" s="612"/>
      <c r="F136" s="18" t="s">
        <v>7351</v>
      </c>
      <c r="S136" s="342" t="str">
        <f t="shared" si="2"/>
        <v>Sink mixer tap</v>
      </c>
      <c r="T136" s="342"/>
    </row>
    <row r="137" spans="1:20" ht="15" customHeight="1">
      <c r="A137" s="359">
        <v>3</v>
      </c>
      <c r="B137" s="612" t="s">
        <v>123</v>
      </c>
      <c r="C137" s="612"/>
      <c r="D137" s="612"/>
      <c r="E137" s="612"/>
      <c r="F137" s="18" t="s">
        <v>7351</v>
      </c>
      <c r="S137" s="342" t="str">
        <f t="shared" si="2"/>
        <v>Tiles to splashback (as per colour selection)</v>
      </c>
      <c r="T137" s="342"/>
    </row>
    <row r="138" spans="1:20" ht="15" customHeight="1">
      <c r="A138" s="359"/>
      <c r="B138" s="14"/>
      <c r="C138" s="15"/>
      <c r="D138" s="15"/>
      <c r="E138" s="15"/>
      <c r="F138" s="18"/>
      <c r="S138" s="342">
        <f t="shared" si="2"/>
        <v>0</v>
      </c>
      <c r="T138" s="342"/>
    </row>
    <row r="139" spans="1:20" ht="15" customHeight="1">
      <c r="A139" s="610" t="s">
        <v>10522</v>
      </c>
      <c r="B139" s="610"/>
      <c r="C139" s="610"/>
      <c r="D139" s="343"/>
      <c r="E139" s="343"/>
      <c r="F139" s="198"/>
      <c r="S139" s="342">
        <f t="shared" si="2"/>
        <v>0</v>
      </c>
      <c r="T139" s="342"/>
    </row>
    <row r="140" spans="1:20" ht="15" customHeight="1">
      <c r="A140" s="359">
        <v>1</v>
      </c>
      <c r="B140" s="612" t="s">
        <v>173</v>
      </c>
      <c r="C140" s="612"/>
      <c r="D140" s="612"/>
      <c r="E140" s="612"/>
      <c r="F140" s="18" t="s">
        <v>7351</v>
      </c>
      <c r="S140" s="342" t="str">
        <f t="shared" si="2"/>
        <v>Floor tiles to wet areas as per colour document</v>
      </c>
      <c r="T140" s="342"/>
    </row>
    <row r="141" spans="1:20" ht="15" customHeight="1">
      <c r="A141" s="359">
        <v>2</v>
      </c>
      <c r="B141" s="612" t="s">
        <v>10573</v>
      </c>
      <c r="C141" s="612"/>
      <c r="D141" s="612"/>
      <c r="E141" s="612"/>
      <c r="F141" s="18" t="s">
        <v>7351</v>
      </c>
      <c r="S141" s="342" t="str">
        <f t="shared" si="2"/>
        <v>Timber look laminate to Entry &amp; Living areas connected to Kitchen (refer plan)</v>
      </c>
      <c r="T141" s="342"/>
    </row>
    <row r="142" spans="1:20" ht="15" customHeight="1">
      <c r="A142" s="359">
        <v>3</v>
      </c>
      <c r="B142" s="612" t="s">
        <v>10574</v>
      </c>
      <c r="C142" s="612"/>
      <c r="D142" s="612"/>
      <c r="E142" s="612"/>
      <c r="F142" s="18" t="s">
        <v>7351</v>
      </c>
      <c r="S142" s="342" t="str">
        <f t="shared" si="2"/>
        <v>Carpet to balance of home with 7mm underlay</v>
      </c>
      <c r="T142" s="342"/>
    </row>
    <row r="143" spans="1:20" ht="15" customHeight="1">
      <c r="A143" s="1"/>
      <c r="B143" s="2"/>
      <c r="C143" s="3"/>
      <c r="D143" s="3"/>
      <c r="E143" s="3"/>
      <c r="F143" s="4"/>
      <c r="S143" s="342">
        <f t="shared" si="2"/>
        <v>0</v>
      </c>
      <c r="T143" s="342"/>
    </row>
    <row r="144" spans="1:20" ht="15" customHeight="1">
      <c r="A144" s="610" t="s">
        <v>10523</v>
      </c>
      <c r="B144" s="610"/>
      <c r="C144" s="610"/>
      <c r="D144" s="343"/>
      <c r="E144" s="343"/>
      <c r="F144" s="198"/>
      <c r="S144" s="342">
        <f t="shared" si="2"/>
        <v>0</v>
      </c>
      <c r="T144" s="342"/>
    </row>
    <row r="145" spans="1:20" ht="15" customHeight="1">
      <c r="A145" s="359">
        <v>1</v>
      </c>
      <c r="B145" s="612" t="s">
        <v>10581</v>
      </c>
      <c r="C145" s="612"/>
      <c r="D145" s="612"/>
      <c r="E145" s="612"/>
      <c r="F145" s="18" t="s">
        <v>7351</v>
      </c>
      <c r="S145" s="342" t="str">
        <f t="shared" si="2"/>
        <v>Combination of plants, mulch &amp; toppings to front and rear including 1 tree to the front yard</v>
      </c>
      <c r="T145" s="342"/>
    </row>
    <row r="146" spans="1:20" ht="15" customHeight="1">
      <c r="A146" s="359">
        <v>2</v>
      </c>
      <c r="B146" s="612" t="s">
        <v>141</v>
      </c>
      <c r="C146" s="612"/>
      <c r="D146" s="612"/>
      <c r="E146" s="612"/>
      <c r="F146" s="18" t="s">
        <v>7351</v>
      </c>
      <c r="S146" s="342" t="str">
        <f t="shared" si="2"/>
        <v>Section of turf to front &amp; rear yards</v>
      </c>
      <c r="T146" s="342"/>
    </row>
    <row r="147" spans="1:20" ht="15" customHeight="1">
      <c r="A147" s="359">
        <v>3</v>
      </c>
      <c r="B147" s="612" t="s">
        <v>139</v>
      </c>
      <c r="C147" s="612"/>
      <c r="D147" s="612"/>
      <c r="E147" s="612"/>
      <c r="F147" s="18" t="s">
        <v>7351</v>
      </c>
      <c r="S147" s="342" t="str">
        <f t="shared" si="2"/>
        <v>Fencing as per developer's requirements</v>
      </c>
      <c r="T147" s="342"/>
    </row>
    <row r="148" spans="1:20" ht="15" customHeight="1">
      <c r="A148" s="359">
        <v>4</v>
      </c>
      <c r="B148" s="612" t="s">
        <v>39</v>
      </c>
      <c r="C148" s="612"/>
      <c r="D148" s="612"/>
      <c r="E148" s="612"/>
      <c r="F148" s="18" t="s">
        <v>7351</v>
      </c>
      <c r="S148" s="342" t="str">
        <f t="shared" si="2"/>
        <v>Nature strips levelled &amp; seeded</v>
      </c>
      <c r="T148" s="342"/>
    </row>
    <row r="149" spans="1:20" ht="15" customHeight="1">
      <c r="A149" s="359">
        <v>5</v>
      </c>
      <c r="B149" s="612" t="s">
        <v>40</v>
      </c>
      <c r="C149" s="612"/>
      <c r="D149" s="612"/>
      <c r="E149" s="612"/>
      <c r="F149" s="18" t="s">
        <v>7351</v>
      </c>
      <c r="S149" s="342" t="str">
        <f t="shared" si="2"/>
        <v>Clothesline</v>
      </c>
      <c r="T149" s="342"/>
    </row>
    <row r="150" spans="1:20" ht="26.25" customHeight="1">
      <c r="A150" s="359">
        <v>6</v>
      </c>
      <c r="B150" s="613" t="s">
        <v>10584</v>
      </c>
      <c r="C150" s="613"/>
      <c r="D150" s="613"/>
      <c r="E150" s="613"/>
      <c r="F150" s="18" t="s">
        <v>7351</v>
      </c>
      <c r="S150" s="342" t="str">
        <f t="shared" si="2"/>
        <v>Colour through concrete driveway and paths (if applicable) to porch &amp; outdoor living
(if applicable)</v>
      </c>
      <c r="T150" s="342"/>
    </row>
    <row r="151" spans="1:20" ht="15" customHeight="1">
      <c r="A151" s="359">
        <v>7</v>
      </c>
      <c r="B151" s="612" t="s">
        <v>16</v>
      </c>
      <c r="C151" s="612"/>
      <c r="D151" s="612"/>
      <c r="E151" s="612"/>
      <c r="F151" s="18" t="s">
        <v>7351</v>
      </c>
      <c r="S151" s="342" t="str">
        <f t="shared" si="2"/>
        <v>Letterbox (with Numbers) to suit developer requirements</v>
      </c>
      <c r="T151" s="342"/>
    </row>
    <row r="152" spans="1:20" ht="15" customHeight="1">
      <c r="A152" s="359"/>
      <c r="B152" s="14"/>
      <c r="C152" s="15"/>
      <c r="D152" s="15"/>
      <c r="E152" s="15"/>
      <c r="F152" s="18"/>
      <c r="S152" s="342">
        <f t="shared" si="2"/>
        <v>0</v>
      </c>
      <c r="T152" s="342"/>
    </row>
    <row r="153" spans="1:20" ht="15" customHeight="1">
      <c r="A153" s="610" t="s">
        <v>10524</v>
      </c>
      <c r="B153" s="610"/>
      <c r="C153" s="610"/>
      <c r="D153" s="343"/>
      <c r="E153" s="343"/>
      <c r="F153" s="198"/>
      <c r="S153" s="342">
        <f t="shared" si="2"/>
        <v>0</v>
      </c>
      <c r="T153" s="342"/>
    </row>
    <row r="154" spans="1:20" ht="26.25" customHeight="1">
      <c r="A154" s="359">
        <v>1</v>
      </c>
      <c r="B154" s="622" t="s">
        <v>8056</v>
      </c>
      <c r="C154" s="622"/>
      <c r="D154" s="622"/>
      <c r="E154" s="622"/>
      <c r="F154" s="18" t="s">
        <v>1</v>
      </c>
      <c r="S154" s="342" t="str">
        <f t="shared" si="2"/>
        <v>Provide 3rd pipe recycled water including connections to all Toilets, Washing Machine tap and 1No. Garden tap.</v>
      </c>
      <c r="T154" s="342"/>
    </row>
    <row r="155" spans="1:20" ht="90" customHeight="1">
      <c r="A155" s="359">
        <v>2</v>
      </c>
      <c r="B155" s="622" t="s">
        <v>10603</v>
      </c>
      <c r="C155" s="622"/>
      <c r="D155" s="622"/>
      <c r="E155" s="622"/>
      <c r="F155" s="18" t="s">
        <v>1</v>
      </c>
      <c r="S155" s="342" t="str">
        <f t="shared" si="2"/>
        <v>Provide NBN Co basic fibre pack including:
- Internal conduit with draw string
- 1No. GPO
- 1No. Phone point (run to plates on wall in Garage for patching to NBNCo supplied product)
- 2No. Data points (run to plates on wall in Garage for patching to NBNCo supplied product)
- CAT6 cable &amp; mech
Note: Excludes connection &amp; enclosure.</v>
      </c>
      <c r="T155" s="342"/>
    </row>
    <row r="156" spans="1:20" ht="15" customHeight="1">
      <c r="A156" s="359">
        <v>3</v>
      </c>
      <c r="B156" s="623" t="s">
        <v>10604</v>
      </c>
      <c r="C156" s="623"/>
      <c r="D156" s="623"/>
      <c r="E156" s="623"/>
      <c r="F156" s="18" t="s">
        <v>1</v>
      </c>
      <c r="S156" s="342" t="str">
        <f t="shared" si="2"/>
        <v>Provide approx. 1800mm high timber fencing with capping, wing fence and Gate.</v>
      </c>
      <c r="T156" s="342"/>
    </row>
    <row r="157" spans="1:20" ht="15" customHeight="1">
      <c r="A157" s="359"/>
      <c r="B157" s="14"/>
      <c r="C157" s="15"/>
      <c r="D157" s="15"/>
      <c r="E157" s="15"/>
      <c r="F157" s="18"/>
      <c r="S157" s="342">
        <f t="shared" si="2"/>
        <v>0</v>
      </c>
      <c r="T157" s="342"/>
    </row>
    <row r="158" spans="1:20" ht="15" customHeight="1">
      <c r="A158" s="610" t="s">
        <v>10525</v>
      </c>
      <c r="B158" s="610"/>
      <c r="C158" s="610"/>
      <c r="D158" s="343" t="s">
        <v>10504</v>
      </c>
      <c r="E158" s="343" t="s">
        <v>10505</v>
      </c>
      <c r="F158" s="199"/>
      <c r="S158" s="342">
        <f t="shared" si="2"/>
        <v>0</v>
      </c>
      <c r="T158" s="342"/>
    </row>
    <row r="159" spans="1:20">
      <c r="A159" s="359">
        <v>1</v>
      </c>
      <c r="B159" s="614"/>
      <c r="C159" s="614"/>
      <c r="D159" s="334"/>
      <c r="E159" s="334"/>
      <c r="F159" s="363" t="str">
        <f>IFERROR(IF(E159&lt;&gt;"",SUM(_xlfn.XLOOKUP(B159,Table22[Townhomes - Modern Living],Table22[$$Retail])*E159),_xlfn.XLOOKUP(B159,Table22[Townhomes - Modern Living],Table22[$$Retail])),"")</f>
        <v/>
      </c>
      <c r="S159" s="342"/>
      <c r="T159" s="205">
        <f>B159</f>
        <v>0</v>
      </c>
    </row>
    <row r="160" spans="1:20">
      <c r="A160" s="359">
        <v>2</v>
      </c>
      <c r="B160" s="614"/>
      <c r="C160" s="614"/>
      <c r="D160" s="334"/>
      <c r="E160" s="334"/>
      <c r="F160" s="363" t="str">
        <f>IFERROR(IF(E160&lt;&gt;"",SUM(_xlfn.XLOOKUP(B160,Table22[Townhomes - Modern Living],Table22[$$Retail])*E160),_xlfn.XLOOKUP(B160,Table22[Townhomes - Modern Living],Table22[$$Retail])),"")</f>
        <v/>
      </c>
      <c r="S160" s="342"/>
      <c r="T160" s="205">
        <f t="shared" ref="T160:T178" si="3">B160</f>
        <v>0</v>
      </c>
    </row>
    <row r="161" spans="1:20">
      <c r="A161" s="359">
        <v>3</v>
      </c>
      <c r="B161" s="614"/>
      <c r="C161" s="614"/>
      <c r="D161" s="334"/>
      <c r="E161" s="334"/>
      <c r="F161" s="363" t="str">
        <f>IFERROR(IF(E161&lt;&gt;"",SUM(_xlfn.XLOOKUP(B161,Table22[Townhomes - Modern Living],Table22[$$Retail])*E161),_xlfn.XLOOKUP(B161,Table22[Townhomes - Modern Living],Table22[$$Retail])),"")</f>
        <v/>
      </c>
      <c r="S161" s="342"/>
      <c r="T161" s="205">
        <f t="shared" si="3"/>
        <v>0</v>
      </c>
    </row>
    <row r="162" spans="1:20">
      <c r="A162" s="359">
        <v>4</v>
      </c>
      <c r="B162" s="614"/>
      <c r="C162" s="614"/>
      <c r="D162" s="334"/>
      <c r="E162" s="334"/>
      <c r="F162" s="363" t="str">
        <f>IFERROR(IF(E162&lt;&gt;"",SUM(_xlfn.XLOOKUP(B162,Table22[Townhomes - Modern Living],Table22[$$Retail])*E162),_xlfn.XLOOKUP(B162,Table22[Townhomes - Modern Living],Table22[$$Retail])),"")</f>
        <v/>
      </c>
      <c r="S162" s="342"/>
      <c r="T162" s="205">
        <f t="shared" si="3"/>
        <v>0</v>
      </c>
    </row>
    <row r="163" spans="1:20">
      <c r="A163" s="359">
        <v>5</v>
      </c>
      <c r="B163" s="614"/>
      <c r="C163" s="614"/>
      <c r="D163" s="334"/>
      <c r="E163" s="334"/>
      <c r="F163" s="363" t="str">
        <f>IFERROR(IF(E163&lt;&gt;"",SUM(_xlfn.XLOOKUP(B163,Table22[Townhomes - Modern Living],Table22[$$Retail])*E163),_xlfn.XLOOKUP(B163,Table22[Townhomes - Modern Living],Table22[$$Retail])),"")</f>
        <v/>
      </c>
      <c r="S163" s="342"/>
      <c r="T163" s="205">
        <f t="shared" si="3"/>
        <v>0</v>
      </c>
    </row>
    <row r="164" spans="1:20">
      <c r="A164" s="359">
        <v>6</v>
      </c>
      <c r="B164" s="614"/>
      <c r="C164" s="614"/>
      <c r="D164" s="334"/>
      <c r="E164" s="334"/>
      <c r="F164" s="363" t="str">
        <f>IFERROR(IF(E164&lt;&gt;"",SUM(_xlfn.XLOOKUP(B164,Table22[Townhomes - Modern Living],Table22[$$Retail])*E164),_xlfn.XLOOKUP(B164,Table22[Townhomes - Modern Living],Table22[$$Retail])),"")</f>
        <v/>
      </c>
      <c r="S164" s="342"/>
      <c r="T164" s="205">
        <f t="shared" si="3"/>
        <v>0</v>
      </c>
    </row>
    <row r="165" spans="1:20">
      <c r="A165" s="359">
        <v>7</v>
      </c>
      <c r="B165" s="614"/>
      <c r="C165" s="614"/>
      <c r="D165" s="334"/>
      <c r="E165" s="334"/>
      <c r="F165" s="363" t="str">
        <f>IFERROR(IF(E165&lt;&gt;"",SUM(_xlfn.XLOOKUP(B165,Table22[Townhomes - Modern Living],Table22[$$Retail])*E165),_xlfn.XLOOKUP(B165,Table22[Townhomes - Modern Living],Table22[$$Retail])),"")</f>
        <v/>
      </c>
      <c r="S165" s="342"/>
      <c r="T165" s="205">
        <f t="shared" si="3"/>
        <v>0</v>
      </c>
    </row>
    <row r="166" spans="1:20">
      <c r="A166" s="359">
        <v>8</v>
      </c>
      <c r="B166" s="614"/>
      <c r="C166" s="614"/>
      <c r="D166" s="334"/>
      <c r="E166" s="334"/>
      <c r="F166" s="363" t="str">
        <f>IFERROR(IF(E166&lt;&gt;"",SUM(_xlfn.XLOOKUP(B166,Table22[Townhomes - Modern Living],Table22[$$Retail])*E166),_xlfn.XLOOKUP(B166,Table22[Townhomes - Modern Living],Table22[$$Retail])),"")</f>
        <v/>
      </c>
      <c r="S166" s="342"/>
      <c r="T166" s="205">
        <f t="shared" si="3"/>
        <v>0</v>
      </c>
    </row>
    <row r="167" spans="1:20">
      <c r="A167" s="359">
        <v>9</v>
      </c>
      <c r="B167" s="614"/>
      <c r="C167" s="614"/>
      <c r="D167" s="334"/>
      <c r="E167" s="334"/>
      <c r="F167" s="363" t="str">
        <f>IFERROR(IF(E167&lt;&gt;"",SUM(_xlfn.XLOOKUP(B167,Table22[Townhomes - Modern Living],Table22[$$Retail])*E167),_xlfn.XLOOKUP(B167,Table22[Townhomes - Modern Living],Table22[$$Retail])),"")</f>
        <v/>
      </c>
      <c r="S167" s="342"/>
      <c r="T167" s="205">
        <f t="shared" si="3"/>
        <v>0</v>
      </c>
    </row>
    <row r="168" spans="1:20">
      <c r="A168" s="359">
        <v>10</v>
      </c>
      <c r="B168" s="614"/>
      <c r="C168" s="614"/>
      <c r="D168" s="334"/>
      <c r="E168" s="334"/>
      <c r="F168" s="363" t="str">
        <f>IFERROR(IF(E168&lt;&gt;"",SUM(_xlfn.XLOOKUP(B168,Table22[Townhomes - Modern Living],Table22[$$Retail])*E168),_xlfn.XLOOKUP(B168,Table22[Townhomes - Modern Living],Table22[$$Retail])),"")</f>
        <v/>
      </c>
      <c r="S168" s="342"/>
      <c r="T168" s="205">
        <f t="shared" si="3"/>
        <v>0</v>
      </c>
    </row>
    <row r="169" spans="1:20">
      <c r="A169" s="359">
        <v>11</v>
      </c>
      <c r="B169" s="614"/>
      <c r="C169" s="614"/>
      <c r="D169" s="334"/>
      <c r="E169" s="334"/>
      <c r="F169" s="363" t="str">
        <f>IFERROR(IF(E169&lt;&gt;"",SUM(_xlfn.XLOOKUP(B169,Table22[Townhomes - Modern Living],Table22[$$Retail])*E169),_xlfn.XLOOKUP(B169,Table22[Townhomes - Modern Living],Table22[$$Retail])),"")</f>
        <v/>
      </c>
      <c r="S169" s="342"/>
      <c r="T169" s="205">
        <f t="shared" si="3"/>
        <v>0</v>
      </c>
    </row>
    <row r="170" spans="1:20">
      <c r="A170" s="359">
        <v>12</v>
      </c>
      <c r="B170" s="614"/>
      <c r="C170" s="614"/>
      <c r="D170" s="334"/>
      <c r="E170" s="334"/>
      <c r="F170" s="363" t="str">
        <f>IFERROR(IF(E170&lt;&gt;"",SUM(_xlfn.XLOOKUP(B170,Table22[Townhomes - Modern Living],Table22[$$Retail])*E170),_xlfn.XLOOKUP(B170,Table22[Townhomes - Modern Living],Table22[$$Retail])),"")</f>
        <v/>
      </c>
      <c r="S170" s="342"/>
      <c r="T170" s="205">
        <f t="shared" si="3"/>
        <v>0</v>
      </c>
    </row>
    <row r="171" spans="1:20">
      <c r="A171" s="359">
        <v>13</v>
      </c>
      <c r="B171" s="614"/>
      <c r="C171" s="614"/>
      <c r="D171" s="334"/>
      <c r="E171" s="334"/>
      <c r="F171" s="363" t="str">
        <f>IFERROR(IF(E171&lt;&gt;"",SUM(_xlfn.XLOOKUP(B171,Table22[Townhomes - Modern Living],Table22[$$Retail])*E171),_xlfn.XLOOKUP(B171,Table22[Townhomes - Modern Living],Table22[$$Retail])),"")</f>
        <v/>
      </c>
      <c r="S171" s="342"/>
      <c r="T171" s="205">
        <f t="shared" si="3"/>
        <v>0</v>
      </c>
    </row>
    <row r="172" spans="1:20">
      <c r="A172" s="359">
        <v>14</v>
      </c>
      <c r="B172" s="614"/>
      <c r="C172" s="614"/>
      <c r="D172" s="334"/>
      <c r="E172" s="334"/>
      <c r="F172" s="363" t="str">
        <f>IFERROR(IF(E172&lt;&gt;"",SUM(_xlfn.XLOOKUP(B172,Table22[Townhomes - Modern Living],Table22[$$Retail])*E172),_xlfn.XLOOKUP(B172,Table22[Townhomes - Modern Living],Table22[$$Retail])),"")</f>
        <v/>
      </c>
      <c r="S172" s="342"/>
      <c r="T172" s="205">
        <f t="shared" si="3"/>
        <v>0</v>
      </c>
    </row>
    <row r="173" spans="1:20">
      <c r="A173" s="359">
        <v>15</v>
      </c>
      <c r="B173" s="614"/>
      <c r="C173" s="614"/>
      <c r="D173" s="334"/>
      <c r="E173" s="334"/>
      <c r="F173" s="363" t="str">
        <f>IFERROR(IF(E173&lt;&gt;"",SUM(_xlfn.XLOOKUP(B173,Table22[Townhomes - Modern Living],Table22[$$Retail])*E173),_xlfn.XLOOKUP(B173,Table22[Townhomes - Modern Living],Table22[$$Retail])),"")</f>
        <v/>
      </c>
      <c r="S173" s="342"/>
      <c r="T173" s="205">
        <f t="shared" si="3"/>
        <v>0</v>
      </c>
    </row>
    <row r="174" spans="1:20">
      <c r="A174" s="359">
        <v>16</v>
      </c>
      <c r="B174" s="614"/>
      <c r="C174" s="614"/>
      <c r="D174" s="334"/>
      <c r="E174" s="334"/>
      <c r="F174" s="363" t="str">
        <f>IFERROR(IF(E174&lt;&gt;"",SUM(_xlfn.XLOOKUP(B174,Table22[Townhomes - Modern Living],Table22[$$Retail])*E174),_xlfn.XLOOKUP(B174,Table22[Townhomes - Modern Living],Table22[$$Retail])),"")</f>
        <v/>
      </c>
      <c r="S174" s="342"/>
      <c r="T174" s="205">
        <f t="shared" si="3"/>
        <v>0</v>
      </c>
    </row>
    <row r="175" spans="1:20">
      <c r="A175" s="359">
        <v>17</v>
      </c>
      <c r="B175" s="614"/>
      <c r="C175" s="614"/>
      <c r="D175" s="334"/>
      <c r="E175" s="334"/>
      <c r="F175" s="363" t="str">
        <f>IFERROR(IF(E175&lt;&gt;"",SUM(_xlfn.XLOOKUP(B175,Table22[Townhomes - Modern Living],Table22[$$Retail])*E175),_xlfn.XLOOKUP(B175,Table22[Townhomes - Modern Living],Table22[$$Retail])),"")</f>
        <v/>
      </c>
      <c r="S175" s="342"/>
      <c r="T175" s="205">
        <f t="shared" si="3"/>
        <v>0</v>
      </c>
    </row>
    <row r="176" spans="1:20">
      <c r="A176" s="359">
        <v>18</v>
      </c>
      <c r="B176" s="614"/>
      <c r="C176" s="614"/>
      <c r="D176" s="334"/>
      <c r="E176" s="334"/>
      <c r="F176" s="363" t="str">
        <f>IFERROR(IF(E176&lt;&gt;"",SUM(_xlfn.XLOOKUP(B176,Table22[Townhomes - Modern Living],Table22[$$Retail])*E176),_xlfn.XLOOKUP(B176,Table22[Townhomes - Modern Living],Table22[$$Retail])),"")</f>
        <v/>
      </c>
      <c r="S176" s="342"/>
      <c r="T176" s="205">
        <f t="shared" si="3"/>
        <v>0</v>
      </c>
    </row>
    <row r="177" spans="1:20">
      <c r="A177" s="359">
        <v>19</v>
      </c>
      <c r="B177" s="614"/>
      <c r="C177" s="614"/>
      <c r="D177" s="334"/>
      <c r="E177" s="334"/>
      <c r="F177" s="363" t="str">
        <f>IFERROR(IF(E177&lt;&gt;"",SUM(_xlfn.XLOOKUP(B177,Table22[Townhomes - Modern Living],Table22[$$Retail])*E177),_xlfn.XLOOKUP(B177,Table22[Townhomes - Modern Living],Table22[$$Retail])),"")</f>
        <v/>
      </c>
      <c r="S177" s="342"/>
      <c r="T177" s="205">
        <f t="shared" si="3"/>
        <v>0</v>
      </c>
    </row>
    <row r="178" spans="1:20">
      <c r="A178" s="359">
        <v>20</v>
      </c>
      <c r="B178" s="614"/>
      <c r="C178" s="614"/>
      <c r="D178" s="334"/>
      <c r="E178" s="334"/>
      <c r="F178" s="363" t="str">
        <f>IFERROR(IF(E178&lt;&gt;"",SUM(_xlfn.XLOOKUP(B178,Table22[Townhomes - Modern Living],Table22[$$Retail])*E178),_xlfn.XLOOKUP(B178,Table22[Townhomes - Modern Living],Table22[$$Retail])),"")</f>
        <v/>
      </c>
      <c r="S178" s="342"/>
      <c r="T178" s="205">
        <f t="shared" si="3"/>
        <v>0</v>
      </c>
    </row>
    <row r="179" spans="1:20">
      <c r="A179" s="359">
        <v>20</v>
      </c>
      <c r="B179" s="614"/>
      <c r="C179" s="614"/>
      <c r="D179" s="334"/>
      <c r="E179" s="334"/>
      <c r="F179" s="363" t="str">
        <f>IFERROR(IF(E179&lt;&gt;"",SUM(_xlfn.XLOOKUP(B179,Table22[Townhomes - Modern Living],Table22[$$Retail])*E179),_xlfn.XLOOKUP(B179,Table22[Townhomes - Modern Living],Table22[$$Retail])),"")</f>
        <v/>
      </c>
      <c r="S179" s="342"/>
      <c r="T179" s="205">
        <f t="shared" ref="T179:T180" si="4">B179</f>
        <v>0</v>
      </c>
    </row>
    <row r="180" spans="1:20">
      <c r="A180" s="359">
        <v>20</v>
      </c>
      <c r="B180" s="614"/>
      <c r="C180" s="614"/>
      <c r="D180" s="334"/>
      <c r="E180" s="334"/>
      <c r="F180" s="363" t="str">
        <f>IFERROR(IF(E180&lt;&gt;"",SUM(_xlfn.XLOOKUP(B180,Table22[Townhomes - Modern Living],Table22[$$Retail])*E180),_xlfn.XLOOKUP(B180,Table22[Townhomes - Modern Living],Table22[$$Retail])),"")</f>
        <v/>
      </c>
      <c r="S180" s="342"/>
      <c r="T180" s="205">
        <f t="shared" si="4"/>
        <v>0</v>
      </c>
    </row>
    <row r="181" spans="1:20" ht="15" customHeight="1">
      <c r="A181" s="359"/>
      <c r="B181" s="14"/>
      <c r="C181" s="15"/>
      <c r="D181" s="15"/>
      <c r="E181" s="15"/>
      <c r="F181" s="18"/>
      <c r="S181" s="342">
        <f t="shared" si="2"/>
        <v>0</v>
      </c>
      <c r="T181" s="342"/>
    </row>
    <row r="182" spans="1:20" ht="15" customHeight="1">
      <c r="A182" s="610" t="s">
        <v>10526</v>
      </c>
      <c r="B182" s="610"/>
      <c r="C182" s="610"/>
      <c r="D182" s="343"/>
      <c r="E182" s="343"/>
      <c r="F182" s="198"/>
      <c r="S182" s="342">
        <f t="shared" si="2"/>
        <v>0</v>
      </c>
      <c r="T182" s="342"/>
    </row>
    <row r="183" spans="1:20" ht="26.25" customHeight="1">
      <c r="A183" s="359">
        <v>1</v>
      </c>
      <c r="B183" s="613" t="s">
        <v>10580</v>
      </c>
      <c r="C183" s="613"/>
      <c r="D183" s="613"/>
      <c r="E183" s="613"/>
      <c r="F183" s="18" t="s">
        <v>7351</v>
      </c>
      <c r="S183" s="342" t="str">
        <f t="shared" si="2"/>
        <v>Provide dwelling in accordance with NCC22 May 24 edition including liveability, energy and condensation management requirements</v>
      </c>
      <c r="T183" s="342"/>
    </row>
    <row r="184" spans="1:20" ht="15" customHeight="1">
      <c r="A184" s="359">
        <v>2</v>
      </c>
      <c r="B184" s="612" t="s">
        <v>41</v>
      </c>
      <c r="C184" s="612"/>
      <c r="D184" s="612"/>
      <c r="E184" s="612"/>
      <c r="F184" s="18" t="s">
        <v>7351</v>
      </c>
      <c r="S184" s="342" t="str">
        <f t="shared" si="2"/>
        <v>Survey and drafting plans</v>
      </c>
      <c r="T184" s="342"/>
    </row>
    <row r="185" spans="1:20" ht="15" customHeight="1">
      <c r="A185" s="359">
        <v>3</v>
      </c>
      <c r="B185" s="612" t="s">
        <v>42</v>
      </c>
      <c r="C185" s="612"/>
      <c r="D185" s="612"/>
      <c r="E185" s="612"/>
      <c r="F185" s="18" t="s">
        <v>7351</v>
      </c>
      <c r="S185" s="342" t="str">
        <f t="shared" si="2"/>
        <v>All permits as required by Building Regulations</v>
      </c>
      <c r="T185" s="342"/>
    </row>
    <row r="186" spans="1:20" ht="15" customHeight="1">
      <c r="A186" s="359">
        <v>4</v>
      </c>
      <c r="B186" s="612" t="s">
        <v>43</v>
      </c>
      <c r="C186" s="612"/>
      <c r="D186" s="612"/>
      <c r="E186" s="612"/>
      <c r="F186" s="18" t="s">
        <v>7351</v>
      </c>
      <c r="S186" s="342" t="str">
        <f t="shared" si="2"/>
        <v>Engineer designed foundations</v>
      </c>
      <c r="T186" s="342"/>
    </row>
    <row r="187" spans="1:20" ht="15" customHeight="1">
      <c r="A187" s="359">
        <v>5</v>
      </c>
      <c r="B187" s="612" t="s">
        <v>10579</v>
      </c>
      <c r="C187" s="612"/>
      <c r="D187" s="612"/>
      <c r="E187" s="612"/>
      <c r="F187" s="18" t="s">
        <v>7351</v>
      </c>
      <c r="S187" s="342" t="str">
        <f t="shared" si="2"/>
        <v>All service connections (excl customer account opening &amp; fibre optic connection)</v>
      </c>
      <c r="T187" s="342"/>
    </row>
    <row r="188" spans="1:20" ht="15" customHeight="1">
      <c r="A188" s="359">
        <v>6</v>
      </c>
      <c r="B188" s="612" t="s">
        <v>10575</v>
      </c>
      <c r="C188" s="612"/>
      <c r="D188" s="612"/>
      <c r="E188" s="612"/>
      <c r="F188" s="18" t="s">
        <v>7351</v>
      </c>
      <c r="S188" s="342" t="str">
        <f t="shared" si="2"/>
        <v>Home Owners Warranty</v>
      </c>
      <c r="T188" s="342"/>
    </row>
    <row r="189" spans="1:20" ht="15" customHeight="1">
      <c r="A189" s="359">
        <v>7</v>
      </c>
      <c r="B189" s="612" t="s">
        <v>45</v>
      </c>
      <c r="C189" s="612"/>
      <c r="D189" s="612"/>
      <c r="E189" s="612"/>
      <c r="F189" s="18" t="s">
        <v>7351</v>
      </c>
      <c r="S189" s="342" t="str">
        <f t="shared" si="2"/>
        <v>3 Month maintenance period</v>
      </c>
      <c r="T189" s="342"/>
    </row>
    <row r="190" spans="1:20" ht="15" customHeight="1">
      <c r="A190" s="359">
        <v>8</v>
      </c>
      <c r="B190" s="612" t="s">
        <v>10576</v>
      </c>
      <c r="C190" s="612"/>
      <c r="D190" s="612"/>
      <c r="E190" s="612"/>
      <c r="F190" s="18" t="s">
        <v>7351</v>
      </c>
      <c r="S190" s="342" t="str">
        <f t="shared" si="2"/>
        <v>Full house clean on completion</v>
      </c>
      <c r="T190" s="342"/>
    </row>
    <row r="191" spans="1:20" ht="15" customHeight="1">
      <c r="A191" s="359">
        <v>9</v>
      </c>
      <c r="B191" s="612" t="s">
        <v>10577</v>
      </c>
      <c r="C191" s="612"/>
      <c r="D191" s="612"/>
      <c r="E191" s="612"/>
      <c r="F191" s="18" t="s">
        <v>7351</v>
      </c>
      <c r="S191" s="342" t="str">
        <f t="shared" si="2"/>
        <v>Independent Quality Inspections </v>
      </c>
      <c r="T191" s="342"/>
    </row>
    <row r="192" spans="1:20" ht="15" customHeight="1">
      <c r="A192" s="359">
        <v>10</v>
      </c>
      <c r="B192" s="612" t="s">
        <v>10578</v>
      </c>
      <c r="C192" s="612"/>
      <c r="D192" s="612"/>
      <c r="E192" s="612"/>
      <c r="F192" s="18" t="s">
        <v>7351</v>
      </c>
      <c r="S192" s="342" t="str">
        <f t="shared" si="2"/>
        <v>12 Months RACV Emergency Home Assist</v>
      </c>
      <c r="T192" s="342"/>
    </row>
    <row r="193" spans="1:21" ht="15" customHeight="1">
      <c r="A193" s="1"/>
      <c r="B193" s="2"/>
      <c r="C193" s="3"/>
      <c r="D193" s="3"/>
      <c r="E193" s="3"/>
      <c r="F193" s="4"/>
      <c r="S193" s="342">
        <f t="shared" si="2"/>
        <v>0</v>
      </c>
      <c r="T193" s="342"/>
    </row>
    <row r="194" spans="1:21" ht="15" customHeight="1">
      <c r="A194" s="621" t="s">
        <v>48</v>
      </c>
      <c r="B194" s="621"/>
      <c r="C194" s="12"/>
      <c r="D194" s="12"/>
      <c r="E194" s="12"/>
      <c r="F194" s="13"/>
      <c r="S194" s="342">
        <f t="shared" si="2"/>
        <v>0</v>
      </c>
      <c r="T194" s="342"/>
    </row>
    <row r="195" spans="1:21" ht="15" customHeight="1">
      <c r="A195" s="603" t="s">
        <v>125</v>
      </c>
      <c r="B195" s="603"/>
      <c r="C195" s="603"/>
      <c r="D195" s="603"/>
      <c r="E195" s="603"/>
      <c r="F195" s="603"/>
      <c r="S195" s="342">
        <f t="shared" si="2"/>
        <v>0</v>
      </c>
      <c r="T195" s="342"/>
      <c r="U195" s="371" t="str">
        <f>A195</f>
        <v>The builder has the right to substitute or change any of the above items without notice or notification.</v>
      </c>
    </row>
    <row r="196" spans="1:21" ht="39" customHeight="1">
      <c r="A196" s="602" t="s">
        <v>7913</v>
      </c>
      <c r="B196" s="602"/>
      <c r="C196" s="602"/>
      <c r="D196" s="602"/>
      <c r="E196" s="602"/>
      <c r="F196" s="602"/>
      <c r="S196" s="342">
        <f t="shared" ref="S196" si="5">B196</f>
        <v>0</v>
      </c>
      <c r="T196" s="342"/>
      <c r="U196" s="342" t="str">
        <f>A196</f>
        <v>I / We understand that it is the policy of Hermitage Building Group Pty Ltd (ABN: 79 150 694 572) not to enter into verbal agreements, therefore I / we agree that our special requirements are to be written down and form part of our final building documentation.</v>
      </c>
    </row>
    <row r="197" spans="1:21" ht="15" customHeight="1">
      <c r="A197" s="362"/>
      <c r="B197" s="10"/>
      <c r="C197" s="11"/>
      <c r="D197" s="11"/>
      <c r="E197" s="11"/>
      <c r="F197" s="23"/>
      <c r="S197" s="342">
        <f t="shared" ref="S197:S212" si="6">B197</f>
        <v>0</v>
      </c>
      <c r="T197" s="342"/>
    </row>
    <row r="198" spans="1:21" ht="15" customHeight="1">
      <c r="A198" s="1"/>
      <c r="B198" s="2"/>
      <c r="C198" s="3"/>
      <c r="D198" s="3"/>
      <c r="E198" s="3"/>
      <c r="F198" s="4"/>
      <c r="S198" s="342">
        <f t="shared" si="6"/>
        <v>0</v>
      </c>
      <c r="T198" s="342"/>
    </row>
    <row r="199" spans="1:21" ht="15" customHeight="1">
      <c r="A199" s="1"/>
      <c r="B199" s="2"/>
      <c r="C199" s="24"/>
      <c r="D199" s="624" t="s">
        <v>104</v>
      </c>
      <c r="E199" s="624"/>
      <c r="F199" s="364" t="str">
        <f>IFERROR(SUM(_xlfn.XLOOKUP(C12,Table124[Address],Table124[Price])+SUM(F159:F178)),"")</f>
        <v/>
      </c>
      <c r="S199" s="342">
        <f t="shared" si="6"/>
        <v>0</v>
      </c>
      <c r="T199" s="342"/>
    </row>
    <row r="200" spans="1:21" ht="15" customHeight="1">
      <c r="A200" s="620" t="s">
        <v>49</v>
      </c>
      <c r="B200" s="620"/>
      <c r="C200" s="620"/>
      <c r="D200" s="11"/>
      <c r="E200" s="11"/>
      <c r="F200" s="1"/>
      <c r="S200" s="342">
        <f t="shared" si="6"/>
        <v>0</v>
      </c>
      <c r="T200" s="342"/>
    </row>
    <row r="201" spans="1:21" ht="15" customHeight="1">
      <c r="A201" s="1"/>
      <c r="B201" s="2"/>
      <c r="C201" s="3"/>
      <c r="D201" s="3"/>
      <c r="E201" s="3"/>
      <c r="F201" s="1"/>
      <c r="S201" s="342">
        <f t="shared" si="6"/>
        <v>0</v>
      </c>
      <c r="T201" s="342"/>
    </row>
    <row r="202" spans="1:21" ht="15" customHeight="1">
      <c r="A202" s="1"/>
      <c r="B202" s="2"/>
      <c r="C202" s="15" t="s">
        <v>50</v>
      </c>
      <c r="D202" s="15"/>
      <c r="E202" s="15"/>
      <c r="F202" s="26"/>
      <c r="S202" s="342">
        <f t="shared" si="6"/>
        <v>0</v>
      </c>
      <c r="T202" s="342"/>
    </row>
    <row r="203" spans="1:21" ht="15" customHeight="1">
      <c r="A203" s="1"/>
      <c r="B203" s="2"/>
      <c r="C203" s="3"/>
      <c r="D203" s="3"/>
      <c r="E203" s="3"/>
      <c r="F203" s="1"/>
      <c r="S203" s="342">
        <f t="shared" si="6"/>
        <v>0</v>
      </c>
      <c r="T203" s="342"/>
    </row>
    <row r="204" spans="1:21" ht="15" customHeight="1">
      <c r="A204" s="1"/>
      <c r="B204" s="2"/>
      <c r="C204" s="3"/>
      <c r="D204" s="3"/>
      <c r="E204" s="3"/>
      <c r="F204" s="1"/>
      <c r="S204" s="342">
        <f t="shared" si="6"/>
        <v>0</v>
      </c>
      <c r="T204" s="342"/>
    </row>
    <row r="205" spans="1:21" ht="15" customHeight="1">
      <c r="A205" s="619" t="s">
        <v>10625</v>
      </c>
      <c r="B205" s="619"/>
      <c r="C205" s="619"/>
      <c r="D205" s="619"/>
      <c r="E205" s="619"/>
      <c r="F205" s="619"/>
      <c r="S205" s="342">
        <f t="shared" si="6"/>
        <v>0</v>
      </c>
      <c r="T205" s="342"/>
    </row>
    <row r="206" spans="1:21" ht="15" customHeight="1">
      <c r="A206" s="1"/>
      <c r="B206" s="2"/>
      <c r="C206" s="3"/>
      <c r="D206" s="3"/>
      <c r="E206" s="3"/>
      <c r="F206" s="1"/>
      <c r="S206" s="342">
        <f t="shared" si="6"/>
        <v>0</v>
      </c>
      <c r="T206" s="342"/>
    </row>
    <row r="207" spans="1:21" ht="15" customHeight="1">
      <c r="A207" s="1"/>
      <c r="B207" s="2"/>
      <c r="C207" s="3"/>
      <c r="D207" s="3"/>
      <c r="E207" s="3"/>
      <c r="F207" s="1"/>
      <c r="S207" s="342">
        <f t="shared" si="6"/>
        <v>0</v>
      </c>
      <c r="T207" s="342"/>
    </row>
    <row r="208" spans="1:21" ht="15" customHeight="1">
      <c r="A208" s="619" t="s">
        <v>10626</v>
      </c>
      <c r="B208" s="619"/>
      <c r="C208" s="619"/>
      <c r="D208" s="619"/>
      <c r="E208" s="619"/>
      <c r="F208" s="619"/>
      <c r="S208" s="342">
        <f t="shared" si="6"/>
        <v>0</v>
      </c>
      <c r="T208" s="342"/>
    </row>
    <row r="209" spans="1:20" ht="15" customHeight="1">
      <c r="A209" s="1"/>
      <c r="B209" s="2"/>
      <c r="C209" s="3"/>
      <c r="D209" s="3"/>
      <c r="E209" s="3"/>
      <c r="F209" s="1"/>
      <c r="S209" s="342">
        <f t="shared" si="6"/>
        <v>0</v>
      </c>
      <c r="T209" s="342"/>
    </row>
    <row r="210" spans="1:20" ht="15" customHeight="1">
      <c r="A210" s="1"/>
      <c r="B210" s="2"/>
      <c r="C210" s="3"/>
      <c r="D210" s="3"/>
      <c r="E210" s="3"/>
      <c r="F210" s="1"/>
      <c r="S210" s="342">
        <f t="shared" si="6"/>
        <v>0</v>
      </c>
      <c r="T210" s="342"/>
    </row>
    <row r="211" spans="1:20" ht="15" customHeight="1">
      <c r="A211" s="619" t="s">
        <v>10626</v>
      </c>
      <c r="B211" s="619"/>
      <c r="C211" s="619"/>
      <c r="D211" s="619"/>
      <c r="E211" s="619"/>
      <c r="F211" s="619"/>
      <c r="S211" s="342">
        <f t="shared" si="6"/>
        <v>0</v>
      </c>
      <c r="T211" s="342"/>
    </row>
    <row r="212" spans="1:20" ht="15" customHeight="1">
      <c r="A212" s="1"/>
      <c r="B212" s="2"/>
      <c r="C212" s="3"/>
      <c r="D212" s="3"/>
      <c r="E212" s="3"/>
      <c r="F212" s="1"/>
      <c r="S212" s="342">
        <f t="shared" si="6"/>
        <v>0</v>
      </c>
      <c r="T212" s="342"/>
    </row>
  </sheetData>
  <sheetProtection algorithmName="SHA-512" hashValue="eS6+G/0UWuqrM5CL7A1IUA++DZifuLnckYRp+jbpWK+7tZjzBQyUC0UJwGQBJLOUpfma7HnHsDOHfgy8+TZW6A==" saltValue="XIm196a50juU1isXeyqoaQ==" spinCount="100000" sheet="1" objects="1" scenarios="1" formatRows="0" insertRows="0" deleteRows="0"/>
  <mergeCells count="181">
    <mergeCell ref="D2:E2"/>
    <mergeCell ref="B162:C162"/>
    <mergeCell ref="B163:C163"/>
    <mergeCell ref="B164:C164"/>
    <mergeCell ref="B165:C165"/>
    <mergeCell ref="B166:C166"/>
    <mergeCell ref="B167:C167"/>
    <mergeCell ref="B168:C168"/>
    <mergeCell ref="B169:C169"/>
    <mergeCell ref="B32:E32"/>
    <mergeCell ref="B33:E33"/>
    <mergeCell ref="B34:E34"/>
    <mergeCell ref="B35:E35"/>
    <mergeCell ref="A3:C3"/>
    <mergeCell ref="A10:C10"/>
    <mergeCell ref="A15:C15"/>
    <mergeCell ref="A18:C18"/>
    <mergeCell ref="A21:C21"/>
    <mergeCell ref="C16:E16"/>
    <mergeCell ref="C19:E19"/>
    <mergeCell ref="A12:B12"/>
    <mergeCell ref="A13:B13"/>
    <mergeCell ref="A134:C134"/>
    <mergeCell ref="A139:C139"/>
    <mergeCell ref="B114:E114"/>
    <mergeCell ref="B115:E115"/>
    <mergeCell ref="B118:E118"/>
    <mergeCell ref="B119:E119"/>
    <mergeCell ref="B107:E107"/>
    <mergeCell ref="B108:E108"/>
    <mergeCell ref="B109:E109"/>
    <mergeCell ref="B110:E110"/>
    <mergeCell ref="B111:E111"/>
    <mergeCell ref="B30:E30"/>
    <mergeCell ref="B31:E31"/>
    <mergeCell ref="B47:E47"/>
    <mergeCell ref="B48:E48"/>
    <mergeCell ref="B49:E49"/>
    <mergeCell ref="B50:E50"/>
    <mergeCell ref="A144:C144"/>
    <mergeCell ref="A153:C153"/>
    <mergeCell ref="A158:C158"/>
    <mergeCell ref="A78:C78"/>
    <mergeCell ref="A89:C89"/>
    <mergeCell ref="A92:C92"/>
    <mergeCell ref="A104:C104"/>
    <mergeCell ref="A117:C117"/>
    <mergeCell ref="A130:C130"/>
    <mergeCell ref="B79:E79"/>
    <mergeCell ref="B80:E80"/>
    <mergeCell ref="B81:E81"/>
    <mergeCell ref="B82:E82"/>
    <mergeCell ref="B83:E83"/>
    <mergeCell ref="B84:E84"/>
    <mergeCell ref="B85:E85"/>
    <mergeCell ref="B86:E86"/>
    <mergeCell ref="B87:E87"/>
    <mergeCell ref="A205:F205"/>
    <mergeCell ref="A208:F208"/>
    <mergeCell ref="A211:F211"/>
    <mergeCell ref="A200:C200"/>
    <mergeCell ref="A194:B194"/>
    <mergeCell ref="B154:E154"/>
    <mergeCell ref="B155:E155"/>
    <mergeCell ref="B156:E156"/>
    <mergeCell ref="A182:C182"/>
    <mergeCell ref="A195:F195"/>
    <mergeCell ref="A196:F196"/>
    <mergeCell ref="D199:E199"/>
    <mergeCell ref="B159:C159"/>
    <mergeCell ref="B160:C160"/>
    <mergeCell ref="B161:C161"/>
    <mergeCell ref="B174:C174"/>
    <mergeCell ref="B175:C175"/>
    <mergeCell ref="B176:C176"/>
    <mergeCell ref="B177:C177"/>
    <mergeCell ref="B178:C178"/>
    <mergeCell ref="B188:E188"/>
    <mergeCell ref="B189:E189"/>
    <mergeCell ref="B190:E190"/>
    <mergeCell ref="B191:E191"/>
    <mergeCell ref="B22:E22"/>
    <mergeCell ref="B25:E25"/>
    <mergeCell ref="B28:E28"/>
    <mergeCell ref="B29:E29"/>
    <mergeCell ref="C5:F5"/>
    <mergeCell ref="C6:F6"/>
    <mergeCell ref="C7:F7"/>
    <mergeCell ref="C8:F8"/>
    <mergeCell ref="C12:F12"/>
    <mergeCell ref="C13:F13"/>
    <mergeCell ref="A5:B5"/>
    <mergeCell ref="A6:B6"/>
    <mergeCell ref="A7:B7"/>
    <mergeCell ref="A8:B8"/>
    <mergeCell ref="A24:C24"/>
    <mergeCell ref="A27:C27"/>
    <mergeCell ref="B51:E51"/>
    <mergeCell ref="B52:E52"/>
    <mergeCell ref="B36:E36"/>
    <mergeCell ref="B37:E37"/>
    <mergeCell ref="B40:E40"/>
    <mergeCell ref="B41:E41"/>
    <mergeCell ref="B42:E42"/>
    <mergeCell ref="B43:E43"/>
    <mergeCell ref="B44:E44"/>
    <mergeCell ref="B45:E45"/>
    <mergeCell ref="B46:E46"/>
    <mergeCell ref="A39:C39"/>
    <mergeCell ref="B61:E61"/>
    <mergeCell ref="B64:E64"/>
    <mergeCell ref="B65:E65"/>
    <mergeCell ref="B66:E66"/>
    <mergeCell ref="B67:E67"/>
    <mergeCell ref="B70:E70"/>
    <mergeCell ref="B53:E53"/>
    <mergeCell ref="B54:E54"/>
    <mergeCell ref="B55:E55"/>
    <mergeCell ref="B58:E58"/>
    <mergeCell ref="B59:E59"/>
    <mergeCell ref="B60:E60"/>
    <mergeCell ref="A57:C57"/>
    <mergeCell ref="A63:C63"/>
    <mergeCell ref="A69:C69"/>
    <mergeCell ref="B146:E146"/>
    <mergeCell ref="B147:E147"/>
    <mergeCell ref="B148:E148"/>
    <mergeCell ref="B71:E71"/>
    <mergeCell ref="B72:E72"/>
    <mergeCell ref="B73:E73"/>
    <mergeCell ref="B74:E74"/>
    <mergeCell ref="B75:E75"/>
    <mergeCell ref="B76:E76"/>
    <mergeCell ref="B99:E99"/>
    <mergeCell ref="B100:E100"/>
    <mergeCell ref="B101:E101"/>
    <mergeCell ref="B93:E93"/>
    <mergeCell ref="B94:E94"/>
    <mergeCell ref="B95:E95"/>
    <mergeCell ref="B96:E96"/>
    <mergeCell ref="B97:E97"/>
    <mergeCell ref="B98:E98"/>
    <mergeCell ref="B90:E90"/>
    <mergeCell ref="B102:E102"/>
    <mergeCell ref="B105:E105"/>
    <mergeCell ref="B106:E106"/>
    <mergeCell ref="B112:E112"/>
    <mergeCell ref="B113:E113"/>
    <mergeCell ref="B136:E136"/>
    <mergeCell ref="B137:E137"/>
    <mergeCell ref="B140:E140"/>
    <mergeCell ref="B141:E141"/>
    <mergeCell ref="B142:E142"/>
    <mergeCell ref="B145:E145"/>
    <mergeCell ref="B120:E120"/>
    <mergeCell ref="B121:E121"/>
    <mergeCell ref="B122:E122"/>
    <mergeCell ref="B123:E123"/>
    <mergeCell ref="B124:E124"/>
    <mergeCell ref="B125:E125"/>
    <mergeCell ref="B126:E126"/>
    <mergeCell ref="B127:E127"/>
    <mergeCell ref="B128:E128"/>
    <mergeCell ref="B131:E131"/>
    <mergeCell ref="B132:E132"/>
    <mergeCell ref="B135:E135"/>
    <mergeCell ref="B192:E192"/>
    <mergeCell ref="B183:E183"/>
    <mergeCell ref="B184:E184"/>
    <mergeCell ref="B185:E185"/>
    <mergeCell ref="B186:E186"/>
    <mergeCell ref="B187:E187"/>
    <mergeCell ref="B149:E149"/>
    <mergeCell ref="B150:E150"/>
    <mergeCell ref="B151:E151"/>
    <mergeCell ref="B170:C170"/>
    <mergeCell ref="B171:C171"/>
    <mergeCell ref="B172:C172"/>
    <mergeCell ref="B173:C173"/>
    <mergeCell ref="B179:C179"/>
    <mergeCell ref="B180:C180"/>
  </mergeCells>
  <phoneticPr fontId="2" type="noConversion"/>
  <conditionalFormatting sqref="K3:K10">
    <cfRule type="colorScale" priority="1">
      <colorScale>
        <cfvo type="min"/>
        <cfvo type="percentile" val="50"/>
        <cfvo type="max"/>
        <color rgb="FF63BE7B"/>
        <color rgb="FFFFEB84"/>
        <color rgb="FFF8696B"/>
      </colorScale>
    </cfRule>
  </conditionalFormatting>
  <dataValidations count="2">
    <dataValidation type="list" allowBlank="1" showInputMessage="1" showErrorMessage="1" sqref="C12:F12" xr:uid="{324D694F-BE45-460C-9AFE-EC1516A7630C}">
      <formula1>ddKTHaddress</formula1>
    </dataValidation>
    <dataValidation type="list" allowBlank="1" showInputMessage="1" showErrorMessage="1" sqref="B159:C180" xr:uid="{93C11F9F-13CE-4AAD-92D0-A961EE8295F2}">
      <formula1>ddUpgradesKTH</formula1>
    </dataValidation>
  </dataValidations>
  <printOptions horizontalCentered="1"/>
  <pageMargins left="0.51181102362204722" right="0.51181102362204722" top="0.74803149606299213" bottom="0.70866141732283472" header="0.31496062992125984" footer="0.31496062992125984"/>
  <pageSetup paperSize="9" orientation="portrait" r:id="rId1"/>
  <headerFooter>
    <oddFooter>&amp;LHermitage Building Group Pty Ltd
Level 3, 37 Dalmore Drive, Scoresby VIC 3179&amp;C                                                 ABN: 79 150 694 572&amp;RPh: 03 9213 0500
Fax: 03 9213 0501</oddFooter>
  </headerFooter>
  <rowBreaks count="6" manualBreakCount="6">
    <brk id="26" max="5" man="1"/>
    <brk id="68" max="5" man="1"/>
    <brk id="103" max="5" man="1"/>
    <brk id="143" max="5" man="1"/>
    <brk id="165" max="5" man="1"/>
    <brk id="181" max="5" man="1"/>
  </rowBreaks>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CDB71A54588B504F9D4C18339050C758" ma:contentTypeVersion="6" ma:contentTypeDescription="Create a new document." ma:contentTypeScope="" ma:versionID="8f08e9e3e469bead0b2b4796f458c60f">
  <xsd:schema xmlns:xsd="http://www.w3.org/2001/XMLSchema" xmlns:xs="http://www.w3.org/2001/XMLSchema" xmlns:p="http://schemas.microsoft.com/office/2006/metadata/properties" xmlns:ns2="178b81bf-7ae4-4c52-8676-02d6fede67dd" targetNamespace="http://schemas.microsoft.com/office/2006/metadata/properties" ma:root="true" ma:fieldsID="f031e9183942ce70fa609ba5eb8cf42a" ns2:_="">
    <xsd:import namespace="178b81bf-7ae4-4c52-8676-02d6fede67d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8b81bf-7ae4-4c52-8676-02d6fede67d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50C7F8C-6872-428C-90B9-54ABBDDA3047}">
  <ds:schemaRefs>
    <ds:schemaRef ds:uri="http://schemas.microsoft.com/DataMashup"/>
  </ds:schemaRefs>
</ds:datastoreItem>
</file>

<file path=customXml/itemProps2.xml><?xml version="1.0" encoding="utf-8"?>
<ds:datastoreItem xmlns:ds="http://schemas.openxmlformats.org/officeDocument/2006/customXml" ds:itemID="{326155E6-AB24-47B9-BDD7-FEBEB9F2C336}"/>
</file>

<file path=customXml/itemProps3.xml><?xml version="1.0" encoding="utf-8"?>
<ds:datastoreItem xmlns:ds="http://schemas.openxmlformats.org/officeDocument/2006/customXml" ds:itemID="{20329AEB-4C66-4302-BB8A-86309FD4778E}"/>
</file>

<file path=customXml/itemProps4.xml><?xml version="1.0" encoding="utf-8"?>
<ds:datastoreItem xmlns:ds="http://schemas.openxmlformats.org/officeDocument/2006/customXml" ds:itemID="{942DED72-6C1E-4D69-BFBB-0931955348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29</vt:i4>
      </vt:variant>
    </vt:vector>
  </HeadingPairs>
  <TitlesOfParts>
    <vt:vector size="47" baseType="lpstr">
      <vt:lpstr>Pricing Sheet</vt:lpstr>
      <vt:lpstr>Site Costs Calc</vt:lpstr>
      <vt:lpstr>How to Use</vt:lpstr>
      <vt:lpstr>Houses</vt:lpstr>
      <vt:lpstr>Upgrades</vt:lpstr>
      <vt:lpstr>GROUPS</vt:lpstr>
      <vt:lpstr>ESTATES</vt:lpstr>
      <vt:lpstr>Single Tender</vt:lpstr>
      <vt:lpstr>1B - Tender</vt:lpstr>
      <vt:lpstr>HPS - Tender (KDRB)</vt:lpstr>
      <vt:lpstr>IL - Tender (KDRB)</vt:lpstr>
      <vt:lpstr>Double Tender</vt:lpstr>
      <vt:lpstr>Site Costs</vt:lpstr>
      <vt:lpstr>KBC - Pricing Sheet</vt:lpstr>
      <vt:lpstr>KBC - Houses</vt:lpstr>
      <vt:lpstr>KBC - Single Tender</vt:lpstr>
      <vt:lpstr>KBC - Double Tender</vt:lpstr>
      <vt:lpstr>KTH - Tender</vt:lpstr>
      <vt:lpstr>ddBDM</vt:lpstr>
      <vt:lpstr>ddBec</vt:lpstr>
      <vt:lpstr>ddCaitlin</vt:lpstr>
      <vt:lpstr>ddGhost</vt:lpstr>
      <vt:lpstr>ddJosh</vt:lpstr>
      <vt:lpstr>ddKTHaddress</vt:lpstr>
      <vt:lpstr>ddLayal</vt:lpstr>
      <vt:lpstr>ddMatthew</vt:lpstr>
      <vt:lpstr>ddPeter</vt:lpstr>
      <vt:lpstr>ddSimone</vt:lpstr>
      <vt:lpstr>ddUpgrades</vt:lpstr>
      <vt:lpstr>ddUpgradesKBC</vt:lpstr>
      <vt:lpstr>ddUpgradesKTH</vt:lpstr>
      <vt:lpstr>ddVattey</vt:lpstr>
      <vt:lpstr>ddWilliam</vt:lpstr>
      <vt:lpstr>'1B - Tender'!Print_Area</vt:lpstr>
      <vt:lpstr>'Double Tender'!Print_Area</vt:lpstr>
      <vt:lpstr>'HPS - Tender (KDRB)'!Print_Area</vt:lpstr>
      <vt:lpstr>'IL - Tender (KDRB)'!Print_Area</vt:lpstr>
      <vt:lpstr>'KBC - Double Tender'!Print_Area</vt:lpstr>
      <vt:lpstr>'KBC - Pricing Sheet'!Print_Area</vt:lpstr>
      <vt:lpstr>'KBC - Single Tender'!Print_Area</vt:lpstr>
      <vt:lpstr>'KTH - Tender'!Print_Area</vt:lpstr>
      <vt:lpstr>'Pricing Sheet'!Print_Area</vt:lpstr>
      <vt:lpstr>'Single Tender'!Print_Area</vt:lpstr>
      <vt:lpstr>'Site Costs'!Print_Area</vt:lpstr>
      <vt:lpstr>'Site Costs Calc'!Print_Area</vt:lpstr>
      <vt:lpstr>'KTH - Tender'!Sales_Estimator</vt:lpstr>
      <vt:lpstr>Sales_Estimator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Vallence</dc:creator>
  <cp:lastModifiedBy>David Glavich</cp:lastModifiedBy>
  <cp:lastPrinted>2025-11-13T04:30:06Z</cp:lastPrinted>
  <dcterms:created xsi:type="dcterms:W3CDTF">2015-09-21T00:34:00Z</dcterms:created>
  <dcterms:modified xsi:type="dcterms:W3CDTF">2026-04-02T03:57:09Z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0x010100CDB71A54588B504F9D4C18339050C758</vt:lpwstr>
  </property>
</Properties>
</file>